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drawings/drawing3.xml" ContentType="application/vnd.openxmlformats-officedocument.drawing+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drawings/drawing4.xml" ContentType="application/vnd.openxmlformats-officedocument.drawing+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drawings/drawing5.xml" ContentType="application/vnd.openxmlformats-officedocument.drawing+xml"/>
  <Override PartName="/xl/ctrlProps/ctrlProp29.xml" ContentType="application/vnd.ms-excel.controlproperties+xml"/>
  <Override PartName="/xl/ctrlProps/ctrlProp30.xml" ContentType="application/vnd.ms-excel.controlproperties+xml"/>
  <Override PartName="/xl/drawings/drawing6.xml" ContentType="application/vnd.openxmlformats-officedocument.drawing+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drawings/drawing7.xml" ContentType="application/vnd.openxmlformats-officedocument.drawing+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drawings/drawing8.xml" ContentType="application/vnd.openxmlformats-officedocument.drawing+xml"/>
  <Override PartName="/xl/drawings/drawing9.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drawings/drawing10.xml" ContentType="application/vnd.openxmlformats-officedocument.drawing+xml"/>
  <Override PartName="/xl/charts/chart4.xml" ContentType="application/vnd.openxmlformats-officedocument.drawingml.chart+xml"/>
  <Override PartName="/xl/drawings/drawing11.xml" ContentType="application/vnd.openxmlformats-officedocument.drawing+xml"/>
  <Override PartName="/xl/charts/chart5.xml" ContentType="application/vnd.openxmlformats-officedocument.drawingml.chart+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codeName="{7A2D7E96-6E34-419A-AE5F-296B3A7E7977}"/>
  <workbookPr codeName="ThisWorkbook" defaultThemeVersion="124226"/>
  <mc:AlternateContent xmlns:mc="http://schemas.openxmlformats.org/markup-compatibility/2006">
    <mc:Choice Requires="x15">
      <x15ac:absPath xmlns:x15ac="http://schemas.microsoft.com/office/spreadsheetml/2010/11/ac" url="\\parrafp01.dec.int\Group\SPD RMS\COMMUNITY EDUCATION &amp; TRAINING\PLANNING\SAES Planning\Energy Saver Strategic Planning\EEAP\Communications\Publications\Battery Storage Guide 2016\FINAL Resources\Tool\"/>
    </mc:Choice>
  </mc:AlternateContent>
  <bookViews>
    <workbookView xWindow="0" yWindow="0" windowWidth="15360" windowHeight="8805"/>
  </bookViews>
  <sheets>
    <sheet name="Readme" sheetId="30" r:id="rId1"/>
    <sheet name="Introduction" sheetId="2" r:id="rId2"/>
    <sheet name="Questionnaire" sheetId="1" state="hidden" r:id="rId3"/>
    <sheet name="Customise" sheetId="25" state="hidden" r:id="rId4"/>
    <sheet name="Summary" sheetId="29" state="hidden" r:id="rId5"/>
    <sheet name="Peak Shaving" sheetId="28" state="hidden" r:id="rId6"/>
    <sheet name="Advanced" sheetId="27" state="hidden" r:id="rId7"/>
    <sheet name="Arbitrage Payback Engine" sheetId="7" state="veryHidden" r:id="rId8"/>
    <sheet name="Input Sheet" sheetId="4" state="veryHidden" r:id="rId9"/>
    <sheet name="Payback Graphs" sheetId="6" state="veryHidden" r:id="rId10"/>
    <sheet name="Arbitrage Assumptions Page" sheetId="8" state="veryHidden" r:id="rId11"/>
    <sheet name="Peak Payback Engine" sheetId="9" state="veryHidden" r:id="rId12"/>
    <sheet name="Peak Models" sheetId="10" state="veryHidden" r:id="rId13"/>
    <sheet name="Peak Lopping Assumptions Page" sheetId="11" state="veryHidden" r:id="rId14"/>
    <sheet name="Summary Page Logic" sheetId="12" state="veryHidden" r:id="rId15"/>
    <sheet name="Dynamic Lists" sheetId="13" state="veryHidden" r:id="rId16"/>
    <sheet name="Question List" sheetId="14" state="veryHidden" r:id="rId17"/>
    <sheet name="Conversion All" sheetId="15" state="veryHidden" r:id="rId18"/>
    <sheet name="Flow Control" sheetId="16" state="veryHidden" r:id="rId19"/>
    <sheet name="Output Conversion" sheetId="17" state="veryHidden" r:id="rId20"/>
    <sheet name="Output All" sheetId="18" state="veryHidden" r:id="rId21"/>
    <sheet name="Profit per cycles Model" sheetId="19" state="veryHidden" r:id="rId22"/>
    <sheet name="Solar Pricing Model" sheetId="20" state="veryHidden" r:id="rId23"/>
    <sheet name="Battery Pricing Model" sheetId="21" state="veryHidden" r:id="rId24"/>
    <sheet name="Tariff Model " sheetId="22" state="veryHidden" r:id="rId25"/>
    <sheet name="Battery Data" sheetId="23" state="veryHidden" r:id="rId26"/>
    <sheet name="Spending Model" sheetId="24" state="veryHidden" r:id="rId27"/>
  </sheets>
  <functionGroups builtInGroupCount="18"/>
  <definedNames>
    <definedName name="AlternativeModelCustom" localSheetId="4">'Input Sheet'!$J$45</definedName>
    <definedName name="AlternativeModelCustom">'Input Sheet'!$J$45</definedName>
    <definedName name="AlternativeModelPeakCustom">'Input Sheet'!$J$81</definedName>
    <definedName name="BatteryFactor" localSheetId="4">'Input Sheet'!$J$68</definedName>
    <definedName name="BatteryFactor">'Input Sheet'!$J$68</definedName>
    <definedName name="CustomSolar" localSheetId="4">'Input Sheet'!$J$28</definedName>
    <definedName name="CustomSolar">'Input Sheet'!$J$28</definedName>
    <definedName name="DefaultEfficiency" localSheetId="4">'Profit per cycles Model'!$I$13</definedName>
    <definedName name="DefaultEfficiency">'Profit per cycles Model'!$I$13</definedName>
    <definedName name="DemandCustomText">Advanced!$B$48</definedName>
    <definedName name="DemandValueText">Advanced!$C$48</definedName>
    <definedName name="DisclaimAnswer">Introduction!$A$5</definedName>
    <definedName name="DiscountFactor">'Battery Pricing Model'!$D$17:$D$29</definedName>
    <definedName name="EnergyPriceCustom" localSheetId="4">'Input Sheet'!$H$21</definedName>
    <definedName name="EnergyPriceCustom">'Input Sheet'!$H$21</definedName>
    <definedName name="EventsPerYear" localSheetId="4">'Input Sheet'!$J$67</definedName>
    <definedName name="EventsPerYear">'Input Sheet'!$J$67</definedName>
    <definedName name="getChart" localSheetId="4">IF('Input Sheet'!$C$15="Load Graph", INDIRECT("'Payback Graphs'!$D$2"), INDIRECT("'Payback Graphs'!$E$2"))</definedName>
    <definedName name="getChart">IF('Input Sheet'!$C$15="Load Graph", INDIRECT("'Payback Graphs'!$D$2"), INDIRECT("'Payback Graphs'!$E$2"))</definedName>
    <definedName name="getChart2" localSheetId="4">IF('Input Sheet'!$C$60="Load Graph", INDIRECT("'Payback Graphs'!$F$2"), INDIRECT("'Payback Graphs'!$E$2"))</definedName>
    <definedName name="getChart2">IF('Input Sheet'!$C$60="Load Graph", INDIRECT("'Payback Graphs'!$F$2"), INDIRECT("'Payback Graphs'!$E$2"))</definedName>
    <definedName name="Index1" localSheetId="4">'Flow Control'!$B$8:$B$11</definedName>
    <definedName name="Index1">'Flow Control'!$B$8:$B$11</definedName>
    <definedName name="Index10">'Flow Control'!$K$8:$K$11</definedName>
    <definedName name="Index11" localSheetId="4">'Flow Control'!$L$8:$L$11</definedName>
    <definedName name="Index11">'Flow Control'!$L$8:$L$11</definedName>
    <definedName name="Index12" localSheetId="4">'Flow Control'!$M$8:$M$11</definedName>
    <definedName name="Index12">'Flow Control'!$M$8:$M$11</definedName>
    <definedName name="Index13" localSheetId="4">'Flow Control'!$N$8:$N$11</definedName>
    <definedName name="Index13">'Flow Control'!$N$8:$N$11</definedName>
    <definedName name="Index14" localSheetId="4">'Flow Control'!$O$8:$O$11</definedName>
    <definedName name="Index14">'Flow Control'!$O$8:$O$11</definedName>
    <definedName name="Index15" localSheetId="4">'Flow Control'!$P$8:$P$11</definedName>
    <definedName name="Index15">'Flow Control'!$P$8:$P$11</definedName>
    <definedName name="Index16">'Flow Control'!$Q$8:$Q$11</definedName>
    <definedName name="Index17">'Flow Control'!$R$8:$R$11</definedName>
    <definedName name="Index18">'Flow Control'!$S$8:$S$11</definedName>
    <definedName name="Index2" localSheetId="4">'Flow Control'!$C$8:$C$11</definedName>
    <definedName name="Index2">'Flow Control'!$C$8:$C$11</definedName>
    <definedName name="Index3" localSheetId="4">'Flow Control'!$D$8:$D$11</definedName>
    <definedName name="Index3">'Flow Control'!$D$8:$D$11</definedName>
    <definedName name="Index4">'Flow Control'!$E$8:$E$11</definedName>
    <definedName name="Index5" localSheetId="4">'Flow Control'!$F$8:$F$11</definedName>
    <definedName name="Index5">'Flow Control'!$F$8:$F$11</definedName>
    <definedName name="Index6" localSheetId="4">'Flow Control'!$G$8:$G$11</definedName>
    <definedName name="Index6">'Flow Control'!$G$8:$G$11</definedName>
    <definedName name="Index7" localSheetId="4">'Flow Control'!$H$8:$H$11</definedName>
    <definedName name="Index7">'Flow Control'!$H$8:$H$11</definedName>
    <definedName name="Index8" localSheetId="4">'Flow Control'!$I$8:$I$11</definedName>
    <definedName name="Index8">'Flow Control'!$I$8:$I$11</definedName>
    <definedName name="Index9" localSheetId="4">'Flow Control'!$J$8:$J$11</definedName>
    <definedName name="Index9">'Flow Control'!$J$8:$J$11</definedName>
    <definedName name="InflationIndex" localSheetId="4">'Input Sheet'!$J$46</definedName>
    <definedName name="InflationIndex">'Input Sheet'!$J$46</definedName>
    <definedName name="InflationPeakIndex" localSheetId="4">'Input Sheet'!$J$82</definedName>
    <definedName name="InflationPeakIndex">'Input Sheet'!$J$82</definedName>
    <definedName name="LocationOptions" localSheetId="4">'Tariff Model '!$B$14:$B$18</definedName>
    <definedName name="LocationOptions">'Tariff Model '!$B$14:$B$18</definedName>
    <definedName name="NetworkLocation" localSheetId="4">'Input Sheet'!$H$60</definedName>
    <definedName name="NetworkLocation">'Input Sheet'!$H$60</definedName>
    <definedName name="NetworkLocQuery" localSheetId="4">'Output Conversion'!$F$26</definedName>
    <definedName name="NetworkLocQuery">'Output Conversion'!$F$26</definedName>
    <definedName name="OffPeakValueText">Customise!$B$9</definedName>
    <definedName name="PaybackCustom" localSheetId="4">'Input Sheet'!$J$44</definedName>
    <definedName name="PaybackCustom">'Input Sheet'!$J$44</definedName>
    <definedName name="PaybackList">'Output Conversion'!$D$15:$D$17</definedName>
    <definedName name="PaybackStatus" localSheetId="4">'Output Conversion'!$F$11</definedName>
    <definedName name="PaybackStatus">'Output Conversion'!$F$11</definedName>
    <definedName name="PeakKVAOption">'Profit per cycles Model'!$D$6:$D$8</definedName>
    <definedName name="PeakLength" localSheetId="4">'Output Conversion'!$F$19</definedName>
    <definedName name="PeakLength">'Output Conversion'!$F$19</definedName>
    <definedName name="PeakLengthCustom" localSheetId="4">'Input Sheet'!$J$66</definedName>
    <definedName name="PeakLengthCustom">'Input Sheet'!$J$66</definedName>
    <definedName name="PeakPaybackCustom">'Input Sheet'!$J$80</definedName>
    <definedName name="PeakShape" localSheetId="4">'Input Sheet'!$J$63</definedName>
    <definedName name="PeakShape">'Input Sheet'!$J$63</definedName>
    <definedName name="PeakValueTest">Customise!$B$7</definedName>
    <definedName name="PeakValueText">Customise!$B$7</definedName>
    <definedName name="_xlnm.Print_Area" localSheetId="6">Advanced!$E$14:$T$74</definedName>
    <definedName name="_xlnm.Print_Area" localSheetId="3">Customise!$A$1:$AA$51</definedName>
    <definedName name="_xlnm.Print_Area" localSheetId="2">Questionnaire!$A$1:$Z$44</definedName>
    <definedName name="_xlnm.Print_Area" localSheetId="4">Summary!$C$1:$E$53</definedName>
    <definedName name="Q1Answer">Questionnaire!$B$3</definedName>
    <definedName name="Q2Answer">Questionnaire!$B$4</definedName>
    <definedName name="Q3Answer">Questionnaire!$B$5</definedName>
    <definedName name="Q4Answer">Questionnaire!$B$6</definedName>
    <definedName name="Q5Answer">Questionnaire!$B$7</definedName>
    <definedName name="Q6Answer">Questionnaire!$B$8</definedName>
    <definedName name="Q7Answer">Questionnaire!$B$9</definedName>
    <definedName name="RoundTripEfficiency" localSheetId="4">'Input Sheet'!$J$30</definedName>
    <definedName name="RoundTripEfficiency">'Input Sheet'!$J$30</definedName>
    <definedName name="ShoulderValueText">Customise!$B$8</definedName>
    <definedName name="TariffOptions" localSheetId="4">'Tariff Model '!$B$4:$B$11</definedName>
    <definedName name="TariffOptions">'Tariff Model '!$B$4:$B$11</definedName>
    <definedName name="TariffStructure" localSheetId="4">'Output Conversion'!$F$3</definedName>
    <definedName name="TariffStructure">'Output Conversion'!$F$3</definedName>
    <definedName name="TimeofuseOptions" localSheetId="4">'Profit per cycles Model'!$D$67:$D$75</definedName>
    <definedName name="TimeofuseOptions">'Profit per cycles Model'!$D$67:$D$75</definedName>
    <definedName name="TimeofUseStructure" localSheetId="4">'Profit per cycles Model'!$C$113</definedName>
    <definedName name="TimeofUseStructure">'Profit per cycles Model'!$C$113</definedName>
    <definedName name="TOUTariffModel" localSheetId="4">'Input Sheet'!$H$16</definedName>
    <definedName name="TOUTariffModel">'Input Sheet'!$H$16</definedName>
  </definedNames>
  <calcPr calcId="152511" concurrentCalc="0"/>
</workbook>
</file>

<file path=xl/calcChain.xml><?xml version="1.0" encoding="utf-8"?>
<calcChain xmlns="http://schemas.openxmlformats.org/spreadsheetml/2006/main">
  <c r="C74" i="18" l="1"/>
  <c r="B24" i="21"/>
  <c r="C24" i="21"/>
  <c r="C15" i="21"/>
  <c r="B22" i="21"/>
  <c r="C22" i="21"/>
  <c r="B23" i="21"/>
  <c r="C23" i="21"/>
  <c r="B25" i="21"/>
  <c r="C25" i="21"/>
  <c r="B26" i="21"/>
  <c r="C26" i="21"/>
  <c r="B48" i="27"/>
  <c r="C48" i="27"/>
  <c r="B45" i="27"/>
  <c r="H60" i="4"/>
  <c r="C3" i="27"/>
  <c r="J46" i="4"/>
  <c r="C2" i="27"/>
  <c r="J45" i="4"/>
  <c r="C23" i="28"/>
  <c r="F56" i="4"/>
  <c r="C22" i="28"/>
  <c r="F55" i="4"/>
  <c r="C21" i="28"/>
  <c r="F54" i="4"/>
  <c r="C20" i="28"/>
  <c r="F53" i="4"/>
  <c r="C19" i="28"/>
  <c r="F52" i="4"/>
  <c r="C29" i="11"/>
  <c r="G29" i="11"/>
  <c r="C66" i="8"/>
  <c r="D27" i="11"/>
  <c r="D40" i="8"/>
  <c r="G40" i="8"/>
  <c r="H6" i="7"/>
  <c r="B8" i="25"/>
  <c r="B9" i="25"/>
  <c r="B7" i="25"/>
  <c r="C7" i="25"/>
  <c r="C2" i="25"/>
  <c r="C10" i="25"/>
  <c r="C5" i="25"/>
  <c r="B17" i="1"/>
  <c r="B16" i="1"/>
  <c r="B15" i="1"/>
  <c r="B14" i="1"/>
  <c r="B13" i="1"/>
  <c r="B12" i="1"/>
  <c r="B11" i="1"/>
  <c r="C36" i="29"/>
  <c r="C31" i="29"/>
  <c r="G31" i="11"/>
  <c r="C78" i="18"/>
  <c r="C79" i="18"/>
  <c r="C80" i="18"/>
  <c r="C81" i="18"/>
  <c r="D78" i="18"/>
  <c r="D79" i="18"/>
  <c r="D80" i="18"/>
  <c r="D81" i="18"/>
  <c r="C75" i="18"/>
  <c r="C76" i="18"/>
  <c r="C77" i="18"/>
  <c r="D74" i="18"/>
  <c r="D75" i="18"/>
  <c r="D76" i="18"/>
  <c r="D77" i="18"/>
  <c r="J61" i="4"/>
  <c r="C55" i="4"/>
  <c r="C15" i="22"/>
  <c r="C14" i="22"/>
  <c r="C56" i="4"/>
  <c r="Q73" i="4"/>
  <c r="Q72" i="4"/>
  <c r="C62" i="11"/>
  <c r="J68" i="4"/>
  <c r="C61" i="11"/>
  <c r="P21" i="10"/>
  <c r="Q37" i="4"/>
  <c r="Q36" i="4"/>
  <c r="B30" i="25"/>
  <c r="B31" i="25"/>
  <c r="B32" i="25"/>
  <c r="B33" i="25"/>
  <c r="B34" i="25"/>
  <c r="B35" i="25"/>
  <c r="B36" i="25"/>
  <c r="B37" i="25"/>
  <c r="B38" i="25"/>
  <c r="B39" i="25"/>
  <c r="B40" i="25"/>
  <c r="B41" i="25"/>
  <c r="B42" i="25"/>
  <c r="B43" i="25"/>
  <c r="B44" i="25"/>
  <c r="H16" i="4"/>
  <c r="H21" i="4"/>
  <c r="J28" i="4"/>
  <c r="C8" i="25"/>
  <c r="J24" i="4"/>
  <c r="C9" i="25"/>
  <c r="J25" i="4"/>
  <c r="J23" i="4"/>
  <c r="B45" i="25"/>
  <c r="B46" i="25"/>
  <c r="B47" i="25"/>
  <c r="B48" i="25"/>
  <c r="C15" i="25"/>
  <c r="J44" i="4"/>
  <c r="Y5" i="7"/>
  <c r="A25" i="25"/>
  <c r="A24" i="25"/>
  <c r="A23" i="25"/>
  <c r="C14" i="25"/>
  <c r="J30" i="4"/>
  <c r="A22" i="25"/>
  <c r="A20" i="25"/>
  <c r="A21" i="25"/>
  <c r="F12" i="4"/>
  <c r="F11" i="4"/>
  <c r="F9" i="4"/>
  <c r="C10" i="4"/>
  <c r="H5" i="16"/>
  <c r="F8" i="4"/>
  <c r="F5" i="4"/>
  <c r="C7" i="4"/>
  <c r="E5" i="16"/>
  <c r="F4" i="4"/>
  <c r="C5" i="4"/>
  <c r="D5" i="16"/>
  <c r="F3" i="4"/>
  <c r="C4" i="4"/>
  <c r="C5" i="16"/>
  <c r="C5" i="24"/>
  <c r="C7" i="24"/>
  <c r="D5" i="24"/>
  <c r="D7" i="24"/>
  <c r="E5" i="24"/>
  <c r="E7" i="24"/>
  <c r="F7" i="24"/>
  <c r="G5" i="24"/>
  <c r="H5" i="24"/>
  <c r="H7" i="24"/>
  <c r="K5" i="24"/>
  <c r="K7" i="24"/>
  <c r="L5" i="24"/>
  <c r="G7" i="24"/>
  <c r="B8" i="24"/>
  <c r="D8" i="24"/>
  <c r="B9" i="24"/>
  <c r="B10" i="24"/>
  <c r="B11" i="24"/>
  <c r="B12" i="24"/>
  <c r="B13" i="24"/>
  <c r="B14" i="24"/>
  <c r="B15" i="24"/>
  <c r="B16" i="24"/>
  <c r="D9" i="24"/>
  <c r="D10" i="24"/>
  <c r="D11" i="24"/>
  <c r="D12" i="24"/>
  <c r="D13" i="24"/>
  <c r="D14" i="24"/>
  <c r="D15" i="24"/>
  <c r="D16" i="24"/>
  <c r="D17" i="24"/>
  <c r="D18" i="24"/>
  <c r="D19" i="24"/>
  <c r="D20" i="24"/>
  <c r="D21" i="24"/>
  <c r="D22" i="24"/>
  <c r="D23" i="24"/>
  <c r="D24" i="24"/>
  <c r="D25" i="24"/>
  <c r="D26" i="24"/>
  <c r="D27" i="24"/>
  <c r="D28" i="24"/>
  <c r="D29" i="24"/>
  <c r="H29" i="24"/>
  <c r="D30" i="24"/>
  <c r="D5" i="23"/>
  <c r="D8" i="23"/>
  <c r="C21" i="23"/>
  <c r="D22" i="23"/>
  <c r="D28" i="23"/>
  <c r="H4" i="21"/>
  <c r="I4" i="21"/>
  <c r="J4" i="21"/>
  <c r="H5" i="21"/>
  <c r="I5" i="21"/>
  <c r="J5" i="21"/>
  <c r="H6" i="21"/>
  <c r="I6" i="21"/>
  <c r="J6" i="21"/>
  <c r="K6" i="21"/>
  <c r="L6" i="21"/>
  <c r="M6" i="21"/>
  <c r="H7" i="21"/>
  <c r="I7" i="21"/>
  <c r="J7" i="21"/>
  <c r="K7" i="21"/>
  <c r="L7" i="21"/>
  <c r="M7" i="21"/>
  <c r="H8" i="21"/>
  <c r="I8" i="21"/>
  <c r="J8" i="21"/>
  <c r="K8" i="21"/>
  <c r="L8" i="21"/>
  <c r="M8" i="21"/>
  <c r="H9" i="21"/>
  <c r="I9" i="21"/>
  <c r="J9" i="21"/>
  <c r="K9" i="21"/>
  <c r="L9" i="21"/>
  <c r="M9" i="21"/>
  <c r="I10" i="21"/>
  <c r="J10" i="21"/>
  <c r="K10" i="21"/>
  <c r="L10" i="21"/>
  <c r="M10" i="21"/>
  <c r="B19" i="21"/>
  <c r="C19" i="21"/>
  <c r="B20" i="21"/>
  <c r="C20" i="21"/>
  <c r="B21" i="21"/>
  <c r="C21" i="21"/>
  <c r="B27" i="21"/>
  <c r="C27" i="21"/>
  <c r="B28" i="21"/>
  <c r="C28" i="21"/>
  <c r="B29" i="21"/>
  <c r="C29" i="21"/>
  <c r="H7" i="20"/>
  <c r="H9" i="20"/>
  <c r="J15" i="19"/>
  <c r="J16" i="19"/>
  <c r="J17" i="19"/>
  <c r="J18" i="19"/>
  <c r="C28" i="19"/>
  <c r="D28" i="19"/>
  <c r="E28" i="19"/>
  <c r="F31" i="19"/>
  <c r="I31" i="19"/>
  <c r="C31" i="19"/>
  <c r="I34" i="19"/>
  <c r="B35" i="19"/>
  <c r="B36" i="19"/>
  <c r="B37" i="19"/>
  <c r="B38" i="19"/>
  <c r="B39" i="19"/>
  <c r="B40" i="19"/>
  <c r="B41" i="19"/>
  <c r="B42" i="19"/>
  <c r="B43" i="19"/>
  <c r="B44" i="19"/>
  <c r="B45" i="19"/>
  <c r="B46" i="19"/>
  <c r="B47" i="19"/>
  <c r="B48" i="19"/>
  <c r="B49" i="19"/>
  <c r="I35" i="19"/>
  <c r="I36" i="19"/>
  <c r="I37" i="19"/>
  <c r="I38" i="19"/>
  <c r="I39" i="19"/>
  <c r="I68" i="19"/>
  <c r="J68" i="19"/>
  <c r="I69" i="19"/>
  <c r="J69" i="19"/>
  <c r="I70" i="19"/>
  <c r="J70" i="19"/>
  <c r="I71" i="19"/>
  <c r="J71" i="19"/>
  <c r="I72" i="19"/>
  <c r="J72" i="19"/>
  <c r="I73" i="19"/>
  <c r="J73" i="19"/>
  <c r="I74" i="19"/>
  <c r="J74" i="19"/>
  <c r="I75" i="19"/>
  <c r="J75" i="19"/>
  <c r="I76" i="19"/>
  <c r="J76" i="19"/>
  <c r="D83" i="19"/>
  <c r="D84" i="19"/>
  <c r="D85" i="19"/>
  <c r="D86" i="19"/>
  <c r="D87" i="19"/>
  <c r="D88" i="19"/>
  <c r="D89" i="19"/>
  <c r="D90" i="19"/>
  <c r="D91" i="19"/>
  <c r="D92" i="19"/>
  <c r="D93" i="19"/>
  <c r="D94" i="19"/>
  <c r="D95" i="19"/>
  <c r="D96" i="19"/>
  <c r="D97" i="19"/>
  <c r="D98" i="19"/>
  <c r="D99" i="19"/>
  <c r="D100" i="19"/>
  <c r="D101" i="19"/>
  <c r="D102" i="19"/>
  <c r="D103" i="19"/>
  <c r="D104" i="19"/>
  <c r="D105" i="19"/>
  <c r="D106" i="19"/>
  <c r="D107" i="19"/>
  <c r="D108" i="19"/>
  <c r="D109" i="19"/>
  <c r="D110" i="19"/>
  <c r="D111" i="19"/>
  <c r="C113" i="19"/>
  <c r="F76" i="19"/>
  <c r="F113" i="19"/>
  <c r="D118" i="19"/>
  <c r="D119" i="19"/>
  <c r="D120" i="19"/>
  <c r="D121" i="19"/>
  <c r="D122" i="19"/>
  <c r="D123" i="19"/>
  <c r="D124" i="19"/>
  <c r="D125" i="19"/>
  <c r="D126" i="19"/>
  <c r="D127" i="19"/>
  <c r="D128" i="19"/>
  <c r="D129" i="19"/>
  <c r="D130" i="19"/>
  <c r="D131" i="19"/>
  <c r="D132" i="19"/>
  <c r="D133" i="19"/>
  <c r="D134" i="19"/>
  <c r="D135" i="19"/>
  <c r="D136" i="19"/>
  <c r="D137" i="19"/>
  <c r="D138" i="19"/>
  <c r="D139" i="19"/>
  <c r="D140" i="19"/>
  <c r="D141" i="19"/>
  <c r="D142" i="19"/>
  <c r="D143" i="19"/>
  <c r="D144" i="19"/>
  <c r="D145" i="19"/>
  <c r="D146" i="19"/>
  <c r="H151" i="19"/>
  <c r="H152" i="19"/>
  <c r="H153" i="19"/>
  <c r="H154" i="19"/>
  <c r="H155" i="19"/>
  <c r="H156" i="19"/>
  <c r="H157" i="19"/>
  <c r="H158" i="19"/>
  <c r="H159" i="19"/>
  <c r="H160" i="19"/>
  <c r="H161" i="19"/>
  <c r="H162" i="19"/>
  <c r="H163" i="19"/>
  <c r="H164" i="19"/>
  <c r="H165" i="19"/>
  <c r="H166" i="19"/>
  <c r="H167" i="19"/>
  <c r="H168" i="19"/>
  <c r="H169" i="19"/>
  <c r="H170" i="19"/>
  <c r="H171" i="19"/>
  <c r="H172" i="19"/>
  <c r="H173" i="19"/>
  <c r="H174" i="19"/>
  <c r="H175" i="19"/>
  <c r="H176" i="19"/>
  <c r="H177" i="19"/>
  <c r="H178" i="19"/>
  <c r="H179" i="19"/>
  <c r="A2" i="18"/>
  <c r="C2" i="18"/>
  <c r="D2" i="18"/>
  <c r="A3" i="18"/>
  <c r="C3" i="18"/>
  <c r="D3" i="18"/>
  <c r="A4" i="18"/>
  <c r="C4" i="18"/>
  <c r="D4" i="18"/>
  <c r="A5" i="18"/>
  <c r="C5" i="18"/>
  <c r="D5" i="18"/>
  <c r="A6" i="18"/>
  <c r="B6" i="18"/>
  <c r="C6" i="18"/>
  <c r="D6" i="18"/>
  <c r="A7" i="18"/>
  <c r="C7" i="18"/>
  <c r="D7" i="18"/>
  <c r="A8" i="18"/>
  <c r="C8" i="18"/>
  <c r="D8" i="18"/>
  <c r="A9" i="18"/>
  <c r="C9" i="18"/>
  <c r="D9" i="18"/>
  <c r="A10" i="18"/>
  <c r="B10" i="18"/>
  <c r="C10" i="18"/>
  <c r="D10" i="18"/>
  <c r="A11" i="18"/>
  <c r="C11" i="18"/>
  <c r="D11" i="18"/>
  <c r="A12" i="18"/>
  <c r="C12" i="18"/>
  <c r="D12" i="18"/>
  <c r="A13" i="18"/>
  <c r="C13" i="18"/>
  <c r="D13" i="18"/>
  <c r="A14" i="18"/>
  <c r="B14" i="18"/>
  <c r="C14" i="18"/>
  <c r="D14" i="18"/>
  <c r="A15" i="18"/>
  <c r="C15" i="18"/>
  <c r="D15" i="18"/>
  <c r="A16" i="18"/>
  <c r="C16" i="18"/>
  <c r="D16" i="18"/>
  <c r="A17" i="18"/>
  <c r="C17" i="18"/>
  <c r="D17" i="18"/>
  <c r="A18" i="18"/>
  <c r="B18" i="18"/>
  <c r="C18" i="18"/>
  <c r="D18" i="18"/>
  <c r="A19" i="18"/>
  <c r="C19" i="18"/>
  <c r="D19" i="18"/>
  <c r="A20" i="18"/>
  <c r="C20" i="18"/>
  <c r="D20" i="18"/>
  <c r="A21" i="18"/>
  <c r="C21" i="18"/>
  <c r="D21" i="18"/>
  <c r="A22" i="18"/>
  <c r="B22" i="18"/>
  <c r="A23" i="18"/>
  <c r="B23" i="18"/>
  <c r="A24" i="18"/>
  <c r="B24" i="18"/>
  <c r="C22" i="18"/>
  <c r="D22" i="18"/>
  <c r="C23" i="18"/>
  <c r="D23" i="18"/>
  <c r="C24" i="18"/>
  <c r="D24" i="18"/>
  <c r="A25" i="18"/>
  <c r="C25" i="18"/>
  <c r="D25" i="18"/>
  <c r="A26" i="18"/>
  <c r="B26" i="18"/>
  <c r="C26" i="18"/>
  <c r="D26" i="18"/>
  <c r="A27" i="18"/>
  <c r="C27" i="18"/>
  <c r="D27" i="18"/>
  <c r="A28" i="18"/>
  <c r="C28" i="18"/>
  <c r="D28" i="18"/>
  <c r="A29" i="18"/>
  <c r="C29" i="18"/>
  <c r="D29" i="18"/>
  <c r="A30" i="18"/>
  <c r="B30" i="18"/>
  <c r="C30" i="18"/>
  <c r="D30" i="18"/>
  <c r="A31" i="18"/>
  <c r="C31" i="18"/>
  <c r="D31" i="18"/>
  <c r="A32" i="18"/>
  <c r="C32" i="18"/>
  <c r="D32" i="18"/>
  <c r="A33" i="18"/>
  <c r="C33" i="18"/>
  <c r="D33" i="18"/>
  <c r="A34" i="18"/>
  <c r="B34" i="18"/>
  <c r="A35" i="18"/>
  <c r="B35" i="18"/>
  <c r="C34" i="18"/>
  <c r="D34" i="18"/>
  <c r="C35" i="18"/>
  <c r="D35" i="18"/>
  <c r="A36" i="18"/>
  <c r="C36" i="18"/>
  <c r="D36" i="18"/>
  <c r="A37" i="18"/>
  <c r="C37" i="18"/>
  <c r="D37" i="18"/>
  <c r="A38" i="18"/>
  <c r="B38" i="18"/>
  <c r="C38" i="18"/>
  <c r="D38" i="18"/>
  <c r="A39" i="18"/>
  <c r="C39" i="18"/>
  <c r="D39" i="18"/>
  <c r="A40" i="18"/>
  <c r="C40" i="18"/>
  <c r="D40" i="18"/>
  <c r="A41" i="18"/>
  <c r="C41" i="18"/>
  <c r="D41" i="18"/>
  <c r="A42" i="18"/>
  <c r="B42" i="18"/>
  <c r="A43" i="18"/>
  <c r="B43" i="18"/>
  <c r="C42" i="18"/>
  <c r="D42" i="18"/>
  <c r="C43" i="18"/>
  <c r="D43" i="18"/>
  <c r="A44" i="18"/>
  <c r="C44" i="18"/>
  <c r="D44" i="18"/>
  <c r="A45" i="18"/>
  <c r="C45" i="18"/>
  <c r="D45" i="18"/>
  <c r="A46" i="18"/>
  <c r="B46" i="18"/>
  <c r="C46" i="18"/>
  <c r="D46" i="18"/>
  <c r="A47" i="18"/>
  <c r="C47" i="18"/>
  <c r="D47" i="18"/>
  <c r="A48" i="18"/>
  <c r="C48" i="18"/>
  <c r="D48" i="18"/>
  <c r="A49" i="18"/>
  <c r="C49" i="18"/>
  <c r="D49" i="18"/>
  <c r="A50" i="18"/>
  <c r="B50" i="18"/>
  <c r="A51" i="18"/>
  <c r="B51" i="18"/>
  <c r="A52" i="18"/>
  <c r="B52" i="18"/>
  <c r="C50" i="18"/>
  <c r="D50" i="18"/>
  <c r="C51" i="18"/>
  <c r="D51" i="18"/>
  <c r="C52" i="18"/>
  <c r="D52" i="18"/>
  <c r="A53" i="18"/>
  <c r="C53" i="18"/>
  <c r="D53" i="18"/>
  <c r="A54" i="18"/>
  <c r="B54" i="18"/>
  <c r="C54" i="18"/>
  <c r="D54" i="18"/>
  <c r="A55" i="18"/>
  <c r="C55" i="18"/>
  <c r="D55" i="18"/>
  <c r="A56" i="18"/>
  <c r="C56" i="18"/>
  <c r="D56" i="18"/>
  <c r="A57" i="18"/>
  <c r="C57" i="18"/>
  <c r="D57" i="18"/>
  <c r="A58" i="18"/>
  <c r="B58" i="18"/>
  <c r="A59" i="18"/>
  <c r="B59" i="18"/>
  <c r="C58" i="18"/>
  <c r="D58" i="18"/>
  <c r="C59" i="18"/>
  <c r="D59" i="18"/>
  <c r="A60" i="18"/>
  <c r="C60" i="18"/>
  <c r="D60" i="18"/>
  <c r="A61" i="18"/>
  <c r="C61" i="18"/>
  <c r="D61" i="18"/>
  <c r="A62" i="18"/>
  <c r="B62" i="18"/>
  <c r="C62" i="18"/>
  <c r="D62" i="18"/>
  <c r="A63" i="18"/>
  <c r="C63" i="18"/>
  <c r="D63" i="18"/>
  <c r="A64" i="18"/>
  <c r="C64" i="18"/>
  <c r="D64" i="18"/>
  <c r="A65" i="18"/>
  <c r="C65" i="18"/>
  <c r="D65" i="18"/>
  <c r="A66" i="18"/>
  <c r="B66" i="18"/>
  <c r="C66" i="18"/>
  <c r="D66" i="18"/>
  <c r="A67" i="18"/>
  <c r="C67" i="18"/>
  <c r="D67" i="18"/>
  <c r="A68" i="18"/>
  <c r="C68" i="18"/>
  <c r="D68" i="18"/>
  <c r="A69" i="18"/>
  <c r="C69" i="18"/>
  <c r="D69" i="18"/>
  <c r="A70" i="18"/>
  <c r="B70" i="18"/>
  <c r="C70" i="18"/>
  <c r="D70" i="18"/>
  <c r="A71" i="18"/>
  <c r="C71" i="18"/>
  <c r="D71" i="18"/>
  <c r="A72" i="18"/>
  <c r="C72" i="18"/>
  <c r="D72" i="18"/>
  <c r="A73" i="18"/>
  <c r="C73" i="18"/>
  <c r="D73" i="18"/>
  <c r="A74" i="18"/>
  <c r="B74" i="18"/>
  <c r="A75" i="18"/>
  <c r="A76" i="18"/>
  <c r="A77" i="18"/>
  <c r="A78" i="18"/>
  <c r="B78" i="18"/>
  <c r="A79" i="18"/>
  <c r="A80" i="18"/>
  <c r="A81" i="18"/>
  <c r="A82" i="18"/>
  <c r="B82" i="18"/>
  <c r="C82" i="18"/>
  <c r="D82" i="18"/>
  <c r="A83" i="18"/>
  <c r="C83" i="18"/>
  <c r="D83" i="18"/>
  <c r="A84" i="18"/>
  <c r="C84" i="18"/>
  <c r="D84" i="18"/>
  <c r="A85" i="18"/>
  <c r="C85" i="18"/>
  <c r="D85" i="18"/>
  <c r="A86" i="18"/>
  <c r="B86" i="18"/>
  <c r="C86" i="18"/>
  <c r="D86" i="18"/>
  <c r="A87" i="18"/>
  <c r="C87" i="18"/>
  <c r="D87" i="18"/>
  <c r="A88" i="18"/>
  <c r="C88" i="18"/>
  <c r="D88" i="18"/>
  <c r="A89" i="18"/>
  <c r="C89" i="18"/>
  <c r="D89" i="18"/>
  <c r="A90" i="18"/>
  <c r="B90" i="18"/>
  <c r="C90" i="18"/>
  <c r="D90" i="18"/>
  <c r="A91" i="18"/>
  <c r="C91" i="18"/>
  <c r="D91" i="18"/>
  <c r="A92" i="18"/>
  <c r="C92" i="18"/>
  <c r="D92" i="18"/>
  <c r="A93" i="18"/>
  <c r="C93" i="18"/>
  <c r="D93" i="18"/>
  <c r="A94" i="18"/>
  <c r="B94" i="18"/>
  <c r="C94" i="18"/>
  <c r="D94" i="18"/>
  <c r="A95" i="18"/>
  <c r="C95" i="18"/>
  <c r="D95" i="18"/>
  <c r="A96" i="18"/>
  <c r="C96" i="18"/>
  <c r="D96" i="18"/>
  <c r="A97" i="18"/>
  <c r="C97" i="18"/>
  <c r="D97" i="18"/>
  <c r="A98" i="18"/>
  <c r="B98" i="18"/>
  <c r="C98" i="18"/>
  <c r="D98" i="18"/>
  <c r="A99" i="18"/>
  <c r="C99" i="18"/>
  <c r="D99" i="18"/>
  <c r="A100" i="18"/>
  <c r="C100" i="18"/>
  <c r="D100" i="18"/>
  <c r="A101" i="18"/>
  <c r="C101" i="18"/>
  <c r="D101" i="18"/>
  <c r="A102" i="18"/>
  <c r="B102" i="18"/>
  <c r="C102" i="18"/>
  <c r="D102" i="18"/>
  <c r="A103" i="18"/>
  <c r="C103" i="18"/>
  <c r="D103" i="18"/>
  <c r="A104" i="18"/>
  <c r="C104" i="18"/>
  <c r="D104" i="18"/>
  <c r="A105" i="18"/>
  <c r="C105" i="18"/>
  <c r="D105" i="18"/>
  <c r="A106" i="18"/>
  <c r="B106" i="18"/>
  <c r="A107" i="18"/>
  <c r="B107" i="18"/>
  <c r="A108" i="18"/>
  <c r="B108" i="18"/>
  <c r="C106" i="18"/>
  <c r="D106" i="18"/>
  <c r="C107" i="18"/>
  <c r="D107" i="18"/>
  <c r="C108" i="18"/>
  <c r="D108" i="18"/>
  <c r="A109" i="18"/>
  <c r="C109" i="18"/>
  <c r="D109" i="18"/>
  <c r="A110" i="18"/>
  <c r="B110" i="18"/>
  <c r="C110" i="18"/>
  <c r="D110" i="18"/>
  <c r="A111" i="18"/>
  <c r="C111" i="18"/>
  <c r="D111" i="18"/>
  <c r="A112" i="18"/>
  <c r="C112" i="18"/>
  <c r="D112" i="18"/>
  <c r="A113" i="18"/>
  <c r="C113" i="18"/>
  <c r="D113" i="18"/>
  <c r="A114" i="18"/>
  <c r="B114" i="18"/>
  <c r="C114" i="18"/>
  <c r="D114" i="18"/>
  <c r="A115" i="18"/>
  <c r="C115" i="18"/>
  <c r="D115" i="18"/>
  <c r="A116" i="18"/>
  <c r="C116" i="18"/>
  <c r="D116" i="18"/>
  <c r="A117" i="18"/>
  <c r="C117" i="18"/>
  <c r="D117" i="18"/>
  <c r="A118" i="18"/>
  <c r="B118" i="18"/>
  <c r="C118" i="18"/>
  <c r="D118" i="18"/>
  <c r="A119" i="18"/>
  <c r="C119" i="18"/>
  <c r="D119" i="18"/>
  <c r="A120" i="18"/>
  <c r="C120" i="18"/>
  <c r="D120" i="18"/>
  <c r="A121" i="18"/>
  <c r="C121" i="18"/>
  <c r="D121" i="18"/>
  <c r="A122" i="18"/>
  <c r="C122" i="18"/>
  <c r="D122" i="18"/>
  <c r="A123" i="18"/>
  <c r="B123" i="18"/>
  <c r="C123" i="18"/>
  <c r="D123" i="18"/>
  <c r="A124" i="18"/>
  <c r="B124" i="18"/>
  <c r="C124" i="18"/>
  <c r="D124" i="18"/>
  <c r="A125" i="18"/>
  <c r="B125" i="18"/>
  <c r="C125" i="18"/>
  <c r="D125" i="18"/>
  <c r="A126" i="18"/>
  <c r="B126" i="18"/>
  <c r="C126" i="18"/>
  <c r="D126" i="18"/>
  <c r="A127" i="18"/>
  <c r="B127" i="18"/>
  <c r="C127" i="18"/>
  <c r="D127" i="18"/>
  <c r="A128" i="18"/>
  <c r="B128" i="18"/>
  <c r="C128" i="18"/>
  <c r="D128" i="18"/>
  <c r="A129" i="18"/>
  <c r="B129" i="18"/>
  <c r="C129" i="18"/>
  <c r="D129" i="18"/>
  <c r="A130" i="18"/>
  <c r="C130" i="18"/>
  <c r="D130" i="18"/>
  <c r="A131" i="18"/>
  <c r="C131" i="18"/>
  <c r="D131" i="18"/>
  <c r="A132" i="18"/>
  <c r="C132" i="18"/>
  <c r="D132" i="18"/>
  <c r="A133" i="18"/>
  <c r="B133" i="18"/>
  <c r="C133" i="18"/>
  <c r="D133" i="18"/>
  <c r="A134" i="18"/>
  <c r="B134" i="18"/>
  <c r="C134" i="18"/>
  <c r="D134" i="18"/>
  <c r="A135" i="18"/>
  <c r="B135" i="18"/>
  <c r="C135" i="18"/>
  <c r="D135" i="18"/>
  <c r="A136" i="18"/>
  <c r="B136" i="18"/>
  <c r="C136" i="18"/>
  <c r="D136" i="18"/>
  <c r="A137" i="18"/>
  <c r="B137" i="18"/>
  <c r="C137" i="18"/>
  <c r="D137" i="18"/>
  <c r="A138" i="18"/>
  <c r="B138" i="18"/>
  <c r="C138" i="18"/>
  <c r="D138" i="18"/>
  <c r="A139" i="18"/>
  <c r="B139" i="18"/>
  <c r="C139" i="18"/>
  <c r="D139" i="18"/>
  <c r="A140" i="18"/>
  <c r="B140" i="18"/>
  <c r="C140" i="18"/>
  <c r="D140" i="18"/>
  <c r="A141" i="18"/>
  <c r="B141" i="18"/>
  <c r="C141" i="18"/>
  <c r="D141" i="18"/>
  <c r="A142" i="18"/>
  <c r="B142" i="18"/>
  <c r="C142" i="18"/>
  <c r="D142" i="18"/>
  <c r="A143" i="18"/>
  <c r="B143" i="18"/>
  <c r="C143" i="18"/>
  <c r="D143" i="18"/>
  <c r="A144" i="18"/>
  <c r="B144" i="18"/>
  <c r="C144" i="18"/>
  <c r="D144" i="18"/>
  <c r="A145" i="18"/>
  <c r="B145" i="18"/>
  <c r="C145" i="18"/>
  <c r="D145" i="18"/>
  <c r="A146" i="18"/>
  <c r="B146" i="18"/>
  <c r="C146" i="18"/>
  <c r="D146" i="18"/>
  <c r="A147" i="18"/>
  <c r="B147" i="18"/>
  <c r="C147" i="18"/>
  <c r="D147" i="18"/>
  <c r="A148" i="18"/>
  <c r="B148" i="18"/>
  <c r="C148" i="18"/>
  <c r="D148" i="18"/>
  <c r="A149" i="18"/>
  <c r="B149" i="18"/>
  <c r="C149" i="18"/>
  <c r="D149" i="18"/>
  <c r="A150" i="18"/>
  <c r="B150" i="18"/>
  <c r="C150" i="18"/>
  <c r="D150" i="18"/>
  <c r="A151" i="18"/>
  <c r="B151" i="18"/>
  <c r="C151" i="18"/>
  <c r="D151" i="18"/>
  <c r="A152" i="18"/>
  <c r="B152" i="18"/>
  <c r="C152" i="18"/>
  <c r="D152" i="18"/>
  <c r="A153" i="18"/>
  <c r="B153" i="18"/>
  <c r="C153" i="18"/>
  <c r="D153" i="18"/>
  <c r="A154" i="18"/>
  <c r="B154" i="18"/>
  <c r="C154" i="18"/>
  <c r="D154" i="18"/>
  <c r="A155" i="18"/>
  <c r="B155" i="18"/>
  <c r="C155" i="18"/>
  <c r="D155" i="18"/>
  <c r="A156" i="18"/>
  <c r="B156" i="18"/>
  <c r="C156" i="18"/>
  <c r="D156" i="18"/>
  <c r="A157" i="18"/>
  <c r="B157" i="18"/>
  <c r="C157" i="18"/>
  <c r="D157" i="18"/>
  <c r="A158" i="18"/>
  <c r="B158" i="18"/>
  <c r="C158" i="18"/>
  <c r="D158" i="18"/>
  <c r="A159" i="18"/>
  <c r="B159" i="18"/>
  <c r="C159" i="18"/>
  <c r="D159" i="18"/>
  <c r="A160" i="18"/>
  <c r="B160" i="18"/>
  <c r="C160" i="18"/>
  <c r="D160" i="18"/>
  <c r="A161" i="18"/>
  <c r="B161" i="18"/>
  <c r="C161" i="18"/>
  <c r="D161" i="18"/>
  <c r="A162" i="18"/>
  <c r="B162" i="18"/>
  <c r="C162" i="18"/>
  <c r="D162" i="18"/>
  <c r="A163" i="18"/>
  <c r="B163" i="18"/>
  <c r="C163" i="18"/>
  <c r="D163" i="18"/>
  <c r="A164" i="18"/>
  <c r="B164" i="18"/>
  <c r="C164" i="18"/>
  <c r="D164" i="18"/>
  <c r="C5" i="17"/>
  <c r="C6" i="17"/>
  <c r="C7" i="17"/>
  <c r="C9" i="17"/>
  <c r="C12" i="17"/>
  <c r="C13" i="17"/>
  <c r="D14" i="17"/>
  <c r="C15" i="17"/>
  <c r="C16" i="17"/>
  <c r="C17" i="17"/>
  <c r="C20" i="17"/>
  <c r="C21" i="17"/>
  <c r="C22" i="17"/>
  <c r="C23" i="17"/>
  <c r="C27" i="17"/>
  <c r="D27" i="17"/>
  <c r="C28" i="17"/>
  <c r="D28" i="17"/>
  <c r="C29" i="17"/>
  <c r="D29" i="17"/>
  <c r="C30" i="17"/>
  <c r="D30" i="17"/>
  <c r="B5" i="16"/>
  <c r="R5" i="16"/>
  <c r="S5" i="16"/>
  <c r="S8" i="16"/>
  <c r="C15" i="15"/>
  <c r="F12" i="14"/>
  <c r="G12" i="14"/>
  <c r="H12" i="14"/>
  <c r="G13" i="14"/>
  <c r="H13" i="14"/>
  <c r="F20" i="14"/>
  <c r="F21" i="14"/>
  <c r="F22" i="14"/>
  <c r="F23" i="14"/>
  <c r="F24" i="14"/>
  <c r="F28" i="14"/>
  <c r="F33" i="14"/>
  <c r="F37" i="14"/>
  <c r="F44" i="14"/>
  <c r="F45" i="14"/>
  <c r="F46" i="14"/>
  <c r="F48" i="14"/>
  <c r="F49" i="14"/>
  <c r="F50" i="14"/>
  <c r="F52" i="14"/>
  <c r="F53" i="14"/>
  <c r="F54" i="14"/>
  <c r="F104" i="14"/>
  <c r="F108" i="14"/>
  <c r="B2" i="13"/>
  <c r="C2" i="13"/>
  <c r="D2" i="13"/>
  <c r="E2" i="13"/>
  <c r="F2" i="13"/>
  <c r="G2" i="13"/>
  <c r="H2" i="13"/>
  <c r="I2" i="13"/>
  <c r="J2" i="13"/>
  <c r="K2" i="13"/>
  <c r="L2" i="13"/>
  <c r="M2" i="13"/>
  <c r="N2" i="13"/>
  <c r="O2" i="13"/>
  <c r="P2" i="13"/>
  <c r="Q2" i="13"/>
  <c r="R2" i="13"/>
  <c r="S2" i="13"/>
  <c r="T2" i="13"/>
  <c r="U2" i="13"/>
  <c r="V2" i="13"/>
  <c r="W2" i="13"/>
  <c r="X2" i="13"/>
  <c r="Y2" i="13"/>
  <c r="Z2" i="13"/>
  <c r="AA2" i="13"/>
  <c r="AB2" i="13"/>
  <c r="AC2" i="13"/>
  <c r="AD2" i="13"/>
  <c r="AE2" i="13"/>
  <c r="AF2" i="13"/>
  <c r="AG2" i="13"/>
  <c r="AH2" i="13"/>
  <c r="AI2" i="13"/>
  <c r="AJ2" i="13"/>
  <c r="AK2" i="13"/>
  <c r="AL2" i="13"/>
  <c r="AM2" i="13"/>
  <c r="AN2" i="13"/>
  <c r="B4" i="13"/>
  <c r="C4" i="13"/>
  <c r="D4" i="13"/>
  <c r="E4" i="13"/>
  <c r="F4" i="13"/>
  <c r="G4" i="13"/>
  <c r="H4" i="13"/>
  <c r="I4" i="13"/>
  <c r="J4" i="13"/>
  <c r="K4" i="13"/>
  <c r="L4" i="13"/>
  <c r="M4" i="13"/>
  <c r="N4" i="13"/>
  <c r="O4" i="13"/>
  <c r="P4" i="13"/>
  <c r="Q4" i="13"/>
  <c r="R4" i="13"/>
  <c r="S4" i="13"/>
  <c r="T4" i="13"/>
  <c r="U4" i="13"/>
  <c r="V4" i="13"/>
  <c r="W4" i="13"/>
  <c r="X4" i="13"/>
  <c r="Y4" i="13"/>
  <c r="Z4" i="13"/>
  <c r="AA4" i="13"/>
  <c r="AB4" i="13"/>
  <c r="AC4" i="13"/>
  <c r="AD4" i="13"/>
  <c r="AE4" i="13"/>
  <c r="AF4" i="13"/>
  <c r="AG4" i="13"/>
  <c r="AH4" i="13"/>
  <c r="AI4" i="13"/>
  <c r="AJ4" i="13"/>
  <c r="AK4" i="13"/>
  <c r="AL4" i="13"/>
  <c r="AM4" i="13"/>
  <c r="AN4" i="13"/>
  <c r="B5" i="13"/>
  <c r="C5" i="13"/>
  <c r="D5" i="13"/>
  <c r="E5" i="13"/>
  <c r="F5" i="13"/>
  <c r="G5" i="13"/>
  <c r="H5" i="13"/>
  <c r="I5" i="13"/>
  <c r="J5" i="13"/>
  <c r="K5" i="13"/>
  <c r="L5" i="13"/>
  <c r="M5" i="13"/>
  <c r="N5" i="13"/>
  <c r="O5" i="13"/>
  <c r="P5" i="13"/>
  <c r="Q5" i="13"/>
  <c r="R5" i="13"/>
  <c r="S5" i="13"/>
  <c r="T5" i="13"/>
  <c r="U5" i="13"/>
  <c r="V5" i="13"/>
  <c r="W5" i="13"/>
  <c r="X5" i="13"/>
  <c r="Y5" i="13"/>
  <c r="Z5" i="13"/>
  <c r="AA5" i="13"/>
  <c r="AB5" i="13"/>
  <c r="AC5" i="13"/>
  <c r="AD5" i="13"/>
  <c r="AE5" i="13"/>
  <c r="AF5" i="13"/>
  <c r="AG5" i="13"/>
  <c r="AH5" i="13"/>
  <c r="AI5" i="13"/>
  <c r="AJ5" i="13"/>
  <c r="AK5" i="13"/>
  <c r="AL5" i="13"/>
  <c r="AM5" i="13"/>
  <c r="AN5" i="13"/>
  <c r="B6" i="13"/>
  <c r="C6" i="13"/>
  <c r="D6" i="13"/>
  <c r="E6" i="13"/>
  <c r="F6" i="13"/>
  <c r="G6" i="13"/>
  <c r="H6" i="13"/>
  <c r="I6" i="13"/>
  <c r="J6" i="13"/>
  <c r="K6" i="13"/>
  <c r="L6" i="13"/>
  <c r="M6" i="13"/>
  <c r="N6" i="13"/>
  <c r="O6" i="13"/>
  <c r="P6" i="13"/>
  <c r="Q6" i="13"/>
  <c r="R6" i="13"/>
  <c r="S6" i="13"/>
  <c r="T6" i="13"/>
  <c r="U6" i="13"/>
  <c r="V6" i="13"/>
  <c r="W6" i="13"/>
  <c r="X6" i="13"/>
  <c r="Y6" i="13"/>
  <c r="Z6" i="13"/>
  <c r="AA6" i="13"/>
  <c r="AB6" i="13"/>
  <c r="AC6" i="13"/>
  <c r="AD6" i="13"/>
  <c r="AE6" i="13"/>
  <c r="AF6" i="13"/>
  <c r="AG6" i="13"/>
  <c r="AH6" i="13"/>
  <c r="AI6" i="13"/>
  <c r="AJ6" i="13"/>
  <c r="AK6" i="13"/>
  <c r="AL6" i="13"/>
  <c r="AM6" i="13"/>
  <c r="AN6" i="13"/>
  <c r="B7" i="13"/>
  <c r="C7" i="13"/>
  <c r="D7" i="13"/>
  <c r="E7" i="13"/>
  <c r="F7" i="13"/>
  <c r="G7" i="13"/>
  <c r="H7" i="13"/>
  <c r="I7" i="13"/>
  <c r="J7" i="13"/>
  <c r="K7" i="13"/>
  <c r="L7" i="13"/>
  <c r="M7" i="13"/>
  <c r="N7" i="13"/>
  <c r="O7" i="13"/>
  <c r="P7" i="13"/>
  <c r="Q7" i="13"/>
  <c r="R7" i="13"/>
  <c r="S7" i="13"/>
  <c r="T7" i="13"/>
  <c r="U7" i="13"/>
  <c r="V7" i="13"/>
  <c r="W7" i="13"/>
  <c r="X7" i="13"/>
  <c r="Y7" i="13"/>
  <c r="Z7" i="13"/>
  <c r="AA7" i="13"/>
  <c r="AB7" i="13"/>
  <c r="AC7" i="13"/>
  <c r="AD7" i="13"/>
  <c r="AE7" i="13"/>
  <c r="AF7" i="13"/>
  <c r="AG7" i="13"/>
  <c r="AH7" i="13"/>
  <c r="AI7" i="13"/>
  <c r="AJ7" i="13"/>
  <c r="AK7" i="13"/>
  <c r="AL7" i="13"/>
  <c r="AM7" i="13"/>
  <c r="AN7" i="13"/>
  <c r="B8" i="13"/>
  <c r="C8" i="13"/>
  <c r="D8" i="13"/>
  <c r="E8" i="13"/>
  <c r="F8" i="13"/>
  <c r="G8" i="13"/>
  <c r="H8" i="13"/>
  <c r="I8" i="13"/>
  <c r="J8" i="13"/>
  <c r="K8" i="13"/>
  <c r="L8" i="13"/>
  <c r="M8" i="13"/>
  <c r="N8" i="13"/>
  <c r="O8" i="13"/>
  <c r="P8" i="13"/>
  <c r="Q8" i="13"/>
  <c r="R8" i="13"/>
  <c r="S8" i="13"/>
  <c r="T8" i="13"/>
  <c r="U8" i="13"/>
  <c r="V8" i="13"/>
  <c r="W8" i="13"/>
  <c r="X8" i="13"/>
  <c r="Y8" i="13"/>
  <c r="Z8" i="13"/>
  <c r="AA8" i="13"/>
  <c r="AB8" i="13"/>
  <c r="AC8" i="13"/>
  <c r="AD8" i="13"/>
  <c r="AE8" i="13"/>
  <c r="AF8" i="13"/>
  <c r="AG8" i="13"/>
  <c r="AH8" i="13"/>
  <c r="AI8" i="13"/>
  <c r="AJ8" i="13"/>
  <c r="AK8" i="13"/>
  <c r="AL8" i="13"/>
  <c r="AM8" i="13"/>
  <c r="AN8" i="13"/>
  <c r="B9" i="13"/>
  <c r="C9" i="13"/>
  <c r="D9" i="13"/>
  <c r="E9" i="13"/>
  <c r="F9" i="13"/>
  <c r="G9" i="13"/>
  <c r="H9" i="13"/>
  <c r="I9" i="13"/>
  <c r="J9" i="13"/>
  <c r="K9" i="13"/>
  <c r="L9" i="13"/>
  <c r="M9" i="13"/>
  <c r="N9" i="13"/>
  <c r="O9" i="13"/>
  <c r="P9" i="13"/>
  <c r="Q9" i="13"/>
  <c r="R9" i="13"/>
  <c r="S9" i="13"/>
  <c r="T9" i="13"/>
  <c r="U9" i="13"/>
  <c r="V9" i="13"/>
  <c r="W9" i="13"/>
  <c r="X9" i="13"/>
  <c r="Y9" i="13"/>
  <c r="Z9" i="13"/>
  <c r="AA9" i="13"/>
  <c r="AB9" i="13"/>
  <c r="AC9" i="13"/>
  <c r="AD9" i="13"/>
  <c r="AE9" i="13"/>
  <c r="AF9" i="13"/>
  <c r="AG9" i="13"/>
  <c r="AH9" i="13"/>
  <c r="AI9" i="13"/>
  <c r="AJ9" i="13"/>
  <c r="AK9" i="13"/>
  <c r="AL9" i="13"/>
  <c r="AM9" i="13"/>
  <c r="AN9" i="13"/>
  <c r="B10" i="13"/>
  <c r="C10" i="13"/>
  <c r="D10" i="13"/>
  <c r="E10" i="13"/>
  <c r="F10" i="13"/>
  <c r="G10" i="13"/>
  <c r="H10" i="13"/>
  <c r="I10" i="13"/>
  <c r="J10" i="13"/>
  <c r="K10" i="13"/>
  <c r="L10" i="13"/>
  <c r="M10" i="13"/>
  <c r="N10" i="13"/>
  <c r="O10" i="13"/>
  <c r="P10" i="13"/>
  <c r="Q10" i="13"/>
  <c r="R10" i="13"/>
  <c r="S10" i="13"/>
  <c r="T10" i="13"/>
  <c r="U10" i="13"/>
  <c r="V10" i="13"/>
  <c r="W10" i="13"/>
  <c r="X10" i="13"/>
  <c r="Y10" i="13"/>
  <c r="Z10" i="13"/>
  <c r="AA10" i="13"/>
  <c r="AB10" i="13"/>
  <c r="AC10" i="13"/>
  <c r="AD10" i="13"/>
  <c r="AE10" i="13"/>
  <c r="AF10" i="13"/>
  <c r="AG10" i="13"/>
  <c r="AH10" i="13"/>
  <c r="AI10" i="13"/>
  <c r="AJ10" i="13"/>
  <c r="AK10" i="13"/>
  <c r="AL10" i="13"/>
  <c r="AM10" i="13"/>
  <c r="AN10" i="13"/>
  <c r="B11" i="13"/>
  <c r="C11" i="13"/>
  <c r="D11" i="13"/>
  <c r="E11" i="13"/>
  <c r="F11" i="13"/>
  <c r="G11" i="13"/>
  <c r="H11" i="13"/>
  <c r="I11" i="13"/>
  <c r="J11" i="13"/>
  <c r="K11" i="13"/>
  <c r="L11" i="13"/>
  <c r="M11" i="13"/>
  <c r="N11" i="13"/>
  <c r="O11" i="13"/>
  <c r="P11" i="13"/>
  <c r="Q11" i="13"/>
  <c r="R11" i="13"/>
  <c r="S11" i="13"/>
  <c r="T11" i="13"/>
  <c r="U11" i="13"/>
  <c r="V11" i="13"/>
  <c r="W11" i="13"/>
  <c r="X11" i="13"/>
  <c r="Y11" i="13"/>
  <c r="Z11" i="13"/>
  <c r="AA11" i="13"/>
  <c r="AB11" i="13"/>
  <c r="AC11" i="13"/>
  <c r="AD11" i="13"/>
  <c r="AE11" i="13"/>
  <c r="AF11" i="13"/>
  <c r="AG11" i="13"/>
  <c r="AH11" i="13"/>
  <c r="AI11" i="13"/>
  <c r="AJ11" i="13"/>
  <c r="AK11" i="13"/>
  <c r="AL11" i="13"/>
  <c r="AM11" i="13"/>
  <c r="AN11" i="13"/>
  <c r="C3" i="12"/>
  <c r="D3" i="12"/>
  <c r="C22" i="12"/>
  <c r="G25" i="11"/>
  <c r="G38" i="11"/>
  <c r="G26" i="11"/>
  <c r="G27" i="11"/>
  <c r="G37" i="11"/>
  <c r="G39" i="11"/>
  <c r="G40" i="11"/>
  <c r="G28" i="11"/>
  <c r="G30" i="11"/>
  <c r="G32" i="11"/>
  <c r="G33" i="11"/>
  <c r="C34" i="11"/>
  <c r="G34" i="11"/>
  <c r="G35" i="11"/>
  <c r="G36" i="11"/>
  <c r="C37" i="11"/>
  <c r="C56" i="11"/>
  <c r="G56" i="11"/>
  <c r="G64" i="11"/>
  <c r="C57" i="11"/>
  <c r="G57" i="11"/>
  <c r="C58" i="11"/>
  <c r="G58" i="11"/>
  <c r="C59" i="11"/>
  <c r="G59" i="11"/>
  <c r="G61" i="11"/>
  <c r="G62" i="11"/>
  <c r="C63" i="11"/>
  <c r="G63" i="11"/>
  <c r="B3" i="10"/>
  <c r="L5" i="10"/>
  <c r="D20" i="17"/>
  <c r="L6" i="10"/>
  <c r="L7" i="10"/>
  <c r="D21" i="17"/>
  <c r="P7" i="10"/>
  <c r="P11" i="10"/>
  <c r="B14" i="10"/>
  <c r="I14" i="10"/>
  <c r="I13" i="10"/>
  <c r="A15" i="10"/>
  <c r="B15" i="10"/>
  <c r="I15" i="10"/>
  <c r="P15" i="10"/>
  <c r="B16" i="10"/>
  <c r="P16" i="10"/>
  <c r="H341" i="9"/>
  <c r="B17" i="10"/>
  <c r="B18" i="10"/>
  <c r="L18" i="10"/>
  <c r="B19" i="10"/>
  <c r="B20" i="10"/>
  <c r="B21" i="10"/>
  <c r="P32" i="10"/>
  <c r="B22" i="10"/>
  <c r="B23" i="10"/>
  <c r="B24" i="10"/>
  <c r="P24" i="10"/>
  <c r="B25" i="10"/>
  <c r="P25" i="10"/>
  <c r="B26" i="10"/>
  <c r="P26" i="10"/>
  <c r="B27" i="10"/>
  <c r="P27" i="10"/>
  <c r="B28" i="10"/>
  <c r="P28" i="10"/>
  <c r="B29" i="10"/>
  <c r="P29" i="10"/>
  <c r="B30" i="10"/>
  <c r="B31" i="10"/>
  <c r="B32" i="10"/>
  <c r="B33" i="10"/>
  <c r="B34" i="10"/>
  <c r="B35" i="10"/>
  <c r="B36" i="10"/>
  <c r="O36" i="10"/>
  <c r="O37" i="10"/>
  <c r="O38" i="10"/>
  <c r="B37" i="10"/>
  <c r="B38" i="10"/>
  <c r="B39" i="10"/>
  <c r="B40" i="10"/>
  <c r="B41" i="10"/>
  <c r="B42" i="10"/>
  <c r="B43" i="10"/>
  <c r="B44" i="10"/>
  <c r="B45" i="10"/>
  <c r="B46" i="10"/>
  <c r="B47" i="10"/>
  <c r="B48" i="10"/>
  <c r="B49" i="10"/>
  <c r="B50" i="10"/>
  <c r="B51" i="10"/>
  <c r="B52" i="10"/>
  <c r="B53" i="10"/>
  <c r="B54" i="10"/>
  <c r="B55" i="10"/>
  <c r="B56" i="10"/>
  <c r="B57" i="10"/>
  <c r="B58" i="10"/>
  <c r="B59" i="10"/>
  <c r="B60" i="10"/>
  <c r="B61" i="10"/>
  <c r="B62" i="10"/>
  <c r="B63" i="10"/>
  <c r="B64" i="10"/>
  <c r="B65" i="10"/>
  <c r="B66" i="10"/>
  <c r="B67" i="10"/>
  <c r="B68" i="10"/>
  <c r="B69" i="10"/>
  <c r="B70" i="10"/>
  <c r="B71" i="10"/>
  <c r="B72" i="10"/>
  <c r="B73" i="10"/>
  <c r="B74" i="10"/>
  <c r="B75" i="10"/>
  <c r="B76" i="10"/>
  <c r="B77" i="10"/>
  <c r="B78" i="10"/>
  <c r="B79" i="10"/>
  <c r="B80" i="10"/>
  <c r="B81" i="10"/>
  <c r="B82" i="10"/>
  <c r="B83" i="10"/>
  <c r="B84" i="10"/>
  <c r="B85" i="10"/>
  <c r="B86" i="10"/>
  <c r="B87" i="10"/>
  <c r="B88" i="10"/>
  <c r="B89" i="10"/>
  <c r="B90" i="10"/>
  <c r="B91" i="10"/>
  <c r="B92" i="10"/>
  <c r="B93" i="10"/>
  <c r="B94" i="10"/>
  <c r="B95" i="10"/>
  <c r="B96" i="10"/>
  <c r="B97" i="10"/>
  <c r="B98" i="10"/>
  <c r="B99" i="10"/>
  <c r="B100" i="10"/>
  <c r="B101" i="10"/>
  <c r="B102" i="10"/>
  <c r="B103" i="10"/>
  <c r="B104" i="10"/>
  <c r="B105" i="10"/>
  <c r="B106" i="10"/>
  <c r="B107" i="10"/>
  <c r="B108" i="10"/>
  <c r="B109" i="10"/>
  <c r="B110" i="10"/>
  <c r="B111" i="10"/>
  <c r="B112" i="10"/>
  <c r="B113" i="10"/>
  <c r="B114" i="10"/>
  <c r="B115" i="10"/>
  <c r="B116" i="10"/>
  <c r="B117" i="10"/>
  <c r="B118" i="10"/>
  <c r="B119" i="10"/>
  <c r="B120" i="10"/>
  <c r="B121" i="10"/>
  <c r="B122" i="10"/>
  <c r="B123" i="10"/>
  <c r="B124" i="10"/>
  <c r="B125" i="10"/>
  <c r="B126" i="10"/>
  <c r="B127" i="10"/>
  <c r="B128" i="10"/>
  <c r="B129" i="10"/>
  <c r="B130" i="10"/>
  <c r="B131" i="10"/>
  <c r="B132" i="10"/>
  <c r="B133" i="10"/>
  <c r="B134" i="10"/>
  <c r="B135" i="10"/>
  <c r="B136" i="10"/>
  <c r="B137" i="10"/>
  <c r="B138" i="10"/>
  <c r="B139" i="10"/>
  <c r="B140" i="10"/>
  <c r="B141" i="10"/>
  <c r="B142" i="10"/>
  <c r="B143" i="10"/>
  <c r="B144" i="10"/>
  <c r="B145" i="10"/>
  <c r="B146" i="10"/>
  <c r="B147" i="10"/>
  <c r="B148" i="10"/>
  <c r="B149" i="10"/>
  <c r="B150" i="10"/>
  <c r="B151" i="10"/>
  <c r="B152" i="10"/>
  <c r="B153" i="10"/>
  <c r="B154" i="10"/>
  <c r="B155" i="10"/>
  <c r="B156" i="10"/>
  <c r="B157" i="10"/>
  <c r="B158" i="10"/>
  <c r="B159" i="10"/>
  <c r="B160" i="10"/>
  <c r="B161" i="10"/>
  <c r="B162" i="10"/>
  <c r="B163" i="10"/>
  <c r="B164" i="10"/>
  <c r="B165" i="10"/>
  <c r="B166" i="10"/>
  <c r="B167" i="10"/>
  <c r="B168" i="10"/>
  <c r="B169" i="10"/>
  <c r="B170" i="10"/>
  <c r="B171" i="10"/>
  <c r="B172" i="10"/>
  <c r="B173" i="10"/>
  <c r="B174" i="10"/>
  <c r="B175" i="10"/>
  <c r="B176" i="10"/>
  <c r="B177" i="10"/>
  <c r="B178" i="10"/>
  <c r="B179" i="10"/>
  <c r="B180" i="10"/>
  <c r="B181" i="10"/>
  <c r="B182" i="10"/>
  <c r="B183" i="10"/>
  <c r="B184" i="10"/>
  <c r="B185" i="10"/>
  <c r="B186" i="10"/>
  <c r="B187" i="10"/>
  <c r="B188" i="10"/>
  <c r="B189" i="10"/>
  <c r="B190" i="10"/>
  <c r="B191" i="10"/>
  <c r="B192" i="10"/>
  <c r="B193" i="10"/>
  <c r="B194" i="10"/>
  <c r="B195" i="10"/>
  <c r="B196" i="10"/>
  <c r="B197" i="10"/>
  <c r="B198" i="10"/>
  <c r="B199" i="10"/>
  <c r="B200" i="10"/>
  <c r="B201" i="10"/>
  <c r="B202" i="10"/>
  <c r="B203" i="10"/>
  <c r="B204" i="10"/>
  <c r="B205" i="10"/>
  <c r="B206" i="10"/>
  <c r="B207" i="10"/>
  <c r="B208" i="10"/>
  <c r="B209" i="10"/>
  <c r="B210" i="10"/>
  <c r="B211" i="10"/>
  <c r="B212" i="10"/>
  <c r="B213" i="10"/>
  <c r="B214" i="10"/>
  <c r="B215" i="10"/>
  <c r="B216" i="10"/>
  <c r="B217" i="10"/>
  <c r="B218" i="10"/>
  <c r="B219" i="10"/>
  <c r="B220" i="10"/>
  <c r="B221" i="10"/>
  <c r="B222" i="10"/>
  <c r="B223" i="10"/>
  <c r="B224" i="10"/>
  <c r="B225" i="10"/>
  <c r="B226" i="10"/>
  <c r="B227" i="10"/>
  <c r="B228" i="10"/>
  <c r="B229" i="10"/>
  <c r="B230" i="10"/>
  <c r="B231" i="10"/>
  <c r="B232" i="10"/>
  <c r="B233" i="10"/>
  <c r="B234" i="10"/>
  <c r="B235" i="10"/>
  <c r="B236" i="10"/>
  <c r="B237" i="10"/>
  <c r="B238" i="10"/>
  <c r="B239" i="10"/>
  <c r="B240" i="10"/>
  <c r="B241" i="10"/>
  <c r="B242" i="10"/>
  <c r="B243" i="10"/>
  <c r="B244" i="10"/>
  <c r="B245" i="10"/>
  <c r="B246" i="10"/>
  <c r="B247" i="10"/>
  <c r="B248" i="10"/>
  <c r="B249" i="10"/>
  <c r="B250" i="10"/>
  <c r="B251" i="10"/>
  <c r="B252" i="10"/>
  <c r="B253" i="10"/>
  <c r="B254" i="10"/>
  <c r="B255" i="10"/>
  <c r="B256" i="10"/>
  <c r="B257" i="10"/>
  <c r="B258" i="10"/>
  <c r="B259" i="10"/>
  <c r="B260" i="10"/>
  <c r="B261" i="10"/>
  <c r="B262" i="10"/>
  <c r="B263" i="10"/>
  <c r="B264" i="10"/>
  <c r="B265" i="10"/>
  <c r="B266" i="10"/>
  <c r="B267" i="10"/>
  <c r="B268" i="10"/>
  <c r="B269" i="10"/>
  <c r="B270" i="10"/>
  <c r="B271" i="10"/>
  <c r="B272" i="10"/>
  <c r="B273" i="10"/>
  <c r="B274" i="10"/>
  <c r="B275" i="10"/>
  <c r="B276" i="10"/>
  <c r="B277" i="10"/>
  <c r="B278" i="10"/>
  <c r="B279" i="10"/>
  <c r="B280" i="10"/>
  <c r="B281" i="10"/>
  <c r="B282" i="10"/>
  <c r="B283" i="10"/>
  <c r="B284" i="10"/>
  <c r="B285" i="10"/>
  <c r="B286" i="10"/>
  <c r="B287" i="10"/>
  <c r="B288" i="10"/>
  <c r="B289" i="10"/>
  <c r="B290" i="10"/>
  <c r="B291" i="10"/>
  <c r="B292" i="10"/>
  <c r="B293" i="10"/>
  <c r="B294" i="10"/>
  <c r="B295" i="10"/>
  <c r="B296" i="10"/>
  <c r="B297" i="10"/>
  <c r="B298" i="10"/>
  <c r="B299" i="10"/>
  <c r="B300" i="10"/>
  <c r="B301" i="10"/>
  <c r="B302" i="10"/>
  <c r="B303" i="10"/>
  <c r="B304" i="10"/>
  <c r="B305" i="10"/>
  <c r="B306" i="10"/>
  <c r="B307" i="10"/>
  <c r="B308" i="10"/>
  <c r="B309" i="10"/>
  <c r="B310" i="10"/>
  <c r="B311" i="10"/>
  <c r="B312" i="10"/>
  <c r="B313" i="10"/>
  <c r="B314" i="10"/>
  <c r="B315" i="10"/>
  <c r="B316" i="10"/>
  <c r="B317" i="10"/>
  <c r="B318" i="10"/>
  <c r="B319" i="10"/>
  <c r="B320" i="10"/>
  <c r="B321" i="10"/>
  <c r="B322" i="10"/>
  <c r="B323" i="10"/>
  <c r="B324" i="10"/>
  <c r="B325" i="10"/>
  <c r="B326" i="10"/>
  <c r="B327" i="10"/>
  <c r="B328" i="10"/>
  <c r="B329" i="10"/>
  <c r="B330" i="10"/>
  <c r="B331" i="10"/>
  <c r="B332" i="10"/>
  <c r="B333" i="10"/>
  <c r="B334" i="10"/>
  <c r="B335" i="10"/>
  <c r="B336" i="10"/>
  <c r="B337" i="10"/>
  <c r="B338" i="10"/>
  <c r="B339" i="10"/>
  <c r="B340" i="10"/>
  <c r="B341" i="10"/>
  <c r="B342" i="10"/>
  <c r="B343" i="10"/>
  <c r="B344" i="10"/>
  <c r="B345" i="10"/>
  <c r="B346" i="10"/>
  <c r="B347" i="10"/>
  <c r="B348" i="10"/>
  <c r="B349" i="10"/>
  <c r="B350" i="10"/>
  <c r="B351" i="10"/>
  <c r="B352" i="10"/>
  <c r="B353" i="10"/>
  <c r="B354" i="10"/>
  <c r="B355" i="10"/>
  <c r="B356" i="10"/>
  <c r="B357" i="10"/>
  <c r="B358" i="10"/>
  <c r="B359" i="10"/>
  <c r="B360" i="10"/>
  <c r="B361" i="10"/>
  <c r="B362" i="10"/>
  <c r="B363" i="10"/>
  <c r="B364" i="10"/>
  <c r="B365" i="10"/>
  <c r="B366" i="10"/>
  <c r="B367" i="10"/>
  <c r="B368" i="10"/>
  <c r="B369" i="10"/>
  <c r="B370" i="10"/>
  <c r="B371" i="10"/>
  <c r="B372" i="10"/>
  <c r="B373" i="10"/>
  <c r="B374" i="10"/>
  <c r="B375" i="10"/>
  <c r="B376" i="10"/>
  <c r="B377" i="10"/>
  <c r="B378" i="10"/>
  <c r="B379" i="10"/>
  <c r="B380" i="10"/>
  <c r="B381" i="10"/>
  <c r="B382" i="10"/>
  <c r="B383" i="10"/>
  <c r="B384" i="10"/>
  <c r="B385" i="10"/>
  <c r="B386" i="10"/>
  <c r="B387" i="10"/>
  <c r="B388" i="10"/>
  <c r="B389" i="10"/>
  <c r="B390" i="10"/>
  <c r="B391" i="10"/>
  <c r="B392" i="10"/>
  <c r="B393" i="10"/>
  <c r="B394" i="10"/>
  <c r="B395" i="10"/>
  <c r="B396" i="10"/>
  <c r="B397" i="10"/>
  <c r="B398" i="10"/>
  <c r="B399" i="10"/>
  <c r="B400" i="10"/>
  <c r="B401" i="10"/>
  <c r="B402" i="10"/>
  <c r="B403" i="10"/>
  <c r="B404" i="10"/>
  <c r="B405" i="10"/>
  <c r="B406" i="10"/>
  <c r="B407" i="10"/>
  <c r="B408" i="10"/>
  <c r="B409" i="10"/>
  <c r="B410" i="10"/>
  <c r="B411" i="10"/>
  <c r="B412" i="10"/>
  <c r="B413" i="10"/>
  <c r="B414" i="10"/>
  <c r="B415" i="10"/>
  <c r="B416" i="10"/>
  <c r="B417" i="10"/>
  <c r="B418" i="10"/>
  <c r="B419" i="10"/>
  <c r="B420" i="10"/>
  <c r="B421" i="10"/>
  <c r="B422" i="10"/>
  <c r="B423" i="10"/>
  <c r="B424" i="10"/>
  <c r="B425" i="10"/>
  <c r="B426" i="10"/>
  <c r="B427" i="10"/>
  <c r="B428" i="10"/>
  <c r="B429" i="10"/>
  <c r="B430" i="10"/>
  <c r="B431" i="10"/>
  <c r="B432" i="10"/>
  <c r="B433" i="10"/>
  <c r="B434" i="10"/>
  <c r="B435" i="10"/>
  <c r="B436" i="10"/>
  <c r="B437" i="10"/>
  <c r="B438" i="10"/>
  <c r="B439" i="10"/>
  <c r="B440" i="10"/>
  <c r="B441" i="10"/>
  <c r="B442" i="10"/>
  <c r="B443" i="10"/>
  <c r="B444" i="10"/>
  <c r="B445" i="10"/>
  <c r="B446" i="10"/>
  <c r="B447" i="10"/>
  <c r="B448" i="10"/>
  <c r="B449" i="10"/>
  <c r="B450" i="10"/>
  <c r="B451" i="10"/>
  <c r="B452" i="10"/>
  <c r="B453" i="10"/>
  <c r="B454" i="10"/>
  <c r="B455" i="10"/>
  <c r="B456" i="10"/>
  <c r="B457" i="10"/>
  <c r="B458" i="10"/>
  <c r="B459" i="10"/>
  <c r="B460" i="10"/>
  <c r="B461" i="10"/>
  <c r="B462" i="10"/>
  <c r="B463" i="10"/>
  <c r="B464" i="10"/>
  <c r="B465" i="10"/>
  <c r="B466" i="10"/>
  <c r="B467" i="10"/>
  <c r="B468" i="10"/>
  <c r="B469" i="10"/>
  <c r="B470" i="10"/>
  <c r="B471" i="10"/>
  <c r="B472" i="10"/>
  <c r="B473" i="10"/>
  <c r="B474" i="10"/>
  <c r="B475" i="10"/>
  <c r="B476" i="10"/>
  <c r="B477" i="10"/>
  <c r="B478" i="10"/>
  <c r="B479" i="10"/>
  <c r="B480" i="10"/>
  <c r="B481" i="10"/>
  <c r="B482" i="10"/>
  <c r="B483" i="10"/>
  <c r="B484" i="10"/>
  <c r="B485" i="10"/>
  <c r="B486" i="10"/>
  <c r="B487" i="10"/>
  <c r="B488" i="10"/>
  <c r="B489" i="10"/>
  <c r="B490" i="10"/>
  <c r="B491" i="10"/>
  <c r="B492" i="10"/>
  <c r="B493" i="10"/>
  <c r="B494" i="10"/>
  <c r="B495" i="10"/>
  <c r="B496" i="10"/>
  <c r="B497" i="10"/>
  <c r="B498" i="10"/>
  <c r="B499" i="10"/>
  <c r="B500" i="10"/>
  <c r="B501" i="10"/>
  <c r="B502" i="10"/>
  <c r="B503" i="10"/>
  <c r="B504" i="10"/>
  <c r="B505" i="10"/>
  <c r="B506" i="10"/>
  <c r="B507" i="10"/>
  <c r="B508" i="10"/>
  <c r="B509" i="10"/>
  <c r="B510" i="10"/>
  <c r="B511" i="10"/>
  <c r="B512" i="10"/>
  <c r="B513" i="10"/>
  <c r="B514" i="10"/>
  <c r="B515" i="10"/>
  <c r="B516" i="10"/>
  <c r="B517" i="10"/>
  <c r="B518" i="10"/>
  <c r="B519" i="10"/>
  <c r="B520" i="10"/>
  <c r="B521" i="10"/>
  <c r="B522" i="10"/>
  <c r="B523" i="10"/>
  <c r="B524" i="10"/>
  <c r="B525" i="10"/>
  <c r="B526" i="10"/>
  <c r="B527" i="10"/>
  <c r="B528" i="10"/>
  <c r="B529" i="10"/>
  <c r="B530" i="10"/>
  <c r="B531" i="10"/>
  <c r="B532" i="10"/>
  <c r="B533" i="10"/>
  <c r="B534" i="10"/>
  <c r="B535" i="10"/>
  <c r="B536" i="10"/>
  <c r="B537" i="10"/>
  <c r="B538" i="10"/>
  <c r="B539" i="10"/>
  <c r="B540" i="10"/>
  <c r="B541" i="10"/>
  <c r="B542" i="10"/>
  <c r="B543" i="10"/>
  <c r="B544" i="10"/>
  <c r="B545" i="10"/>
  <c r="B546" i="10"/>
  <c r="B547" i="10"/>
  <c r="B548" i="10"/>
  <c r="B549" i="10"/>
  <c r="B550" i="10"/>
  <c r="B551" i="10"/>
  <c r="B552" i="10"/>
  <c r="B553" i="10"/>
  <c r="B554" i="10"/>
  <c r="B555" i="10"/>
  <c r="B556" i="10"/>
  <c r="B557" i="10"/>
  <c r="B558" i="10"/>
  <c r="B559" i="10"/>
  <c r="B560" i="10"/>
  <c r="B561" i="10"/>
  <c r="B562" i="10"/>
  <c r="B563" i="10"/>
  <c r="B564" i="10"/>
  <c r="B565" i="10"/>
  <c r="B566" i="10"/>
  <c r="B567" i="10"/>
  <c r="B568" i="10"/>
  <c r="B569" i="10"/>
  <c r="B570" i="10"/>
  <c r="B571" i="10"/>
  <c r="B572" i="10"/>
  <c r="B573" i="10"/>
  <c r="B574" i="10"/>
  <c r="B575" i="10"/>
  <c r="B576" i="10"/>
  <c r="B577" i="10"/>
  <c r="B578" i="10"/>
  <c r="B579" i="10"/>
  <c r="B580" i="10"/>
  <c r="B581" i="10"/>
  <c r="B582" i="10"/>
  <c r="B583" i="10"/>
  <c r="B584" i="10"/>
  <c r="B585" i="10"/>
  <c r="B586" i="10"/>
  <c r="B587" i="10"/>
  <c r="B588" i="10"/>
  <c r="B589" i="10"/>
  <c r="B590" i="10"/>
  <c r="B591" i="10"/>
  <c r="B592" i="10"/>
  <c r="B593" i="10"/>
  <c r="B594" i="10"/>
  <c r="B595" i="10"/>
  <c r="B596" i="10"/>
  <c r="B597" i="10"/>
  <c r="B598" i="10"/>
  <c r="B599" i="10"/>
  <c r="B600" i="10"/>
  <c r="B601" i="10"/>
  <c r="B602" i="10"/>
  <c r="B603" i="10"/>
  <c r="B604" i="10"/>
  <c r="B605" i="10"/>
  <c r="B606" i="10"/>
  <c r="B607" i="10"/>
  <c r="B608" i="10"/>
  <c r="B609" i="10"/>
  <c r="B610" i="10"/>
  <c r="B611" i="10"/>
  <c r="B612" i="10"/>
  <c r="B613" i="10"/>
  <c r="B614" i="10"/>
  <c r="B615" i="10"/>
  <c r="B616" i="10"/>
  <c r="B617" i="10"/>
  <c r="B618" i="10"/>
  <c r="B619" i="10"/>
  <c r="B620" i="10"/>
  <c r="B621" i="10"/>
  <c r="B622" i="10"/>
  <c r="B623" i="10"/>
  <c r="B624" i="10"/>
  <c r="B625" i="10"/>
  <c r="B626" i="10"/>
  <c r="B627" i="10"/>
  <c r="B628" i="10"/>
  <c r="B629" i="10"/>
  <c r="B630" i="10"/>
  <c r="B631" i="10"/>
  <c r="B632" i="10"/>
  <c r="B633" i="10"/>
  <c r="B634" i="10"/>
  <c r="B635" i="10"/>
  <c r="B636" i="10"/>
  <c r="B637" i="10"/>
  <c r="B638" i="10"/>
  <c r="B639" i="10"/>
  <c r="B640" i="10"/>
  <c r="B641" i="10"/>
  <c r="B642" i="10"/>
  <c r="B643" i="10"/>
  <c r="B644" i="10"/>
  <c r="B645" i="10"/>
  <c r="B646" i="10"/>
  <c r="B647" i="10"/>
  <c r="B648" i="10"/>
  <c r="B649" i="10"/>
  <c r="B650" i="10"/>
  <c r="B651" i="10"/>
  <c r="B652" i="10"/>
  <c r="B653" i="10"/>
  <c r="B654" i="10"/>
  <c r="B655" i="10"/>
  <c r="B656" i="10"/>
  <c r="B657" i="10"/>
  <c r="B658" i="10"/>
  <c r="B659" i="10"/>
  <c r="B660" i="10"/>
  <c r="B661" i="10"/>
  <c r="B662" i="10"/>
  <c r="B663" i="10"/>
  <c r="B664" i="10"/>
  <c r="B665" i="10"/>
  <c r="B666" i="10"/>
  <c r="B667" i="10"/>
  <c r="B668" i="10"/>
  <c r="B669" i="10"/>
  <c r="B670" i="10"/>
  <c r="B671" i="10"/>
  <c r="B672" i="10"/>
  <c r="B673" i="10"/>
  <c r="B674" i="10"/>
  <c r="B675" i="10"/>
  <c r="B676" i="10"/>
  <c r="B677" i="10"/>
  <c r="B678" i="10"/>
  <c r="B679" i="10"/>
  <c r="B680" i="10"/>
  <c r="B681" i="10"/>
  <c r="B682" i="10"/>
  <c r="B683" i="10"/>
  <c r="B684" i="10"/>
  <c r="B685" i="10"/>
  <c r="B686" i="10"/>
  <c r="B687" i="10"/>
  <c r="B688" i="10"/>
  <c r="B689" i="10"/>
  <c r="B690" i="10"/>
  <c r="B691" i="10"/>
  <c r="B692" i="10"/>
  <c r="B693" i="10"/>
  <c r="B694" i="10"/>
  <c r="B695" i="10"/>
  <c r="B696" i="10"/>
  <c r="B697" i="10"/>
  <c r="B698" i="10"/>
  <c r="B699" i="10"/>
  <c r="B700" i="10"/>
  <c r="B701" i="10"/>
  <c r="B702" i="10"/>
  <c r="B703" i="10"/>
  <c r="B704" i="10"/>
  <c r="B705" i="10"/>
  <c r="B706" i="10"/>
  <c r="B707" i="10"/>
  <c r="B708" i="10"/>
  <c r="B709" i="10"/>
  <c r="B710" i="10"/>
  <c r="B711" i="10"/>
  <c r="B712" i="10"/>
  <c r="B713" i="10"/>
  <c r="B714" i="10"/>
  <c r="B715" i="10"/>
  <c r="B716" i="10"/>
  <c r="B717" i="10"/>
  <c r="B718" i="10"/>
  <c r="B719" i="10"/>
  <c r="B720" i="10"/>
  <c r="B721" i="10"/>
  <c r="B722" i="10"/>
  <c r="B723" i="10"/>
  <c r="B724" i="10"/>
  <c r="B725" i="10"/>
  <c r="B726" i="10"/>
  <c r="B727" i="10"/>
  <c r="B728" i="10"/>
  <c r="B729" i="10"/>
  <c r="B730" i="10"/>
  <c r="B731" i="10"/>
  <c r="B732" i="10"/>
  <c r="B733" i="10"/>
  <c r="B734" i="10"/>
  <c r="B735" i="10"/>
  <c r="B736" i="10"/>
  <c r="B737" i="10"/>
  <c r="B738" i="10"/>
  <c r="B739" i="10"/>
  <c r="B740" i="10"/>
  <c r="B741" i="10"/>
  <c r="B742" i="10"/>
  <c r="B743" i="10"/>
  <c r="B744" i="10"/>
  <c r="B745" i="10"/>
  <c r="B746" i="10"/>
  <c r="B747" i="10"/>
  <c r="B748" i="10"/>
  <c r="B749" i="10"/>
  <c r="B750" i="10"/>
  <c r="B751" i="10"/>
  <c r="B752" i="10"/>
  <c r="B753" i="10"/>
  <c r="B754" i="10"/>
  <c r="B755" i="10"/>
  <c r="B756" i="10"/>
  <c r="B757" i="10"/>
  <c r="B758" i="10"/>
  <c r="B759" i="10"/>
  <c r="B760" i="10"/>
  <c r="B761" i="10"/>
  <c r="B762" i="10"/>
  <c r="B763" i="10"/>
  <c r="B764" i="10"/>
  <c r="B765" i="10"/>
  <c r="B766" i="10"/>
  <c r="B767" i="10"/>
  <c r="B768" i="10"/>
  <c r="B769" i="10"/>
  <c r="B770" i="10"/>
  <c r="B771" i="10"/>
  <c r="B772" i="10"/>
  <c r="B773" i="10"/>
  <c r="B774" i="10"/>
  <c r="B775" i="10"/>
  <c r="B776" i="10"/>
  <c r="B777" i="10"/>
  <c r="B778" i="10"/>
  <c r="B779" i="10"/>
  <c r="B780" i="10"/>
  <c r="B781" i="10"/>
  <c r="B782" i="10"/>
  <c r="B783" i="10"/>
  <c r="B784" i="10"/>
  <c r="B785" i="10"/>
  <c r="B786" i="10"/>
  <c r="B787" i="10"/>
  <c r="B788" i="10"/>
  <c r="B789" i="10"/>
  <c r="B790" i="10"/>
  <c r="B791" i="10"/>
  <c r="B792" i="10"/>
  <c r="B793" i="10"/>
  <c r="B794" i="10"/>
  <c r="B795" i="10"/>
  <c r="B796" i="10"/>
  <c r="B797" i="10"/>
  <c r="B798" i="10"/>
  <c r="B799" i="10"/>
  <c r="B800" i="10"/>
  <c r="B801" i="10"/>
  <c r="B802" i="10"/>
  <c r="B803" i="10"/>
  <c r="B804" i="10"/>
  <c r="B805" i="10"/>
  <c r="B806" i="10"/>
  <c r="B807" i="10"/>
  <c r="B808" i="10"/>
  <c r="B809" i="10"/>
  <c r="B810" i="10"/>
  <c r="B811" i="10"/>
  <c r="B812" i="10"/>
  <c r="B813" i="10"/>
  <c r="B814" i="10"/>
  <c r="B815" i="10"/>
  <c r="B816" i="10"/>
  <c r="B817" i="10"/>
  <c r="B818" i="10"/>
  <c r="B819" i="10"/>
  <c r="B820" i="10"/>
  <c r="B821" i="10"/>
  <c r="B822" i="10"/>
  <c r="B823" i="10"/>
  <c r="B824" i="10"/>
  <c r="B825" i="10"/>
  <c r="B826" i="10"/>
  <c r="B827" i="10"/>
  <c r="B828" i="10"/>
  <c r="B829" i="10"/>
  <c r="B830" i="10"/>
  <c r="B831" i="10"/>
  <c r="B832" i="10"/>
  <c r="B833" i="10"/>
  <c r="B834" i="10"/>
  <c r="B835" i="10"/>
  <c r="B836" i="10"/>
  <c r="B837" i="10"/>
  <c r="B838" i="10"/>
  <c r="B839" i="10"/>
  <c r="B840" i="10"/>
  <c r="B841" i="10"/>
  <c r="B842" i="10"/>
  <c r="B843" i="10"/>
  <c r="B844" i="10"/>
  <c r="B845" i="10"/>
  <c r="B846" i="10"/>
  <c r="B847" i="10"/>
  <c r="B848" i="10"/>
  <c r="B849" i="10"/>
  <c r="B850" i="10"/>
  <c r="B851" i="10"/>
  <c r="B852" i="10"/>
  <c r="B853" i="10"/>
  <c r="B854" i="10"/>
  <c r="B855" i="10"/>
  <c r="B856" i="10"/>
  <c r="B857" i="10"/>
  <c r="B858" i="10"/>
  <c r="B859" i="10"/>
  <c r="B860" i="10"/>
  <c r="B861" i="10"/>
  <c r="B862" i="10"/>
  <c r="B863" i="10"/>
  <c r="B864" i="10"/>
  <c r="B865" i="10"/>
  <c r="B866" i="10"/>
  <c r="B867" i="10"/>
  <c r="B868" i="10"/>
  <c r="B869" i="10"/>
  <c r="B870" i="10"/>
  <c r="B871" i="10"/>
  <c r="B872" i="10"/>
  <c r="B873" i="10"/>
  <c r="B874" i="10"/>
  <c r="B875" i="10"/>
  <c r="B876" i="10"/>
  <c r="B877" i="10"/>
  <c r="B878" i="10"/>
  <c r="B879" i="10"/>
  <c r="B880" i="10"/>
  <c r="B881" i="10"/>
  <c r="B882" i="10"/>
  <c r="B883" i="10"/>
  <c r="B884" i="10"/>
  <c r="B885" i="10"/>
  <c r="B886" i="10"/>
  <c r="B887" i="10"/>
  <c r="B888" i="10"/>
  <c r="B889" i="10"/>
  <c r="B890" i="10"/>
  <c r="B891" i="10"/>
  <c r="B892" i="10"/>
  <c r="B893" i="10"/>
  <c r="B894" i="10"/>
  <c r="B895" i="10"/>
  <c r="B896" i="10"/>
  <c r="B897" i="10"/>
  <c r="B898" i="10"/>
  <c r="B899" i="10"/>
  <c r="B900" i="10"/>
  <c r="B901" i="10"/>
  <c r="B902" i="10"/>
  <c r="B903" i="10"/>
  <c r="B904" i="10"/>
  <c r="B905" i="10"/>
  <c r="B906" i="10"/>
  <c r="B907" i="10"/>
  <c r="B908" i="10"/>
  <c r="B909" i="10"/>
  <c r="B910" i="10"/>
  <c r="B911" i="10"/>
  <c r="B912" i="10"/>
  <c r="B913" i="10"/>
  <c r="B914" i="10"/>
  <c r="B915" i="10"/>
  <c r="B916" i="10"/>
  <c r="B917" i="10"/>
  <c r="B918" i="10"/>
  <c r="B919" i="10"/>
  <c r="B920" i="10"/>
  <c r="B921" i="10"/>
  <c r="B922" i="10"/>
  <c r="B923" i="10"/>
  <c r="B924" i="10"/>
  <c r="B925" i="10"/>
  <c r="B926" i="10"/>
  <c r="B927" i="10"/>
  <c r="B928" i="10"/>
  <c r="B929" i="10"/>
  <c r="B930" i="10"/>
  <c r="B931" i="10"/>
  <c r="B932" i="10"/>
  <c r="B933" i="10"/>
  <c r="B934" i="10"/>
  <c r="B935" i="10"/>
  <c r="B936" i="10"/>
  <c r="B937" i="10"/>
  <c r="B938" i="10"/>
  <c r="B939" i="10"/>
  <c r="B940" i="10"/>
  <c r="B941" i="10"/>
  <c r="B942" i="10"/>
  <c r="B943" i="10"/>
  <c r="B944" i="10"/>
  <c r="B945" i="10"/>
  <c r="B946" i="10"/>
  <c r="B947" i="10"/>
  <c r="B948" i="10"/>
  <c r="B949" i="10"/>
  <c r="B950" i="10"/>
  <c r="B951" i="10"/>
  <c r="B952" i="10"/>
  <c r="B953" i="10"/>
  <c r="B954" i="10"/>
  <c r="B955" i="10"/>
  <c r="B956" i="10"/>
  <c r="B957" i="10"/>
  <c r="B958" i="10"/>
  <c r="B959" i="10"/>
  <c r="B960" i="10"/>
  <c r="B961" i="10"/>
  <c r="B962" i="10"/>
  <c r="B963" i="10"/>
  <c r="B964" i="10"/>
  <c r="B965" i="10"/>
  <c r="B966" i="10"/>
  <c r="B967" i="10"/>
  <c r="B968" i="10"/>
  <c r="B969" i="10"/>
  <c r="B970" i="10"/>
  <c r="B971" i="10"/>
  <c r="B972" i="10"/>
  <c r="B973" i="10"/>
  <c r="B974" i="10"/>
  <c r="B975" i="10"/>
  <c r="B976" i="10"/>
  <c r="B977" i="10"/>
  <c r="B978" i="10"/>
  <c r="B979" i="10"/>
  <c r="B980" i="10"/>
  <c r="B981" i="10"/>
  <c r="B982" i="10"/>
  <c r="B983" i="10"/>
  <c r="B984" i="10"/>
  <c r="B985" i="10"/>
  <c r="B986" i="10"/>
  <c r="B987" i="10"/>
  <c r="B988" i="10"/>
  <c r="B989" i="10"/>
  <c r="B990" i="10"/>
  <c r="B991" i="10"/>
  <c r="B992" i="10"/>
  <c r="B993" i="10"/>
  <c r="B994" i="10"/>
  <c r="B995" i="10"/>
  <c r="B996" i="10"/>
  <c r="B997" i="10"/>
  <c r="B998" i="10"/>
  <c r="B999" i="10"/>
  <c r="B1000" i="10"/>
  <c r="B1001" i="10"/>
  <c r="B1002" i="10"/>
  <c r="B1003" i="10"/>
  <c r="B1004" i="10"/>
  <c r="B1005" i="10"/>
  <c r="B1006" i="10"/>
  <c r="B1007" i="10"/>
  <c r="B1008" i="10"/>
  <c r="B1009" i="10"/>
  <c r="B1010" i="10"/>
  <c r="B1011" i="10"/>
  <c r="B1012" i="10"/>
  <c r="B1013" i="10"/>
  <c r="B1014" i="10"/>
  <c r="B1015" i="10"/>
  <c r="B1016" i="10"/>
  <c r="B1017" i="10"/>
  <c r="B1018" i="10"/>
  <c r="B1019" i="10"/>
  <c r="B1020" i="10"/>
  <c r="B1021" i="10"/>
  <c r="B1022" i="10"/>
  <c r="B1023" i="10"/>
  <c r="B1024" i="10"/>
  <c r="B1025" i="10"/>
  <c r="B1026" i="10"/>
  <c r="B1027" i="10"/>
  <c r="B1028" i="10"/>
  <c r="B1029" i="10"/>
  <c r="B1030" i="10"/>
  <c r="B1031" i="10"/>
  <c r="B1032" i="10"/>
  <c r="B1033" i="10"/>
  <c r="B1034" i="10"/>
  <c r="B1035" i="10"/>
  <c r="B1036" i="10"/>
  <c r="B1037" i="10"/>
  <c r="B1038" i="10"/>
  <c r="B1039" i="10"/>
  <c r="B1040" i="10"/>
  <c r="B1041" i="10"/>
  <c r="B1042" i="10"/>
  <c r="B1043" i="10"/>
  <c r="B1044" i="10"/>
  <c r="B1045" i="10"/>
  <c r="B1046" i="10"/>
  <c r="B1047" i="10"/>
  <c r="B1048" i="10"/>
  <c r="B1049" i="10"/>
  <c r="B1050" i="10"/>
  <c r="B1051" i="10"/>
  <c r="B1052" i="10"/>
  <c r="B1053" i="10"/>
  <c r="B1054" i="10"/>
  <c r="B1055" i="10"/>
  <c r="B1056" i="10"/>
  <c r="B1057" i="10"/>
  <c r="B1058" i="10"/>
  <c r="B1059" i="10"/>
  <c r="B1060" i="10"/>
  <c r="B1061" i="10"/>
  <c r="B1062" i="10"/>
  <c r="B1063" i="10"/>
  <c r="B1064" i="10"/>
  <c r="B1065" i="10"/>
  <c r="B1066" i="10"/>
  <c r="B1067" i="10"/>
  <c r="B1068" i="10"/>
  <c r="B1069" i="10"/>
  <c r="B1070" i="10"/>
  <c r="B1071" i="10"/>
  <c r="B1072" i="10"/>
  <c r="B1073" i="10"/>
  <c r="B1074" i="10"/>
  <c r="B1075" i="10"/>
  <c r="B1076" i="10"/>
  <c r="B1077" i="10"/>
  <c r="B1078" i="10"/>
  <c r="B1079" i="10"/>
  <c r="B1080" i="10"/>
  <c r="B1081" i="10"/>
  <c r="B1082" i="10"/>
  <c r="B1083" i="10"/>
  <c r="B1084" i="10"/>
  <c r="B1085" i="10"/>
  <c r="B1086" i="10"/>
  <c r="B1087" i="10"/>
  <c r="B1088" i="10"/>
  <c r="B1089" i="10"/>
  <c r="B1090" i="10"/>
  <c r="B1091" i="10"/>
  <c r="B1092" i="10"/>
  <c r="B1093" i="10"/>
  <c r="B1094" i="10"/>
  <c r="B1095" i="10"/>
  <c r="B1096" i="10"/>
  <c r="B1097" i="10"/>
  <c r="B1098" i="10"/>
  <c r="B1099" i="10"/>
  <c r="B1100" i="10"/>
  <c r="B1101" i="10"/>
  <c r="B1102" i="10"/>
  <c r="B1103" i="10"/>
  <c r="B1104" i="10"/>
  <c r="B1105" i="10"/>
  <c r="B1106" i="10"/>
  <c r="B1107" i="10"/>
  <c r="B1108" i="10"/>
  <c r="B1109" i="10"/>
  <c r="B1110" i="10"/>
  <c r="B1111" i="10"/>
  <c r="B1112" i="10"/>
  <c r="B1113" i="10"/>
  <c r="B1114" i="10"/>
  <c r="B1115" i="10"/>
  <c r="B1116" i="10"/>
  <c r="B1117" i="10"/>
  <c r="B1118" i="10"/>
  <c r="B1119" i="10"/>
  <c r="B1120" i="10"/>
  <c r="B1121" i="10"/>
  <c r="B1122" i="10"/>
  <c r="B1123" i="10"/>
  <c r="B1124" i="10"/>
  <c r="B1125" i="10"/>
  <c r="B1126" i="10"/>
  <c r="B1127" i="10"/>
  <c r="B1128" i="10"/>
  <c r="B1129" i="10"/>
  <c r="B1130" i="10"/>
  <c r="B1131" i="10"/>
  <c r="B1132" i="10"/>
  <c r="B1133" i="10"/>
  <c r="B1134" i="10"/>
  <c r="B1135" i="10"/>
  <c r="B1136" i="10"/>
  <c r="B1137" i="10"/>
  <c r="B1138" i="10"/>
  <c r="B1139" i="10"/>
  <c r="B1140" i="10"/>
  <c r="B1141" i="10"/>
  <c r="B1142" i="10"/>
  <c r="B1143" i="10"/>
  <c r="B1144" i="10"/>
  <c r="B1145" i="10"/>
  <c r="B1146" i="10"/>
  <c r="B1147" i="10"/>
  <c r="B1148" i="10"/>
  <c r="B1149" i="10"/>
  <c r="B1150" i="10"/>
  <c r="B1151" i="10"/>
  <c r="B1152" i="10"/>
  <c r="B1153" i="10"/>
  <c r="B1154" i="10"/>
  <c r="B1155" i="10"/>
  <c r="B1156" i="10"/>
  <c r="B1157" i="10"/>
  <c r="B1158" i="10"/>
  <c r="B1159" i="10"/>
  <c r="B1160" i="10"/>
  <c r="B1161" i="10"/>
  <c r="B1162" i="10"/>
  <c r="B1163" i="10"/>
  <c r="B1164" i="10"/>
  <c r="B1165" i="10"/>
  <c r="B1166" i="10"/>
  <c r="B1167" i="10"/>
  <c r="B1168" i="10"/>
  <c r="B1169" i="10"/>
  <c r="B1170" i="10"/>
  <c r="B1171" i="10"/>
  <c r="B1172" i="10"/>
  <c r="B1173" i="10"/>
  <c r="B1174" i="10"/>
  <c r="B1175" i="10"/>
  <c r="B1176" i="10"/>
  <c r="B1177" i="10"/>
  <c r="B1178" i="10"/>
  <c r="B1179" i="10"/>
  <c r="B1180" i="10"/>
  <c r="B1181" i="10"/>
  <c r="B1182" i="10"/>
  <c r="B1183" i="10"/>
  <c r="B1184" i="10"/>
  <c r="B1185" i="10"/>
  <c r="B1186" i="10"/>
  <c r="B1187" i="10"/>
  <c r="B1188" i="10"/>
  <c r="B1189" i="10"/>
  <c r="B1190" i="10"/>
  <c r="B1191" i="10"/>
  <c r="B1192" i="10"/>
  <c r="B1193" i="10"/>
  <c r="B1194" i="10"/>
  <c r="B1195" i="10"/>
  <c r="B1196" i="10"/>
  <c r="B1197" i="10"/>
  <c r="B1198" i="10"/>
  <c r="B1199" i="10"/>
  <c r="B1200" i="10"/>
  <c r="B1201" i="10"/>
  <c r="B1202" i="10"/>
  <c r="B1203" i="10"/>
  <c r="B1204" i="10"/>
  <c r="B1205" i="10"/>
  <c r="B1206" i="10"/>
  <c r="B1207" i="10"/>
  <c r="B1208" i="10"/>
  <c r="B1209" i="10"/>
  <c r="B1210" i="10"/>
  <c r="B1211" i="10"/>
  <c r="B1212" i="10"/>
  <c r="B1213" i="10"/>
  <c r="B1214" i="10"/>
  <c r="B1215" i="10"/>
  <c r="B1216" i="10"/>
  <c r="B1217" i="10"/>
  <c r="B1218" i="10"/>
  <c r="B1219" i="10"/>
  <c r="B1220" i="10"/>
  <c r="B1221" i="10"/>
  <c r="B1222" i="10"/>
  <c r="B1223" i="10"/>
  <c r="B1224" i="10"/>
  <c r="B1225" i="10"/>
  <c r="B1226" i="10"/>
  <c r="B1227" i="10"/>
  <c r="B1228" i="10"/>
  <c r="B1229" i="10"/>
  <c r="B1230" i="10"/>
  <c r="B1231" i="10"/>
  <c r="B1232" i="10"/>
  <c r="B1233" i="10"/>
  <c r="B1234" i="10"/>
  <c r="B1235" i="10"/>
  <c r="B1236" i="10"/>
  <c r="B1237" i="10"/>
  <c r="B1238" i="10"/>
  <c r="B1239" i="10"/>
  <c r="B1240" i="10"/>
  <c r="B1241" i="10"/>
  <c r="B1242" i="10"/>
  <c r="B1243" i="10"/>
  <c r="B1244" i="10"/>
  <c r="B1245" i="10"/>
  <c r="B1246" i="10"/>
  <c r="B1247" i="10"/>
  <c r="B1248" i="10"/>
  <c r="B1249" i="10"/>
  <c r="B1250" i="10"/>
  <c r="B1251" i="10"/>
  <c r="B1252" i="10"/>
  <c r="B1253" i="10"/>
  <c r="B1254" i="10"/>
  <c r="B1255" i="10"/>
  <c r="B1256" i="10"/>
  <c r="B1257" i="10"/>
  <c r="B1258" i="10"/>
  <c r="B1259" i="10"/>
  <c r="B1260" i="10"/>
  <c r="B1261" i="10"/>
  <c r="B1262" i="10"/>
  <c r="B1263" i="10"/>
  <c r="B1264" i="10"/>
  <c r="B1265" i="10"/>
  <c r="B1266" i="10"/>
  <c r="B1267" i="10"/>
  <c r="B1268" i="10"/>
  <c r="B1269" i="10"/>
  <c r="B1270" i="10"/>
  <c r="B1271" i="10"/>
  <c r="B1272" i="10"/>
  <c r="B1273" i="10"/>
  <c r="B1274" i="10"/>
  <c r="B1275" i="10"/>
  <c r="B1276" i="10"/>
  <c r="B1277" i="10"/>
  <c r="B1278" i="10"/>
  <c r="B1279" i="10"/>
  <c r="B1280" i="10"/>
  <c r="B1281" i="10"/>
  <c r="B1282" i="10"/>
  <c r="B1283" i="10"/>
  <c r="B1284" i="10"/>
  <c r="B1285" i="10"/>
  <c r="B1286" i="10"/>
  <c r="B1287" i="10"/>
  <c r="B1288" i="10"/>
  <c r="B1289" i="10"/>
  <c r="B1290" i="10"/>
  <c r="B1291" i="10"/>
  <c r="B1292" i="10"/>
  <c r="B1293" i="10"/>
  <c r="B1294" i="10"/>
  <c r="B1295" i="10"/>
  <c r="B1296" i="10"/>
  <c r="B1297" i="10"/>
  <c r="B1298" i="10"/>
  <c r="B1299" i="10"/>
  <c r="B1300" i="10"/>
  <c r="B1301" i="10"/>
  <c r="B1302" i="10"/>
  <c r="B1303" i="10"/>
  <c r="B1304" i="10"/>
  <c r="B1305" i="10"/>
  <c r="B1306" i="10"/>
  <c r="B1307" i="10"/>
  <c r="B1308" i="10"/>
  <c r="B1309" i="10"/>
  <c r="B1310" i="10"/>
  <c r="B1311" i="10"/>
  <c r="B1312" i="10"/>
  <c r="B1313" i="10"/>
  <c r="B1314" i="10"/>
  <c r="B1315" i="10"/>
  <c r="B1316" i="10"/>
  <c r="B1317" i="10"/>
  <c r="B1318" i="10"/>
  <c r="B1319" i="10"/>
  <c r="B1320" i="10"/>
  <c r="B1321" i="10"/>
  <c r="B1322" i="10"/>
  <c r="B1323" i="10"/>
  <c r="B1324" i="10"/>
  <c r="B1325" i="10"/>
  <c r="B1326" i="10"/>
  <c r="B1327" i="10"/>
  <c r="B1328" i="10"/>
  <c r="B1329" i="10"/>
  <c r="B1330" i="10"/>
  <c r="B1331" i="10"/>
  <c r="B1332" i="10"/>
  <c r="B1333" i="10"/>
  <c r="B1334" i="10"/>
  <c r="B1335" i="10"/>
  <c r="B1336" i="10"/>
  <c r="B1337" i="10"/>
  <c r="B1338" i="10"/>
  <c r="B1339" i="10"/>
  <c r="B1340" i="10"/>
  <c r="B1341" i="10"/>
  <c r="B1342" i="10"/>
  <c r="B1343" i="10"/>
  <c r="B1344" i="10"/>
  <c r="B1345" i="10"/>
  <c r="B1346" i="10"/>
  <c r="B1347" i="10"/>
  <c r="B1348" i="10"/>
  <c r="B1349" i="10"/>
  <c r="B1350" i="10"/>
  <c r="B1351" i="10"/>
  <c r="B1352" i="10"/>
  <c r="B1353" i="10"/>
  <c r="B1354" i="10"/>
  <c r="B1355" i="10"/>
  <c r="B1356" i="10"/>
  <c r="B1357" i="10"/>
  <c r="B1358" i="10"/>
  <c r="B1359" i="10"/>
  <c r="B1360" i="10"/>
  <c r="B1361" i="10"/>
  <c r="B1362" i="10"/>
  <c r="B1363" i="10"/>
  <c r="B1364" i="10"/>
  <c r="B1365" i="10"/>
  <c r="B1366" i="10"/>
  <c r="B1367" i="10"/>
  <c r="B1368" i="10"/>
  <c r="B1369" i="10"/>
  <c r="B1370" i="10"/>
  <c r="B1371" i="10"/>
  <c r="B1372" i="10"/>
  <c r="B1373" i="10"/>
  <c r="B1374" i="10"/>
  <c r="B1375" i="10"/>
  <c r="B1376" i="10"/>
  <c r="B1377" i="10"/>
  <c r="B1378" i="10"/>
  <c r="B1379" i="10"/>
  <c r="B1380" i="10"/>
  <c r="B1381" i="10"/>
  <c r="B1382" i="10"/>
  <c r="B1383" i="10"/>
  <c r="B1384" i="10"/>
  <c r="B1385" i="10"/>
  <c r="B1386" i="10"/>
  <c r="B1387" i="10"/>
  <c r="B1388" i="10"/>
  <c r="B1389" i="10"/>
  <c r="B1390" i="10"/>
  <c r="B1391" i="10"/>
  <c r="B1392" i="10"/>
  <c r="B1393" i="10"/>
  <c r="B1394" i="10"/>
  <c r="B1395" i="10"/>
  <c r="B1396" i="10"/>
  <c r="B1397" i="10"/>
  <c r="B1398" i="10"/>
  <c r="B1399" i="10"/>
  <c r="B1400" i="10"/>
  <c r="B1401" i="10"/>
  <c r="B1402" i="10"/>
  <c r="B1403" i="10"/>
  <c r="B1404" i="10"/>
  <c r="B1405" i="10"/>
  <c r="B1406" i="10"/>
  <c r="B1407" i="10"/>
  <c r="B1408" i="10"/>
  <c r="B1409" i="10"/>
  <c r="B1410" i="10"/>
  <c r="B1411" i="10"/>
  <c r="B1412" i="10"/>
  <c r="B1413" i="10"/>
  <c r="B1414" i="10"/>
  <c r="B1415" i="10"/>
  <c r="B1416" i="10"/>
  <c r="B1417" i="10"/>
  <c r="B1418" i="10"/>
  <c r="B1419" i="10"/>
  <c r="B1420" i="10"/>
  <c r="B1421" i="10"/>
  <c r="B1422" i="10"/>
  <c r="B1423" i="10"/>
  <c r="B1424" i="10"/>
  <c r="B1425" i="10"/>
  <c r="B1426" i="10"/>
  <c r="B1427" i="10"/>
  <c r="B1428" i="10"/>
  <c r="B1429" i="10"/>
  <c r="B1430" i="10"/>
  <c r="B1431" i="10"/>
  <c r="B1432" i="10"/>
  <c r="B1433" i="10"/>
  <c r="B1434" i="10"/>
  <c r="B1435" i="10"/>
  <c r="B1436" i="10"/>
  <c r="B1437" i="10"/>
  <c r="B1438" i="10"/>
  <c r="B1439" i="10"/>
  <c r="B1440" i="10"/>
  <c r="B1441" i="10"/>
  <c r="B1442" i="10"/>
  <c r="B1443" i="10"/>
  <c r="B1444" i="10"/>
  <c r="B1445" i="10"/>
  <c r="B1446" i="10"/>
  <c r="B1447" i="10"/>
  <c r="B1448" i="10"/>
  <c r="B1449" i="10"/>
  <c r="B1450" i="10"/>
  <c r="B1451" i="10"/>
  <c r="B1452" i="10"/>
  <c r="B1453" i="10"/>
  <c r="B1454" i="10"/>
  <c r="B1455" i="10"/>
  <c r="B1456" i="10"/>
  <c r="B1457" i="10"/>
  <c r="B1458" i="10"/>
  <c r="B1459" i="10"/>
  <c r="B1460" i="10"/>
  <c r="B1461" i="10"/>
  <c r="B1462" i="10"/>
  <c r="B1463" i="10"/>
  <c r="B1464" i="10"/>
  <c r="B1465" i="10"/>
  <c r="B1466" i="10"/>
  <c r="B1467" i="10"/>
  <c r="B1468" i="10"/>
  <c r="B1469" i="10"/>
  <c r="B1470" i="10"/>
  <c r="B1471" i="10"/>
  <c r="B1472" i="10"/>
  <c r="B1473" i="10"/>
  <c r="B1474" i="10"/>
  <c r="B1475" i="10"/>
  <c r="B1476" i="10"/>
  <c r="B1477" i="10"/>
  <c r="B1478" i="10"/>
  <c r="B1479" i="10"/>
  <c r="B1480" i="10"/>
  <c r="B1481" i="10"/>
  <c r="B1482" i="10"/>
  <c r="B1483" i="10"/>
  <c r="B1484" i="10"/>
  <c r="B1485" i="10"/>
  <c r="B1486" i="10"/>
  <c r="B1487" i="10"/>
  <c r="B1488" i="10"/>
  <c r="B1489" i="10"/>
  <c r="B1490" i="10"/>
  <c r="B1491" i="10"/>
  <c r="B1492" i="10"/>
  <c r="B1493" i="10"/>
  <c r="B1494" i="10"/>
  <c r="B1495" i="10"/>
  <c r="B1496" i="10"/>
  <c r="B1497" i="10"/>
  <c r="B1498" i="10"/>
  <c r="B1499" i="10"/>
  <c r="B1500" i="10"/>
  <c r="B1501" i="10"/>
  <c r="B1502" i="10"/>
  <c r="B1503" i="10"/>
  <c r="B1504" i="10"/>
  <c r="B1505" i="10"/>
  <c r="B1506" i="10"/>
  <c r="B1507" i="10"/>
  <c r="B1508" i="10"/>
  <c r="B1509" i="10"/>
  <c r="B1510" i="10"/>
  <c r="B1511" i="10"/>
  <c r="B1512" i="10"/>
  <c r="B1513" i="10"/>
  <c r="B1514" i="10"/>
  <c r="B1515" i="10"/>
  <c r="B1516" i="10"/>
  <c r="B1517" i="10"/>
  <c r="B1518" i="10"/>
  <c r="B1519" i="10"/>
  <c r="B1520" i="10"/>
  <c r="B1521" i="10"/>
  <c r="B1522" i="10"/>
  <c r="B1523" i="10"/>
  <c r="B1524" i="10"/>
  <c r="B1525" i="10"/>
  <c r="B1526" i="10"/>
  <c r="B1527" i="10"/>
  <c r="B1528" i="10"/>
  <c r="B1529" i="10"/>
  <c r="B1530" i="10"/>
  <c r="B1531" i="10"/>
  <c r="B1532" i="10"/>
  <c r="B1533" i="10"/>
  <c r="B1534" i="10"/>
  <c r="B1535" i="10"/>
  <c r="B1536" i="10"/>
  <c r="B1537" i="10"/>
  <c r="B1538" i="10"/>
  <c r="B1539" i="10"/>
  <c r="B1540" i="10"/>
  <c r="B1541" i="10"/>
  <c r="B1542" i="10"/>
  <c r="B1543" i="10"/>
  <c r="B1544" i="10"/>
  <c r="B1545" i="10"/>
  <c r="B1546" i="10"/>
  <c r="B1547" i="10"/>
  <c r="B1548" i="10"/>
  <c r="B1549" i="10"/>
  <c r="B1550" i="10"/>
  <c r="B1551" i="10"/>
  <c r="B1552" i="10"/>
  <c r="B1553" i="10"/>
  <c r="B1554" i="10"/>
  <c r="B1555" i="10"/>
  <c r="B1556" i="10"/>
  <c r="B1557" i="10"/>
  <c r="B1558" i="10"/>
  <c r="B1559" i="10"/>
  <c r="B1560" i="10"/>
  <c r="B1561" i="10"/>
  <c r="B1562" i="10"/>
  <c r="B1563" i="10"/>
  <c r="B1564" i="10"/>
  <c r="B1565" i="10"/>
  <c r="B1566" i="10"/>
  <c r="B1567" i="10"/>
  <c r="B1568" i="10"/>
  <c r="B1569" i="10"/>
  <c r="B1570" i="10"/>
  <c r="B1571" i="10"/>
  <c r="B1572" i="10"/>
  <c r="B1573" i="10"/>
  <c r="B1574" i="10"/>
  <c r="B1575" i="10"/>
  <c r="B1576" i="10"/>
  <c r="B1577" i="10"/>
  <c r="B1578" i="10"/>
  <c r="B1579" i="10"/>
  <c r="B1580" i="10"/>
  <c r="B1581" i="10"/>
  <c r="B1582" i="10"/>
  <c r="B1583" i="10"/>
  <c r="B1584" i="10"/>
  <c r="B1585" i="10"/>
  <c r="B1586" i="10"/>
  <c r="B1587" i="10"/>
  <c r="B1588" i="10"/>
  <c r="B1589" i="10"/>
  <c r="B1590" i="10"/>
  <c r="B1591" i="10"/>
  <c r="B1592" i="10"/>
  <c r="B1593" i="10"/>
  <c r="B1594" i="10"/>
  <c r="B1595" i="10"/>
  <c r="B1596" i="10"/>
  <c r="B1597" i="10"/>
  <c r="B1598" i="10"/>
  <c r="B1599" i="10"/>
  <c r="B1600" i="10"/>
  <c r="B1601" i="10"/>
  <c r="B1602" i="10"/>
  <c r="B1603" i="10"/>
  <c r="B1604" i="10"/>
  <c r="B1605" i="10"/>
  <c r="B1606" i="10"/>
  <c r="B1607" i="10"/>
  <c r="B1608" i="10"/>
  <c r="B1609" i="10"/>
  <c r="B1610" i="10"/>
  <c r="B1611" i="10"/>
  <c r="B1612" i="10"/>
  <c r="B1613" i="10"/>
  <c r="B1614" i="10"/>
  <c r="B1615" i="10"/>
  <c r="B1616" i="10"/>
  <c r="B1617" i="10"/>
  <c r="B1618" i="10"/>
  <c r="B1619" i="10"/>
  <c r="B1620" i="10"/>
  <c r="B1621" i="10"/>
  <c r="B1622" i="10"/>
  <c r="B1623" i="10"/>
  <c r="B1624" i="10"/>
  <c r="B1625" i="10"/>
  <c r="B1626" i="10"/>
  <c r="B1627" i="10"/>
  <c r="B1628" i="10"/>
  <c r="B1629" i="10"/>
  <c r="B1630" i="10"/>
  <c r="B1631" i="10"/>
  <c r="B1632" i="10"/>
  <c r="B1633" i="10"/>
  <c r="B1634" i="10"/>
  <c r="B1635" i="10"/>
  <c r="B1636" i="10"/>
  <c r="B1637" i="10"/>
  <c r="B1638" i="10"/>
  <c r="B1639" i="10"/>
  <c r="B1640" i="10"/>
  <c r="B1641" i="10"/>
  <c r="B1642" i="10"/>
  <c r="B1643" i="10"/>
  <c r="B1644" i="10"/>
  <c r="B1645" i="10"/>
  <c r="B1646" i="10"/>
  <c r="B1647" i="10"/>
  <c r="B1648" i="10"/>
  <c r="B1649" i="10"/>
  <c r="B1650" i="10"/>
  <c r="B1651" i="10"/>
  <c r="B1652" i="10"/>
  <c r="B1653" i="10"/>
  <c r="B1654" i="10"/>
  <c r="B1655" i="10"/>
  <c r="B1656" i="10"/>
  <c r="B1657" i="10"/>
  <c r="B1658" i="10"/>
  <c r="B1659" i="10"/>
  <c r="B1660" i="10"/>
  <c r="B1661" i="10"/>
  <c r="B1662" i="10"/>
  <c r="B1663" i="10"/>
  <c r="B1664" i="10"/>
  <c r="B1665" i="10"/>
  <c r="B1666" i="10"/>
  <c r="B1667" i="10"/>
  <c r="B1668" i="10"/>
  <c r="B1669" i="10"/>
  <c r="B1670" i="10"/>
  <c r="B1671" i="10"/>
  <c r="B1672" i="10"/>
  <c r="B1673" i="10"/>
  <c r="B1674" i="10"/>
  <c r="B1675" i="10"/>
  <c r="B1676" i="10"/>
  <c r="B1677" i="10"/>
  <c r="B1678" i="10"/>
  <c r="B1679" i="10"/>
  <c r="B1680" i="10"/>
  <c r="B1681" i="10"/>
  <c r="B1682" i="10"/>
  <c r="B1683" i="10"/>
  <c r="B1684" i="10"/>
  <c r="B1685" i="10"/>
  <c r="B1686" i="10"/>
  <c r="B1687" i="10"/>
  <c r="B1688" i="10"/>
  <c r="B1689" i="10"/>
  <c r="B1690" i="10"/>
  <c r="B1691" i="10"/>
  <c r="B1692" i="10"/>
  <c r="B1693" i="10"/>
  <c r="B1694" i="10"/>
  <c r="B1695" i="10"/>
  <c r="B1696" i="10"/>
  <c r="B1697" i="10"/>
  <c r="B1698" i="10"/>
  <c r="B1699" i="10"/>
  <c r="B1700" i="10"/>
  <c r="B1701" i="10"/>
  <c r="B1702" i="10"/>
  <c r="B1703" i="10"/>
  <c r="B1704" i="10"/>
  <c r="B1705" i="10"/>
  <c r="B1706" i="10"/>
  <c r="B1707" i="10"/>
  <c r="B1708" i="10"/>
  <c r="B1709" i="10"/>
  <c r="B1710" i="10"/>
  <c r="B1711" i="10"/>
  <c r="B1712" i="10"/>
  <c r="B1713" i="10"/>
  <c r="B1714" i="10"/>
  <c r="B1715" i="10"/>
  <c r="B1716" i="10"/>
  <c r="B1717" i="10"/>
  <c r="B1718" i="10"/>
  <c r="B1719" i="10"/>
  <c r="B1720" i="10"/>
  <c r="B1721" i="10"/>
  <c r="B1722" i="10"/>
  <c r="B1723" i="10"/>
  <c r="B1724" i="10"/>
  <c r="B1725" i="10"/>
  <c r="B1726" i="10"/>
  <c r="B1727" i="10"/>
  <c r="B1728" i="10"/>
  <c r="B1729" i="10"/>
  <c r="B1730" i="10"/>
  <c r="B1731" i="10"/>
  <c r="B1732" i="10"/>
  <c r="B1733" i="10"/>
  <c r="B1734" i="10"/>
  <c r="B1735" i="10"/>
  <c r="B1736" i="10"/>
  <c r="B1737" i="10"/>
  <c r="B1738" i="10"/>
  <c r="B1739" i="10"/>
  <c r="B1740" i="10"/>
  <c r="B1741" i="10"/>
  <c r="B1742" i="10"/>
  <c r="B1743" i="10"/>
  <c r="B1744" i="10"/>
  <c r="B1745" i="10"/>
  <c r="B1746" i="10"/>
  <c r="B1747" i="10"/>
  <c r="B1748" i="10"/>
  <c r="B1749" i="10"/>
  <c r="B1750" i="10"/>
  <c r="B1751" i="10"/>
  <c r="B1752" i="10"/>
  <c r="B1753" i="10"/>
  <c r="B1754" i="10"/>
  <c r="B1755" i="10"/>
  <c r="B1756" i="10"/>
  <c r="B1757" i="10"/>
  <c r="B1758" i="10"/>
  <c r="B1759" i="10"/>
  <c r="B1760" i="10"/>
  <c r="B1761" i="10"/>
  <c r="B1762" i="10"/>
  <c r="B1763" i="10"/>
  <c r="B1764" i="10"/>
  <c r="B1765" i="10"/>
  <c r="B1766" i="10"/>
  <c r="B1767" i="10"/>
  <c r="B1768" i="10"/>
  <c r="B1769" i="10"/>
  <c r="B1770" i="10"/>
  <c r="B1771" i="10"/>
  <c r="B1772" i="10"/>
  <c r="B1773" i="10"/>
  <c r="B1774" i="10"/>
  <c r="B1775" i="10"/>
  <c r="B1776" i="10"/>
  <c r="B1777" i="10"/>
  <c r="B1778" i="10"/>
  <c r="B1779" i="10"/>
  <c r="B1780" i="10"/>
  <c r="B1781" i="10"/>
  <c r="B1782" i="10"/>
  <c r="B1783" i="10"/>
  <c r="B1784" i="10"/>
  <c r="B1785" i="10"/>
  <c r="B1786" i="10"/>
  <c r="B1787" i="10"/>
  <c r="B1788" i="10"/>
  <c r="B1789" i="10"/>
  <c r="B1790" i="10"/>
  <c r="B1791" i="10"/>
  <c r="B1792" i="10"/>
  <c r="B1793" i="10"/>
  <c r="B1794" i="10"/>
  <c r="B1795" i="10"/>
  <c r="B1796" i="10"/>
  <c r="B1797" i="10"/>
  <c r="B1798" i="10"/>
  <c r="B1799" i="10"/>
  <c r="B1800" i="10"/>
  <c r="B1801" i="10"/>
  <c r="B1802" i="10"/>
  <c r="B1803" i="10"/>
  <c r="B1804" i="10"/>
  <c r="B1805" i="10"/>
  <c r="B1806" i="10"/>
  <c r="B1807" i="10"/>
  <c r="B1808" i="10"/>
  <c r="B1809" i="10"/>
  <c r="B1810" i="10"/>
  <c r="B1811" i="10"/>
  <c r="B1812" i="10"/>
  <c r="B1813" i="10"/>
  <c r="B1814" i="10"/>
  <c r="B1815" i="10"/>
  <c r="B1816" i="10"/>
  <c r="B1817" i="10"/>
  <c r="B1818" i="10"/>
  <c r="B1819" i="10"/>
  <c r="B1820" i="10"/>
  <c r="B1821" i="10"/>
  <c r="B1822" i="10"/>
  <c r="B1823" i="10"/>
  <c r="B1824" i="10"/>
  <c r="B1825" i="10"/>
  <c r="B1826" i="10"/>
  <c r="B1827" i="10"/>
  <c r="B1828" i="10"/>
  <c r="B1829" i="10"/>
  <c r="B1830" i="10"/>
  <c r="B1831" i="10"/>
  <c r="B1832" i="10"/>
  <c r="B1833" i="10"/>
  <c r="B1834" i="10"/>
  <c r="B1835" i="10"/>
  <c r="B1836" i="10"/>
  <c r="B1837" i="10"/>
  <c r="B1838" i="10"/>
  <c r="B1839" i="10"/>
  <c r="B1840" i="10"/>
  <c r="B1841" i="10"/>
  <c r="B1842" i="10"/>
  <c r="B1843" i="10"/>
  <c r="B1844" i="10"/>
  <c r="B1845" i="10"/>
  <c r="B1846" i="10"/>
  <c r="B1847" i="10"/>
  <c r="B1848" i="10"/>
  <c r="B1849" i="10"/>
  <c r="B1850" i="10"/>
  <c r="B1851" i="10"/>
  <c r="B1852" i="10"/>
  <c r="B1853" i="10"/>
  <c r="B1854" i="10"/>
  <c r="B1855" i="10"/>
  <c r="B1856" i="10"/>
  <c r="B1857" i="10"/>
  <c r="B1858" i="10"/>
  <c r="B1859" i="10"/>
  <c r="B1860" i="10"/>
  <c r="B1861" i="10"/>
  <c r="B1862" i="10"/>
  <c r="B1863" i="10"/>
  <c r="B1864" i="10"/>
  <c r="B1865" i="10"/>
  <c r="B1866" i="10"/>
  <c r="B1867" i="10"/>
  <c r="B1868" i="10"/>
  <c r="B1869" i="10"/>
  <c r="B1870" i="10"/>
  <c r="B1871" i="10"/>
  <c r="B1872" i="10"/>
  <c r="B1873" i="10"/>
  <c r="B1874" i="10"/>
  <c r="B1875" i="10"/>
  <c r="B1876" i="10"/>
  <c r="B1877" i="10"/>
  <c r="B1878" i="10"/>
  <c r="B1879" i="10"/>
  <c r="B1880" i="10"/>
  <c r="B1881" i="10"/>
  <c r="B1882" i="10"/>
  <c r="B1883" i="10"/>
  <c r="B1884" i="10"/>
  <c r="B1885" i="10"/>
  <c r="B1886" i="10"/>
  <c r="B1887" i="10"/>
  <c r="B1888" i="10"/>
  <c r="B1889" i="10"/>
  <c r="B1890" i="10"/>
  <c r="B1891" i="10"/>
  <c r="B1892" i="10"/>
  <c r="B1893" i="10"/>
  <c r="B1894" i="10"/>
  <c r="B1895" i="10"/>
  <c r="B1896" i="10"/>
  <c r="B1897" i="10"/>
  <c r="B1898" i="10"/>
  <c r="B1899" i="10"/>
  <c r="B1900" i="10"/>
  <c r="B1901" i="10"/>
  <c r="B1902" i="10"/>
  <c r="B1903" i="10"/>
  <c r="B1904" i="10"/>
  <c r="B1905" i="10"/>
  <c r="B1906" i="10"/>
  <c r="B1907" i="10"/>
  <c r="B1908" i="10"/>
  <c r="B1909" i="10"/>
  <c r="B1910" i="10"/>
  <c r="B1911" i="10"/>
  <c r="B1912" i="10"/>
  <c r="B1913" i="10"/>
  <c r="B1914" i="10"/>
  <c r="B1915" i="10"/>
  <c r="B1916" i="10"/>
  <c r="B1917" i="10"/>
  <c r="B1918" i="10"/>
  <c r="B1919" i="10"/>
  <c r="B1920" i="10"/>
  <c r="B1921" i="10"/>
  <c r="B1922" i="10"/>
  <c r="B1923" i="10"/>
  <c r="B1924" i="10"/>
  <c r="B1925" i="10"/>
  <c r="B1926" i="10"/>
  <c r="B1927" i="10"/>
  <c r="B1928" i="10"/>
  <c r="B1929" i="10"/>
  <c r="B1930" i="10"/>
  <c r="B1931" i="10"/>
  <c r="B1932" i="10"/>
  <c r="B1933" i="10"/>
  <c r="B1934" i="10"/>
  <c r="B1935" i="10"/>
  <c r="B1936" i="10"/>
  <c r="B1937" i="10"/>
  <c r="B1938" i="10"/>
  <c r="B1939" i="10"/>
  <c r="B1940" i="10"/>
  <c r="B1941" i="10"/>
  <c r="B1942" i="10"/>
  <c r="B1943" i="10"/>
  <c r="B1944" i="10"/>
  <c r="B1945" i="10"/>
  <c r="B1946" i="10"/>
  <c r="B1947" i="10"/>
  <c r="B1948" i="10"/>
  <c r="B1949" i="10"/>
  <c r="B1950" i="10"/>
  <c r="B1951" i="10"/>
  <c r="B1952" i="10"/>
  <c r="B1953" i="10"/>
  <c r="B1954" i="10"/>
  <c r="B1955" i="10"/>
  <c r="B1956" i="10"/>
  <c r="B1957" i="10"/>
  <c r="B1958" i="10"/>
  <c r="B1959" i="10"/>
  <c r="B1960" i="10"/>
  <c r="B1961" i="10"/>
  <c r="B1962" i="10"/>
  <c r="B1963" i="10"/>
  <c r="B1964" i="10"/>
  <c r="B1965" i="10"/>
  <c r="B1966" i="10"/>
  <c r="B1967" i="10"/>
  <c r="B1968" i="10"/>
  <c r="B1969" i="10"/>
  <c r="B1970" i="10"/>
  <c r="B1971" i="10"/>
  <c r="B1972" i="10"/>
  <c r="B1973" i="10"/>
  <c r="B1974" i="10"/>
  <c r="B1975" i="10"/>
  <c r="B1976" i="10"/>
  <c r="B1977" i="10"/>
  <c r="B1978" i="10"/>
  <c r="B1979" i="10"/>
  <c r="B1980" i="10"/>
  <c r="B1981" i="10"/>
  <c r="B1982" i="10"/>
  <c r="B1983" i="10"/>
  <c r="B1984" i="10"/>
  <c r="B1985" i="10"/>
  <c r="B1986" i="10"/>
  <c r="B1987" i="10"/>
  <c r="B1988" i="10"/>
  <c r="B1989" i="10"/>
  <c r="B1990" i="10"/>
  <c r="B1991" i="10"/>
  <c r="B1992" i="10"/>
  <c r="B1993" i="10"/>
  <c r="B1994" i="10"/>
  <c r="B1995" i="10"/>
  <c r="B1996" i="10"/>
  <c r="B1997" i="10"/>
  <c r="B1998" i="10"/>
  <c r="B1999" i="10"/>
  <c r="B2000" i="10"/>
  <c r="B2001" i="10"/>
  <c r="B2002" i="10"/>
  <c r="B2003" i="10"/>
  <c r="B2004" i="10"/>
  <c r="B2005" i="10"/>
  <c r="B2006" i="10"/>
  <c r="B2007" i="10"/>
  <c r="B2008" i="10"/>
  <c r="B2009" i="10"/>
  <c r="B2010" i="10"/>
  <c r="B2011" i="10"/>
  <c r="B2012" i="10"/>
  <c r="B2013" i="10"/>
  <c r="B2014" i="10"/>
  <c r="I2015" i="10"/>
  <c r="I2016" i="10"/>
  <c r="A2157" i="10"/>
  <c r="A2158" i="10"/>
  <c r="A2159" i="10"/>
  <c r="A2160" i="10"/>
  <c r="A2161" i="10"/>
  <c r="A2162" i="10"/>
  <c r="A2163" i="10"/>
  <c r="A2164" i="10"/>
  <c r="A2165" i="10"/>
  <c r="A2166" i="10"/>
  <c r="A2167" i="10"/>
  <c r="L4" i="9"/>
  <c r="L5" i="9"/>
  <c r="AB4" i="9"/>
  <c r="B10" i="9"/>
  <c r="Z10" i="9"/>
  <c r="D10" i="9"/>
  <c r="X10" i="9"/>
  <c r="X11" i="9"/>
  <c r="X12" i="9"/>
  <c r="X13" i="9"/>
  <c r="X14" i="9"/>
  <c r="X15" i="9"/>
  <c r="X16" i="9"/>
  <c r="X17" i="9"/>
  <c r="X18" i="9"/>
  <c r="X19" i="9"/>
  <c r="X20" i="9"/>
  <c r="X21" i="9"/>
  <c r="X22" i="9"/>
  <c r="X23" i="9"/>
  <c r="X24" i="9"/>
  <c r="X25" i="9"/>
  <c r="X26" i="9"/>
  <c r="X27" i="9"/>
  <c r="X28" i="9"/>
  <c r="X29" i="9"/>
  <c r="X30" i="9"/>
  <c r="X31" i="9"/>
  <c r="X32" i="9"/>
  <c r="X33" i="9"/>
  <c r="X34" i="9"/>
  <c r="X35" i="9"/>
  <c r="X36" i="9"/>
  <c r="X37" i="9"/>
  <c r="X38" i="9"/>
  <c r="X39" i="9"/>
  <c r="X40" i="9"/>
  <c r="X41" i="9"/>
  <c r="X42" i="9"/>
  <c r="X43" i="9"/>
  <c r="X44" i="9"/>
  <c r="X45" i="9"/>
  <c r="X46" i="9"/>
  <c r="X47" i="9"/>
  <c r="X48" i="9"/>
  <c r="X49" i="9"/>
  <c r="X50" i="9"/>
  <c r="X51" i="9"/>
  <c r="X52" i="9"/>
  <c r="X53" i="9"/>
  <c r="X54" i="9"/>
  <c r="X55" i="9"/>
  <c r="X56" i="9"/>
  <c r="X57" i="9"/>
  <c r="X58" i="9"/>
  <c r="X59" i="9"/>
  <c r="X60" i="9"/>
  <c r="X61" i="9"/>
  <c r="X62" i="9"/>
  <c r="X63" i="9"/>
  <c r="X64" i="9"/>
  <c r="X65" i="9"/>
  <c r="X66" i="9"/>
  <c r="X67" i="9"/>
  <c r="X68" i="9"/>
  <c r="X69" i="9"/>
  <c r="X70" i="9"/>
  <c r="X71" i="9"/>
  <c r="X72" i="9"/>
  <c r="X73" i="9"/>
  <c r="X74" i="9"/>
  <c r="X75" i="9"/>
  <c r="X76" i="9"/>
  <c r="X77" i="9"/>
  <c r="X78" i="9"/>
  <c r="X79" i="9"/>
  <c r="X80" i="9"/>
  <c r="X81" i="9"/>
  <c r="X82" i="9"/>
  <c r="X83" i="9"/>
  <c r="X84" i="9"/>
  <c r="X85" i="9"/>
  <c r="X86" i="9"/>
  <c r="X87" i="9"/>
  <c r="X88" i="9"/>
  <c r="X89" i="9"/>
  <c r="X90" i="9"/>
  <c r="X91" i="9"/>
  <c r="X92" i="9"/>
  <c r="X93" i="9"/>
  <c r="X94" i="9"/>
  <c r="X95" i="9"/>
  <c r="X96" i="9"/>
  <c r="X97" i="9"/>
  <c r="X98" i="9"/>
  <c r="X99" i="9"/>
  <c r="X100" i="9"/>
  <c r="X101" i="9"/>
  <c r="X102" i="9"/>
  <c r="X103" i="9"/>
  <c r="X104" i="9"/>
  <c r="X105" i="9"/>
  <c r="X106" i="9"/>
  <c r="X107" i="9"/>
  <c r="X108" i="9"/>
  <c r="X109" i="9"/>
  <c r="X110" i="9"/>
  <c r="X111" i="9"/>
  <c r="X112" i="9"/>
  <c r="X113" i="9"/>
  <c r="X114" i="9"/>
  <c r="X115" i="9"/>
  <c r="X116" i="9"/>
  <c r="X117" i="9"/>
  <c r="X118" i="9"/>
  <c r="X119" i="9"/>
  <c r="X120" i="9"/>
  <c r="X121" i="9"/>
  <c r="X122" i="9"/>
  <c r="X123" i="9"/>
  <c r="X124" i="9"/>
  <c r="X125" i="9"/>
  <c r="X126" i="9"/>
  <c r="X127" i="9"/>
  <c r="X128" i="9"/>
  <c r="X129" i="9"/>
  <c r="X130" i="9"/>
  <c r="X131" i="9"/>
  <c r="X132" i="9"/>
  <c r="X133" i="9"/>
  <c r="X134" i="9"/>
  <c r="X135" i="9"/>
  <c r="X136" i="9"/>
  <c r="X137" i="9"/>
  <c r="X138" i="9"/>
  <c r="X139" i="9"/>
  <c r="X140" i="9"/>
  <c r="X141" i="9"/>
  <c r="X142" i="9"/>
  <c r="X143" i="9"/>
  <c r="X144" i="9"/>
  <c r="X145" i="9"/>
  <c r="X146" i="9"/>
  <c r="X147" i="9"/>
  <c r="X148" i="9"/>
  <c r="X149" i="9"/>
  <c r="X150" i="9"/>
  <c r="X151" i="9"/>
  <c r="X152" i="9"/>
  <c r="X153" i="9"/>
  <c r="X154" i="9"/>
  <c r="X155" i="9"/>
  <c r="X156" i="9"/>
  <c r="X157" i="9"/>
  <c r="X158" i="9"/>
  <c r="X159" i="9"/>
  <c r="X160" i="9"/>
  <c r="X161" i="9"/>
  <c r="X162" i="9"/>
  <c r="X163" i="9"/>
  <c r="X164" i="9"/>
  <c r="X165" i="9"/>
  <c r="X166" i="9"/>
  <c r="X167" i="9"/>
  <c r="X168" i="9"/>
  <c r="X169" i="9"/>
  <c r="X170" i="9"/>
  <c r="X171" i="9"/>
  <c r="X172" i="9"/>
  <c r="X173" i="9"/>
  <c r="X174" i="9"/>
  <c r="X175" i="9"/>
  <c r="X176" i="9"/>
  <c r="X177" i="9"/>
  <c r="X178" i="9"/>
  <c r="X179" i="9"/>
  <c r="X180" i="9"/>
  <c r="X181" i="9"/>
  <c r="X182" i="9"/>
  <c r="X183" i="9"/>
  <c r="X184" i="9"/>
  <c r="X185" i="9"/>
  <c r="X186" i="9"/>
  <c r="X187" i="9"/>
  <c r="X188" i="9"/>
  <c r="X189" i="9"/>
  <c r="X190" i="9"/>
  <c r="X191" i="9"/>
  <c r="X192" i="9"/>
  <c r="X193" i="9"/>
  <c r="X194" i="9"/>
  <c r="X195" i="9"/>
  <c r="X196" i="9"/>
  <c r="X197" i="9"/>
  <c r="X198" i="9"/>
  <c r="X199" i="9"/>
  <c r="X200" i="9"/>
  <c r="X201" i="9"/>
  <c r="X202" i="9"/>
  <c r="X203" i="9"/>
  <c r="X204" i="9"/>
  <c r="X205" i="9"/>
  <c r="X206" i="9"/>
  <c r="X207" i="9"/>
  <c r="X208" i="9"/>
  <c r="X209" i="9"/>
  <c r="X210" i="9"/>
  <c r="X211" i="9"/>
  <c r="X212" i="9"/>
  <c r="X213" i="9"/>
  <c r="X214" i="9"/>
  <c r="X215" i="9"/>
  <c r="X216" i="9"/>
  <c r="X217" i="9"/>
  <c r="X218" i="9"/>
  <c r="X219" i="9"/>
  <c r="X220" i="9"/>
  <c r="X221" i="9"/>
  <c r="X222" i="9"/>
  <c r="X223" i="9"/>
  <c r="X224" i="9"/>
  <c r="X225" i="9"/>
  <c r="X226" i="9"/>
  <c r="X227" i="9"/>
  <c r="X228" i="9"/>
  <c r="X229" i="9"/>
  <c r="X230" i="9"/>
  <c r="X231" i="9"/>
  <c r="X232" i="9"/>
  <c r="X233" i="9"/>
  <c r="X234" i="9"/>
  <c r="X235" i="9"/>
  <c r="X236" i="9"/>
  <c r="X237" i="9"/>
  <c r="X238" i="9"/>
  <c r="X239" i="9"/>
  <c r="X240" i="9"/>
  <c r="X241" i="9"/>
  <c r="X242" i="9"/>
  <c r="X243" i="9"/>
  <c r="X244" i="9"/>
  <c r="X245" i="9"/>
  <c r="X246" i="9"/>
  <c r="X247" i="9"/>
  <c r="X248" i="9"/>
  <c r="X249" i="9"/>
  <c r="X250" i="9"/>
  <c r="X251" i="9"/>
  <c r="X252" i="9"/>
  <c r="X253" i="9"/>
  <c r="X254" i="9"/>
  <c r="X255" i="9"/>
  <c r="X256" i="9"/>
  <c r="X257" i="9"/>
  <c r="X258" i="9"/>
  <c r="X259" i="9"/>
  <c r="X260" i="9"/>
  <c r="X261" i="9"/>
  <c r="X262" i="9"/>
  <c r="X263" i="9"/>
  <c r="X264" i="9"/>
  <c r="X265" i="9"/>
  <c r="X266" i="9"/>
  <c r="X267" i="9"/>
  <c r="X268" i="9"/>
  <c r="X269" i="9"/>
  <c r="X270" i="9"/>
  <c r="X271" i="9"/>
  <c r="X272" i="9"/>
  <c r="X273" i="9"/>
  <c r="X274" i="9"/>
  <c r="X275" i="9"/>
  <c r="X276" i="9"/>
  <c r="X277" i="9"/>
  <c r="X278" i="9"/>
  <c r="X279" i="9"/>
  <c r="X280" i="9"/>
  <c r="X281" i="9"/>
  <c r="X282" i="9"/>
  <c r="X283" i="9"/>
  <c r="X284" i="9"/>
  <c r="X285" i="9"/>
  <c r="X286" i="9"/>
  <c r="X287" i="9"/>
  <c r="X288" i="9"/>
  <c r="X289" i="9"/>
  <c r="X290" i="9"/>
  <c r="X291" i="9"/>
  <c r="X292" i="9"/>
  <c r="X293" i="9"/>
  <c r="X294" i="9"/>
  <c r="X295" i="9"/>
  <c r="X296" i="9"/>
  <c r="X297" i="9"/>
  <c r="X298" i="9"/>
  <c r="X299" i="9"/>
  <c r="X300" i="9"/>
  <c r="X301" i="9"/>
  <c r="X302" i="9"/>
  <c r="X303" i="9"/>
  <c r="X304" i="9"/>
  <c r="X305" i="9"/>
  <c r="X306" i="9"/>
  <c r="X307" i="9"/>
  <c r="X308" i="9"/>
  <c r="X309" i="9"/>
  <c r="X310" i="9"/>
  <c r="X311" i="9"/>
  <c r="X312" i="9"/>
  <c r="X313" i="9"/>
  <c r="X314" i="9"/>
  <c r="X315" i="9"/>
  <c r="X316" i="9"/>
  <c r="X317" i="9"/>
  <c r="X318" i="9"/>
  <c r="X319" i="9"/>
  <c r="X320" i="9"/>
  <c r="X321" i="9"/>
  <c r="X322" i="9"/>
  <c r="X323" i="9"/>
  <c r="X324" i="9"/>
  <c r="X325" i="9"/>
  <c r="X326" i="9"/>
  <c r="X327" i="9"/>
  <c r="X328" i="9"/>
  <c r="X329" i="9"/>
  <c r="X330" i="9"/>
  <c r="X331" i="9"/>
  <c r="X332" i="9"/>
  <c r="X333" i="9"/>
  <c r="X334" i="9"/>
  <c r="X335" i="9"/>
  <c r="X336" i="9"/>
  <c r="X337" i="9"/>
  <c r="X338" i="9"/>
  <c r="X339" i="9"/>
  <c r="X340" i="9"/>
  <c r="X341" i="9"/>
  <c r="X342" i="9"/>
  <c r="X343" i="9"/>
  <c r="X344" i="9"/>
  <c r="X345" i="9"/>
  <c r="X346" i="9"/>
  <c r="X347" i="9"/>
  <c r="X348" i="9"/>
  <c r="X349" i="9"/>
  <c r="X350" i="9"/>
  <c r="X351" i="9"/>
  <c r="X352" i="9"/>
  <c r="X353" i="9"/>
  <c r="X354" i="9"/>
  <c r="X355" i="9"/>
  <c r="X356" i="9"/>
  <c r="X357" i="9"/>
  <c r="X358" i="9"/>
  <c r="X359" i="9"/>
  <c r="X360" i="9"/>
  <c r="X361" i="9"/>
  <c r="X362" i="9"/>
  <c r="X363" i="9"/>
  <c r="X364" i="9"/>
  <c r="X365" i="9"/>
  <c r="X366" i="9"/>
  <c r="X367" i="9"/>
  <c r="X368" i="9"/>
  <c r="X369" i="9"/>
  <c r="X370" i="9"/>
  <c r="X371" i="9"/>
  <c r="X372" i="9"/>
  <c r="X373" i="9"/>
  <c r="X374" i="9"/>
  <c r="X375" i="9"/>
  <c r="X376" i="9"/>
  <c r="X377" i="9"/>
  <c r="X378" i="9"/>
  <c r="X379" i="9"/>
  <c r="X380" i="9"/>
  <c r="X381" i="9"/>
  <c r="X382" i="9"/>
  <c r="X383" i="9"/>
  <c r="X384" i="9"/>
  <c r="X385" i="9"/>
  <c r="X386" i="9"/>
  <c r="X387" i="9"/>
  <c r="X388" i="9"/>
  <c r="X389" i="9"/>
  <c r="X390" i="9"/>
  <c r="X391" i="9"/>
  <c r="X392" i="9"/>
  <c r="X393" i="9"/>
  <c r="X394" i="9"/>
  <c r="X395" i="9"/>
  <c r="X396" i="9"/>
  <c r="X397" i="9"/>
  <c r="X398" i="9"/>
  <c r="X399" i="9"/>
  <c r="X400" i="9"/>
  <c r="X401" i="9"/>
  <c r="X402" i="9"/>
  <c r="X403" i="9"/>
  <c r="X404" i="9"/>
  <c r="X405" i="9"/>
  <c r="X406" i="9"/>
  <c r="X407" i="9"/>
  <c r="X408" i="9"/>
  <c r="X409" i="9"/>
  <c r="X410" i="9"/>
  <c r="X411" i="9"/>
  <c r="X412" i="9"/>
  <c r="X413" i="9"/>
  <c r="X414" i="9"/>
  <c r="X415" i="9"/>
  <c r="X416" i="9"/>
  <c r="X417" i="9"/>
  <c r="X418" i="9"/>
  <c r="X419" i="9"/>
  <c r="X420" i="9"/>
  <c r="X421" i="9"/>
  <c r="X422" i="9"/>
  <c r="X423" i="9"/>
  <c r="X424" i="9"/>
  <c r="X425" i="9"/>
  <c r="X426" i="9"/>
  <c r="X427" i="9"/>
  <c r="X428" i="9"/>
  <c r="X429" i="9"/>
  <c r="X430" i="9"/>
  <c r="X431" i="9"/>
  <c r="X432" i="9"/>
  <c r="X433" i="9"/>
  <c r="X434" i="9"/>
  <c r="X435" i="9"/>
  <c r="X436" i="9"/>
  <c r="X437" i="9"/>
  <c r="X438" i="9"/>
  <c r="X439" i="9"/>
  <c r="X440" i="9"/>
  <c r="X441" i="9"/>
  <c r="X442" i="9"/>
  <c r="X443" i="9"/>
  <c r="X444" i="9"/>
  <c r="X445" i="9"/>
  <c r="X446" i="9"/>
  <c r="X447" i="9"/>
  <c r="X448" i="9"/>
  <c r="X449" i="9"/>
  <c r="X450" i="9"/>
  <c r="X451" i="9"/>
  <c r="X452" i="9"/>
  <c r="X453" i="9"/>
  <c r="X454" i="9"/>
  <c r="X455" i="9"/>
  <c r="X456" i="9"/>
  <c r="X457" i="9"/>
  <c r="X458" i="9"/>
  <c r="X459" i="9"/>
  <c r="X460" i="9"/>
  <c r="X461" i="9"/>
  <c r="X462" i="9"/>
  <c r="X463" i="9"/>
  <c r="X464" i="9"/>
  <c r="X465" i="9"/>
  <c r="X466" i="9"/>
  <c r="X467" i="9"/>
  <c r="X468" i="9"/>
  <c r="X469" i="9"/>
  <c r="X470" i="9"/>
  <c r="X471" i="9"/>
  <c r="X472" i="9"/>
  <c r="X473" i="9"/>
  <c r="X474" i="9"/>
  <c r="X475" i="9"/>
  <c r="X476" i="9"/>
  <c r="X477" i="9"/>
  <c r="X478" i="9"/>
  <c r="X479" i="9"/>
  <c r="X480" i="9"/>
  <c r="X481" i="9"/>
  <c r="X482" i="9"/>
  <c r="X483" i="9"/>
  <c r="X484" i="9"/>
  <c r="X485" i="9"/>
  <c r="X486" i="9"/>
  <c r="X487" i="9"/>
  <c r="X488" i="9"/>
  <c r="X489" i="9"/>
  <c r="X490" i="9"/>
  <c r="X491" i="9"/>
  <c r="X492" i="9"/>
  <c r="X493" i="9"/>
  <c r="X494" i="9"/>
  <c r="X495" i="9"/>
  <c r="X496" i="9"/>
  <c r="X497" i="9"/>
  <c r="X498" i="9"/>
  <c r="X499" i="9"/>
  <c r="X500" i="9"/>
  <c r="X501" i="9"/>
  <c r="X502" i="9"/>
  <c r="X503" i="9"/>
  <c r="X504" i="9"/>
  <c r="X505" i="9"/>
  <c r="X506" i="9"/>
  <c r="X507" i="9"/>
  <c r="X508" i="9"/>
  <c r="X509" i="9"/>
  <c r="X510" i="9"/>
  <c r="X511" i="9"/>
  <c r="X512" i="9"/>
  <c r="X513" i="9"/>
  <c r="X514" i="9"/>
  <c r="X515" i="9"/>
  <c r="X516" i="9"/>
  <c r="X517" i="9"/>
  <c r="X518" i="9"/>
  <c r="X519" i="9"/>
  <c r="X520" i="9"/>
  <c r="X521" i="9"/>
  <c r="X522" i="9"/>
  <c r="X523" i="9"/>
  <c r="X524" i="9"/>
  <c r="X525" i="9"/>
  <c r="X526" i="9"/>
  <c r="X527" i="9"/>
  <c r="X528" i="9"/>
  <c r="X529" i="9"/>
  <c r="X530" i="9"/>
  <c r="X531" i="9"/>
  <c r="X532" i="9"/>
  <c r="X533" i="9"/>
  <c r="X534" i="9"/>
  <c r="X535" i="9"/>
  <c r="X536" i="9"/>
  <c r="X537" i="9"/>
  <c r="X538" i="9"/>
  <c r="X539" i="9"/>
  <c r="X540" i="9"/>
  <c r="X541" i="9"/>
  <c r="X542" i="9"/>
  <c r="X543" i="9"/>
  <c r="X544" i="9"/>
  <c r="X545" i="9"/>
  <c r="X546" i="9"/>
  <c r="X547" i="9"/>
  <c r="X548" i="9"/>
  <c r="X549" i="9"/>
  <c r="X550" i="9"/>
  <c r="X551" i="9"/>
  <c r="X552" i="9"/>
  <c r="X553" i="9"/>
  <c r="X554" i="9"/>
  <c r="X555" i="9"/>
  <c r="X556" i="9"/>
  <c r="X557" i="9"/>
  <c r="X558" i="9"/>
  <c r="X559" i="9"/>
  <c r="X560" i="9"/>
  <c r="X561" i="9"/>
  <c r="X562" i="9"/>
  <c r="X563" i="9"/>
  <c r="X564" i="9"/>
  <c r="X565" i="9"/>
  <c r="X566" i="9"/>
  <c r="X567" i="9"/>
  <c r="X568" i="9"/>
  <c r="X569" i="9"/>
  <c r="X570" i="9"/>
  <c r="X571" i="9"/>
  <c r="X572" i="9"/>
  <c r="X573" i="9"/>
  <c r="X574" i="9"/>
  <c r="X575" i="9"/>
  <c r="X576" i="9"/>
  <c r="X577" i="9"/>
  <c r="X578" i="9"/>
  <c r="X579" i="9"/>
  <c r="X580" i="9"/>
  <c r="X581" i="9"/>
  <c r="X582" i="9"/>
  <c r="X583" i="9"/>
  <c r="X584" i="9"/>
  <c r="X585" i="9"/>
  <c r="X586" i="9"/>
  <c r="X587" i="9"/>
  <c r="X588" i="9"/>
  <c r="X589" i="9"/>
  <c r="X590" i="9"/>
  <c r="X591" i="9"/>
  <c r="X592" i="9"/>
  <c r="X593" i="9"/>
  <c r="X594" i="9"/>
  <c r="X595" i="9"/>
  <c r="X596" i="9"/>
  <c r="X597" i="9"/>
  <c r="X598" i="9"/>
  <c r="X599" i="9"/>
  <c r="X600" i="9"/>
  <c r="X601" i="9"/>
  <c r="X602" i="9"/>
  <c r="X603" i="9"/>
  <c r="X604" i="9"/>
  <c r="X605" i="9"/>
  <c r="X606" i="9"/>
  <c r="X607" i="9"/>
  <c r="X608" i="9"/>
  <c r="X609" i="9"/>
  <c r="X610" i="9"/>
  <c r="X611" i="9"/>
  <c r="X612" i="9"/>
  <c r="X613" i="9"/>
  <c r="X614" i="9"/>
  <c r="X615" i="9"/>
  <c r="X616" i="9"/>
  <c r="X617" i="9"/>
  <c r="X618" i="9"/>
  <c r="X619" i="9"/>
  <c r="X620" i="9"/>
  <c r="X621" i="9"/>
  <c r="X622" i="9"/>
  <c r="X623" i="9"/>
  <c r="X624" i="9"/>
  <c r="X625" i="9"/>
  <c r="X626" i="9"/>
  <c r="X627" i="9"/>
  <c r="X628" i="9"/>
  <c r="X629" i="9"/>
  <c r="X630" i="9"/>
  <c r="X631" i="9"/>
  <c r="X632" i="9"/>
  <c r="X633" i="9"/>
  <c r="X634" i="9"/>
  <c r="X635" i="9"/>
  <c r="X636" i="9"/>
  <c r="X637" i="9"/>
  <c r="X638" i="9"/>
  <c r="X639" i="9"/>
  <c r="X640" i="9"/>
  <c r="X641" i="9"/>
  <c r="X642" i="9"/>
  <c r="X643" i="9"/>
  <c r="X644" i="9"/>
  <c r="X645" i="9"/>
  <c r="X646" i="9"/>
  <c r="X647" i="9"/>
  <c r="X648" i="9"/>
  <c r="X649" i="9"/>
  <c r="X650" i="9"/>
  <c r="X651" i="9"/>
  <c r="X652" i="9"/>
  <c r="X653" i="9"/>
  <c r="X654" i="9"/>
  <c r="X655" i="9"/>
  <c r="X656" i="9"/>
  <c r="X657" i="9"/>
  <c r="X658" i="9"/>
  <c r="X659" i="9"/>
  <c r="X660" i="9"/>
  <c r="X661" i="9"/>
  <c r="X662" i="9"/>
  <c r="X663" i="9"/>
  <c r="X664" i="9"/>
  <c r="X665" i="9"/>
  <c r="X666" i="9"/>
  <c r="X667" i="9"/>
  <c r="X668" i="9"/>
  <c r="X669" i="9"/>
  <c r="X670" i="9"/>
  <c r="X671" i="9"/>
  <c r="X672" i="9"/>
  <c r="X673" i="9"/>
  <c r="X674" i="9"/>
  <c r="X675" i="9"/>
  <c r="X676" i="9"/>
  <c r="X677" i="9"/>
  <c r="X678" i="9"/>
  <c r="X679" i="9"/>
  <c r="X680" i="9"/>
  <c r="X681" i="9"/>
  <c r="X682" i="9"/>
  <c r="X683" i="9"/>
  <c r="X684" i="9"/>
  <c r="X685" i="9"/>
  <c r="X686" i="9"/>
  <c r="X687" i="9"/>
  <c r="X688" i="9"/>
  <c r="X689" i="9"/>
  <c r="X690" i="9"/>
  <c r="X691" i="9"/>
  <c r="X692" i="9"/>
  <c r="X693" i="9"/>
  <c r="X694" i="9"/>
  <c r="X695" i="9"/>
  <c r="X696" i="9"/>
  <c r="X697" i="9"/>
  <c r="X698" i="9"/>
  <c r="X699" i="9"/>
  <c r="X700" i="9"/>
  <c r="X701" i="9"/>
  <c r="X702" i="9"/>
  <c r="X703" i="9"/>
  <c r="X704" i="9"/>
  <c r="X705" i="9"/>
  <c r="X706" i="9"/>
  <c r="X707" i="9"/>
  <c r="X708" i="9"/>
  <c r="X709" i="9"/>
  <c r="X710" i="9"/>
  <c r="X711" i="9"/>
  <c r="X712" i="9"/>
  <c r="X713" i="9"/>
  <c r="X714" i="9"/>
  <c r="X715" i="9"/>
  <c r="X716" i="9"/>
  <c r="X717" i="9"/>
  <c r="X718" i="9"/>
  <c r="X719" i="9"/>
  <c r="X720" i="9"/>
  <c r="X721" i="9"/>
  <c r="X722" i="9"/>
  <c r="X723" i="9"/>
  <c r="X724" i="9"/>
  <c r="X725" i="9"/>
  <c r="X726" i="9"/>
  <c r="X727" i="9"/>
  <c r="X728" i="9"/>
  <c r="X729" i="9"/>
  <c r="X730" i="9"/>
  <c r="X731" i="9"/>
  <c r="X732" i="9"/>
  <c r="X733" i="9"/>
  <c r="X734" i="9"/>
  <c r="X735" i="9"/>
  <c r="X736" i="9"/>
  <c r="X737" i="9"/>
  <c r="X738" i="9"/>
  <c r="X739" i="9"/>
  <c r="X740" i="9"/>
  <c r="X741" i="9"/>
  <c r="X742" i="9"/>
  <c r="X743" i="9"/>
  <c r="X744" i="9"/>
  <c r="X745" i="9"/>
  <c r="X746" i="9"/>
  <c r="X747" i="9"/>
  <c r="X748" i="9"/>
  <c r="X749" i="9"/>
  <c r="X750" i="9"/>
  <c r="X751" i="9"/>
  <c r="X752" i="9"/>
  <c r="X753" i="9"/>
  <c r="X754" i="9"/>
  <c r="X755" i="9"/>
  <c r="X756" i="9"/>
  <c r="X757" i="9"/>
  <c r="X758" i="9"/>
  <c r="X759" i="9"/>
  <c r="X760" i="9"/>
  <c r="X761" i="9"/>
  <c r="X762" i="9"/>
  <c r="X763" i="9"/>
  <c r="X764" i="9"/>
  <c r="X765" i="9"/>
  <c r="X766" i="9"/>
  <c r="X767" i="9"/>
  <c r="X768" i="9"/>
  <c r="X769" i="9"/>
  <c r="X770" i="9"/>
  <c r="X771" i="9"/>
  <c r="X772" i="9"/>
  <c r="X773" i="9"/>
  <c r="X774" i="9"/>
  <c r="X775" i="9"/>
  <c r="X776" i="9"/>
  <c r="X777" i="9"/>
  <c r="X778" i="9"/>
  <c r="X779" i="9"/>
  <c r="X780" i="9"/>
  <c r="X781" i="9"/>
  <c r="X782" i="9"/>
  <c r="X783" i="9"/>
  <c r="X784" i="9"/>
  <c r="X785" i="9"/>
  <c r="X786" i="9"/>
  <c r="X787" i="9"/>
  <c r="X788" i="9"/>
  <c r="X789" i="9"/>
  <c r="X790" i="9"/>
  <c r="X791" i="9"/>
  <c r="X792" i="9"/>
  <c r="X793" i="9"/>
  <c r="X794" i="9"/>
  <c r="X795" i="9"/>
  <c r="X796" i="9"/>
  <c r="X797" i="9"/>
  <c r="X798" i="9"/>
  <c r="X799" i="9"/>
  <c r="X800" i="9"/>
  <c r="X801" i="9"/>
  <c r="X802" i="9"/>
  <c r="X803" i="9"/>
  <c r="X804" i="9"/>
  <c r="X805" i="9"/>
  <c r="X806" i="9"/>
  <c r="X807" i="9"/>
  <c r="X808" i="9"/>
  <c r="X809" i="9"/>
  <c r="X810" i="9"/>
  <c r="X811" i="9"/>
  <c r="X812" i="9"/>
  <c r="X813" i="9"/>
  <c r="X814" i="9"/>
  <c r="X815" i="9"/>
  <c r="X816" i="9"/>
  <c r="X817" i="9"/>
  <c r="X818" i="9"/>
  <c r="X819" i="9"/>
  <c r="X820" i="9"/>
  <c r="X821" i="9"/>
  <c r="X822" i="9"/>
  <c r="X823" i="9"/>
  <c r="X824" i="9"/>
  <c r="X825" i="9"/>
  <c r="X826" i="9"/>
  <c r="X827" i="9"/>
  <c r="X828" i="9"/>
  <c r="X829" i="9"/>
  <c r="X830" i="9"/>
  <c r="X831" i="9"/>
  <c r="X832" i="9"/>
  <c r="X833" i="9"/>
  <c r="X834" i="9"/>
  <c r="X835" i="9"/>
  <c r="X836" i="9"/>
  <c r="X837" i="9"/>
  <c r="X838" i="9"/>
  <c r="X839" i="9"/>
  <c r="X840" i="9"/>
  <c r="X841" i="9"/>
  <c r="X842" i="9"/>
  <c r="X843" i="9"/>
  <c r="X844" i="9"/>
  <c r="X845" i="9"/>
  <c r="X846" i="9"/>
  <c r="X847" i="9"/>
  <c r="X848" i="9"/>
  <c r="X849" i="9"/>
  <c r="X850" i="9"/>
  <c r="X851" i="9"/>
  <c r="X852" i="9"/>
  <c r="X853" i="9"/>
  <c r="X854" i="9"/>
  <c r="X855" i="9"/>
  <c r="X856" i="9"/>
  <c r="X857" i="9"/>
  <c r="X858" i="9"/>
  <c r="X859" i="9"/>
  <c r="X860" i="9"/>
  <c r="X861" i="9"/>
  <c r="X862" i="9"/>
  <c r="X863" i="9"/>
  <c r="X864" i="9"/>
  <c r="X865" i="9"/>
  <c r="X866" i="9"/>
  <c r="X867" i="9"/>
  <c r="X868" i="9"/>
  <c r="X869" i="9"/>
  <c r="X870" i="9"/>
  <c r="X871" i="9"/>
  <c r="X872" i="9"/>
  <c r="X873" i="9"/>
  <c r="X874" i="9"/>
  <c r="X875" i="9"/>
  <c r="X876" i="9"/>
  <c r="X877" i="9"/>
  <c r="X878" i="9"/>
  <c r="X879" i="9"/>
  <c r="X880" i="9"/>
  <c r="X881" i="9"/>
  <c r="X882" i="9"/>
  <c r="X883" i="9"/>
  <c r="X884" i="9"/>
  <c r="X885" i="9"/>
  <c r="X886" i="9"/>
  <c r="X887" i="9"/>
  <c r="X888" i="9"/>
  <c r="X889" i="9"/>
  <c r="X890" i="9"/>
  <c r="X891" i="9"/>
  <c r="X892" i="9"/>
  <c r="X893" i="9"/>
  <c r="X894" i="9"/>
  <c r="X895" i="9"/>
  <c r="X896" i="9"/>
  <c r="X897" i="9"/>
  <c r="X898" i="9"/>
  <c r="X899" i="9"/>
  <c r="X900" i="9"/>
  <c r="X901" i="9"/>
  <c r="X902" i="9"/>
  <c r="X903" i="9"/>
  <c r="X904" i="9"/>
  <c r="X905" i="9"/>
  <c r="X906" i="9"/>
  <c r="X907" i="9"/>
  <c r="X908" i="9"/>
  <c r="X909" i="9"/>
  <c r="X910" i="9"/>
  <c r="X911" i="9"/>
  <c r="X912" i="9"/>
  <c r="X913" i="9"/>
  <c r="X914" i="9"/>
  <c r="X915" i="9"/>
  <c r="X916" i="9"/>
  <c r="X917" i="9"/>
  <c r="X918" i="9"/>
  <c r="X919" i="9"/>
  <c r="X920" i="9"/>
  <c r="X921" i="9"/>
  <c r="X922" i="9"/>
  <c r="X923" i="9"/>
  <c r="X924" i="9"/>
  <c r="X925" i="9"/>
  <c r="X926" i="9"/>
  <c r="X927" i="9"/>
  <c r="X928" i="9"/>
  <c r="X929" i="9"/>
  <c r="X930" i="9"/>
  <c r="X931" i="9"/>
  <c r="X932" i="9"/>
  <c r="X933" i="9"/>
  <c r="X934" i="9"/>
  <c r="X935" i="9"/>
  <c r="X936" i="9"/>
  <c r="X937" i="9"/>
  <c r="X938" i="9"/>
  <c r="X939" i="9"/>
  <c r="X940" i="9"/>
  <c r="X941" i="9"/>
  <c r="X942" i="9"/>
  <c r="X943" i="9"/>
  <c r="X944" i="9"/>
  <c r="X945" i="9"/>
  <c r="X946" i="9"/>
  <c r="X947" i="9"/>
  <c r="X948" i="9"/>
  <c r="X949" i="9"/>
  <c r="X950" i="9"/>
  <c r="X951" i="9"/>
  <c r="X952" i="9"/>
  <c r="X953" i="9"/>
  <c r="X954" i="9"/>
  <c r="X955" i="9"/>
  <c r="X956" i="9"/>
  <c r="X957" i="9"/>
  <c r="X958" i="9"/>
  <c r="X959" i="9"/>
  <c r="X960" i="9"/>
  <c r="X961" i="9"/>
  <c r="X962" i="9"/>
  <c r="X963" i="9"/>
  <c r="X964" i="9"/>
  <c r="X965" i="9"/>
  <c r="X966" i="9"/>
  <c r="X967" i="9"/>
  <c r="X968" i="9"/>
  <c r="X969" i="9"/>
  <c r="X970" i="9"/>
  <c r="X971" i="9"/>
  <c r="X972" i="9"/>
  <c r="X973" i="9"/>
  <c r="X974" i="9"/>
  <c r="X975" i="9"/>
  <c r="X976" i="9"/>
  <c r="X977" i="9"/>
  <c r="X978" i="9"/>
  <c r="X979" i="9"/>
  <c r="X980" i="9"/>
  <c r="X981" i="9"/>
  <c r="X982" i="9"/>
  <c r="X983" i="9"/>
  <c r="X984" i="9"/>
  <c r="X985" i="9"/>
  <c r="X986" i="9"/>
  <c r="X987" i="9"/>
  <c r="X988" i="9"/>
  <c r="X989" i="9"/>
  <c r="X990" i="9"/>
  <c r="X991" i="9"/>
  <c r="X992" i="9"/>
  <c r="X993" i="9"/>
  <c r="X994" i="9"/>
  <c r="X995" i="9"/>
  <c r="X996" i="9"/>
  <c r="X997" i="9"/>
  <c r="X998" i="9"/>
  <c r="X999" i="9"/>
  <c r="X1000" i="9"/>
  <c r="X1001" i="9"/>
  <c r="X1002" i="9"/>
  <c r="X1003" i="9"/>
  <c r="X1004" i="9"/>
  <c r="X1005" i="9"/>
  <c r="X1006" i="9"/>
  <c r="X1007" i="9"/>
  <c r="X1008" i="9"/>
  <c r="X1009" i="9"/>
  <c r="X1010" i="9"/>
  <c r="X1011" i="9"/>
  <c r="X1012" i="9"/>
  <c r="X1013" i="9"/>
  <c r="X1014" i="9"/>
  <c r="X1015" i="9"/>
  <c r="X1016" i="9"/>
  <c r="X1017" i="9"/>
  <c r="X1018" i="9"/>
  <c r="X1019" i="9"/>
  <c r="X1020" i="9"/>
  <c r="X1021" i="9"/>
  <c r="X1022" i="9"/>
  <c r="X1023" i="9"/>
  <c r="X1024" i="9"/>
  <c r="X1025" i="9"/>
  <c r="X1026" i="9"/>
  <c r="X1027" i="9"/>
  <c r="X1028" i="9"/>
  <c r="X1029" i="9"/>
  <c r="X1030" i="9"/>
  <c r="X1031" i="9"/>
  <c r="X1032" i="9"/>
  <c r="X1033" i="9"/>
  <c r="X1034" i="9"/>
  <c r="X1035" i="9"/>
  <c r="X1036" i="9"/>
  <c r="X1037" i="9"/>
  <c r="X1038" i="9"/>
  <c r="X1039" i="9"/>
  <c r="X1040" i="9"/>
  <c r="X1041" i="9"/>
  <c r="X1042" i="9"/>
  <c r="X1043" i="9"/>
  <c r="X1044" i="9"/>
  <c r="X1045" i="9"/>
  <c r="X1046" i="9"/>
  <c r="X1047" i="9"/>
  <c r="X1048" i="9"/>
  <c r="X1049" i="9"/>
  <c r="X1050" i="9"/>
  <c r="X1051" i="9"/>
  <c r="X1052" i="9"/>
  <c r="X1053" i="9"/>
  <c r="X1054" i="9"/>
  <c r="X1055" i="9"/>
  <c r="X1056" i="9"/>
  <c r="X1057" i="9"/>
  <c r="X1058" i="9"/>
  <c r="X1059" i="9"/>
  <c r="X1060" i="9"/>
  <c r="X1061" i="9"/>
  <c r="X1062" i="9"/>
  <c r="X1063" i="9"/>
  <c r="B11" i="9"/>
  <c r="Z11" i="9"/>
  <c r="AC11" i="9"/>
  <c r="D11" i="9"/>
  <c r="B12" i="9"/>
  <c r="Z12" i="9"/>
  <c r="AC12" i="9"/>
  <c r="D12" i="9"/>
  <c r="H12" i="9"/>
  <c r="B13" i="9"/>
  <c r="Z13" i="9"/>
  <c r="AC13" i="9"/>
  <c r="D13" i="9"/>
  <c r="B14" i="9"/>
  <c r="Z14" i="9"/>
  <c r="D14" i="9"/>
  <c r="B15" i="9"/>
  <c r="Z15" i="9"/>
  <c r="AC15" i="9"/>
  <c r="D15" i="9"/>
  <c r="B16" i="9"/>
  <c r="Z16" i="9"/>
  <c r="AC16" i="9"/>
  <c r="D16" i="9"/>
  <c r="B17" i="9"/>
  <c r="Z17" i="9"/>
  <c r="AC17" i="9"/>
  <c r="D17" i="9"/>
  <c r="B18" i="9"/>
  <c r="Z18" i="9"/>
  <c r="AC18" i="9"/>
  <c r="D18" i="9"/>
  <c r="B19" i="9"/>
  <c r="D19" i="9"/>
  <c r="Z19" i="9"/>
  <c r="AC19" i="9"/>
  <c r="B20" i="9"/>
  <c r="D20" i="9"/>
  <c r="Z20" i="9"/>
  <c r="AC20" i="9"/>
  <c r="B21" i="9"/>
  <c r="Z21" i="9"/>
  <c r="D21" i="9"/>
  <c r="B22" i="9"/>
  <c r="D22" i="9"/>
  <c r="B23" i="9"/>
  <c r="Z23" i="9"/>
  <c r="AC23" i="9"/>
  <c r="D23" i="9"/>
  <c r="B24" i="9"/>
  <c r="Z24" i="9"/>
  <c r="AC24" i="9"/>
  <c r="D24" i="9"/>
  <c r="B25" i="9"/>
  <c r="Z25" i="9"/>
  <c r="D25" i="9"/>
  <c r="B26" i="9"/>
  <c r="D26" i="9"/>
  <c r="B27" i="9"/>
  <c r="Z27" i="9"/>
  <c r="AC27" i="9"/>
  <c r="D27" i="9"/>
  <c r="B28" i="9"/>
  <c r="Z28" i="9"/>
  <c r="AC28" i="9"/>
  <c r="D28" i="9"/>
  <c r="B29" i="9"/>
  <c r="Z29" i="9"/>
  <c r="D29" i="9"/>
  <c r="B30" i="9"/>
  <c r="D30" i="9"/>
  <c r="B31" i="9"/>
  <c r="Z31" i="9"/>
  <c r="D31" i="9"/>
  <c r="B32" i="9"/>
  <c r="Z32" i="9"/>
  <c r="AC32" i="9"/>
  <c r="D32" i="9"/>
  <c r="B33" i="9"/>
  <c r="Z33" i="9"/>
  <c r="D33" i="9"/>
  <c r="B34" i="9"/>
  <c r="D34" i="9"/>
  <c r="B35" i="9"/>
  <c r="Z35" i="9"/>
  <c r="D35" i="9"/>
  <c r="B36" i="9"/>
  <c r="Z36" i="9"/>
  <c r="AC36" i="9"/>
  <c r="D36" i="9"/>
  <c r="B37" i="9"/>
  <c r="Z37" i="9"/>
  <c r="D37" i="9"/>
  <c r="B38" i="9"/>
  <c r="D38" i="9"/>
  <c r="B39" i="9"/>
  <c r="Z39" i="9"/>
  <c r="D39" i="9"/>
  <c r="B40" i="9"/>
  <c r="Z40" i="9"/>
  <c r="AC40" i="9"/>
  <c r="D40" i="9"/>
  <c r="B41" i="9"/>
  <c r="Z41" i="9"/>
  <c r="D41" i="9"/>
  <c r="B42" i="9"/>
  <c r="D42" i="9"/>
  <c r="B43" i="9"/>
  <c r="Z43" i="9"/>
  <c r="D43" i="9"/>
  <c r="B44" i="9"/>
  <c r="Z44" i="9"/>
  <c r="AC44" i="9"/>
  <c r="D44" i="9"/>
  <c r="B45" i="9"/>
  <c r="Z45" i="9"/>
  <c r="D45" i="9"/>
  <c r="B46" i="9"/>
  <c r="D46" i="9"/>
  <c r="B47" i="9"/>
  <c r="Z47" i="9"/>
  <c r="D47" i="9"/>
  <c r="B48" i="9"/>
  <c r="D48" i="9"/>
  <c r="Z48" i="9"/>
  <c r="AC48" i="9"/>
  <c r="B49" i="9"/>
  <c r="Z49" i="9"/>
  <c r="D49" i="9"/>
  <c r="B50" i="9"/>
  <c r="D50" i="9"/>
  <c r="B51" i="9"/>
  <c r="Z51" i="9"/>
  <c r="D51" i="9"/>
  <c r="B52" i="9"/>
  <c r="Z52" i="9"/>
  <c r="AC52" i="9"/>
  <c r="D52" i="9"/>
  <c r="B53" i="9"/>
  <c r="Z53" i="9"/>
  <c r="D53" i="9"/>
  <c r="B54" i="9"/>
  <c r="D54" i="9"/>
  <c r="B55" i="9"/>
  <c r="Z55" i="9"/>
  <c r="D55" i="9"/>
  <c r="B56" i="9"/>
  <c r="Z56" i="9"/>
  <c r="AC56" i="9"/>
  <c r="D56" i="9"/>
  <c r="B57" i="9"/>
  <c r="Z57" i="9"/>
  <c r="D57" i="9"/>
  <c r="B58" i="9"/>
  <c r="D58" i="9"/>
  <c r="B59" i="9"/>
  <c r="Z59" i="9"/>
  <c r="D59" i="9"/>
  <c r="B60" i="9"/>
  <c r="Z60" i="9"/>
  <c r="AC60" i="9"/>
  <c r="D60" i="9"/>
  <c r="B61" i="9"/>
  <c r="Z61" i="9"/>
  <c r="D61" i="9"/>
  <c r="B62" i="9"/>
  <c r="D62" i="9"/>
  <c r="B63" i="9"/>
  <c r="Z63" i="9"/>
  <c r="D63" i="9"/>
  <c r="B64" i="9"/>
  <c r="Z64" i="9"/>
  <c r="AC64" i="9"/>
  <c r="D64" i="9"/>
  <c r="B65" i="9"/>
  <c r="Z65" i="9"/>
  <c r="D65" i="9"/>
  <c r="B66" i="9"/>
  <c r="D66" i="9"/>
  <c r="B67" i="9"/>
  <c r="Z67" i="9"/>
  <c r="D67" i="9"/>
  <c r="B68" i="9"/>
  <c r="Z68" i="9"/>
  <c r="AC68" i="9"/>
  <c r="D68" i="9"/>
  <c r="B69" i="9"/>
  <c r="Z69" i="9"/>
  <c r="D69" i="9"/>
  <c r="B70" i="9"/>
  <c r="D70" i="9"/>
  <c r="B71" i="9"/>
  <c r="Z71" i="9"/>
  <c r="D71" i="9"/>
  <c r="B72" i="9"/>
  <c r="D72" i="9"/>
  <c r="Z72" i="9"/>
  <c r="AC72" i="9"/>
  <c r="B73" i="9"/>
  <c r="Z73" i="9"/>
  <c r="D73" i="9"/>
  <c r="B74" i="9"/>
  <c r="D74" i="9"/>
  <c r="B75" i="9"/>
  <c r="Z75" i="9"/>
  <c r="D75" i="9"/>
  <c r="B76" i="9"/>
  <c r="D76" i="9"/>
  <c r="Z76" i="9"/>
  <c r="AC76" i="9"/>
  <c r="B77" i="9"/>
  <c r="Z77" i="9"/>
  <c r="D77" i="9"/>
  <c r="B78" i="9"/>
  <c r="D78" i="9"/>
  <c r="B79" i="9"/>
  <c r="Z79" i="9"/>
  <c r="D79" i="9"/>
  <c r="B80" i="9"/>
  <c r="Z80" i="9"/>
  <c r="AC80" i="9"/>
  <c r="D80" i="9"/>
  <c r="B81" i="9"/>
  <c r="Z81" i="9"/>
  <c r="D81" i="9"/>
  <c r="B82" i="9"/>
  <c r="D82" i="9"/>
  <c r="B83" i="9"/>
  <c r="Z83" i="9"/>
  <c r="D83" i="9"/>
  <c r="B84" i="9"/>
  <c r="Z84" i="9"/>
  <c r="AC84" i="9"/>
  <c r="D84" i="9"/>
  <c r="B85" i="9"/>
  <c r="Z85" i="9"/>
  <c r="D85" i="9"/>
  <c r="B86" i="9"/>
  <c r="D86" i="9"/>
  <c r="B87" i="9"/>
  <c r="Z87" i="9"/>
  <c r="D87" i="9"/>
  <c r="B88" i="9"/>
  <c r="Z88" i="9"/>
  <c r="AC88" i="9"/>
  <c r="D88" i="9"/>
  <c r="B89" i="9"/>
  <c r="Z89" i="9"/>
  <c r="D89" i="9"/>
  <c r="B90" i="9"/>
  <c r="D90" i="9"/>
  <c r="B91" i="9"/>
  <c r="Z91" i="9"/>
  <c r="D91" i="9"/>
  <c r="B92" i="9"/>
  <c r="D92" i="9"/>
  <c r="Z92" i="9"/>
  <c r="AC92" i="9"/>
  <c r="B93" i="9"/>
  <c r="Z93" i="9"/>
  <c r="AC93" i="9"/>
  <c r="D93" i="9"/>
  <c r="B94" i="9"/>
  <c r="Z94" i="9"/>
  <c r="D94" i="9"/>
  <c r="B95" i="9"/>
  <c r="D95" i="9"/>
  <c r="B96" i="9"/>
  <c r="Z96" i="9"/>
  <c r="AC96" i="9"/>
  <c r="D96" i="9"/>
  <c r="B97" i="9"/>
  <c r="Z97" i="9"/>
  <c r="D97" i="9"/>
  <c r="AC97" i="9"/>
  <c r="B98" i="9"/>
  <c r="Z98" i="9"/>
  <c r="D98" i="9"/>
  <c r="B99" i="9"/>
  <c r="D99" i="9"/>
  <c r="B100" i="9"/>
  <c r="Z100" i="9"/>
  <c r="AC100" i="9"/>
  <c r="D100" i="9"/>
  <c r="B101" i="9"/>
  <c r="Z101" i="9"/>
  <c r="D101" i="9"/>
  <c r="B102" i="9"/>
  <c r="Z102" i="9"/>
  <c r="D102" i="9"/>
  <c r="B103" i="9"/>
  <c r="D103" i="9"/>
  <c r="B104" i="9"/>
  <c r="Z104" i="9"/>
  <c r="AC104" i="9"/>
  <c r="D104" i="9"/>
  <c r="B105" i="9"/>
  <c r="Z105" i="9"/>
  <c r="D105" i="9"/>
  <c r="B106" i="9"/>
  <c r="Z106" i="9"/>
  <c r="D106" i="9"/>
  <c r="B107" i="9"/>
  <c r="D107" i="9"/>
  <c r="B108" i="9"/>
  <c r="Z108" i="9"/>
  <c r="AC108" i="9"/>
  <c r="D108" i="9"/>
  <c r="B109" i="9"/>
  <c r="Z109" i="9"/>
  <c r="D109" i="9"/>
  <c r="B110" i="9"/>
  <c r="Z110" i="9"/>
  <c r="D110" i="9"/>
  <c r="B111" i="9"/>
  <c r="D111" i="9"/>
  <c r="B112" i="9"/>
  <c r="Z112" i="9"/>
  <c r="AC112" i="9"/>
  <c r="D112" i="9"/>
  <c r="B113" i="9"/>
  <c r="Z113" i="9"/>
  <c r="D113" i="9"/>
  <c r="B114" i="9"/>
  <c r="Z114" i="9"/>
  <c r="D114" i="9"/>
  <c r="B115" i="9"/>
  <c r="D115" i="9"/>
  <c r="B116" i="9"/>
  <c r="D116" i="9"/>
  <c r="Z116" i="9"/>
  <c r="AC116" i="9"/>
  <c r="B117" i="9"/>
  <c r="Z117" i="9"/>
  <c r="D117" i="9"/>
  <c r="B118" i="9"/>
  <c r="Z118" i="9"/>
  <c r="D118" i="9"/>
  <c r="B119" i="9"/>
  <c r="D119" i="9"/>
  <c r="B120" i="9"/>
  <c r="D120" i="9"/>
  <c r="Z120" i="9"/>
  <c r="AC120" i="9"/>
  <c r="B121" i="9"/>
  <c r="Z121" i="9"/>
  <c r="D121" i="9"/>
  <c r="B122" i="9"/>
  <c r="Z122" i="9"/>
  <c r="D122" i="9"/>
  <c r="B123" i="9"/>
  <c r="D123" i="9"/>
  <c r="B124" i="9"/>
  <c r="Z124" i="9"/>
  <c r="AC124" i="9"/>
  <c r="D124" i="9"/>
  <c r="B125" i="9"/>
  <c r="Z125" i="9"/>
  <c r="D125" i="9"/>
  <c r="B126" i="9"/>
  <c r="Z126" i="9"/>
  <c r="D126" i="9"/>
  <c r="B127" i="9"/>
  <c r="D127" i="9"/>
  <c r="B128" i="9"/>
  <c r="D128" i="9"/>
  <c r="Z128" i="9"/>
  <c r="AC128" i="9"/>
  <c r="B129" i="9"/>
  <c r="Z129" i="9"/>
  <c r="AC129" i="9"/>
  <c r="D129" i="9"/>
  <c r="B130" i="9"/>
  <c r="Z130" i="9"/>
  <c r="D130" i="9"/>
  <c r="B131" i="9"/>
  <c r="D131" i="9"/>
  <c r="B132" i="9"/>
  <c r="Z132" i="9"/>
  <c r="AC132" i="9"/>
  <c r="D132" i="9"/>
  <c r="B133" i="9"/>
  <c r="Z133" i="9"/>
  <c r="D133" i="9"/>
  <c r="AC133" i="9"/>
  <c r="B134" i="9"/>
  <c r="D134" i="9"/>
  <c r="Z134" i="9"/>
  <c r="B135" i="9"/>
  <c r="D135" i="9"/>
  <c r="B136" i="9"/>
  <c r="Z136" i="9"/>
  <c r="D136" i="9"/>
  <c r="B137" i="9"/>
  <c r="D137" i="9"/>
  <c r="B138" i="9"/>
  <c r="Z138" i="9"/>
  <c r="AC138" i="9"/>
  <c r="D138" i="9"/>
  <c r="B139" i="9"/>
  <c r="Z139" i="9"/>
  <c r="AC139" i="9"/>
  <c r="D139" i="9"/>
  <c r="B140" i="9"/>
  <c r="Z140" i="9"/>
  <c r="AC140" i="9"/>
  <c r="D140" i="9"/>
  <c r="B141" i="9"/>
  <c r="D141" i="9"/>
  <c r="Z141" i="9"/>
  <c r="AC141" i="9"/>
  <c r="B142" i="9"/>
  <c r="Z142" i="9"/>
  <c r="AC142" i="9"/>
  <c r="D142" i="9"/>
  <c r="B143" i="9"/>
  <c r="Z143" i="9"/>
  <c r="AC143" i="9"/>
  <c r="D143" i="9"/>
  <c r="B144" i="9"/>
  <c r="Z144" i="9"/>
  <c r="AC144" i="9"/>
  <c r="D144" i="9"/>
  <c r="B145" i="9"/>
  <c r="Z145" i="9"/>
  <c r="AC145" i="9"/>
  <c r="D145" i="9"/>
  <c r="B146" i="9"/>
  <c r="Z146" i="9"/>
  <c r="AC146" i="9"/>
  <c r="D146" i="9"/>
  <c r="B147" i="9"/>
  <c r="Z147" i="9"/>
  <c r="AC147" i="9"/>
  <c r="D147" i="9"/>
  <c r="B148" i="9"/>
  <c r="Z148" i="9"/>
  <c r="AC148" i="9"/>
  <c r="D148" i="9"/>
  <c r="B149" i="9"/>
  <c r="D149" i="9"/>
  <c r="B150" i="9"/>
  <c r="Z150" i="9"/>
  <c r="D150" i="9"/>
  <c r="B151" i="9"/>
  <c r="D151" i="9"/>
  <c r="Z151" i="9"/>
  <c r="B152" i="9"/>
  <c r="D152" i="9"/>
  <c r="B153" i="9"/>
  <c r="D153" i="9"/>
  <c r="Z153" i="9"/>
  <c r="AC153" i="9"/>
  <c r="B154" i="9"/>
  <c r="Z154" i="9"/>
  <c r="D154" i="9"/>
  <c r="B155" i="9"/>
  <c r="Z155" i="9"/>
  <c r="D155" i="9"/>
  <c r="B156" i="9"/>
  <c r="D156" i="9"/>
  <c r="B157" i="9"/>
  <c r="D157" i="9"/>
  <c r="Z157" i="9"/>
  <c r="AC157" i="9"/>
  <c r="B158" i="9"/>
  <c r="Z158" i="9"/>
  <c r="D158" i="9"/>
  <c r="B159" i="9"/>
  <c r="Z159" i="9"/>
  <c r="D159" i="9"/>
  <c r="B160" i="9"/>
  <c r="D160" i="9"/>
  <c r="B161" i="9"/>
  <c r="Z161" i="9"/>
  <c r="AC161" i="9"/>
  <c r="D161" i="9"/>
  <c r="B162" i="9"/>
  <c r="Z162" i="9"/>
  <c r="D162" i="9"/>
  <c r="B163" i="9"/>
  <c r="Z163" i="9"/>
  <c r="D163" i="9"/>
  <c r="B164" i="9"/>
  <c r="D164" i="9"/>
  <c r="B165" i="9"/>
  <c r="Z165" i="9"/>
  <c r="AC165" i="9"/>
  <c r="D165" i="9"/>
  <c r="B166" i="9"/>
  <c r="Z166" i="9"/>
  <c r="D166" i="9"/>
  <c r="B167" i="9"/>
  <c r="D167" i="9"/>
  <c r="Z167" i="9"/>
  <c r="B168" i="9"/>
  <c r="D168" i="9"/>
  <c r="B169" i="9"/>
  <c r="D169" i="9"/>
  <c r="Z169" i="9"/>
  <c r="AC169" i="9"/>
  <c r="B170" i="9"/>
  <c r="Z170" i="9"/>
  <c r="D170" i="9"/>
  <c r="B171" i="9"/>
  <c r="Z171" i="9"/>
  <c r="D171" i="9"/>
  <c r="B172" i="9"/>
  <c r="D172" i="9"/>
  <c r="B173" i="9"/>
  <c r="D173" i="9"/>
  <c r="Z173" i="9"/>
  <c r="AC173" i="9"/>
  <c r="B174" i="9"/>
  <c r="Z174" i="9"/>
  <c r="D174" i="9"/>
  <c r="B175" i="9"/>
  <c r="Z175" i="9"/>
  <c r="D175" i="9"/>
  <c r="B176" i="9"/>
  <c r="D176" i="9"/>
  <c r="B177" i="9"/>
  <c r="Z177" i="9"/>
  <c r="AC177" i="9"/>
  <c r="D177" i="9"/>
  <c r="B178" i="9"/>
  <c r="Z178" i="9"/>
  <c r="D178" i="9"/>
  <c r="B179" i="9"/>
  <c r="Z179" i="9"/>
  <c r="D179" i="9"/>
  <c r="B180" i="9"/>
  <c r="D180" i="9"/>
  <c r="B181" i="9"/>
  <c r="Z181" i="9"/>
  <c r="AC181" i="9"/>
  <c r="D181" i="9"/>
  <c r="B182" i="9"/>
  <c r="Z182" i="9"/>
  <c r="D182" i="9"/>
  <c r="B183" i="9"/>
  <c r="D183" i="9"/>
  <c r="Z183" i="9"/>
  <c r="B184" i="9"/>
  <c r="D184" i="9"/>
  <c r="B185" i="9"/>
  <c r="D185" i="9"/>
  <c r="Z185" i="9"/>
  <c r="AC185" i="9"/>
  <c r="B186" i="9"/>
  <c r="Z186" i="9"/>
  <c r="D186" i="9"/>
  <c r="B187" i="9"/>
  <c r="D187" i="9"/>
  <c r="Z187" i="9"/>
  <c r="B188" i="9"/>
  <c r="D188" i="9"/>
  <c r="B189" i="9"/>
  <c r="D189" i="9"/>
  <c r="Z189" i="9"/>
  <c r="AC189" i="9"/>
  <c r="B190" i="9"/>
  <c r="Z190" i="9"/>
  <c r="D190" i="9"/>
  <c r="B191" i="9"/>
  <c r="Z191" i="9"/>
  <c r="D191" i="9"/>
  <c r="B192" i="9"/>
  <c r="D192" i="9"/>
  <c r="B193" i="9"/>
  <c r="Z193" i="9"/>
  <c r="AC193" i="9"/>
  <c r="D193" i="9"/>
  <c r="B194" i="9"/>
  <c r="Z194" i="9"/>
  <c r="D194" i="9"/>
  <c r="B195" i="9"/>
  <c r="Z195" i="9"/>
  <c r="D195" i="9"/>
  <c r="B196" i="9"/>
  <c r="D196" i="9"/>
  <c r="B197" i="9"/>
  <c r="Z197" i="9"/>
  <c r="AC197" i="9"/>
  <c r="D197" i="9"/>
  <c r="B198" i="9"/>
  <c r="Z198" i="9"/>
  <c r="D198" i="9"/>
  <c r="B199" i="9"/>
  <c r="D199" i="9"/>
  <c r="Z199" i="9"/>
  <c r="B200" i="9"/>
  <c r="D200" i="9"/>
  <c r="B201" i="9"/>
  <c r="D201" i="9"/>
  <c r="Z201" i="9"/>
  <c r="AC201" i="9"/>
  <c r="B202" i="9"/>
  <c r="Z202" i="9"/>
  <c r="D202" i="9"/>
  <c r="B203" i="9"/>
  <c r="D203" i="9"/>
  <c r="Z203" i="9"/>
  <c r="B204" i="9"/>
  <c r="D204" i="9"/>
  <c r="B205" i="9"/>
  <c r="D205" i="9"/>
  <c r="Z205" i="9"/>
  <c r="AC205" i="9"/>
  <c r="B206" i="9"/>
  <c r="Z206" i="9"/>
  <c r="D206" i="9"/>
  <c r="B207" i="9"/>
  <c r="Z207" i="9"/>
  <c r="D207" i="9"/>
  <c r="B208" i="9"/>
  <c r="D208" i="9"/>
  <c r="B209" i="9"/>
  <c r="Z209" i="9"/>
  <c r="AC209" i="9"/>
  <c r="D209" i="9"/>
  <c r="B210" i="9"/>
  <c r="Z210" i="9"/>
  <c r="D210" i="9"/>
  <c r="B211" i="9"/>
  <c r="Z211" i="9"/>
  <c r="D211" i="9"/>
  <c r="B212" i="9"/>
  <c r="D212" i="9"/>
  <c r="B213" i="9"/>
  <c r="D213" i="9"/>
  <c r="Z213" i="9"/>
  <c r="AC213" i="9"/>
  <c r="B214" i="9"/>
  <c r="Z214" i="9"/>
  <c r="D214" i="9"/>
  <c r="B215" i="9"/>
  <c r="D215" i="9"/>
  <c r="Z215" i="9"/>
  <c r="B216" i="9"/>
  <c r="D216" i="9"/>
  <c r="B217" i="9"/>
  <c r="D217" i="9"/>
  <c r="Z217" i="9"/>
  <c r="AC217" i="9"/>
  <c r="B218" i="9"/>
  <c r="Z218" i="9"/>
  <c r="D218" i="9"/>
  <c r="B219" i="9"/>
  <c r="D219" i="9"/>
  <c r="Z219" i="9"/>
  <c r="B220" i="9"/>
  <c r="D220" i="9"/>
  <c r="B221" i="9"/>
  <c r="Z221" i="9"/>
  <c r="AC221" i="9"/>
  <c r="D221" i="9"/>
  <c r="B222" i="9"/>
  <c r="Z222" i="9"/>
  <c r="D222" i="9"/>
  <c r="B223" i="9"/>
  <c r="Z223" i="9"/>
  <c r="D223" i="9"/>
  <c r="B224" i="9"/>
  <c r="D224" i="9"/>
  <c r="B225" i="9"/>
  <c r="Z225" i="9"/>
  <c r="AC225" i="9"/>
  <c r="D225" i="9"/>
  <c r="B226" i="9"/>
  <c r="Z226" i="9"/>
  <c r="D226" i="9"/>
  <c r="B227" i="9"/>
  <c r="D227" i="9"/>
  <c r="Z227" i="9"/>
  <c r="B228" i="9"/>
  <c r="D228" i="9"/>
  <c r="B229" i="9"/>
  <c r="D229" i="9"/>
  <c r="Z229" i="9"/>
  <c r="AC229" i="9"/>
  <c r="B230" i="9"/>
  <c r="Z230" i="9"/>
  <c r="D230" i="9"/>
  <c r="B231" i="9"/>
  <c r="D231" i="9"/>
  <c r="Z231" i="9"/>
  <c r="B232" i="9"/>
  <c r="D232" i="9"/>
  <c r="B233" i="9"/>
  <c r="D233" i="9"/>
  <c r="Z233" i="9"/>
  <c r="AC233" i="9"/>
  <c r="B234" i="9"/>
  <c r="Z234" i="9"/>
  <c r="D234" i="9"/>
  <c r="B235" i="9"/>
  <c r="Z235" i="9"/>
  <c r="D235" i="9"/>
  <c r="B236" i="9"/>
  <c r="D236" i="9"/>
  <c r="B237" i="9"/>
  <c r="Z237" i="9"/>
  <c r="AC237" i="9"/>
  <c r="D237" i="9"/>
  <c r="B238" i="9"/>
  <c r="Z238" i="9"/>
  <c r="D238" i="9"/>
  <c r="B239" i="9"/>
  <c r="Z239" i="9"/>
  <c r="D239" i="9"/>
  <c r="B240" i="9"/>
  <c r="D240" i="9"/>
  <c r="B241" i="9"/>
  <c r="Z241" i="9"/>
  <c r="AC241" i="9"/>
  <c r="D241" i="9"/>
  <c r="B242" i="9"/>
  <c r="Z242" i="9"/>
  <c r="D242" i="9"/>
  <c r="B243" i="9"/>
  <c r="D243" i="9"/>
  <c r="Z243" i="9"/>
  <c r="B244" i="9"/>
  <c r="D244" i="9"/>
  <c r="B245" i="9"/>
  <c r="D245" i="9"/>
  <c r="Z245" i="9"/>
  <c r="AC245" i="9"/>
  <c r="B246" i="9"/>
  <c r="Z246" i="9"/>
  <c r="D246" i="9"/>
  <c r="B247" i="9"/>
  <c r="D247" i="9"/>
  <c r="Z247" i="9"/>
  <c r="B248" i="9"/>
  <c r="D248" i="9"/>
  <c r="B249" i="9"/>
  <c r="D249" i="9"/>
  <c r="Z249" i="9"/>
  <c r="AC249" i="9"/>
  <c r="B250" i="9"/>
  <c r="Z250" i="9"/>
  <c r="D250" i="9"/>
  <c r="B251" i="9"/>
  <c r="Z251" i="9"/>
  <c r="D251" i="9"/>
  <c r="B252" i="9"/>
  <c r="D252" i="9"/>
  <c r="B253" i="9"/>
  <c r="Z253" i="9"/>
  <c r="AC253" i="9"/>
  <c r="D253" i="9"/>
  <c r="B254" i="9"/>
  <c r="Z254" i="9"/>
  <c r="D254" i="9"/>
  <c r="B255" i="9"/>
  <c r="Z255" i="9"/>
  <c r="D255" i="9"/>
  <c r="B256" i="9"/>
  <c r="D256" i="9"/>
  <c r="B257" i="9"/>
  <c r="Z257" i="9"/>
  <c r="AC257" i="9"/>
  <c r="D257" i="9"/>
  <c r="B258" i="9"/>
  <c r="Z258" i="9"/>
  <c r="D258" i="9"/>
  <c r="B259" i="9"/>
  <c r="D259" i="9"/>
  <c r="Z259" i="9"/>
  <c r="B260" i="9"/>
  <c r="D260" i="9"/>
  <c r="B261" i="9"/>
  <c r="D261" i="9"/>
  <c r="Z261" i="9"/>
  <c r="AC261" i="9"/>
  <c r="B262" i="9"/>
  <c r="Z262" i="9"/>
  <c r="D262" i="9"/>
  <c r="B263" i="9"/>
  <c r="D263" i="9"/>
  <c r="Z263" i="9"/>
  <c r="B264" i="9"/>
  <c r="D264" i="9"/>
  <c r="B265" i="9"/>
  <c r="D265" i="9"/>
  <c r="Z265" i="9"/>
  <c r="AC265" i="9"/>
  <c r="B266" i="9"/>
  <c r="Z266" i="9"/>
  <c r="D266" i="9"/>
  <c r="B267" i="9"/>
  <c r="Z267" i="9"/>
  <c r="D267" i="9"/>
  <c r="B268" i="9"/>
  <c r="D268" i="9"/>
  <c r="B269" i="9"/>
  <c r="Z269" i="9"/>
  <c r="AC269" i="9"/>
  <c r="D269" i="9"/>
  <c r="B270" i="9"/>
  <c r="Z270" i="9"/>
  <c r="D270" i="9"/>
  <c r="B271" i="9"/>
  <c r="Z271" i="9"/>
  <c r="D271" i="9"/>
  <c r="B272" i="9"/>
  <c r="D272" i="9"/>
  <c r="B273" i="9"/>
  <c r="D273" i="9"/>
  <c r="Z273" i="9"/>
  <c r="AC273" i="9"/>
  <c r="B274" i="9"/>
  <c r="Z274" i="9"/>
  <c r="D274" i="9"/>
  <c r="B275" i="9"/>
  <c r="D275" i="9"/>
  <c r="Z275" i="9"/>
  <c r="B276" i="9"/>
  <c r="D276" i="9"/>
  <c r="B277" i="9"/>
  <c r="Z277" i="9"/>
  <c r="AC277" i="9"/>
  <c r="D277" i="9"/>
  <c r="B278" i="9"/>
  <c r="Z278" i="9"/>
  <c r="D278" i="9"/>
  <c r="B279" i="9"/>
  <c r="Z279" i="9"/>
  <c r="D279" i="9"/>
  <c r="B280" i="9"/>
  <c r="D280" i="9"/>
  <c r="B281" i="9"/>
  <c r="Z281" i="9"/>
  <c r="AC281" i="9"/>
  <c r="D281" i="9"/>
  <c r="B282" i="9"/>
  <c r="Z282" i="9"/>
  <c r="D282" i="9"/>
  <c r="B283" i="9"/>
  <c r="Z283" i="9"/>
  <c r="D283" i="9"/>
  <c r="B284" i="9"/>
  <c r="D284" i="9"/>
  <c r="B285" i="9"/>
  <c r="Z285" i="9"/>
  <c r="AC285" i="9"/>
  <c r="D285" i="9"/>
  <c r="B286" i="9"/>
  <c r="Z286" i="9"/>
  <c r="D286" i="9"/>
  <c r="B287" i="9"/>
  <c r="Z287" i="9"/>
  <c r="D287" i="9"/>
  <c r="B288" i="9"/>
  <c r="D288" i="9"/>
  <c r="B289" i="9"/>
  <c r="Z289" i="9"/>
  <c r="AC289" i="9"/>
  <c r="D289" i="9"/>
  <c r="B290" i="9"/>
  <c r="Z290" i="9"/>
  <c r="D290" i="9"/>
  <c r="B291" i="9"/>
  <c r="Z291" i="9"/>
  <c r="D291" i="9"/>
  <c r="B292" i="9"/>
  <c r="D292" i="9"/>
  <c r="B293" i="9"/>
  <c r="D293" i="9"/>
  <c r="Z293" i="9"/>
  <c r="AC293" i="9"/>
  <c r="B294" i="9"/>
  <c r="Z294" i="9"/>
  <c r="D294" i="9"/>
  <c r="B295" i="9"/>
  <c r="Z295" i="9"/>
  <c r="D295" i="9"/>
  <c r="B296" i="9"/>
  <c r="D296" i="9"/>
  <c r="B297" i="9"/>
  <c r="D297" i="9"/>
  <c r="Z297" i="9"/>
  <c r="AC297" i="9"/>
  <c r="B298" i="9"/>
  <c r="Z298" i="9"/>
  <c r="D298" i="9"/>
  <c r="B299" i="9"/>
  <c r="D299" i="9"/>
  <c r="Z299" i="9"/>
  <c r="B300" i="9"/>
  <c r="D300" i="9"/>
  <c r="B301" i="9"/>
  <c r="Z301" i="9"/>
  <c r="AC301" i="9"/>
  <c r="D301" i="9"/>
  <c r="B302" i="9"/>
  <c r="Z302" i="9"/>
  <c r="D302" i="9"/>
  <c r="B303" i="9"/>
  <c r="D303" i="9"/>
  <c r="Z303" i="9"/>
  <c r="B304" i="9"/>
  <c r="D304" i="9"/>
  <c r="B305" i="9"/>
  <c r="Z305" i="9"/>
  <c r="AC305" i="9"/>
  <c r="D305" i="9"/>
  <c r="B306" i="9"/>
  <c r="Z306" i="9"/>
  <c r="D306" i="9"/>
  <c r="B307" i="9"/>
  <c r="Z307" i="9"/>
  <c r="D307" i="9"/>
  <c r="B308" i="9"/>
  <c r="D308" i="9"/>
  <c r="B309" i="9"/>
  <c r="D309" i="9"/>
  <c r="Z309" i="9"/>
  <c r="AC309" i="9"/>
  <c r="B310" i="9"/>
  <c r="Z310" i="9"/>
  <c r="D310" i="9"/>
  <c r="B311" i="9"/>
  <c r="Z311" i="9"/>
  <c r="D311" i="9"/>
  <c r="B312" i="9"/>
  <c r="D312" i="9"/>
  <c r="B313" i="9"/>
  <c r="D313" i="9"/>
  <c r="Z313" i="9"/>
  <c r="AC313" i="9"/>
  <c r="B314" i="9"/>
  <c r="Z314" i="9"/>
  <c r="D314" i="9"/>
  <c r="B315" i="9"/>
  <c r="D315" i="9"/>
  <c r="Z315" i="9"/>
  <c r="B316" i="9"/>
  <c r="D316" i="9"/>
  <c r="B317" i="9"/>
  <c r="Z317" i="9"/>
  <c r="AC317" i="9"/>
  <c r="D317" i="9"/>
  <c r="B318" i="9"/>
  <c r="Z318" i="9"/>
  <c r="D318" i="9"/>
  <c r="B319" i="9"/>
  <c r="D319" i="9"/>
  <c r="Z319" i="9"/>
  <c r="B320" i="9"/>
  <c r="D320" i="9"/>
  <c r="B321" i="9"/>
  <c r="Z321" i="9"/>
  <c r="AC321" i="9"/>
  <c r="D321" i="9"/>
  <c r="B322" i="9"/>
  <c r="Z322" i="9"/>
  <c r="D322" i="9"/>
  <c r="B323" i="9"/>
  <c r="Z323" i="9"/>
  <c r="D323" i="9"/>
  <c r="B324" i="9"/>
  <c r="D324" i="9"/>
  <c r="B325" i="9"/>
  <c r="D325" i="9"/>
  <c r="Z325" i="9"/>
  <c r="AC325" i="9"/>
  <c r="B326" i="9"/>
  <c r="Z326" i="9"/>
  <c r="D326" i="9"/>
  <c r="B327" i="9"/>
  <c r="Z327" i="9"/>
  <c r="D327" i="9"/>
  <c r="B328" i="9"/>
  <c r="D328" i="9"/>
  <c r="B329" i="9"/>
  <c r="D329" i="9"/>
  <c r="Z329" i="9"/>
  <c r="AC329" i="9"/>
  <c r="B330" i="9"/>
  <c r="Z330" i="9"/>
  <c r="D330" i="9"/>
  <c r="B331" i="9"/>
  <c r="D331" i="9"/>
  <c r="Z331" i="9"/>
  <c r="B332" i="9"/>
  <c r="D332" i="9"/>
  <c r="B333" i="9"/>
  <c r="Z333" i="9"/>
  <c r="AC333" i="9"/>
  <c r="D333" i="9"/>
  <c r="B334" i="9"/>
  <c r="Z334" i="9"/>
  <c r="AC334" i="9"/>
  <c r="D334" i="9"/>
  <c r="B335" i="9"/>
  <c r="Z335" i="9"/>
  <c r="D335" i="9"/>
  <c r="B336" i="9"/>
  <c r="D336" i="9"/>
  <c r="B337" i="9"/>
  <c r="Z337" i="9"/>
  <c r="AC337" i="9"/>
  <c r="D337" i="9"/>
  <c r="B338" i="9"/>
  <c r="Z338" i="9"/>
  <c r="AC338" i="9"/>
  <c r="D338" i="9"/>
  <c r="B339" i="9"/>
  <c r="Z339" i="9"/>
  <c r="D339" i="9"/>
  <c r="B340" i="9"/>
  <c r="D340" i="9"/>
  <c r="B341" i="9"/>
  <c r="Z341" i="9"/>
  <c r="AC341" i="9"/>
  <c r="D341" i="9"/>
  <c r="B342" i="9"/>
  <c r="Z342" i="9"/>
  <c r="AC342" i="9"/>
  <c r="D342" i="9"/>
  <c r="B343" i="9"/>
  <c r="D343" i="9"/>
  <c r="Z343" i="9"/>
  <c r="B344" i="9"/>
  <c r="D344" i="9"/>
  <c r="B345" i="9"/>
  <c r="D345" i="9"/>
  <c r="Z345" i="9"/>
  <c r="B346" i="9"/>
  <c r="D346" i="9"/>
  <c r="B347" i="9"/>
  <c r="Z347" i="9"/>
  <c r="D347" i="9"/>
  <c r="B348" i="9"/>
  <c r="D348" i="9"/>
  <c r="B349" i="9"/>
  <c r="D349" i="9"/>
  <c r="Z349" i="9"/>
  <c r="B350" i="9"/>
  <c r="D350" i="9"/>
  <c r="B351" i="9"/>
  <c r="Z351" i="9"/>
  <c r="D351" i="9"/>
  <c r="B352" i="9"/>
  <c r="D352" i="9"/>
  <c r="B353" i="9"/>
  <c r="Z353" i="9"/>
  <c r="D353" i="9"/>
  <c r="B354" i="9"/>
  <c r="D354" i="9"/>
  <c r="B355" i="9"/>
  <c r="Z355" i="9"/>
  <c r="D355" i="9"/>
  <c r="B356" i="9"/>
  <c r="D356" i="9"/>
  <c r="B357" i="9"/>
  <c r="Z357" i="9"/>
  <c r="D357" i="9"/>
  <c r="B358" i="9"/>
  <c r="D358" i="9"/>
  <c r="B359" i="9"/>
  <c r="Z359" i="9"/>
  <c r="D359" i="9"/>
  <c r="B360" i="9"/>
  <c r="D360" i="9"/>
  <c r="B361" i="9"/>
  <c r="Z361" i="9"/>
  <c r="D361" i="9"/>
  <c r="B362" i="9"/>
  <c r="D362" i="9"/>
  <c r="B363" i="9"/>
  <c r="Z363" i="9"/>
  <c r="D363" i="9"/>
  <c r="B364" i="9"/>
  <c r="D364" i="9"/>
  <c r="B365" i="9"/>
  <c r="Z365" i="9"/>
  <c r="D365" i="9"/>
  <c r="B366" i="9"/>
  <c r="D366" i="9"/>
  <c r="B367" i="9"/>
  <c r="D367" i="9"/>
  <c r="Z367" i="9"/>
  <c r="B368" i="9"/>
  <c r="D368" i="9"/>
  <c r="B369" i="9"/>
  <c r="D369" i="9"/>
  <c r="Z369" i="9"/>
  <c r="B370" i="9"/>
  <c r="D370" i="9"/>
  <c r="B371" i="9"/>
  <c r="Z371" i="9"/>
  <c r="D371" i="9"/>
  <c r="B372" i="9"/>
  <c r="D372" i="9"/>
  <c r="B373" i="9"/>
  <c r="Z373" i="9"/>
  <c r="D373" i="9"/>
  <c r="B374" i="9"/>
  <c r="D374" i="9"/>
  <c r="B375" i="9"/>
  <c r="Z375" i="9"/>
  <c r="D375" i="9"/>
  <c r="B376" i="9"/>
  <c r="D376" i="9"/>
  <c r="B377" i="9"/>
  <c r="Z377" i="9"/>
  <c r="D377" i="9"/>
  <c r="B378" i="9"/>
  <c r="D378" i="9"/>
  <c r="Z378" i="9"/>
  <c r="B379" i="9"/>
  <c r="D379" i="9"/>
  <c r="B380" i="9"/>
  <c r="Z380" i="9"/>
  <c r="AC380" i="9"/>
  <c r="D380" i="9"/>
  <c r="B381" i="9"/>
  <c r="Z381" i="9"/>
  <c r="AC381" i="9"/>
  <c r="D381" i="9"/>
  <c r="B382" i="9"/>
  <c r="Z382" i="9"/>
  <c r="D382" i="9"/>
  <c r="B383" i="9"/>
  <c r="D383" i="9"/>
  <c r="B384" i="9"/>
  <c r="Z384" i="9"/>
  <c r="AC384" i="9"/>
  <c r="D384" i="9"/>
  <c r="B385" i="9"/>
  <c r="D385" i="9"/>
  <c r="Z385" i="9"/>
  <c r="AC385" i="9"/>
  <c r="B386" i="9"/>
  <c r="Z386" i="9"/>
  <c r="D386" i="9"/>
  <c r="B387" i="9"/>
  <c r="D387" i="9"/>
  <c r="B388" i="9"/>
  <c r="D388" i="9"/>
  <c r="Z388" i="9"/>
  <c r="AC388" i="9"/>
  <c r="B389" i="9"/>
  <c r="Z389" i="9"/>
  <c r="AC389" i="9"/>
  <c r="D389" i="9"/>
  <c r="B390" i="9"/>
  <c r="Z390" i="9"/>
  <c r="D390" i="9"/>
  <c r="B391" i="9"/>
  <c r="D391" i="9"/>
  <c r="B392" i="9"/>
  <c r="Z392" i="9"/>
  <c r="AC392" i="9"/>
  <c r="D392" i="9"/>
  <c r="B393" i="9"/>
  <c r="Z393" i="9"/>
  <c r="AC393" i="9"/>
  <c r="D393" i="9"/>
  <c r="B394" i="9"/>
  <c r="Z394" i="9"/>
  <c r="D394" i="9"/>
  <c r="B395" i="9"/>
  <c r="D395" i="9"/>
  <c r="B396" i="9"/>
  <c r="D396" i="9"/>
  <c r="Z396" i="9"/>
  <c r="AC396" i="9"/>
  <c r="B397" i="9"/>
  <c r="D397" i="9"/>
  <c r="Z397" i="9"/>
  <c r="AC397" i="9"/>
  <c r="B398" i="9"/>
  <c r="Z398" i="9"/>
  <c r="D398" i="9"/>
  <c r="B399" i="9"/>
  <c r="D399" i="9"/>
  <c r="B400" i="9"/>
  <c r="Z400" i="9"/>
  <c r="AC400" i="9"/>
  <c r="D400" i="9"/>
  <c r="B401" i="9"/>
  <c r="Z401" i="9"/>
  <c r="AC401" i="9"/>
  <c r="D401" i="9"/>
  <c r="B402" i="9"/>
  <c r="D402" i="9"/>
  <c r="Z402" i="9"/>
  <c r="B403" i="9"/>
  <c r="D403" i="9"/>
  <c r="B404" i="9"/>
  <c r="Z404" i="9"/>
  <c r="D404" i="9"/>
  <c r="AC404" i="9"/>
  <c r="B405" i="9"/>
  <c r="Z405" i="9"/>
  <c r="AC405" i="9"/>
  <c r="D405" i="9"/>
  <c r="B406" i="9"/>
  <c r="Z406" i="9"/>
  <c r="D406" i="9"/>
  <c r="B407" i="9"/>
  <c r="D407" i="9"/>
  <c r="B408" i="9"/>
  <c r="Z408" i="9"/>
  <c r="AC408" i="9"/>
  <c r="D408" i="9"/>
  <c r="B409" i="9"/>
  <c r="Z409" i="9"/>
  <c r="AC409" i="9"/>
  <c r="D409" i="9"/>
  <c r="B410" i="9"/>
  <c r="D410" i="9"/>
  <c r="Z410" i="9"/>
  <c r="B411" i="9"/>
  <c r="D411" i="9"/>
  <c r="B412" i="9"/>
  <c r="Z412" i="9"/>
  <c r="AC412" i="9"/>
  <c r="D412" i="9"/>
  <c r="B413" i="9"/>
  <c r="Z413" i="9"/>
  <c r="AC413" i="9"/>
  <c r="D413" i="9"/>
  <c r="B414" i="9"/>
  <c r="Z414" i="9"/>
  <c r="D414" i="9"/>
  <c r="B415" i="9"/>
  <c r="D415" i="9"/>
  <c r="B416" i="9"/>
  <c r="Z416" i="9"/>
  <c r="AC416" i="9"/>
  <c r="D416" i="9"/>
  <c r="B417" i="9"/>
  <c r="D417" i="9"/>
  <c r="Z417" i="9"/>
  <c r="AC417" i="9"/>
  <c r="B418" i="9"/>
  <c r="Z418" i="9"/>
  <c r="D418" i="9"/>
  <c r="B419" i="9"/>
  <c r="D419" i="9"/>
  <c r="B420" i="9"/>
  <c r="D420" i="9"/>
  <c r="Z420" i="9"/>
  <c r="AC420" i="9"/>
  <c r="B421" i="9"/>
  <c r="D421" i="9"/>
  <c r="Z421" i="9"/>
  <c r="AC421" i="9"/>
  <c r="B422" i="9"/>
  <c r="Z422" i="9"/>
  <c r="D422" i="9"/>
  <c r="B423" i="9"/>
  <c r="D423" i="9"/>
  <c r="B424" i="9"/>
  <c r="Z424" i="9"/>
  <c r="AC424" i="9"/>
  <c r="D424" i="9"/>
  <c r="B425" i="9"/>
  <c r="Z425" i="9"/>
  <c r="AC425" i="9"/>
  <c r="D425" i="9"/>
  <c r="B426" i="9"/>
  <c r="Z426" i="9"/>
  <c r="D426" i="9"/>
  <c r="B427" i="9"/>
  <c r="D427" i="9"/>
  <c r="B428" i="9"/>
  <c r="D428" i="9"/>
  <c r="Z428" i="9"/>
  <c r="AC428" i="9"/>
  <c r="B429" i="9"/>
  <c r="D429" i="9"/>
  <c r="Z429" i="9"/>
  <c r="AC429" i="9"/>
  <c r="B430" i="9"/>
  <c r="Z430" i="9"/>
  <c r="D430" i="9"/>
  <c r="B431" i="9"/>
  <c r="D431" i="9"/>
  <c r="B432" i="9"/>
  <c r="Z432" i="9"/>
  <c r="AC432" i="9"/>
  <c r="D432" i="9"/>
  <c r="B433" i="9"/>
  <c r="Z433" i="9"/>
  <c r="AC433" i="9"/>
  <c r="D433" i="9"/>
  <c r="B434" i="9"/>
  <c r="D434" i="9"/>
  <c r="Z434" i="9"/>
  <c r="B435" i="9"/>
  <c r="D435" i="9"/>
  <c r="B436" i="9"/>
  <c r="Z436" i="9"/>
  <c r="D436" i="9"/>
  <c r="AC436" i="9"/>
  <c r="B437" i="9"/>
  <c r="Z437" i="9"/>
  <c r="AC437" i="9"/>
  <c r="D437" i="9"/>
  <c r="B438" i="9"/>
  <c r="Z438" i="9"/>
  <c r="D438" i="9"/>
  <c r="B439" i="9"/>
  <c r="D439" i="9"/>
  <c r="B440" i="9"/>
  <c r="Z440" i="9"/>
  <c r="AC440" i="9"/>
  <c r="D440" i="9"/>
  <c r="B441" i="9"/>
  <c r="Z441" i="9"/>
  <c r="AC441" i="9"/>
  <c r="D441" i="9"/>
  <c r="B442" i="9"/>
  <c r="D442" i="9"/>
  <c r="Z442" i="9"/>
  <c r="B443" i="9"/>
  <c r="D443" i="9"/>
  <c r="B444" i="9"/>
  <c r="Z444" i="9"/>
  <c r="AC444" i="9"/>
  <c r="D444" i="9"/>
  <c r="B445" i="9"/>
  <c r="Z445" i="9"/>
  <c r="AC445" i="9"/>
  <c r="D445" i="9"/>
  <c r="B446" i="9"/>
  <c r="Z446" i="9"/>
  <c r="D446" i="9"/>
  <c r="B447" i="9"/>
  <c r="D447" i="9"/>
  <c r="B448" i="9"/>
  <c r="Z448" i="9"/>
  <c r="AC448" i="9"/>
  <c r="D448" i="9"/>
  <c r="B449" i="9"/>
  <c r="D449" i="9"/>
  <c r="Z449" i="9"/>
  <c r="AC449" i="9"/>
  <c r="B450" i="9"/>
  <c r="D450" i="9"/>
  <c r="Z450" i="9"/>
  <c r="B451" i="9"/>
  <c r="D451" i="9"/>
  <c r="B452" i="9"/>
  <c r="Z452" i="9"/>
  <c r="AC452" i="9"/>
  <c r="D452" i="9"/>
  <c r="B453" i="9"/>
  <c r="Z453" i="9"/>
  <c r="AC453" i="9"/>
  <c r="D453" i="9"/>
  <c r="B454" i="9"/>
  <c r="D454" i="9"/>
  <c r="Z454" i="9"/>
  <c r="B455" i="9"/>
  <c r="D455" i="9"/>
  <c r="B456" i="9"/>
  <c r="Z456" i="9"/>
  <c r="AC456" i="9"/>
  <c r="D456" i="9"/>
  <c r="B457" i="9"/>
  <c r="D457" i="9"/>
  <c r="Z457" i="9"/>
  <c r="AC457" i="9"/>
  <c r="B458" i="9"/>
  <c r="D458" i="9"/>
  <c r="Z458" i="9"/>
  <c r="B459" i="9"/>
  <c r="D459" i="9"/>
  <c r="B460" i="9"/>
  <c r="Z460" i="9"/>
  <c r="AC460" i="9"/>
  <c r="D460" i="9"/>
  <c r="B461" i="9"/>
  <c r="D461" i="9"/>
  <c r="Z461" i="9"/>
  <c r="AC461" i="9"/>
  <c r="B462" i="9"/>
  <c r="D462" i="9"/>
  <c r="Z462" i="9"/>
  <c r="B463" i="9"/>
  <c r="D463" i="9"/>
  <c r="B464" i="9"/>
  <c r="D464" i="9"/>
  <c r="Z464" i="9"/>
  <c r="AC464" i="9"/>
  <c r="B465" i="9"/>
  <c r="Z465" i="9"/>
  <c r="AC465" i="9"/>
  <c r="D465" i="9"/>
  <c r="B466" i="9"/>
  <c r="Z466" i="9"/>
  <c r="D466" i="9"/>
  <c r="B467" i="9"/>
  <c r="D467" i="9"/>
  <c r="B468" i="9"/>
  <c r="D468" i="9"/>
  <c r="Z468" i="9"/>
  <c r="AC468" i="9"/>
  <c r="B469" i="9"/>
  <c r="D469" i="9"/>
  <c r="Z469" i="9"/>
  <c r="AC469" i="9"/>
  <c r="B470" i="9"/>
  <c r="Z470" i="9"/>
  <c r="D470" i="9"/>
  <c r="B471" i="9"/>
  <c r="D471" i="9"/>
  <c r="B472" i="9"/>
  <c r="D472" i="9"/>
  <c r="Z472" i="9"/>
  <c r="AC472" i="9"/>
  <c r="B473" i="9"/>
  <c r="Z473" i="9"/>
  <c r="D473" i="9"/>
  <c r="AC473" i="9"/>
  <c r="B474" i="9"/>
  <c r="Z474" i="9"/>
  <c r="D474" i="9"/>
  <c r="B475" i="9"/>
  <c r="D475" i="9"/>
  <c r="B476" i="9"/>
  <c r="D476" i="9"/>
  <c r="Z476" i="9"/>
  <c r="AC476" i="9"/>
  <c r="B477" i="9"/>
  <c r="Z477" i="9"/>
  <c r="AC477" i="9"/>
  <c r="D477" i="9"/>
  <c r="B478" i="9"/>
  <c r="Z478" i="9"/>
  <c r="D478" i="9"/>
  <c r="B479" i="9"/>
  <c r="D479" i="9"/>
  <c r="B480" i="9"/>
  <c r="D480" i="9"/>
  <c r="Z480" i="9"/>
  <c r="AC480" i="9"/>
  <c r="B481" i="9"/>
  <c r="Z481" i="9"/>
  <c r="AC481" i="9"/>
  <c r="D481" i="9"/>
  <c r="B482" i="9"/>
  <c r="Z482" i="9"/>
  <c r="D482" i="9"/>
  <c r="B483" i="9"/>
  <c r="D483" i="9"/>
  <c r="B484" i="9"/>
  <c r="Z484" i="9"/>
  <c r="AC484" i="9"/>
  <c r="D484" i="9"/>
  <c r="B485" i="9"/>
  <c r="Z485" i="9"/>
  <c r="AC485" i="9"/>
  <c r="D485" i="9"/>
  <c r="B486" i="9"/>
  <c r="D486" i="9"/>
  <c r="Z486" i="9"/>
  <c r="B487" i="9"/>
  <c r="D487" i="9"/>
  <c r="B488" i="9"/>
  <c r="Z488" i="9"/>
  <c r="D488" i="9"/>
  <c r="AC488" i="9"/>
  <c r="B489" i="9"/>
  <c r="Z489" i="9"/>
  <c r="AC489" i="9"/>
  <c r="D489" i="9"/>
  <c r="B490" i="9"/>
  <c r="D490" i="9"/>
  <c r="Z490" i="9"/>
  <c r="B491" i="9"/>
  <c r="D491" i="9"/>
  <c r="B492" i="9"/>
  <c r="Z492" i="9"/>
  <c r="AC492" i="9"/>
  <c r="D492" i="9"/>
  <c r="B493" i="9"/>
  <c r="Z493" i="9"/>
  <c r="AC493" i="9"/>
  <c r="D493" i="9"/>
  <c r="B494" i="9"/>
  <c r="Z494" i="9"/>
  <c r="D494" i="9"/>
  <c r="B495" i="9"/>
  <c r="D495" i="9"/>
  <c r="B496" i="9"/>
  <c r="Z496" i="9"/>
  <c r="AC496" i="9"/>
  <c r="D496" i="9"/>
  <c r="B497" i="9"/>
  <c r="D497" i="9"/>
  <c r="Z497" i="9"/>
  <c r="AC497" i="9"/>
  <c r="B498" i="9"/>
  <c r="D498" i="9"/>
  <c r="Z498" i="9"/>
  <c r="B499" i="9"/>
  <c r="D499" i="9"/>
  <c r="B500" i="9"/>
  <c r="Z500" i="9"/>
  <c r="AC500" i="9"/>
  <c r="D500" i="9"/>
  <c r="B501" i="9"/>
  <c r="D501" i="9"/>
  <c r="Z501" i="9"/>
  <c r="AC501" i="9"/>
  <c r="B502" i="9"/>
  <c r="D502" i="9"/>
  <c r="Z502" i="9"/>
  <c r="B503" i="9"/>
  <c r="D503" i="9"/>
  <c r="B504" i="9"/>
  <c r="D504" i="9"/>
  <c r="Z504" i="9"/>
  <c r="AC504" i="9"/>
  <c r="B505" i="9"/>
  <c r="D505" i="9"/>
  <c r="Z505" i="9"/>
  <c r="AC505" i="9"/>
  <c r="B506" i="9"/>
  <c r="Z506" i="9"/>
  <c r="D506" i="9"/>
  <c r="B507" i="9"/>
  <c r="D507" i="9"/>
  <c r="B508" i="9"/>
  <c r="Z508" i="9"/>
  <c r="AC508" i="9"/>
  <c r="D508" i="9"/>
  <c r="B509" i="9"/>
  <c r="D509" i="9"/>
  <c r="Z509" i="9"/>
  <c r="AC509" i="9"/>
  <c r="B510" i="9"/>
  <c r="Z510" i="9"/>
  <c r="D510" i="9"/>
  <c r="B511" i="9"/>
  <c r="D511" i="9"/>
  <c r="B512" i="9"/>
  <c r="D512" i="9"/>
  <c r="Z512" i="9"/>
  <c r="AC512" i="9"/>
  <c r="B513" i="9"/>
  <c r="D513" i="9"/>
  <c r="Z513" i="9"/>
  <c r="AC513" i="9"/>
  <c r="B514" i="9"/>
  <c r="Z514" i="9"/>
  <c r="D514" i="9"/>
  <c r="B515" i="9"/>
  <c r="D515" i="9"/>
  <c r="B516" i="9"/>
  <c r="D516" i="9"/>
  <c r="Z516" i="9"/>
  <c r="AC516" i="9"/>
  <c r="B517" i="9"/>
  <c r="D517" i="9"/>
  <c r="Z517" i="9"/>
  <c r="AC517" i="9"/>
  <c r="B518" i="9"/>
  <c r="Z518" i="9"/>
  <c r="D518" i="9"/>
  <c r="B519" i="9"/>
  <c r="D519" i="9"/>
  <c r="B520" i="9"/>
  <c r="Z520" i="9"/>
  <c r="AC520" i="9"/>
  <c r="D520" i="9"/>
  <c r="B521" i="9"/>
  <c r="Z521" i="9"/>
  <c r="AC521" i="9"/>
  <c r="D521" i="9"/>
  <c r="B522" i="9"/>
  <c r="Z522" i="9"/>
  <c r="D522" i="9"/>
  <c r="B523" i="9"/>
  <c r="D523" i="9"/>
  <c r="B524" i="9"/>
  <c r="Z524" i="9"/>
  <c r="D524" i="9"/>
  <c r="AC524" i="9"/>
  <c r="B525" i="9"/>
  <c r="Z525" i="9"/>
  <c r="AC525" i="9"/>
  <c r="D525" i="9"/>
  <c r="B526" i="9"/>
  <c r="D526" i="9"/>
  <c r="Z526" i="9"/>
  <c r="B527" i="9"/>
  <c r="D527" i="9"/>
  <c r="B528" i="9"/>
  <c r="Z528" i="9"/>
  <c r="AC528" i="9"/>
  <c r="D528" i="9"/>
  <c r="B529" i="9"/>
  <c r="Z529" i="9"/>
  <c r="AC529" i="9"/>
  <c r="D529" i="9"/>
  <c r="B530" i="9"/>
  <c r="Z530" i="9"/>
  <c r="D530" i="9"/>
  <c r="B531" i="9"/>
  <c r="D531" i="9"/>
  <c r="B532" i="9"/>
  <c r="Z532" i="9"/>
  <c r="AC532" i="9"/>
  <c r="D532" i="9"/>
  <c r="B533" i="9"/>
  <c r="Z533" i="9"/>
  <c r="AC533" i="9"/>
  <c r="D533" i="9"/>
  <c r="B534" i="9"/>
  <c r="D534" i="9"/>
  <c r="Z534" i="9"/>
  <c r="B535" i="9"/>
  <c r="D535" i="9"/>
  <c r="B536" i="9"/>
  <c r="Z536" i="9"/>
  <c r="AC536" i="9"/>
  <c r="D536" i="9"/>
  <c r="B537" i="9"/>
  <c r="D537" i="9"/>
  <c r="Z537" i="9"/>
  <c r="AC537" i="9"/>
  <c r="B538" i="9"/>
  <c r="D538" i="9"/>
  <c r="Z538" i="9"/>
  <c r="B539" i="9"/>
  <c r="D539" i="9"/>
  <c r="B540" i="9"/>
  <c r="Z540" i="9"/>
  <c r="AC540" i="9"/>
  <c r="D540" i="9"/>
  <c r="B541" i="9"/>
  <c r="Z541" i="9"/>
  <c r="AC541" i="9"/>
  <c r="D541" i="9"/>
  <c r="B542" i="9"/>
  <c r="D542" i="9"/>
  <c r="Z542" i="9"/>
  <c r="B543" i="9"/>
  <c r="D543" i="9"/>
  <c r="B544" i="9"/>
  <c r="Z544" i="9"/>
  <c r="AC544" i="9"/>
  <c r="D544" i="9"/>
  <c r="B545" i="9"/>
  <c r="D545" i="9"/>
  <c r="Z545" i="9"/>
  <c r="AC545" i="9"/>
  <c r="B546" i="9"/>
  <c r="Z546" i="9"/>
  <c r="D546" i="9"/>
  <c r="B547" i="9"/>
  <c r="D547" i="9"/>
  <c r="B548" i="9"/>
  <c r="D548" i="9"/>
  <c r="Z548" i="9"/>
  <c r="AC548" i="9"/>
  <c r="B549" i="9"/>
  <c r="D549" i="9"/>
  <c r="Z549" i="9"/>
  <c r="AC549" i="9"/>
  <c r="B550" i="9"/>
  <c r="D550" i="9"/>
  <c r="Z550" i="9"/>
  <c r="B551" i="9"/>
  <c r="D551" i="9"/>
  <c r="B552" i="9"/>
  <c r="D552" i="9"/>
  <c r="Z552" i="9"/>
  <c r="AC552" i="9"/>
  <c r="B553" i="9"/>
  <c r="Z553" i="9"/>
  <c r="AC553" i="9"/>
  <c r="D553" i="9"/>
  <c r="B554" i="9"/>
  <c r="Z554" i="9"/>
  <c r="D554" i="9"/>
  <c r="B555" i="9"/>
  <c r="D555" i="9"/>
  <c r="B556" i="9"/>
  <c r="Z556" i="9"/>
  <c r="AC556" i="9"/>
  <c r="D556" i="9"/>
  <c r="B557" i="9"/>
  <c r="Z557" i="9"/>
  <c r="AC557" i="9"/>
  <c r="D557" i="9"/>
  <c r="B558" i="9"/>
  <c r="Z558" i="9"/>
  <c r="D558" i="9"/>
  <c r="B559" i="9"/>
  <c r="D559" i="9"/>
  <c r="B560" i="9"/>
  <c r="Z560" i="9"/>
  <c r="D560" i="9"/>
  <c r="AC560" i="9"/>
  <c r="B561" i="9"/>
  <c r="Z561" i="9"/>
  <c r="AC561" i="9"/>
  <c r="D561" i="9"/>
  <c r="B562" i="9"/>
  <c r="Z562" i="9"/>
  <c r="D562" i="9"/>
  <c r="B563" i="9"/>
  <c r="D563" i="9"/>
  <c r="B564" i="9"/>
  <c r="D564" i="9"/>
  <c r="Z564" i="9"/>
  <c r="AC564" i="9"/>
  <c r="B565" i="9"/>
  <c r="Z565" i="9"/>
  <c r="AC565" i="9"/>
  <c r="D565" i="9"/>
  <c r="B566" i="9"/>
  <c r="Z566" i="9"/>
  <c r="D566" i="9"/>
  <c r="B567" i="9"/>
  <c r="D567" i="9"/>
  <c r="B568" i="9"/>
  <c r="Z568" i="9"/>
  <c r="AC568" i="9"/>
  <c r="D568" i="9"/>
  <c r="B569" i="9"/>
  <c r="Z569" i="9"/>
  <c r="AC569" i="9"/>
  <c r="D569" i="9"/>
  <c r="B570" i="9"/>
  <c r="Z570" i="9"/>
  <c r="D570" i="9"/>
  <c r="B571" i="9"/>
  <c r="D571" i="9"/>
  <c r="B572" i="9"/>
  <c r="D572" i="9"/>
  <c r="Z572" i="9"/>
  <c r="AC572" i="9"/>
  <c r="B573" i="9"/>
  <c r="Z573" i="9"/>
  <c r="AC573" i="9"/>
  <c r="D573" i="9"/>
  <c r="B574" i="9"/>
  <c r="Z574" i="9"/>
  <c r="D574" i="9"/>
  <c r="B575" i="9"/>
  <c r="D575" i="9"/>
  <c r="B576" i="9"/>
  <c r="Z576" i="9"/>
  <c r="AC576" i="9"/>
  <c r="D576" i="9"/>
  <c r="B577" i="9"/>
  <c r="Z577" i="9"/>
  <c r="AC577" i="9"/>
  <c r="D577" i="9"/>
  <c r="B578" i="9"/>
  <c r="D578" i="9"/>
  <c r="Z578" i="9"/>
  <c r="B579" i="9"/>
  <c r="D579" i="9"/>
  <c r="B580" i="9"/>
  <c r="D580" i="9"/>
  <c r="Z580" i="9"/>
  <c r="AC580" i="9"/>
  <c r="B581" i="9"/>
  <c r="Z581" i="9"/>
  <c r="AC581" i="9"/>
  <c r="D581" i="9"/>
  <c r="B582" i="9"/>
  <c r="Z582" i="9"/>
  <c r="D582" i="9"/>
  <c r="B583" i="9"/>
  <c r="D583" i="9"/>
  <c r="B584" i="9"/>
  <c r="Z584" i="9"/>
  <c r="AC584" i="9"/>
  <c r="D584" i="9"/>
  <c r="B585" i="9"/>
  <c r="Z585" i="9"/>
  <c r="AC585" i="9"/>
  <c r="D585" i="9"/>
  <c r="B586" i="9"/>
  <c r="Z586" i="9"/>
  <c r="D586" i="9"/>
  <c r="B587" i="9"/>
  <c r="D587" i="9"/>
  <c r="B588" i="9"/>
  <c r="D588" i="9"/>
  <c r="Z588" i="9"/>
  <c r="AC588" i="9"/>
  <c r="B589" i="9"/>
  <c r="Z589" i="9"/>
  <c r="AC589" i="9"/>
  <c r="D589" i="9"/>
  <c r="B590" i="9"/>
  <c r="Z590" i="9"/>
  <c r="D590" i="9"/>
  <c r="B591" i="9"/>
  <c r="D591" i="9"/>
  <c r="B592" i="9"/>
  <c r="Z592" i="9"/>
  <c r="AC592" i="9"/>
  <c r="D592" i="9"/>
  <c r="B593" i="9"/>
  <c r="Z593" i="9"/>
  <c r="AC593" i="9"/>
  <c r="D593" i="9"/>
  <c r="B594" i="9"/>
  <c r="Z594" i="9"/>
  <c r="D594" i="9"/>
  <c r="B595" i="9"/>
  <c r="D595" i="9"/>
  <c r="B596" i="9"/>
  <c r="Z596" i="9"/>
  <c r="D596" i="9"/>
  <c r="B597" i="9"/>
  <c r="Z597" i="9"/>
  <c r="AC597" i="9"/>
  <c r="D597" i="9"/>
  <c r="B598" i="9"/>
  <c r="D598" i="9"/>
  <c r="Z598" i="9"/>
  <c r="B599" i="9"/>
  <c r="D599" i="9"/>
  <c r="B600" i="9"/>
  <c r="Z600" i="9"/>
  <c r="D600" i="9"/>
  <c r="B601" i="9"/>
  <c r="Z601" i="9"/>
  <c r="AC601" i="9"/>
  <c r="D601" i="9"/>
  <c r="B602" i="9"/>
  <c r="Z602" i="9"/>
  <c r="D602" i="9"/>
  <c r="B603" i="9"/>
  <c r="D603" i="9"/>
  <c r="B604" i="9"/>
  <c r="Z604" i="9"/>
  <c r="D604" i="9"/>
  <c r="AC604" i="9"/>
  <c r="B605" i="9"/>
  <c r="Z605" i="9"/>
  <c r="AC605" i="9"/>
  <c r="D605" i="9"/>
  <c r="B606" i="9"/>
  <c r="Z606" i="9"/>
  <c r="AC606" i="9"/>
  <c r="D606" i="9"/>
  <c r="B607" i="9"/>
  <c r="D607" i="9"/>
  <c r="Z607" i="9"/>
  <c r="B608" i="9"/>
  <c r="D608" i="9"/>
  <c r="B609" i="9"/>
  <c r="Z609" i="9"/>
  <c r="D609" i="9"/>
  <c r="B610" i="9"/>
  <c r="D610" i="9"/>
  <c r="B611" i="9"/>
  <c r="Z611" i="9"/>
  <c r="D611" i="9"/>
  <c r="B612" i="9"/>
  <c r="D612" i="9"/>
  <c r="B613" i="9"/>
  <c r="Z613" i="9"/>
  <c r="D613" i="9"/>
  <c r="B614" i="9"/>
  <c r="D614" i="9"/>
  <c r="B615" i="9"/>
  <c r="D615" i="9"/>
  <c r="Z615" i="9"/>
  <c r="B616" i="9"/>
  <c r="D616" i="9"/>
  <c r="B617" i="9"/>
  <c r="Z617" i="9"/>
  <c r="D617" i="9"/>
  <c r="B618" i="9"/>
  <c r="D618" i="9"/>
  <c r="B619" i="9"/>
  <c r="Z619" i="9"/>
  <c r="D619" i="9"/>
  <c r="B620" i="9"/>
  <c r="D620" i="9"/>
  <c r="B621" i="9"/>
  <c r="Z621" i="9"/>
  <c r="D621" i="9"/>
  <c r="B622" i="9"/>
  <c r="D622" i="9"/>
  <c r="B623" i="9"/>
  <c r="D623" i="9"/>
  <c r="Z623" i="9"/>
  <c r="B624" i="9"/>
  <c r="D624" i="9"/>
  <c r="B625" i="9"/>
  <c r="Z625" i="9"/>
  <c r="D625" i="9"/>
  <c r="B626" i="9"/>
  <c r="D626" i="9"/>
  <c r="B627" i="9"/>
  <c r="Z627" i="9"/>
  <c r="D627" i="9"/>
  <c r="B628" i="9"/>
  <c r="D628" i="9"/>
  <c r="B629" i="9"/>
  <c r="Z629" i="9"/>
  <c r="D629" i="9"/>
  <c r="B630" i="9"/>
  <c r="D630" i="9"/>
  <c r="B631" i="9"/>
  <c r="Z631" i="9"/>
  <c r="D631" i="9"/>
  <c r="B632" i="9"/>
  <c r="D632" i="9"/>
  <c r="B633" i="9"/>
  <c r="Z633" i="9"/>
  <c r="D633" i="9"/>
  <c r="B634" i="9"/>
  <c r="D634" i="9"/>
  <c r="B635" i="9"/>
  <c r="Z635" i="9"/>
  <c r="D635" i="9"/>
  <c r="B636" i="9"/>
  <c r="D636" i="9"/>
  <c r="B637" i="9"/>
  <c r="Z637" i="9"/>
  <c r="D637" i="9"/>
  <c r="B638" i="9"/>
  <c r="D638" i="9"/>
  <c r="B639" i="9"/>
  <c r="D639" i="9"/>
  <c r="Z639" i="9"/>
  <c r="B640" i="9"/>
  <c r="D640" i="9"/>
  <c r="B641" i="9"/>
  <c r="Z641" i="9"/>
  <c r="D641" i="9"/>
  <c r="B642" i="9"/>
  <c r="D642" i="9"/>
  <c r="B643" i="9"/>
  <c r="Z643" i="9"/>
  <c r="D643" i="9"/>
  <c r="B644" i="9"/>
  <c r="D644" i="9"/>
  <c r="B645" i="9"/>
  <c r="Z645" i="9"/>
  <c r="D645" i="9"/>
  <c r="B646" i="9"/>
  <c r="D646" i="9"/>
  <c r="B647" i="9"/>
  <c r="Z647" i="9"/>
  <c r="D647" i="9"/>
  <c r="B648" i="9"/>
  <c r="D648" i="9"/>
  <c r="B649" i="9"/>
  <c r="Z649" i="9"/>
  <c r="D649" i="9"/>
  <c r="B650" i="9"/>
  <c r="D650" i="9"/>
  <c r="B651" i="9"/>
  <c r="Z651" i="9"/>
  <c r="D651" i="9"/>
  <c r="B652" i="9"/>
  <c r="D652" i="9"/>
  <c r="B653" i="9"/>
  <c r="Z653" i="9"/>
  <c r="D653" i="9"/>
  <c r="B654" i="9"/>
  <c r="D654" i="9"/>
  <c r="B655" i="9"/>
  <c r="D655" i="9"/>
  <c r="Z655" i="9"/>
  <c r="B656" i="9"/>
  <c r="D656" i="9"/>
  <c r="B657" i="9"/>
  <c r="Z657" i="9"/>
  <c r="D657" i="9"/>
  <c r="B658" i="9"/>
  <c r="D658" i="9"/>
  <c r="B659" i="9"/>
  <c r="Z659" i="9"/>
  <c r="D659" i="9"/>
  <c r="B660" i="9"/>
  <c r="D660" i="9"/>
  <c r="B661" i="9"/>
  <c r="Z661" i="9"/>
  <c r="D661" i="9"/>
  <c r="B662" i="9"/>
  <c r="D662" i="9"/>
  <c r="B663" i="9"/>
  <c r="D663" i="9"/>
  <c r="Z663" i="9"/>
  <c r="B664" i="9"/>
  <c r="D664" i="9"/>
  <c r="B665" i="9"/>
  <c r="Z665" i="9"/>
  <c r="D665" i="9"/>
  <c r="B666" i="9"/>
  <c r="D666" i="9"/>
  <c r="B667" i="9"/>
  <c r="Z667" i="9"/>
  <c r="D667" i="9"/>
  <c r="B668" i="9"/>
  <c r="D668" i="9"/>
  <c r="B669" i="9"/>
  <c r="Z669" i="9"/>
  <c r="D669" i="9"/>
  <c r="B670" i="9"/>
  <c r="D670" i="9"/>
  <c r="B671" i="9"/>
  <c r="D671" i="9"/>
  <c r="Z671" i="9"/>
  <c r="B672" i="9"/>
  <c r="D672" i="9"/>
  <c r="B673" i="9"/>
  <c r="Z673" i="9"/>
  <c r="D673" i="9"/>
  <c r="B674" i="9"/>
  <c r="D674" i="9"/>
  <c r="B675" i="9"/>
  <c r="Z675" i="9"/>
  <c r="D675" i="9"/>
  <c r="B676" i="9"/>
  <c r="D676" i="9"/>
  <c r="B677" i="9"/>
  <c r="Z677" i="9"/>
  <c r="D677" i="9"/>
  <c r="B678" i="9"/>
  <c r="D678" i="9"/>
  <c r="B679" i="9"/>
  <c r="Z679" i="9"/>
  <c r="D679" i="9"/>
  <c r="B680" i="9"/>
  <c r="D680" i="9"/>
  <c r="B681" i="9"/>
  <c r="Z681" i="9"/>
  <c r="D681" i="9"/>
  <c r="B682" i="9"/>
  <c r="D682" i="9"/>
  <c r="B683" i="9"/>
  <c r="Z683" i="9"/>
  <c r="D683" i="9"/>
  <c r="B684" i="9"/>
  <c r="D684" i="9"/>
  <c r="B685" i="9"/>
  <c r="Z685" i="9"/>
  <c r="D685" i="9"/>
  <c r="B686" i="9"/>
  <c r="D686" i="9"/>
  <c r="B687" i="9"/>
  <c r="D687" i="9"/>
  <c r="Z687" i="9"/>
  <c r="B688" i="9"/>
  <c r="D688" i="9"/>
  <c r="B689" i="9"/>
  <c r="Z689" i="9"/>
  <c r="D689" i="9"/>
  <c r="B690" i="9"/>
  <c r="D690" i="9"/>
  <c r="B691" i="9"/>
  <c r="Z691" i="9"/>
  <c r="D691" i="9"/>
  <c r="B692" i="9"/>
  <c r="D692" i="9"/>
  <c r="B693" i="9"/>
  <c r="Z693" i="9"/>
  <c r="D693" i="9"/>
  <c r="B694" i="9"/>
  <c r="D694" i="9"/>
  <c r="B695" i="9"/>
  <c r="Z695" i="9"/>
  <c r="D695" i="9"/>
  <c r="B696" i="9"/>
  <c r="D696" i="9"/>
  <c r="B697" i="9"/>
  <c r="Z697" i="9"/>
  <c r="D697" i="9"/>
  <c r="B698" i="9"/>
  <c r="D698" i="9"/>
  <c r="B699" i="9"/>
  <c r="Z699" i="9"/>
  <c r="D699" i="9"/>
  <c r="B700" i="9"/>
  <c r="D700" i="9"/>
  <c r="B701" i="9"/>
  <c r="Z701" i="9"/>
  <c r="D701" i="9"/>
  <c r="B702" i="9"/>
  <c r="D702" i="9"/>
  <c r="B703" i="9"/>
  <c r="Z703" i="9"/>
  <c r="D703" i="9"/>
  <c r="B704" i="9"/>
  <c r="D704" i="9"/>
  <c r="B705" i="9"/>
  <c r="Z705" i="9"/>
  <c r="D705" i="9"/>
  <c r="B706" i="9"/>
  <c r="D706" i="9"/>
  <c r="B707" i="9"/>
  <c r="Z707" i="9"/>
  <c r="D707" i="9"/>
  <c r="B708" i="9"/>
  <c r="D708" i="9"/>
  <c r="B709" i="9"/>
  <c r="Z709" i="9"/>
  <c r="D709" i="9"/>
  <c r="B710" i="9"/>
  <c r="D710" i="9"/>
  <c r="B711" i="9"/>
  <c r="Z711" i="9"/>
  <c r="D711" i="9"/>
  <c r="B712" i="9"/>
  <c r="D712" i="9"/>
  <c r="B713" i="9"/>
  <c r="Z713" i="9"/>
  <c r="D713" i="9"/>
  <c r="B714" i="9"/>
  <c r="D714" i="9"/>
  <c r="B715" i="9"/>
  <c r="Z715" i="9"/>
  <c r="D715" i="9"/>
  <c r="B716" i="9"/>
  <c r="D716" i="9"/>
  <c r="B717" i="9"/>
  <c r="Z717" i="9"/>
  <c r="D717" i="9"/>
  <c r="B718" i="9"/>
  <c r="D718" i="9"/>
  <c r="B719" i="9"/>
  <c r="D719" i="9"/>
  <c r="Z719" i="9"/>
  <c r="B720" i="9"/>
  <c r="D720" i="9"/>
  <c r="B721" i="9"/>
  <c r="Z721" i="9"/>
  <c r="D721" i="9"/>
  <c r="B722" i="9"/>
  <c r="D722" i="9"/>
  <c r="B723" i="9"/>
  <c r="Z723" i="9"/>
  <c r="D723" i="9"/>
  <c r="B724" i="9"/>
  <c r="D724" i="9"/>
  <c r="B725" i="9"/>
  <c r="Z725" i="9"/>
  <c r="D725" i="9"/>
  <c r="B726" i="9"/>
  <c r="D726" i="9"/>
  <c r="B727" i="9"/>
  <c r="D727" i="9"/>
  <c r="Z727" i="9"/>
  <c r="B728" i="9"/>
  <c r="D728" i="9"/>
  <c r="B729" i="9"/>
  <c r="Z729" i="9"/>
  <c r="D729" i="9"/>
  <c r="B730" i="9"/>
  <c r="D730" i="9"/>
  <c r="B731" i="9"/>
  <c r="Z731" i="9"/>
  <c r="D731" i="9"/>
  <c r="B732" i="9"/>
  <c r="D732" i="9"/>
  <c r="B733" i="9"/>
  <c r="Z733" i="9"/>
  <c r="D733" i="9"/>
  <c r="B734" i="9"/>
  <c r="D734" i="9"/>
  <c r="B735" i="9"/>
  <c r="D735" i="9"/>
  <c r="Z735" i="9"/>
  <c r="B736" i="9"/>
  <c r="D736" i="9"/>
  <c r="B737" i="9"/>
  <c r="Z737" i="9"/>
  <c r="D737" i="9"/>
  <c r="B738" i="9"/>
  <c r="D738" i="9"/>
  <c r="B739" i="9"/>
  <c r="Z739" i="9"/>
  <c r="D739" i="9"/>
  <c r="B740" i="9"/>
  <c r="D740" i="9"/>
  <c r="B741" i="9"/>
  <c r="Z741" i="9"/>
  <c r="D741" i="9"/>
  <c r="B742" i="9"/>
  <c r="D742" i="9"/>
  <c r="B743" i="9"/>
  <c r="Z743" i="9"/>
  <c r="D743" i="9"/>
  <c r="B744" i="9"/>
  <c r="D744" i="9"/>
  <c r="B745" i="9"/>
  <c r="Z745" i="9"/>
  <c r="D745" i="9"/>
  <c r="B746" i="9"/>
  <c r="D746" i="9"/>
  <c r="B747" i="9"/>
  <c r="Z747" i="9"/>
  <c r="D747" i="9"/>
  <c r="B748" i="9"/>
  <c r="D748" i="9"/>
  <c r="B749" i="9"/>
  <c r="Z749" i="9"/>
  <c r="D749" i="9"/>
  <c r="B750" i="9"/>
  <c r="D750" i="9"/>
  <c r="B751" i="9"/>
  <c r="D751" i="9"/>
  <c r="Z751" i="9"/>
  <c r="B752" i="9"/>
  <c r="D752" i="9"/>
  <c r="B753" i="9"/>
  <c r="Z753" i="9"/>
  <c r="D753" i="9"/>
  <c r="B754" i="9"/>
  <c r="D754" i="9"/>
  <c r="B755" i="9"/>
  <c r="Z755" i="9"/>
  <c r="D755" i="9"/>
  <c r="B756" i="9"/>
  <c r="D756" i="9"/>
  <c r="B757" i="9"/>
  <c r="Z757" i="9"/>
  <c r="D757" i="9"/>
  <c r="B758" i="9"/>
  <c r="D758" i="9"/>
  <c r="B759" i="9"/>
  <c r="Z759" i="9"/>
  <c r="D759" i="9"/>
  <c r="B760" i="9"/>
  <c r="D760" i="9"/>
  <c r="B761" i="9"/>
  <c r="Z761" i="9"/>
  <c r="D761" i="9"/>
  <c r="B762" i="9"/>
  <c r="D762" i="9"/>
  <c r="B763" i="9"/>
  <c r="Z763" i="9"/>
  <c r="D763" i="9"/>
  <c r="B764" i="9"/>
  <c r="D764" i="9"/>
  <c r="B765" i="9"/>
  <c r="Z765" i="9"/>
  <c r="D765" i="9"/>
  <c r="B766" i="9"/>
  <c r="D766" i="9"/>
  <c r="B767" i="9"/>
  <c r="Z767" i="9"/>
  <c r="D767" i="9"/>
  <c r="B768" i="9"/>
  <c r="D768" i="9"/>
  <c r="B769" i="9"/>
  <c r="Z769" i="9"/>
  <c r="D769" i="9"/>
  <c r="B770" i="9"/>
  <c r="D770" i="9"/>
  <c r="B771" i="9"/>
  <c r="Z771" i="9"/>
  <c r="D771" i="9"/>
  <c r="B772" i="9"/>
  <c r="D772" i="9"/>
  <c r="B773" i="9"/>
  <c r="Z773" i="9"/>
  <c r="D773" i="9"/>
  <c r="B774" i="9"/>
  <c r="D774" i="9"/>
  <c r="B775" i="9"/>
  <c r="Z775" i="9"/>
  <c r="D775" i="9"/>
  <c r="B776" i="9"/>
  <c r="D776" i="9"/>
  <c r="B777" i="9"/>
  <c r="Z777" i="9"/>
  <c r="D777" i="9"/>
  <c r="B778" i="9"/>
  <c r="D778" i="9"/>
  <c r="B779" i="9"/>
  <c r="Z779" i="9"/>
  <c r="D779" i="9"/>
  <c r="B780" i="9"/>
  <c r="D780" i="9"/>
  <c r="B781" i="9"/>
  <c r="Z781" i="9"/>
  <c r="D781" i="9"/>
  <c r="B782" i="9"/>
  <c r="D782" i="9"/>
  <c r="B783" i="9"/>
  <c r="Z783" i="9"/>
  <c r="D783" i="9"/>
  <c r="B784" i="9"/>
  <c r="D784" i="9"/>
  <c r="B785" i="9"/>
  <c r="D785" i="9"/>
  <c r="Z785" i="9"/>
  <c r="B786" i="9"/>
  <c r="D786" i="9"/>
  <c r="B787" i="9"/>
  <c r="D787" i="9"/>
  <c r="Z787" i="9"/>
  <c r="B788" i="9"/>
  <c r="D788" i="9"/>
  <c r="B789" i="9"/>
  <c r="Z789" i="9"/>
  <c r="D789" i="9"/>
  <c r="B790" i="9"/>
  <c r="D790" i="9"/>
  <c r="B791" i="9"/>
  <c r="D791" i="9"/>
  <c r="Z791" i="9"/>
  <c r="B792" i="9"/>
  <c r="D792" i="9"/>
  <c r="B793" i="9"/>
  <c r="Z793" i="9"/>
  <c r="D793" i="9"/>
  <c r="B794" i="9"/>
  <c r="D794" i="9"/>
  <c r="B795" i="9"/>
  <c r="D795" i="9"/>
  <c r="Z795" i="9"/>
  <c r="B796" i="9"/>
  <c r="D796" i="9"/>
  <c r="B797" i="9"/>
  <c r="Z797" i="9"/>
  <c r="D797" i="9"/>
  <c r="B798" i="9"/>
  <c r="D798" i="9"/>
  <c r="B799" i="9"/>
  <c r="D799" i="9"/>
  <c r="Z799" i="9"/>
  <c r="B800" i="9"/>
  <c r="D800" i="9"/>
  <c r="B801" i="9"/>
  <c r="Z801" i="9"/>
  <c r="D801" i="9"/>
  <c r="B802" i="9"/>
  <c r="D802" i="9"/>
  <c r="B803" i="9"/>
  <c r="Z803" i="9"/>
  <c r="D803" i="9"/>
  <c r="B804" i="9"/>
  <c r="D804" i="9"/>
  <c r="B805" i="9"/>
  <c r="Z805" i="9"/>
  <c r="D805" i="9"/>
  <c r="B806" i="9"/>
  <c r="D806" i="9"/>
  <c r="B807" i="9"/>
  <c r="D807" i="9"/>
  <c r="Z807" i="9"/>
  <c r="B808" i="9"/>
  <c r="D808" i="9"/>
  <c r="B809" i="9"/>
  <c r="Z809" i="9"/>
  <c r="D809" i="9"/>
  <c r="B810" i="9"/>
  <c r="D810" i="9"/>
  <c r="B811" i="9"/>
  <c r="D811" i="9"/>
  <c r="Z811" i="9"/>
  <c r="B812" i="9"/>
  <c r="D812" i="9"/>
  <c r="B813" i="9"/>
  <c r="Z813" i="9"/>
  <c r="D813" i="9"/>
  <c r="B814" i="9"/>
  <c r="D814" i="9"/>
  <c r="B815" i="9"/>
  <c r="Z815" i="9"/>
  <c r="D815" i="9"/>
  <c r="B816" i="9"/>
  <c r="D816" i="9"/>
  <c r="B817" i="9"/>
  <c r="Z817" i="9"/>
  <c r="D817" i="9"/>
  <c r="B818" i="9"/>
  <c r="D818" i="9"/>
  <c r="B819" i="9"/>
  <c r="D819" i="9"/>
  <c r="Z819" i="9"/>
  <c r="B820" i="9"/>
  <c r="D820" i="9"/>
  <c r="B821" i="9"/>
  <c r="Z821" i="9"/>
  <c r="AC821" i="9"/>
  <c r="D821" i="9"/>
  <c r="B822" i="9"/>
  <c r="Z822" i="9"/>
  <c r="D822" i="9"/>
  <c r="B823" i="9"/>
  <c r="D823" i="9"/>
  <c r="Z823" i="9"/>
  <c r="B824" i="9"/>
  <c r="D824" i="9"/>
  <c r="B825" i="9"/>
  <c r="Z825" i="9"/>
  <c r="D825" i="9"/>
  <c r="B826" i="9"/>
  <c r="D826" i="9"/>
  <c r="B827" i="9"/>
  <c r="Z827" i="9"/>
  <c r="D827" i="9"/>
  <c r="B828" i="9"/>
  <c r="D828" i="9"/>
  <c r="B829" i="9"/>
  <c r="Z829" i="9"/>
  <c r="D829" i="9"/>
  <c r="B830" i="9"/>
  <c r="D830" i="9"/>
  <c r="B831" i="9"/>
  <c r="Z831" i="9"/>
  <c r="D831" i="9"/>
  <c r="B832" i="9"/>
  <c r="D832" i="9"/>
  <c r="B833" i="9"/>
  <c r="Z833" i="9"/>
  <c r="D833" i="9"/>
  <c r="B834" i="9"/>
  <c r="D834" i="9"/>
  <c r="B835" i="9"/>
  <c r="Z835" i="9"/>
  <c r="D835" i="9"/>
  <c r="B836" i="9"/>
  <c r="D836" i="9"/>
  <c r="B837" i="9"/>
  <c r="Z837" i="9"/>
  <c r="D837" i="9"/>
  <c r="B838" i="9"/>
  <c r="D838" i="9"/>
  <c r="B839" i="9"/>
  <c r="Z839" i="9"/>
  <c r="D839" i="9"/>
  <c r="B840" i="9"/>
  <c r="D840" i="9"/>
  <c r="B841" i="9"/>
  <c r="D841" i="9"/>
  <c r="Z841" i="9"/>
  <c r="B842" i="9"/>
  <c r="D842" i="9"/>
  <c r="B843" i="9"/>
  <c r="Z843" i="9"/>
  <c r="D843" i="9"/>
  <c r="B844" i="9"/>
  <c r="D844" i="9"/>
  <c r="B845" i="9"/>
  <c r="Z845" i="9"/>
  <c r="D845" i="9"/>
  <c r="B846" i="9"/>
  <c r="Z846" i="9"/>
  <c r="AC846" i="9"/>
  <c r="D846" i="9"/>
  <c r="B847" i="9"/>
  <c r="Z847" i="9"/>
  <c r="D847" i="9"/>
  <c r="B848" i="9"/>
  <c r="D848" i="9"/>
  <c r="B849" i="9"/>
  <c r="D849" i="9"/>
  <c r="B850" i="9"/>
  <c r="D850" i="9"/>
  <c r="Z850" i="9"/>
  <c r="AC850" i="9"/>
  <c r="B851" i="9"/>
  <c r="Z851" i="9"/>
  <c r="D851" i="9"/>
  <c r="B852" i="9"/>
  <c r="D852" i="9"/>
  <c r="B853" i="9"/>
  <c r="D853" i="9"/>
  <c r="B854" i="9"/>
  <c r="Z854" i="9"/>
  <c r="AC854" i="9"/>
  <c r="D854" i="9"/>
  <c r="B855" i="9"/>
  <c r="Z855" i="9"/>
  <c r="D855" i="9"/>
  <c r="B856" i="9"/>
  <c r="D856" i="9"/>
  <c r="B857" i="9"/>
  <c r="D857" i="9"/>
  <c r="B858" i="9"/>
  <c r="Z858" i="9"/>
  <c r="D858" i="9"/>
  <c r="AC858" i="9"/>
  <c r="B859" i="9"/>
  <c r="D859" i="9"/>
  <c r="Z859" i="9"/>
  <c r="B860" i="9"/>
  <c r="D860" i="9"/>
  <c r="B861" i="9"/>
  <c r="D861" i="9"/>
  <c r="B862" i="9"/>
  <c r="D862" i="9"/>
  <c r="Z862" i="9"/>
  <c r="AC862" i="9"/>
  <c r="B863" i="9"/>
  <c r="D863" i="9"/>
  <c r="Z863" i="9"/>
  <c r="B864" i="9"/>
  <c r="D864" i="9"/>
  <c r="B865" i="9"/>
  <c r="D865" i="9"/>
  <c r="B866" i="9"/>
  <c r="Z866" i="9"/>
  <c r="AC866" i="9"/>
  <c r="D866" i="9"/>
  <c r="B867" i="9"/>
  <c r="Z867" i="9"/>
  <c r="D867" i="9"/>
  <c r="B868" i="9"/>
  <c r="D868" i="9"/>
  <c r="B869" i="9"/>
  <c r="D869" i="9"/>
  <c r="B870" i="9"/>
  <c r="Z870" i="9"/>
  <c r="AC870" i="9"/>
  <c r="D870" i="9"/>
  <c r="B871" i="9"/>
  <c r="Z871" i="9"/>
  <c r="D871" i="9"/>
  <c r="B872" i="9"/>
  <c r="D872" i="9"/>
  <c r="B873" i="9"/>
  <c r="D873" i="9"/>
  <c r="B874" i="9"/>
  <c r="Z874" i="9"/>
  <c r="AC874" i="9"/>
  <c r="D874" i="9"/>
  <c r="B875" i="9"/>
  <c r="Z875" i="9"/>
  <c r="D875" i="9"/>
  <c r="B876" i="9"/>
  <c r="D876" i="9"/>
  <c r="B877" i="9"/>
  <c r="D877" i="9"/>
  <c r="B878" i="9"/>
  <c r="Z878" i="9"/>
  <c r="AC878" i="9"/>
  <c r="D878" i="9"/>
  <c r="B879" i="9"/>
  <c r="D879" i="9"/>
  <c r="Z879" i="9"/>
  <c r="B880" i="9"/>
  <c r="D880" i="9"/>
  <c r="B881" i="9"/>
  <c r="D881" i="9"/>
  <c r="B882" i="9"/>
  <c r="Z882" i="9"/>
  <c r="AC882" i="9"/>
  <c r="D882" i="9"/>
  <c r="B883" i="9"/>
  <c r="D883" i="9"/>
  <c r="Z883" i="9"/>
  <c r="B884" i="9"/>
  <c r="D884" i="9"/>
  <c r="B885" i="9"/>
  <c r="D885" i="9"/>
  <c r="B886" i="9"/>
  <c r="Z886" i="9"/>
  <c r="AC886" i="9"/>
  <c r="D886" i="9"/>
  <c r="B887" i="9"/>
  <c r="Z887" i="9"/>
  <c r="D887" i="9"/>
  <c r="B888" i="9"/>
  <c r="D888" i="9"/>
  <c r="B889" i="9"/>
  <c r="D889" i="9"/>
  <c r="B890" i="9"/>
  <c r="Z890" i="9"/>
  <c r="AC890" i="9"/>
  <c r="D890" i="9"/>
  <c r="B891" i="9"/>
  <c r="D891" i="9"/>
  <c r="Z891" i="9"/>
  <c r="B892" i="9"/>
  <c r="D892" i="9"/>
  <c r="B893" i="9"/>
  <c r="D893" i="9"/>
  <c r="B894" i="9"/>
  <c r="Z894" i="9"/>
  <c r="AC894" i="9"/>
  <c r="D894" i="9"/>
  <c r="B895" i="9"/>
  <c r="Z895" i="9"/>
  <c r="D895" i="9"/>
  <c r="B896" i="9"/>
  <c r="D896" i="9"/>
  <c r="B897" i="9"/>
  <c r="D897" i="9"/>
  <c r="B898" i="9"/>
  <c r="Z898" i="9"/>
  <c r="AC898" i="9"/>
  <c r="D898" i="9"/>
  <c r="B899" i="9"/>
  <c r="Z899" i="9"/>
  <c r="D899" i="9"/>
  <c r="B900" i="9"/>
  <c r="D900" i="9"/>
  <c r="B901" i="9"/>
  <c r="D901" i="9"/>
  <c r="B902" i="9"/>
  <c r="Z902" i="9"/>
  <c r="AC902" i="9"/>
  <c r="D902" i="9"/>
  <c r="B903" i="9"/>
  <c r="Z903" i="9"/>
  <c r="D903" i="9"/>
  <c r="B904" i="9"/>
  <c r="D904" i="9"/>
  <c r="B905" i="9"/>
  <c r="D905" i="9"/>
  <c r="B906" i="9"/>
  <c r="Z906" i="9"/>
  <c r="AC906" i="9"/>
  <c r="D906" i="9"/>
  <c r="B907" i="9"/>
  <c r="Z907" i="9"/>
  <c r="D907" i="9"/>
  <c r="B908" i="9"/>
  <c r="D908" i="9"/>
  <c r="B909" i="9"/>
  <c r="D909" i="9"/>
  <c r="B910" i="9"/>
  <c r="Z910" i="9"/>
  <c r="AC910" i="9"/>
  <c r="D910" i="9"/>
  <c r="B911" i="9"/>
  <c r="Z911" i="9"/>
  <c r="D911" i="9"/>
  <c r="B912" i="9"/>
  <c r="D912" i="9"/>
  <c r="B913" i="9"/>
  <c r="D913" i="9"/>
  <c r="B914" i="9"/>
  <c r="Z914" i="9"/>
  <c r="AC914" i="9"/>
  <c r="D914" i="9"/>
  <c r="B915" i="9"/>
  <c r="Z915" i="9"/>
  <c r="D915" i="9"/>
  <c r="B916" i="9"/>
  <c r="D916" i="9"/>
  <c r="B917" i="9"/>
  <c r="D917" i="9"/>
  <c r="B918" i="9"/>
  <c r="Z918" i="9"/>
  <c r="D918" i="9"/>
  <c r="AC918" i="9"/>
  <c r="B919" i="9"/>
  <c r="Z919" i="9"/>
  <c r="D919" i="9"/>
  <c r="B920" i="9"/>
  <c r="D920" i="9"/>
  <c r="B921" i="9"/>
  <c r="D921" i="9"/>
  <c r="B922" i="9"/>
  <c r="D922" i="9"/>
  <c r="Z922" i="9"/>
  <c r="AC922" i="9"/>
  <c r="B923" i="9"/>
  <c r="D923" i="9"/>
  <c r="Z923" i="9"/>
  <c r="B924" i="9"/>
  <c r="D924" i="9"/>
  <c r="B925" i="9"/>
  <c r="D925" i="9"/>
  <c r="B926" i="9"/>
  <c r="D926" i="9"/>
  <c r="Z926" i="9"/>
  <c r="AC926" i="9"/>
  <c r="B927" i="9"/>
  <c r="Z927" i="9"/>
  <c r="D927" i="9"/>
  <c r="B928" i="9"/>
  <c r="D928" i="9"/>
  <c r="B929" i="9"/>
  <c r="D929" i="9"/>
  <c r="B930" i="9"/>
  <c r="Z930" i="9"/>
  <c r="AC930" i="9"/>
  <c r="D930" i="9"/>
  <c r="B931" i="9"/>
  <c r="Z931" i="9"/>
  <c r="D931" i="9"/>
  <c r="B932" i="9"/>
  <c r="D932" i="9"/>
  <c r="B933" i="9"/>
  <c r="D933" i="9"/>
  <c r="B934" i="9"/>
  <c r="Z934" i="9"/>
  <c r="AC934" i="9"/>
  <c r="D934" i="9"/>
  <c r="B935" i="9"/>
  <c r="Z935" i="9"/>
  <c r="D935" i="9"/>
  <c r="B936" i="9"/>
  <c r="D936" i="9"/>
  <c r="B937" i="9"/>
  <c r="D937" i="9"/>
  <c r="B938" i="9"/>
  <c r="Z938" i="9"/>
  <c r="AC938" i="9"/>
  <c r="D938" i="9"/>
  <c r="B939" i="9"/>
  <c r="Z939" i="9"/>
  <c r="D939" i="9"/>
  <c r="B940" i="9"/>
  <c r="D940" i="9"/>
  <c r="B941" i="9"/>
  <c r="D941" i="9"/>
  <c r="B942" i="9"/>
  <c r="D942" i="9"/>
  <c r="Z942" i="9"/>
  <c r="AC942" i="9"/>
  <c r="B943" i="9"/>
  <c r="Z943" i="9"/>
  <c r="D943" i="9"/>
  <c r="B944" i="9"/>
  <c r="D944" i="9"/>
  <c r="B945" i="9"/>
  <c r="D945" i="9"/>
  <c r="B946" i="9"/>
  <c r="D946" i="9"/>
  <c r="Z946" i="9"/>
  <c r="AC946" i="9"/>
  <c r="B947" i="9"/>
  <c r="D947" i="9"/>
  <c r="Z947" i="9"/>
  <c r="B948" i="9"/>
  <c r="D948" i="9"/>
  <c r="B949" i="9"/>
  <c r="D949" i="9"/>
  <c r="B950" i="9"/>
  <c r="Z950" i="9"/>
  <c r="AC950" i="9"/>
  <c r="D950" i="9"/>
  <c r="B951" i="9"/>
  <c r="Z951" i="9"/>
  <c r="D951" i="9"/>
  <c r="B952" i="9"/>
  <c r="D952" i="9"/>
  <c r="B953" i="9"/>
  <c r="D953" i="9"/>
  <c r="B954" i="9"/>
  <c r="Z954" i="9"/>
  <c r="AC954" i="9"/>
  <c r="D954" i="9"/>
  <c r="B955" i="9"/>
  <c r="Z955" i="9"/>
  <c r="D955" i="9"/>
  <c r="B956" i="9"/>
  <c r="D956" i="9"/>
  <c r="B957" i="9"/>
  <c r="D957" i="9"/>
  <c r="B958" i="9"/>
  <c r="Z958" i="9"/>
  <c r="AC958" i="9"/>
  <c r="D958" i="9"/>
  <c r="B959" i="9"/>
  <c r="Z959" i="9"/>
  <c r="D959" i="9"/>
  <c r="B960" i="9"/>
  <c r="D960" i="9"/>
  <c r="B961" i="9"/>
  <c r="D961" i="9"/>
  <c r="B962" i="9"/>
  <c r="Z962" i="9"/>
  <c r="D962" i="9"/>
  <c r="B963" i="9"/>
  <c r="Z963" i="9"/>
  <c r="D963" i="9"/>
  <c r="B964" i="9"/>
  <c r="D964" i="9"/>
  <c r="B965" i="9"/>
  <c r="D965" i="9"/>
  <c r="B966" i="9"/>
  <c r="Z966" i="9"/>
  <c r="D966" i="9"/>
  <c r="B967" i="9"/>
  <c r="D967" i="9"/>
  <c r="Z967" i="9"/>
  <c r="B968" i="9"/>
  <c r="D968" i="9"/>
  <c r="B969" i="9"/>
  <c r="D969" i="9"/>
  <c r="B970" i="9"/>
  <c r="Z970" i="9"/>
  <c r="D970" i="9"/>
  <c r="B971" i="9"/>
  <c r="Z971" i="9"/>
  <c r="D971" i="9"/>
  <c r="B972" i="9"/>
  <c r="D972" i="9"/>
  <c r="B973" i="9"/>
  <c r="D973" i="9"/>
  <c r="B974" i="9"/>
  <c r="Z974" i="9"/>
  <c r="D974" i="9"/>
  <c r="B975" i="9"/>
  <c r="D975" i="9"/>
  <c r="Z975" i="9"/>
  <c r="B976" i="9"/>
  <c r="D976" i="9"/>
  <c r="B977" i="9"/>
  <c r="D977" i="9"/>
  <c r="B978" i="9"/>
  <c r="Z978" i="9"/>
  <c r="D978" i="9"/>
  <c r="B979" i="9"/>
  <c r="Z979" i="9"/>
  <c r="D979" i="9"/>
  <c r="B980" i="9"/>
  <c r="D980" i="9"/>
  <c r="B981" i="9"/>
  <c r="D981" i="9"/>
  <c r="B982" i="9"/>
  <c r="Z982" i="9"/>
  <c r="D982" i="9"/>
  <c r="B983" i="9"/>
  <c r="D983" i="9"/>
  <c r="Z983" i="9"/>
  <c r="B984" i="9"/>
  <c r="D984" i="9"/>
  <c r="B985" i="9"/>
  <c r="D985" i="9"/>
  <c r="B986" i="9"/>
  <c r="Z986" i="9"/>
  <c r="D986" i="9"/>
  <c r="B987" i="9"/>
  <c r="Z987" i="9"/>
  <c r="D987" i="9"/>
  <c r="B988" i="9"/>
  <c r="D988" i="9"/>
  <c r="B989" i="9"/>
  <c r="D989" i="9"/>
  <c r="B990" i="9"/>
  <c r="Z990" i="9"/>
  <c r="D990" i="9"/>
  <c r="B991" i="9"/>
  <c r="Z991" i="9"/>
  <c r="D991" i="9"/>
  <c r="B992" i="9"/>
  <c r="D992" i="9"/>
  <c r="B993" i="9"/>
  <c r="D993" i="9"/>
  <c r="B994" i="9"/>
  <c r="Z994" i="9"/>
  <c r="D994" i="9"/>
  <c r="B995" i="9"/>
  <c r="D995" i="9"/>
  <c r="Z995" i="9"/>
  <c r="B996" i="9"/>
  <c r="D996" i="9"/>
  <c r="B997" i="9"/>
  <c r="D997" i="9"/>
  <c r="B998" i="9"/>
  <c r="Z998" i="9"/>
  <c r="D998" i="9"/>
  <c r="B999" i="9"/>
  <c r="Z999" i="9"/>
  <c r="D999" i="9"/>
  <c r="B1000" i="9"/>
  <c r="D1000" i="9"/>
  <c r="B1001" i="9"/>
  <c r="D1001" i="9"/>
  <c r="B1002" i="9"/>
  <c r="Z1002" i="9"/>
  <c r="D1002" i="9"/>
  <c r="B1003" i="9"/>
  <c r="Z1003" i="9"/>
  <c r="D1003" i="9"/>
  <c r="B1004" i="9"/>
  <c r="D1004" i="9"/>
  <c r="B1005" i="9"/>
  <c r="D1005" i="9"/>
  <c r="B1006" i="9"/>
  <c r="Z1006" i="9"/>
  <c r="D1006" i="9"/>
  <c r="B1007" i="9"/>
  <c r="D1007" i="9"/>
  <c r="Z1007" i="9"/>
  <c r="B1008" i="9"/>
  <c r="D1008" i="9"/>
  <c r="B1009" i="9"/>
  <c r="D1009" i="9"/>
  <c r="B1010" i="9"/>
  <c r="Z1010" i="9"/>
  <c r="D1010" i="9"/>
  <c r="B1011" i="9"/>
  <c r="Z1011" i="9"/>
  <c r="D1011" i="9"/>
  <c r="B1012" i="9"/>
  <c r="D1012" i="9"/>
  <c r="B1013" i="9"/>
  <c r="D1013" i="9"/>
  <c r="B1014" i="9"/>
  <c r="Z1014" i="9"/>
  <c r="D1014" i="9"/>
  <c r="B1015" i="9"/>
  <c r="D1015" i="9"/>
  <c r="Z1015" i="9"/>
  <c r="B1016" i="9"/>
  <c r="D1016" i="9"/>
  <c r="B1017" i="9"/>
  <c r="D1017" i="9"/>
  <c r="B1018" i="9"/>
  <c r="Z1018" i="9"/>
  <c r="D1018" i="9"/>
  <c r="B1019" i="9"/>
  <c r="Z1019" i="9"/>
  <c r="D1019" i="9"/>
  <c r="B1020" i="9"/>
  <c r="D1020" i="9"/>
  <c r="B1021" i="9"/>
  <c r="D1021" i="9"/>
  <c r="B1022" i="9"/>
  <c r="Z1022" i="9"/>
  <c r="D1022" i="9"/>
  <c r="B1023" i="9"/>
  <c r="Z1023" i="9"/>
  <c r="D1023" i="9"/>
  <c r="B1024" i="9"/>
  <c r="D1024" i="9"/>
  <c r="B1025" i="9"/>
  <c r="D1025" i="9"/>
  <c r="B1026" i="9"/>
  <c r="Z1026" i="9"/>
  <c r="D1026" i="9"/>
  <c r="B1027" i="9"/>
  <c r="D1027" i="9"/>
  <c r="Z1027" i="9"/>
  <c r="B1028" i="9"/>
  <c r="D1028" i="9"/>
  <c r="B1029" i="9"/>
  <c r="D1029" i="9"/>
  <c r="B1030" i="9"/>
  <c r="Z1030" i="9"/>
  <c r="D1030" i="9"/>
  <c r="B1031" i="9"/>
  <c r="Z1031" i="9"/>
  <c r="D1031" i="9"/>
  <c r="B1032" i="9"/>
  <c r="D1032" i="9"/>
  <c r="B1033" i="9"/>
  <c r="D1033" i="9"/>
  <c r="B1034" i="9"/>
  <c r="Z1034" i="9"/>
  <c r="D1034" i="9"/>
  <c r="B1035" i="9"/>
  <c r="Z1035" i="9"/>
  <c r="D1035" i="9"/>
  <c r="B1036" i="9"/>
  <c r="D1036" i="9"/>
  <c r="B1037" i="9"/>
  <c r="D1037" i="9"/>
  <c r="B1038" i="9"/>
  <c r="Z1038" i="9"/>
  <c r="D1038" i="9"/>
  <c r="B1039" i="9"/>
  <c r="D1039" i="9"/>
  <c r="Z1039" i="9"/>
  <c r="B1040" i="9"/>
  <c r="D1040" i="9"/>
  <c r="B1041" i="9"/>
  <c r="D1041" i="9"/>
  <c r="B1042" i="9"/>
  <c r="Z1042" i="9"/>
  <c r="D1042" i="9"/>
  <c r="B1043" i="9"/>
  <c r="Z1043" i="9"/>
  <c r="D1043" i="9"/>
  <c r="B1044" i="9"/>
  <c r="D1044" i="9"/>
  <c r="B1045" i="9"/>
  <c r="D1045" i="9"/>
  <c r="B1046" i="9"/>
  <c r="Z1046" i="9"/>
  <c r="D1046" i="9"/>
  <c r="B1047" i="9"/>
  <c r="D1047" i="9"/>
  <c r="Z1047" i="9"/>
  <c r="B1048" i="9"/>
  <c r="D1048" i="9"/>
  <c r="B1049" i="9"/>
  <c r="D1049" i="9"/>
  <c r="B1050" i="9"/>
  <c r="Z1050" i="9"/>
  <c r="D1050" i="9"/>
  <c r="B1051" i="9"/>
  <c r="Z1051" i="9"/>
  <c r="D1051" i="9"/>
  <c r="B1052" i="9"/>
  <c r="D1052" i="9"/>
  <c r="B1053" i="9"/>
  <c r="D1053" i="9"/>
  <c r="B1054" i="9"/>
  <c r="Z1054" i="9"/>
  <c r="D1054" i="9"/>
  <c r="B1055" i="9"/>
  <c r="D1055" i="9"/>
  <c r="Z1055" i="9"/>
  <c r="B1056" i="9"/>
  <c r="D1056" i="9"/>
  <c r="B1057" i="9"/>
  <c r="D1057" i="9"/>
  <c r="B1058" i="9"/>
  <c r="Z1058" i="9"/>
  <c r="D1058" i="9"/>
  <c r="B1059" i="9"/>
  <c r="D1059" i="9"/>
  <c r="Z1059" i="9"/>
  <c r="B1060" i="9"/>
  <c r="D1060" i="9"/>
  <c r="B1061" i="9"/>
  <c r="D1061" i="9"/>
  <c r="B1062" i="9"/>
  <c r="Z1062" i="9"/>
  <c r="D1062" i="9"/>
  <c r="B1063" i="9"/>
  <c r="Z1063" i="9"/>
  <c r="D1063" i="9"/>
  <c r="Z1064" i="9"/>
  <c r="AC1064" i="9"/>
  <c r="Z1065" i="9"/>
  <c r="AC1065" i="9"/>
  <c r="G39" i="8"/>
  <c r="G48" i="8"/>
  <c r="G41" i="8"/>
  <c r="D42" i="8"/>
  <c r="F42" i="8"/>
  <c r="G43" i="8"/>
  <c r="G44" i="8"/>
  <c r="G45" i="8"/>
  <c r="G46" i="8"/>
  <c r="C47" i="8"/>
  <c r="G47" i="8"/>
  <c r="C62" i="8"/>
  <c r="G62" i="8"/>
  <c r="G68" i="8"/>
  <c r="G66" i="8"/>
  <c r="C67" i="8"/>
  <c r="G67" i="8"/>
  <c r="X2" i="7"/>
  <c r="D15" i="17"/>
  <c r="X3" i="7"/>
  <c r="D16" i="17"/>
  <c r="X4" i="7"/>
  <c r="AC4" i="7"/>
  <c r="P10" i="7"/>
  <c r="P11" i="7"/>
  <c r="P12" i="7"/>
  <c r="P13" i="7"/>
  <c r="P14" i="7"/>
  <c r="P15" i="7"/>
  <c r="P16" i="7"/>
  <c r="P17" i="7"/>
  <c r="P18" i="7"/>
  <c r="P19" i="7"/>
  <c r="P20" i="7"/>
  <c r="P21" i="7"/>
  <c r="P22" i="7"/>
  <c r="P23" i="7"/>
  <c r="P24" i="7"/>
  <c r="P25" i="7"/>
  <c r="P26" i="7"/>
  <c r="P27" i="7"/>
  <c r="P28" i="7"/>
  <c r="P29" i="7"/>
  <c r="P30" i="7"/>
  <c r="P31" i="7"/>
  <c r="P32" i="7"/>
  <c r="P33" i="7"/>
  <c r="P34" i="7"/>
  <c r="P35" i="7"/>
  <c r="P36" i="7"/>
  <c r="P37" i="7"/>
  <c r="P38" i="7"/>
  <c r="P39" i="7"/>
  <c r="P40" i="7"/>
  <c r="P41" i="7"/>
  <c r="P42" i="7"/>
  <c r="P43" i="7"/>
  <c r="P44" i="7"/>
  <c r="P45" i="7"/>
  <c r="P46" i="7"/>
  <c r="P47" i="7"/>
  <c r="P48" i="7"/>
  <c r="P49" i="7"/>
  <c r="P50" i="7"/>
  <c r="P51" i="7"/>
  <c r="P52" i="7"/>
  <c r="P53" i="7"/>
  <c r="P54" i="7"/>
  <c r="P55" i="7"/>
  <c r="P56" i="7"/>
  <c r="P57" i="7"/>
  <c r="P58" i="7"/>
  <c r="P59" i="7"/>
  <c r="P60" i="7"/>
  <c r="P61" i="7"/>
  <c r="P62" i="7"/>
  <c r="P63" i="7"/>
  <c r="P64" i="7"/>
  <c r="P65" i="7"/>
  <c r="P66" i="7"/>
  <c r="P67" i="7"/>
  <c r="P68" i="7"/>
  <c r="P69" i="7"/>
  <c r="P70" i="7"/>
  <c r="P71" i="7"/>
  <c r="P72" i="7"/>
  <c r="P73" i="7"/>
  <c r="P74" i="7"/>
  <c r="P75" i="7"/>
  <c r="P76" i="7"/>
  <c r="P77" i="7"/>
  <c r="P78" i="7"/>
  <c r="P79" i="7"/>
  <c r="P80" i="7"/>
  <c r="P81" i="7"/>
  <c r="P82" i="7"/>
  <c r="P83" i="7"/>
  <c r="P84" i="7"/>
  <c r="P85" i="7"/>
  <c r="P86" i="7"/>
  <c r="P87" i="7"/>
  <c r="P88" i="7"/>
  <c r="P89" i="7"/>
  <c r="P90" i="7"/>
  <c r="P91" i="7"/>
  <c r="P92" i="7"/>
  <c r="P93" i="7"/>
  <c r="P94" i="7"/>
  <c r="P95" i="7"/>
  <c r="P96" i="7"/>
  <c r="P97" i="7"/>
  <c r="P98" i="7"/>
  <c r="P99" i="7"/>
  <c r="P100" i="7"/>
  <c r="P101" i="7"/>
  <c r="P102" i="7"/>
  <c r="P103" i="7"/>
  <c r="P104" i="7"/>
  <c r="P105" i="7"/>
  <c r="P106" i="7"/>
  <c r="P107" i="7"/>
  <c r="P108" i="7"/>
  <c r="P109" i="7"/>
  <c r="P110" i="7"/>
  <c r="P111" i="7"/>
  <c r="P112" i="7"/>
  <c r="P113" i="7"/>
  <c r="P114" i="7"/>
  <c r="P115" i="7"/>
  <c r="P116" i="7"/>
  <c r="P117" i="7"/>
  <c r="P118" i="7"/>
  <c r="P119" i="7"/>
  <c r="P120" i="7"/>
  <c r="P121" i="7"/>
  <c r="P122" i="7"/>
  <c r="P123" i="7"/>
  <c r="P124" i="7"/>
  <c r="P125" i="7"/>
  <c r="P126" i="7"/>
  <c r="P127" i="7"/>
  <c r="P128" i="7"/>
  <c r="P129" i="7"/>
  <c r="P130" i="7"/>
  <c r="P131" i="7"/>
  <c r="P132" i="7"/>
  <c r="P133" i="7"/>
  <c r="P134" i="7"/>
  <c r="P135" i="7"/>
  <c r="P136" i="7"/>
  <c r="P137" i="7"/>
  <c r="P138" i="7"/>
  <c r="P139" i="7"/>
  <c r="P140" i="7"/>
  <c r="P141" i="7"/>
  <c r="P142" i="7"/>
  <c r="P143" i="7"/>
  <c r="P144" i="7"/>
  <c r="P145" i="7"/>
  <c r="P146" i="7"/>
  <c r="P147" i="7"/>
  <c r="P148" i="7"/>
  <c r="P149" i="7"/>
  <c r="P150" i="7"/>
  <c r="P151" i="7"/>
  <c r="P152" i="7"/>
  <c r="P153" i="7"/>
  <c r="P154" i="7"/>
  <c r="P155" i="7"/>
  <c r="P156" i="7"/>
  <c r="P157" i="7"/>
  <c r="P158" i="7"/>
  <c r="P159" i="7"/>
  <c r="P160" i="7"/>
  <c r="P161" i="7"/>
  <c r="P162" i="7"/>
  <c r="P163" i="7"/>
  <c r="P164" i="7"/>
  <c r="P165" i="7"/>
  <c r="P166" i="7"/>
  <c r="P167" i="7"/>
  <c r="P168" i="7"/>
  <c r="P169" i="7"/>
  <c r="P170" i="7"/>
  <c r="P171" i="7"/>
  <c r="P172" i="7"/>
  <c r="P173" i="7"/>
  <c r="P174" i="7"/>
  <c r="P175" i="7"/>
  <c r="P176" i="7"/>
  <c r="P177" i="7"/>
  <c r="P178" i="7"/>
  <c r="P179" i="7"/>
  <c r="P180" i="7"/>
  <c r="P181" i="7"/>
  <c r="P182" i="7"/>
  <c r="P183" i="7"/>
  <c r="P184" i="7"/>
  <c r="P185" i="7"/>
  <c r="P186" i="7"/>
  <c r="P187" i="7"/>
  <c r="P188" i="7"/>
  <c r="P189" i="7"/>
  <c r="P190" i="7"/>
  <c r="P191" i="7"/>
  <c r="P192" i="7"/>
  <c r="P193" i="7"/>
  <c r="P194" i="7"/>
  <c r="P195" i="7"/>
  <c r="P196" i="7"/>
  <c r="P197" i="7"/>
  <c r="P198" i="7"/>
  <c r="P199" i="7"/>
  <c r="P200" i="7"/>
  <c r="P201" i="7"/>
  <c r="P202" i="7"/>
  <c r="P203" i="7"/>
  <c r="P204" i="7"/>
  <c r="P205" i="7"/>
  <c r="P206" i="7"/>
  <c r="P207" i="7"/>
  <c r="P208" i="7"/>
  <c r="P209" i="7"/>
  <c r="P210" i="7"/>
  <c r="P211" i="7"/>
  <c r="P212" i="7"/>
  <c r="P213" i="7"/>
  <c r="P214" i="7"/>
  <c r="P215" i="7"/>
  <c r="P216" i="7"/>
  <c r="P217" i="7"/>
  <c r="P218" i="7"/>
  <c r="P219" i="7"/>
  <c r="P220" i="7"/>
  <c r="P221" i="7"/>
  <c r="P222" i="7"/>
  <c r="P223" i="7"/>
  <c r="P224" i="7"/>
  <c r="P225" i="7"/>
  <c r="P226" i="7"/>
  <c r="P227" i="7"/>
  <c r="P228" i="7"/>
  <c r="P229" i="7"/>
  <c r="P230" i="7"/>
  <c r="P231" i="7"/>
  <c r="P232" i="7"/>
  <c r="P233" i="7"/>
  <c r="P234" i="7"/>
  <c r="P235" i="7"/>
  <c r="P236" i="7"/>
  <c r="P237" i="7"/>
  <c r="P238" i="7"/>
  <c r="P239" i="7"/>
  <c r="P240" i="7"/>
  <c r="P241" i="7"/>
  <c r="P242" i="7"/>
  <c r="P243" i="7"/>
  <c r="P244" i="7"/>
  <c r="P245" i="7"/>
  <c r="P246" i="7"/>
  <c r="P247" i="7"/>
  <c r="P248" i="7"/>
  <c r="P249" i="7"/>
  <c r="P250" i="7"/>
  <c r="P251" i="7"/>
  <c r="P252" i="7"/>
  <c r="P253" i="7"/>
  <c r="P254" i="7"/>
  <c r="P255" i="7"/>
  <c r="P256" i="7"/>
  <c r="P257" i="7"/>
  <c r="P258" i="7"/>
  <c r="P259" i="7"/>
  <c r="P260" i="7"/>
  <c r="P261" i="7"/>
  <c r="P262" i="7"/>
  <c r="P263" i="7"/>
  <c r="P264" i="7"/>
  <c r="P265" i="7"/>
  <c r="P266" i="7"/>
  <c r="P267" i="7"/>
  <c r="P268" i="7"/>
  <c r="P269" i="7"/>
  <c r="P270" i="7"/>
  <c r="P271" i="7"/>
  <c r="P272" i="7"/>
  <c r="P273" i="7"/>
  <c r="P274" i="7"/>
  <c r="P275" i="7"/>
  <c r="P276" i="7"/>
  <c r="P277" i="7"/>
  <c r="P278" i="7"/>
  <c r="P279" i="7"/>
  <c r="P280" i="7"/>
  <c r="P281" i="7"/>
  <c r="P282" i="7"/>
  <c r="P283" i="7"/>
  <c r="P284" i="7"/>
  <c r="P285" i="7"/>
  <c r="P286" i="7"/>
  <c r="P287" i="7"/>
  <c r="P288" i="7"/>
  <c r="P289" i="7"/>
  <c r="P290" i="7"/>
  <c r="P291" i="7"/>
  <c r="P292" i="7"/>
  <c r="P293" i="7"/>
  <c r="P294" i="7"/>
  <c r="P295" i="7"/>
  <c r="P296" i="7"/>
  <c r="P297" i="7"/>
  <c r="P298" i="7"/>
  <c r="P299" i="7"/>
  <c r="P300" i="7"/>
  <c r="P301" i="7"/>
  <c r="P302" i="7"/>
  <c r="P303" i="7"/>
  <c r="P304" i="7"/>
  <c r="P305" i="7"/>
  <c r="P306" i="7"/>
  <c r="P307" i="7"/>
  <c r="P308" i="7"/>
  <c r="P309" i="7"/>
  <c r="P310" i="7"/>
  <c r="P311" i="7"/>
  <c r="P312" i="7"/>
  <c r="P313" i="7"/>
  <c r="P314" i="7"/>
  <c r="P315" i="7"/>
  <c r="P316" i="7"/>
  <c r="P317" i="7"/>
  <c r="P318" i="7"/>
  <c r="P319" i="7"/>
  <c r="P320" i="7"/>
  <c r="P321" i="7"/>
  <c r="P322" i="7"/>
  <c r="P323" i="7"/>
  <c r="P324" i="7"/>
  <c r="P325" i="7"/>
  <c r="P326" i="7"/>
  <c r="P327" i="7"/>
  <c r="P328" i="7"/>
  <c r="P329" i="7"/>
  <c r="P330" i="7"/>
  <c r="P331" i="7"/>
  <c r="P332" i="7"/>
  <c r="P333" i="7"/>
  <c r="P334" i="7"/>
  <c r="P335" i="7"/>
  <c r="P336" i="7"/>
  <c r="P337" i="7"/>
  <c r="P338" i="7"/>
  <c r="P339" i="7"/>
  <c r="P340" i="7"/>
  <c r="P341" i="7"/>
  <c r="P342" i="7"/>
  <c r="P343" i="7"/>
  <c r="P344" i="7"/>
  <c r="P345" i="7"/>
  <c r="P346" i="7"/>
  <c r="P347" i="7"/>
  <c r="P348" i="7"/>
  <c r="P349" i="7"/>
  <c r="P350" i="7"/>
  <c r="P351" i="7"/>
  <c r="P352" i="7"/>
  <c r="P353" i="7"/>
  <c r="P354" i="7"/>
  <c r="P355" i="7"/>
  <c r="P356" i="7"/>
  <c r="P357" i="7"/>
  <c r="P358" i="7"/>
  <c r="P359" i="7"/>
  <c r="P360" i="7"/>
  <c r="P361" i="7"/>
  <c r="P362" i="7"/>
  <c r="P363" i="7"/>
  <c r="P364" i="7"/>
  <c r="P365" i="7"/>
  <c r="P366" i="7"/>
  <c r="P367" i="7"/>
  <c r="P368" i="7"/>
  <c r="P369" i="7"/>
  <c r="P370" i="7"/>
  <c r="P371" i="7"/>
  <c r="P372" i="7"/>
  <c r="P373" i="7"/>
  <c r="P374" i="7"/>
  <c r="P375" i="7"/>
  <c r="P376" i="7"/>
  <c r="P377" i="7"/>
  <c r="P378" i="7"/>
  <c r="P379" i="7"/>
  <c r="P380" i="7"/>
  <c r="P381" i="7"/>
  <c r="P382" i="7"/>
  <c r="P383" i="7"/>
  <c r="P384" i="7"/>
  <c r="P385" i="7"/>
  <c r="P386" i="7"/>
  <c r="P387" i="7"/>
  <c r="P388" i="7"/>
  <c r="P389" i="7"/>
  <c r="P390" i="7"/>
  <c r="P391" i="7"/>
  <c r="P392" i="7"/>
  <c r="P393" i="7"/>
  <c r="P394" i="7"/>
  <c r="P395" i="7"/>
  <c r="P396" i="7"/>
  <c r="P397" i="7"/>
  <c r="P398" i="7"/>
  <c r="P399" i="7"/>
  <c r="P400" i="7"/>
  <c r="P401" i="7"/>
  <c r="P402" i="7"/>
  <c r="P403" i="7"/>
  <c r="P404" i="7"/>
  <c r="P405" i="7"/>
  <c r="P406" i="7"/>
  <c r="P407" i="7"/>
  <c r="P408" i="7"/>
  <c r="P409" i="7"/>
  <c r="P410" i="7"/>
  <c r="P411" i="7"/>
  <c r="P412" i="7"/>
  <c r="P413" i="7"/>
  <c r="P414" i="7"/>
  <c r="P415" i="7"/>
  <c r="P416" i="7"/>
  <c r="P417" i="7"/>
  <c r="P418" i="7"/>
  <c r="P419" i="7"/>
  <c r="P420" i="7"/>
  <c r="P421" i="7"/>
  <c r="P422" i="7"/>
  <c r="P423" i="7"/>
  <c r="P424" i="7"/>
  <c r="P425" i="7"/>
  <c r="P426" i="7"/>
  <c r="P427" i="7"/>
  <c r="P428" i="7"/>
  <c r="P429" i="7"/>
  <c r="P430" i="7"/>
  <c r="P431" i="7"/>
  <c r="P432" i="7"/>
  <c r="P433" i="7"/>
  <c r="P434" i="7"/>
  <c r="P435" i="7"/>
  <c r="P436" i="7"/>
  <c r="P437" i="7"/>
  <c r="P438" i="7"/>
  <c r="P439" i="7"/>
  <c r="P440" i="7"/>
  <c r="P441" i="7"/>
  <c r="P442" i="7"/>
  <c r="P443" i="7"/>
  <c r="P444" i="7"/>
  <c r="P445" i="7"/>
  <c r="P446" i="7"/>
  <c r="P447" i="7"/>
  <c r="P448" i="7"/>
  <c r="P449" i="7"/>
  <c r="P450" i="7"/>
  <c r="P451" i="7"/>
  <c r="P452" i="7"/>
  <c r="P453" i="7"/>
  <c r="P454" i="7"/>
  <c r="P455" i="7"/>
  <c r="P456" i="7"/>
  <c r="P457" i="7"/>
  <c r="P458" i="7"/>
  <c r="P459" i="7"/>
  <c r="P460" i="7"/>
  <c r="P461" i="7"/>
  <c r="P462" i="7"/>
  <c r="P463" i="7"/>
  <c r="P464" i="7"/>
  <c r="P465" i="7"/>
  <c r="P466" i="7"/>
  <c r="P467" i="7"/>
  <c r="P468" i="7"/>
  <c r="P469" i="7"/>
  <c r="P470" i="7"/>
  <c r="P471" i="7"/>
  <c r="P472" i="7"/>
  <c r="P473" i="7"/>
  <c r="P474" i="7"/>
  <c r="P475" i="7"/>
  <c r="P476" i="7"/>
  <c r="P477" i="7"/>
  <c r="P478" i="7"/>
  <c r="P479" i="7"/>
  <c r="P480" i="7"/>
  <c r="P481" i="7"/>
  <c r="P482" i="7"/>
  <c r="P483" i="7"/>
  <c r="P484" i="7"/>
  <c r="P485" i="7"/>
  <c r="P486" i="7"/>
  <c r="P487" i="7"/>
  <c r="P488" i="7"/>
  <c r="P489" i="7"/>
  <c r="P490" i="7"/>
  <c r="P491" i="7"/>
  <c r="P492" i="7"/>
  <c r="P493" i="7"/>
  <c r="P494" i="7"/>
  <c r="P495" i="7"/>
  <c r="P496" i="7"/>
  <c r="P497" i="7"/>
  <c r="P498" i="7"/>
  <c r="P499" i="7"/>
  <c r="P500" i="7"/>
  <c r="P501" i="7"/>
  <c r="P502" i="7"/>
  <c r="P503" i="7"/>
  <c r="P504" i="7"/>
  <c r="P505" i="7"/>
  <c r="P506" i="7"/>
  <c r="P507" i="7"/>
  <c r="P508" i="7"/>
  <c r="P509" i="7"/>
  <c r="P510" i="7"/>
  <c r="P511" i="7"/>
  <c r="P512" i="7"/>
  <c r="P513" i="7"/>
  <c r="P514" i="7"/>
  <c r="P515" i="7"/>
  <c r="P516" i="7"/>
  <c r="P517" i="7"/>
  <c r="P518" i="7"/>
  <c r="P519" i="7"/>
  <c r="P520" i="7"/>
  <c r="P521" i="7"/>
  <c r="P522" i="7"/>
  <c r="P523" i="7"/>
  <c r="P524" i="7"/>
  <c r="P525" i="7"/>
  <c r="P526" i="7"/>
  <c r="P527" i="7"/>
  <c r="P528" i="7"/>
  <c r="P529" i="7"/>
  <c r="P530" i="7"/>
  <c r="P531" i="7"/>
  <c r="P532" i="7"/>
  <c r="P533" i="7"/>
  <c r="P534" i="7"/>
  <c r="P535" i="7"/>
  <c r="P536" i="7"/>
  <c r="P537" i="7"/>
  <c r="P538" i="7"/>
  <c r="P539" i="7"/>
  <c r="P540" i="7"/>
  <c r="P541" i="7"/>
  <c r="P542" i="7"/>
  <c r="P543" i="7"/>
  <c r="P544" i="7"/>
  <c r="P545" i="7"/>
  <c r="P546" i="7"/>
  <c r="P547" i="7"/>
  <c r="P548" i="7"/>
  <c r="P549" i="7"/>
  <c r="P550" i="7"/>
  <c r="P551" i="7"/>
  <c r="P552" i="7"/>
  <c r="P553" i="7"/>
  <c r="P554" i="7"/>
  <c r="P555" i="7"/>
  <c r="P556" i="7"/>
  <c r="P557" i="7"/>
  <c r="P558" i="7"/>
  <c r="P559" i="7"/>
  <c r="P560" i="7"/>
  <c r="P561" i="7"/>
  <c r="P562" i="7"/>
  <c r="P563" i="7"/>
  <c r="P564" i="7"/>
  <c r="P565" i="7"/>
  <c r="P566" i="7"/>
  <c r="P567" i="7"/>
  <c r="P568" i="7"/>
  <c r="P569" i="7"/>
  <c r="P570" i="7"/>
  <c r="P571" i="7"/>
  <c r="P572" i="7"/>
  <c r="P573" i="7"/>
  <c r="P574" i="7"/>
  <c r="P575" i="7"/>
  <c r="P576" i="7"/>
  <c r="P577" i="7"/>
  <c r="P578" i="7"/>
  <c r="P579" i="7"/>
  <c r="P580" i="7"/>
  <c r="P581" i="7"/>
  <c r="P582" i="7"/>
  <c r="P583" i="7"/>
  <c r="P584" i="7"/>
  <c r="P585" i="7"/>
  <c r="P586" i="7"/>
  <c r="P587" i="7"/>
  <c r="P588" i="7"/>
  <c r="P589" i="7"/>
  <c r="P590" i="7"/>
  <c r="P591" i="7"/>
  <c r="P592" i="7"/>
  <c r="P593" i="7"/>
  <c r="P594" i="7"/>
  <c r="P595" i="7"/>
  <c r="P596" i="7"/>
  <c r="P597" i="7"/>
  <c r="P598" i="7"/>
  <c r="P599" i="7"/>
  <c r="P600" i="7"/>
  <c r="P601" i="7"/>
  <c r="P602" i="7"/>
  <c r="P603" i="7"/>
  <c r="P604" i="7"/>
  <c r="P605" i="7"/>
  <c r="P606" i="7"/>
  <c r="P607" i="7"/>
  <c r="P608" i="7"/>
  <c r="P609" i="7"/>
  <c r="P610" i="7"/>
  <c r="P611" i="7"/>
  <c r="P612" i="7"/>
  <c r="P613" i="7"/>
  <c r="P614" i="7"/>
  <c r="P615" i="7"/>
  <c r="P616" i="7"/>
  <c r="P617" i="7"/>
  <c r="P618" i="7"/>
  <c r="P619" i="7"/>
  <c r="P620" i="7"/>
  <c r="P621" i="7"/>
  <c r="P622" i="7"/>
  <c r="P623" i="7"/>
  <c r="P624" i="7"/>
  <c r="P625" i="7"/>
  <c r="P626" i="7"/>
  <c r="P627" i="7"/>
  <c r="P628" i="7"/>
  <c r="P629" i="7"/>
  <c r="P630" i="7"/>
  <c r="P631" i="7"/>
  <c r="P632" i="7"/>
  <c r="P633" i="7"/>
  <c r="P634" i="7"/>
  <c r="P635" i="7"/>
  <c r="P636" i="7"/>
  <c r="P637" i="7"/>
  <c r="P638" i="7"/>
  <c r="P639" i="7"/>
  <c r="P640" i="7"/>
  <c r="P641" i="7"/>
  <c r="P642" i="7"/>
  <c r="P643" i="7"/>
  <c r="P644" i="7"/>
  <c r="P645" i="7"/>
  <c r="P646" i="7"/>
  <c r="P647" i="7"/>
  <c r="P648" i="7"/>
  <c r="P649" i="7"/>
  <c r="P650" i="7"/>
  <c r="P651" i="7"/>
  <c r="P652" i="7"/>
  <c r="P653" i="7"/>
  <c r="P654" i="7"/>
  <c r="P655" i="7"/>
  <c r="P656" i="7"/>
  <c r="P657" i="7"/>
  <c r="P658" i="7"/>
  <c r="P659" i="7"/>
  <c r="P660" i="7"/>
  <c r="P661" i="7"/>
  <c r="P662" i="7"/>
  <c r="P663" i="7"/>
  <c r="P664" i="7"/>
  <c r="P665" i="7"/>
  <c r="P666" i="7"/>
  <c r="P667" i="7"/>
  <c r="P668" i="7"/>
  <c r="P669" i="7"/>
  <c r="P670" i="7"/>
  <c r="P671" i="7"/>
  <c r="P672" i="7"/>
  <c r="P673" i="7"/>
  <c r="P674" i="7"/>
  <c r="P675" i="7"/>
  <c r="P676" i="7"/>
  <c r="P677" i="7"/>
  <c r="P678" i="7"/>
  <c r="P679" i="7"/>
  <c r="P680" i="7"/>
  <c r="P681" i="7"/>
  <c r="P682" i="7"/>
  <c r="P683" i="7"/>
  <c r="P684" i="7"/>
  <c r="P685" i="7"/>
  <c r="P686" i="7"/>
  <c r="P687" i="7"/>
  <c r="P688" i="7"/>
  <c r="P689" i="7"/>
  <c r="P690" i="7"/>
  <c r="P691" i="7"/>
  <c r="P692" i="7"/>
  <c r="P693" i="7"/>
  <c r="P694" i="7"/>
  <c r="P695" i="7"/>
  <c r="P696" i="7"/>
  <c r="P697" i="7"/>
  <c r="P698" i="7"/>
  <c r="P699" i="7"/>
  <c r="P700" i="7"/>
  <c r="P701" i="7"/>
  <c r="P702" i="7"/>
  <c r="P703" i="7"/>
  <c r="P704" i="7"/>
  <c r="P705" i="7"/>
  <c r="P706" i="7"/>
  <c r="P707" i="7"/>
  <c r="P708" i="7"/>
  <c r="P709" i="7"/>
  <c r="P710" i="7"/>
  <c r="P711" i="7"/>
  <c r="P712" i="7"/>
  <c r="P713" i="7"/>
  <c r="P714" i="7"/>
  <c r="P715" i="7"/>
  <c r="P716" i="7"/>
  <c r="P717" i="7"/>
  <c r="P718" i="7"/>
  <c r="P719" i="7"/>
  <c r="P720" i="7"/>
  <c r="P721" i="7"/>
  <c r="P722" i="7"/>
  <c r="P723" i="7"/>
  <c r="P724" i="7"/>
  <c r="P725" i="7"/>
  <c r="P726" i="7"/>
  <c r="P727" i="7"/>
  <c r="P728" i="7"/>
  <c r="P729" i="7"/>
  <c r="P730" i="7"/>
  <c r="P731" i="7"/>
  <c r="P732" i="7"/>
  <c r="P733" i="7"/>
  <c r="P734" i="7"/>
  <c r="P735" i="7"/>
  <c r="P736" i="7"/>
  <c r="P737" i="7"/>
  <c r="P738" i="7"/>
  <c r="P739" i="7"/>
  <c r="P740" i="7"/>
  <c r="P741" i="7"/>
  <c r="P742" i="7"/>
  <c r="P743" i="7"/>
  <c r="P744" i="7"/>
  <c r="P745" i="7"/>
  <c r="P746" i="7"/>
  <c r="P747" i="7"/>
  <c r="P748" i="7"/>
  <c r="P749" i="7"/>
  <c r="P750" i="7"/>
  <c r="P751" i="7"/>
  <c r="P752" i="7"/>
  <c r="P753" i="7"/>
  <c r="P754" i="7"/>
  <c r="P755" i="7"/>
  <c r="P756" i="7"/>
  <c r="P757" i="7"/>
  <c r="P758" i="7"/>
  <c r="P759" i="7"/>
  <c r="P760" i="7"/>
  <c r="P761" i="7"/>
  <c r="P762" i="7"/>
  <c r="P763" i="7"/>
  <c r="P764" i="7"/>
  <c r="P765" i="7"/>
  <c r="P766" i="7"/>
  <c r="P767" i="7"/>
  <c r="P768" i="7"/>
  <c r="P769" i="7"/>
  <c r="P770" i="7"/>
  <c r="P771" i="7"/>
  <c r="P772" i="7"/>
  <c r="P773" i="7"/>
  <c r="P774" i="7"/>
  <c r="P775" i="7"/>
  <c r="P776" i="7"/>
  <c r="P777" i="7"/>
  <c r="P778" i="7"/>
  <c r="P779" i="7"/>
  <c r="P780" i="7"/>
  <c r="P781" i="7"/>
  <c r="P782" i="7"/>
  <c r="P783" i="7"/>
  <c r="P784" i="7"/>
  <c r="P785" i="7"/>
  <c r="P786" i="7"/>
  <c r="P787" i="7"/>
  <c r="P788" i="7"/>
  <c r="P789" i="7"/>
  <c r="P790" i="7"/>
  <c r="P791" i="7"/>
  <c r="P792" i="7"/>
  <c r="P793" i="7"/>
  <c r="P794" i="7"/>
  <c r="P795" i="7"/>
  <c r="P796" i="7"/>
  <c r="P797" i="7"/>
  <c r="P798" i="7"/>
  <c r="P799" i="7"/>
  <c r="P800" i="7"/>
  <c r="P801" i="7"/>
  <c r="P802" i="7"/>
  <c r="P803" i="7"/>
  <c r="P804" i="7"/>
  <c r="P805" i="7"/>
  <c r="P806" i="7"/>
  <c r="P807" i="7"/>
  <c r="P808" i="7"/>
  <c r="P809" i="7"/>
  <c r="P810" i="7"/>
  <c r="P811" i="7"/>
  <c r="P812" i="7"/>
  <c r="P813" i="7"/>
  <c r="P814" i="7"/>
  <c r="P815" i="7"/>
  <c r="P816" i="7"/>
  <c r="P817" i="7"/>
  <c r="P818" i="7"/>
  <c r="P819" i="7"/>
  <c r="P820" i="7"/>
  <c r="P821" i="7"/>
  <c r="P822" i="7"/>
  <c r="P823" i="7"/>
  <c r="P824" i="7"/>
  <c r="P825" i="7"/>
  <c r="P826" i="7"/>
  <c r="P827" i="7"/>
  <c r="P828" i="7"/>
  <c r="P829" i="7"/>
  <c r="P830" i="7"/>
  <c r="P831" i="7"/>
  <c r="P832" i="7"/>
  <c r="P833" i="7"/>
  <c r="P834" i="7"/>
  <c r="P835" i="7"/>
  <c r="P836" i="7"/>
  <c r="P837" i="7"/>
  <c r="P838" i="7"/>
  <c r="P839" i="7"/>
  <c r="P840" i="7"/>
  <c r="P841" i="7"/>
  <c r="P842" i="7"/>
  <c r="P843" i="7"/>
  <c r="P844" i="7"/>
  <c r="P845" i="7"/>
  <c r="P846" i="7"/>
  <c r="P847" i="7"/>
  <c r="P848" i="7"/>
  <c r="P849" i="7"/>
  <c r="P850" i="7"/>
  <c r="P851" i="7"/>
  <c r="P852" i="7"/>
  <c r="P853" i="7"/>
  <c r="P854" i="7"/>
  <c r="P855" i="7"/>
  <c r="P856" i="7"/>
  <c r="P857" i="7"/>
  <c r="P858" i="7"/>
  <c r="P859" i="7"/>
  <c r="P860" i="7"/>
  <c r="P861" i="7"/>
  <c r="P862" i="7"/>
  <c r="P863" i="7"/>
  <c r="P864" i="7"/>
  <c r="P865" i="7"/>
  <c r="P866" i="7"/>
  <c r="P867" i="7"/>
  <c r="P868" i="7"/>
  <c r="P869" i="7"/>
  <c r="P870" i="7"/>
  <c r="P871" i="7"/>
  <c r="P872" i="7"/>
  <c r="P873" i="7"/>
  <c r="P874" i="7"/>
  <c r="P875" i="7"/>
  <c r="P876" i="7"/>
  <c r="P877" i="7"/>
  <c r="P878" i="7"/>
  <c r="P879" i="7"/>
  <c r="P880" i="7"/>
  <c r="P881" i="7"/>
  <c r="P882" i="7"/>
  <c r="P883" i="7"/>
  <c r="P884" i="7"/>
  <c r="P885" i="7"/>
  <c r="P886" i="7"/>
  <c r="P887" i="7"/>
  <c r="P888" i="7"/>
  <c r="P889" i="7"/>
  <c r="P890" i="7"/>
  <c r="P891" i="7"/>
  <c r="P892" i="7"/>
  <c r="P893" i="7"/>
  <c r="P894" i="7"/>
  <c r="P895" i="7"/>
  <c r="P896" i="7"/>
  <c r="P897" i="7"/>
  <c r="P898" i="7"/>
  <c r="P899" i="7"/>
  <c r="P900" i="7"/>
  <c r="P901" i="7"/>
  <c r="P902" i="7"/>
  <c r="P903" i="7"/>
  <c r="P904" i="7"/>
  <c r="P905" i="7"/>
  <c r="P906" i="7"/>
  <c r="P907" i="7"/>
  <c r="P908" i="7"/>
  <c r="P909" i="7"/>
  <c r="P910" i="7"/>
  <c r="P911" i="7"/>
  <c r="P912" i="7"/>
  <c r="P913" i="7"/>
  <c r="P914" i="7"/>
  <c r="P915" i="7"/>
  <c r="P916" i="7"/>
  <c r="P917" i="7"/>
  <c r="P918" i="7"/>
  <c r="P919" i="7"/>
  <c r="P920" i="7"/>
  <c r="P921" i="7"/>
  <c r="P922" i="7"/>
  <c r="P923" i="7"/>
  <c r="P924" i="7"/>
  <c r="P925" i="7"/>
  <c r="P926" i="7"/>
  <c r="P927" i="7"/>
  <c r="P928" i="7"/>
  <c r="P929" i="7"/>
  <c r="P930" i="7"/>
  <c r="P931" i="7"/>
  <c r="P932" i="7"/>
  <c r="P933" i="7"/>
  <c r="P934" i="7"/>
  <c r="P935" i="7"/>
  <c r="P936" i="7"/>
  <c r="P937" i="7"/>
  <c r="P938" i="7"/>
  <c r="P939" i="7"/>
  <c r="P940" i="7"/>
  <c r="P941" i="7"/>
  <c r="P942" i="7"/>
  <c r="P943" i="7"/>
  <c r="P944" i="7"/>
  <c r="P945" i="7"/>
  <c r="P946" i="7"/>
  <c r="P947" i="7"/>
  <c r="P948" i="7"/>
  <c r="P949" i="7"/>
  <c r="P950" i="7"/>
  <c r="P951" i="7"/>
  <c r="P952" i="7"/>
  <c r="P953" i="7"/>
  <c r="P954" i="7"/>
  <c r="P955" i="7"/>
  <c r="P956" i="7"/>
  <c r="P957" i="7"/>
  <c r="P958" i="7"/>
  <c r="P959" i="7"/>
  <c r="P960" i="7"/>
  <c r="P961" i="7"/>
  <c r="P962" i="7"/>
  <c r="P963" i="7"/>
  <c r="P964" i="7"/>
  <c r="P965" i="7"/>
  <c r="P966" i="7"/>
  <c r="P967" i="7"/>
  <c r="P968" i="7"/>
  <c r="P969" i="7"/>
  <c r="P970" i="7"/>
  <c r="P971" i="7"/>
  <c r="P972" i="7"/>
  <c r="P973" i="7"/>
  <c r="P974" i="7"/>
  <c r="P975" i="7"/>
  <c r="P976" i="7"/>
  <c r="P977" i="7"/>
  <c r="P978" i="7"/>
  <c r="P979" i="7"/>
  <c r="P980" i="7"/>
  <c r="P981" i="7"/>
  <c r="P982" i="7"/>
  <c r="P983" i="7"/>
  <c r="P984" i="7"/>
  <c r="P985" i="7"/>
  <c r="P986" i="7"/>
  <c r="P987" i="7"/>
  <c r="P988" i="7"/>
  <c r="P989" i="7"/>
  <c r="P990" i="7"/>
  <c r="P991" i="7"/>
  <c r="P992" i="7"/>
  <c r="P993" i="7"/>
  <c r="P994" i="7"/>
  <c r="P995" i="7"/>
  <c r="P996" i="7"/>
  <c r="P997" i="7"/>
  <c r="P998" i="7"/>
  <c r="P999" i="7"/>
  <c r="P1000" i="7"/>
  <c r="P1001" i="7"/>
  <c r="P1002" i="7"/>
  <c r="P1003" i="7"/>
  <c r="P1004" i="7"/>
  <c r="P1005" i="7"/>
  <c r="P1006" i="7"/>
  <c r="P1007" i="7"/>
  <c r="P1008" i="7"/>
  <c r="P1009" i="7"/>
  <c r="P1010" i="7"/>
  <c r="P1011" i="7"/>
  <c r="P1012" i="7"/>
  <c r="P1013" i="7"/>
  <c r="P1014" i="7"/>
  <c r="P1015" i="7"/>
  <c r="P1016" i="7"/>
  <c r="P1017" i="7"/>
  <c r="P1018" i="7"/>
  <c r="P1019" i="7"/>
  <c r="P1020" i="7"/>
  <c r="P1021" i="7"/>
  <c r="P1022" i="7"/>
  <c r="P1023" i="7"/>
  <c r="P1024" i="7"/>
  <c r="P1025" i="7"/>
  <c r="P1026" i="7"/>
  <c r="P1027" i="7"/>
  <c r="P1028" i="7"/>
  <c r="P1029" i="7"/>
  <c r="P1030" i="7"/>
  <c r="P1031" i="7"/>
  <c r="P1032" i="7"/>
  <c r="P1033" i="7"/>
  <c r="P1034" i="7"/>
  <c r="P1035" i="7"/>
  <c r="P1036" i="7"/>
  <c r="P1037" i="7"/>
  <c r="P1038" i="7"/>
  <c r="P1039" i="7"/>
  <c r="P1040" i="7"/>
  <c r="P1041" i="7"/>
  <c r="P1042" i="7"/>
  <c r="P1043" i="7"/>
  <c r="P1044" i="7"/>
  <c r="P1045" i="7"/>
  <c r="P1046" i="7"/>
  <c r="P1047" i="7"/>
  <c r="P1048" i="7"/>
  <c r="P1049" i="7"/>
  <c r="P1050" i="7"/>
  <c r="P1051" i="7"/>
  <c r="P1052" i="7"/>
  <c r="P1053" i="7"/>
  <c r="P1054" i="7"/>
  <c r="P1055" i="7"/>
  <c r="P1056" i="7"/>
  <c r="P1057" i="7"/>
  <c r="P1058" i="7"/>
  <c r="P1059" i="7"/>
  <c r="P1060" i="7"/>
  <c r="P1061" i="7"/>
  <c r="P1062" i="7"/>
  <c r="P1063" i="7"/>
  <c r="AA10" i="7"/>
  <c r="AA11" i="7"/>
  <c r="B12" i="7"/>
  <c r="B13" i="7"/>
  <c r="B14" i="7"/>
  <c r="B15" i="7"/>
  <c r="B16" i="7"/>
  <c r="B17" i="7"/>
  <c r="B18" i="7"/>
  <c r="B19" i="7"/>
  <c r="B20" i="7"/>
  <c r="B21" i="7"/>
  <c r="B22" i="7"/>
  <c r="B23" i="7"/>
  <c r="B24" i="7"/>
  <c r="B25" i="7"/>
  <c r="B26" i="7"/>
  <c r="B27" i="7"/>
  <c r="B28" i="7"/>
  <c r="B29" i="7"/>
  <c r="B30" i="7"/>
  <c r="AA12" i="7"/>
  <c r="AA13" i="7"/>
  <c r="AA14" i="7"/>
  <c r="AA15" i="7"/>
  <c r="AD15" i="7"/>
  <c r="AA16" i="7"/>
  <c r="AD16" i="7"/>
  <c r="AA17" i="7"/>
  <c r="AA18" i="7"/>
  <c r="AA19" i="7"/>
  <c r="AD19" i="7"/>
  <c r="AA20" i="7"/>
  <c r="AD20" i="7"/>
  <c r="AA21" i="7"/>
  <c r="AA22" i="7"/>
  <c r="AA23" i="7"/>
  <c r="AD23" i="7"/>
  <c r="AA24" i="7"/>
  <c r="AA25" i="7"/>
  <c r="AA26" i="7"/>
  <c r="AA27" i="7"/>
  <c r="AD27" i="7"/>
  <c r="AA28" i="7"/>
  <c r="AA29" i="7"/>
  <c r="AA30" i="7"/>
  <c r="AA31" i="7"/>
  <c r="AA32" i="7"/>
  <c r="AA33" i="7"/>
  <c r="AA34" i="7"/>
  <c r="AD34" i="7"/>
  <c r="AA35" i="7"/>
  <c r="AA36" i="7"/>
  <c r="AA37" i="7"/>
  <c r="AA38" i="7"/>
  <c r="AA39" i="7"/>
  <c r="AA40" i="7"/>
  <c r="AA41" i="7"/>
  <c r="AD41" i="7"/>
  <c r="AA42" i="7"/>
  <c r="AA43" i="7"/>
  <c r="AA44" i="7"/>
  <c r="AA45" i="7"/>
  <c r="AA46" i="7"/>
  <c r="AA47" i="7"/>
  <c r="AA48" i="7"/>
  <c r="AA49" i="7"/>
  <c r="AD49" i="7"/>
  <c r="AA50" i="7"/>
  <c r="AA51" i="7"/>
  <c r="AA52" i="7"/>
  <c r="AA53" i="7"/>
  <c r="AA54" i="7"/>
  <c r="AA55" i="7"/>
  <c r="AD55" i="7"/>
  <c r="AA56" i="7"/>
  <c r="AA57" i="7"/>
  <c r="AA58" i="7"/>
  <c r="AA59" i="7"/>
  <c r="AA60" i="7"/>
  <c r="AA61" i="7"/>
  <c r="AA62" i="7"/>
  <c r="AA63" i="7"/>
  <c r="AA64" i="7"/>
  <c r="AA65" i="7"/>
  <c r="AA66" i="7"/>
  <c r="AA67" i="7"/>
  <c r="AA68" i="7"/>
  <c r="AA69" i="7"/>
  <c r="AA70" i="7"/>
  <c r="AA71" i="7"/>
  <c r="AA72" i="7"/>
  <c r="AA73" i="7"/>
  <c r="AA74" i="7"/>
  <c r="AA75" i="7"/>
  <c r="AA76" i="7"/>
  <c r="AA77" i="7"/>
  <c r="AA78" i="7"/>
  <c r="AA79" i="7"/>
  <c r="AA80" i="7"/>
  <c r="AA81" i="7"/>
  <c r="AA82" i="7"/>
  <c r="AA83" i="7"/>
  <c r="AA84" i="7"/>
  <c r="AA85" i="7"/>
  <c r="AA86" i="7"/>
  <c r="AA87" i="7"/>
  <c r="AA88" i="7"/>
  <c r="AA89" i="7"/>
  <c r="AA90" i="7"/>
  <c r="AA91" i="7"/>
  <c r="AA92" i="7"/>
  <c r="AA93" i="7"/>
  <c r="AA94" i="7"/>
  <c r="AA95" i="7"/>
  <c r="AA96" i="7"/>
  <c r="AA97" i="7"/>
  <c r="AA98" i="7"/>
  <c r="AD98" i="7"/>
  <c r="AA99" i="7"/>
  <c r="AA100" i="7"/>
  <c r="AA101" i="7"/>
  <c r="AA102" i="7"/>
  <c r="AD102" i="7"/>
  <c r="AA103" i="7"/>
  <c r="AA104" i="7"/>
  <c r="AA105" i="7"/>
  <c r="AA106" i="7"/>
  <c r="AD106" i="7"/>
  <c r="AA107" i="7"/>
  <c r="AA108" i="7"/>
  <c r="AA109" i="7"/>
  <c r="AA110" i="7"/>
  <c r="AD110" i="7"/>
  <c r="AA111" i="7"/>
  <c r="AA112" i="7"/>
  <c r="AA113" i="7"/>
  <c r="AA114" i="7"/>
  <c r="AD114" i="7"/>
  <c r="AA115" i="7"/>
  <c r="AA116" i="7"/>
  <c r="AA117" i="7"/>
  <c r="AA118" i="7"/>
  <c r="AD118" i="7"/>
  <c r="AA119" i="7"/>
  <c r="AA120" i="7"/>
  <c r="AA121" i="7"/>
  <c r="AA122" i="7"/>
  <c r="AD122" i="7"/>
  <c r="AA123" i="7"/>
  <c r="AA124" i="7"/>
  <c r="AA125" i="7"/>
  <c r="AA126" i="7"/>
  <c r="AD126" i="7"/>
  <c r="AA127" i="7"/>
  <c r="AA128" i="7"/>
  <c r="AA129" i="7"/>
  <c r="AA130" i="7"/>
  <c r="AD130" i="7"/>
  <c r="AA131" i="7"/>
  <c r="AA132" i="7"/>
  <c r="AA133" i="7"/>
  <c r="AA134" i="7"/>
  <c r="AD134" i="7"/>
  <c r="AA135" i="7"/>
  <c r="AA136" i="7"/>
  <c r="AA137" i="7"/>
  <c r="AA138" i="7"/>
  <c r="AD138" i="7"/>
  <c r="AA139" i="7"/>
  <c r="AA140" i="7"/>
  <c r="AA141" i="7"/>
  <c r="AA142" i="7"/>
  <c r="AD142" i="7"/>
  <c r="AA143" i="7"/>
  <c r="AA144" i="7"/>
  <c r="AA145" i="7"/>
  <c r="AA146" i="7"/>
  <c r="AD146" i="7"/>
  <c r="AA147" i="7"/>
  <c r="AA148" i="7"/>
  <c r="AA149" i="7"/>
  <c r="AA150" i="7"/>
  <c r="AD150" i="7"/>
  <c r="AA151" i="7"/>
  <c r="AA152" i="7"/>
  <c r="AA153" i="7"/>
  <c r="AA154" i="7"/>
  <c r="AD154" i="7"/>
  <c r="AA155" i="7"/>
  <c r="AA156" i="7"/>
  <c r="AA157" i="7"/>
  <c r="AA158" i="7"/>
  <c r="AD158" i="7"/>
  <c r="AA159" i="7"/>
  <c r="AA160" i="7"/>
  <c r="AA161" i="7"/>
  <c r="AA162" i="7"/>
  <c r="AD162" i="7"/>
  <c r="AA163" i="7"/>
  <c r="AA164" i="7"/>
  <c r="AA165" i="7"/>
  <c r="AA166" i="7"/>
  <c r="AD166" i="7"/>
  <c r="AA167" i="7"/>
  <c r="AA168" i="7"/>
  <c r="AA169" i="7"/>
  <c r="AA170" i="7"/>
  <c r="AD170" i="7"/>
  <c r="AA171" i="7"/>
  <c r="AA172" i="7"/>
  <c r="AA173" i="7"/>
  <c r="AA174" i="7"/>
  <c r="AD174" i="7"/>
  <c r="AA175" i="7"/>
  <c r="AA176" i="7"/>
  <c r="AA177" i="7"/>
  <c r="AA178" i="7"/>
  <c r="AD178" i="7"/>
  <c r="AA179" i="7"/>
  <c r="AA180" i="7"/>
  <c r="AA181" i="7"/>
  <c r="AA182" i="7"/>
  <c r="AD182" i="7"/>
  <c r="AA183" i="7"/>
  <c r="AA184" i="7"/>
  <c r="AA185" i="7"/>
  <c r="AA186" i="7"/>
  <c r="AD186" i="7"/>
  <c r="AA187" i="7"/>
  <c r="AA188" i="7"/>
  <c r="AA189" i="7"/>
  <c r="AA190" i="7"/>
  <c r="AD190" i="7"/>
  <c r="AA191" i="7"/>
  <c r="AA192" i="7"/>
  <c r="AA193" i="7"/>
  <c r="AA194" i="7"/>
  <c r="AD194" i="7"/>
  <c r="AA195" i="7"/>
  <c r="AA196" i="7"/>
  <c r="AA197" i="7"/>
  <c r="AA198" i="7"/>
  <c r="AD198" i="7"/>
  <c r="AA199" i="7"/>
  <c r="AA200" i="7"/>
  <c r="AA201" i="7"/>
  <c r="AA202" i="7"/>
  <c r="AD202" i="7"/>
  <c r="AA203" i="7"/>
  <c r="AA204" i="7"/>
  <c r="AA205" i="7"/>
  <c r="AA206" i="7"/>
  <c r="AD206" i="7"/>
  <c r="AA207" i="7"/>
  <c r="AA208" i="7"/>
  <c r="AA209" i="7"/>
  <c r="AA210" i="7"/>
  <c r="AD210" i="7"/>
  <c r="AA211" i="7"/>
  <c r="AA212" i="7"/>
  <c r="AA213" i="7"/>
  <c r="AA214" i="7"/>
  <c r="AA215" i="7"/>
  <c r="AA216" i="7"/>
  <c r="AA217" i="7"/>
  <c r="AA218" i="7"/>
  <c r="AA219" i="7"/>
  <c r="AA220" i="7"/>
  <c r="AA221" i="7"/>
  <c r="AA222" i="7"/>
  <c r="AA223" i="7"/>
  <c r="AA224" i="7"/>
  <c r="AA225" i="7"/>
  <c r="AA226" i="7"/>
  <c r="AA227" i="7"/>
  <c r="AA228" i="7"/>
  <c r="AA229" i="7"/>
  <c r="AA230" i="7"/>
  <c r="AA231" i="7"/>
  <c r="AA232" i="7"/>
  <c r="AA233" i="7"/>
  <c r="AA234" i="7"/>
  <c r="AA235" i="7"/>
  <c r="AA236" i="7"/>
  <c r="AA237" i="7"/>
  <c r="AA238" i="7"/>
  <c r="AA239" i="7"/>
  <c r="AA240" i="7"/>
  <c r="AA241" i="7"/>
  <c r="AA242" i="7"/>
  <c r="AA243" i="7"/>
  <c r="AA244" i="7"/>
  <c r="AA245" i="7"/>
  <c r="AA246" i="7"/>
  <c r="AA247" i="7"/>
  <c r="AA248" i="7"/>
  <c r="AA249" i="7"/>
  <c r="AA250" i="7"/>
  <c r="AA251" i="7"/>
  <c r="AA252" i="7"/>
  <c r="AA253" i="7"/>
  <c r="AA254" i="7"/>
  <c r="AA255" i="7"/>
  <c r="AA256" i="7"/>
  <c r="AA257" i="7"/>
  <c r="AA258" i="7"/>
  <c r="AA259" i="7"/>
  <c r="AA260" i="7"/>
  <c r="AD260" i="7"/>
  <c r="AA261" i="7"/>
  <c r="AA262" i="7"/>
  <c r="AA263" i="7"/>
  <c r="AA264" i="7"/>
  <c r="AA265" i="7"/>
  <c r="AA266" i="7"/>
  <c r="AD266" i="7"/>
  <c r="AA267" i="7"/>
  <c r="AA268" i="7"/>
  <c r="AA269" i="7"/>
  <c r="AA270" i="7"/>
  <c r="AA271" i="7"/>
  <c r="AA272" i="7"/>
  <c r="AA273" i="7"/>
  <c r="AA274" i="7"/>
  <c r="AA275" i="7"/>
  <c r="AA276" i="7"/>
  <c r="AA277" i="7"/>
  <c r="AA278" i="7"/>
  <c r="AA279" i="7"/>
  <c r="AA280" i="7"/>
  <c r="AA281" i="7"/>
  <c r="AA282" i="7"/>
  <c r="AA283" i="7"/>
  <c r="AA284" i="7"/>
  <c r="AA285" i="7"/>
  <c r="AA286" i="7"/>
  <c r="AA287" i="7"/>
  <c r="AA288" i="7"/>
  <c r="AA289" i="7"/>
  <c r="AA290" i="7"/>
  <c r="AA291" i="7"/>
  <c r="AA292" i="7"/>
  <c r="AA293" i="7"/>
  <c r="AA294" i="7"/>
  <c r="AA295" i="7"/>
  <c r="AA296" i="7"/>
  <c r="AA297" i="7"/>
  <c r="AA298" i="7"/>
  <c r="AA299" i="7"/>
  <c r="AA300" i="7"/>
  <c r="AA301" i="7"/>
  <c r="AA302" i="7"/>
  <c r="AA303" i="7"/>
  <c r="AA304" i="7"/>
  <c r="AA305" i="7"/>
  <c r="AA306" i="7"/>
  <c r="AA307" i="7"/>
  <c r="AA308" i="7"/>
  <c r="AD308" i="7"/>
  <c r="AA309" i="7"/>
  <c r="AA310" i="7"/>
  <c r="AA311" i="7"/>
  <c r="AA312" i="7"/>
  <c r="AA313" i="7"/>
  <c r="AA314" i="7"/>
  <c r="AA315" i="7"/>
  <c r="AA316" i="7"/>
  <c r="AD316" i="7"/>
  <c r="AA317" i="7"/>
  <c r="AA318" i="7"/>
  <c r="AA319" i="7"/>
  <c r="AA320" i="7"/>
  <c r="AA321" i="7"/>
  <c r="AA322" i="7"/>
  <c r="AA323" i="7"/>
  <c r="AA324" i="7"/>
  <c r="AD324" i="7"/>
  <c r="AA325" i="7"/>
  <c r="AA326" i="7"/>
  <c r="AA327" i="7"/>
  <c r="AA328" i="7"/>
  <c r="AA329" i="7"/>
  <c r="AA330" i="7"/>
  <c r="AA331" i="7"/>
  <c r="AA332" i="7"/>
  <c r="AD332" i="7"/>
  <c r="AA333" i="7"/>
  <c r="AA334" i="7"/>
  <c r="AA335" i="7"/>
  <c r="AA336" i="7"/>
  <c r="AA337" i="7"/>
  <c r="AA338" i="7"/>
  <c r="AA339" i="7"/>
  <c r="AA340" i="7"/>
  <c r="AD340" i="7"/>
  <c r="AA341" i="7"/>
  <c r="AA342" i="7"/>
  <c r="AA343" i="7"/>
  <c r="AA344" i="7"/>
  <c r="AA345" i="7"/>
  <c r="AA346" i="7"/>
  <c r="AA347" i="7"/>
  <c r="AA348" i="7"/>
  <c r="AD348" i="7"/>
  <c r="AA349" i="7"/>
  <c r="AA350" i="7"/>
  <c r="AA351" i="7"/>
  <c r="AA352" i="7"/>
  <c r="AA353" i="7"/>
  <c r="AA354" i="7"/>
  <c r="AA355" i="7"/>
  <c r="AA356" i="7"/>
  <c r="AD356" i="7"/>
  <c r="AA357" i="7"/>
  <c r="AA358" i="7"/>
  <c r="AA359" i="7"/>
  <c r="AA360" i="7"/>
  <c r="AA361" i="7"/>
  <c r="AA362" i="7"/>
  <c r="AA363" i="7"/>
  <c r="AA364" i="7"/>
  <c r="AD364" i="7"/>
  <c r="AA365" i="7"/>
  <c r="AA366" i="7"/>
  <c r="AA367" i="7"/>
  <c r="AA368" i="7"/>
  <c r="AA369" i="7"/>
  <c r="AA370" i="7"/>
  <c r="AA371" i="7"/>
  <c r="AA372" i="7"/>
  <c r="AD372" i="7"/>
  <c r="AA373" i="7"/>
  <c r="AA374" i="7"/>
  <c r="AA375" i="7"/>
  <c r="AA376" i="7"/>
  <c r="AA377" i="7"/>
  <c r="AA378" i="7"/>
  <c r="AA379" i="7"/>
  <c r="AA380" i="7"/>
  <c r="AD380" i="7"/>
  <c r="AA381" i="7"/>
  <c r="AA382" i="7"/>
  <c r="AA383" i="7"/>
  <c r="AA384" i="7"/>
  <c r="AA385" i="7"/>
  <c r="AA386" i="7"/>
  <c r="AA387" i="7"/>
  <c r="AA388" i="7"/>
  <c r="AD388" i="7"/>
  <c r="AA389" i="7"/>
  <c r="AA390" i="7"/>
  <c r="AA391" i="7"/>
  <c r="AA392" i="7"/>
  <c r="AA393" i="7"/>
  <c r="AA394" i="7"/>
  <c r="AA395" i="7"/>
  <c r="AA396" i="7"/>
  <c r="AD396" i="7"/>
  <c r="AA397" i="7"/>
  <c r="AA398" i="7"/>
  <c r="AA399" i="7"/>
  <c r="AA400" i="7"/>
  <c r="AA401" i="7"/>
  <c r="AA402" i="7"/>
  <c r="AA403" i="7"/>
  <c r="AA404" i="7"/>
  <c r="AD404" i="7"/>
  <c r="AA405" i="7"/>
  <c r="AA406" i="7"/>
  <c r="AA407" i="7"/>
  <c r="AA408" i="7"/>
  <c r="AA409" i="7"/>
  <c r="AA410" i="7"/>
  <c r="AA411" i="7"/>
  <c r="AA412" i="7"/>
  <c r="AD412" i="7"/>
  <c r="AA413" i="7"/>
  <c r="AA414" i="7"/>
  <c r="AA415" i="7"/>
  <c r="AA416" i="7"/>
  <c r="AA417" i="7"/>
  <c r="AA418" i="7"/>
  <c r="AA419" i="7"/>
  <c r="AA420" i="7"/>
  <c r="AD420" i="7"/>
  <c r="AA421" i="7"/>
  <c r="AA422" i="7"/>
  <c r="AA423" i="7"/>
  <c r="AA424" i="7"/>
  <c r="AA425" i="7"/>
  <c r="AA426" i="7"/>
  <c r="AA427" i="7"/>
  <c r="AA428" i="7"/>
  <c r="AD428" i="7"/>
  <c r="AA429" i="7"/>
  <c r="AA430" i="7"/>
  <c r="AA431" i="7"/>
  <c r="AA432" i="7"/>
  <c r="AA433" i="7"/>
  <c r="AA434" i="7"/>
  <c r="AA435" i="7"/>
  <c r="AA436" i="7"/>
  <c r="AD436" i="7"/>
  <c r="AA437" i="7"/>
  <c r="AA438" i="7"/>
  <c r="AA439" i="7"/>
  <c r="AA440" i="7"/>
  <c r="AA441" i="7"/>
  <c r="AA442" i="7"/>
  <c r="AA443" i="7"/>
  <c r="AA444" i="7"/>
  <c r="AD444" i="7"/>
  <c r="AA445" i="7"/>
  <c r="AA446" i="7"/>
  <c r="AA447" i="7"/>
  <c r="AA448" i="7"/>
  <c r="AA449" i="7"/>
  <c r="AA450" i="7"/>
  <c r="AA451" i="7"/>
  <c r="AA452" i="7"/>
  <c r="AD452" i="7"/>
  <c r="AA453" i="7"/>
  <c r="AA454" i="7"/>
  <c r="AA455" i="7"/>
  <c r="AA456" i="7"/>
  <c r="AA457" i="7"/>
  <c r="AA458" i="7"/>
  <c r="AA459" i="7"/>
  <c r="AA460" i="7"/>
  <c r="AD460" i="7"/>
  <c r="AA461" i="7"/>
  <c r="AA462" i="7"/>
  <c r="AA463" i="7"/>
  <c r="AA464" i="7"/>
  <c r="AA465" i="7"/>
  <c r="AA466" i="7"/>
  <c r="AD466" i="7"/>
  <c r="AA467" i="7"/>
  <c r="AA468" i="7"/>
  <c r="AD468" i="7"/>
  <c r="AA469" i="7"/>
  <c r="AA470" i="7"/>
  <c r="AD470" i="7"/>
  <c r="AA471" i="7"/>
  <c r="AA472" i="7"/>
  <c r="AA473" i="7"/>
  <c r="AA474" i="7"/>
  <c r="AD474" i="7"/>
  <c r="AA475" i="7"/>
  <c r="AA476" i="7"/>
  <c r="AD476" i="7"/>
  <c r="AA477" i="7"/>
  <c r="AA478" i="7"/>
  <c r="AD478" i="7"/>
  <c r="AA479" i="7"/>
  <c r="AA480" i="7"/>
  <c r="AA481" i="7"/>
  <c r="AA482" i="7"/>
  <c r="AD482" i="7"/>
  <c r="AA483" i="7"/>
  <c r="AA484" i="7"/>
  <c r="AD484" i="7"/>
  <c r="AA485" i="7"/>
  <c r="AA486" i="7"/>
  <c r="AD486" i="7"/>
  <c r="AA487" i="7"/>
  <c r="AA488" i="7"/>
  <c r="AA489" i="7"/>
  <c r="AA490" i="7"/>
  <c r="AD490" i="7"/>
  <c r="AA491" i="7"/>
  <c r="AA492" i="7"/>
  <c r="AD492" i="7"/>
  <c r="AA493" i="7"/>
  <c r="AA494" i="7"/>
  <c r="AD494" i="7"/>
  <c r="AA495" i="7"/>
  <c r="AA496" i="7"/>
  <c r="AA497" i="7"/>
  <c r="AA498" i="7"/>
  <c r="AD498" i="7"/>
  <c r="AA499" i="7"/>
  <c r="AA500" i="7"/>
  <c r="AD500" i="7"/>
  <c r="AA501" i="7"/>
  <c r="AA502" i="7"/>
  <c r="AD502" i="7"/>
  <c r="AA503" i="7"/>
  <c r="AA504" i="7"/>
  <c r="AA505" i="7"/>
  <c r="AA506" i="7"/>
  <c r="AD506" i="7"/>
  <c r="AA507" i="7"/>
  <c r="AA508" i="7"/>
  <c r="AD508" i="7"/>
  <c r="AA509" i="7"/>
  <c r="AA510" i="7"/>
  <c r="AD510" i="7"/>
  <c r="AA511" i="7"/>
  <c r="AA512" i="7"/>
  <c r="AA513" i="7"/>
  <c r="AA514" i="7"/>
  <c r="AD514" i="7"/>
  <c r="AA515" i="7"/>
  <c r="AA516" i="7"/>
  <c r="AD516" i="7"/>
  <c r="AA517" i="7"/>
  <c r="AA518" i="7"/>
  <c r="AD518" i="7"/>
  <c r="AA519" i="7"/>
  <c r="AA520" i="7"/>
  <c r="AA521" i="7"/>
  <c r="AA522" i="7"/>
  <c r="AD522" i="7"/>
  <c r="AA523" i="7"/>
  <c r="AA524" i="7"/>
  <c r="AD524" i="7"/>
  <c r="AA525" i="7"/>
  <c r="AA526" i="7"/>
  <c r="AD526" i="7"/>
  <c r="AA527" i="7"/>
  <c r="AA528" i="7"/>
  <c r="AA529" i="7"/>
  <c r="AA530" i="7"/>
  <c r="AD530" i="7"/>
  <c r="AA531" i="7"/>
  <c r="AA532" i="7"/>
  <c r="AD532" i="7"/>
  <c r="AA533" i="7"/>
  <c r="AA534" i="7"/>
  <c r="AD534" i="7"/>
  <c r="AA535" i="7"/>
  <c r="AA536" i="7"/>
  <c r="AA537" i="7"/>
  <c r="AA538" i="7"/>
  <c r="AD538" i="7"/>
  <c r="AA539" i="7"/>
  <c r="AA540" i="7"/>
  <c r="AD540" i="7"/>
  <c r="AA541" i="7"/>
  <c r="AA542" i="7"/>
  <c r="AD542" i="7"/>
  <c r="AA543" i="7"/>
  <c r="AA544" i="7"/>
  <c r="AA545" i="7"/>
  <c r="AA546" i="7"/>
  <c r="AD546" i="7"/>
  <c r="AA547" i="7"/>
  <c r="AA548" i="7"/>
  <c r="AD548" i="7"/>
  <c r="AA549" i="7"/>
  <c r="AA550" i="7"/>
  <c r="AD550" i="7"/>
  <c r="AA551" i="7"/>
  <c r="AA552" i="7"/>
  <c r="AA553" i="7"/>
  <c r="AA554" i="7"/>
  <c r="AD554" i="7"/>
  <c r="AA555" i="7"/>
  <c r="AA556" i="7"/>
  <c r="AD556" i="7"/>
  <c r="AA557" i="7"/>
  <c r="AA558" i="7"/>
  <c r="AD558" i="7"/>
  <c r="AA559" i="7"/>
  <c r="AA560" i="7"/>
  <c r="AA561" i="7"/>
  <c r="AA562" i="7"/>
  <c r="AD562" i="7"/>
  <c r="AA563" i="7"/>
  <c r="AA564" i="7"/>
  <c r="AD564" i="7"/>
  <c r="AA565" i="7"/>
  <c r="AA566" i="7"/>
  <c r="AD566" i="7"/>
  <c r="AA567" i="7"/>
  <c r="AA568" i="7"/>
  <c r="AA569" i="7"/>
  <c r="AA570" i="7"/>
  <c r="AD570" i="7"/>
  <c r="AA571" i="7"/>
  <c r="AA572" i="7"/>
  <c r="AD572" i="7"/>
  <c r="AA573" i="7"/>
  <c r="AA574" i="7"/>
  <c r="AD574" i="7"/>
  <c r="AA575" i="7"/>
  <c r="AA576" i="7"/>
  <c r="AA577" i="7"/>
  <c r="AA578" i="7"/>
  <c r="AD578" i="7"/>
  <c r="AA579" i="7"/>
  <c r="AA580" i="7"/>
  <c r="AD580" i="7"/>
  <c r="AA581" i="7"/>
  <c r="AA582" i="7"/>
  <c r="AD582" i="7"/>
  <c r="AA583" i="7"/>
  <c r="AA584" i="7"/>
  <c r="AA585" i="7"/>
  <c r="AA586" i="7"/>
  <c r="AD586" i="7"/>
  <c r="AA587" i="7"/>
  <c r="AA588" i="7"/>
  <c r="AD588" i="7"/>
  <c r="AA589" i="7"/>
  <c r="AA590" i="7"/>
  <c r="AD590" i="7"/>
  <c r="AA591" i="7"/>
  <c r="AA592" i="7"/>
  <c r="AA593" i="7"/>
  <c r="AA594" i="7"/>
  <c r="AD594" i="7"/>
  <c r="AA595" i="7"/>
  <c r="AA596" i="7"/>
  <c r="AD596" i="7"/>
  <c r="AA597" i="7"/>
  <c r="AA598" i="7"/>
  <c r="AD598" i="7"/>
  <c r="AA599" i="7"/>
  <c r="AA600" i="7"/>
  <c r="AA601" i="7"/>
  <c r="AA602" i="7"/>
  <c r="AA603" i="7"/>
  <c r="AA604" i="7"/>
  <c r="AA605" i="7"/>
  <c r="AA606" i="7"/>
  <c r="AA607" i="7"/>
  <c r="AA608" i="7"/>
  <c r="AA609" i="7"/>
  <c r="AA610" i="7"/>
  <c r="AA611" i="7"/>
  <c r="AA612" i="7"/>
  <c r="AA613" i="7"/>
  <c r="AA614" i="7"/>
  <c r="AA615" i="7"/>
  <c r="AA616" i="7"/>
  <c r="AA617" i="7"/>
  <c r="AA618" i="7"/>
  <c r="AA619" i="7"/>
  <c r="AA620" i="7"/>
  <c r="AA621" i="7"/>
  <c r="AA622" i="7"/>
  <c r="AA623" i="7"/>
  <c r="AA624" i="7"/>
  <c r="AA625" i="7"/>
  <c r="AA626" i="7"/>
  <c r="AA627" i="7"/>
  <c r="AA628" i="7"/>
  <c r="AA629" i="7"/>
  <c r="AA630" i="7"/>
  <c r="AA631" i="7"/>
  <c r="AA632" i="7"/>
  <c r="AA633" i="7"/>
  <c r="AA634" i="7"/>
  <c r="AA635" i="7"/>
  <c r="AA636" i="7"/>
  <c r="AA637" i="7"/>
  <c r="AD637" i="7"/>
  <c r="AA638" i="7"/>
  <c r="AA639" i="7"/>
  <c r="AD639" i="7"/>
  <c r="AA640" i="7"/>
  <c r="AA641" i="7"/>
  <c r="AD641" i="7"/>
  <c r="AA642" i="7"/>
  <c r="AA643" i="7"/>
  <c r="AA644" i="7"/>
  <c r="AA645" i="7"/>
  <c r="AD645" i="7"/>
  <c r="AA646" i="7"/>
  <c r="AA647" i="7"/>
  <c r="AD647" i="7"/>
  <c r="AA648" i="7"/>
  <c r="AD648" i="7"/>
  <c r="AA649" i="7"/>
  <c r="AD649" i="7"/>
  <c r="AA650" i="7"/>
  <c r="AA651" i="7"/>
  <c r="AA652" i="7"/>
  <c r="AD652" i="7"/>
  <c r="AA653" i="7"/>
  <c r="AD653" i="7"/>
  <c r="AA654" i="7"/>
  <c r="AD654" i="7"/>
  <c r="AA655" i="7"/>
  <c r="AD655" i="7"/>
  <c r="AA656" i="7"/>
  <c r="AA657" i="7"/>
  <c r="AD657" i="7"/>
  <c r="AA658" i="7"/>
  <c r="AA659" i="7"/>
  <c r="AD659" i="7"/>
  <c r="AA660" i="7"/>
  <c r="AA661" i="7"/>
  <c r="AD661" i="7"/>
  <c r="AA662" i="7"/>
  <c r="AD662" i="7"/>
  <c r="AA663" i="7"/>
  <c r="AA664" i="7"/>
  <c r="AA665" i="7"/>
  <c r="AA666" i="7"/>
  <c r="AD666" i="7"/>
  <c r="AA667" i="7"/>
  <c r="AD667" i="7"/>
  <c r="AA668" i="7"/>
  <c r="AD668" i="7"/>
  <c r="AA669" i="7"/>
  <c r="AD669" i="7"/>
  <c r="AA670" i="7"/>
  <c r="AD670" i="7"/>
  <c r="AA671" i="7"/>
  <c r="AA672" i="7"/>
  <c r="AD672" i="7"/>
  <c r="AA673" i="7"/>
  <c r="AD673" i="7"/>
  <c r="AA674" i="7"/>
  <c r="AD674" i="7"/>
  <c r="AA675" i="7"/>
  <c r="AA676" i="7"/>
  <c r="AA677" i="7"/>
  <c r="AD677" i="7"/>
  <c r="AA678" i="7"/>
  <c r="AD678" i="7"/>
  <c r="AA679" i="7"/>
  <c r="AA680" i="7"/>
  <c r="AD680" i="7"/>
  <c r="AA681" i="7"/>
  <c r="AA682" i="7"/>
  <c r="AA683" i="7"/>
  <c r="AD683" i="7"/>
  <c r="AA684" i="7"/>
  <c r="AA685" i="7"/>
  <c r="AD685" i="7"/>
  <c r="AA686" i="7"/>
  <c r="AD686" i="7"/>
  <c r="AA687" i="7"/>
  <c r="AA688" i="7"/>
  <c r="AA689" i="7"/>
  <c r="AA690" i="7"/>
  <c r="AD690" i="7"/>
  <c r="AA691" i="7"/>
  <c r="AD691" i="7"/>
  <c r="AA692" i="7"/>
  <c r="AA693" i="7"/>
  <c r="AD693" i="7"/>
  <c r="AA694" i="7"/>
  <c r="AD694" i="7"/>
  <c r="AA695" i="7"/>
  <c r="AD695" i="7"/>
  <c r="AA696" i="7"/>
  <c r="AA697" i="7"/>
  <c r="AD697" i="7"/>
  <c r="AA698" i="7"/>
  <c r="AD698" i="7"/>
  <c r="AA699" i="7"/>
  <c r="AA700" i="7"/>
  <c r="AA701" i="7"/>
  <c r="AA702" i="7"/>
  <c r="AD702" i="7"/>
  <c r="AA703" i="7"/>
  <c r="AD703" i="7"/>
  <c r="AA704" i="7"/>
  <c r="AA705" i="7"/>
  <c r="AD705" i="7"/>
  <c r="AA706" i="7"/>
  <c r="AA707" i="7"/>
  <c r="AA708" i="7"/>
  <c r="AD708" i="7"/>
  <c r="AA709" i="7"/>
  <c r="AD709" i="7"/>
  <c r="AA710" i="7"/>
  <c r="AD710" i="7"/>
  <c r="AA711" i="7"/>
  <c r="AA712" i="7"/>
  <c r="AD712" i="7"/>
  <c r="AA713" i="7"/>
  <c r="AA714" i="7"/>
  <c r="AD714" i="7"/>
  <c r="AA715" i="7"/>
  <c r="AD715" i="7"/>
  <c r="AA716" i="7"/>
  <c r="AA717" i="7"/>
  <c r="AD717" i="7"/>
  <c r="AA718" i="7"/>
  <c r="AD718" i="7"/>
  <c r="AA719" i="7"/>
  <c r="AA720" i="7"/>
  <c r="AA721" i="7"/>
  <c r="AD721" i="7"/>
  <c r="AA722" i="7"/>
  <c r="AD722" i="7"/>
  <c r="AA723" i="7"/>
  <c r="AD723" i="7"/>
  <c r="AA724" i="7"/>
  <c r="AA725" i="7"/>
  <c r="AD725" i="7"/>
  <c r="AA726" i="7"/>
  <c r="AA727" i="7"/>
  <c r="AD727" i="7"/>
  <c r="AA728" i="7"/>
  <c r="AD728" i="7"/>
  <c r="AA729" i="7"/>
  <c r="AD729" i="7"/>
  <c r="AA730" i="7"/>
  <c r="AD730" i="7"/>
  <c r="AA731" i="7"/>
  <c r="AA732" i="7"/>
  <c r="AA733" i="7"/>
  <c r="AA734" i="7"/>
  <c r="AD734" i="7"/>
  <c r="AA735" i="7"/>
  <c r="AD735" i="7"/>
  <c r="AA736" i="7"/>
  <c r="AA737" i="7"/>
  <c r="AD737" i="7"/>
  <c r="AA738" i="7"/>
  <c r="AA739" i="7"/>
  <c r="AA740" i="7"/>
  <c r="AA741" i="7"/>
  <c r="AD741" i="7"/>
  <c r="AA742" i="7"/>
  <c r="AD742" i="7"/>
  <c r="AA743" i="7"/>
  <c r="AA744" i="7"/>
  <c r="AD744" i="7"/>
  <c r="AA745" i="7"/>
  <c r="AA746" i="7"/>
  <c r="AA747" i="7"/>
  <c r="AD747" i="7"/>
  <c r="AA748" i="7"/>
  <c r="AD748" i="7"/>
  <c r="AA749" i="7"/>
  <c r="AA750" i="7"/>
  <c r="AD750" i="7"/>
  <c r="AA751" i="7"/>
  <c r="AD751" i="7"/>
  <c r="AA752" i="7"/>
  <c r="AA753" i="7"/>
  <c r="AD753" i="7"/>
  <c r="AA754" i="7"/>
  <c r="AD754" i="7"/>
  <c r="AA755" i="7"/>
  <c r="AA756" i="7"/>
  <c r="AA757" i="7"/>
  <c r="AA758" i="7"/>
  <c r="AD758" i="7"/>
  <c r="AA759" i="7"/>
  <c r="AD759" i="7"/>
  <c r="AA760" i="7"/>
  <c r="AD760" i="7"/>
  <c r="AA761" i="7"/>
  <c r="AA762" i="7"/>
  <c r="AD762" i="7"/>
  <c r="AA763" i="7"/>
  <c r="AD763" i="7"/>
  <c r="AA764" i="7"/>
  <c r="AD764" i="7"/>
  <c r="AA765" i="7"/>
  <c r="AD765" i="7"/>
  <c r="AA766" i="7"/>
  <c r="AD766" i="7"/>
  <c r="AA767" i="7"/>
  <c r="AD767" i="7"/>
  <c r="AA768" i="7"/>
  <c r="AD768" i="7"/>
  <c r="AA769" i="7"/>
  <c r="AA770" i="7"/>
  <c r="AD770" i="7"/>
  <c r="AA771" i="7"/>
  <c r="AD771" i="7"/>
  <c r="AA772" i="7"/>
  <c r="AD772" i="7"/>
  <c r="AA773" i="7"/>
  <c r="AA774" i="7"/>
  <c r="AD774" i="7"/>
  <c r="AA775" i="7"/>
  <c r="AD775" i="7"/>
  <c r="AA776" i="7"/>
  <c r="AD776" i="7"/>
  <c r="AA777" i="7"/>
  <c r="AA778" i="7"/>
  <c r="AD778" i="7"/>
  <c r="AA779" i="7"/>
  <c r="AD779" i="7"/>
  <c r="AA780" i="7"/>
  <c r="AD780" i="7"/>
  <c r="AA781" i="7"/>
  <c r="AD781" i="7"/>
  <c r="AA782" i="7"/>
  <c r="AD782" i="7"/>
  <c r="AA783" i="7"/>
  <c r="AD783" i="7"/>
  <c r="AA784" i="7"/>
  <c r="AD784" i="7"/>
  <c r="AA785" i="7"/>
  <c r="AA786" i="7"/>
  <c r="AD786" i="7"/>
  <c r="AA787" i="7"/>
  <c r="AD787" i="7"/>
  <c r="AA788" i="7"/>
  <c r="AD788" i="7"/>
  <c r="AA789" i="7"/>
  <c r="AA790" i="7"/>
  <c r="AD790" i="7"/>
  <c r="AA791" i="7"/>
  <c r="AD791" i="7"/>
  <c r="AA792" i="7"/>
  <c r="AD792" i="7"/>
  <c r="AA793" i="7"/>
  <c r="AA794" i="7"/>
  <c r="AA795" i="7"/>
  <c r="AA796" i="7"/>
  <c r="AA797" i="7"/>
  <c r="AD797" i="7"/>
  <c r="AA798" i="7"/>
  <c r="AA799" i="7"/>
  <c r="AD799" i="7"/>
  <c r="AA800" i="7"/>
  <c r="AA801" i="7"/>
  <c r="AA802" i="7"/>
  <c r="AA803" i="7"/>
  <c r="AA804" i="7"/>
  <c r="AA805" i="7"/>
  <c r="AD805" i="7"/>
  <c r="AA806" i="7"/>
  <c r="AA807" i="7"/>
  <c r="AD807" i="7"/>
  <c r="AA808" i="7"/>
  <c r="AA809" i="7"/>
  <c r="AD809" i="7"/>
  <c r="AA810" i="7"/>
  <c r="AA811" i="7"/>
  <c r="AD811" i="7"/>
  <c r="AA812" i="7"/>
  <c r="AA813" i="7"/>
  <c r="AD813" i="7"/>
  <c r="AA814" i="7"/>
  <c r="AA815" i="7"/>
  <c r="AD815" i="7"/>
  <c r="AA816" i="7"/>
  <c r="AA817" i="7"/>
  <c r="AD817" i="7"/>
  <c r="AA818" i="7"/>
  <c r="AA819" i="7"/>
  <c r="AA820" i="7"/>
  <c r="AA821" i="7"/>
  <c r="AD821" i="7"/>
  <c r="AA822" i="7"/>
  <c r="AA823" i="7"/>
  <c r="AD823" i="7"/>
  <c r="AA824" i="7"/>
  <c r="AA825" i="7"/>
  <c r="AA826" i="7"/>
  <c r="AA827" i="7"/>
  <c r="AA828" i="7"/>
  <c r="AA829" i="7"/>
  <c r="AD829" i="7"/>
  <c r="AA830" i="7"/>
  <c r="AA831" i="7"/>
  <c r="AD831" i="7"/>
  <c r="AA832" i="7"/>
  <c r="AA833" i="7"/>
  <c r="AA834" i="7"/>
  <c r="AA835" i="7"/>
  <c r="AA836" i="7"/>
  <c r="AA837" i="7"/>
  <c r="AD837" i="7"/>
  <c r="AA838" i="7"/>
  <c r="AA839" i="7"/>
  <c r="AD839" i="7"/>
  <c r="AA840" i="7"/>
  <c r="AA841" i="7"/>
  <c r="AA842" i="7"/>
  <c r="AA843" i="7"/>
  <c r="AA844" i="7"/>
  <c r="AA845" i="7"/>
  <c r="AD845" i="7"/>
  <c r="AA846" i="7"/>
  <c r="AA847" i="7"/>
  <c r="AD847" i="7"/>
  <c r="AA848" i="7"/>
  <c r="AA849" i="7"/>
  <c r="AA850" i="7"/>
  <c r="AA851" i="7"/>
  <c r="AA852" i="7"/>
  <c r="AA853" i="7"/>
  <c r="AD853" i="7"/>
  <c r="AA854" i="7"/>
  <c r="AA855" i="7"/>
  <c r="AD855" i="7"/>
  <c r="AA856" i="7"/>
  <c r="AA857" i="7"/>
  <c r="AA858" i="7"/>
  <c r="AA859" i="7"/>
  <c r="AA860" i="7"/>
  <c r="AA861" i="7"/>
  <c r="AD861" i="7"/>
  <c r="AA862" i="7"/>
  <c r="AA863" i="7"/>
  <c r="AD863" i="7"/>
  <c r="AA864" i="7"/>
  <c r="AA865" i="7"/>
  <c r="AA866" i="7"/>
  <c r="AA867" i="7"/>
  <c r="AA868" i="7"/>
  <c r="AA869" i="7"/>
  <c r="AD869" i="7"/>
  <c r="AA870" i="7"/>
  <c r="AA871" i="7"/>
  <c r="AD871" i="7"/>
  <c r="AA872" i="7"/>
  <c r="AA873" i="7"/>
  <c r="AA874" i="7"/>
  <c r="AA875" i="7"/>
  <c r="AA876" i="7"/>
  <c r="AA877" i="7"/>
  <c r="AD877" i="7"/>
  <c r="AA878" i="7"/>
  <c r="AA879" i="7"/>
  <c r="AD879" i="7"/>
  <c r="AA880" i="7"/>
  <c r="AA881" i="7"/>
  <c r="AA882" i="7"/>
  <c r="AA883" i="7"/>
  <c r="AA884" i="7"/>
  <c r="AA885" i="7"/>
  <c r="AD885" i="7"/>
  <c r="AA886" i="7"/>
  <c r="AA887" i="7"/>
  <c r="AD887" i="7"/>
  <c r="AA888" i="7"/>
  <c r="AA889" i="7"/>
  <c r="AA890" i="7"/>
  <c r="AA891" i="7"/>
  <c r="AA892" i="7"/>
  <c r="AA893" i="7"/>
  <c r="AD893" i="7"/>
  <c r="AA894" i="7"/>
  <c r="AA895" i="7"/>
  <c r="AD895" i="7"/>
  <c r="AA896" i="7"/>
  <c r="AA897" i="7"/>
  <c r="AA898" i="7"/>
  <c r="AA899" i="7"/>
  <c r="AA900" i="7"/>
  <c r="AA901" i="7"/>
  <c r="AD901" i="7"/>
  <c r="AA902" i="7"/>
  <c r="AA903" i="7"/>
  <c r="AD903" i="7"/>
  <c r="AA904" i="7"/>
  <c r="AA905" i="7"/>
  <c r="AA906" i="7"/>
  <c r="AA907" i="7"/>
  <c r="AA908" i="7"/>
  <c r="AA909" i="7"/>
  <c r="AA910" i="7"/>
  <c r="AA911" i="7"/>
  <c r="AA912" i="7"/>
  <c r="AA913" i="7"/>
  <c r="AA914" i="7"/>
  <c r="AA915" i="7"/>
  <c r="AA916" i="7"/>
  <c r="AA917" i="7"/>
  <c r="AA918" i="7"/>
  <c r="AA919" i="7"/>
  <c r="AA920" i="7"/>
  <c r="AA921" i="7"/>
  <c r="AA922" i="7"/>
  <c r="AA923" i="7"/>
  <c r="AA924" i="7"/>
  <c r="AA925" i="7"/>
  <c r="AA926" i="7"/>
  <c r="AA927" i="7"/>
  <c r="AA928" i="7"/>
  <c r="AA929" i="7"/>
  <c r="AA930" i="7"/>
  <c r="AA931" i="7"/>
  <c r="AA932" i="7"/>
  <c r="AA933" i="7"/>
  <c r="AA934" i="7"/>
  <c r="AA935" i="7"/>
  <c r="AA936" i="7"/>
  <c r="AA937" i="7"/>
  <c r="AA938" i="7"/>
  <c r="AA939" i="7"/>
  <c r="AA940" i="7"/>
  <c r="AA941" i="7"/>
  <c r="AD941" i="7"/>
  <c r="AA942" i="7"/>
  <c r="AD942" i="7"/>
  <c r="AA943" i="7"/>
  <c r="AA944" i="7"/>
  <c r="AD944" i="7"/>
  <c r="AA945" i="7"/>
  <c r="AA946" i="7"/>
  <c r="AD946" i="7"/>
  <c r="AA947" i="7"/>
  <c r="AA948" i="7"/>
  <c r="AD948" i="7"/>
  <c r="AA949" i="7"/>
  <c r="AA950" i="7"/>
  <c r="AD950" i="7"/>
  <c r="AA951" i="7"/>
  <c r="AA952" i="7"/>
  <c r="AD952" i="7"/>
  <c r="AA953" i="7"/>
  <c r="AA954" i="7"/>
  <c r="AD954" i="7"/>
  <c r="AA955" i="7"/>
  <c r="AA956" i="7"/>
  <c r="AD956" i="7"/>
  <c r="AA957" i="7"/>
  <c r="AA958" i="7"/>
  <c r="AD958" i="7"/>
  <c r="AA959" i="7"/>
  <c r="AA960" i="7"/>
  <c r="AD960" i="7"/>
  <c r="AA961" i="7"/>
  <c r="AA962" i="7"/>
  <c r="AD962" i="7"/>
  <c r="AA963" i="7"/>
  <c r="AA964" i="7"/>
  <c r="AD964" i="7"/>
  <c r="AA965" i="7"/>
  <c r="AA966" i="7"/>
  <c r="AD966" i="7"/>
  <c r="AA967" i="7"/>
  <c r="AA968" i="7"/>
  <c r="AD968" i="7"/>
  <c r="AA969" i="7"/>
  <c r="AA970" i="7"/>
  <c r="AD970" i="7"/>
  <c r="AA971" i="7"/>
  <c r="AA972" i="7"/>
  <c r="AD972" i="7"/>
  <c r="AA973" i="7"/>
  <c r="AA974" i="7"/>
  <c r="AD974" i="7"/>
  <c r="AA975" i="7"/>
  <c r="AA976" i="7"/>
  <c r="AD976" i="7"/>
  <c r="AA977" i="7"/>
  <c r="AA978" i="7"/>
  <c r="AD978" i="7"/>
  <c r="AA979" i="7"/>
  <c r="AA980" i="7"/>
  <c r="AD980" i="7"/>
  <c r="AA981" i="7"/>
  <c r="AA982" i="7"/>
  <c r="AD982" i="7"/>
  <c r="AA983" i="7"/>
  <c r="AA984" i="7"/>
  <c r="AD984" i="7"/>
  <c r="AA985" i="7"/>
  <c r="AA986" i="7"/>
  <c r="AD986" i="7"/>
  <c r="AA987" i="7"/>
  <c r="AA988" i="7"/>
  <c r="AD988" i="7"/>
  <c r="AA989" i="7"/>
  <c r="AA990" i="7"/>
  <c r="AD990" i="7"/>
  <c r="AA991" i="7"/>
  <c r="AA992" i="7"/>
  <c r="AD992" i="7"/>
  <c r="AA993" i="7"/>
  <c r="AA994" i="7"/>
  <c r="AD994" i="7"/>
  <c r="AA995" i="7"/>
  <c r="AA996" i="7"/>
  <c r="AD996" i="7"/>
  <c r="AA997" i="7"/>
  <c r="AA998" i="7"/>
  <c r="AD998" i="7"/>
  <c r="AA999" i="7"/>
  <c r="AA1000" i="7"/>
  <c r="AD1000" i="7"/>
  <c r="AA1001" i="7"/>
  <c r="AA1002" i="7"/>
  <c r="AD1002" i="7"/>
  <c r="AA1003" i="7"/>
  <c r="AA1004" i="7"/>
  <c r="AD1004" i="7"/>
  <c r="AA1005" i="7"/>
  <c r="AA1006" i="7"/>
  <c r="AD1006" i="7"/>
  <c r="AA1007" i="7"/>
  <c r="AA1008" i="7"/>
  <c r="AD1008" i="7"/>
  <c r="AA1009" i="7"/>
  <c r="AA1010" i="7"/>
  <c r="AD1010" i="7"/>
  <c r="AA1011" i="7"/>
  <c r="AA1012" i="7"/>
  <c r="AD1012" i="7"/>
  <c r="AA1013" i="7"/>
  <c r="AA1014" i="7"/>
  <c r="AD1014" i="7"/>
  <c r="AA1015" i="7"/>
  <c r="AA1016" i="7"/>
  <c r="AD1016" i="7"/>
  <c r="AA1017" i="7"/>
  <c r="AA1018" i="7"/>
  <c r="AD1018" i="7"/>
  <c r="AA1019" i="7"/>
  <c r="AA1020" i="7"/>
  <c r="AD1020" i="7"/>
  <c r="AA1021" i="7"/>
  <c r="AA1022" i="7"/>
  <c r="AD1022" i="7"/>
  <c r="AA1023" i="7"/>
  <c r="AA1024" i="7"/>
  <c r="AD1024" i="7"/>
  <c r="AA1025" i="7"/>
  <c r="AA1026" i="7"/>
  <c r="AD1026" i="7"/>
  <c r="AA1027" i="7"/>
  <c r="AA1028" i="7"/>
  <c r="AD1028" i="7"/>
  <c r="AA1029" i="7"/>
  <c r="AA1030" i="7"/>
  <c r="AD1030" i="7"/>
  <c r="AA1031" i="7"/>
  <c r="AA1032" i="7"/>
  <c r="AD1032" i="7"/>
  <c r="AA1033" i="7"/>
  <c r="AA1034" i="7"/>
  <c r="AD1034" i="7"/>
  <c r="AA1035" i="7"/>
  <c r="AA1036" i="7"/>
  <c r="AD1036" i="7"/>
  <c r="AA1037" i="7"/>
  <c r="AA1038" i="7"/>
  <c r="AD1038" i="7"/>
  <c r="AA1039" i="7"/>
  <c r="AA1040" i="7"/>
  <c r="AD1040" i="7"/>
  <c r="AA1041" i="7"/>
  <c r="AA1042" i="7"/>
  <c r="AD1042" i="7"/>
  <c r="AA1043" i="7"/>
  <c r="AA1044" i="7"/>
  <c r="AD1044" i="7"/>
  <c r="AA1045" i="7"/>
  <c r="AA1046" i="7"/>
  <c r="AD1046" i="7"/>
  <c r="AA1047" i="7"/>
  <c r="AA1048" i="7"/>
  <c r="AD1048" i="7"/>
  <c r="AA1049" i="7"/>
  <c r="AA1050" i="7"/>
  <c r="AD1050" i="7"/>
  <c r="AA1051" i="7"/>
  <c r="AA1052" i="7"/>
  <c r="AD1052" i="7"/>
  <c r="AA1053" i="7"/>
  <c r="AA1054" i="7"/>
  <c r="AD1054" i="7"/>
  <c r="AA1055" i="7"/>
  <c r="AA1056" i="7"/>
  <c r="AD1056" i="7"/>
  <c r="AA1057" i="7"/>
  <c r="AA1058" i="7"/>
  <c r="AD1058" i="7"/>
  <c r="AA1059" i="7"/>
  <c r="AA1060" i="7"/>
  <c r="AD1060" i="7"/>
  <c r="AA1061" i="7"/>
  <c r="AA1062" i="7"/>
  <c r="AD1062" i="7"/>
  <c r="AA1063" i="7"/>
  <c r="AA1064" i="7"/>
  <c r="AA1065" i="7"/>
  <c r="AD1065" i="7"/>
  <c r="E3" i="4"/>
  <c r="E6" i="4"/>
  <c r="E14" i="4"/>
  <c r="I17" i="4"/>
  <c r="C26" i="8"/>
  <c r="C32" i="29"/>
  <c r="I18" i="4"/>
  <c r="C27" i="8"/>
  <c r="C33" i="29"/>
  <c r="I19" i="4"/>
  <c r="C28" i="8"/>
  <c r="C34" i="29"/>
  <c r="J27" i="4"/>
  <c r="H37" i="4"/>
  <c r="C11" i="8"/>
  <c r="H38" i="4"/>
  <c r="C12" i="8"/>
  <c r="E50" i="4"/>
  <c r="C53" i="4"/>
  <c r="C54" i="4"/>
  <c r="N5" i="16"/>
  <c r="O5" i="16"/>
  <c r="P5" i="16"/>
  <c r="C57" i="4"/>
  <c r="Q5" i="16"/>
  <c r="E58" i="4"/>
  <c r="H69" i="4"/>
  <c r="H70" i="4"/>
  <c r="H74" i="4"/>
  <c r="C12" i="11"/>
  <c r="E94" i="4"/>
  <c r="G41" i="11"/>
  <c r="G42" i="11"/>
  <c r="G43" i="11"/>
  <c r="G44" i="11"/>
  <c r="G45" i="11"/>
  <c r="G46" i="11"/>
  <c r="G47" i="11"/>
  <c r="G48" i="11"/>
  <c r="G49" i="11"/>
  <c r="G50" i="11"/>
  <c r="V12" i="9"/>
  <c r="V16" i="9"/>
  <c r="V20" i="9"/>
  <c r="V24" i="9"/>
  <c r="V28" i="9"/>
  <c r="V32" i="9"/>
  <c r="V36" i="9"/>
  <c r="V40" i="9"/>
  <c r="V44" i="9"/>
  <c r="V48" i="9"/>
  <c r="V52" i="9"/>
  <c r="V56" i="9"/>
  <c r="V60" i="9"/>
  <c r="V64" i="9"/>
  <c r="V68" i="9"/>
  <c r="V72" i="9"/>
  <c r="V76" i="9"/>
  <c r="V80" i="9"/>
  <c r="V84" i="9"/>
  <c r="V88" i="9"/>
  <c r="V92" i="9"/>
  <c r="V96" i="9"/>
  <c r="V100" i="9"/>
  <c r="V104" i="9"/>
  <c r="V108" i="9"/>
  <c r="V112" i="9"/>
  <c r="V116" i="9"/>
  <c r="V120" i="9"/>
  <c r="V124" i="9"/>
  <c r="V128" i="9"/>
  <c r="V132" i="9"/>
  <c r="V136" i="9"/>
  <c r="V140" i="9"/>
  <c r="V144" i="9"/>
  <c r="V148" i="9"/>
  <c r="V152" i="9"/>
  <c r="V156" i="9"/>
  <c r="V160" i="9"/>
  <c r="V164" i="9"/>
  <c r="V168" i="9"/>
  <c r="V172" i="9"/>
  <c r="V176" i="9"/>
  <c r="V180" i="9"/>
  <c r="V184" i="9"/>
  <c r="V188" i="9"/>
  <c r="V192" i="9"/>
  <c r="V196" i="9"/>
  <c r="V200" i="9"/>
  <c r="V204" i="9"/>
  <c r="V208" i="9"/>
  <c r="V212" i="9"/>
  <c r="V216" i="9"/>
  <c r="V220" i="9"/>
  <c r="V224" i="9"/>
  <c r="V228" i="9"/>
  <c r="V232" i="9"/>
  <c r="V236" i="9"/>
  <c r="V240" i="9"/>
  <c r="V244" i="9"/>
  <c r="V248" i="9"/>
  <c r="V252" i="9"/>
  <c r="V256" i="9"/>
  <c r="V260" i="9"/>
  <c r="V264" i="9"/>
  <c r="V268" i="9"/>
  <c r="V272" i="9"/>
  <c r="V276" i="9"/>
  <c r="V280" i="9"/>
  <c r="V284" i="9"/>
  <c r="V288" i="9"/>
  <c r="V292" i="9"/>
  <c r="V296" i="9"/>
  <c r="V300" i="9"/>
  <c r="V304" i="9"/>
  <c r="V308" i="9"/>
  <c r="V312" i="9"/>
  <c r="V316" i="9"/>
  <c r="V320" i="9"/>
  <c r="V324" i="9"/>
  <c r="V328" i="9"/>
  <c r="V332" i="9"/>
  <c r="V336" i="9"/>
  <c r="V340" i="9"/>
  <c r="V344" i="9"/>
  <c r="V348" i="9"/>
  <c r="V14" i="9"/>
  <c r="V18" i="9"/>
  <c r="V22" i="9"/>
  <c r="V26" i="9"/>
  <c r="V30" i="9"/>
  <c r="V34" i="9"/>
  <c r="V38" i="9"/>
  <c r="V42" i="9"/>
  <c r="V46" i="9"/>
  <c r="V50" i="9"/>
  <c r="V54" i="9"/>
  <c r="V58" i="9"/>
  <c r="V62" i="9"/>
  <c r="V66" i="9"/>
  <c r="V70" i="9"/>
  <c r="V74" i="9"/>
  <c r="V78" i="9"/>
  <c r="V82" i="9"/>
  <c r="V86" i="9"/>
  <c r="V90" i="9"/>
  <c r="V94" i="9"/>
  <c r="V98" i="9"/>
  <c r="V102" i="9"/>
  <c r="V106" i="9"/>
  <c r="V110" i="9"/>
  <c r="V114" i="9"/>
  <c r="V118" i="9"/>
  <c r="V122" i="9"/>
  <c r="V126" i="9"/>
  <c r="V130" i="9"/>
  <c r="V134" i="9"/>
  <c r="V138" i="9"/>
  <c r="V142" i="9"/>
  <c r="V146" i="9"/>
  <c r="V150" i="9"/>
  <c r="V154" i="9"/>
  <c r="V158" i="9"/>
  <c r="V162" i="9"/>
  <c r="V166" i="9"/>
  <c r="V170" i="9"/>
  <c r="V174" i="9"/>
  <c r="V178" i="9"/>
  <c r="V182" i="9"/>
  <c r="V186" i="9"/>
  <c r="V190" i="9"/>
  <c r="V194" i="9"/>
  <c r="V198" i="9"/>
  <c r="V202" i="9"/>
  <c r="V206" i="9"/>
  <c r="V210" i="9"/>
  <c r="V214" i="9"/>
  <c r="V218" i="9"/>
  <c r="V222" i="9"/>
  <c r="V226" i="9"/>
  <c r="V230" i="9"/>
  <c r="V234" i="9"/>
  <c r="V238" i="9"/>
  <c r="V242" i="9"/>
  <c r="V246" i="9"/>
  <c r="V250" i="9"/>
  <c r="V254" i="9"/>
  <c r="V258" i="9"/>
  <c r="V262" i="9"/>
  <c r="V266" i="9"/>
  <c r="V270" i="9"/>
  <c r="V274" i="9"/>
  <c r="V278" i="9"/>
  <c r="V282" i="9"/>
  <c r="V286" i="9"/>
  <c r="V290" i="9"/>
  <c r="V294" i="9"/>
  <c r="V298" i="9"/>
  <c r="V302" i="9"/>
  <c r="V306" i="9"/>
  <c r="V310" i="9"/>
  <c r="V314" i="9"/>
  <c r="V318" i="9"/>
  <c r="V322" i="9"/>
  <c r="V326" i="9"/>
  <c r="V330" i="9"/>
  <c r="V334" i="9"/>
  <c r="V338" i="9"/>
  <c r="V342" i="9"/>
  <c r="V346" i="9"/>
  <c r="V350" i="9"/>
  <c r="V13" i="9"/>
  <c r="V21" i="9"/>
  <c r="V29" i="9"/>
  <c r="V37" i="9"/>
  <c r="V45" i="9"/>
  <c r="V53" i="9"/>
  <c r="V61" i="9"/>
  <c r="V69" i="9"/>
  <c r="V77" i="9"/>
  <c r="V85" i="9"/>
  <c r="V93" i="9"/>
  <c r="V101" i="9"/>
  <c r="V109" i="9"/>
  <c r="V117" i="9"/>
  <c r="V125" i="9"/>
  <c r="V133" i="9"/>
  <c r="V141" i="9"/>
  <c r="V149" i="9"/>
  <c r="V157" i="9"/>
  <c r="V165" i="9"/>
  <c r="V173" i="9"/>
  <c r="V181" i="9"/>
  <c r="V189" i="9"/>
  <c r="V197" i="9"/>
  <c r="V205" i="9"/>
  <c r="V213" i="9"/>
  <c r="V221" i="9"/>
  <c r="V229" i="9"/>
  <c r="V237" i="9"/>
  <c r="V245" i="9"/>
  <c r="V253" i="9"/>
  <c r="V261" i="9"/>
  <c r="V269" i="9"/>
  <c r="V277" i="9"/>
  <c r="V285" i="9"/>
  <c r="V293" i="9"/>
  <c r="V301" i="9"/>
  <c r="V309" i="9"/>
  <c r="V317" i="9"/>
  <c r="V325" i="9"/>
  <c r="V333" i="9"/>
  <c r="V341" i="9"/>
  <c r="V349" i="9"/>
  <c r="V354" i="9"/>
  <c r="V358" i="9"/>
  <c r="V362" i="9"/>
  <c r="V366" i="9"/>
  <c r="V370" i="9"/>
  <c r="V374" i="9"/>
  <c r="V378" i="9"/>
  <c r="V382" i="9"/>
  <c r="V386" i="9"/>
  <c r="V390" i="9"/>
  <c r="V394" i="9"/>
  <c r="V398" i="9"/>
  <c r="V402" i="9"/>
  <c r="V406" i="9"/>
  <c r="V410" i="9"/>
  <c r="V414" i="9"/>
  <c r="V418" i="9"/>
  <c r="V422" i="9"/>
  <c r="V426" i="9"/>
  <c r="V430" i="9"/>
  <c r="V434" i="9"/>
  <c r="V438" i="9"/>
  <c r="V442" i="9"/>
  <c r="V446" i="9"/>
  <c r="V450" i="9"/>
  <c r="V454" i="9"/>
  <c r="V458" i="9"/>
  <c r="V462" i="9"/>
  <c r="V466" i="9"/>
  <c r="V470" i="9"/>
  <c r="V474" i="9"/>
  <c r="V478" i="9"/>
  <c r="V482" i="9"/>
  <c r="V486" i="9"/>
  <c r="V490" i="9"/>
  <c r="V494" i="9"/>
  <c r="V498" i="9"/>
  <c r="V502" i="9"/>
  <c r="V506" i="9"/>
  <c r="V510" i="9"/>
  <c r="V514" i="9"/>
  <c r="V518" i="9"/>
  <c r="V522" i="9"/>
  <c r="V526" i="9"/>
  <c r="V530" i="9"/>
  <c r="V534" i="9"/>
  <c r="V538" i="9"/>
  <c r="V542" i="9"/>
  <c r="V546" i="9"/>
  <c r="V550" i="9"/>
  <c r="V554" i="9"/>
  <c r="V558" i="9"/>
  <c r="V562" i="9"/>
  <c r="V566" i="9"/>
  <c r="V570" i="9"/>
  <c r="V574" i="9"/>
  <c r="V578" i="9"/>
  <c r="V582" i="9"/>
  <c r="V586" i="9"/>
  <c r="V590" i="9"/>
  <c r="V594" i="9"/>
  <c r="V598" i="9"/>
  <c r="V602" i="9"/>
  <c r="V606" i="9"/>
  <c r="V610" i="9"/>
  <c r="V614" i="9"/>
  <c r="V618" i="9"/>
  <c r="V622" i="9"/>
  <c r="V626" i="9"/>
  <c r="V630" i="9"/>
  <c r="V634" i="9"/>
  <c r="V638" i="9"/>
  <c r="V642" i="9"/>
  <c r="V646" i="9"/>
  <c r="V650" i="9"/>
  <c r="V654" i="9"/>
  <c r="V658" i="9"/>
  <c r="V662" i="9"/>
  <c r="V666" i="9"/>
  <c r="V670" i="9"/>
  <c r="V674" i="9"/>
  <c r="V678" i="9"/>
  <c r="V682" i="9"/>
  <c r="V686" i="9"/>
  <c r="V690" i="9"/>
  <c r="V694" i="9"/>
  <c r="V698" i="9"/>
  <c r="V702" i="9"/>
  <c r="V706" i="9"/>
  <c r="V710" i="9"/>
  <c r="V714" i="9"/>
  <c r="V718" i="9"/>
  <c r="V722" i="9"/>
  <c r="V726" i="9"/>
  <c r="V730" i="9"/>
  <c r="V734" i="9"/>
  <c r="V738" i="9"/>
  <c r="V742" i="9"/>
  <c r="V746" i="9"/>
  <c r="V750" i="9"/>
  <c r="V754" i="9"/>
  <c r="V758" i="9"/>
  <c r="V762" i="9"/>
  <c r="V766" i="9"/>
  <c r="V770" i="9"/>
  <c r="V774" i="9"/>
  <c r="V778" i="9"/>
  <c r="V782" i="9"/>
  <c r="V786" i="9"/>
  <c r="V790" i="9"/>
  <c r="V794" i="9"/>
  <c r="V798" i="9"/>
  <c r="V802" i="9"/>
  <c r="V806" i="9"/>
  <c r="V810" i="9"/>
  <c r="V814" i="9"/>
  <c r="V818" i="9"/>
  <c r="V822" i="9"/>
  <c r="V826" i="9"/>
  <c r="V830" i="9"/>
  <c r="V834" i="9"/>
  <c r="V838" i="9"/>
  <c r="V842" i="9"/>
  <c r="V846" i="9"/>
  <c r="V850" i="9"/>
  <c r="V854" i="9"/>
  <c r="V858" i="9"/>
  <c r="V17" i="9"/>
  <c r="V25" i="9"/>
  <c r="V33" i="9"/>
  <c r="V41" i="9"/>
  <c r="V49" i="9"/>
  <c r="V57" i="9"/>
  <c r="V65" i="9"/>
  <c r="V73" i="9"/>
  <c r="V81" i="9"/>
  <c r="V89" i="9"/>
  <c r="V97" i="9"/>
  <c r="V105" i="9"/>
  <c r="V113" i="9"/>
  <c r="V121" i="9"/>
  <c r="V129" i="9"/>
  <c r="V137" i="9"/>
  <c r="V145" i="9"/>
  <c r="V153" i="9"/>
  <c r="V161" i="9"/>
  <c r="V169" i="9"/>
  <c r="V177" i="9"/>
  <c r="V185" i="9"/>
  <c r="V193" i="9"/>
  <c r="V201" i="9"/>
  <c r="V209" i="9"/>
  <c r="V217" i="9"/>
  <c r="V225" i="9"/>
  <c r="V233" i="9"/>
  <c r="V241" i="9"/>
  <c r="V249" i="9"/>
  <c r="V257" i="9"/>
  <c r="V265" i="9"/>
  <c r="V273" i="9"/>
  <c r="V281" i="9"/>
  <c r="V289" i="9"/>
  <c r="V297" i="9"/>
  <c r="V305" i="9"/>
  <c r="V313" i="9"/>
  <c r="V321" i="9"/>
  <c r="V329" i="9"/>
  <c r="V337" i="9"/>
  <c r="V345" i="9"/>
  <c r="V352" i="9"/>
  <c r="V356" i="9"/>
  <c r="V360" i="9"/>
  <c r="V364" i="9"/>
  <c r="V368" i="9"/>
  <c r="V372" i="9"/>
  <c r="V376" i="9"/>
  <c r="V380" i="9"/>
  <c r="V384" i="9"/>
  <c r="V388" i="9"/>
  <c r="V392" i="9"/>
  <c r="V396" i="9"/>
  <c r="V400" i="9"/>
  <c r="V404" i="9"/>
  <c r="V408" i="9"/>
  <c r="V412" i="9"/>
  <c r="V416" i="9"/>
  <c r="V420" i="9"/>
  <c r="V424" i="9"/>
  <c r="V428" i="9"/>
  <c r="V432" i="9"/>
  <c r="V436" i="9"/>
  <c r="V440" i="9"/>
  <c r="V444" i="9"/>
  <c r="V448" i="9"/>
  <c r="V452" i="9"/>
  <c r="V456" i="9"/>
  <c r="V460" i="9"/>
  <c r="V464" i="9"/>
  <c r="V468" i="9"/>
  <c r="V472" i="9"/>
  <c r="V476" i="9"/>
  <c r="V480" i="9"/>
  <c r="V484" i="9"/>
  <c r="V488" i="9"/>
  <c r="V492" i="9"/>
  <c r="V496" i="9"/>
  <c r="V500" i="9"/>
  <c r="V504" i="9"/>
  <c r="V508" i="9"/>
  <c r="V512" i="9"/>
  <c r="V516" i="9"/>
  <c r="V520" i="9"/>
  <c r="V524" i="9"/>
  <c r="V528" i="9"/>
  <c r="V532" i="9"/>
  <c r="V536" i="9"/>
  <c r="V540" i="9"/>
  <c r="V544" i="9"/>
  <c r="V548" i="9"/>
  <c r="V552" i="9"/>
  <c r="V556" i="9"/>
  <c r="V560" i="9"/>
  <c r="V564" i="9"/>
  <c r="V568" i="9"/>
  <c r="V572" i="9"/>
  <c r="V576" i="9"/>
  <c r="V580" i="9"/>
  <c r="V584" i="9"/>
  <c r="V588" i="9"/>
  <c r="V592" i="9"/>
  <c r="V596" i="9"/>
  <c r="V600" i="9"/>
  <c r="V604" i="9"/>
  <c r="V608" i="9"/>
  <c r="V612" i="9"/>
  <c r="V616" i="9"/>
  <c r="V620" i="9"/>
  <c r="V624" i="9"/>
  <c r="V628" i="9"/>
  <c r="V632" i="9"/>
  <c r="V636" i="9"/>
  <c r="V640" i="9"/>
  <c r="V644" i="9"/>
  <c r="V648" i="9"/>
  <c r="V652" i="9"/>
  <c r="V656" i="9"/>
  <c r="V660" i="9"/>
  <c r="V664" i="9"/>
  <c r="V668" i="9"/>
  <c r="V672" i="9"/>
  <c r="V676" i="9"/>
  <c r="V680" i="9"/>
  <c r="V684" i="9"/>
  <c r="V688" i="9"/>
  <c r="V692" i="9"/>
  <c r="V696" i="9"/>
  <c r="V700" i="9"/>
  <c r="V704" i="9"/>
  <c r="V708" i="9"/>
  <c r="V712" i="9"/>
  <c r="V716" i="9"/>
  <c r="V720" i="9"/>
  <c r="V724" i="9"/>
  <c r="V728" i="9"/>
  <c r="V732" i="9"/>
  <c r="V736" i="9"/>
  <c r="V740" i="9"/>
  <c r="V744" i="9"/>
  <c r="V748" i="9"/>
  <c r="V752" i="9"/>
  <c r="V756" i="9"/>
  <c r="V760" i="9"/>
  <c r="V764" i="9"/>
  <c r="V768" i="9"/>
  <c r="V772" i="9"/>
  <c r="V776" i="9"/>
  <c r="V780" i="9"/>
  <c r="V784" i="9"/>
  <c r="V788" i="9"/>
  <c r="V792" i="9"/>
  <c r="V796" i="9"/>
  <c r="V800" i="9"/>
  <c r="V804" i="9"/>
  <c r="V808" i="9"/>
  <c r="V812" i="9"/>
  <c r="V816" i="9"/>
  <c r="V820" i="9"/>
  <c r="V824" i="9"/>
  <c r="V828" i="9"/>
  <c r="V832" i="9"/>
  <c r="V836" i="9"/>
  <c r="V840" i="9"/>
  <c r="V844" i="9"/>
  <c r="V848" i="9"/>
  <c r="V852" i="9"/>
  <c r="V856" i="9"/>
  <c r="V860" i="9"/>
  <c r="V15" i="9"/>
  <c r="V31" i="9"/>
  <c r="V47" i="9"/>
  <c r="V63" i="9"/>
  <c r="V79" i="9"/>
  <c r="V95" i="9"/>
  <c r="V111" i="9"/>
  <c r="V127" i="9"/>
  <c r="V143" i="9"/>
  <c r="V159" i="9"/>
  <c r="V175" i="9"/>
  <c r="V191" i="9"/>
  <c r="V207" i="9"/>
  <c r="V223" i="9"/>
  <c r="V239" i="9"/>
  <c r="V255" i="9"/>
  <c r="V271" i="9"/>
  <c r="V287" i="9"/>
  <c r="V303" i="9"/>
  <c r="V319" i="9"/>
  <c r="V335" i="9"/>
  <c r="V351" i="9"/>
  <c r="V359" i="9"/>
  <c r="V367" i="9"/>
  <c r="V375" i="9"/>
  <c r="V383" i="9"/>
  <c r="V391" i="9"/>
  <c r="V399" i="9"/>
  <c r="V407" i="9"/>
  <c r="V415" i="9"/>
  <c r="V423" i="9"/>
  <c r="V431" i="9"/>
  <c r="V439" i="9"/>
  <c r="V447" i="9"/>
  <c r="V455" i="9"/>
  <c r="V463" i="9"/>
  <c r="V471" i="9"/>
  <c r="V479" i="9"/>
  <c r="V487" i="9"/>
  <c r="V495" i="9"/>
  <c r="V503" i="9"/>
  <c r="V511" i="9"/>
  <c r="V519" i="9"/>
  <c r="V527" i="9"/>
  <c r="V535" i="9"/>
  <c r="V543" i="9"/>
  <c r="V551" i="9"/>
  <c r="V559" i="9"/>
  <c r="V567" i="9"/>
  <c r="V575" i="9"/>
  <c r="V583" i="9"/>
  <c r="V591" i="9"/>
  <c r="V599" i="9"/>
  <c r="V607" i="9"/>
  <c r="V615" i="9"/>
  <c r="V623" i="9"/>
  <c r="V631" i="9"/>
  <c r="V639" i="9"/>
  <c r="V647" i="9"/>
  <c r="V655" i="9"/>
  <c r="V663" i="9"/>
  <c r="V671" i="9"/>
  <c r="V679" i="9"/>
  <c r="V687" i="9"/>
  <c r="V695" i="9"/>
  <c r="V703" i="9"/>
  <c r="V711" i="9"/>
  <c r="V719" i="9"/>
  <c r="V727" i="9"/>
  <c r="V735" i="9"/>
  <c r="V743" i="9"/>
  <c r="V751" i="9"/>
  <c r="V759" i="9"/>
  <c r="V767" i="9"/>
  <c r="V775" i="9"/>
  <c r="V783" i="9"/>
  <c r="V791" i="9"/>
  <c r="V799" i="9"/>
  <c r="V807" i="9"/>
  <c r="V815" i="9"/>
  <c r="V823" i="9"/>
  <c r="V831" i="9"/>
  <c r="V839" i="9"/>
  <c r="V847" i="9"/>
  <c r="V855" i="9"/>
  <c r="V862" i="9"/>
  <c r="V866" i="9"/>
  <c r="V870" i="9"/>
  <c r="V874" i="9"/>
  <c r="V878" i="9"/>
  <c r="V882" i="9"/>
  <c r="V886" i="9"/>
  <c r="V890" i="9"/>
  <c r="V894" i="9"/>
  <c r="V898" i="9"/>
  <c r="V902" i="9"/>
  <c r="V906" i="9"/>
  <c r="V910" i="9"/>
  <c r="V914" i="9"/>
  <c r="V918" i="9"/>
  <c r="V922" i="9"/>
  <c r="V926" i="9"/>
  <c r="V930" i="9"/>
  <c r="V934" i="9"/>
  <c r="V938" i="9"/>
  <c r="V942" i="9"/>
  <c r="V946" i="9"/>
  <c r="V950" i="9"/>
  <c r="V954" i="9"/>
  <c r="V958" i="9"/>
  <c r="V962" i="9"/>
  <c r="V966" i="9"/>
  <c r="V970" i="9"/>
  <c r="V974" i="9"/>
  <c r="V978" i="9"/>
  <c r="V982" i="9"/>
  <c r="V986" i="9"/>
  <c r="V990" i="9"/>
  <c r="V994" i="9"/>
  <c r="V998" i="9"/>
  <c r="V1002" i="9"/>
  <c r="V1006" i="9"/>
  <c r="V1010" i="9"/>
  <c r="V1014" i="9"/>
  <c r="V1018" i="9"/>
  <c r="V1022" i="9"/>
  <c r="V1026" i="9"/>
  <c r="V1030" i="9"/>
  <c r="V1034" i="9"/>
  <c r="V1038" i="9"/>
  <c r="V1042" i="9"/>
  <c r="V1046" i="9"/>
  <c r="V1050" i="9"/>
  <c r="V1054" i="9"/>
  <c r="V1058" i="9"/>
  <c r="V1062" i="9"/>
  <c r="V19" i="9"/>
  <c r="V23" i="9"/>
  <c r="V39" i="9"/>
  <c r="V55" i="9"/>
  <c r="V71" i="9"/>
  <c r="V87" i="9"/>
  <c r="V103" i="9"/>
  <c r="V119" i="9"/>
  <c r="V135" i="9"/>
  <c r="V151" i="9"/>
  <c r="V167" i="9"/>
  <c r="V183" i="9"/>
  <c r="V199" i="9"/>
  <c r="V215" i="9"/>
  <c r="V231" i="9"/>
  <c r="V247" i="9"/>
  <c r="V263" i="9"/>
  <c r="V279" i="9"/>
  <c r="V295" i="9"/>
  <c r="V311" i="9"/>
  <c r="V327" i="9"/>
  <c r="V343" i="9"/>
  <c r="V355" i="9"/>
  <c r="V363" i="9"/>
  <c r="V371" i="9"/>
  <c r="V379" i="9"/>
  <c r="V387" i="9"/>
  <c r="V395" i="9"/>
  <c r="V403" i="9"/>
  <c r="V411" i="9"/>
  <c r="V419" i="9"/>
  <c r="V427" i="9"/>
  <c r="V435" i="9"/>
  <c r="V443" i="9"/>
  <c r="V451" i="9"/>
  <c r="V459" i="9"/>
  <c r="V467" i="9"/>
  <c r="V475" i="9"/>
  <c r="V483" i="9"/>
  <c r="V491" i="9"/>
  <c r="V499" i="9"/>
  <c r="V507" i="9"/>
  <c r="V515" i="9"/>
  <c r="V523" i="9"/>
  <c r="V531" i="9"/>
  <c r="V539" i="9"/>
  <c r="V547" i="9"/>
  <c r="V555" i="9"/>
  <c r="V563" i="9"/>
  <c r="V571" i="9"/>
  <c r="V579" i="9"/>
  <c r="V587" i="9"/>
  <c r="V595" i="9"/>
  <c r="V603" i="9"/>
  <c r="V611" i="9"/>
  <c r="V619" i="9"/>
  <c r="V627" i="9"/>
  <c r="V635" i="9"/>
  <c r="V643" i="9"/>
  <c r="V651" i="9"/>
  <c r="V659" i="9"/>
  <c r="V667" i="9"/>
  <c r="V675" i="9"/>
  <c r="V683" i="9"/>
  <c r="V691" i="9"/>
  <c r="V699" i="9"/>
  <c r="V707" i="9"/>
  <c r="V715" i="9"/>
  <c r="V723" i="9"/>
  <c r="V731" i="9"/>
  <c r="V739" i="9"/>
  <c r="V747" i="9"/>
  <c r="V755" i="9"/>
  <c r="V763" i="9"/>
  <c r="V771" i="9"/>
  <c r="V779" i="9"/>
  <c r="V787" i="9"/>
  <c r="V795" i="9"/>
  <c r="V803" i="9"/>
  <c r="V811" i="9"/>
  <c r="V819" i="9"/>
  <c r="V827" i="9"/>
  <c r="V835" i="9"/>
  <c r="V843" i="9"/>
  <c r="V851" i="9"/>
  <c r="V859" i="9"/>
  <c r="V864" i="9"/>
  <c r="V868" i="9"/>
  <c r="V872" i="9"/>
  <c r="V876" i="9"/>
  <c r="V880" i="9"/>
  <c r="V884" i="9"/>
  <c r="V888" i="9"/>
  <c r="V892" i="9"/>
  <c r="V896" i="9"/>
  <c r="V900" i="9"/>
  <c r="V904" i="9"/>
  <c r="V908" i="9"/>
  <c r="V912" i="9"/>
  <c r="V916" i="9"/>
  <c r="V920" i="9"/>
  <c r="V924" i="9"/>
  <c r="V928" i="9"/>
  <c r="V932" i="9"/>
  <c r="V936" i="9"/>
  <c r="V940" i="9"/>
  <c r="V944" i="9"/>
  <c r="V948" i="9"/>
  <c r="V952" i="9"/>
  <c r="V956" i="9"/>
  <c r="V960" i="9"/>
  <c r="V964" i="9"/>
  <c r="V968" i="9"/>
  <c r="V972" i="9"/>
  <c r="V976" i="9"/>
  <c r="V980" i="9"/>
  <c r="V984" i="9"/>
  <c r="V988" i="9"/>
  <c r="V992" i="9"/>
  <c r="V996" i="9"/>
  <c r="V1000" i="9"/>
  <c r="V1004" i="9"/>
  <c r="V1008" i="9"/>
  <c r="V1012" i="9"/>
  <c r="V1016" i="9"/>
  <c r="V1020" i="9"/>
  <c r="V1024" i="9"/>
  <c r="V1028" i="9"/>
  <c r="V1032" i="9"/>
  <c r="V1036" i="9"/>
  <c r="V1040" i="9"/>
  <c r="V1044" i="9"/>
  <c r="V1048" i="9"/>
  <c r="V1052" i="9"/>
  <c r="V1056" i="9"/>
  <c r="V1060" i="9"/>
  <c r="V10" i="9"/>
  <c r="V11" i="9"/>
  <c r="V27" i="9"/>
  <c r="V43" i="9"/>
  <c r="V59" i="9"/>
  <c r="V75" i="9"/>
  <c r="V91" i="9"/>
  <c r="V107" i="9"/>
  <c r="V123" i="9"/>
  <c r="V139" i="9"/>
  <c r="V155" i="9"/>
  <c r="V171" i="9"/>
  <c r="V187" i="9"/>
  <c r="V203" i="9"/>
  <c r="V219" i="9"/>
  <c r="V235" i="9"/>
  <c r="V251" i="9"/>
  <c r="V267" i="9"/>
  <c r="V283" i="9"/>
  <c r="V299" i="9"/>
  <c r="V315" i="9"/>
  <c r="V331" i="9"/>
  <c r="V347" i="9"/>
  <c r="V357" i="9"/>
  <c r="V365" i="9"/>
  <c r="V373" i="9"/>
  <c r="V381" i="9"/>
  <c r="V389" i="9"/>
  <c r="V397" i="9"/>
  <c r="V405" i="9"/>
  <c r="V413" i="9"/>
  <c r="V421" i="9"/>
  <c r="V429" i="9"/>
  <c r="V437" i="9"/>
  <c r="V445" i="9"/>
  <c r="V51" i="9"/>
  <c r="V115" i="9"/>
  <c r="V179" i="9"/>
  <c r="V243" i="9"/>
  <c r="V307" i="9"/>
  <c r="V361" i="9"/>
  <c r="V393" i="9"/>
  <c r="V425" i="9"/>
  <c r="V453" i="9"/>
  <c r="V469" i="9"/>
  <c r="V485" i="9"/>
  <c r="V501" i="9"/>
  <c r="V517" i="9"/>
  <c r="V533" i="9"/>
  <c r="V549" i="9"/>
  <c r="V565" i="9"/>
  <c r="V581" i="9"/>
  <c r="V597" i="9"/>
  <c r="V613" i="9"/>
  <c r="V629" i="9"/>
  <c r="V645" i="9"/>
  <c r="V661" i="9"/>
  <c r="V677" i="9"/>
  <c r="V693" i="9"/>
  <c r="V709" i="9"/>
  <c r="V725" i="9"/>
  <c r="V741" i="9"/>
  <c r="V757" i="9"/>
  <c r="V773" i="9"/>
  <c r="V789" i="9"/>
  <c r="V805" i="9"/>
  <c r="V821" i="9"/>
  <c r="V837" i="9"/>
  <c r="V853" i="9"/>
  <c r="V865" i="9"/>
  <c r="V873" i="9"/>
  <c r="V881" i="9"/>
  <c r="V889" i="9"/>
  <c r="V897" i="9"/>
  <c r="V905" i="9"/>
  <c r="V913" i="9"/>
  <c r="V921" i="9"/>
  <c r="V929" i="9"/>
  <c r="V937" i="9"/>
  <c r="V945" i="9"/>
  <c r="V953" i="9"/>
  <c r="V961" i="9"/>
  <c r="V969" i="9"/>
  <c r="V977" i="9"/>
  <c r="V985" i="9"/>
  <c r="V993" i="9"/>
  <c r="V1001" i="9"/>
  <c r="V1009" i="9"/>
  <c r="V1017" i="9"/>
  <c r="V1025" i="9"/>
  <c r="V1033" i="9"/>
  <c r="V1041" i="9"/>
  <c r="V1049" i="9"/>
  <c r="V1057" i="9"/>
  <c r="V67" i="9"/>
  <c r="V131" i="9"/>
  <c r="V195" i="9"/>
  <c r="V259" i="9"/>
  <c r="V323" i="9"/>
  <c r="V369" i="9"/>
  <c r="V401" i="9"/>
  <c r="V433" i="9"/>
  <c r="V457" i="9"/>
  <c r="V473" i="9"/>
  <c r="V489" i="9"/>
  <c r="V505" i="9"/>
  <c r="V521" i="9"/>
  <c r="V537" i="9"/>
  <c r="V553" i="9"/>
  <c r="V569" i="9"/>
  <c r="V585" i="9"/>
  <c r="V601" i="9"/>
  <c r="V617" i="9"/>
  <c r="V633" i="9"/>
  <c r="V649" i="9"/>
  <c r="V665" i="9"/>
  <c r="V681" i="9"/>
  <c r="V697" i="9"/>
  <c r="V713" i="9"/>
  <c r="V729" i="9"/>
  <c r="V745" i="9"/>
  <c r="V761" i="9"/>
  <c r="V777" i="9"/>
  <c r="V793" i="9"/>
  <c r="V809" i="9"/>
  <c r="V825" i="9"/>
  <c r="V841" i="9"/>
  <c r="V857" i="9"/>
  <c r="V867" i="9"/>
  <c r="V875" i="9"/>
  <c r="V883" i="9"/>
  <c r="V891" i="9"/>
  <c r="V899" i="9"/>
  <c r="V907" i="9"/>
  <c r="V915" i="9"/>
  <c r="V923" i="9"/>
  <c r="V931" i="9"/>
  <c r="V939" i="9"/>
  <c r="V947" i="9"/>
  <c r="V955" i="9"/>
  <c r="V963" i="9"/>
  <c r="V971" i="9"/>
  <c r="V979" i="9"/>
  <c r="V987" i="9"/>
  <c r="V995" i="9"/>
  <c r="V1003" i="9"/>
  <c r="V1011" i="9"/>
  <c r="V1019" i="9"/>
  <c r="V1027" i="9"/>
  <c r="V1035" i="9"/>
  <c r="V1043" i="9"/>
  <c r="V1051" i="9"/>
  <c r="V1059" i="9"/>
  <c r="V83" i="9"/>
  <c r="V147" i="9"/>
  <c r="V211" i="9"/>
  <c r="V275" i="9"/>
  <c r="V339" i="9"/>
  <c r="V377" i="9"/>
  <c r="V409" i="9"/>
  <c r="V441" i="9"/>
  <c r="V461" i="9"/>
  <c r="V477" i="9"/>
  <c r="V493" i="9"/>
  <c r="V509" i="9"/>
  <c r="V525" i="9"/>
  <c r="V541" i="9"/>
  <c r="V557" i="9"/>
  <c r="V573" i="9"/>
  <c r="V589" i="9"/>
  <c r="V605" i="9"/>
  <c r="V621" i="9"/>
  <c r="V637" i="9"/>
  <c r="V653" i="9"/>
  <c r="V669" i="9"/>
  <c r="V685" i="9"/>
  <c r="V701" i="9"/>
  <c r="V717" i="9"/>
  <c r="V733" i="9"/>
  <c r="V749" i="9"/>
  <c r="V765" i="9"/>
  <c r="V781" i="9"/>
  <c r="V797" i="9"/>
  <c r="V813" i="9"/>
  <c r="V829" i="9"/>
  <c r="V845" i="9"/>
  <c r="V861" i="9"/>
  <c r="V869" i="9"/>
  <c r="V877" i="9"/>
  <c r="V885" i="9"/>
  <c r="V893" i="9"/>
  <c r="V901" i="9"/>
  <c r="V909" i="9"/>
  <c r="V917" i="9"/>
  <c r="V925" i="9"/>
  <c r="V933" i="9"/>
  <c r="V941" i="9"/>
  <c r="V949" i="9"/>
  <c r="V957" i="9"/>
  <c r="V965" i="9"/>
  <c r="V973" i="9"/>
  <c r="V981" i="9"/>
  <c r="V989" i="9"/>
  <c r="V997" i="9"/>
  <c r="V1005" i="9"/>
  <c r="V1013" i="9"/>
  <c r="V1021" i="9"/>
  <c r="V1029" i="9"/>
  <c r="V1037" i="9"/>
  <c r="V1045" i="9"/>
  <c r="V1053" i="9"/>
  <c r="V1061" i="9"/>
  <c r="V35" i="9"/>
  <c r="V99" i="9"/>
  <c r="V163" i="9"/>
  <c r="V227" i="9"/>
  <c r="V291" i="9"/>
  <c r="V353" i="9"/>
  <c r="V385" i="9"/>
  <c r="V417" i="9"/>
  <c r="V449" i="9"/>
  <c r="V465" i="9"/>
  <c r="V481" i="9"/>
  <c r="V497" i="9"/>
  <c r="V513" i="9"/>
  <c r="V529" i="9"/>
  <c r="V545" i="9"/>
  <c r="V561" i="9"/>
  <c r="V577" i="9"/>
  <c r="V593" i="9"/>
  <c r="V609" i="9"/>
  <c r="V625" i="9"/>
  <c r="V641" i="9"/>
  <c r="V657" i="9"/>
  <c r="V673" i="9"/>
  <c r="V689" i="9"/>
  <c r="V705" i="9"/>
  <c r="V721" i="9"/>
  <c r="V737" i="9"/>
  <c r="V753" i="9"/>
  <c r="V769" i="9"/>
  <c r="V785" i="9"/>
  <c r="V801" i="9"/>
  <c r="V817" i="9"/>
  <c r="V833" i="9"/>
  <c r="V849" i="9"/>
  <c r="V863" i="9"/>
  <c r="V871" i="9"/>
  <c r="V879" i="9"/>
  <c r="V887" i="9"/>
  <c r="V895" i="9"/>
  <c r="V903" i="9"/>
  <c r="V911" i="9"/>
  <c r="V919" i="9"/>
  <c r="V927" i="9"/>
  <c r="V935" i="9"/>
  <c r="V943" i="9"/>
  <c r="V951" i="9"/>
  <c r="V959" i="9"/>
  <c r="V967" i="9"/>
  <c r="V975" i="9"/>
  <c r="V983" i="9"/>
  <c r="V991" i="9"/>
  <c r="V999" i="9"/>
  <c r="V1007" i="9"/>
  <c r="V1015" i="9"/>
  <c r="V1023" i="9"/>
  <c r="V1031" i="9"/>
  <c r="V1039" i="9"/>
  <c r="V1047" i="9"/>
  <c r="V1055" i="9"/>
  <c r="V1063" i="9"/>
  <c r="J70" i="4"/>
  <c r="E6" i="9"/>
  <c r="E11" i="9"/>
  <c r="C11" i="9"/>
  <c r="J69" i="4"/>
  <c r="H1008" i="9"/>
  <c r="H1038" i="9"/>
  <c r="H597" i="9"/>
  <c r="H1049" i="9"/>
  <c r="H939" i="9"/>
  <c r="H770" i="9"/>
  <c r="H1063" i="9"/>
  <c r="H990" i="9"/>
  <c r="H866" i="9"/>
  <c r="H805" i="9"/>
  <c r="H788" i="9"/>
  <c r="H530" i="9"/>
  <c r="H55" i="9"/>
  <c r="H40" i="9"/>
  <c r="H15" i="9"/>
  <c r="H316" i="9"/>
  <c r="AD45" i="7"/>
  <c r="AD252" i="7"/>
  <c r="AD244" i="7"/>
  <c r="AD236" i="7"/>
  <c r="AD94" i="7"/>
  <c r="AD82" i="7"/>
  <c r="AD47" i="7"/>
  <c r="AD35" i="7"/>
  <c r="AD462" i="7"/>
  <c r="AD458" i="7"/>
  <c r="AD454" i="7"/>
  <c r="AD450" i="7"/>
  <c r="AD446" i="7"/>
  <c r="AD442" i="7"/>
  <c r="AD438" i="7"/>
  <c r="AD434" i="7"/>
  <c r="AD430" i="7"/>
  <c r="AD426" i="7"/>
  <c r="AD422" i="7"/>
  <c r="AD418" i="7"/>
  <c r="AD414" i="7"/>
  <c r="AD410" i="7"/>
  <c r="AD406" i="7"/>
  <c r="AD402" i="7"/>
  <c r="AD398" i="7"/>
  <c r="AD394" i="7"/>
  <c r="AD390" i="7"/>
  <c r="AD386" i="7"/>
  <c r="AD382" i="7"/>
  <c r="AD378" i="7"/>
  <c r="AD374" i="7"/>
  <c r="AD370" i="7"/>
  <c r="AD366" i="7"/>
  <c r="AD362" i="7"/>
  <c r="AD358" i="7"/>
  <c r="AD354" i="7"/>
  <c r="AD350" i="7"/>
  <c r="AD346" i="7"/>
  <c r="AD342" i="7"/>
  <c r="AD338" i="7"/>
  <c r="AD334" i="7"/>
  <c r="AD330" i="7"/>
  <c r="AD326" i="7"/>
  <c r="AD322" i="7"/>
  <c r="AD318" i="7"/>
  <c r="AD314" i="7"/>
  <c r="AD310" i="7"/>
  <c r="AD306" i="7"/>
  <c r="AD298" i="7"/>
  <c r="AD290" i="7"/>
  <c r="AD282" i="7"/>
  <c r="AD274" i="7"/>
  <c r="AD208" i="7"/>
  <c r="AD200" i="7"/>
  <c r="AD192" i="7"/>
  <c r="AD184" i="7"/>
  <c r="AD176" i="7"/>
  <c r="AD168" i="7"/>
  <c r="AD160" i="7"/>
  <c r="AD152" i="7"/>
  <c r="AD144" i="7"/>
  <c r="AD136" i="7"/>
  <c r="AD128" i="7"/>
  <c r="AD120" i="7"/>
  <c r="AD112" i="7"/>
  <c r="AD104" i="7"/>
  <c r="AD61" i="7"/>
  <c r="AD54" i="7"/>
  <c r="AD43" i="7"/>
  <c r="B91" i="18"/>
  <c r="B36" i="18"/>
  <c r="B37" i="18"/>
  <c r="H25" i="24"/>
  <c r="B75" i="18"/>
  <c r="B76" i="18"/>
  <c r="B31" i="18"/>
  <c r="B32" i="18"/>
  <c r="B33" i="18"/>
  <c r="H21" i="24"/>
  <c r="H17" i="24"/>
  <c r="H1062" i="9"/>
  <c r="H1024" i="9"/>
  <c r="H819" i="9"/>
  <c r="H675" i="9"/>
  <c r="H1023" i="9"/>
  <c r="H969" i="9"/>
  <c r="H1045" i="9"/>
  <c r="H1031" i="9"/>
  <c r="H1002" i="9"/>
  <c r="H965" i="9"/>
  <c r="H857" i="9"/>
  <c r="H832" i="9"/>
  <c r="H706" i="9"/>
  <c r="H628" i="9"/>
  <c r="H1042" i="9"/>
  <c r="H1009" i="9"/>
  <c r="H997" i="9"/>
  <c r="H962" i="9"/>
  <c r="H898" i="9"/>
  <c r="H860" i="9"/>
  <c r="H779" i="9"/>
  <c r="H732" i="9"/>
  <c r="H699" i="9"/>
  <c r="H1048" i="9"/>
  <c r="H1030" i="9"/>
  <c r="H1016" i="9"/>
  <c r="H983" i="9"/>
  <c r="H968" i="9"/>
  <c r="H955" i="9"/>
  <c r="H936" i="9"/>
  <c r="H923" i="9"/>
  <c r="H914" i="9"/>
  <c r="H891" i="9"/>
  <c r="H877" i="9"/>
  <c r="H865" i="9"/>
  <c r="H829" i="9"/>
  <c r="H1056" i="9"/>
  <c r="H1039" i="9"/>
  <c r="H1005" i="9"/>
  <c r="H991" i="9"/>
  <c r="H976" i="9"/>
  <c r="H948" i="9"/>
  <c r="H946" i="9"/>
  <c r="H905" i="9"/>
  <c r="H886" i="9"/>
  <c r="H872" i="9"/>
  <c r="H843" i="9"/>
  <c r="H795" i="9"/>
  <c r="H740" i="9"/>
  <c r="H676" i="9"/>
  <c r="H620" i="9"/>
  <c r="H980" i="9"/>
  <c r="H973" i="9"/>
  <c r="H961" i="9"/>
  <c r="H943" i="9"/>
  <c r="H931" i="9"/>
  <c r="H926" i="9"/>
  <c r="H913" i="9"/>
  <c r="H897" i="9"/>
  <c r="H869" i="9"/>
  <c r="H840" i="9"/>
  <c r="H824" i="9"/>
  <c r="H814" i="9"/>
  <c r="H800" i="9"/>
  <c r="H763" i="9"/>
  <c r="H739" i="9"/>
  <c r="H690" i="9"/>
  <c r="H651" i="9"/>
  <c r="H627" i="9"/>
  <c r="H592" i="9"/>
  <c r="H416" i="9"/>
  <c r="H1053" i="9"/>
  <c r="H1041" i="9"/>
  <c r="H1035" i="9"/>
  <c r="H1020" i="9"/>
  <c r="H1013" i="9"/>
  <c r="H1001" i="9"/>
  <c r="H995" i="9"/>
  <c r="H987" i="9"/>
  <c r="H1059" i="9"/>
  <c r="H1052" i="9"/>
  <c r="H1046" i="9"/>
  <c r="H1034" i="9"/>
  <c r="H1027" i="9"/>
  <c r="H1019" i="9"/>
  <c r="H1012" i="9"/>
  <c r="H1006" i="9"/>
  <c r="H998" i="9"/>
  <c r="H994" i="9"/>
  <c r="H986" i="9"/>
  <c r="H979" i="9"/>
  <c r="H972" i="9"/>
  <c r="H966" i="9"/>
  <c r="H956" i="9"/>
  <c r="H928" i="9"/>
  <c r="H920" i="9"/>
  <c r="H906" i="9"/>
  <c r="H858" i="9"/>
  <c r="H844" i="9"/>
  <c r="H837" i="9"/>
  <c r="H791" i="9"/>
  <c r="H785" i="9"/>
  <c r="H754" i="9"/>
  <c r="H715" i="9"/>
  <c r="H668" i="9"/>
  <c r="H642" i="9"/>
  <c r="H545" i="9"/>
  <c r="H522" i="9"/>
  <c r="H467" i="9"/>
  <c r="H461" i="9"/>
  <c r="H453" i="9"/>
  <c r="H449" i="9"/>
  <c r="H381" i="9"/>
  <c r="H293" i="9"/>
  <c r="H79" i="9"/>
  <c r="H309" i="9"/>
  <c r="H315" i="9"/>
  <c r="H334" i="9"/>
  <c r="H354" i="9"/>
  <c r="H365" i="9"/>
  <c r="H388" i="9"/>
  <c r="H399" i="9"/>
  <c r="H407" i="9"/>
  <c r="H412" i="9"/>
  <c r="H424" i="9"/>
  <c r="H434" i="9"/>
  <c r="H438" i="9"/>
  <c r="H454" i="9"/>
  <c r="H458" i="9"/>
  <c r="H471" i="9"/>
  <c r="H475" i="9"/>
  <c r="H490" i="9"/>
  <c r="H497" i="9"/>
  <c r="H505" i="9"/>
  <c r="H519" i="9"/>
  <c r="H526" i="9"/>
  <c r="H533" i="9"/>
  <c r="H541" i="9"/>
  <c r="H548" i="9"/>
  <c r="H558" i="9"/>
  <c r="H566" i="9"/>
  <c r="H571" i="9"/>
  <c r="H574" i="9"/>
  <c r="H580" i="9"/>
  <c r="H585" i="9"/>
  <c r="H589" i="9"/>
  <c r="H594" i="9"/>
  <c r="H598" i="9"/>
  <c r="H601" i="9"/>
  <c r="H605" i="9"/>
  <c r="H608" i="9"/>
  <c r="H614" i="9"/>
  <c r="H618" i="9"/>
  <c r="H622" i="9"/>
  <c r="H625" i="9"/>
  <c r="H629" i="9"/>
  <c r="H633" i="9"/>
  <c r="H637" i="9"/>
  <c r="H640" i="9"/>
  <c r="H644" i="9"/>
  <c r="H648" i="9"/>
  <c r="H652" i="9"/>
  <c r="H659" i="9"/>
  <c r="H663" i="9"/>
  <c r="H666" i="9"/>
  <c r="H670" i="9"/>
  <c r="H673" i="9"/>
  <c r="H677" i="9"/>
  <c r="H681" i="9"/>
  <c r="H685" i="9"/>
  <c r="H688" i="9"/>
  <c r="H692" i="9"/>
  <c r="H696" i="9"/>
  <c r="H700" i="9"/>
  <c r="H704" i="9"/>
  <c r="H708" i="9"/>
  <c r="H712" i="9"/>
  <c r="H716" i="9"/>
  <c r="H723" i="9"/>
  <c r="H727" i="9"/>
  <c r="H730" i="9"/>
  <c r="H734" i="9"/>
  <c r="H737" i="9"/>
  <c r="H741" i="9"/>
  <c r="H745" i="9"/>
  <c r="H749" i="9"/>
  <c r="H752" i="9"/>
  <c r="H756" i="9"/>
  <c r="H760" i="9"/>
  <c r="H764" i="9"/>
  <c r="H768" i="9"/>
  <c r="H772" i="9"/>
  <c r="H776" i="9"/>
  <c r="H780" i="9"/>
  <c r="H784" i="9"/>
  <c r="H275" i="9"/>
  <c r="H285" i="9"/>
  <c r="H296" i="9"/>
  <c r="H302" i="9"/>
  <c r="H321" i="9"/>
  <c r="H331" i="9"/>
  <c r="H338" i="9"/>
  <c r="H345" i="9"/>
  <c r="H351" i="9"/>
  <c r="H355" i="9"/>
  <c r="H366" i="9"/>
  <c r="H372" i="9"/>
  <c r="H380" i="9"/>
  <c r="H384" i="9"/>
  <c r="H409" i="9"/>
  <c r="H414" i="9"/>
  <c r="H427" i="9"/>
  <c r="H445" i="9"/>
  <c r="H450" i="9"/>
  <c r="H464" i="9"/>
  <c r="H472" i="9"/>
  <c r="H476" i="9"/>
  <c r="H483" i="9"/>
  <c r="H511" i="9"/>
  <c r="H516" i="9"/>
  <c r="H520" i="9"/>
  <c r="H538" i="9"/>
  <c r="H552" i="9"/>
  <c r="H559" i="9"/>
  <c r="H568" i="9"/>
  <c r="H572" i="9"/>
  <c r="H575" i="9"/>
  <c r="H586" i="9"/>
  <c r="H591" i="9"/>
  <c r="H595" i="9"/>
  <c r="H603" i="9"/>
  <c r="H606" i="9"/>
  <c r="H609" i="9"/>
  <c r="H615" i="9"/>
  <c r="H619" i="9"/>
  <c r="H623" i="9"/>
  <c r="H626" i="9"/>
  <c r="H630" i="9"/>
  <c r="H634" i="9"/>
  <c r="H638" i="9"/>
  <c r="H641" i="9"/>
  <c r="H645" i="9"/>
  <c r="H649" i="9"/>
  <c r="H653" i="9"/>
  <c r="H656" i="9"/>
  <c r="H660" i="9"/>
  <c r="H667" i="9"/>
  <c r="H671" i="9"/>
  <c r="H674" i="9"/>
  <c r="H678" i="9"/>
  <c r="H682" i="9"/>
  <c r="H686" i="9"/>
  <c r="H689" i="9"/>
  <c r="H693" i="9"/>
  <c r="H697" i="9"/>
  <c r="H701" i="9"/>
  <c r="H705" i="9"/>
  <c r="H709" i="9"/>
  <c r="H713" i="9"/>
  <c r="H717" i="9"/>
  <c r="H720" i="9"/>
  <c r="H724" i="9"/>
  <c r="H731" i="9"/>
  <c r="H735" i="9"/>
  <c r="H738" i="9"/>
  <c r="H742" i="9"/>
  <c r="H746" i="9"/>
  <c r="H750" i="9"/>
  <c r="H753" i="9"/>
  <c r="H757" i="9"/>
  <c r="H761" i="9"/>
  <c r="H765" i="9"/>
  <c r="H769" i="9"/>
  <c r="H773" i="9"/>
  <c r="H777" i="9"/>
  <c r="H781" i="9"/>
  <c r="H277" i="9"/>
  <c r="H377" i="9"/>
  <c r="H389" i="9"/>
  <c r="H406" i="9"/>
  <c r="H417" i="9"/>
  <c r="H435" i="9"/>
  <c r="H442" i="9"/>
  <c r="H456" i="9"/>
  <c r="H493" i="9"/>
  <c r="H535" i="9"/>
  <c r="H540" i="9"/>
  <c r="H569" i="9"/>
  <c r="H577" i="9"/>
  <c r="H583" i="9"/>
  <c r="H593" i="9"/>
  <c r="H599" i="9"/>
  <c r="H607" i="9"/>
  <c r="H631" i="9"/>
  <c r="H639" i="9"/>
  <c r="H646" i="9"/>
  <c r="H654" i="9"/>
  <c r="H658" i="9"/>
  <c r="H664" i="9"/>
  <c r="H679" i="9"/>
  <c r="H687" i="9"/>
  <c r="H694" i="9"/>
  <c r="H702" i="9"/>
  <c r="H710" i="9"/>
  <c r="H718" i="9"/>
  <c r="H722" i="9"/>
  <c r="H728" i="9"/>
  <c r="H743" i="9"/>
  <c r="H751" i="9"/>
  <c r="H758" i="9"/>
  <c r="H766" i="9"/>
  <c r="H774" i="9"/>
  <c r="H782" i="9"/>
  <c r="H786" i="9"/>
  <c r="H789" i="9"/>
  <c r="H792" i="9"/>
  <c r="H799" i="9"/>
  <c r="H802" i="9"/>
  <c r="H806" i="9"/>
  <c r="H809" i="9"/>
  <c r="H812" i="9"/>
  <c r="H816" i="9"/>
  <c r="H823" i="9"/>
  <c r="H826" i="9"/>
  <c r="H830" i="9"/>
  <c r="H834" i="9"/>
  <c r="H838" i="9"/>
  <c r="H845" i="9"/>
  <c r="H849" i="9"/>
  <c r="H851" i="9"/>
  <c r="H855" i="9"/>
  <c r="H861" i="9"/>
  <c r="H870" i="9"/>
  <c r="H874" i="9"/>
  <c r="H878" i="9"/>
  <c r="H881" i="9"/>
  <c r="H884" i="9"/>
  <c r="H888" i="9"/>
  <c r="H895" i="9"/>
  <c r="H899" i="9"/>
  <c r="H903" i="9"/>
  <c r="H907" i="9"/>
  <c r="H911" i="9"/>
  <c r="H915" i="9"/>
  <c r="H922" i="9"/>
  <c r="H929" i="9"/>
  <c r="H933" i="9"/>
  <c r="H937" i="9"/>
  <c r="H941" i="9"/>
  <c r="H944" i="9"/>
  <c r="H949" i="9"/>
  <c r="H953" i="9"/>
  <c r="H957" i="9"/>
  <c r="H267" i="9"/>
  <c r="H306" i="9"/>
  <c r="H322" i="9"/>
  <c r="H332" i="9"/>
  <c r="H352" i="9"/>
  <c r="H369" i="9"/>
  <c r="H385" i="9"/>
  <c r="H410" i="9"/>
  <c r="H494" i="9"/>
  <c r="H512" i="9"/>
  <c r="H527" i="9"/>
  <c r="H537" i="9"/>
  <c r="H553" i="9"/>
  <c r="H570" i="9"/>
  <c r="H588" i="9"/>
  <c r="H596" i="9"/>
  <c r="H600" i="9"/>
  <c r="H617" i="9"/>
  <c r="H624" i="9"/>
  <c r="H632" i="9"/>
  <c r="H647" i="9"/>
  <c r="H655" i="9"/>
  <c r="H661" i="9"/>
  <c r="H665" i="9"/>
  <c r="H672" i="9"/>
  <c r="H680" i="9"/>
  <c r="H695" i="9"/>
  <c r="H703" i="9"/>
  <c r="H711" i="9"/>
  <c r="H719" i="9"/>
  <c r="H725" i="9"/>
  <c r="H729" i="9"/>
  <c r="H736" i="9"/>
  <c r="H744" i="9"/>
  <c r="H759" i="9"/>
  <c r="H767" i="9"/>
  <c r="H775" i="9"/>
  <c r="H783" i="9"/>
  <c r="H787" i="9"/>
  <c r="H790" i="9"/>
  <c r="H793" i="9"/>
  <c r="H796" i="9"/>
  <c r="H803" i="9"/>
  <c r="H807" i="9"/>
  <c r="H810" i="9"/>
  <c r="H813" i="9"/>
  <c r="H817" i="9"/>
  <c r="H820" i="9"/>
  <c r="H827" i="9"/>
  <c r="H831" i="9"/>
  <c r="H835" i="9"/>
  <c r="H839" i="9"/>
  <c r="H842" i="9"/>
  <c r="H846" i="9"/>
  <c r="H850" i="9"/>
  <c r="H852" i="9"/>
  <c r="H856" i="9"/>
  <c r="H859" i="9"/>
  <c r="H862" i="9"/>
  <c r="H864" i="9"/>
  <c r="H867" i="9"/>
  <c r="H871" i="9"/>
  <c r="H875" i="9"/>
  <c r="H879" i="9"/>
  <c r="H882" i="9"/>
  <c r="H885" i="9"/>
  <c r="H889" i="9"/>
  <c r="H892" i="9"/>
  <c r="H896" i="9"/>
  <c r="H900" i="9"/>
  <c r="H904" i="9"/>
  <c r="H908" i="9"/>
  <c r="H912" i="9"/>
  <c r="H916" i="9"/>
  <c r="H919" i="9"/>
  <c r="H924" i="9"/>
  <c r="H930" i="9"/>
  <c r="H934" i="9"/>
  <c r="H938" i="9"/>
  <c r="H942" i="9"/>
  <c r="H945" i="9"/>
  <c r="H947" i="9"/>
  <c r="H950" i="9"/>
  <c r="H954" i="9"/>
  <c r="H958" i="9"/>
  <c r="H1061" i="9"/>
  <c r="H1058" i="9"/>
  <c r="H1055" i="9"/>
  <c r="H1051" i="9"/>
  <c r="H1044" i="9"/>
  <c r="H1040" i="9"/>
  <c r="H1037" i="9"/>
  <c r="H1033" i="9"/>
  <c r="H1029" i="9"/>
  <c r="H1026" i="9"/>
  <c r="H1022" i="9"/>
  <c r="H1018" i="9"/>
  <c r="H1015" i="9"/>
  <c r="H1011" i="9"/>
  <c r="H1004" i="9"/>
  <c r="H1000" i="9"/>
  <c r="H996" i="9"/>
  <c r="H993" i="9"/>
  <c r="H989" i="9"/>
  <c r="H985" i="9"/>
  <c r="H982" i="9"/>
  <c r="H978" i="9"/>
  <c r="H975" i="9"/>
  <c r="H971" i="9"/>
  <c r="H964" i="9"/>
  <c r="H960" i="9"/>
  <c r="H952" i="9"/>
  <c r="H935" i="9"/>
  <c r="H927" i="9"/>
  <c r="H925" i="9"/>
  <c r="H918" i="9"/>
  <c r="H910" i="9"/>
  <c r="H902" i="9"/>
  <c r="H894" i="9"/>
  <c r="H890" i="9"/>
  <c r="H883" i="9"/>
  <c r="H876" i="9"/>
  <c r="H868" i="9"/>
  <c r="H854" i="9"/>
  <c r="H848" i="9"/>
  <c r="H836" i="9"/>
  <c r="H828" i="9"/>
  <c r="H822" i="9"/>
  <c r="H818" i="9"/>
  <c r="H811" i="9"/>
  <c r="H804" i="9"/>
  <c r="H798" i="9"/>
  <c r="H794" i="9"/>
  <c r="H778" i="9"/>
  <c r="H762" i="9"/>
  <c r="H748" i="9"/>
  <c r="H726" i="9"/>
  <c r="H714" i="9"/>
  <c r="H698" i="9"/>
  <c r="H684" i="9"/>
  <c r="H662" i="9"/>
  <c r="H650" i="9"/>
  <c r="H636" i="9"/>
  <c r="H612" i="9"/>
  <c r="H604" i="9"/>
  <c r="H573" i="9"/>
  <c r="H508" i="9"/>
  <c r="H504" i="9"/>
  <c r="H498" i="9"/>
  <c r="H439" i="9"/>
  <c r="H363" i="9"/>
  <c r="H348" i="9"/>
  <c r="H339" i="9"/>
  <c r="H289" i="9"/>
  <c r="H1060" i="9"/>
  <c r="H1057" i="9"/>
  <c r="H1054" i="9"/>
  <c r="H1050" i="9"/>
  <c r="H1047" i="9"/>
  <c r="H1043" i="9"/>
  <c r="H1036" i="9"/>
  <c r="H1032" i="9"/>
  <c r="H1028" i="9"/>
  <c r="H1025" i="9"/>
  <c r="H1021" i="9"/>
  <c r="H1017" i="9"/>
  <c r="H1014" i="9"/>
  <c r="H1010" i="9"/>
  <c r="H1007" i="9"/>
  <c r="H1003" i="9"/>
  <c r="H999" i="9"/>
  <c r="H992" i="9"/>
  <c r="H988" i="9"/>
  <c r="H984" i="9"/>
  <c r="H981" i="9"/>
  <c r="H977" i="9"/>
  <c r="H974" i="9"/>
  <c r="H970" i="9"/>
  <c r="H967" i="9"/>
  <c r="H963" i="9"/>
  <c r="H959" i="9"/>
  <c r="H951" i="9"/>
  <c r="H940" i="9"/>
  <c r="H932" i="9"/>
  <c r="H921" i="9"/>
  <c r="H917" i="9"/>
  <c r="H909" i="9"/>
  <c r="H901" i="9"/>
  <c r="H893" i="9"/>
  <c r="H887" i="9"/>
  <c r="H880" i="9"/>
  <c r="H873" i="9"/>
  <c r="H863" i="9"/>
  <c r="H853" i="9"/>
  <c r="H847" i="9"/>
  <c r="H841" i="9"/>
  <c r="H833" i="9"/>
  <c r="H825" i="9"/>
  <c r="H821" i="9"/>
  <c r="H815" i="9"/>
  <c r="H808" i="9"/>
  <c r="H801" i="9"/>
  <c r="H797" i="9"/>
  <c r="H771" i="9"/>
  <c r="H755" i="9"/>
  <c r="H747" i="9"/>
  <c r="H733" i="9"/>
  <c r="H721" i="9"/>
  <c r="H707" i="9"/>
  <c r="H691" i="9"/>
  <c r="H683" i="9"/>
  <c r="H669" i="9"/>
  <c r="H657" i="9"/>
  <c r="H643" i="9"/>
  <c r="H635" i="9"/>
  <c r="H621" i="9"/>
  <c r="H610" i="9"/>
  <c r="H581" i="9"/>
  <c r="H506" i="9"/>
  <c r="H375" i="9"/>
  <c r="H360" i="9"/>
  <c r="H319" i="9"/>
  <c r="H312" i="9"/>
  <c r="H299" i="9"/>
  <c r="H287" i="9"/>
  <c r="C9" i="4"/>
  <c r="G5" i="16"/>
  <c r="G10" i="16"/>
  <c r="C8" i="4"/>
  <c r="F5" i="16"/>
  <c r="F7" i="16"/>
  <c r="AD907" i="7"/>
  <c r="AD899" i="7"/>
  <c r="AD891" i="7"/>
  <c r="AD883" i="7"/>
  <c r="AD875" i="7"/>
  <c r="AD867" i="7"/>
  <c r="AD859" i="7"/>
  <c r="AD851" i="7"/>
  <c r="AD843" i="7"/>
  <c r="AD835" i="7"/>
  <c r="AD827" i="7"/>
  <c r="AD801" i="7"/>
  <c r="AD795" i="7"/>
  <c r="AD789" i="7"/>
  <c r="AD773" i="7"/>
  <c r="AD757" i="7"/>
  <c r="AD738" i="7"/>
  <c r="AD731" i="7"/>
  <c r="AD724" i="7"/>
  <c r="AD711" i="7"/>
  <c r="AD704" i="7"/>
  <c r="AD684" i="7"/>
  <c r="AD671" i="7"/>
  <c r="AD665" i="7"/>
  <c r="AD658" i="7"/>
  <c r="AD90" i="7"/>
  <c r="AD76" i="7"/>
  <c r="AD68" i="7"/>
  <c r="AD60" i="7"/>
  <c r="AD53" i="7"/>
  <c r="AD40" i="7"/>
  <c r="AD33" i="7"/>
  <c r="AD12" i="7"/>
  <c r="L17" i="24"/>
  <c r="L7" i="24"/>
  <c r="L15" i="24"/>
  <c r="L10" i="24"/>
  <c r="L19" i="24"/>
  <c r="L23" i="24"/>
  <c r="L27" i="24"/>
  <c r="L13" i="24"/>
  <c r="L8" i="24"/>
  <c r="L16" i="24"/>
  <c r="L20" i="24"/>
  <c r="L24" i="24"/>
  <c r="L28" i="24"/>
  <c r="L9" i="24"/>
  <c r="L22" i="24"/>
  <c r="L18" i="24"/>
  <c r="L12" i="24"/>
  <c r="L30" i="24"/>
  <c r="L14" i="24"/>
  <c r="L26" i="24"/>
  <c r="L11" i="24"/>
  <c r="AD905" i="7"/>
  <c r="AD897" i="7"/>
  <c r="AD889" i="7"/>
  <c r="AD881" i="7"/>
  <c r="AD873" i="7"/>
  <c r="AD865" i="7"/>
  <c r="AD857" i="7"/>
  <c r="AD849" i="7"/>
  <c r="AD841" i="7"/>
  <c r="AD833" i="7"/>
  <c r="AD825" i="7"/>
  <c r="AD819" i="7"/>
  <c r="AD793" i="7"/>
  <c r="AD777" i="7"/>
  <c r="AD761" i="7"/>
  <c r="AD755" i="7"/>
  <c r="AD749" i="7"/>
  <c r="AD743" i="7"/>
  <c r="AD736" i="7"/>
  <c r="AD716" i="7"/>
  <c r="AD696" i="7"/>
  <c r="AD689" i="7"/>
  <c r="AD682" i="7"/>
  <c r="AD676" i="7"/>
  <c r="AD656" i="7"/>
  <c r="AD643" i="7"/>
  <c r="AD262" i="7"/>
  <c r="AD254" i="7"/>
  <c r="AD246" i="7"/>
  <c r="AD238" i="7"/>
  <c r="AD96" i="7"/>
  <c r="AD88" i="7"/>
  <c r="AD74" i="7"/>
  <c r="AD66" i="7"/>
  <c r="AD58" i="7"/>
  <c r="AD52" i="7"/>
  <c r="AD38" i="7"/>
  <c r="AD32" i="7"/>
  <c r="AD11" i="7"/>
  <c r="AD264" i="7"/>
  <c r="AD258" i="7"/>
  <c r="AD726" i="7"/>
  <c r="AD803" i="7"/>
  <c r="AD785" i="7"/>
  <c r="AD769" i="7"/>
  <c r="AD752" i="7"/>
  <c r="AD746" i="7"/>
  <c r="AD740" i="7"/>
  <c r="AD706" i="7"/>
  <c r="AD699" i="7"/>
  <c r="AD692" i="7"/>
  <c r="AD679" i="7"/>
  <c r="AD660" i="7"/>
  <c r="AD646" i="7"/>
  <c r="AD640" i="7"/>
  <c r="AD84" i="7"/>
  <c r="AD77" i="7"/>
  <c r="AD70" i="7"/>
  <c r="AD62" i="7"/>
  <c r="AD756" i="7"/>
  <c r="AD739" i="7"/>
  <c r="AD733" i="7"/>
  <c r="AD720" i="7"/>
  <c r="AD707" i="7"/>
  <c r="AD701" i="7"/>
  <c r="AD688" i="7"/>
  <c r="AD675" i="7"/>
  <c r="AD664" i="7"/>
  <c r="AD651" i="7"/>
  <c r="AD592" i="7"/>
  <c r="AD584" i="7"/>
  <c r="AD576" i="7"/>
  <c r="AD568" i="7"/>
  <c r="AD560" i="7"/>
  <c r="AD552" i="7"/>
  <c r="AD544" i="7"/>
  <c r="AD536" i="7"/>
  <c r="AD528" i="7"/>
  <c r="AD520" i="7"/>
  <c r="AD512" i="7"/>
  <c r="AD504" i="7"/>
  <c r="AD496" i="7"/>
  <c r="AD488" i="7"/>
  <c r="AD480" i="7"/>
  <c r="AD472" i="7"/>
  <c r="AD464" i="7"/>
  <c r="AD456" i="7"/>
  <c r="AD448" i="7"/>
  <c r="AD440" i="7"/>
  <c r="AD432" i="7"/>
  <c r="AD424" i="7"/>
  <c r="AD416" i="7"/>
  <c r="AD408" i="7"/>
  <c r="AD400" i="7"/>
  <c r="AD392" i="7"/>
  <c r="AD384" i="7"/>
  <c r="AD376" i="7"/>
  <c r="AD368" i="7"/>
  <c r="AD360" i="7"/>
  <c r="AD352" i="7"/>
  <c r="AD344" i="7"/>
  <c r="AD336" i="7"/>
  <c r="AD328" i="7"/>
  <c r="AD320" i="7"/>
  <c r="AD312" i="7"/>
  <c r="AD304" i="7"/>
  <c r="AD296" i="7"/>
  <c r="AD288" i="7"/>
  <c r="AD280" i="7"/>
  <c r="AD272" i="7"/>
  <c r="AD212" i="7"/>
  <c r="AD204" i="7"/>
  <c r="AD196" i="7"/>
  <c r="AD188" i="7"/>
  <c r="AD180" i="7"/>
  <c r="AD172" i="7"/>
  <c r="AD164" i="7"/>
  <c r="AD156" i="7"/>
  <c r="AD148" i="7"/>
  <c r="AD140" i="7"/>
  <c r="AD132" i="7"/>
  <c r="AD124" i="7"/>
  <c r="AD116" i="7"/>
  <c r="AD108" i="7"/>
  <c r="AD100" i="7"/>
  <c r="AD72" i="7"/>
  <c r="AD64" i="7"/>
  <c r="AD745" i="7"/>
  <c r="AD732" i="7"/>
  <c r="AD719" i="7"/>
  <c r="AD713" i="7"/>
  <c r="AD700" i="7"/>
  <c r="AD687" i="7"/>
  <c r="AD681" i="7"/>
  <c r="AD663" i="7"/>
  <c r="AD650" i="7"/>
  <c r="AD644" i="7"/>
  <c r="AD638" i="7"/>
  <c r="AD92" i="7"/>
  <c r="AD63" i="7"/>
  <c r="AD56" i="7"/>
  <c r="AD50" i="7"/>
  <c r="AD44" i="7"/>
  <c r="AD36" i="7"/>
  <c r="AD30" i="7"/>
  <c r="B92" i="18"/>
  <c r="B93" i="18"/>
  <c r="AD642" i="7"/>
  <c r="AD48" i="7"/>
  <c r="AD42" i="7"/>
  <c r="AD28" i="7"/>
  <c r="AD22" i="7"/>
  <c r="AD302" i="7"/>
  <c r="AD294" i="7"/>
  <c r="AD286" i="7"/>
  <c r="AD278" i="7"/>
  <c r="AD270" i="7"/>
  <c r="AD250" i="7"/>
  <c r="AD242" i="7"/>
  <c r="AD86" i="7"/>
  <c r="AD80" i="7"/>
  <c r="AD65" i="7"/>
  <c r="AD59" i="7"/>
  <c r="AD46" i="7"/>
  <c r="AD39" i="7"/>
  <c r="AD26" i="7"/>
  <c r="C65" i="8"/>
  <c r="G65" i="8"/>
  <c r="H616" i="9"/>
  <c r="H613" i="9"/>
  <c r="H590" i="9"/>
  <c r="H587" i="9"/>
  <c r="H584" i="9"/>
  <c r="H578" i="9"/>
  <c r="H555" i="9"/>
  <c r="H544" i="9"/>
  <c r="H531" i="9"/>
  <c r="H523" i="9"/>
  <c r="H515" i="9"/>
  <c r="H501" i="9"/>
  <c r="H486" i="9"/>
  <c r="H479" i="9"/>
  <c r="H465" i="9"/>
  <c r="H446" i="9"/>
  <c r="H441" i="9"/>
  <c r="H431" i="9"/>
  <c r="H420" i="9"/>
  <c r="H402" i="9"/>
  <c r="H392" i="9"/>
  <c r="H378" i="9"/>
  <c r="H357" i="9"/>
  <c r="H342" i="9"/>
  <c r="H335" i="9"/>
  <c r="H325" i="9"/>
  <c r="H305" i="9"/>
  <c r="H300" i="9"/>
  <c r="H290" i="9"/>
  <c r="H45" i="9"/>
  <c r="H38" i="9"/>
  <c r="H17" i="9"/>
  <c r="AD300" i="7"/>
  <c r="AD292" i="7"/>
  <c r="AD284" i="7"/>
  <c r="AD276" i="7"/>
  <c r="AD268" i="7"/>
  <c r="AD256" i="7"/>
  <c r="AD248" i="7"/>
  <c r="AD240" i="7"/>
  <c r="AD78" i="7"/>
  <c r="AD57" i="7"/>
  <c r="AD51" i="7"/>
  <c r="AD37" i="7"/>
  <c r="AD31" i="7"/>
  <c r="AD24" i="7"/>
  <c r="AD18" i="7"/>
  <c r="H611" i="9"/>
  <c r="H602" i="9"/>
  <c r="H582" i="9"/>
  <c r="H579" i="9"/>
  <c r="H576" i="9"/>
  <c r="H563" i="9"/>
  <c r="H534" i="9"/>
  <c r="H487" i="9"/>
  <c r="H468" i="9"/>
  <c r="H460" i="9"/>
  <c r="H457" i="9"/>
  <c r="H421" i="9"/>
  <c r="H413" i="9"/>
  <c r="H403" i="9"/>
  <c r="H395" i="9"/>
  <c r="H382" i="9"/>
  <c r="H362" i="9"/>
  <c r="H328" i="9"/>
  <c r="H318" i="9"/>
  <c r="H303" i="9"/>
  <c r="B103" i="18"/>
  <c r="B104" i="18"/>
  <c r="H138" i="9"/>
  <c r="H279" i="9"/>
  <c r="H292" i="9"/>
  <c r="H295" i="9"/>
  <c r="H308" i="9"/>
  <c r="H311" i="9"/>
  <c r="H324" i="9"/>
  <c r="H327" i="9"/>
  <c r="H337" i="9"/>
  <c r="H344" i="9"/>
  <c r="H347" i="9"/>
  <c r="H359" i="9"/>
  <c r="H368" i="9"/>
  <c r="H371" i="9"/>
  <c r="H374" i="9"/>
  <c r="H387" i="9"/>
  <c r="H391" i="9"/>
  <c r="H394" i="9"/>
  <c r="H401" i="9"/>
  <c r="H405" i="9"/>
  <c r="H419" i="9"/>
  <c r="H423" i="9"/>
  <c r="H426" i="9"/>
  <c r="H433" i="9"/>
  <c r="H437" i="9"/>
  <c r="H444" i="9"/>
  <c r="H448" i="9"/>
  <c r="H452" i="9"/>
  <c r="H463" i="9"/>
  <c r="H478" i="9"/>
  <c r="H482" i="9"/>
  <c r="H485" i="9"/>
  <c r="H489" i="9"/>
  <c r="H492" i="9"/>
  <c r="H496" i="9"/>
  <c r="H500" i="9"/>
  <c r="H529" i="9"/>
  <c r="H547" i="9"/>
  <c r="H551" i="9"/>
  <c r="H557" i="9"/>
  <c r="H562" i="9"/>
  <c r="H565" i="9"/>
  <c r="H39" i="9"/>
  <c r="H269" i="9"/>
  <c r="H281" i="9"/>
  <c r="H298" i="9"/>
  <c r="H301" i="9"/>
  <c r="H314" i="9"/>
  <c r="H317" i="9"/>
  <c r="H330" i="9"/>
  <c r="H333" i="9"/>
  <c r="H350" i="9"/>
  <c r="H353" i="9"/>
  <c r="H356" i="9"/>
  <c r="H364" i="9"/>
  <c r="H398" i="9"/>
  <c r="H404" i="9"/>
  <c r="H408" i="9"/>
  <c r="H430" i="9"/>
  <c r="H436" i="9"/>
  <c r="H466" i="9"/>
  <c r="H474" i="9"/>
  <c r="H481" i="9"/>
  <c r="H488" i="9"/>
  <c r="H503" i="9"/>
  <c r="H507" i="9"/>
  <c r="H510" i="9"/>
  <c r="H518" i="9"/>
  <c r="H521" i="9"/>
  <c r="H525" i="9"/>
  <c r="H528" i="9"/>
  <c r="H532" i="9"/>
  <c r="H536" i="9"/>
  <c r="H543" i="9"/>
  <c r="H554" i="9"/>
  <c r="H561" i="9"/>
  <c r="H271" i="9"/>
  <c r="H291" i="9"/>
  <c r="H304" i="9"/>
  <c r="H307" i="9"/>
  <c r="H320" i="9"/>
  <c r="H323" i="9"/>
  <c r="H340" i="9"/>
  <c r="H343" i="9"/>
  <c r="H361" i="9"/>
  <c r="H367" i="9"/>
  <c r="H376" i="9"/>
  <c r="H379" i="9"/>
  <c r="H383" i="9"/>
  <c r="H386" i="9"/>
  <c r="H393" i="9"/>
  <c r="H397" i="9"/>
  <c r="H411" i="9"/>
  <c r="H415" i="9"/>
  <c r="H418" i="9"/>
  <c r="H425" i="9"/>
  <c r="H429" i="9"/>
  <c r="H440" i="9"/>
  <c r="H455" i="9"/>
  <c r="H459" i="9"/>
  <c r="H462" i="9"/>
  <c r="H470" i="9"/>
  <c r="H473" i="9"/>
  <c r="H514" i="9"/>
  <c r="H517" i="9"/>
  <c r="H524" i="9"/>
  <c r="H539" i="9"/>
  <c r="H550" i="9"/>
  <c r="H560" i="9"/>
  <c r="H564" i="9"/>
  <c r="H567" i="9"/>
  <c r="H37" i="9"/>
  <c r="H273" i="9"/>
  <c r="H283" i="9"/>
  <c r="H294" i="9"/>
  <c r="H297" i="9"/>
  <c r="H310" i="9"/>
  <c r="H313" i="9"/>
  <c r="H326" i="9"/>
  <c r="H329" i="9"/>
  <c r="H336" i="9"/>
  <c r="H346" i="9"/>
  <c r="H349" i="9"/>
  <c r="H358" i="9"/>
  <c r="H370" i="9"/>
  <c r="H373" i="9"/>
  <c r="H390" i="9"/>
  <c r="H396" i="9"/>
  <c r="H400" i="9"/>
  <c r="H422" i="9"/>
  <c r="H428" i="9"/>
  <c r="H432" i="9"/>
  <c r="H443" i="9"/>
  <c r="H447" i="9"/>
  <c r="H451" i="9"/>
  <c r="H469" i="9"/>
  <c r="H477" i="9"/>
  <c r="H480" i="9"/>
  <c r="H484" i="9"/>
  <c r="H491" i="9"/>
  <c r="H495" i="9"/>
  <c r="H499" i="9"/>
  <c r="H502" i="9"/>
  <c r="H509" i="9"/>
  <c r="H513" i="9"/>
  <c r="H542" i="9"/>
  <c r="H546" i="9"/>
  <c r="H549" i="9"/>
  <c r="H556" i="9"/>
  <c r="B60" i="18"/>
  <c r="B44" i="18"/>
  <c r="B45" i="18"/>
  <c r="B99" i="18"/>
  <c r="B100" i="18"/>
  <c r="B55" i="18"/>
  <c r="B56" i="18"/>
  <c r="B57" i="18"/>
  <c r="B87" i="18"/>
  <c r="B88" i="18"/>
  <c r="B67" i="18"/>
  <c r="B68" i="18"/>
  <c r="B39" i="18"/>
  <c r="B40" i="18"/>
  <c r="B41" i="18"/>
  <c r="B63" i="18"/>
  <c r="B64" i="18"/>
  <c r="B65" i="18"/>
  <c r="M5" i="16"/>
  <c r="M7" i="16"/>
  <c r="B95" i="18"/>
  <c r="B96" i="18"/>
  <c r="B71" i="18"/>
  <c r="B72" i="18"/>
  <c r="B130" i="18"/>
  <c r="B79" i="18"/>
  <c r="B80" i="18"/>
  <c r="B47" i="18"/>
  <c r="B48" i="18"/>
  <c r="B49" i="18"/>
  <c r="B27" i="18"/>
  <c r="B28" i="18"/>
  <c r="B29" i="18"/>
  <c r="B111" i="18"/>
  <c r="B112" i="18"/>
  <c r="B83" i="18"/>
  <c r="B2" i="18"/>
  <c r="G65" i="11"/>
  <c r="E53" i="4"/>
  <c r="E55" i="4"/>
  <c r="E132" i="9"/>
  <c r="C132" i="9"/>
  <c r="E102" i="9"/>
  <c r="C102" i="9"/>
  <c r="H30" i="24"/>
  <c r="H26" i="24"/>
  <c r="H22" i="24"/>
  <c r="H18" i="24"/>
  <c r="C16" i="24"/>
  <c r="C15" i="24"/>
  <c r="C14" i="24"/>
  <c r="C13" i="24"/>
  <c r="C12" i="24"/>
  <c r="C11" i="24"/>
  <c r="C10" i="24"/>
  <c r="C9" i="24"/>
  <c r="C8" i="24"/>
  <c r="L8" i="10"/>
  <c r="L9" i="10"/>
  <c r="D22" i="17"/>
  <c r="H10" i="20"/>
  <c r="M5" i="24"/>
  <c r="M7" i="24"/>
  <c r="H27" i="24"/>
  <c r="H23" i="24"/>
  <c r="H19" i="24"/>
  <c r="L29" i="24"/>
  <c r="H28" i="24"/>
  <c r="L25" i="24"/>
  <c r="H24" i="24"/>
  <c r="L21" i="24"/>
  <c r="H20" i="24"/>
  <c r="H16" i="24"/>
  <c r="H15" i="24"/>
  <c r="H14" i="24"/>
  <c r="H13" i="24"/>
  <c r="H12" i="24"/>
  <c r="H11" i="24"/>
  <c r="H10" i="24"/>
  <c r="H9" i="24"/>
  <c r="H8" i="24"/>
  <c r="H78" i="19"/>
  <c r="F78" i="19"/>
  <c r="G78" i="19"/>
  <c r="E78" i="19"/>
  <c r="E39" i="9"/>
  <c r="C39" i="9"/>
  <c r="E72" i="9"/>
  <c r="J19" i="19"/>
  <c r="J20" i="19"/>
  <c r="J21" i="19"/>
  <c r="C11" i="4"/>
  <c r="I5" i="16"/>
  <c r="I11" i="16"/>
  <c r="H129" i="9"/>
  <c r="H118" i="9"/>
  <c r="H109" i="9"/>
  <c r="H106" i="9"/>
  <c r="H14" i="9"/>
  <c r="H18" i="9"/>
  <c r="H27" i="9"/>
  <c r="H48" i="9"/>
  <c r="H53" i="9"/>
  <c r="H54" i="9"/>
  <c r="H77" i="9"/>
  <c r="H78" i="9"/>
  <c r="H90" i="9"/>
  <c r="H91" i="9"/>
  <c r="H95" i="9"/>
  <c r="H98" i="9"/>
  <c r="H101" i="9"/>
  <c r="H110" i="9"/>
  <c r="H121" i="9"/>
  <c r="H134" i="9"/>
  <c r="H141" i="9"/>
  <c r="H150" i="9"/>
  <c r="H154" i="9"/>
  <c r="H158" i="9"/>
  <c r="H162" i="9"/>
  <c r="H164" i="9"/>
  <c r="H166" i="9"/>
  <c r="H168" i="9"/>
  <c r="H170" i="9"/>
  <c r="H172" i="9"/>
  <c r="H174" i="9"/>
  <c r="H176" i="9"/>
  <c r="H178" i="9"/>
  <c r="H180" i="9"/>
  <c r="H182" i="9"/>
  <c r="H184" i="9"/>
  <c r="H186" i="9"/>
  <c r="H188" i="9"/>
  <c r="H190" i="9"/>
  <c r="H192" i="9"/>
  <c r="H194" i="9"/>
  <c r="H196" i="9"/>
  <c r="H198" i="9"/>
  <c r="H200" i="9"/>
  <c r="H202" i="9"/>
  <c r="H204" i="9"/>
  <c r="H206" i="9"/>
  <c r="H208" i="9"/>
  <c r="H210" i="9"/>
  <c r="H212" i="9"/>
  <c r="H214" i="9"/>
  <c r="H216" i="9"/>
  <c r="H218" i="9"/>
  <c r="H220" i="9"/>
  <c r="H222" i="9"/>
  <c r="H224" i="9"/>
  <c r="H226" i="9"/>
  <c r="H228" i="9"/>
  <c r="H230" i="9"/>
  <c r="H232" i="9"/>
  <c r="H234" i="9"/>
  <c r="H236" i="9"/>
  <c r="H238" i="9"/>
  <c r="H240" i="9"/>
  <c r="H242" i="9"/>
  <c r="H244" i="9"/>
  <c r="H246" i="9"/>
  <c r="H248" i="9"/>
  <c r="H250" i="9"/>
  <c r="H252" i="9"/>
  <c r="H254" i="9"/>
  <c r="H256" i="9"/>
  <c r="H258" i="9"/>
  <c r="H260" i="9"/>
  <c r="H262" i="9"/>
  <c r="H264" i="9"/>
  <c r="H266" i="9"/>
  <c r="H268" i="9"/>
  <c r="H270" i="9"/>
  <c r="H272" i="9"/>
  <c r="H274" i="9"/>
  <c r="H276" i="9"/>
  <c r="H278" i="9"/>
  <c r="H280" i="9"/>
  <c r="H282" i="9"/>
  <c r="H284" i="9"/>
  <c r="H286" i="9"/>
  <c r="H288" i="9"/>
  <c r="H20" i="9"/>
  <c r="H22" i="9"/>
  <c r="H23" i="9"/>
  <c r="H26" i="9"/>
  <c r="H47" i="9"/>
  <c r="H69" i="9"/>
  <c r="H70" i="9"/>
  <c r="H71" i="9"/>
  <c r="H72" i="9"/>
  <c r="H87" i="9"/>
  <c r="H88" i="9"/>
  <c r="H93" i="9"/>
  <c r="H96" i="9"/>
  <c r="H102" i="9"/>
  <c r="H113" i="9"/>
  <c r="H122" i="9"/>
  <c r="H125" i="9"/>
  <c r="H131" i="9"/>
  <c r="H135" i="9"/>
  <c r="H144" i="9"/>
  <c r="H148" i="9"/>
  <c r="H25" i="9"/>
  <c r="H29" i="9"/>
  <c r="H30" i="9"/>
  <c r="H31" i="9"/>
  <c r="H32" i="9"/>
  <c r="H46" i="9"/>
  <c r="H56" i="9"/>
  <c r="H61" i="9"/>
  <c r="H62" i="9"/>
  <c r="H63" i="9"/>
  <c r="H64" i="9"/>
  <c r="H80" i="9"/>
  <c r="H85" i="9"/>
  <c r="H86" i="9"/>
  <c r="H105" i="9"/>
  <c r="H114" i="9"/>
  <c r="H117" i="9"/>
  <c r="H126" i="9"/>
  <c r="H132" i="9"/>
  <c r="H137" i="9"/>
  <c r="H139" i="9"/>
  <c r="H147" i="9"/>
  <c r="H152" i="9"/>
  <c r="H156" i="9"/>
  <c r="H160" i="9"/>
  <c r="H163" i="9"/>
  <c r="H165" i="9"/>
  <c r="H167" i="9"/>
  <c r="H169" i="9"/>
  <c r="H171" i="9"/>
  <c r="H173" i="9"/>
  <c r="H175" i="9"/>
  <c r="H177" i="9"/>
  <c r="H179" i="9"/>
  <c r="H181" i="9"/>
  <c r="H183" i="9"/>
  <c r="H185" i="9"/>
  <c r="H187" i="9"/>
  <c r="H189" i="9"/>
  <c r="H191" i="9"/>
  <c r="H193" i="9"/>
  <c r="H195" i="9"/>
  <c r="H197" i="9"/>
  <c r="H199" i="9"/>
  <c r="H201" i="9"/>
  <c r="H203" i="9"/>
  <c r="H205" i="9"/>
  <c r="H207" i="9"/>
  <c r="H209" i="9"/>
  <c r="H211" i="9"/>
  <c r="H213" i="9"/>
  <c r="H215" i="9"/>
  <c r="H217" i="9"/>
  <c r="H219" i="9"/>
  <c r="H221" i="9"/>
  <c r="H223" i="9"/>
  <c r="H225" i="9"/>
  <c r="H227" i="9"/>
  <c r="H229" i="9"/>
  <c r="H231" i="9"/>
  <c r="H233" i="9"/>
  <c r="H235" i="9"/>
  <c r="H237" i="9"/>
  <c r="H239" i="9"/>
  <c r="H241" i="9"/>
  <c r="H243" i="9"/>
  <c r="H245" i="9"/>
  <c r="H247" i="9"/>
  <c r="H249" i="9"/>
  <c r="H251" i="9"/>
  <c r="H253" i="9"/>
  <c r="H255" i="9"/>
  <c r="H257" i="9"/>
  <c r="H259" i="9"/>
  <c r="H261" i="9"/>
  <c r="H263" i="9"/>
  <c r="H265" i="9"/>
  <c r="E56" i="4"/>
  <c r="E54" i="4"/>
  <c r="E78" i="9"/>
  <c r="C78" i="9"/>
  <c r="E15" i="9"/>
  <c r="C15" i="9"/>
  <c r="E24" i="9"/>
  <c r="C24" i="9"/>
  <c r="E76" i="19"/>
  <c r="E113" i="19"/>
  <c r="E133" i="18"/>
  <c r="F133" i="18"/>
  <c r="E2" i="18"/>
  <c r="F2" i="18"/>
  <c r="S10" i="16"/>
  <c r="E5" i="4"/>
  <c r="S11" i="16"/>
  <c r="S7" i="16"/>
  <c r="S9" i="16"/>
  <c r="E4" i="4"/>
  <c r="G42" i="8"/>
  <c r="B50" i="19"/>
  <c r="H11" i="9"/>
  <c r="H13" i="9"/>
  <c r="H16" i="9"/>
  <c r="H19" i="9"/>
  <c r="H21" i="9"/>
  <c r="H24" i="9"/>
  <c r="H33" i="9"/>
  <c r="H41" i="9"/>
  <c r="H49" i="9"/>
  <c r="H57" i="9"/>
  <c r="H65" i="9"/>
  <c r="H73" i="9"/>
  <c r="H81" i="9"/>
  <c r="H92" i="9"/>
  <c r="H97" i="9"/>
  <c r="H99" i="9"/>
  <c r="H103" i="9"/>
  <c r="H107" i="9"/>
  <c r="H111" i="9"/>
  <c r="H115" i="9"/>
  <c r="H119" i="9"/>
  <c r="H123" i="9"/>
  <c r="H127" i="9"/>
  <c r="H133" i="9"/>
  <c r="H136" i="9"/>
  <c r="H140" i="9"/>
  <c r="H142" i="9"/>
  <c r="H146" i="9"/>
  <c r="H151" i="9"/>
  <c r="H153" i="9"/>
  <c r="H155" i="9"/>
  <c r="H157" i="9"/>
  <c r="H159" i="9"/>
  <c r="H161" i="9"/>
  <c r="H10" i="9"/>
  <c r="H28" i="9"/>
  <c r="H34" i="9"/>
  <c r="H35" i="9"/>
  <c r="H36" i="9"/>
  <c r="H42" i="9"/>
  <c r="H43" i="9"/>
  <c r="H44" i="9"/>
  <c r="H50" i="9"/>
  <c r="H51" i="9"/>
  <c r="H52" i="9"/>
  <c r="H58" i="9"/>
  <c r="H59" i="9"/>
  <c r="H60" i="9"/>
  <c r="H66" i="9"/>
  <c r="H67" i="9"/>
  <c r="H68" i="9"/>
  <c r="H74" i="9"/>
  <c r="H75" i="9"/>
  <c r="H76" i="9"/>
  <c r="H82" i="9"/>
  <c r="H83" i="9"/>
  <c r="H84" i="9"/>
  <c r="H89" i="9"/>
  <c r="H94" i="9"/>
  <c r="H100" i="9"/>
  <c r="H104" i="9"/>
  <c r="H108" i="9"/>
  <c r="H112" i="9"/>
  <c r="H116" i="9"/>
  <c r="H120" i="9"/>
  <c r="H124" i="9"/>
  <c r="H128" i="9"/>
  <c r="H130" i="9"/>
  <c r="H143" i="9"/>
  <c r="H145" i="9"/>
  <c r="H149" i="9"/>
  <c r="E10" i="9"/>
  <c r="C10" i="9"/>
  <c r="J77" i="19"/>
  <c r="H76" i="19"/>
  <c r="H113" i="19"/>
  <c r="F27" i="19"/>
  <c r="F29" i="19"/>
  <c r="F28" i="19"/>
  <c r="I77" i="19"/>
  <c r="G76" i="19"/>
  <c r="G113" i="19"/>
  <c r="C17" i="22"/>
  <c r="M16" i="24"/>
  <c r="E16" i="24"/>
  <c r="M15" i="24"/>
  <c r="E15" i="24"/>
  <c r="M14" i="24"/>
  <c r="E14" i="24"/>
  <c r="F14" i="24"/>
  <c r="M13" i="24"/>
  <c r="E13" i="24"/>
  <c r="F13" i="24"/>
  <c r="M12" i="24"/>
  <c r="E12" i="24"/>
  <c r="M11" i="24"/>
  <c r="E11" i="24"/>
  <c r="F11" i="24"/>
  <c r="M10" i="24"/>
  <c r="E10" i="24"/>
  <c r="F10" i="24"/>
  <c r="M9" i="24"/>
  <c r="E9" i="24"/>
  <c r="F9" i="24"/>
  <c r="M8" i="24"/>
  <c r="E8" i="24"/>
  <c r="E31" i="19"/>
  <c r="D31" i="19"/>
  <c r="B17" i="24"/>
  <c r="K16" i="24"/>
  <c r="G16" i="24"/>
  <c r="K15" i="24"/>
  <c r="G15" i="24"/>
  <c r="K14" i="24"/>
  <c r="G14" i="24"/>
  <c r="K13" i="24"/>
  <c r="G13" i="24"/>
  <c r="K12" i="24"/>
  <c r="G12" i="24"/>
  <c r="K11" i="24"/>
  <c r="G11" i="24"/>
  <c r="K10" i="24"/>
  <c r="G10" i="24"/>
  <c r="K9" i="24"/>
  <c r="G9" i="24"/>
  <c r="K8" i="24"/>
  <c r="G8" i="24"/>
  <c r="I5" i="24"/>
  <c r="I7" i="24"/>
  <c r="J7" i="24"/>
  <c r="Q8" i="16"/>
  <c r="Q7" i="16"/>
  <c r="Q10" i="16"/>
  <c r="Q11" i="16"/>
  <c r="Q9" i="16"/>
  <c r="O7" i="16"/>
  <c r="O9" i="16"/>
  <c r="O8" i="16"/>
  <c r="O10" i="16"/>
  <c r="O11" i="16"/>
  <c r="E7" i="4"/>
  <c r="D8" i="16"/>
  <c r="D10" i="16"/>
  <c r="D9" i="16"/>
  <c r="D11" i="16"/>
  <c r="D7" i="16"/>
  <c r="AD1063" i="7"/>
  <c r="AD1064" i="7"/>
  <c r="AD1061" i="7"/>
  <c r="AD1059" i="7"/>
  <c r="AD1057" i="7"/>
  <c r="AD1055" i="7"/>
  <c r="AD1053" i="7"/>
  <c r="AD1051" i="7"/>
  <c r="AD1049" i="7"/>
  <c r="AD1047" i="7"/>
  <c r="AD1045" i="7"/>
  <c r="AD1043" i="7"/>
  <c r="AD1041" i="7"/>
  <c r="AD1039" i="7"/>
  <c r="AD1037" i="7"/>
  <c r="AD1035" i="7"/>
  <c r="AD1033" i="7"/>
  <c r="AD1031" i="7"/>
  <c r="AD1029" i="7"/>
  <c r="AD1027" i="7"/>
  <c r="AD1025" i="7"/>
  <c r="AD1023" i="7"/>
  <c r="AD1021" i="7"/>
  <c r="AD1019" i="7"/>
  <c r="AD1017" i="7"/>
  <c r="AD1015" i="7"/>
  <c r="AD1013" i="7"/>
  <c r="AD1011" i="7"/>
  <c r="AD1009" i="7"/>
  <c r="AD1007" i="7"/>
  <c r="AD1005" i="7"/>
  <c r="AD1003" i="7"/>
  <c r="AD1001" i="7"/>
  <c r="AD999" i="7"/>
  <c r="AD997" i="7"/>
  <c r="AD995" i="7"/>
  <c r="AD993" i="7"/>
  <c r="AD991" i="7"/>
  <c r="AD989" i="7"/>
  <c r="AD987" i="7"/>
  <c r="AD985" i="7"/>
  <c r="AD983" i="7"/>
  <c r="AD981" i="7"/>
  <c r="AD979" i="7"/>
  <c r="AD977" i="7"/>
  <c r="AD975" i="7"/>
  <c r="AD973" i="7"/>
  <c r="AD971" i="7"/>
  <c r="AD969" i="7"/>
  <c r="AD967" i="7"/>
  <c r="AD965" i="7"/>
  <c r="AD963" i="7"/>
  <c r="AD961" i="7"/>
  <c r="AD959" i="7"/>
  <c r="AD957" i="7"/>
  <c r="AD955" i="7"/>
  <c r="AD953" i="7"/>
  <c r="AD951" i="7"/>
  <c r="AD949" i="7"/>
  <c r="AD947" i="7"/>
  <c r="AD945" i="7"/>
  <c r="AD943" i="7"/>
  <c r="AD939" i="7"/>
  <c r="AD937" i="7"/>
  <c r="AD935" i="7"/>
  <c r="AD933" i="7"/>
  <c r="AD931" i="7"/>
  <c r="AD929" i="7"/>
  <c r="AD927" i="7"/>
  <c r="AD925" i="7"/>
  <c r="AD923" i="7"/>
  <c r="AD921" i="7"/>
  <c r="AD919" i="7"/>
  <c r="AD917" i="7"/>
  <c r="AD915" i="7"/>
  <c r="AD913" i="7"/>
  <c r="AD911" i="7"/>
  <c r="AD909" i="7"/>
  <c r="E8" i="16"/>
  <c r="E7" i="16"/>
  <c r="E9" i="16"/>
  <c r="E11" i="16"/>
  <c r="E10" i="16"/>
  <c r="AD906" i="7"/>
  <c r="AD904" i="7"/>
  <c r="AD902" i="7"/>
  <c r="AD900" i="7"/>
  <c r="AD898" i="7"/>
  <c r="AD896" i="7"/>
  <c r="C60" i="4"/>
  <c r="P8" i="16"/>
  <c r="P10" i="16"/>
  <c r="P7" i="16"/>
  <c r="P11" i="16"/>
  <c r="P9" i="16"/>
  <c r="N7" i="16"/>
  <c r="N9" i="16"/>
  <c r="N8" i="16"/>
  <c r="N10" i="16"/>
  <c r="N11" i="16"/>
  <c r="E10" i="4"/>
  <c r="C7" i="16"/>
  <c r="C9" i="16"/>
  <c r="C8" i="16"/>
  <c r="C10" i="16"/>
  <c r="C11" i="16"/>
  <c r="AD940" i="7"/>
  <c r="AD938" i="7"/>
  <c r="AD936" i="7"/>
  <c r="AD934" i="7"/>
  <c r="AD932" i="7"/>
  <c r="AD930" i="7"/>
  <c r="AD928" i="7"/>
  <c r="AD926" i="7"/>
  <c r="AD924" i="7"/>
  <c r="AD922" i="7"/>
  <c r="AD920" i="7"/>
  <c r="AD918" i="7"/>
  <c r="AD916" i="7"/>
  <c r="AD914" i="7"/>
  <c r="AD912" i="7"/>
  <c r="AD910" i="7"/>
  <c r="AD908" i="7"/>
  <c r="E57" i="4"/>
  <c r="H8" i="16"/>
  <c r="H10" i="16"/>
  <c r="H11" i="16"/>
  <c r="H7" i="16"/>
  <c r="H9" i="16"/>
  <c r="AD894" i="7"/>
  <c r="AD892" i="7"/>
  <c r="AD890" i="7"/>
  <c r="AD888" i="7"/>
  <c r="AD886" i="7"/>
  <c r="AD884" i="7"/>
  <c r="AD882" i="7"/>
  <c r="AD880" i="7"/>
  <c r="AD878" i="7"/>
  <c r="AD876" i="7"/>
  <c r="AD874" i="7"/>
  <c r="AD872" i="7"/>
  <c r="AD870" i="7"/>
  <c r="AD868" i="7"/>
  <c r="AD866" i="7"/>
  <c r="AD864" i="7"/>
  <c r="AD862" i="7"/>
  <c r="AD860" i="7"/>
  <c r="AD858" i="7"/>
  <c r="AD856" i="7"/>
  <c r="AD854" i="7"/>
  <c r="AD852" i="7"/>
  <c r="AD850" i="7"/>
  <c r="AD848" i="7"/>
  <c r="AD846" i="7"/>
  <c r="AD844" i="7"/>
  <c r="AD842" i="7"/>
  <c r="AD840" i="7"/>
  <c r="AD838" i="7"/>
  <c r="AD836" i="7"/>
  <c r="AD834" i="7"/>
  <c r="AD832" i="7"/>
  <c r="AD830" i="7"/>
  <c r="AD828" i="7"/>
  <c r="AD826" i="7"/>
  <c r="AD824" i="7"/>
  <c r="AD822" i="7"/>
  <c r="AD820" i="7"/>
  <c r="AD818" i="7"/>
  <c r="AD816" i="7"/>
  <c r="AD814" i="7"/>
  <c r="AD812" i="7"/>
  <c r="AD810" i="7"/>
  <c r="AD808" i="7"/>
  <c r="AD806" i="7"/>
  <c r="AD804" i="7"/>
  <c r="AD802" i="7"/>
  <c r="AD800" i="7"/>
  <c r="AD798" i="7"/>
  <c r="AD796" i="7"/>
  <c r="AD794" i="7"/>
  <c r="AD269" i="7"/>
  <c r="AD261" i="7"/>
  <c r="AD253" i="7"/>
  <c r="AD243" i="7"/>
  <c r="AD235" i="7"/>
  <c r="AD227" i="7"/>
  <c r="AD219" i="7"/>
  <c r="AD636" i="7"/>
  <c r="AD634" i="7"/>
  <c r="AD632" i="7"/>
  <c r="AD630" i="7"/>
  <c r="AD628" i="7"/>
  <c r="AD626" i="7"/>
  <c r="AD624" i="7"/>
  <c r="AD622" i="7"/>
  <c r="AD620" i="7"/>
  <c r="AD618" i="7"/>
  <c r="AD616" i="7"/>
  <c r="AD614" i="7"/>
  <c r="AD612" i="7"/>
  <c r="AD610" i="7"/>
  <c r="AD608" i="7"/>
  <c r="AD606" i="7"/>
  <c r="AD604" i="7"/>
  <c r="AD602" i="7"/>
  <c r="AD600" i="7"/>
  <c r="AD267" i="7"/>
  <c r="AD259" i="7"/>
  <c r="AD251" i="7"/>
  <c r="AD245" i="7"/>
  <c r="AD237" i="7"/>
  <c r="AD233" i="7"/>
  <c r="AD225" i="7"/>
  <c r="AD217" i="7"/>
  <c r="AD597" i="7"/>
  <c r="AD595" i="7"/>
  <c r="AD593" i="7"/>
  <c r="AD591" i="7"/>
  <c r="AD589" i="7"/>
  <c r="AD587" i="7"/>
  <c r="AD585" i="7"/>
  <c r="AD583" i="7"/>
  <c r="AD581" i="7"/>
  <c r="AD579" i="7"/>
  <c r="AD577" i="7"/>
  <c r="AD575" i="7"/>
  <c r="AD573" i="7"/>
  <c r="AD571" i="7"/>
  <c r="AD569" i="7"/>
  <c r="AD567" i="7"/>
  <c r="AD565" i="7"/>
  <c r="AD563" i="7"/>
  <c r="AD561" i="7"/>
  <c r="AD559" i="7"/>
  <c r="AD557" i="7"/>
  <c r="AD555" i="7"/>
  <c r="AD553" i="7"/>
  <c r="AD551" i="7"/>
  <c r="AD549" i="7"/>
  <c r="AD547" i="7"/>
  <c r="AD545" i="7"/>
  <c r="AD543" i="7"/>
  <c r="AD541" i="7"/>
  <c r="AD539" i="7"/>
  <c r="AD537" i="7"/>
  <c r="AD535" i="7"/>
  <c r="AD533" i="7"/>
  <c r="AD531" i="7"/>
  <c r="AD529" i="7"/>
  <c r="AD527" i="7"/>
  <c r="AD525" i="7"/>
  <c r="AD523" i="7"/>
  <c r="AD521" i="7"/>
  <c r="AD519" i="7"/>
  <c r="AD517" i="7"/>
  <c r="AD515" i="7"/>
  <c r="AD513" i="7"/>
  <c r="AD511" i="7"/>
  <c r="AD509" i="7"/>
  <c r="AD507" i="7"/>
  <c r="AD505" i="7"/>
  <c r="AD503" i="7"/>
  <c r="AD501" i="7"/>
  <c r="AD499" i="7"/>
  <c r="AD497" i="7"/>
  <c r="AD495" i="7"/>
  <c r="AD493" i="7"/>
  <c r="AD491" i="7"/>
  <c r="AD489" i="7"/>
  <c r="AD487" i="7"/>
  <c r="AD485" i="7"/>
  <c r="AD483" i="7"/>
  <c r="AD481" i="7"/>
  <c r="AD479" i="7"/>
  <c r="AD477" i="7"/>
  <c r="AD475" i="7"/>
  <c r="AD473" i="7"/>
  <c r="AD471" i="7"/>
  <c r="AD469" i="7"/>
  <c r="AD467" i="7"/>
  <c r="AD465" i="7"/>
  <c r="AD463" i="7"/>
  <c r="AD461" i="7"/>
  <c r="AD459" i="7"/>
  <c r="AD457" i="7"/>
  <c r="AD455" i="7"/>
  <c r="AD453" i="7"/>
  <c r="AD451" i="7"/>
  <c r="AD449" i="7"/>
  <c r="AD447" i="7"/>
  <c r="AD445" i="7"/>
  <c r="AD443" i="7"/>
  <c r="AD441" i="7"/>
  <c r="AD439" i="7"/>
  <c r="AD437" i="7"/>
  <c r="AD435" i="7"/>
  <c r="AD433" i="7"/>
  <c r="AD431" i="7"/>
  <c r="AD429" i="7"/>
  <c r="AD427" i="7"/>
  <c r="AD425" i="7"/>
  <c r="AD423" i="7"/>
  <c r="AD421" i="7"/>
  <c r="AD419" i="7"/>
  <c r="AD417" i="7"/>
  <c r="AD415" i="7"/>
  <c r="AD413" i="7"/>
  <c r="AD411" i="7"/>
  <c r="AD409" i="7"/>
  <c r="AD407" i="7"/>
  <c r="AD405" i="7"/>
  <c r="AD403" i="7"/>
  <c r="AD401" i="7"/>
  <c r="AD399" i="7"/>
  <c r="AD397" i="7"/>
  <c r="AD395" i="7"/>
  <c r="AD393" i="7"/>
  <c r="AD391" i="7"/>
  <c r="AD389" i="7"/>
  <c r="AD387" i="7"/>
  <c r="AD385" i="7"/>
  <c r="AD383" i="7"/>
  <c r="AD381" i="7"/>
  <c r="AD379" i="7"/>
  <c r="AD377" i="7"/>
  <c r="AD375" i="7"/>
  <c r="AD373" i="7"/>
  <c r="AD371" i="7"/>
  <c r="AD369" i="7"/>
  <c r="AD367" i="7"/>
  <c r="AD365" i="7"/>
  <c r="AD363" i="7"/>
  <c r="AD361" i="7"/>
  <c r="AD359" i="7"/>
  <c r="AD357" i="7"/>
  <c r="AD355" i="7"/>
  <c r="AD353" i="7"/>
  <c r="AD351" i="7"/>
  <c r="AD349" i="7"/>
  <c r="AD347" i="7"/>
  <c r="AD345" i="7"/>
  <c r="AD343" i="7"/>
  <c r="AD341" i="7"/>
  <c r="AD339" i="7"/>
  <c r="AD337" i="7"/>
  <c r="AD335" i="7"/>
  <c r="AD333" i="7"/>
  <c r="AD331" i="7"/>
  <c r="AD329" i="7"/>
  <c r="AD327" i="7"/>
  <c r="AD325" i="7"/>
  <c r="AD323" i="7"/>
  <c r="AD321" i="7"/>
  <c r="AD319" i="7"/>
  <c r="AD317" i="7"/>
  <c r="AD315" i="7"/>
  <c r="AD313" i="7"/>
  <c r="AD311" i="7"/>
  <c r="AD309" i="7"/>
  <c r="AD307" i="7"/>
  <c r="AD305" i="7"/>
  <c r="AD303" i="7"/>
  <c r="AD301" i="7"/>
  <c r="AD299" i="7"/>
  <c r="AD297" i="7"/>
  <c r="AD295" i="7"/>
  <c r="AD293" i="7"/>
  <c r="AD291" i="7"/>
  <c r="AD289" i="7"/>
  <c r="AD287" i="7"/>
  <c r="AD285" i="7"/>
  <c r="AD283" i="7"/>
  <c r="AD281" i="7"/>
  <c r="AD279" i="7"/>
  <c r="AD277" i="7"/>
  <c r="AD275" i="7"/>
  <c r="AD273" i="7"/>
  <c r="AD265" i="7"/>
  <c r="AD257" i="7"/>
  <c r="AD247" i="7"/>
  <c r="AD239" i="7"/>
  <c r="AD231" i="7"/>
  <c r="AD223" i="7"/>
  <c r="AD215" i="7"/>
  <c r="AD635" i="7"/>
  <c r="AD633" i="7"/>
  <c r="AD631" i="7"/>
  <c r="AD629" i="7"/>
  <c r="AD627" i="7"/>
  <c r="AD625" i="7"/>
  <c r="AD623" i="7"/>
  <c r="AD621" i="7"/>
  <c r="AD619" i="7"/>
  <c r="AD617" i="7"/>
  <c r="AD615" i="7"/>
  <c r="AD613" i="7"/>
  <c r="AD611" i="7"/>
  <c r="AD609" i="7"/>
  <c r="AD607" i="7"/>
  <c r="AD605" i="7"/>
  <c r="AD603" i="7"/>
  <c r="AD601" i="7"/>
  <c r="AD599" i="7"/>
  <c r="AD271" i="7"/>
  <c r="AD263" i="7"/>
  <c r="AD255" i="7"/>
  <c r="AD249" i="7"/>
  <c r="AD241" i="7"/>
  <c r="AD229" i="7"/>
  <c r="AD221" i="7"/>
  <c r="AC1062" i="9"/>
  <c r="AC1054" i="9"/>
  <c r="AC1046" i="9"/>
  <c r="AC1038" i="9"/>
  <c r="AC1030" i="9"/>
  <c r="AC1022" i="9"/>
  <c r="AC1014" i="9"/>
  <c r="AC1006" i="9"/>
  <c r="AC998" i="9"/>
  <c r="AC990" i="9"/>
  <c r="AC982" i="9"/>
  <c r="AC974" i="9"/>
  <c r="AC966" i="9"/>
  <c r="AD234" i="7"/>
  <c r="AD232" i="7"/>
  <c r="AD230" i="7"/>
  <c r="AD228" i="7"/>
  <c r="AD226" i="7"/>
  <c r="AD224" i="7"/>
  <c r="AD222" i="7"/>
  <c r="AD220" i="7"/>
  <c r="AD218" i="7"/>
  <c r="AD216" i="7"/>
  <c r="AD214" i="7"/>
  <c r="AD213" i="7"/>
  <c r="AC1058" i="9"/>
  <c r="AC1050" i="9"/>
  <c r="AC1042" i="9"/>
  <c r="AC1034" i="9"/>
  <c r="AC1026" i="9"/>
  <c r="AC1018" i="9"/>
  <c r="AC1010" i="9"/>
  <c r="AC1002" i="9"/>
  <c r="AC994" i="9"/>
  <c r="AC986" i="9"/>
  <c r="AC978" i="9"/>
  <c r="AC970" i="9"/>
  <c r="AC962" i="9"/>
  <c r="AD211" i="7"/>
  <c r="AD209" i="7"/>
  <c r="AD207" i="7"/>
  <c r="AD205" i="7"/>
  <c r="AD203" i="7"/>
  <c r="AD201" i="7"/>
  <c r="AD199" i="7"/>
  <c r="AD197" i="7"/>
  <c r="AD195" i="7"/>
  <c r="AD193" i="7"/>
  <c r="AD191" i="7"/>
  <c r="AD189" i="7"/>
  <c r="AD187" i="7"/>
  <c r="AD185" i="7"/>
  <c r="AD183" i="7"/>
  <c r="AD181" i="7"/>
  <c r="AD179" i="7"/>
  <c r="AD177" i="7"/>
  <c r="AD175" i="7"/>
  <c r="AD173" i="7"/>
  <c r="AD171" i="7"/>
  <c r="AD169" i="7"/>
  <c r="AD167" i="7"/>
  <c r="AD165" i="7"/>
  <c r="AD163" i="7"/>
  <c r="AD161" i="7"/>
  <c r="AD159" i="7"/>
  <c r="AD157" i="7"/>
  <c r="AD155" i="7"/>
  <c r="AD153" i="7"/>
  <c r="AD151" i="7"/>
  <c r="AD149" i="7"/>
  <c r="AD147" i="7"/>
  <c r="AD145" i="7"/>
  <c r="AD143" i="7"/>
  <c r="AD141" i="7"/>
  <c r="AD139" i="7"/>
  <c r="AD137" i="7"/>
  <c r="AD135" i="7"/>
  <c r="AD133" i="7"/>
  <c r="AD131" i="7"/>
  <c r="AD129" i="7"/>
  <c r="AD127" i="7"/>
  <c r="AD125" i="7"/>
  <c r="AD123" i="7"/>
  <c r="AD121" i="7"/>
  <c r="AD119" i="7"/>
  <c r="AD117" i="7"/>
  <c r="AD115" i="7"/>
  <c r="AD113" i="7"/>
  <c r="AD111" i="7"/>
  <c r="AD109" i="7"/>
  <c r="AD107" i="7"/>
  <c r="AD105" i="7"/>
  <c r="AD103" i="7"/>
  <c r="AD101" i="7"/>
  <c r="AD99" i="7"/>
  <c r="AD97" i="7"/>
  <c r="AD95" i="7"/>
  <c r="AD93" i="7"/>
  <c r="AD91" i="7"/>
  <c r="AD89" i="7"/>
  <c r="AD87" i="7"/>
  <c r="AD85" i="7"/>
  <c r="AD83" i="7"/>
  <c r="AD81" i="7"/>
  <c r="AD79" i="7"/>
  <c r="AD75" i="7"/>
  <c r="AD73" i="7"/>
  <c r="AD71" i="7"/>
  <c r="AD69" i="7"/>
  <c r="AD67" i="7"/>
  <c r="D17" i="17"/>
  <c r="D12" i="17"/>
  <c r="D13" i="17"/>
  <c r="AD29" i="7"/>
  <c r="AD25" i="7"/>
  <c r="AD21" i="7"/>
  <c r="AD17" i="7"/>
  <c r="AD13" i="7"/>
  <c r="AD10" i="7"/>
  <c r="AD9" i="7"/>
  <c r="AF1065" i="9"/>
  <c r="AF1064" i="9"/>
  <c r="AC1063" i="9"/>
  <c r="Z1060" i="9"/>
  <c r="AC1059" i="9"/>
  <c r="Z1056" i="9"/>
  <c r="AC1055" i="9"/>
  <c r="Z1052" i="9"/>
  <c r="AC1051" i="9"/>
  <c r="Z1048" i="9"/>
  <c r="AC1047" i="9"/>
  <c r="Z1044" i="9"/>
  <c r="AC1043" i="9"/>
  <c r="Z1040" i="9"/>
  <c r="AC1039" i="9"/>
  <c r="Z1036" i="9"/>
  <c r="AC1035" i="9"/>
  <c r="Z1032" i="9"/>
  <c r="AC1031" i="9"/>
  <c r="Z1028" i="9"/>
  <c r="AC1027" i="9"/>
  <c r="Z1024" i="9"/>
  <c r="AC1023" i="9"/>
  <c r="Z1020" i="9"/>
  <c r="AC1019" i="9"/>
  <c r="Z1016" i="9"/>
  <c r="AC1015" i="9"/>
  <c r="Z1012" i="9"/>
  <c r="AC1011" i="9"/>
  <c r="Z1008" i="9"/>
  <c r="AC1007" i="9"/>
  <c r="Z1004" i="9"/>
  <c r="AC1003" i="9"/>
  <c r="Z1000" i="9"/>
  <c r="AC999" i="9"/>
  <c r="Z996" i="9"/>
  <c r="AC995" i="9"/>
  <c r="Z992" i="9"/>
  <c r="AC991" i="9"/>
  <c r="Z988" i="9"/>
  <c r="AC987" i="9"/>
  <c r="Z984" i="9"/>
  <c r="AC983" i="9"/>
  <c r="Z980" i="9"/>
  <c r="AC979" i="9"/>
  <c r="Z976" i="9"/>
  <c r="AC975" i="9"/>
  <c r="Z972" i="9"/>
  <c r="AC971" i="9"/>
  <c r="Z968" i="9"/>
  <c r="AC967" i="9"/>
  <c r="Z964" i="9"/>
  <c r="AC963" i="9"/>
  <c r="Z960" i="9"/>
  <c r="AC959" i="9"/>
  <c r="Z956" i="9"/>
  <c r="AC955" i="9"/>
  <c r="Z952" i="9"/>
  <c r="AC951" i="9"/>
  <c r="Z948" i="9"/>
  <c r="AC947" i="9"/>
  <c r="Z944" i="9"/>
  <c r="AC943" i="9"/>
  <c r="Z940" i="9"/>
  <c r="AC939" i="9"/>
  <c r="Z936" i="9"/>
  <c r="AC935" i="9"/>
  <c r="Z932" i="9"/>
  <c r="AC931" i="9"/>
  <c r="Z928" i="9"/>
  <c r="AC927" i="9"/>
  <c r="Z924" i="9"/>
  <c r="AC923" i="9"/>
  <c r="Z920" i="9"/>
  <c r="AC919" i="9"/>
  <c r="Z916" i="9"/>
  <c r="AC915" i="9"/>
  <c r="Z912" i="9"/>
  <c r="AC911" i="9"/>
  <c r="Z908" i="9"/>
  <c r="AC907" i="9"/>
  <c r="Z904" i="9"/>
  <c r="AC903" i="9"/>
  <c r="Z900" i="9"/>
  <c r="AC899" i="9"/>
  <c r="Z896" i="9"/>
  <c r="AC895" i="9"/>
  <c r="Z892" i="9"/>
  <c r="AC891" i="9"/>
  <c r="Z888" i="9"/>
  <c r="AC887" i="9"/>
  <c r="Z884" i="9"/>
  <c r="AC883" i="9"/>
  <c r="Z880" i="9"/>
  <c r="AC879" i="9"/>
  <c r="Z876" i="9"/>
  <c r="AC875" i="9"/>
  <c r="Z872" i="9"/>
  <c r="AC871" i="9"/>
  <c r="Z868" i="9"/>
  <c r="AC867" i="9"/>
  <c r="Z864" i="9"/>
  <c r="AC863" i="9"/>
  <c r="Z860" i="9"/>
  <c r="AC859" i="9"/>
  <c r="Z856" i="9"/>
  <c r="AC855" i="9"/>
  <c r="Z852" i="9"/>
  <c r="AC851" i="9"/>
  <c r="Z848" i="9"/>
  <c r="AC847" i="9"/>
  <c r="Z844" i="9"/>
  <c r="AC843" i="9"/>
  <c r="Z842" i="9"/>
  <c r="AC841" i="9"/>
  <c r="Z840" i="9"/>
  <c r="AC839" i="9"/>
  <c r="Z838" i="9"/>
  <c r="AC837" i="9"/>
  <c r="Z836" i="9"/>
  <c r="AC835" i="9"/>
  <c r="Z834" i="9"/>
  <c r="AC833" i="9"/>
  <c r="Z832" i="9"/>
  <c r="AC831" i="9"/>
  <c r="Z830" i="9"/>
  <c r="AC829" i="9"/>
  <c r="Z828" i="9"/>
  <c r="AC827" i="9"/>
  <c r="Z826" i="9"/>
  <c r="AC825" i="9"/>
  <c r="AC822" i="9"/>
  <c r="AD14" i="7"/>
  <c r="AE1065" i="9"/>
  <c r="AE1064" i="9"/>
  <c r="Z1061" i="9"/>
  <c r="Z1057" i="9"/>
  <c r="Z1053" i="9"/>
  <c r="Z1049" i="9"/>
  <c r="Z1045" i="9"/>
  <c r="Z1041" i="9"/>
  <c r="Z1037" i="9"/>
  <c r="Z1033" i="9"/>
  <c r="Z1029" i="9"/>
  <c r="Z1025" i="9"/>
  <c r="Z1021" i="9"/>
  <c r="Z1017" i="9"/>
  <c r="Z1013" i="9"/>
  <c r="Z1009" i="9"/>
  <c r="Z1005" i="9"/>
  <c r="Z1001" i="9"/>
  <c r="Z997" i="9"/>
  <c r="Z993" i="9"/>
  <c r="Z989" i="9"/>
  <c r="Z985" i="9"/>
  <c r="Z981" i="9"/>
  <c r="Z977" i="9"/>
  <c r="Z973" i="9"/>
  <c r="Z969" i="9"/>
  <c r="Z965" i="9"/>
  <c r="Z961" i="9"/>
  <c r="Z957" i="9"/>
  <c r="Z953" i="9"/>
  <c r="Z949" i="9"/>
  <c r="Z945" i="9"/>
  <c r="Z941" i="9"/>
  <c r="Z937" i="9"/>
  <c r="Z933" i="9"/>
  <c r="Z929" i="9"/>
  <c r="Z925" i="9"/>
  <c r="Z921" i="9"/>
  <c r="Z917" i="9"/>
  <c r="Z913" i="9"/>
  <c r="Z909" i="9"/>
  <c r="Z905" i="9"/>
  <c r="Z901" i="9"/>
  <c r="Z897" i="9"/>
  <c r="Z893" i="9"/>
  <c r="Z889" i="9"/>
  <c r="Z885" i="9"/>
  <c r="Z881" i="9"/>
  <c r="Z877" i="9"/>
  <c r="Z873" i="9"/>
  <c r="Z869" i="9"/>
  <c r="Z865" i="9"/>
  <c r="Z861" i="9"/>
  <c r="Z857" i="9"/>
  <c r="Z853" i="9"/>
  <c r="Z849" i="9"/>
  <c r="AC845" i="9"/>
  <c r="Z824" i="9"/>
  <c r="AC823" i="9"/>
  <c r="Z820" i="9"/>
  <c r="AC819" i="9"/>
  <c r="Z816" i="9"/>
  <c r="AC815" i="9"/>
  <c r="Z812" i="9"/>
  <c r="AC811" i="9"/>
  <c r="Z808" i="9"/>
  <c r="AC807" i="9"/>
  <c r="Z804" i="9"/>
  <c r="AC803" i="9"/>
  <c r="Z800" i="9"/>
  <c r="AC799" i="9"/>
  <c r="Z796" i="9"/>
  <c r="AC795" i="9"/>
  <c r="Z792" i="9"/>
  <c r="AC791" i="9"/>
  <c r="Z788" i="9"/>
  <c r="AC787" i="9"/>
  <c r="Z784" i="9"/>
  <c r="AC783" i="9"/>
  <c r="Z780" i="9"/>
  <c r="AC779" i="9"/>
  <c r="Z776" i="9"/>
  <c r="AC775" i="9"/>
  <c r="Z772" i="9"/>
  <c r="AC771" i="9"/>
  <c r="Z768" i="9"/>
  <c r="AC767" i="9"/>
  <c r="Z764" i="9"/>
  <c r="AC763" i="9"/>
  <c r="Z760" i="9"/>
  <c r="AC759" i="9"/>
  <c r="Z756" i="9"/>
  <c r="AC755" i="9"/>
  <c r="Z752" i="9"/>
  <c r="AC751" i="9"/>
  <c r="Z748" i="9"/>
  <c r="AC747" i="9"/>
  <c r="Z744" i="9"/>
  <c r="AC743" i="9"/>
  <c r="Z740" i="9"/>
  <c r="AC739" i="9"/>
  <c r="Z736" i="9"/>
  <c r="AC735" i="9"/>
  <c r="Z732" i="9"/>
  <c r="AC731" i="9"/>
  <c r="Z728" i="9"/>
  <c r="AC727" i="9"/>
  <c r="Z724" i="9"/>
  <c r="AC723" i="9"/>
  <c r="Z720" i="9"/>
  <c r="AC719" i="9"/>
  <c r="Z716" i="9"/>
  <c r="AC715" i="9"/>
  <c r="Z712" i="9"/>
  <c r="AC711" i="9"/>
  <c r="Z708" i="9"/>
  <c r="AC707" i="9"/>
  <c r="Z704" i="9"/>
  <c r="AC703" i="9"/>
  <c r="Z700" i="9"/>
  <c r="AC699" i="9"/>
  <c r="Z696" i="9"/>
  <c r="AC695" i="9"/>
  <c r="Z692" i="9"/>
  <c r="AC691" i="9"/>
  <c r="Z688" i="9"/>
  <c r="AC687" i="9"/>
  <c r="Z684" i="9"/>
  <c r="AC683" i="9"/>
  <c r="Z680" i="9"/>
  <c r="AC679" i="9"/>
  <c r="Z676" i="9"/>
  <c r="AC675" i="9"/>
  <c r="Z672" i="9"/>
  <c r="AC671" i="9"/>
  <c r="Z668" i="9"/>
  <c r="AC667" i="9"/>
  <c r="Z664" i="9"/>
  <c r="AC663" i="9"/>
  <c r="Z660" i="9"/>
  <c r="AC659" i="9"/>
  <c r="Z656" i="9"/>
  <c r="AC655" i="9"/>
  <c r="Z652" i="9"/>
  <c r="AC651" i="9"/>
  <c r="Z648" i="9"/>
  <c r="AC647" i="9"/>
  <c r="Z644" i="9"/>
  <c r="AC643" i="9"/>
  <c r="Z640" i="9"/>
  <c r="AC639" i="9"/>
  <c r="Z636" i="9"/>
  <c r="AC635" i="9"/>
  <c r="Z632" i="9"/>
  <c r="AC631" i="9"/>
  <c r="Z628" i="9"/>
  <c r="AC627" i="9"/>
  <c r="Z624" i="9"/>
  <c r="AC623" i="9"/>
  <c r="Z620" i="9"/>
  <c r="AC619" i="9"/>
  <c r="Z616" i="9"/>
  <c r="AC615" i="9"/>
  <c r="Z612" i="9"/>
  <c r="AC611" i="9"/>
  <c r="Z608" i="9"/>
  <c r="AC607" i="9"/>
  <c r="AC574" i="9"/>
  <c r="Z567" i="9"/>
  <c r="AC558" i="9"/>
  <c r="Z603" i="9"/>
  <c r="AC602" i="9"/>
  <c r="AC598" i="9"/>
  <c r="AC594" i="9"/>
  <c r="Z591" i="9"/>
  <c r="AC586" i="9"/>
  <c r="Z583" i="9"/>
  <c r="AC578" i="9"/>
  <c r="Z571" i="9"/>
  <c r="AC562" i="9"/>
  <c r="Z818" i="9"/>
  <c r="AC817" i="9"/>
  <c r="Z814" i="9"/>
  <c r="AC813" i="9"/>
  <c r="Z810" i="9"/>
  <c r="AC809" i="9"/>
  <c r="Z806" i="9"/>
  <c r="AC805" i="9"/>
  <c r="Z802" i="9"/>
  <c r="AC801" i="9"/>
  <c r="Z798" i="9"/>
  <c r="AC797" i="9"/>
  <c r="Z794" i="9"/>
  <c r="AC793" i="9"/>
  <c r="Z790" i="9"/>
  <c r="AC789" i="9"/>
  <c r="Z786" i="9"/>
  <c r="AC785" i="9"/>
  <c r="Z782" i="9"/>
  <c r="AC781" i="9"/>
  <c r="Z778" i="9"/>
  <c r="AC777" i="9"/>
  <c r="Z774" i="9"/>
  <c r="AC773" i="9"/>
  <c r="Z770" i="9"/>
  <c r="AC769" i="9"/>
  <c r="Z766" i="9"/>
  <c r="AC765" i="9"/>
  <c r="Z762" i="9"/>
  <c r="AC761" i="9"/>
  <c r="Z758" i="9"/>
  <c r="AC757" i="9"/>
  <c r="Z754" i="9"/>
  <c r="AC753" i="9"/>
  <c r="Z750" i="9"/>
  <c r="AC749" i="9"/>
  <c r="Z746" i="9"/>
  <c r="AC745" i="9"/>
  <c r="Z742" i="9"/>
  <c r="AC741" i="9"/>
  <c r="Z738" i="9"/>
  <c r="AC737" i="9"/>
  <c r="Z734" i="9"/>
  <c r="AC733" i="9"/>
  <c r="Z730" i="9"/>
  <c r="AC729" i="9"/>
  <c r="Z726" i="9"/>
  <c r="AC725" i="9"/>
  <c r="Z722" i="9"/>
  <c r="AC721" i="9"/>
  <c r="Z718" i="9"/>
  <c r="AC717" i="9"/>
  <c r="Z714" i="9"/>
  <c r="AC713" i="9"/>
  <c r="Z710" i="9"/>
  <c r="AC709" i="9"/>
  <c r="Z706" i="9"/>
  <c r="AC705" i="9"/>
  <c r="Z702" i="9"/>
  <c r="AC701" i="9"/>
  <c r="Z698" i="9"/>
  <c r="AC697" i="9"/>
  <c r="Z694" i="9"/>
  <c r="AC693" i="9"/>
  <c r="Z690" i="9"/>
  <c r="AC689" i="9"/>
  <c r="Z686" i="9"/>
  <c r="AC685" i="9"/>
  <c r="Z682" i="9"/>
  <c r="AC681" i="9"/>
  <c r="Z678" i="9"/>
  <c r="AC677" i="9"/>
  <c r="Z674" i="9"/>
  <c r="AC673" i="9"/>
  <c r="Z670" i="9"/>
  <c r="AC669" i="9"/>
  <c r="Z666" i="9"/>
  <c r="AC665" i="9"/>
  <c r="Z662" i="9"/>
  <c r="AC661" i="9"/>
  <c r="Z658" i="9"/>
  <c r="AC657" i="9"/>
  <c r="Z654" i="9"/>
  <c r="AC653" i="9"/>
  <c r="Z650" i="9"/>
  <c r="AC649" i="9"/>
  <c r="Z646" i="9"/>
  <c r="AC645" i="9"/>
  <c r="Z642" i="9"/>
  <c r="AC641" i="9"/>
  <c r="Z638" i="9"/>
  <c r="AC637" i="9"/>
  <c r="Z634" i="9"/>
  <c r="AC633" i="9"/>
  <c r="Z630" i="9"/>
  <c r="AC629" i="9"/>
  <c r="Z626" i="9"/>
  <c r="AC625" i="9"/>
  <c r="Z622" i="9"/>
  <c r="AC621" i="9"/>
  <c r="Z618" i="9"/>
  <c r="AC617" i="9"/>
  <c r="Z614" i="9"/>
  <c r="AC613" i="9"/>
  <c r="Z610" i="9"/>
  <c r="AC609" i="9"/>
  <c r="Z575" i="9"/>
  <c r="AC566" i="9"/>
  <c r="Z559" i="9"/>
  <c r="AC600" i="9"/>
  <c r="Z599" i="9"/>
  <c r="AC596" i="9"/>
  <c r="Z595" i="9"/>
  <c r="AC590" i="9"/>
  <c r="Z587" i="9"/>
  <c r="AC582" i="9"/>
  <c r="Z579" i="9"/>
  <c r="AC570" i="9"/>
  <c r="Z563" i="9"/>
  <c r="Z340" i="9"/>
  <c r="Z336" i="9"/>
  <c r="AC330" i="9"/>
  <c r="AC326" i="9"/>
  <c r="AC322" i="9"/>
  <c r="AC318" i="9"/>
  <c r="AC314" i="9"/>
  <c r="AC310" i="9"/>
  <c r="AC306" i="9"/>
  <c r="AC302" i="9"/>
  <c r="AC298" i="9"/>
  <c r="AC294" i="9"/>
  <c r="AC290" i="9"/>
  <c r="AC286" i="9"/>
  <c r="AC282" i="9"/>
  <c r="AC278" i="9"/>
  <c r="AC274" i="9"/>
  <c r="AC270" i="9"/>
  <c r="AC266" i="9"/>
  <c r="AC262" i="9"/>
  <c r="AC258" i="9"/>
  <c r="AC254" i="9"/>
  <c r="AC250" i="9"/>
  <c r="AC246" i="9"/>
  <c r="AC242" i="9"/>
  <c r="AC238" i="9"/>
  <c r="AC234" i="9"/>
  <c r="AC230" i="9"/>
  <c r="AC226" i="9"/>
  <c r="AC222" i="9"/>
  <c r="AC218" i="9"/>
  <c r="AC214" i="9"/>
  <c r="AC210" i="9"/>
  <c r="AC206" i="9"/>
  <c r="AC202" i="9"/>
  <c r="AC198" i="9"/>
  <c r="AC194" i="9"/>
  <c r="AC190" i="9"/>
  <c r="AC186" i="9"/>
  <c r="AC182" i="9"/>
  <c r="AC178" i="9"/>
  <c r="AC174" i="9"/>
  <c r="AC170" i="9"/>
  <c r="AC166" i="9"/>
  <c r="AC162" i="9"/>
  <c r="AC158" i="9"/>
  <c r="AC154" i="9"/>
  <c r="AC150" i="9"/>
  <c r="Z555" i="9"/>
  <c r="AC554" i="9"/>
  <c r="Z551" i="9"/>
  <c r="AC550" i="9"/>
  <c r="Z547" i="9"/>
  <c r="AC546" i="9"/>
  <c r="Z543" i="9"/>
  <c r="AC542" i="9"/>
  <c r="Z539" i="9"/>
  <c r="AC538" i="9"/>
  <c r="Z535" i="9"/>
  <c r="AC534" i="9"/>
  <c r="Z531" i="9"/>
  <c r="AC530" i="9"/>
  <c r="Z527" i="9"/>
  <c r="AC526" i="9"/>
  <c r="Z523" i="9"/>
  <c r="AC522" i="9"/>
  <c r="Z519" i="9"/>
  <c r="AC518" i="9"/>
  <c r="Z515" i="9"/>
  <c r="AC514" i="9"/>
  <c r="Z511" i="9"/>
  <c r="AC510" i="9"/>
  <c r="Z507" i="9"/>
  <c r="AC506" i="9"/>
  <c r="Z503" i="9"/>
  <c r="AC502" i="9"/>
  <c r="Z499" i="9"/>
  <c r="AC498" i="9"/>
  <c r="Z495" i="9"/>
  <c r="AC494" i="9"/>
  <c r="Z491" i="9"/>
  <c r="AC490" i="9"/>
  <c r="Z487" i="9"/>
  <c r="AC486" i="9"/>
  <c r="Z483" i="9"/>
  <c r="AC482" i="9"/>
  <c r="Z479" i="9"/>
  <c r="AC478" i="9"/>
  <c r="Z475" i="9"/>
  <c r="AC474" i="9"/>
  <c r="Z471" i="9"/>
  <c r="AC470" i="9"/>
  <c r="Z467" i="9"/>
  <c r="AC466" i="9"/>
  <c r="Z463" i="9"/>
  <c r="AC462" i="9"/>
  <c r="Z459" i="9"/>
  <c r="AC458" i="9"/>
  <c r="Z455" i="9"/>
  <c r="AC454" i="9"/>
  <c r="Z451" i="9"/>
  <c r="AC450" i="9"/>
  <c r="Z447" i="9"/>
  <c r="AC446" i="9"/>
  <c r="Z443" i="9"/>
  <c r="AC442" i="9"/>
  <c r="Z439" i="9"/>
  <c r="AC438" i="9"/>
  <c r="Z435" i="9"/>
  <c r="AC434" i="9"/>
  <c r="Z431" i="9"/>
  <c r="AC430" i="9"/>
  <c r="Z427" i="9"/>
  <c r="AC426" i="9"/>
  <c r="Z423" i="9"/>
  <c r="AC422" i="9"/>
  <c r="Z419" i="9"/>
  <c r="AC418" i="9"/>
  <c r="Z415" i="9"/>
  <c r="AC414" i="9"/>
  <c r="Z411" i="9"/>
  <c r="AC410" i="9"/>
  <c r="Z407" i="9"/>
  <c r="AC406" i="9"/>
  <c r="Z403" i="9"/>
  <c r="AC402" i="9"/>
  <c r="Z399" i="9"/>
  <c r="AC398" i="9"/>
  <c r="Z395" i="9"/>
  <c r="AC394" i="9"/>
  <c r="Z391" i="9"/>
  <c r="AC390" i="9"/>
  <c r="Z387" i="9"/>
  <c r="AC386" i="9"/>
  <c r="Z383" i="9"/>
  <c r="AC382" i="9"/>
  <c r="Z379" i="9"/>
  <c r="AC378" i="9"/>
  <c r="AC339" i="9"/>
  <c r="AC335" i="9"/>
  <c r="AC377" i="9"/>
  <c r="Z376" i="9"/>
  <c r="AC375" i="9"/>
  <c r="Z374" i="9"/>
  <c r="AC373" i="9"/>
  <c r="Z372" i="9"/>
  <c r="AC371" i="9"/>
  <c r="Z370" i="9"/>
  <c r="AC369" i="9"/>
  <c r="Z368" i="9"/>
  <c r="AC367" i="9"/>
  <c r="Z366" i="9"/>
  <c r="AC365" i="9"/>
  <c r="Z364" i="9"/>
  <c r="AC363" i="9"/>
  <c r="Z362" i="9"/>
  <c r="AC361" i="9"/>
  <c r="Z360" i="9"/>
  <c r="AC359" i="9"/>
  <c r="Z358" i="9"/>
  <c r="AC357" i="9"/>
  <c r="Z356" i="9"/>
  <c r="AC355" i="9"/>
  <c r="Z354" i="9"/>
  <c r="AC353" i="9"/>
  <c r="Z352" i="9"/>
  <c r="AC351" i="9"/>
  <c r="Z350" i="9"/>
  <c r="AC349" i="9"/>
  <c r="Z348" i="9"/>
  <c r="AC347" i="9"/>
  <c r="Z346" i="9"/>
  <c r="AC345" i="9"/>
  <c r="Z344" i="9"/>
  <c r="AC343" i="9"/>
  <c r="Z332" i="9"/>
  <c r="AC331" i="9"/>
  <c r="Z328" i="9"/>
  <c r="AC327" i="9"/>
  <c r="Z324" i="9"/>
  <c r="AC323" i="9"/>
  <c r="Z320" i="9"/>
  <c r="AC319" i="9"/>
  <c r="Z316" i="9"/>
  <c r="AC315" i="9"/>
  <c r="Z312" i="9"/>
  <c r="AC311" i="9"/>
  <c r="Z308" i="9"/>
  <c r="AC307" i="9"/>
  <c r="Z304" i="9"/>
  <c r="AC303" i="9"/>
  <c r="Z300" i="9"/>
  <c r="AC299" i="9"/>
  <c r="Z296" i="9"/>
  <c r="AC295" i="9"/>
  <c r="Z292" i="9"/>
  <c r="AC291" i="9"/>
  <c r="Z288" i="9"/>
  <c r="AC287" i="9"/>
  <c r="Z284" i="9"/>
  <c r="AC283" i="9"/>
  <c r="Z280" i="9"/>
  <c r="AC279" i="9"/>
  <c r="Z276" i="9"/>
  <c r="AC275" i="9"/>
  <c r="Z272" i="9"/>
  <c r="AC271" i="9"/>
  <c r="Z268" i="9"/>
  <c r="AC267" i="9"/>
  <c r="Z264" i="9"/>
  <c r="AC263" i="9"/>
  <c r="Z260" i="9"/>
  <c r="AC259" i="9"/>
  <c r="Z256" i="9"/>
  <c r="AC255" i="9"/>
  <c r="Z252" i="9"/>
  <c r="AC251" i="9"/>
  <c r="Z248" i="9"/>
  <c r="AC247" i="9"/>
  <c r="Z244" i="9"/>
  <c r="AC243" i="9"/>
  <c r="Z240" i="9"/>
  <c r="AC239" i="9"/>
  <c r="Z236" i="9"/>
  <c r="AC235" i="9"/>
  <c r="Z232" i="9"/>
  <c r="AC231" i="9"/>
  <c r="Z228" i="9"/>
  <c r="AC227" i="9"/>
  <c r="Z224" i="9"/>
  <c r="AC223" i="9"/>
  <c r="Z220" i="9"/>
  <c r="AC219" i="9"/>
  <c r="Z216" i="9"/>
  <c r="AC215" i="9"/>
  <c r="Z212" i="9"/>
  <c r="AC211" i="9"/>
  <c r="Z208" i="9"/>
  <c r="AC207" i="9"/>
  <c r="Z204" i="9"/>
  <c r="AC203" i="9"/>
  <c r="Z200" i="9"/>
  <c r="AC199" i="9"/>
  <c r="Z196" i="9"/>
  <c r="AC195" i="9"/>
  <c r="Z192" i="9"/>
  <c r="AC191" i="9"/>
  <c r="Z188" i="9"/>
  <c r="AC187" i="9"/>
  <c r="Z184" i="9"/>
  <c r="AC183" i="9"/>
  <c r="Z180" i="9"/>
  <c r="AC179" i="9"/>
  <c r="Z176" i="9"/>
  <c r="AC175" i="9"/>
  <c r="Z172" i="9"/>
  <c r="AC171" i="9"/>
  <c r="Z168" i="9"/>
  <c r="AC167" i="9"/>
  <c r="Z164" i="9"/>
  <c r="AC163" i="9"/>
  <c r="Z160" i="9"/>
  <c r="AC159" i="9"/>
  <c r="Z156" i="9"/>
  <c r="AC155" i="9"/>
  <c r="Z152" i="9"/>
  <c r="AC151" i="9"/>
  <c r="Z137" i="9"/>
  <c r="AC136" i="9"/>
  <c r="AC130" i="9"/>
  <c r="AC125" i="9"/>
  <c r="AC121" i="9"/>
  <c r="AC117" i="9"/>
  <c r="AC113" i="9"/>
  <c r="AC109" i="9"/>
  <c r="AC105" i="9"/>
  <c r="AC101" i="9"/>
  <c r="AC85" i="9"/>
  <c r="AC77" i="9"/>
  <c r="AC69" i="9"/>
  <c r="AC61" i="9"/>
  <c r="AC53" i="9"/>
  <c r="AC45" i="9"/>
  <c r="AC37" i="9"/>
  <c r="AC29" i="9"/>
  <c r="AC14" i="9"/>
  <c r="AC10" i="9"/>
  <c r="AC9" i="9"/>
  <c r="Z149" i="9"/>
  <c r="Z135" i="9"/>
  <c r="AC83" i="9"/>
  <c r="AC75" i="9"/>
  <c r="AC67" i="9"/>
  <c r="AC59" i="9"/>
  <c r="AC51" i="9"/>
  <c r="AC43" i="9"/>
  <c r="AC35" i="9"/>
  <c r="AC25" i="9"/>
  <c r="Z131" i="9"/>
  <c r="AC81" i="9"/>
  <c r="AC73" i="9"/>
  <c r="AC65" i="9"/>
  <c r="AC57" i="9"/>
  <c r="AC49" i="9"/>
  <c r="AC41" i="9"/>
  <c r="AC33" i="9"/>
  <c r="AC134" i="9"/>
  <c r="AC91" i="9"/>
  <c r="AC87" i="9"/>
  <c r="AC79" i="9"/>
  <c r="AC71" i="9"/>
  <c r="AC63" i="9"/>
  <c r="AC55" i="9"/>
  <c r="AC47" i="9"/>
  <c r="AC39" i="9"/>
  <c r="AC31" i="9"/>
  <c r="Z90" i="9"/>
  <c r="AC89" i="9"/>
  <c r="Z86" i="9"/>
  <c r="Z82" i="9"/>
  <c r="Z78" i="9"/>
  <c r="Z74" i="9"/>
  <c r="Z70" i="9"/>
  <c r="Z66" i="9"/>
  <c r="Z62" i="9"/>
  <c r="Z58" i="9"/>
  <c r="Z54" i="9"/>
  <c r="Z50" i="9"/>
  <c r="Z46" i="9"/>
  <c r="Z42" i="9"/>
  <c r="Z38" i="9"/>
  <c r="Z34" i="9"/>
  <c r="Z30" i="9"/>
  <c r="Z26" i="9"/>
  <c r="Z22" i="9"/>
  <c r="AC21" i="9"/>
  <c r="Z127" i="9"/>
  <c r="AC126" i="9"/>
  <c r="Z123" i="9"/>
  <c r="AC122" i="9"/>
  <c r="Z119" i="9"/>
  <c r="AC118" i="9"/>
  <c r="Z115" i="9"/>
  <c r="AC114" i="9"/>
  <c r="Z111" i="9"/>
  <c r="AC110" i="9"/>
  <c r="Z107" i="9"/>
  <c r="AC106" i="9"/>
  <c r="Z103" i="9"/>
  <c r="AC102" i="9"/>
  <c r="Z99" i="9"/>
  <c r="AC98" i="9"/>
  <c r="Z95" i="9"/>
  <c r="AC94" i="9"/>
  <c r="R7" i="16"/>
  <c r="R9" i="16"/>
  <c r="R10" i="16"/>
  <c r="R8" i="16"/>
  <c r="R11" i="16"/>
  <c r="O39" i="10"/>
  <c r="B7" i="16"/>
  <c r="B9" i="16"/>
  <c r="B11" i="16"/>
  <c r="B10" i="16"/>
  <c r="B8" i="16"/>
  <c r="A16" i="10"/>
  <c r="B105" i="18"/>
  <c r="B97" i="18"/>
  <c r="B89" i="18"/>
  <c r="B81" i="18"/>
  <c r="B73" i="18"/>
  <c r="B15" i="18"/>
  <c r="B16" i="18"/>
  <c r="B17" i="18"/>
  <c r="B11" i="18"/>
  <c r="B12" i="18"/>
  <c r="B13" i="18"/>
  <c r="B7" i="18"/>
  <c r="B8" i="18"/>
  <c r="B9" i="18"/>
  <c r="B3" i="18"/>
  <c r="E3" i="18"/>
  <c r="F3" i="18"/>
  <c r="B101" i="18"/>
  <c r="B77" i="18"/>
  <c r="B69" i="18"/>
  <c r="B61" i="18"/>
  <c r="B53" i="18"/>
  <c r="B25" i="18"/>
  <c r="B131" i="18"/>
  <c r="B119" i="18"/>
  <c r="B115" i="18"/>
  <c r="B109" i="18"/>
  <c r="B19" i="18"/>
  <c r="G51" i="11"/>
  <c r="E43" i="29"/>
  <c r="E12" i="9"/>
  <c r="C12" i="9"/>
  <c r="E54" i="9"/>
  <c r="C54" i="9"/>
  <c r="E27" i="9"/>
  <c r="C27" i="9"/>
  <c r="E29" i="9"/>
  <c r="C29" i="9"/>
  <c r="E88" i="9"/>
  <c r="C88" i="9"/>
  <c r="E122" i="9"/>
  <c r="C122" i="9"/>
  <c r="E65" i="9"/>
  <c r="C65" i="9"/>
  <c r="E47" i="9"/>
  <c r="C47" i="9"/>
  <c r="E67" i="9"/>
  <c r="C67" i="9"/>
  <c r="E71" i="9"/>
  <c r="C71" i="9"/>
  <c r="E118" i="9"/>
  <c r="C118" i="9"/>
  <c r="E83" i="9"/>
  <c r="C83" i="9"/>
  <c r="E68" i="9"/>
  <c r="C68" i="9"/>
  <c r="E41" i="9"/>
  <c r="C41" i="9"/>
  <c r="E32" i="9"/>
  <c r="C32" i="9"/>
  <c r="E106" i="9"/>
  <c r="C106" i="9"/>
  <c r="E142" i="9"/>
  <c r="C142" i="9"/>
  <c r="E64" i="9"/>
  <c r="C64" i="9"/>
  <c r="E13" i="9"/>
  <c r="C13" i="9"/>
  <c r="E33" i="9"/>
  <c r="C33" i="9"/>
  <c r="E55" i="9"/>
  <c r="C55" i="9"/>
  <c r="E76" i="9"/>
  <c r="C76" i="9"/>
  <c r="E86" i="9"/>
  <c r="C86" i="9"/>
  <c r="E21" i="9"/>
  <c r="C21" i="9"/>
  <c r="E44" i="9"/>
  <c r="C44" i="9"/>
  <c r="E48" i="9"/>
  <c r="C48" i="9"/>
  <c r="E69" i="9"/>
  <c r="C69" i="9"/>
  <c r="E79" i="9"/>
  <c r="E73" i="9"/>
  <c r="C73" i="9"/>
  <c r="E43" i="9"/>
  <c r="C43" i="9"/>
  <c r="E70" i="9"/>
  <c r="C70" i="9"/>
  <c r="E36" i="9"/>
  <c r="C36" i="9"/>
  <c r="E40" i="9"/>
  <c r="C40" i="9"/>
  <c r="E145" i="9"/>
  <c r="C145" i="9"/>
  <c r="E105" i="9"/>
  <c r="C105" i="9"/>
  <c r="E101" i="9"/>
  <c r="C101" i="9"/>
  <c r="E85" i="9"/>
  <c r="C85" i="9"/>
  <c r="E66" i="9"/>
  <c r="C66" i="9"/>
  <c r="E141" i="9"/>
  <c r="C141" i="9"/>
  <c r="E131" i="9"/>
  <c r="C131" i="9"/>
  <c r="E121" i="9"/>
  <c r="C121" i="9"/>
  <c r="E117" i="9"/>
  <c r="C117" i="9"/>
  <c r="E53" i="9"/>
  <c r="C53" i="9"/>
  <c r="E19" i="9"/>
  <c r="C19" i="9"/>
  <c r="E34" i="9"/>
  <c r="C34" i="9"/>
  <c r="E56" i="9"/>
  <c r="C56" i="9"/>
  <c r="E77" i="9"/>
  <c r="C77" i="9"/>
  <c r="E87" i="9"/>
  <c r="C87" i="9"/>
  <c r="E25" i="9"/>
  <c r="C25" i="9"/>
  <c r="E45" i="9"/>
  <c r="C45" i="9"/>
  <c r="E50" i="9"/>
  <c r="C50" i="9"/>
  <c r="C72" i="9"/>
  <c r="E80" i="9"/>
  <c r="C80" i="9"/>
  <c r="E31" i="9"/>
  <c r="C31" i="9"/>
  <c r="E60" i="9"/>
  <c r="C60" i="9"/>
  <c r="E23" i="9"/>
  <c r="C23" i="9"/>
  <c r="E49" i="9"/>
  <c r="C49" i="9"/>
  <c r="E81" i="9"/>
  <c r="C81" i="9"/>
  <c r="E37" i="9"/>
  <c r="C37" i="9"/>
  <c r="E42" i="9"/>
  <c r="C42" i="9"/>
  <c r="E104" i="9"/>
  <c r="C104" i="9"/>
  <c r="E100" i="9"/>
  <c r="C100" i="9"/>
  <c r="E84" i="9"/>
  <c r="C84" i="9"/>
  <c r="E144" i="9"/>
  <c r="C144" i="9"/>
  <c r="E136" i="9"/>
  <c r="C136" i="9"/>
  <c r="E130" i="9"/>
  <c r="C130" i="9"/>
  <c r="E120" i="9"/>
  <c r="C120" i="9"/>
  <c r="E116" i="9"/>
  <c r="C116" i="9"/>
  <c r="E52" i="9"/>
  <c r="C52" i="9"/>
  <c r="E17" i="9"/>
  <c r="C17" i="9"/>
  <c r="E20" i="9"/>
  <c r="C20" i="9"/>
  <c r="E51" i="9"/>
  <c r="C51" i="9"/>
  <c r="E58" i="9"/>
  <c r="C58" i="9"/>
  <c r="C79" i="9"/>
  <c r="E14" i="9"/>
  <c r="C14" i="9"/>
  <c r="E26" i="9"/>
  <c r="C26" i="9"/>
  <c r="E46" i="9"/>
  <c r="C46" i="9"/>
  <c r="E57" i="9"/>
  <c r="C57" i="9"/>
  <c r="E75" i="9"/>
  <c r="C75" i="9"/>
  <c r="E82" i="9"/>
  <c r="C82" i="9"/>
  <c r="E35" i="9"/>
  <c r="C35" i="9"/>
  <c r="E61" i="9"/>
  <c r="C61" i="9"/>
  <c r="E28" i="9"/>
  <c r="C28" i="9"/>
  <c r="E63" i="9"/>
  <c r="C63" i="9"/>
  <c r="E22" i="9"/>
  <c r="C22" i="9"/>
  <c r="E38" i="9"/>
  <c r="C38" i="9"/>
  <c r="E107" i="9"/>
  <c r="C107" i="9"/>
  <c r="E103" i="9"/>
  <c r="C103" i="9"/>
  <c r="E92" i="9"/>
  <c r="C92" i="9"/>
  <c r="E74" i="9"/>
  <c r="C74" i="9"/>
  <c r="E143" i="9"/>
  <c r="C143" i="9"/>
  <c r="E133" i="9"/>
  <c r="C133" i="9"/>
  <c r="E123" i="9"/>
  <c r="C123" i="9"/>
  <c r="E119" i="9"/>
  <c r="C119" i="9"/>
  <c r="E90" i="9"/>
  <c r="C90" i="9"/>
  <c r="E16" i="9"/>
  <c r="C16" i="9"/>
  <c r="E30" i="9"/>
  <c r="C30" i="9"/>
  <c r="E59" i="9"/>
  <c r="C59" i="9"/>
  <c r="E89" i="9"/>
  <c r="C89" i="9"/>
  <c r="E96" i="9"/>
  <c r="C96" i="9"/>
  <c r="E109" i="9"/>
  <c r="C109" i="9"/>
  <c r="E113" i="9"/>
  <c r="C113" i="9"/>
  <c r="E127" i="9"/>
  <c r="C127" i="9"/>
  <c r="E137" i="9"/>
  <c r="C137" i="9"/>
  <c r="E149" i="9"/>
  <c r="C149" i="9"/>
  <c r="E155" i="9"/>
  <c r="C155" i="9"/>
  <c r="E160" i="9"/>
  <c r="C160" i="9"/>
  <c r="E164" i="9"/>
  <c r="C164" i="9"/>
  <c r="E169" i="9"/>
  <c r="C169" i="9"/>
  <c r="E170" i="9"/>
  <c r="C170" i="9"/>
  <c r="E187" i="9"/>
  <c r="C187" i="9"/>
  <c r="E188" i="9"/>
  <c r="C188" i="9"/>
  <c r="E193" i="9"/>
  <c r="C193" i="9"/>
  <c r="E197" i="9"/>
  <c r="C197" i="9"/>
  <c r="E203" i="9"/>
  <c r="C203" i="9"/>
  <c r="E204" i="9"/>
  <c r="C204" i="9"/>
  <c r="E214" i="9"/>
  <c r="C214" i="9"/>
  <c r="E221" i="9"/>
  <c r="C221" i="9"/>
  <c r="E225" i="9"/>
  <c r="C225" i="9"/>
  <c r="E231" i="9"/>
  <c r="C231" i="9"/>
  <c r="E232" i="9"/>
  <c r="C232" i="9"/>
  <c r="E244" i="9"/>
  <c r="C244" i="9"/>
  <c r="E251" i="9"/>
  <c r="C251" i="9"/>
  <c r="E255" i="9"/>
  <c r="C255" i="9"/>
  <c r="E259" i="9"/>
  <c r="C259" i="9"/>
  <c r="E260" i="9"/>
  <c r="C260" i="9"/>
  <c r="E277" i="9"/>
  <c r="C277" i="9"/>
  <c r="E281" i="9"/>
  <c r="C281" i="9"/>
  <c r="E296" i="9"/>
  <c r="C296" i="9"/>
  <c r="E302" i="9"/>
  <c r="C302" i="9"/>
  <c r="E307" i="9"/>
  <c r="C307" i="9"/>
  <c r="E323" i="9"/>
  <c r="C323" i="9"/>
  <c r="E328" i="9"/>
  <c r="C328" i="9"/>
  <c r="E334" i="9"/>
  <c r="C334" i="9"/>
  <c r="E338" i="9"/>
  <c r="C338" i="9"/>
  <c r="E342" i="9"/>
  <c r="C342" i="9"/>
  <c r="E348" i="9"/>
  <c r="C348" i="9"/>
  <c r="E353" i="9"/>
  <c r="C353" i="9"/>
  <c r="E357" i="9"/>
  <c r="C357" i="9"/>
  <c r="E361" i="9"/>
  <c r="C361" i="9"/>
  <c r="E365" i="9"/>
  <c r="C365" i="9"/>
  <c r="E371" i="9"/>
  <c r="C371" i="9"/>
  <c r="E375" i="9"/>
  <c r="C375" i="9"/>
  <c r="E380" i="9"/>
  <c r="C380" i="9"/>
  <c r="E384" i="9"/>
  <c r="C384" i="9"/>
  <c r="E390" i="9"/>
  <c r="C390" i="9"/>
  <c r="E394" i="9"/>
  <c r="C394" i="9"/>
  <c r="E401" i="9"/>
  <c r="C401" i="9"/>
  <c r="E18" i="9"/>
  <c r="C18" i="9"/>
  <c r="E91" i="9"/>
  <c r="C91" i="9"/>
  <c r="E95" i="9"/>
  <c r="C95" i="9"/>
  <c r="E108" i="9"/>
  <c r="C108" i="9"/>
  <c r="E112" i="9"/>
  <c r="C112" i="9"/>
  <c r="E126" i="9"/>
  <c r="C126" i="9"/>
  <c r="E140" i="9"/>
  <c r="C140" i="9"/>
  <c r="E148" i="9"/>
  <c r="C148" i="9"/>
  <c r="E153" i="9"/>
  <c r="C153" i="9"/>
  <c r="E154" i="9"/>
  <c r="C154" i="9"/>
  <c r="E159" i="9"/>
  <c r="C159" i="9"/>
  <c r="E163" i="9"/>
  <c r="C163" i="9"/>
  <c r="E167" i="9"/>
  <c r="C167" i="9"/>
  <c r="E168" i="9"/>
  <c r="C168" i="9"/>
  <c r="E173" i="9"/>
  <c r="C173" i="9"/>
  <c r="E174" i="9"/>
  <c r="C174" i="9"/>
  <c r="E175" i="9"/>
  <c r="C175" i="9"/>
  <c r="E176" i="9"/>
  <c r="C176" i="9"/>
  <c r="E177" i="9"/>
  <c r="C177" i="9"/>
  <c r="E178" i="9"/>
  <c r="C178" i="9"/>
  <c r="E179" i="9"/>
  <c r="C179" i="9"/>
  <c r="E180" i="9"/>
  <c r="C180" i="9"/>
  <c r="E181" i="9"/>
  <c r="C181" i="9"/>
  <c r="E182" i="9"/>
  <c r="C182" i="9"/>
  <c r="E183" i="9"/>
  <c r="C183" i="9"/>
  <c r="E185" i="9"/>
  <c r="C185" i="9"/>
  <c r="E186" i="9"/>
  <c r="C186" i="9"/>
  <c r="E192" i="9"/>
  <c r="C192" i="9"/>
  <c r="E196" i="9"/>
  <c r="C196" i="9"/>
  <c r="E201" i="9"/>
  <c r="C201" i="9"/>
  <c r="E202" i="9"/>
  <c r="C202" i="9"/>
  <c r="E219" i="9"/>
  <c r="C219" i="9"/>
  <c r="E220" i="9"/>
  <c r="C220" i="9"/>
  <c r="E224" i="9"/>
  <c r="C224" i="9"/>
  <c r="E229" i="9"/>
  <c r="C229" i="9"/>
  <c r="E230" i="9"/>
  <c r="C230" i="9"/>
  <c r="E249" i="9"/>
  <c r="C249" i="9"/>
  <c r="E250" i="9"/>
  <c r="C250" i="9"/>
  <c r="E254" i="9"/>
  <c r="C254" i="9"/>
  <c r="E258" i="9"/>
  <c r="C258" i="9"/>
  <c r="E265" i="9"/>
  <c r="C265" i="9"/>
  <c r="E266" i="9"/>
  <c r="C266" i="9"/>
  <c r="E267" i="9"/>
  <c r="C267" i="9"/>
  <c r="E268" i="9"/>
  <c r="C268" i="9"/>
  <c r="E269" i="9"/>
  <c r="C269" i="9"/>
  <c r="E270" i="9"/>
  <c r="C270" i="9"/>
  <c r="E271" i="9"/>
  <c r="C271" i="9"/>
  <c r="E272" i="9"/>
  <c r="C272" i="9"/>
  <c r="E273" i="9"/>
  <c r="C273" i="9"/>
  <c r="E275" i="9"/>
  <c r="C275" i="9"/>
  <c r="E276" i="9"/>
  <c r="C276" i="9"/>
  <c r="E280" i="9"/>
  <c r="C280" i="9"/>
  <c r="E284" i="9"/>
  <c r="C284" i="9"/>
  <c r="E285" i="9"/>
  <c r="C285" i="9"/>
  <c r="E286" i="9"/>
  <c r="C286" i="9"/>
  <c r="E287" i="9"/>
  <c r="C287" i="9"/>
  <c r="E288" i="9"/>
  <c r="C288" i="9"/>
  <c r="E289" i="9"/>
  <c r="C289" i="9"/>
  <c r="E290" i="9"/>
  <c r="C290" i="9"/>
  <c r="E291" i="9"/>
  <c r="C291" i="9"/>
  <c r="E292" i="9"/>
  <c r="C292" i="9"/>
  <c r="E293" i="9"/>
  <c r="C293" i="9"/>
  <c r="E295" i="9"/>
  <c r="C295" i="9"/>
  <c r="E301" i="9"/>
  <c r="C301" i="9"/>
  <c r="E306" i="9"/>
  <c r="C306" i="9"/>
  <c r="E322" i="9"/>
  <c r="C322" i="9"/>
  <c r="E327" i="9"/>
  <c r="C327" i="9"/>
  <c r="E333" i="9"/>
  <c r="C333" i="9"/>
  <c r="E337" i="9"/>
  <c r="C337" i="9"/>
  <c r="E341" i="9"/>
  <c r="C341" i="9"/>
  <c r="E347" i="9"/>
  <c r="C347" i="9"/>
  <c r="E352" i="9"/>
  <c r="C352" i="9"/>
  <c r="E356" i="9"/>
  <c r="C356" i="9"/>
  <c r="E360" i="9"/>
  <c r="C360" i="9"/>
  <c r="E364" i="9"/>
  <c r="C364" i="9"/>
  <c r="E369" i="9"/>
  <c r="C369" i="9"/>
  <c r="E370" i="9"/>
  <c r="C370" i="9"/>
  <c r="E374" i="9"/>
  <c r="C374" i="9"/>
  <c r="E378" i="9"/>
  <c r="C378" i="9"/>
  <c r="E379" i="9"/>
  <c r="C379" i="9"/>
  <c r="E383" i="9"/>
  <c r="C383" i="9"/>
  <c r="E388" i="9"/>
  <c r="C388" i="9"/>
  <c r="E389" i="9"/>
  <c r="C389" i="9"/>
  <c r="E393" i="9"/>
  <c r="C393" i="9"/>
  <c r="E400" i="9"/>
  <c r="C400" i="9"/>
  <c r="E62" i="9"/>
  <c r="C62" i="9"/>
  <c r="E93" i="9"/>
  <c r="C93" i="9"/>
  <c r="E97" i="9"/>
  <c r="C97" i="9"/>
  <c r="E98" i="9"/>
  <c r="C98" i="9"/>
  <c r="E110" i="9"/>
  <c r="C110" i="9"/>
  <c r="E114" i="9"/>
  <c r="C114" i="9"/>
  <c r="E124" i="9"/>
  <c r="C124" i="9"/>
  <c r="E128" i="9"/>
  <c r="C128" i="9"/>
  <c r="E129" i="9"/>
  <c r="C129" i="9"/>
  <c r="E134" i="9"/>
  <c r="C134" i="9"/>
  <c r="E135" i="9"/>
  <c r="C135" i="9"/>
  <c r="E138" i="9"/>
  <c r="C138" i="9"/>
  <c r="E146" i="9"/>
  <c r="C146" i="9"/>
  <c r="E150" i="9"/>
  <c r="C150" i="9"/>
  <c r="E156" i="9"/>
  <c r="C156" i="9"/>
  <c r="E161" i="9"/>
  <c r="C161" i="9"/>
  <c r="E165" i="9"/>
  <c r="C165" i="9"/>
  <c r="E171" i="9"/>
  <c r="C171" i="9"/>
  <c r="E189" i="9"/>
  <c r="C189" i="9"/>
  <c r="E190" i="9"/>
  <c r="C190" i="9"/>
  <c r="E194" i="9"/>
  <c r="C194" i="9"/>
  <c r="E198" i="9"/>
  <c r="C198" i="9"/>
  <c r="E205" i="9"/>
  <c r="C205" i="9"/>
  <c r="E206" i="9"/>
  <c r="C206" i="9"/>
  <c r="E207" i="9"/>
  <c r="C207" i="9"/>
  <c r="E208" i="9"/>
  <c r="C208" i="9"/>
  <c r="E209" i="9"/>
  <c r="C209" i="9"/>
  <c r="E210" i="9"/>
  <c r="C210" i="9"/>
  <c r="E211" i="9"/>
  <c r="C211" i="9"/>
  <c r="E212" i="9"/>
  <c r="C212" i="9"/>
  <c r="E213" i="9"/>
  <c r="C213" i="9"/>
  <c r="E215" i="9"/>
  <c r="C215" i="9"/>
  <c r="E216" i="9"/>
  <c r="C216" i="9"/>
  <c r="E222" i="9"/>
  <c r="C222" i="9"/>
  <c r="E226" i="9"/>
  <c r="C226" i="9"/>
  <c r="E233" i="9"/>
  <c r="C233" i="9"/>
  <c r="E234" i="9"/>
  <c r="C234" i="9"/>
  <c r="E235" i="9"/>
  <c r="C235" i="9"/>
  <c r="E236" i="9"/>
  <c r="C236" i="9"/>
  <c r="E237" i="9"/>
  <c r="C237" i="9"/>
  <c r="E238" i="9"/>
  <c r="C238" i="9"/>
  <c r="E239" i="9"/>
  <c r="C239" i="9"/>
  <c r="E240" i="9"/>
  <c r="C240" i="9"/>
  <c r="E241" i="9"/>
  <c r="C241" i="9"/>
  <c r="E242" i="9"/>
  <c r="C242" i="9"/>
  <c r="E243" i="9"/>
  <c r="C243" i="9"/>
  <c r="E245" i="9"/>
  <c r="C245" i="9"/>
  <c r="E246" i="9"/>
  <c r="C246" i="9"/>
  <c r="E252" i="9"/>
  <c r="C252" i="9"/>
  <c r="E256" i="9"/>
  <c r="C256" i="9"/>
  <c r="E261" i="9"/>
  <c r="C261" i="9"/>
  <c r="E262" i="9"/>
  <c r="C262" i="9"/>
  <c r="E278" i="9"/>
  <c r="C278" i="9"/>
  <c r="E282" i="9"/>
  <c r="C282" i="9"/>
  <c r="E297" i="9"/>
  <c r="C297" i="9"/>
  <c r="E298" i="9"/>
  <c r="C298" i="9"/>
  <c r="E303" i="9"/>
  <c r="C303" i="9"/>
  <c r="E304" i="9"/>
  <c r="C304" i="9"/>
  <c r="E308" i="9"/>
  <c r="C308" i="9"/>
  <c r="E314" i="9"/>
  <c r="C314" i="9"/>
  <c r="E320" i="9"/>
  <c r="C320" i="9"/>
  <c r="E324" i="9"/>
  <c r="C324" i="9"/>
  <c r="E329" i="9"/>
  <c r="C329" i="9"/>
  <c r="E330" i="9"/>
  <c r="C330" i="9"/>
  <c r="E335" i="9"/>
  <c r="C335" i="9"/>
  <c r="E339" i="9"/>
  <c r="C339" i="9"/>
  <c r="E343" i="9"/>
  <c r="C343" i="9"/>
  <c r="E344" i="9"/>
  <c r="C344" i="9"/>
  <c r="E349" i="9"/>
  <c r="C349" i="9"/>
  <c r="E350" i="9"/>
  <c r="C350" i="9"/>
  <c r="E354" i="9"/>
  <c r="C354" i="9"/>
  <c r="E358" i="9"/>
  <c r="C358" i="9"/>
  <c r="E362" i="9"/>
  <c r="C362" i="9"/>
  <c r="E366" i="9"/>
  <c r="C366" i="9"/>
  <c r="E372" i="9"/>
  <c r="C372" i="9"/>
  <c r="E376" i="9"/>
  <c r="C376" i="9"/>
  <c r="E381" i="9"/>
  <c r="C381" i="9"/>
  <c r="E385" i="9"/>
  <c r="C385" i="9"/>
  <c r="E386" i="9"/>
  <c r="C386" i="9"/>
  <c r="E391" i="9"/>
  <c r="C391" i="9"/>
  <c r="E395" i="9"/>
  <c r="C395" i="9"/>
  <c r="E398" i="9"/>
  <c r="C398" i="9"/>
  <c r="E147" i="9"/>
  <c r="C147" i="9"/>
  <c r="E227" i="9"/>
  <c r="C227" i="9"/>
  <c r="E228" i="9"/>
  <c r="C228" i="9"/>
  <c r="E294" i="9"/>
  <c r="C294" i="9"/>
  <c r="E299" i="9"/>
  <c r="C299" i="9"/>
  <c r="E300" i="9"/>
  <c r="C300" i="9"/>
  <c r="E305" i="9"/>
  <c r="C305" i="9"/>
  <c r="E315" i="9"/>
  <c r="C315" i="9"/>
  <c r="E316" i="9"/>
  <c r="C316" i="9"/>
  <c r="E317" i="9"/>
  <c r="C317" i="9"/>
  <c r="E318" i="9"/>
  <c r="C318" i="9"/>
  <c r="E319" i="9"/>
  <c r="C319" i="9"/>
  <c r="E325" i="9"/>
  <c r="C325" i="9"/>
  <c r="E326" i="9"/>
  <c r="C326" i="9"/>
  <c r="E331" i="9"/>
  <c r="C331" i="9"/>
  <c r="E332" i="9"/>
  <c r="C332" i="9"/>
  <c r="E359" i="9"/>
  <c r="C359" i="9"/>
  <c r="E396" i="9"/>
  <c r="C396" i="9"/>
  <c r="E397" i="9"/>
  <c r="C397" i="9"/>
  <c r="E406" i="9"/>
  <c r="C406" i="9"/>
  <c r="E410" i="9"/>
  <c r="C410" i="9"/>
  <c r="E411" i="9"/>
  <c r="C411" i="9"/>
  <c r="E415" i="9"/>
  <c r="C415" i="9"/>
  <c r="E420" i="9"/>
  <c r="C420" i="9"/>
  <c r="E421" i="9"/>
  <c r="C421" i="9"/>
  <c r="E423" i="9"/>
  <c r="C423" i="9"/>
  <c r="E427" i="9"/>
  <c r="C427" i="9"/>
  <c r="E433" i="9"/>
  <c r="C433" i="9"/>
  <c r="E439" i="9"/>
  <c r="C439" i="9"/>
  <c r="E444" i="9"/>
  <c r="C444" i="9"/>
  <c r="E448" i="9"/>
  <c r="C448" i="9"/>
  <c r="E454" i="9"/>
  <c r="C454" i="9"/>
  <c r="E455" i="9"/>
  <c r="C455" i="9"/>
  <c r="E461" i="9"/>
  <c r="C461" i="9"/>
  <c r="E462" i="9"/>
  <c r="C462" i="9"/>
  <c r="E464" i="9"/>
  <c r="C464" i="9"/>
  <c r="E465" i="9"/>
  <c r="C465" i="9"/>
  <c r="E472" i="9"/>
  <c r="C472" i="9"/>
  <c r="E473" i="9"/>
  <c r="C473" i="9"/>
  <c r="E474" i="9"/>
  <c r="C474" i="9"/>
  <c r="E480" i="9"/>
  <c r="C480" i="9"/>
  <c r="E481" i="9"/>
  <c r="C481" i="9"/>
  <c r="E485" i="9"/>
  <c r="C485" i="9"/>
  <c r="E492" i="9"/>
  <c r="C492" i="9"/>
  <c r="E496" i="9"/>
  <c r="C496" i="9"/>
  <c r="E502" i="9"/>
  <c r="C502" i="9"/>
  <c r="E503" i="9"/>
  <c r="C503" i="9"/>
  <c r="E506" i="9"/>
  <c r="C506" i="9"/>
  <c r="E511" i="9"/>
  <c r="C511" i="9"/>
  <c r="E517" i="9"/>
  <c r="C517" i="9"/>
  <c r="E518" i="9"/>
  <c r="C518" i="9"/>
  <c r="E522" i="9"/>
  <c r="C522" i="9"/>
  <c r="E528" i="9"/>
  <c r="C528" i="9"/>
  <c r="E532" i="9"/>
  <c r="C532" i="9"/>
  <c r="E542" i="9"/>
  <c r="C542" i="9"/>
  <c r="E543" i="9"/>
  <c r="C543" i="9"/>
  <c r="E548" i="9"/>
  <c r="C548" i="9"/>
  <c r="E549" i="9"/>
  <c r="C549" i="9"/>
  <c r="E554" i="9"/>
  <c r="C554" i="9"/>
  <c r="E558" i="9"/>
  <c r="C558" i="9"/>
  <c r="E563" i="9"/>
  <c r="C563" i="9"/>
  <c r="E568" i="9"/>
  <c r="C568" i="9"/>
  <c r="E572" i="9"/>
  <c r="C572" i="9"/>
  <c r="E573" i="9"/>
  <c r="C573" i="9"/>
  <c r="E577" i="9"/>
  <c r="C577" i="9"/>
  <c r="E583" i="9"/>
  <c r="C583" i="9"/>
  <c r="E587" i="9"/>
  <c r="C587" i="9"/>
  <c r="E592" i="9"/>
  <c r="C592" i="9"/>
  <c r="E596" i="9"/>
  <c r="C596" i="9"/>
  <c r="E609" i="9"/>
  <c r="C609" i="9"/>
  <c r="E613" i="9"/>
  <c r="C613" i="9"/>
  <c r="E94" i="9"/>
  <c r="C94" i="9"/>
  <c r="E99" i="9"/>
  <c r="C99" i="9"/>
  <c r="E111" i="9"/>
  <c r="C111" i="9"/>
  <c r="E125" i="9"/>
  <c r="C125" i="9"/>
  <c r="E139" i="9"/>
  <c r="C139" i="9"/>
  <c r="E162" i="9"/>
  <c r="C162" i="9"/>
  <c r="E172" i="9"/>
  <c r="C172" i="9"/>
  <c r="E195" i="9"/>
  <c r="C195" i="9"/>
  <c r="E247" i="9"/>
  <c r="C247" i="9"/>
  <c r="E248" i="9"/>
  <c r="C248" i="9"/>
  <c r="E253" i="9"/>
  <c r="C253" i="9"/>
  <c r="E263" i="9"/>
  <c r="C263" i="9"/>
  <c r="E264" i="9"/>
  <c r="C264" i="9"/>
  <c r="E283" i="9"/>
  <c r="C283" i="9"/>
  <c r="E340" i="9"/>
  <c r="C340" i="9"/>
  <c r="E345" i="9"/>
  <c r="C345" i="9"/>
  <c r="E346" i="9"/>
  <c r="C346" i="9"/>
  <c r="E351" i="9"/>
  <c r="C351" i="9"/>
  <c r="E367" i="9"/>
  <c r="C367" i="9"/>
  <c r="E368" i="9"/>
  <c r="C368" i="9"/>
  <c r="E373" i="9"/>
  <c r="C373" i="9"/>
  <c r="E402" i="9"/>
  <c r="C402" i="9"/>
  <c r="E403" i="9"/>
  <c r="C403" i="9"/>
  <c r="E408" i="9"/>
  <c r="C408" i="9"/>
  <c r="E413" i="9"/>
  <c r="C413" i="9"/>
  <c r="E417" i="9"/>
  <c r="C417" i="9"/>
  <c r="E418" i="9"/>
  <c r="C418" i="9"/>
  <c r="E425" i="9"/>
  <c r="C425" i="9"/>
  <c r="E431" i="9"/>
  <c r="C431" i="9"/>
  <c r="E436" i="9"/>
  <c r="C436" i="9"/>
  <c r="E437" i="9"/>
  <c r="C437" i="9"/>
  <c r="E441" i="9"/>
  <c r="C441" i="9"/>
  <c r="E446" i="9"/>
  <c r="C446" i="9"/>
  <c r="E452" i="9"/>
  <c r="C452" i="9"/>
  <c r="E457" i="9"/>
  <c r="C457" i="9"/>
  <c r="E458" i="9"/>
  <c r="C458" i="9"/>
  <c r="E459" i="9"/>
  <c r="C459" i="9"/>
  <c r="E467" i="9"/>
  <c r="C467" i="9"/>
  <c r="E469" i="9"/>
  <c r="C469" i="9"/>
  <c r="E470" i="9"/>
  <c r="C470" i="9"/>
  <c r="E476" i="9"/>
  <c r="C476" i="9"/>
  <c r="E478" i="9"/>
  <c r="C478" i="9"/>
  <c r="E483" i="9"/>
  <c r="C483" i="9"/>
  <c r="E488" i="9"/>
  <c r="C488" i="9"/>
  <c r="E489" i="9"/>
  <c r="C489" i="9"/>
  <c r="E494" i="9"/>
  <c r="C494" i="9"/>
  <c r="E508" i="9"/>
  <c r="C508" i="9"/>
  <c r="E520" i="9"/>
  <c r="C520" i="9"/>
  <c r="E524" i="9"/>
  <c r="C524" i="9"/>
  <c r="E525" i="9"/>
  <c r="C525" i="9"/>
  <c r="E530" i="9"/>
  <c r="C530" i="9"/>
  <c r="E534" i="9"/>
  <c r="C534" i="9"/>
  <c r="E535" i="9"/>
  <c r="C535" i="9"/>
  <c r="E536" i="9"/>
  <c r="C536" i="9"/>
  <c r="E537" i="9"/>
  <c r="C537" i="9"/>
  <c r="E540" i="9"/>
  <c r="C540" i="9"/>
  <c r="E545" i="9"/>
  <c r="C545" i="9"/>
  <c r="E546" i="9"/>
  <c r="C546" i="9"/>
  <c r="E551" i="9"/>
  <c r="C551" i="9"/>
  <c r="E556" i="9"/>
  <c r="C556" i="9"/>
  <c r="E560" i="9"/>
  <c r="C560" i="9"/>
  <c r="E561" i="9"/>
  <c r="C561" i="9"/>
  <c r="E566" i="9"/>
  <c r="C566" i="9"/>
  <c r="E570" i="9"/>
  <c r="C570" i="9"/>
  <c r="E575" i="9"/>
  <c r="C575" i="9"/>
  <c r="E580" i="9"/>
  <c r="C580" i="9"/>
  <c r="E581" i="9"/>
  <c r="C581" i="9"/>
  <c r="E585" i="9"/>
  <c r="C585" i="9"/>
  <c r="E590" i="9"/>
  <c r="C590" i="9"/>
  <c r="E594" i="9"/>
  <c r="C594" i="9"/>
  <c r="E598" i="9"/>
  <c r="C598" i="9"/>
  <c r="E599" i="9"/>
  <c r="C599" i="9"/>
  <c r="E600" i="9"/>
  <c r="C600" i="9"/>
  <c r="E601" i="9"/>
  <c r="C601" i="9"/>
  <c r="E602" i="9"/>
  <c r="C602" i="9"/>
  <c r="E603" i="9"/>
  <c r="C603" i="9"/>
  <c r="E604" i="9"/>
  <c r="C604" i="9"/>
  <c r="E606" i="9"/>
  <c r="C606" i="9"/>
  <c r="E611" i="9"/>
  <c r="C611" i="9"/>
  <c r="E615" i="9"/>
  <c r="C615" i="9"/>
  <c r="E616" i="9"/>
  <c r="C616" i="9"/>
  <c r="E617" i="9"/>
  <c r="C617" i="9"/>
  <c r="E618" i="9"/>
  <c r="C618" i="9"/>
  <c r="E619" i="9"/>
  <c r="C619" i="9"/>
  <c r="E620" i="9"/>
  <c r="C620" i="9"/>
  <c r="E621" i="9"/>
  <c r="C621" i="9"/>
  <c r="E622" i="9"/>
  <c r="C622" i="9"/>
  <c r="E115" i="9"/>
  <c r="C115" i="9"/>
  <c r="E166" i="9"/>
  <c r="C166" i="9"/>
  <c r="E184" i="9"/>
  <c r="C184" i="9"/>
  <c r="E199" i="9"/>
  <c r="C199" i="9"/>
  <c r="E200" i="9"/>
  <c r="C200" i="9"/>
  <c r="E217" i="9"/>
  <c r="C217" i="9"/>
  <c r="E218" i="9"/>
  <c r="C218" i="9"/>
  <c r="E223" i="9"/>
  <c r="C223" i="9"/>
  <c r="E257" i="9"/>
  <c r="C257" i="9"/>
  <c r="E321" i="9"/>
  <c r="C321" i="9"/>
  <c r="E355" i="9"/>
  <c r="C355" i="9"/>
  <c r="E377" i="9"/>
  <c r="C377" i="9"/>
  <c r="E382" i="9"/>
  <c r="C382" i="9"/>
  <c r="E387" i="9"/>
  <c r="C387" i="9"/>
  <c r="E392" i="9"/>
  <c r="C392" i="9"/>
  <c r="E399" i="9"/>
  <c r="C399" i="9"/>
  <c r="E407" i="9"/>
  <c r="C407" i="9"/>
  <c r="E412" i="9"/>
  <c r="C412" i="9"/>
  <c r="E416" i="9"/>
  <c r="C416" i="9"/>
  <c r="E424" i="9"/>
  <c r="C424" i="9"/>
  <c r="E428" i="9"/>
  <c r="C428" i="9"/>
  <c r="E429" i="9"/>
  <c r="C429" i="9"/>
  <c r="E430" i="9"/>
  <c r="C430" i="9"/>
  <c r="E434" i="9"/>
  <c r="C434" i="9"/>
  <c r="E435" i="9"/>
  <c r="C435" i="9"/>
  <c r="E440" i="9"/>
  <c r="C440" i="9"/>
  <c r="E445" i="9"/>
  <c r="C445" i="9"/>
  <c r="E449" i="9"/>
  <c r="C449" i="9"/>
  <c r="E450" i="9"/>
  <c r="C450" i="9"/>
  <c r="E451" i="9"/>
  <c r="C451" i="9"/>
  <c r="E456" i="9"/>
  <c r="C456" i="9"/>
  <c r="E466" i="9"/>
  <c r="C466" i="9"/>
  <c r="E475" i="9"/>
  <c r="C475" i="9"/>
  <c r="E477" i="9"/>
  <c r="C477" i="9"/>
  <c r="E482" i="9"/>
  <c r="C482" i="9"/>
  <c r="E486" i="9"/>
  <c r="C486" i="9"/>
  <c r="E487" i="9"/>
  <c r="C487" i="9"/>
  <c r="E493" i="9"/>
  <c r="C493" i="9"/>
  <c r="E497" i="9"/>
  <c r="C497" i="9"/>
  <c r="E498" i="9"/>
  <c r="C498" i="9"/>
  <c r="E499" i="9"/>
  <c r="C499" i="9"/>
  <c r="E500" i="9"/>
  <c r="C500" i="9"/>
  <c r="E501" i="9"/>
  <c r="C501" i="9"/>
  <c r="E504" i="9"/>
  <c r="C504" i="9"/>
  <c r="E505" i="9"/>
  <c r="C505" i="9"/>
  <c r="E507" i="9"/>
  <c r="C507" i="9"/>
  <c r="E512" i="9"/>
  <c r="C512" i="9"/>
  <c r="E513" i="9"/>
  <c r="C513" i="9"/>
  <c r="E514" i="9"/>
  <c r="C514" i="9"/>
  <c r="E515" i="9"/>
  <c r="C515" i="9"/>
  <c r="E516" i="9"/>
  <c r="C516" i="9"/>
  <c r="E519" i="9"/>
  <c r="C519" i="9"/>
  <c r="E523" i="9"/>
  <c r="C523" i="9"/>
  <c r="E529" i="9"/>
  <c r="C529" i="9"/>
  <c r="E533" i="9"/>
  <c r="C533" i="9"/>
  <c r="E538" i="9"/>
  <c r="C538" i="9"/>
  <c r="E539" i="9"/>
  <c r="C539" i="9"/>
  <c r="E544" i="9"/>
  <c r="C544" i="9"/>
  <c r="E555" i="9"/>
  <c r="C555" i="9"/>
  <c r="E559" i="9"/>
  <c r="C559" i="9"/>
  <c r="E564" i="9"/>
  <c r="C564" i="9"/>
  <c r="E565" i="9"/>
  <c r="C565" i="9"/>
  <c r="E569" i="9"/>
  <c r="C569" i="9"/>
  <c r="E574" i="9"/>
  <c r="C574" i="9"/>
  <c r="E578" i="9"/>
  <c r="C578" i="9"/>
  <c r="E579" i="9"/>
  <c r="C579" i="9"/>
  <c r="E584" i="9"/>
  <c r="C584" i="9"/>
  <c r="E588" i="9"/>
  <c r="C588" i="9"/>
  <c r="E589" i="9"/>
  <c r="C589" i="9"/>
  <c r="E593" i="9"/>
  <c r="C593" i="9"/>
  <c r="E597" i="9"/>
  <c r="C597" i="9"/>
  <c r="E605" i="9"/>
  <c r="C605" i="9"/>
  <c r="E610" i="9"/>
  <c r="C610" i="9"/>
  <c r="E614" i="9"/>
  <c r="C614" i="9"/>
  <c r="E274" i="9"/>
  <c r="C274" i="9"/>
  <c r="E279" i="9"/>
  <c r="C279" i="9"/>
  <c r="E409" i="9"/>
  <c r="C409" i="9"/>
  <c r="E414" i="9"/>
  <c r="C414" i="9"/>
  <c r="E419" i="9"/>
  <c r="C419" i="9"/>
  <c r="E460" i="9"/>
  <c r="C460" i="9"/>
  <c r="E471" i="9"/>
  <c r="C471" i="9"/>
  <c r="E490" i="9"/>
  <c r="C490" i="9"/>
  <c r="E491" i="9"/>
  <c r="C491" i="9"/>
  <c r="E509" i="9"/>
  <c r="C509" i="9"/>
  <c r="E510" i="9"/>
  <c r="C510" i="9"/>
  <c r="E571" i="9"/>
  <c r="C571" i="9"/>
  <c r="E576" i="9"/>
  <c r="C576" i="9"/>
  <c r="E586" i="9"/>
  <c r="C586" i="9"/>
  <c r="E591" i="9"/>
  <c r="C591" i="9"/>
  <c r="E627" i="9"/>
  <c r="C627" i="9"/>
  <c r="E631" i="9"/>
  <c r="C631" i="9"/>
  <c r="E635" i="9"/>
  <c r="C635" i="9"/>
  <c r="E639" i="9"/>
  <c r="C639" i="9"/>
  <c r="E640" i="9"/>
  <c r="C640" i="9"/>
  <c r="E644" i="9"/>
  <c r="C644" i="9"/>
  <c r="E648" i="9"/>
  <c r="C648" i="9"/>
  <c r="E652" i="9"/>
  <c r="C652" i="9"/>
  <c r="E675" i="9"/>
  <c r="C675" i="9"/>
  <c r="E679" i="9"/>
  <c r="C679" i="9"/>
  <c r="E683" i="9"/>
  <c r="C683" i="9"/>
  <c r="E687" i="9"/>
  <c r="C687" i="9"/>
  <c r="E688" i="9"/>
  <c r="C688" i="9"/>
  <c r="E692" i="9"/>
  <c r="C692" i="9"/>
  <c r="E696" i="9"/>
  <c r="C696" i="9"/>
  <c r="E700" i="9"/>
  <c r="C700" i="9"/>
  <c r="E704" i="9"/>
  <c r="C704" i="9"/>
  <c r="E731" i="9"/>
  <c r="C731" i="9"/>
  <c r="E735" i="9"/>
  <c r="C735" i="9"/>
  <c r="E736" i="9"/>
  <c r="C736" i="9"/>
  <c r="E740" i="9"/>
  <c r="C740" i="9"/>
  <c r="E744" i="9"/>
  <c r="C744" i="9"/>
  <c r="E748" i="9"/>
  <c r="C748" i="9"/>
  <c r="E791" i="9"/>
  <c r="C791" i="9"/>
  <c r="E792" i="9"/>
  <c r="C792" i="9"/>
  <c r="E811" i="9"/>
  <c r="C811" i="9"/>
  <c r="E812" i="9"/>
  <c r="C812" i="9"/>
  <c r="E816" i="9"/>
  <c r="C816" i="9"/>
  <c r="E845" i="9"/>
  <c r="C845" i="9"/>
  <c r="E849" i="9"/>
  <c r="C849" i="9"/>
  <c r="E851" i="9"/>
  <c r="C851" i="9"/>
  <c r="E852" i="9"/>
  <c r="C852" i="9"/>
  <c r="E853" i="9"/>
  <c r="C853" i="9"/>
  <c r="E854" i="9"/>
  <c r="C854" i="9"/>
  <c r="E855" i="9"/>
  <c r="C855" i="9"/>
  <c r="E856" i="9"/>
  <c r="C856" i="9"/>
  <c r="E857" i="9"/>
  <c r="C857" i="9"/>
  <c r="E858" i="9"/>
  <c r="C858" i="9"/>
  <c r="E862" i="9"/>
  <c r="C862" i="9"/>
  <c r="E863" i="9"/>
  <c r="C863" i="9"/>
  <c r="E864" i="9"/>
  <c r="C864" i="9"/>
  <c r="E868" i="9"/>
  <c r="C868" i="9"/>
  <c r="E872" i="9"/>
  <c r="C872" i="9"/>
  <c r="E876" i="9"/>
  <c r="C876" i="9"/>
  <c r="E895" i="9"/>
  <c r="C895" i="9"/>
  <c r="E899" i="9"/>
  <c r="C899" i="9"/>
  <c r="E903" i="9"/>
  <c r="C903" i="9"/>
  <c r="E907" i="9"/>
  <c r="C907" i="9"/>
  <c r="E911" i="9"/>
  <c r="C911" i="9"/>
  <c r="E915" i="9"/>
  <c r="C915" i="9"/>
  <c r="E945" i="9"/>
  <c r="C945" i="9"/>
  <c r="E951" i="9"/>
  <c r="C951" i="9"/>
  <c r="E955" i="9"/>
  <c r="C955" i="9"/>
  <c r="E959" i="9"/>
  <c r="C959" i="9"/>
  <c r="E963" i="9"/>
  <c r="C963" i="9"/>
  <c r="E967" i="9"/>
  <c r="C967" i="9"/>
  <c r="E968" i="9"/>
  <c r="C968" i="9"/>
  <c r="E969" i="9"/>
  <c r="C969" i="9"/>
  <c r="E970" i="9"/>
  <c r="C970" i="9"/>
  <c r="E971" i="9"/>
  <c r="C971" i="9"/>
  <c r="E972" i="9"/>
  <c r="C972" i="9"/>
  <c r="E973" i="9"/>
  <c r="C973" i="9"/>
  <c r="E974" i="9"/>
  <c r="C974" i="9"/>
  <c r="E975" i="9"/>
  <c r="C975" i="9"/>
  <c r="E977" i="9"/>
  <c r="C977" i="9"/>
  <c r="E981" i="9"/>
  <c r="C981" i="9"/>
  <c r="E986" i="9"/>
  <c r="C986" i="9"/>
  <c r="E990" i="9"/>
  <c r="C990" i="9"/>
  <c r="E994" i="9"/>
  <c r="C994" i="9"/>
  <c r="E999" i="9"/>
  <c r="C999" i="9"/>
  <c r="E336" i="9"/>
  <c r="C336" i="9"/>
  <c r="E438" i="9"/>
  <c r="C438" i="9"/>
  <c r="E479" i="9"/>
  <c r="C479" i="9"/>
  <c r="E484" i="9"/>
  <c r="C484" i="9"/>
  <c r="E495" i="9"/>
  <c r="C495" i="9"/>
  <c r="E547" i="9"/>
  <c r="C547" i="9"/>
  <c r="E595" i="9"/>
  <c r="C595" i="9"/>
  <c r="E626" i="9"/>
  <c r="C626" i="9"/>
  <c r="E630" i="9"/>
  <c r="C630" i="9"/>
  <c r="E634" i="9"/>
  <c r="C634" i="9"/>
  <c r="E638" i="9"/>
  <c r="C638" i="9"/>
  <c r="E643" i="9"/>
  <c r="C643" i="9"/>
  <c r="E647" i="9"/>
  <c r="C647" i="9"/>
  <c r="E651" i="9"/>
  <c r="C651" i="9"/>
  <c r="E655" i="9"/>
  <c r="C655" i="9"/>
  <c r="E656" i="9"/>
  <c r="C656" i="9"/>
  <c r="E657" i="9"/>
  <c r="C657" i="9"/>
  <c r="E658" i="9"/>
  <c r="C658" i="9"/>
  <c r="E659" i="9"/>
  <c r="C659" i="9"/>
  <c r="E660" i="9"/>
  <c r="C660" i="9"/>
  <c r="E661" i="9"/>
  <c r="C661" i="9"/>
  <c r="E662" i="9"/>
  <c r="C662" i="9"/>
  <c r="E663" i="9"/>
  <c r="C663" i="9"/>
  <c r="E674" i="9"/>
  <c r="C674" i="9"/>
  <c r="E678" i="9"/>
  <c r="C678" i="9"/>
  <c r="E682" i="9"/>
  <c r="C682" i="9"/>
  <c r="E686" i="9"/>
  <c r="C686" i="9"/>
  <c r="E691" i="9"/>
  <c r="C691" i="9"/>
  <c r="E695" i="9"/>
  <c r="C695" i="9"/>
  <c r="E699" i="9"/>
  <c r="C699" i="9"/>
  <c r="E703" i="9"/>
  <c r="C703" i="9"/>
  <c r="E707" i="9"/>
  <c r="C707" i="9"/>
  <c r="E708" i="9"/>
  <c r="C708" i="9"/>
  <c r="E709" i="9"/>
  <c r="C709" i="9"/>
  <c r="E710" i="9"/>
  <c r="C710" i="9"/>
  <c r="E711" i="9"/>
  <c r="C711" i="9"/>
  <c r="E712" i="9"/>
  <c r="C712" i="9"/>
  <c r="E713" i="9"/>
  <c r="C713" i="9"/>
  <c r="E714" i="9"/>
  <c r="C714" i="9"/>
  <c r="E715" i="9"/>
  <c r="C715" i="9"/>
  <c r="E716" i="9"/>
  <c r="C716" i="9"/>
  <c r="E717" i="9"/>
  <c r="C717" i="9"/>
  <c r="E718" i="9"/>
  <c r="C718" i="9"/>
  <c r="E719" i="9"/>
  <c r="C719" i="9"/>
  <c r="E730" i="9"/>
  <c r="C730" i="9"/>
  <c r="E734" i="9"/>
  <c r="C734" i="9"/>
  <c r="E739" i="9"/>
  <c r="C739" i="9"/>
  <c r="E743" i="9"/>
  <c r="C743" i="9"/>
  <c r="E747" i="9"/>
  <c r="C747" i="9"/>
  <c r="E751" i="9"/>
  <c r="C751" i="9"/>
  <c r="E752" i="9"/>
  <c r="C752" i="9"/>
  <c r="E753" i="9"/>
  <c r="C753" i="9"/>
  <c r="E754" i="9"/>
  <c r="C754" i="9"/>
  <c r="E755" i="9"/>
  <c r="C755" i="9"/>
  <c r="E756" i="9"/>
  <c r="C756" i="9"/>
  <c r="E757" i="9"/>
  <c r="C757" i="9"/>
  <c r="E758" i="9"/>
  <c r="C758" i="9"/>
  <c r="E759" i="9"/>
  <c r="C759" i="9"/>
  <c r="E760" i="9"/>
  <c r="C760" i="9"/>
  <c r="E761" i="9"/>
  <c r="C761" i="9"/>
  <c r="E762" i="9"/>
  <c r="C762" i="9"/>
  <c r="E763" i="9"/>
  <c r="C763" i="9"/>
  <c r="E764" i="9"/>
  <c r="C764" i="9"/>
  <c r="E765" i="9"/>
  <c r="C765" i="9"/>
  <c r="E766" i="9"/>
  <c r="C766" i="9"/>
  <c r="E767" i="9"/>
  <c r="C767" i="9"/>
  <c r="E768" i="9"/>
  <c r="C768" i="9"/>
  <c r="E769" i="9"/>
  <c r="C769" i="9"/>
  <c r="E770" i="9"/>
  <c r="C770" i="9"/>
  <c r="E771" i="9"/>
  <c r="C771" i="9"/>
  <c r="E772" i="9"/>
  <c r="C772" i="9"/>
  <c r="E773" i="9"/>
  <c r="C773" i="9"/>
  <c r="E774" i="9"/>
  <c r="C774" i="9"/>
  <c r="E775" i="9"/>
  <c r="C775" i="9"/>
  <c r="E776" i="9"/>
  <c r="C776" i="9"/>
  <c r="E777" i="9"/>
  <c r="C777" i="9"/>
  <c r="E778" i="9"/>
  <c r="C778" i="9"/>
  <c r="E779" i="9"/>
  <c r="C779" i="9"/>
  <c r="E780" i="9"/>
  <c r="C780" i="9"/>
  <c r="E781" i="9"/>
  <c r="C781" i="9"/>
  <c r="E782" i="9"/>
  <c r="C782" i="9"/>
  <c r="E783" i="9"/>
  <c r="C783" i="9"/>
  <c r="E784" i="9"/>
  <c r="C784" i="9"/>
  <c r="E785" i="9"/>
  <c r="C785" i="9"/>
  <c r="E151" i="9"/>
  <c r="C151" i="9"/>
  <c r="E152" i="9"/>
  <c r="C152" i="9"/>
  <c r="E157" i="9"/>
  <c r="C157" i="9"/>
  <c r="E158" i="9"/>
  <c r="C158" i="9"/>
  <c r="E191" i="9"/>
  <c r="C191" i="9"/>
  <c r="E422" i="9"/>
  <c r="C422" i="9"/>
  <c r="E432" i="9"/>
  <c r="C432" i="9"/>
  <c r="E442" i="9"/>
  <c r="C442" i="9"/>
  <c r="E443" i="9"/>
  <c r="C443" i="9"/>
  <c r="E453" i="9"/>
  <c r="C453" i="9"/>
  <c r="E463" i="9"/>
  <c r="C463" i="9"/>
  <c r="E468" i="9"/>
  <c r="C468" i="9"/>
  <c r="E521" i="9"/>
  <c r="C521" i="9"/>
  <c r="E526" i="9"/>
  <c r="C526" i="9"/>
  <c r="E527" i="9"/>
  <c r="C527" i="9"/>
  <c r="E541" i="9"/>
  <c r="C541" i="9"/>
  <c r="E552" i="9"/>
  <c r="C552" i="9"/>
  <c r="E553" i="9"/>
  <c r="C553" i="9"/>
  <c r="E607" i="9"/>
  <c r="C607" i="9"/>
  <c r="E608" i="9"/>
  <c r="C608" i="9"/>
  <c r="E623" i="9"/>
  <c r="C623" i="9"/>
  <c r="E625" i="9"/>
  <c r="C625" i="9"/>
  <c r="E629" i="9"/>
  <c r="C629" i="9"/>
  <c r="E633" i="9"/>
  <c r="C633" i="9"/>
  <c r="E637" i="9"/>
  <c r="C637" i="9"/>
  <c r="E642" i="9"/>
  <c r="C642" i="9"/>
  <c r="E646" i="9"/>
  <c r="C646" i="9"/>
  <c r="E650" i="9"/>
  <c r="C650" i="9"/>
  <c r="E654" i="9"/>
  <c r="C654" i="9"/>
  <c r="E664" i="9"/>
  <c r="C664" i="9"/>
  <c r="E665" i="9"/>
  <c r="C665" i="9"/>
  <c r="E666" i="9"/>
  <c r="C666" i="9"/>
  <c r="E667" i="9"/>
  <c r="C667" i="9"/>
  <c r="E668" i="9"/>
  <c r="C668" i="9"/>
  <c r="E669" i="9"/>
  <c r="C669" i="9"/>
  <c r="E670" i="9"/>
  <c r="C670" i="9"/>
  <c r="E671" i="9"/>
  <c r="C671" i="9"/>
  <c r="E673" i="9"/>
  <c r="C673" i="9"/>
  <c r="E677" i="9"/>
  <c r="C677" i="9"/>
  <c r="E681" i="9"/>
  <c r="C681" i="9"/>
  <c r="E685" i="9"/>
  <c r="C685" i="9"/>
  <c r="E690" i="9"/>
  <c r="C690" i="9"/>
  <c r="E694" i="9"/>
  <c r="C694" i="9"/>
  <c r="E698" i="9"/>
  <c r="C698" i="9"/>
  <c r="E702" i="9"/>
  <c r="C702" i="9"/>
  <c r="E706" i="9"/>
  <c r="C706" i="9"/>
  <c r="E720" i="9"/>
  <c r="C720" i="9"/>
  <c r="E721" i="9"/>
  <c r="C721" i="9"/>
  <c r="E722" i="9"/>
  <c r="C722" i="9"/>
  <c r="E723" i="9"/>
  <c r="C723" i="9"/>
  <c r="E724" i="9"/>
  <c r="C724" i="9"/>
  <c r="E725" i="9"/>
  <c r="C725" i="9"/>
  <c r="E726" i="9"/>
  <c r="C726" i="9"/>
  <c r="E727" i="9"/>
  <c r="C727" i="9"/>
  <c r="E729" i="9"/>
  <c r="C729" i="9"/>
  <c r="E733" i="9"/>
  <c r="C733" i="9"/>
  <c r="E738" i="9"/>
  <c r="C738" i="9"/>
  <c r="E742" i="9"/>
  <c r="C742" i="9"/>
  <c r="E746" i="9"/>
  <c r="C746" i="9"/>
  <c r="E750" i="9"/>
  <c r="C750" i="9"/>
  <c r="E786" i="9"/>
  <c r="C786" i="9"/>
  <c r="E787" i="9"/>
  <c r="C787" i="9"/>
  <c r="E789" i="9"/>
  <c r="C789" i="9"/>
  <c r="E794" i="9"/>
  <c r="C794" i="9"/>
  <c r="E800" i="9"/>
  <c r="C800" i="9"/>
  <c r="E801" i="9"/>
  <c r="C801" i="9"/>
  <c r="E802" i="9"/>
  <c r="C802" i="9"/>
  <c r="E803" i="9"/>
  <c r="C803" i="9"/>
  <c r="E804" i="9"/>
  <c r="C804" i="9"/>
  <c r="E805" i="9"/>
  <c r="C805" i="9"/>
  <c r="E806" i="9"/>
  <c r="C806" i="9"/>
  <c r="E807" i="9"/>
  <c r="C807" i="9"/>
  <c r="E809" i="9"/>
  <c r="C809" i="9"/>
  <c r="E814" i="9"/>
  <c r="C814" i="9"/>
  <c r="E818" i="9"/>
  <c r="C818" i="9"/>
  <c r="E824" i="9"/>
  <c r="C824" i="9"/>
  <c r="E825" i="9"/>
  <c r="C825" i="9"/>
  <c r="E826" i="9"/>
  <c r="C826" i="9"/>
  <c r="E827" i="9"/>
  <c r="C827" i="9"/>
  <c r="E828" i="9"/>
  <c r="C828" i="9"/>
  <c r="E829" i="9"/>
  <c r="C829" i="9"/>
  <c r="E830" i="9"/>
  <c r="C830" i="9"/>
  <c r="E831" i="9"/>
  <c r="C831" i="9"/>
  <c r="E832" i="9"/>
  <c r="C832" i="9"/>
  <c r="E833" i="9"/>
  <c r="C833" i="9"/>
  <c r="E834" i="9"/>
  <c r="C834" i="9"/>
  <c r="E835" i="9"/>
  <c r="C835" i="9"/>
  <c r="E836" i="9"/>
  <c r="C836" i="9"/>
  <c r="E837" i="9"/>
  <c r="C837" i="9"/>
  <c r="E838" i="9"/>
  <c r="C838" i="9"/>
  <c r="E839" i="9"/>
  <c r="C839" i="9"/>
  <c r="E840" i="9"/>
  <c r="C840" i="9"/>
  <c r="E841" i="9"/>
  <c r="C841" i="9"/>
  <c r="E843" i="9"/>
  <c r="C843" i="9"/>
  <c r="E847" i="9"/>
  <c r="C847" i="9"/>
  <c r="E860" i="9"/>
  <c r="C860" i="9"/>
  <c r="E866" i="9"/>
  <c r="C866" i="9"/>
  <c r="E870" i="9"/>
  <c r="C870" i="9"/>
  <c r="E874" i="9"/>
  <c r="C874" i="9"/>
  <c r="E878" i="9"/>
  <c r="C878" i="9"/>
  <c r="E884" i="9"/>
  <c r="C884" i="9"/>
  <c r="E885" i="9"/>
  <c r="C885" i="9"/>
  <c r="E886" i="9"/>
  <c r="C886" i="9"/>
  <c r="E887" i="9"/>
  <c r="C887" i="9"/>
  <c r="E888" i="9"/>
  <c r="C888" i="9"/>
  <c r="E889" i="9"/>
  <c r="C889" i="9"/>
  <c r="E890" i="9"/>
  <c r="C890" i="9"/>
  <c r="E891" i="9"/>
  <c r="C891" i="9"/>
  <c r="E893" i="9"/>
  <c r="C893" i="9"/>
  <c r="E897" i="9"/>
  <c r="C897" i="9"/>
  <c r="E901" i="9"/>
  <c r="C901" i="9"/>
  <c r="E905" i="9"/>
  <c r="C905" i="9"/>
  <c r="E909" i="9"/>
  <c r="C909" i="9"/>
  <c r="E913" i="9"/>
  <c r="C913" i="9"/>
  <c r="E917" i="9"/>
  <c r="C917" i="9"/>
  <c r="E925" i="9"/>
  <c r="C925" i="9"/>
  <c r="E943" i="9"/>
  <c r="C943" i="9"/>
  <c r="E949" i="9"/>
  <c r="C949" i="9"/>
  <c r="E953" i="9"/>
  <c r="C953" i="9"/>
  <c r="E957" i="9"/>
  <c r="C957" i="9"/>
  <c r="E961" i="9"/>
  <c r="C961" i="9"/>
  <c r="E965" i="9"/>
  <c r="C965" i="9"/>
  <c r="E979" i="9"/>
  <c r="C979" i="9"/>
  <c r="E983" i="9"/>
  <c r="C983" i="9"/>
  <c r="E984" i="9"/>
  <c r="C984" i="9"/>
  <c r="E988" i="9"/>
  <c r="C988" i="9"/>
  <c r="E992" i="9"/>
  <c r="C992" i="9"/>
  <c r="E997" i="9"/>
  <c r="C997" i="9"/>
  <c r="E309" i="9"/>
  <c r="C309" i="9"/>
  <c r="E310" i="9"/>
  <c r="C310" i="9"/>
  <c r="E311" i="9"/>
  <c r="C311" i="9"/>
  <c r="E312" i="9"/>
  <c r="C312" i="9"/>
  <c r="E313" i="9"/>
  <c r="C313" i="9"/>
  <c r="E363" i="9"/>
  <c r="C363" i="9"/>
  <c r="E404" i="9"/>
  <c r="C404" i="9"/>
  <c r="E405" i="9"/>
  <c r="C405" i="9"/>
  <c r="E426" i="9"/>
  <c r="C426" i="9"/>
  <c r="E447" i="9"/>
  <c r="C447" i="9"/>
  <c r="E531" i="9"/>
  <c r="C531" i="9"/>
  <c r="E550" i="9"/>
  <c r="C550" i="9"/>
  <c r="E557" i="9"/>
  <c r="C557" i="9"/>
  <c r="E562" i="9"/>
  <c r="C562" i="9"/>
  <c r="E567" i="9"/>
  <c r="C567" i="9"/>
  <c r="E582" i="9"/>
  <c r="C582" i="9"/>
  <c r="E612" i="9"/>
  <c r="C612" i="9"/>
  <c r="E624" i="9"/>
  <c r="C624" i="9"/>
  <c r="E628" i="9"/>
  <c r="C628" i="9"/>
  <c r="E632" i="9"/>
  <c r="C632" i="9"/>
  <c r="E636" i="9"/>
  <c r="C636" i="9"/>
  <c r="E641" i="9"/>
  <c r="C641" i="9"/>
  <c r="E645" i="9"/>
  <c r="C645" i="9"/>
  <c r="E649" i="9"/>
  <c r="C649" i="9"/>
  <c r="E653" i="9"/>
  <c r="C653" i="9"/>
  <c r="E672" i="9"/>
  <c r="C672" i="9"/>
  <c r="E676" i="9"/>
  <c r="C676" i="9"/>
  <c r="E680" i="9"/>
  <c r="C680" i="9"/>
  <c r="E684" i="9"/>
  <c r="C684" i="9"/>
  <c r="E689" i="9"/>
  <c r="C689" i="9"/>
  <c r="E693" i="9"/>
  <c r="C693" i="9"/>
  <c r="E697" i="9"/>
  <c r="C697" i="9"/>
  <c r="E701" i="9"/>
  <c r="C701" i="9"/>
  <c r="E705" i="9"/>
  <c r="C705" i="9"/>
  <c r="E728" i="9"/>
  <c r="C728" i="9"/>
  <c r="E732" i="9"/>
  <c r="C732" i="9"/>
  <c r="E737" i="9"/>
  <c r="C737" i="9"/>
  <c r="E741" i="9"/>
  <c r="C741" i="9"/>
  <c r="E745" i="9"/>
  <c r="C745" i="9"/>
  <c r="E749" i="9"/>
  <c r="C749" i="9"/>
  <c r="E788" i="9"/>
  <c r="C788" i="9"/>
  <c r="E793" i="9"/>
  <c r="C793" i="9"/>
  <c r="E808" i="9"/>
  <c r="C808" i="9"/>
  <c r="E813" i="9"/>
  <c r="C813" i="9"/>
  <c r="E817" i="9"/>
  <c r="C817" i="9"/>
  <c r="E842" i="9"/>
  <c r="C842" i="9"/>
  <c r="E846" i="9"/>
  <c r="C846" i="9"/>
  <c r="E850" i="9"/>
  <c r="C850" i="9"/>
  <c r="E865" i="9"/>
  <c r="C865" i="9"/>
  <c r="E869" i="9"/>
  <c r="C869" i="9"/>
  <c r="E873" i="9"/>
  <c r="C873" i="9"/>
  <c r="E877" i="9"/>
  <c r="C877" i="9"/>
  <c r="E892" i="9"/>
  <c r="C892" i="9"/>
  <c r="E896" i="9"/>
  <c r="C896" i="9"/>
  <c r="E900" i="9"/>
  <c r="C900" i="9"/>
  <c r="E904" i="9"/>
  <c r="C904" i="9"/>
  <c r="E908" i="9"/>
  <c r="C908" i="9"/>
  <c r="E912" i="9"/>
  <c r="C912" i="9"/>
  <c r="E916" i="9"/>
  <c r="C916" i="9"/>
  <c r="E923" i="9"/>
  <c r="C923" i="9"/>
  <c r="E924" i="9"/>
  <c r="C924" i="9"/>
  <c r="E946" i="9"/>
  <c r="C946" i="9"/>
  <c r="E947" i="9"/>
  <c r="C947" i="9"/>
  <c r="E948" i="9"/>
  <c r="C948" i="9"/>
  <c r="E952" i="9"/>
  <c r="C952" i="9"/>
  <c r="E956" i="9"/>
  <c r="C956" i="9"/>
  <c r="E960" i="9"/>
  <c r="C960" i="9"/>
  <c r="E964" i="9"/>
  <c r="C964" i="9"/>
  <c r="E978" i="9"/>
  <c r="C978" i="9"/>
  <c r="E982" i="9"/>
  <c r="C982" i="9"/>
  <c r="E987" i="9"/>
  <c r="C987" i="9"/>
  <c r="E991" i="9"/>
  <c r="C991" i="9"/>
  <c r="E995" i="9"/>
  <c r="C995" i="9"/>
  <c r="E996" i="9"/>
  <c r="C996" i="9"/>
  <c r="E1000" i="9"/>
  <c r="C1000" i="9"/>
  <c r="E861" i="9"/>
  <c r="C861" i="9"/>
  <c r="E871" i="9"/>
  <c r="C871" i="9"/>
  <c r="E894" i="9"/>
  <c r="C894" i="9"/>
  <c r="E910" i="9"/>
  <c r="C910" i="9"/>
  <c r="E962" i="9"/>
  <c r="C962" i="9"/>
  <c r="E976" i="9"/>
  <c r="C976" i="9"/>
  <c r="E1003" i="9"/>
  <c r="C1003" i="9"/>
  <c r="E1007" i="9"/>
  <c r="C1007" i="9"/>
  <c r="E1008" i="9"/>
  <c r="C1008" i="9"/>
  <c r="E1009" i="9"/>
  <c r="C1009" i="9"/>
  <c r="E1010" i="9"/>
  <c r="C1010" i="9"/>
  <c r="E1011" i="9"/>
  <c r="C1011" i="9"/>
  <c r="E1012" i="9"/>
  <c r="C1012" i="9"/>
  <c r="E1013" i="9"/>
  <c r="C1013" i="9"/>
  <c r="E1014" i="9"/>
  <c r="C1014" i="9"/>
  <c r="E1015" i="9"/>
  <c r="C1015" i="9"/>
  <c r="E1017" i="9"/>
  <c r="C1017" i="9"/>
  <c r="E1021" i="9"/>
  <c r="C1021" i="9"/>
  <c r="E1025" i="9"/>
  <c r="C1025" i="9"/>
  <c r="E1030" i="9"/>
  <c r="C1030" i="9"/>
  <c r="E1034" i="9"/>
  <c r="C1034" i="9"/>
  <c r="E1038" i="9"/>
  <c r="C1038" i="9"/>
  <c r="E1043" i="9"/>
  <c r="C1043" i="9"/>
  <c r="E1047" i="9"/>
  <c r="C1047" i="9"/>
  <c r="E1048" i="9"/>
  <c r="C1048" i="9"/>
  <c r="E1049" i="9"/>
  <c r="C1049" i="9"/>
  <c r="E1050" i="9"/>
  <c r="C1050" i="9"/>
  <c r="E1051" i="9"/>
  <c r="C1051" i="9"/>
  <c r="E1052" i="9"/>
  <c r="C1052" i="9"/>
  <c r="E1053" i="9"/>
  <c r="C1053" i="9"/>
  <c r="E1054" i="9"/>
  <c r="C1054" i="9"/>
  <c r="E1055" i="9"/>
  <c r="C1055" i="9"/>
  <c r="E1057" i="9"/>
  <c r="C1057" i="9"/>
  <c r="E1062" i="9"/>
  <c r="C1062" i="9"/>
  <c r="E810" i="9"/>
  <c r="C810" i="9"/>
  <c r="E815" i="9"/>
  <c r="C815" i="9"/>
  <c r="E859" i="9"/>
  <c r="C859" i="9"/>
  <c r="E875" i="9"/>
  <c r="C875" i="9"/>
  <c r="E898" i="9"/>
  <c r="C898" i="9"/>
  <c r="E914" i="9"/>
  <c r="C914" i="9"/>
  <c r="E950" i="9"/>
  <c r="C950" i="9"/>
  <c r="E966" i="9"/>
  <c r="C966" i="9"/>
  <c r="E980" i="9"/>
  <c r="C980" i="9"/>
  <c r="E985" i="9"/>
  <c r="C985" i="9"/>
  <c r="E1002" i="9"/>
  <c r="C1002" i="9"/>
  <c r="E1006" i="9"/>
  <c r="C1006" i="9"/>
  <c r="E1016" i="9"/>
  <c r="C1016" i="9"/>
  <c r="E1020" i="9"/>
  <c r="C1020" i="9"/>
  <c r="E1024" i="9"/>
  <c r="C1024" i="9"/>
  <c r="E1029" i="9"/>
  <c r="C1029" i="9"/>
  <c r="E1033" i="9"/>
  <c r="C1033" i="9"/>
  <c r="E1037" i="9"/>
  <c r="C1037" i="9"/>
  <c r="E1042" i="9"/>
  <c r="C1042" i="9"/>
  <c r="E1046" i="9"/>
  <c r="C1046" i="9"/>
  <c r="E1056" i="9"/>
  <c r="C1056" i="9"/>
  <c r="E1061" i="9"/>
  <c r="C1061" i="9"/>
  <c r="E819" i="9"/>
  <c r="C819" i="9"/>
  <c r="E820" i="9"/>
  <c r="C820" i="9"/>
  <c r="E821" i="9"/>
  <c r="C821" i="9"/>
  <c r="E822" i="9"/>
  <c r="C822" i="9"/>
  <c r="E823" i="9"/>
  <c r="C823" i="9"/>
  <c r="E844" i="9"/>
  <c r="C844" i="9"/>
  <c r="E879" i="9"/>
  <c r="C879" i="9"/>
  <c r="E880" i="9"/>
  <c r="C880" i="9"/>
  <c r="E881" i="9"/>
  <c r="C881" i="9"/>
  <c r="E882" i="9"/>
  <c r="C882" i="9"/>
  <c r="E883" i="9"/>
  <c r="C883" i="9"/>
  <c r="E902" i="9"/>
  <c r="C902" i="9"/>
  <c r="E918" i="9"/>
  <c r="C918" i="9"/>
  <c r="E919" i="9"/>
  <c r="C919" i="9"/>
  <c r="E920" i="9"/>
  <c r="C920" i="9"/>
  <c r="E921" i="9"/>
  <c r="C921" i="9"/>
  <c r="E922" i="9"/>
  <c r="C922" i="9"/>
  <c r="E944" i="9"/>
  <c r="C944" i="9"/>
  <c r="E954" i="9"/>
  <c r="C954" i="9"/>
  <c r="E989" i="9"/>
  <c r="C989" i="9"/>
  <c r="E1001" i="9"/>
  <c r="C1001" i="9"/>
  <c r="E1005" i="9"/>
  <c r="C1005" i="9"/>
  <c r="E1019" i="9"/>
  <c r="C1019" i="9"/>
  <c r="E1023" i="9"/>
  <c r="C1023" i="9"/>
  <c r="E1027" i="9"/>
  <c r="C1027" i="9"/>
  <c r="E1028" i="9"/>
  <c r="C1028" i="9"/>
  <c r="E1032" i="9"/>
  <c r="C1032" i="9"/>
  <c r="E1036" i="9"/>
  <c r="C1036" i="9"/>
  <c r="E1041" i="9"/>
  <c r="C1041" i="9"/>
  <c r="E1045" i="9"/>
  <c r="C1045" i="9"/>
  <c r="E1059" i="9"/>
  <c r="C1059" i="9"/>
  <c r="E1060" i="9"/>
  <c r="C1060" i="9"/>
  <c r="E790" i="9"/>
  <c r="C790" i="9"/>
  <c r="E795" i="9"/>
  <c r="C795" i="9"/>
  <c r="E796" i="9"/>
  <c r="C796" i="9"/>
  <c r="E797" i="9"/>
  <c r="C797" i="9"/>
  <c r="E798" i="9"/>
  <c r="C798" i="9"/>
  <c r="E799" i="9"/>
  <c r="C799" i="9"/>
  <c r="E848" i="9"/>
  <c r="C848" i="9"/>
  <c r="E867" i="9"/>
  <c r="C867" i="9"/>
  <c r="E906" i="9"/>
  <c r="C906" i="9"/>
  <c r="E926" i="9"/>
  <c r="C926" i="9"/>
  <c r="E927" i="9"/>
  <c r="C927" i="9"/>
  <c r="E928" i="9"/>
  <c r="C928" i="9"/>
  <c r="E929" i="9"/>
  <c r="C929" i="9"/>
  <c r="E930" i="9"/>
  <c r="C930" i="9"/>
  <c r="E931" i="9"/>
  <c r="C931" i="9"/>
  <c r="E932" i="9"/>
  <c r="C932" i="9"/>
  <c r="E933" i="9"/>
  <c r="C933" i="9"/>
  <c r="E934" i="9"/>
  <c r="C934" i="9"/>
  <c r="E935" i="9"/>
  <c r="C935" i="9"/>
  <c r="E936" i="9"/>
  <c r="C936" i="9"/>
  <c r="E937" i="9"/>
  <c r="C937" i="9"/>
  <c r="E938" i="9"/>
  <c r="C938" i="9"/>
  <c r="E939" i="9"/>
  <c r="C939" i="9"/>
  <c r="E940" i="9"/>
  <c r="C940" i="9"/>
  <c r="E941" i="9"/>
  <c r="C941" i="9"/>
  <c r="E942" i="9"/>
  <c r="C942" i="9"/>
  <c r="E958" i="9"/>
  <c r="C958" i="9"/>
  <c r="E993" i="9"/>
  <c r="C993" i="9"/>
  <c r="E998" i="9"/>
  <c r="C998" i="9"/>
  <c r="E1004" i="9"/>
  <c r="C1004" i="9"/>
  <c r="E1018" i="9"/>
  <c r="C1018" i="9"/>
  <c r="E1022" i="9"/>
  <c r="C1022" i="9"/>
  <c r="E1026" i="9"/>
  <c r="C1026" i="9"/>
  <c r="E1031" i="9"/>
  <c r="C1031" i="9"/>
  <c r="E1035" i="9"/>
  <c r="C1035" i="9"/>
  <c r="E1039" i="9"/>
  <c r="C1039" i="9"/>
  <c r="E1040" i="9"/>
  <c r="C1040" i="9"/>
  <c r="E1044" i="9"/>
  <c r="C1044" i="9"/>
  <c r="E1058" i="9"/>
  <c r="C1058" i="9"/>
  <c r="E1063" i="9"/>
  <c r="C1063" i="9"/>
  <c r="G49" i="8"/>
  <c r="G50" i="8"/>
  <c r="G51" i="8"/>
  <c r="G52" i="8"/>
  <c r="G53" i="8"/>
  <c r="G54" i="8"/>
  <c r="G55" i="8"/>
  <c r="G56" i="8"/>
  <c r="F12" i="24"/>
  <c r="E9" i="4"/>
  <c r="G8" i="16"/>
  <c r="G9" i="16"/>
  <c r="G11" i="16"/>
  <c r="G7" i="16"/>
  <c r="E8" i="4"/>
  <c r="F8" i="16"/>
  <c r="F11" i="16"/>
  <c r="F10" i="16"/>
  <c r="F9" i="16"/>
  <c r="M10" i="16"/>
  <c r="M11" i="16"/>
  <c r="M9" i="16"/>
  <c r="L10" i="10"/>
  <c r="L11" i="10"/>
  <c r="F15" i="24"/>
  <c r="M8" i="16"/>
  <c r="F8" i="24"/>
  <c r="F16" i="24"/>
  <c r="B84" i="18"/>
  <c r="N16" i="24"/>
  <c r="B4" i="18"/>
  <c r="C12" i="4"/>
  <c r="E12" i="4"/>
  <c r="E11" i="4"/>
  <c r="I7" i="16"/>
  <c r="I9" i="16"/>
  <c r="I8" i="16"/>
  <c r="I10" i="16"/>
  <c r="C63" i="8"/>
  <c r="G63" i="8"/>
  <c r="E17" i="24"/>
  <c r="I17" i="24"/>
  <c r="M17" i="24"/>
  <c r="C17" i="24"/>
  <c r="G17" i="24"/>
  <c r="K17" i="24"/>
  <c r="B18" i="24"/>
  <c r="I9" i="24"/>
  <c r="J9" i="24"/>
  <c r="I13" i="24"/>
  <c r="J13" i="24"/>
  <c r="F33" i="19"/>
  <c r="F34" i="19"/>
  <c r="F41" i="19"/>
  <c r="F45" i="19"/>
  <c r="F35" i="19"/>
  <c r="F37" i="19"/>
  <c r="F39" i="19"/>
  <c r="F42" i="19"/>
  <c r="F43" i="19"/>
  <c r="F40" i="19"/>
  <c r="F49" i="19"/>
  <c r="F50" i="19"/>
  <c r="F36" i="19"/>
  <c r="F46" i="19"/>
  <c r="F47" i="19"/>
  <c r="F38" i="19"/>
  <c r="F44" i="19"/>
  <c r="F48" i="19"/>
  <c r="B51" i="19"/>
  <c r="F51" i="19"/>
  <c r="I8" i="24"/>
  <c r="J8" i="24"/>
  <c r="I12" i="24"/>
  <c r="J12" i="24"/>
  <c r="I16" i="24"/>
  <c r="J16" i="24"/>
  <c r="I11" i="24"/>
  <c r="J11" i="24"/>
  <c r="I15" i="24"/>
  <c r="J15" i="24"/>
  <c r="I10" i="24"/>
  <c r="J10" i="24"/>
  <c r="I14" i="24"/>
  <c r="J14" i="24"/>
  <c r="I113" i="19"/>
  <c r="AC22" i="9"/>
  <c r="AC38" i="9"/>
  <c r="AC54" i="9"/>
  <c r="AC70" i="9"/>
  <c r="AC86" i="9"/>
  <c r="AC90" i="9"/>
  <c r="AJ7" i="9"/>
  <c r="AC135" i="9"/>
  <c r="AC149" i="9"/>
  <c r="AC350" i="9"/>
  <c r="AC356" i="9"/>
  <c r="AC366" i="9"/>
  <c r="AC370" i="9"/>
  <c r="AC374" i="9"/>
  <c r="AC340" i="9"/>
  <c r="AC563" i="9"/>
  <c r="AC579" i="9"/>
  <c r="AC587" i="9"/>
  <c r="AC595" i="9"/>
  <c r="AC559" i="9"/>
  <c r="AC575" i="9"/>
  <c r="AC610" i="9"/>
  <c r="AC618" i="9"/>
  <c r="AC626" i="9"/>
  <c r="AC634" i="9"/>
  <c r="AC642" i="9"/>
  <c r="AC650" i="9"/>
  <c r="AC658" i="9"/>
  <c r="AC666" i="9"/>
  <c r="AC674" i="9"/>
  <c r="AC682" i="9"/>
  <c r="AC690" i="9"/>
  <c r="AC698" i="9"/>
  <c r="AC706" i="9"/>
  <c r="AC714" i="9"/>
  <c r="AC722" i="9"/>
  <c r="AC730" i="9"/>
  <c r="AC738" i="9"/>
  <c r="AC746" i="9"/>
  <c r="AC754" i="9"/>
  <c r="AC762" i="9"/>
  <c r="AC770" i="9"/>
  <c r="AC778" i="9"/>
  <c r="AC786" i="9"/>
  <c r="AC794" i="9"/>
  <c r="AC802" i="9"/>
  <c r="AC810" i="9"/>
  <c r="AC818" i="9"/>
  <c r="AC853" i="9"/>
  <c r="AC869" i="9"/>
  <c r="AC885" i="9"/>
  <c r="AC901" i="9"/>
  <c r="AC917" i="9"/>
  <c r="AC933" i="9"/>
  <c r="AC949" i="9"/>
  <c r="AC965" i="9"/>
  <c r="AC981" i="9"/>
  <c r="AC997" i="9"/>
  <c r="AC1013" i="9"/>
  <c r="AC1029" i="9"/>
  <c r="AC1045" i="9"/>
  <c r="AC1061" i="9"/>
  <c r="AC830" i="9"/>
  <c r="AC832" i="9"/>
  <c r="AC852" i="9"/>
  <c r="AC860" i="9"/>
  <c r="AC868" i="9"/>
  <c r="AC876" i="9"/>
  <c r="AC884" i="9"/>
  <c r="AC892" i="9"/>
  <c r="AC900" i="9"/>
  <c r="AC908" i="9"/>
  <c r="AC916" i="9"/>
  <c r="AC924" i="9"/>
  <c r="AC932" i="9"/>
  <c r="AC940" i="9"/>
  <c r="AC948" i="9"/>
  <c r="AC956" i="9"/>
  <c r="AC964" i="9"/>
  <c r="AC972" i="9"/>
  <c r="AC980" i="9"/>
  <c r="AC988" i="9"/>
  <c r="AC996" i="9"/>
  <c r="AC1004" i="9"/>
  <c r="AC1012" i="9"/>
  <c r="AC1020" i="9"/>
  <c r="AC1028" i="9"/>
  <c r="AC1036" i="9"/>
  <c r="AC1044" i="9"/>
  <c r="AC1052" i="9"/>
  <c r="AC1060" i="9"/>
  <c r="B116" i="18"/>
  <c r="B132" i="18"/>
  <c r="B113" i="18"/>
  <c r="AC34" i="9"/>
  <c r="AC50" i="9"/>
  <c r="AC66" i="9"/>
  <c r="AC82" i="9"/>
  <c r="AC131" i="9"/>
  <c r="AC344" i="9"/>
  <c r="AC354" i="9"/>
  <c r="AC360" i="9"/>
  <c r="AC379" i="9"/>
  <c r="AC383" i="9"/>
  <c r="AC387" i="9"/>
  <c r="AC391" i="9"/>
  <c r="AC395" i="9"/>
  <c r="AC399" i="9"/>
  <c r="AC403" i="9"/>
  <c r="AC407" i="9"/>
  <c r="AC411" i="9"/>
  <c r="AC415" i="9"/>
  <c r="AC419" i="9"/>
  <c r="AC423" i="9"/>
  <c r="AC427" i="9"/>
  <c r="AC431" i="9"/>
  <c r="AC435" i="9"/>
  <c r="AC439" i="9"/>
  <c r="AC443" i="9"/>
  <c r="AC447" i="9"/>
  <c r="AC451" i="9"/>
  <c r="AC455" i="9"/>
  <c r="AC459" i="9"/>
  <c r="AC463" i="9"/>
  <c r="AC467" i="9"/>
  <c r="AC471" i="9"/>
  <c r="AC475" i="9"/>
  <c r="AC479" i="9"/>
  <c r="AC483" i="9"/>
  <c r="AC487" i="9"/>
  <c r="AC491" i="9"/>
  <c r="AC495" i="9"/>
  <c r="AC499" i="9"/>
  <c r="AC503" i="9"/>
  <c r="AC507" i="9"/>
  <c r="AC511" i="9"/>
  <c r="AC515" i="9"/>
  <c r="AC519" i="9"/>
  <c r="AC523" i="9"/>
  <c r="AC527" i="9"/>
  <c r="AC531" i="9"/>
  <c r="AC535" i="9"/>
  <c r="AC539" i="9"/>
  <c r="AC543" i="9"/>
  <c r="AC547" i="9"/>
  <c r="AC551" i="9"/>
  <c r="AC555" i="9"/>
  <c r="AC603" i="9"/>
  <c r="AC849" i="9"/>
  <c r="AC865" i="9"/>
  <c r="AC881" i="9"/>
  <c r="AC897" i="9"/>
  <c r="AC913" i="9"/>
  <c r="AC929" i="9"/>
  <c r="AC945" i="9"/>
  <c r="AC961" i="9"/>
  <c r="AC977" i="9"/>
  <c r="AC993" i="9"/>
  <c r="AC1009" i="9"/>
  <c r="AC1025" i="9"/>
  <c r="AC1041" i="9"/>
  <c r="AC1057" i="9"/>
  <c r="AC834" i="9"/>
  <c r="AC836" i="9"/>
  <c r="B20" i="18"/>
  <c r="B120" i="18"/>
  <c r="I16" i="10"/>
  <c r="A17" i="10"/>
  <c r="D23" i="17"/>
  <c r="L12" i="10"/>
  <c r="L13" i="10"/>
  <c r="O40" i="10"/>
  <c r="AC99" i="9"/>
  <c r="AC103" i="9"/>
  <c r="AC107" i="9"/>
  <c r="AC111" i="9"/>
  <c r="AC115" i="9"/>
  <c r="AC119" i="9"/>
  <c r="AC123" i="9"/>
  <c r="AC127" i="9"/>
  <c r="AC30" i="9"/>
  <c r="AC46" i="9"/>
  <c r="AC62" i="9"/>
  <c r="AC78" i="9"/>
  <c r="AC152" i="9"/>
  <c r="AC156" i="9"/>
  <c r="AC160" i="9"/>
  <c r="AC164" i="9"/>
  <c r="AC168" i="9"/>
  <c r="AC172" i="9"/>
  <c r="AC176" i="9"/>
  <c r="AC180" i="9"/>
  <c r="AC184" i="9"/>
  <c r="AC188" i="9"/>
  <c r="AC192" i="9"/>
  <c r="AC196" i="9"/>
  <c r="AC200" i="9"/>
  <c r="AC204" i="9"/>
  <c r="AC208" i="9"/>
  <c r="AC212" i="9"/>
  <c r="AC216" i="9"/>
  <c r="AC220" i="9"/>
  <c r="AC224" i="9"/>
  <c r="AC228" i="9"/>
  <c r="AC232" i="9"/>
  <c r="AC236" i="9"/>
  <c r="AC240" i="9"/>
  <c r="AC244" i="9"/>
  <c r="AC248" i="9"/>
  <c r="AC252" i="9"/>
  <c r="AC256" i="9"/>
  <c r="AC260" i="9"/>
  <c r="AC264" i="9"/>
  <c r="AC268" i="9"/>
  <c r="AC272" i="9"/>
  <c r="AC276" i="9"/>
  <c r="AC280" i="9"/>
  <c r="AC284" i="9"/>
  <c r="AC288" i="9"/>
  <c r="AC292" i="9"/>
  <c r="AC296" i="9"/>
  <c r="AC300" i="9"/>
  <c r="AC304" i="9"/>
  <c r="AC308" i="9"/>
  <c r="AC312" i="9"/>
  <c r="AC316" i="9"/>
  <c r="AC320" i="9"/>
  <c r="AC324" i="9"/>
  <c r="AC328" i="9"/>
  <c r="AC332" i="9"/>
  <c r="AC348" i="9"/>
  <c r="AC358" i="9"/>
  <c r="AC364" i="9"/>
  <c r="AC599" i="9"/>
  <c r="AC614" i="9"/>
  <c r="AC622" i="9"/>
  <c r="AC630" i="9"/>
  <c r="AC638" i="9"/>
  <c r="AC646" i="9"/>
  <c r="AC654" i="9"/>
  <c r="AC662" i="9"/>
  <c r="AC670" i="9"/>
  <c r="AC678" i="9"/>
  <c r="AC686" i="9"/>
  <c r="AC694" i="9"/>
  <c r="AC702" i="9"/>
  <c r="AC710" i="9"/>
  <c r="AC718" i="9"/>
  <c r="AC726" i="9"/>
  <c r="AC734" i="9"/>
  <c r="AC742" i="9"/>
  <c r="AC750" i="9"/>
  <c r="AC758" i="9"/>
  <c r="AC766" i="9"/>
  <c r="AC774" i="9"/>
  <c r="AC782" i="9"/>
  <c r="AC790" i="9"/>
  <c r="AC798" i="9"/>
  <c r="AC806" i="9"/>
  <c r="AC814" i="9"/>
  <c r="AC567" i="9"/>
  <c r="AC608" i="9"/>
  <c r="AC612" i="9"/>
  <c r="AC616" i="9"/>
  <c r="AC620" i="9"/>
  <c r="AC624" i="9"/>
  <c r="AC628" i="9"/>
  <c r="AC632" i="9"/>
  <c r="AC636" i="9"/>
  <c r="AC640" i="9"/>
  <c r="AC644" i="9"/>
  <c r="AC648" i="9"/>
  <c r="AC652" i="9"/>
  <c r="AC656" i="9"/>
  <c r="AC660" i="9"/>
  <c r="AC664" i="9"/>
  <c r="AC668" i="9"/>
  <c r="AC672" i="9"/>
  <c r="AC676" i="9"/>
  <c r="AC680" i="9"/>
  <c r="AC684" i="9"/>
  <c r="AC688" i="9"/>
  <c r="AC692" i="9"/>
  <c r="AC696" i="9"/>
  <c r="AC700" i="9"/>
  <c r="AC704" i="9"/>
  <c r="AC708" i="9"/>
  <c r="AC712" i="9"/>
  <c r="AC716" i="9"/>
  <c r="AC720" i="9"/>
  <c r="AC724" i="9"/>
  <c r="AC728" i="9"/>
  <c r="AC732" i="9"/>
  <c r="AC736" i="9"/>
  <c r="AC740" i="9"/>
  <c r="AC744" i="9"/>
  <c r="AC748" i="9"/>
  <c r="AC752" i="9"/>
  <c r="AC756" i="9"/>
  <c r="AC760" i="9"/>
  <c r="AC764" i="9"/>
  <c r="AC768" i="9"/>
  <c r="AC772" i="9"/>
  <c r="AC776" i="9"/>
  <c r="AC780" i="9"/>
  <c r="AC784" i="9"/>
  <c r="AC788" i="9"/>
  <c r="AC792" i="9"/>
  <c r="AC796" i="9"/>
  <c r="AC800" i="9"/>
  <c r="AC804" i="9"/>
  <c r="AC808" i="9"/>
  <c r="AC812" i="9"/>
  <c r="AC816" i="9"/>
  <c r="AC820" i="9"/>
  <c r="AC824" i="9"/>
  <c r="AC861" i="9"/>
  <c r="AC877" i="9"/>
  <c r="AC893" i="9"/>
  <c r="AC909" i="9"/>
  <c r="AC925" i="9"/>
  <c r="AC941" i="9"/>
  <c r="AC957" i="9"/>
  <c r="AC973" i="9"/>
  <c r="AC989" i="9"/>
  <c r="AC1005" i="9"/>
  <c r="AC1021" i="9"/>
  <c r="AC1037" i="9"/>
  <c r="AC1053" i="9"/>
  <c r="AC838" i="9"/>
  <c r="AC840" i="9"/>
  <c r="AC848" i="9"/>
  <c r="AC856" i="9"/>
  <c r="AC864" i="9"/>
  <c r="AC872" i="9"/>
  <c r="AC880" i="9"/>
  <c r="AC888" i="9"/>
  <c r="AC896" i="9"/>
  <c r="AC904" i="9"/>
  <c r="AC912" i="9"/>
  <c r="AC920" i="9"/>
  <c r="AC928" i="9"/>
  <c r="AC936" i="9"/>
  <c r="AC944" i="9"/>
  <c r="AC952" i="9"/>
  <c r="AC960" i="9"/>
  <c r="AC968" i="9"/>
  <c r="AC976" i="9"/>
  <c r="AC984" i="9"/>
  <c r="AC992" i="9"/>
  <c r="AC1000" i="9"/>
  <c r="AC1008" i="9"/>
  <c r="AC1016" i="9"/>
  <c r="AC1024" i="9"/>
  <c r="AC1032" i="9"/>
  <c r="AC1040" i="9"/>
  <c r="AC1048" i="9"/>
  <c r="AC1056" i="9"/>
  <c r="AC95" i="9"/>
  <c r="AC26" i="9"/>
  <c r="AC42" i="9"/>
  <c r="AC58" i="9"/>
  <c r="AC74" i="9"/>
  <c r="AC137" i="9"/>
  <c r="AC346" i="9"/>
  <c r="AC352" i="9"/>
  <c r="AC362" i="9"/>
  <c r="AC368" i="9"/>
  <c r="AC372" i="9"/>
  <c r="AC376" i="9"/>
  <c r="AC336" i="9"/>
  <c r="AC571" i="9"/>
  <c r="AC583" i="9"/>
  <c r="AC591" i="9"/>
  <c r="AC857" i="9"/>
  <c r="AC873" i="9"/>
  <c r="AC889" i="9"/>
  <c r="AC905" i="9"/>
  <c r="AC921" i="9"/>
  <c r="AC937" i="9"/>
  <c r="AC953" i="9"/>
  <c r="AC969" i="9"/>
  <c r="AC985" i="9"/>
  <c r="AC1001" i="9"/>
  <c r="AC1017" i="9"/>
  <c r="AC1033" i="9"/>
  <c r="AC1049" i="9"/>
  <c r="AC826" i="9"/>
  <c r="AC828" i="9"/>
  <c r="AC842" i="9"/>
  <c r="AC844" i="9"/>
  <c r="G57" i="8"/>
  <c r="E30" i="29"/>
  <c r="B85" i="18"/>
  <c r="J17" i="24"/>
  <c r="E4" i="18"/>
  <c r="F4" i="18"/>
  <c r="B5" i="18"/>
  <c r="E5" i="18"/>
  <c r="F5" i="18"/>
  <c r="J5" i="16"/>
  <c r="J9" i="16"/>
  <c r="C13" i="4"/>
  <c r="D10" i="7"/>
  <c r="J34" i="4"/>
  <c r="F17" i="24"/>
  <c r="B52" i="19"/>
  <c r="E18" i="24"/>
  <c r="I18" i="24"/>
  <c r="M18" i="24"/>
  <c r="C18" i="24"/>
  <c r="G18" i="24"/>
  <c r="K18" i="24"/>
  <c r="B19" i="24"/>
  <c r="N17" i="24"/>
  <c r="O41" i="10"/>
  <c r="A18" i="10"/>
  <c r="I17" i="10"/>
  <c r="B117" i="18"/>
  <c r="B21" i="18"/>
  <c r="D22" i="12"/>
  <c r="H73" i="4"/>
  <c r="C11" i="11"/>
  <c r="B121" i="18"/>
  <c r="C15" i="4"/>
  <c r="C52" i="4"/>
  <c r="C3" i="15"/>
  <c r="C16" i="15"/>
  <c r="J18" i="24"/>
  <c r="J10" i="16"/>
  <c r="J7" i="16"/>
  <c r="J11" i="16"/>
  <c r="E13" i="4"/>
  <c r="J8" i="16"/>
  <c r="F18" i="24"/>
  <c r="C19" i="24"/>
  <c r="G19" i="24"/>
  <c r="K19" i="24"/>
  <c r="B20" i="24"/>
  <c r="E19" i="24"/>
  <c r="I19" i="24"/>
  <c r="M19" i="24"/>
  <c r="B53" i="19"/>
  <c r="F52" i="19"/>
  <c r="N18" i="24"/>
  <c r="I18" i="10"/>
  <c r="A19" i="10"/>
  <c r="B122" i="18"/>
  <c r="O42" i="10"/>
  <c r="C51" i="4"/>
  <c r="E82" i="18"/>
  <c r="J19" i="24"/>
  <c r="F19" i="24"/>
  <c r="B54" i="19"/>
  <c r="F53" i="19"/>
  <c r="C20" i="24"/>
  <c r="G20" i="24"/>
  <c r="K20" i="24"/>
  <c r="B21" i="24"/>
  <c r="E20" i="24"/>
  <c r="I20" i="24"/>
  <c r="M20" i="24"/>
  <c r="N19" i="24"/>
  <c r="A20" i="10"/>
  <c r="I19" i="10"/>
  <c r="L5" i="16"/>
  <c r="E52" i="4"/>
  <c r="O43" i="10"/>
  <c r="F82" i="18"/>
  <c r="E85" i="18"/>
  <c r="F85" i="18"/>
  <c r="E56" i="18"/>
  <c r="F56" i="18"/>
  <c r="E79" i="18"/>
  <c r="F79" i="18"/>
  <c r="E34" i="18"/>
  <c r="F34" i="18"/>
  <c r="E51" i="4"/>
  <c r="E7" i="18"/>
  <c r="F7" i="18"/>
  <c r="E25" i="18"/>
  <c r="F25" i="18"/>
  <c r="E154" i="18"/>
  <c r="F154" i="18"/>
  <c r="E26" i="18"/>
  <c r="F26" i="18"/>
  <c r="E38" i="18"/>
  <c r="F38" i="18"/>
  <c r="E31" i="18"/>
  <c r="F31" i="18"/>
  <c r="E118" i="18"/>
  <c r="F118" i="18"/>
  <c r="E161" i="18"/>
  <c r="F161" i="18"/>
  <c r="E28" i="18"/>
  <c r="F28" i="18"/>
  <c r="E95" i="18"/>
  <c r="F95" i="18"/>
  <c r="K5" i="16"/>
  <c r="K8" i="16"/>
  <c r="E81" i="18"/>
  <c r="F81" i="18"/>
  <c r="E48" i="18"/>
  <c r="F48" i="18"/>
  <c r="E135" i="18"/>
  <c r="F135" i="18"/>
  <c r="E96" i="18"/>
  <c r="F96" i="18"/>
  <c r="E92" i="18"/>
  <c r="F92" i="18"/>
  <c r="E141" i="18"/>
  <c r="F141" i="18"/>
  <c r="E94" i="18"/>
  <c r="F94" i="18"/>
  <c r="E128" i="18"/>
  <c r="F128" i="18"/>
  <c r="E104" i="18"/>
  <c r="F104" i="18"/>
  <c r="E134" i="18"/>
  <c r="F134" i="18"/>
  <c r="E13" i="18"/>
  <c r="F13" i="18"/>
  <c r="E90" i="18"/>
  <c r="F90" i="18"/>
  <c r="E54" i="18"/>
  <c r="F54" i="18"/>
  <c r="E105" i="18"/>
  <c r="F105" i="18"/>
  <c r="E103" i="18"/>
  <c r="F103" i="18"/>
  <c r="E114" i="18"/>
  <c r="F114" i="18"/>
  <c r="E97" i="18"/>
  <c r="F97" i="18"/>
  <c r="E160" i="18"/>
  <c r="F160" i="18"/>
  <c r="E75" i="18"/>
  <c r="F75" i="18"/>
  <c r="E70" i="18"/>
  <c r="F70" i="18"/>
  <c r="E129" i="18"/>
  <c r="F129" i="18"/>
  <c r="E151" i="18"/>
  <c r="F151" i="18"/>
  <c r="E76" i="18"/>
  <c r="F76" i="18"/>
  <c r="E102" i="18"/>
  <c r="F102" i="18"/>
  <c r="E60" i="18"/>
  <c r="F60" i="18"/>
  <c r="E145" i="18"/>
  <c r="F145" i="18"/>
  <c r="E9" i="18"/>
  <c r="F9" i="18"/>
  <c r="E52" i="18"/>
  <c r="F52" i="18"/>
  <c r="E15" i="18"/>
  <c r="F15" i="18"/>
  <c r="E84" i="18"/>
  <c r="F84" i="18"/>
  <c r="E111" i="18"/>
  <c r="F111" i="18"/>
  <c r="E32" i="18"/>
  <c r="F32" i="18"/>
  <c r="E45" i="18"/>
  <c r="F45" i="18"/>
  <c r="E51" i="18"/>
  <c r="F51" i="18"/>
  <c r="E6" i="18"/>
  <c r="F6" i="18"/>
  <c r="E23" i="18"/>
  <c r="F23" i="18"/>
  <c r="E83" i="18"/>
  <c r="F83" i="18"/>
  <c r="E119" i="18"/>
  <c r="F119" i="18"/>
  <c r="E109" i="18"/>
  <c r="F109" i="18"/>
  <c r="E27" i="18"/>
  <c r="F27" i="18"/>
  <c r="E29" i="18"/>
  <c r="F29" i="18"/>
  <c r="E158" i="18"/>
  <c r="F158" i="18"/>
  <c r="E68" i="18"/>
  <c r="F68" i="18"/>
  <c r="E123" i="18"/>
  <c r="F123" i="18"/>
  <c r="E11" i="18"/>
  <c r="F11" i="18"/>
  <c r="E155" i="18"/>
  <c r="F155" i="18"/>
  <c r="E62" i="18"/>
  <c r="F62" i="18"/>
  <c r="E130" i="18"/>
  <c r="F130" i="18"/>
  <c r="E116" i="18"/>
  <c r="F116" i="18"/>
  <c r="E42" i="18"/>
  <c r="F42" i="18"/>
  <c r="E63" i="18"/>
  <c r="F63" i="18"/>
  <c r="E73" i="18"/>
  <c r="F73" i="18"/>
  <c r="E33" i="18"/>
  <c r="F33" i="18"/>
  <c r="E35" i="18"/>
  <c r="F35" i="18"/>
  <c r="E149" i="18"/>
  <c r="F149" i="18"/>
  <c r="E126" i="18"/>
  <c r="F126" i="18"/>
  <c r="E67" i="18"/>
  <c r="F67" i="18"/>
  <c r="E125" i="18"/>
  <c r="F125" i="18"/>
  <c r="E101" i="18"/>
  <c r="F101" i="18"/>
  <c r="E59" i="18"/>
  <c r="F59" i="18"/>
  <c r="E21" i="18"/>
  <c r="F21" i="18"/>
  <c r="E22" i="18"/>
  <c r="F22" i="18"/>
  <c r="E10" i="18"/>
  <c r="F10" i="18"/>
  <c r="E24" i="18"/>
  <c r="F24" i="18"/>
  <c r="E78" i="18"/>
  <c r="F78" i="18"/>
  <c r="E40" i="18"/>
  <c r="F40" i="18"/>
  <c r="E164" i="18"/>
  <c r="F164" i="18"/>
  <c r="E89" i="18"/>
  <c r="F89" i="18"/>
  <c r="E87" i="18"/>
  <c r="F87" i="18"/>
  <c r="E152" i="18"/>
  <c r="F152" i="18"/>
  <c r="E99" i="18"/>
  <c r="F99" i="18"/>
  <c r="E112" i="18"/>
  <c r="F112" i="18"/>
  <c r="E50" i="18"/>
  <c r="F50" i="18"/>
  <c r="E143" i="18"/>
  <c r="F143" i="18"/>
  <c r="E65" i="18"/>
  <c r="F65" i="18"/>
  <c r="E121" i="18"/>
  <c r="F121" i="18"/>
  <c r="E122" i="18"/>
  <c r="F122" i="18"/>
  <c r="E159" i="18"/>
  <c r="F159" i="18"/>
  <c r="E106" i="18"/>
  <c r="F106" i="18"/>
  <c r="E57" i="18"/>
  <c r="F57" i="18"/>
  <c r="E98" i="18"/>
  <c r="F98" i="18"/>
  <c r="E91" i="18"/>
  <c r="F91" i="18"/>
  <c r="E162" i="18"/>
  <c r="F162" i="18"/>
  <c r="E30" i="18"/>
  <c r="F30" i="18"/>
  <c r="E132" i="18"/>
  <c r="F132" i="18"/>
  <c r="E150" i="18"/>
  <c r="F150" i="18"/>
  <c r="E86" i="18"/>
  <c r="F86" i="18"/>
  <c r="E156" i="18"/>
  <c r="F156" i="18"/>
  <c r="E17" i="18"/>
  <c r="F17" i="18"/>
  <c r="E16" i="18"/>
  <c r="F16" i="18"/>
  <c r="E36" i="18"/>
  <c r="F36" i="18"/>
  <c r="E147" i="18"/>
  <c r="F147" i="18"/>
  <c r="E53" i="18"/>
  <c r="F53" i="18"/>
  <c r="E20" i="18"/>
  <c r="F20" i="18"/>
  <c r="E142" i="18"/>
  <c r="F142" i="18"/>
  <c r="E77" i="18"/>
  <c r="F77" i="18"/>
  <c r="E139" i="18"/>
  <c r="F139" i="18"/>
  <c r="E55" i="18"/>
  <c r="F55" i="18"/>
  <c r="E163" i="18"/>
  <c r="F163" i="18"/>
  <c r="E88" i="18"/>
  <c r="F88" i="18"/>
  <c r="E58" i="18"/>
  <c r="F58" i="18"/>
  <c r="E14" i="18"/>
  <c r="F14" i="18"/>
  <c r="E19" i="18"/>
  <c r="F19" i="18"/>
  <c r="E138" i="18"/>
  <c r="F138" i="18"/>
  <c r="E136" i="18"/>
  <c r="F136" i="18"/>
  <c r="E117" i="18"/>
  <c r="F117" i="18"/>
  <c r="E93" i="18"/>
  <c r="F93" i="18"/>
  <c r="E127" i="18"/>
  <c r="F127" i="18"/>
  <c r="E43" i="18"/>
  <c r="F43" i="18"/>
  <c r="E100" i="18"/>
  <c r="F100" i="18"/>
  <c r="E72" i="18"/>
  <c r="F72" i="18"/>
  <c r="E44" i="18"/>
  <c r="F44" i="18"/>
  <c r="E113" i="18"/>
  <c r="F113" i="18"/>
  <c r="E64" i="18"/>
  <c r="F64" i="18"/>
  <c r="E120" i="18"/>
  <c r="F120" i="18"/>
  <c r="E37" i="18"/>
  <c r="F37" i="18"/>
  <c r="E39" i="18"/>
  <c r="F39" i="18"/>
  <c r="E157" i="18"/>
  <c r="F157" i="18"/>
  <c r="E61" i="18"/>
  <c r="F61" i="18"/>
  <c r="E49" i="18"/>
  <c r="F49" i="18"/>
  <c r="E137" i="18"/>
  <c r="F137" i="18"/>
  <c r="E8" i="18"/>
  <c r="F8" i="18"/>
  <c r="E12" i="18"/>
  <c r="F12" i="18"/>
  <c r="E74" i="18"/>
  <c r="F74" i="18"/>
  <c r="E124" i="18"/>
  <c r="F124" i="18"/>
  <c r="E69" i="18"/>
  <c r="F69" i="18"/>
  <c r="E41" i="18"/>
  <c r="F41" i="18"/>
  <c r="E107" i="18"/>
  <c r="F107" i="18"/>
  <c r="E80" i="18"/>
  <c r="F80" i="18"/>
  <c r="E153" i="18"/>
  <c r="F153" i="18"/>
  <c r="E110" i="18"/>
  <c r="F110" i="18"/>
  <c r="E131" i="18"/>
  <c r="F131" i="18"/>
  <c r="E140" i="18"/>
  <c r="F140" i="18"/>
  <c r="E148" i="18"/>
  <c r="F148" i="18"/>
  <c r="E115" i="18"/>
  <c r="F115" i="18"/>
  <c r="E71" i="18"/>
  <c r="F71" i="18"/>
  <c r="E108" i="18"/>
  <c r="F108" i="18"/>
  <c r="E146" i="18"/>
  <c r="F146" i="18"/>
  <c r="E66" i="18"/>
  <c r="F66" i="18"/>
  <c r="E18" i="18"/>
  <c r="F18" i="18"/>
  <c r="E47" i="18"/>
  <c r="F47" i="18"/>
  <c r="E46" i="18"/>
  <c r="F46" i="18"/>
  <c r="E144" i="18"/>
  <c r="F144" i="18"/>
  <c r="E21" i="24"/>
  <c r="I21" i="24"/>
  <c r="M21" i="24"/>
  <c r="C21" i="24"/>
  <c r="G21" i="24"/>
  <c r="K21" i="24"/>
  <c r="B22" i="24"/>
  <c r="N20" i="24"/>
  <c r="J20" i="24"/>
  <c r="F20" i="24"/>
  <c r="B55" i="19"/>
  <c r="F54" i="19"/>
  <c r="O44" i="10"/>
  <c r="L8" i="16"/>
  <c r="L10" i="16"/>
  <c r="L9" i="16"/>
  <c r="L11" i="16"/>
  <c r="L7" i="16"/>
  <c r="I20" i="10"/>
  <c r="A21" i="10"/>
  <c r="E20" i="17"/>
  <c r="E23" i="17"/>
  <c r="F10" i="15"/>
  <c r="F23" i="15"/>
  <c r="C7" i="15"/>
  <c r="K7" i="16"/>
  <c r="K9" i="16"/>
  <c r="F14" i="15"/>
  <c r="F13" i="15"/>
  <c r="C6" i="15"/>
  <c r="F11" i="15"/>
  <c r="C8" i="15"/>
  <c r="E12" i="17"/>
  <c r="K11" i="16"/>
  <c r="E30" i="17"/>
  <c r="K10" i="16"/>
  <c r="E4" i="17"/>
  <c r="F12" i="15"/>
  <c r="C5" i="15"/>
  <c r="C9" i="15"/>
  <c r="E13" i="17"/>
  <c r="E5" i="17"/>
  <c r="F4" i="17"/>
  <c r="F10" i="17"/>
  <c r="E21" i="17"/>
  <c r="E17" i="17"/>
  <c r="F9" i="17"/>
  <c r="E9" i="17"/>
  <c r="F14" i="17"/>
  <c r="F8" i="17"/>
  <c r="E27" i="17"/>
  <c r="E8" i="17"/>
  <c r="C4" i="15"/>
  <c r="C17" i="15"/>
  <c r="E15" i="17"/>
  <c r="E22" i="17"/>
  <c r="E16" i="17"/>
  <c r="E28" i="17"/>
  <c r="E14" i="17"/>
  <c r="E29" i="17"/>
  <c r="E6" i="17"/>
  <c r="E7" i="17"/>
  <c r="J21" i="24"/>
  <c r="B56" i="19"/>
  <c r="F55" i="19"/>
  <c r="F21" i="24"/>
  <c r="E22" i="24"/>
  <c r="I22" i="24"/>
  <c r="M22" i="24"/>
  <c r="C22" i="24"/>
  <c r="G22" i="24"/>
  <c r="K22" i="24"/>
  <c r="B23" i="24"/>
  <c r="N21" i="24"/>
  <c r="A22" i="10"/>
  <c r="I21" i="10"/>
  <c r="O45" i="10"/>
  <c r="F24" i="15"/>
  <c r="F25" i="15"/>
  <c r="F26" i="15"/>
  <c r="F27" i="15"/>
  <c r="C43" i="29"/>
  <c r="E26" i="17"/>
  <c r="F29" i="17"/>
  <c r="C18" i="15"/>
  <c r="C19" i="15"/>
  <c r="C20" i="15"/>
  <c r="C21" i="15"/>
  <c r="C27" i="15"/>
  <c r="C30" i="29"/>
  <c r="E3" i="17"/>
  <c r="F6" i="17"/>
  <c r="E19" i="17"/>
  <c r="F23" i="17"/>
  <c r="E11" i="17"/>
  <c r="F16" i="17"/>
  <c r="F21" i="17"/>
  <c r="F30" i="17"/>
  <c r="J22" i="24"/>
  <c r="F28" i="17"/>
  <c r="F27" i="17"/>
  <c r="F22" i="24"/>
  <c r="F12" i="17"/>
  <c r="F17" i="17"/>
  <c r="N22" i="24"/>
  <c r="C23" i="24"/>
  <c r="I23" i="24"/>
  <c r="M23" i="24"/>
  <c r="E23" i="24"/>
  <c r="G23" i="24"/>
  <c r="K23" i="24"/>
  <c r="B24" i="24"/>
  <c r="B57" i="19"/>
  <c r="F56" i="19"/>
  <c r="O46" i="10"/>
  <c r="A23" i="10"/>
  <c r="I22" i="10"/>
  <c r="F13" i="17"/>
  <c r="F15" i="17"/>
  <c r="F22" i="17"/>
  <c r="F7" i="17"/>
  <c r="F5" i="17"/>
  <c r="F20" i="17"/>
  <c r="F26" i="17"/>
  <c r="H61" i="4"/>
  <c r="N23" i="24"/>
  <c r="C24" i="24"/>
  <c r="I24" i="24"/>
  <c r="M24" i="24"/>
  <c r="E24" i="24"/>
  <c r="G24" i="24"/>
  <c r="K24" i="24"/>
  <c r="B25" i="24"/>
  <c r="J23" i="24"/>
  <c r="B58" i="19"/>
  <c r="F57" i="19"/>
  <c r="G66" i="11"/>
  <c r="I23" i="10"/>
  <c r="A24" i="10"/>
  <c r="O47" i="10"/>
  <c r="F11" i="17"/>
  <c r="F19" i="17"/>
  <c r="J64" i="4"/>
  <c r="F3" i="17"/>
  <c r="C7" i="12"/>
  <c r="P9" i="10"/>
  <c r="P10" i="10"/>
  <c r="Q10" i="10"/>
  <c r="J24" i="24"/>
  <c r="N24" i="24"/>
  <c r="B59" i="19"/>
  <c r="F58" i="19"/>
  <c r="C25" i="24"/>
  <c r="I25" i="24"/>
  <c r="M25" i="24"/>
  <c r="E25" i="24"/>
  <c r="G25" i="24"/>
  <c r="K25" i="24"/>
  <c r="B26" i="24"/>
  <c r="A25" i="10"/>
  <c r="I24" i="10"/>
  <c r="O48" i="10"/>
  <c r="D27" i="19"/>
  <c r="O24" i="4"/>
  <c r="U257" i="9"/>
  <c r="T257" i="9"/>
  <c r="X13" i="7"/>
  <c r="X17" i="7"/>
  <c r="X21" i="7"/>
  <c r="X25" i="7"/>
  <c r="X29" i="7"/>
  <c r="X33" i="7"/>
  <c r="X37" i="7"/>
  <c r="X41" i="7"/>
  <c r="X45" i="7"/>
  <c r="X49" i="7"/>
  <c r="X53" i="7"/>
  <c r="X57" i="7"/>
  <c r="X61" i="7"/>
  <c r="X65" i="7"/>
  <c r="X69" i="7"/>
  <c r="X73" i="7"/>
  <c r="X77" i="7"/>
  <c r="X81" i="7"/>
  <c r="X85" i="7"/>
  <c r="X89" i="7"/>
  <c r="X93" i="7"/>
  <c r="X97" i="7"/>
  <c r="X101" i="7"/>
  <c r="X105" i="7"/>
  <c r="X109" i="7"/>
  <c r="X113" i="7"/>
  <c r="X117" i="7"/>
  <c r="X121" i="7"/>
  <c r="X125" i="7"/>
  <c r="X129" i="7"/>
  <c r="X133" i="7"/>
  <c r="X137" i="7"/>
  <c r="X141" i="7"/>
  <c r="X145" i="7"/>
  <c r="X149" i="7"/>
  <c r="X153" i="7"/>
  <c r="X157" i="7"/>
  <c r="X161" i="7"/>
  <c r="X165" i="7"/>
  <c r="X169" i="7"/>
  <c r="X173" i="7"/>
  <c r="X177" i="7"/>
  <c r="X181" i="7"/>
  <c r="X185" i="7"/>
  <c r="X189" i="7"/>
  <c r="X193" i="7"/>
  <c r="X197" i="7"/>
  <c r="X201" i="7"/>
  <c r="X205" i="7"/>
  <c r="X209" i="7"/>
  <c r="X213" i="7"/>
  <c r="X217" i="7"/>
  <c r="X221" i="7"/>
  <c r="X225" i="7"/>
  <c r="X229" i="7"/>
  <c r="X233" i="7"/>
  <c r="X237" i="7"/>
  <c r="X241" i="7"/>
  <c r="X245" i="7"/>
  <c r="X249" i="7"/>
  <c r="X253" i="7"/>
  <c r="X257" i="7"/>
  <c r="X261" i="7"/>
  <c r="X265" i="7"/>
  <c r="X269" i="7"/>
  <c r="X273" i="7"/>
  <c r="X277" i="7"/>
  <c r="X281" i="7"/>
  <c r="X285" i="7"/>
  <c r="X289" i="7"/>
  <c r="X293" i="7"/>
  <c r="X297" i="7"/>
  <c r="X301" i="7"/>
  <c r="X305" i="7"/>
  <c r="X309" i="7"/>
  <c r="X313" i="7"/>
  <c r="X317" i="7"/>
  <c r="X321" i="7"/>
  <c r="X325" i="7"/>
  <c r="X329" i="7"/>
  <c r="X333" i="7"/>
  <c r="X337" i="7"/>
  <c r="X341" i="7"/>
  <c r="X345" i="7"/>
  <c r="X10" i="7"/>
  <c r="Y10" i="7"/>
  <c r="X14" i="7"/>
  <c r="X18" i="7"/>
  <c r="X22" i="7"/>
  <c r="X26" i="7"/>
  <c r="X30" i="7"/>
  <c r="X34" i="7"/>
  <c r="X38" i="7"/>
  <c r="X42" i="7"/>
  <c r="X46" i="7"/>
  <c r="X50" i="7"/>
  <c r="X54" i="7"/>
  <c r="X58" i="7"/>
  <c r="X62" i="7"/>
  <c r="X66" i="7"/>
  <c r="X70" i="7"/>
  <c r="X74" i="7"/>
  <c r="X78" i="7"/>
  <c r="X82" i="7"/>
  <c r="X86" i="7"/>
  <c r="X90" i="7"/>
  <c r="X94" i="7"/>
  <c r="X98" i="7"/>
  <c r="X102" i="7"/>
  <c r="X106" i="7"/>
  <c r="X110" i="7"/>
  <c r="X114" i="7"/>
  <c r="X118" i="7"/>
  <c r="X122" i="7"/>
  <c r="X126" i="7"/>
  <c r="X130" i="7"/>
  <c r="X134" i="7"/>
  <c r="X138" i="7"/>
  <c r="X142" i="7"/>
  <c r="X146" i="7"/>
  <c r="X150" i="7"/>
  <c r="X154" i="7"/>
  <c r="X158" i="7"/>
  <c r="X162" i="7"/>
  <c r="X166" i="7"/>
  <c r="X170" i="7"/>
  <c r="X174" i="7"/>
  <c r="X178" i="7"/>
  <c r="X182" i="7"/>
  <c r="X186" i="7"/>
  <c r="X190" i="7"/>
  <c r="X194" i="7"/>
  <c r="X198" i="7"/>
  <c r="X202" i="7"/>
  <c r="X206" i="7"/>
  <c r="X210" i="7"/>
  <c r="X214" i="7"/>
  <c r="X218" i="7"/>
  <c r="X222" i="7"/>
  <c r="X226" i="7"/>
  <c r="X230" i="7"/>
  <c r="X234" i="7"/>
  <c r="X238" i="7"/>
  <c r="X242" i="7"/>
  <c r="X246" i="7"/>
  <c r="X250" i="7"/>
  <c r="X254" i="7"/>
  <c r="X258" i="7"/>
  <c r="X262" i="7"/>
  <c r="X266" i="7"/>
  <c r="X270" i="7"/>
  <c r="X274" i="7"/>
  <c r="X278" i="7"/>
  <c r="X282" i="7"/>
  <c r="X286" i="7"/>
  <c r="X290" i="7"/>
  <c r="X294" i="7"/>
  <c r="X298" i="7"/>
  <c r="X302" i="7"/>
  <c r="X306" i="7"/>
  <c r="X310" i="7"/>
  <c r="X314" i="7"/>
  <c r="X318" i="7"/>
  <c r="X322" i="7"/>
  <c r="X326" i="7"/>
  <c r="X330" i="7"/>
  <c r="X334" i="7"/>
  <c r="X338" i="7"/>
  <c r="X342" i="7"/>
  <c r="X346" i="7"/>
  <c r="X11" i="7"/>
  <c r="X15" i="7"/>
  <c r="X19" i="7"/>
  <c r="X23" i="7"/>
  <c r="X27" i="7"/>
  <c r="X31" i="7"/>
  <c r="X35" i="7"/>
  <c r="X39" i="7"/>
  <c r="X43" i="7"/>
  <c r="X47" i="7"/>
  <c r="X51" i="7"/>
  <c r="X55" i="7"/>
  <c r="X59" i="7"/>
  <c r="X63" i="7"/>
  <c r="X67" i="7"/>
  <c r="X71" i="7"/>
  <c r="X75" i="7"/>
  <c r="X79" i="7"/>
  <c r="X83" i="7"/>
  <c r="X87" i="7"/>
  <c r="X91" i="7"/>
  <c r="X95" i="7"/>
  <c r="X99" i="7"/>
  <c r="X103" i="7"/>
  <c r="X107" i="7"/>
  <c r="X111" i="7"/>
  <c r="X115" i="7"/>
  <c r="X119" i="7"/>
  <c r="X123" i="7"/>
  <c r="X127" i="7"/>
  <c r="X131" i="7"/>
  <c r="X135" i="7"/>
  <c r="X139" i="7"/>
  <c r="X143" i="7"/>
  <c r="X147" i="7"/>
  <c r="X151" i="7"/>
  <c r="X155" i="7"/>
  <c r="X159" i="7"/>
  <c r="X163" i="7"/>
  <c r="X167" i="7"/>
  <c r="X171" i="7"/>
  <c r="X175" i="7"/>
  <c r="X179" i="7"/>
  <c r="X183" i="7"/>
  <c r="X187" i="7"/>
  <c r="X191" i="7"/>
  <c r="X195" i="7"/>
  <c r="X199" i="7"/>
  <c r="X203" i="7"/>
  <c r="X207" i="7"/>
  <c r="X211" i="7"/>
  <c r="X215" i="7"/>
  <c r="X219" i="7"/>
  <c r="X223" i="7"/>
  <c r="X227" i="7"/>
  <c r="X231" i="7"/>
  <c r="X235" i="7"/>
  <c r="X239" i="7"/>
  <c r="X243" i="7"/>
  <c r="X247" i="7"/>
  <c r="X251" i="7"/>
  <c r="X255" i="7"/>
  <c r="X259" i="7"/>
  <c r="X263" i="7"/>
  <c r="X267" i="7"/>
  <c r="X271" i="7"/>
  <c r="X275" i="7"/>
  <c r="X279" i="7"/>
  <c r="X283" i="7"/>
  <c r="X287" i="7"/>
  <c r="X291" i="7"/>
  <c r="X295" i="7"/>
  <c r="X299" i="7"/>
  <c r="X303" i="7"/>
  <c r="X307" i="7"/>
  <c r="X311" i="7"/>
  <c r="X315" i="7"/>
  <c r="X319" i="7"/>
  <c r="X323" i="7"/>
  <c r="X327" i="7"/>
  <c r="X331" i="7"/>
  <c r="X335" i="7"/>
  <c r="X339" i="7"/>
  <c r="X343" i="7"/>
  <c r="X347" i="7"/>
  <c r="X12" i="7"/>
  <c r="X16" i="7"/>
  <c r="X20" i="7"/>
  <c r="X24" i="7"/>
  <c r="X28" i="7"/>
  <c r="X32" i="7"/>
  <c r="X36" i="7"/>
  <c r="X40" i="7"/>
  <c r="X44" i="7"/>
  <c r="X48" i="7"/>
  <c r="X52" i="7"/>
  <c r="X56" i="7"/>
  <c r="X60" i="7"/>
  <c r="X64" i="7"/>
  <c r="X68" i="7"/>
  <c r="X72" i="7"/>
  <c r="X76" i="7"/>
  <c r="X80" i="7"/>
  <c r="X84" i="7"/>
  <c r="X88" i="7"/>
  <c r="X92" i="7"/>
  <c r="X96" i="7"/>
  <c r="X100" i="7"/>
  <c r="X104" i="7"/>
  <c r="X108" i="7"/>
  <c r="X112" i="7"/>
  <c r="X116" i="7"/>
  <c r="X120" i="7"/>
  <c r="X124" i="7"/>
  <c r="X128" i="7"/>
  <c r="X132" i="7"/>
  <c r="X136" i="7"/>
  <c r="X140" i="7"/>
  <c r="X144" i="7"/>
  <c r="X148" i="7"/>
  <c r="X152" i="7"/>
  <c r="X156" i="7"/>
  <c r="X160" i="7"/>
  <c r="X164" i="7"/>
  <c r="X168" i="7"/>
  <c r="X172" i="7"/>
  <c r="X176" i="7"/>
  <c r="X180" i="7"/>
  <c r="X184" i="7"/>
  <c r="X188" i="7"/>
  <c r="X192" i="7"/>
  <c r="X196" i="7"/>
  <c r="X200" i="7"/>
  <c r="X204" i="7"/>
  <c r="X208" i="7"/>
  <c r="X212" i="7"/>
  <c r="X216" i="7"/>
  <c r="X220" i="7"/>
  <c r="X224" i="7"/>
  <c r="X228" i="7"/>
  <c r="X232" i="7"/>
  <c r="X236" i="7"/>
  <c r="X240" i="7"/>
  <c r="X244" i="7"/>
  <c r="X248" i="7"/>
  <c r="X252" i="7"/>
  <c r="X256" i="7"/>
  <c r="X260" i="7"/>
  <c r="X264" i="7"/>
  <c r="X268" i="7"/>
  <c r="X272" i="7"/>
  <c r="X276" i="7"/>
  <c r="X280" i="7"/>
  <c r="X284" i="7"/>
  <c r="X288" i="7"/>
  <c r="X292" i="7"/>
  <c r="X296" i="7"/>
  <c r="X300" i="7"/>
  <c r="X304" i="7"/>
  <c r="X308" i="7"/>
  <c r="X312" i="7"/>
  <c r="X316" i="7"/>
  <c r="X320" i="7"/>
  <c r="X324" i="7"/>
  <c r="X328" i="7"/>
  <c r="X332" i="7"/>
  <c r="X336" i="7"/>
  <c r="X340" i="7"/>
  <c r="X344" i="7"/>
  <c r="X348" i="7"/>
  <c r="X349" i="7"/>
  <c r="X353" i="7"/>
  <c r="X357" i="7"/>
  <c r="X361" i="7"/>
  <c r="X365" i="7"/>
  <c r="X369" i="7"/>
  <c r="X373" i="7"/>
  <c r="X377" i="7"/>
  <c r="X381" i="7"/>
  <c r="X385" i="7"/>
  <c r="X389" i="7"/>
  <c r="X393" i="7"/>
  <c r="X397" i="7"/>
  <c r="X401" i="7"/>
  <c r="X405" i="7"/>
  <c r="X409" i="7"/>
  <c r="X413" i="7"/>
  <c r="X417" i="7"/>
  <c r="X421" i="7"/>
  <c r="X425" i="7"/>
  <c r="X429" i="7"/>
  <c r="X433" i="7"/>
  <c r="X437" i="7"/>
  <c r="X441" i="7"/>
  <c r="X445" i="7"/>
  <c r="X449" i="7"/>
  <c r="X453" i="7"/>
  <c r="X457" i="7"/>
  <c r="X461" i="7"/>
  <c r="X465" i="7"/>
  <c r="X469" i="7"/>
  <c r="X473" i="7"/>
  <c r="X477" i="7"/>
  <c r="X481" i="7"/>
  <c r="X485" i="7"/>
  <c r="X489" i="7"/>
  <c r="X493" i="7"/>
  <c r="X497" i="7"/>
  <c r="X501" i="7"/>
  <c r="X505" i="7"/>
  <c r="X509" i="7"/>
  <c r="X513" i="7"/>
  <c r="X517" i="7"/>
  <c r="X521" i="7"/>
  <c r="X525" i="7"/>
  <c r="X529" i="7"/>
  <c r="X533" i="7"/>
  <c r="X537" i="7"/>
  <c r="X541" i="7"/>
  <c r="X545" i="7"/>
  <c r="X549" i="7"/>
  <c r="X553" i="7"/>
  <c r="X557" i="7"/>
  <c r="X561" i="7"/>
  <c r="X565" i="7"/>
  <c r="X569" i="7"/>
  <c r="X573" i="7"/>
  <c r="X577" i="7"/>
  <c r="X581" i="7"/>
  <c r="X585" i="7"/>
  <c r="X589" i="7"/>
  <c r="X593" i="7"/>
  <c r="X597" i="7"/>
  <c r="X601" i="7"/>
  <c r="X605" i="7"/>
  <c r="X609" i="7"/>
  <c r="X613" i="7"/>
  <c r="X617" i="7"/>
  <c r="X621" i="7"/>
  <c r="X625" i="7"/>
  <c r="X629" i="7"/>
  <c r="X633" i="7"/>
  <c r="X637" i="7"/>
  <c r="X641" i="7"/>
  <c r="X645" i="7"/>
  <c r="X649" i="7"/>
  <c r="X653" i="7"/>
  <c r="X657" i="7"/>
  <c r="X661" i="7"/>
  <c r="X665" i="7"/>
  <c r="X669" i="7"/>
  <c r="X673" i="7"/>
  <c r="X677" i="7"/>
  <c r="X681" i="7"/>
  <c r="X685" i="7"/>
  <c r="X689" i="7"/>
  <c r="X350" i="7"/>
  <c r="X354" i="7"/>
  <c r="X358" i="7"/>
  <c r="X362" i="7"/>
  <c r="X366" i="7"/>
  <c r="X370" i="7"/>
  <c r="X374" i="7"/>
  <c r="X378" i="7"/>
  <c r="X382" i="7"/>
  <c r="X386" i="7"/>
  <c r="X390" i="7"/>
  <c r="X394" i="7"/>
  <c r="X398" i="7"/>
  <c r="X402" i="7"/>
  <c r="X406" i="7"/>
  <c r="X410" i="7"/>
  <c r="X414" i="7"/>
  <c r="X418" i="7"/>
  <c r="X422" i="7"/>
  <c r="X426" i="7"/>
  <c r="X430" i="7"/>
  <c r="X434" i="7"/>
  <c r="X438" i="7"/>
  <c r="X442" i="7"/>
  <c r="X446" i="7"/>
  <c r="X450" i="7"/>
  <c r="X454" i="7"/>
  <c r="X458" i="7"/>
  <c r="X462" i="7"/>
  <c r="X466" i="7"/>
  <c r="X470" i="7"/>
  <c r="X474" i="7"/>
  <c r="X478" i="7"/>
  <c r="X482" i="7"/>
  <c r="X486" i="7"/>
  <c r="X490" i="7"/>
  <c r="X494" i="7"/>
  <c r="X498" i="7"/>
  <c r="X502" i="7"/>
  <c r="X506" i="7"/>
  <c r="X510" i="7"/>
  <c r="X514" i="7"/>
  <c r="X518" i="7"/>
  <c r="X522" i="7"/>
  <c r="X526" i="7"/>
  <c r="X530" i="7"/>
  <c r="X534" i="7"/>
  <c r="X538" i="7"/>
  <c r="X542" i="7"/>
  <c r="X546" i="7"/>
  <c r="X550" i="7"/>
  <c r="X554" i="7"/>
  <c r="X558" i="7"/>
  <c r="X562" i="7"/>
  <c r="X566" i="7"/>
  <c r="X570" i="7"/>
  <c r="X574" i="7"/>
  <c r="X578" i="7"/>
  <c r="X582" i="7"/>
  <c r="X586" i="7"/>
  <c r="X590" i="7"/>
  <c r="X594" i="7"/>
  <c r="X598" i="7"/>
  <c r="X602" i="7"/>
  <c r="X606" i="7"/>
  <c r="X610" i="7"/>
  <c r="X614" i="7"/>
  <c r="X618" i="7"/>
  <c r="X622" i="7"/>
  <c r="X626" i="7"/>
  <c r="X630" i="7"/>
  <c r="X634" i="7"/>
  <c r="X638" i="7"/>
  <c r="X642" i="7"/>
  <c r="X646" i="7"/>
  <c r="X650" i="7"/>
  <c r="X654" i="7"/>
  <c r="X658" i="7"/>
  <c r="X662" i="7"/>
  <c r="X666" i="7"/>
  <c r="X670" i="7"/>
  <c r="X674" i="7"/>
  <c r="X678" i="7"/>
  <c r="X682" i="7"/>
  <c r="X686" i="7"/>
  <c r="X351" i="7"/>
  <c r="X355" i="7"/>
  <c r="X359" i="7"/>
  <c r="X363" i="7"/>
  <c r="X367" i="7"/>
  <c r="X371" i="7"/>
  <c r="X375" i="7"/>
  <c r="X379" i="7"/>
  <c r="X383" i="7"/>
  <c r="X387" i="7"/>
  <c r="X391" i="7"/>
  <c r="X395" i="7"/>
  <c r="X399" i="7"/>
  <c r="X403" i="7"/>
  <c r="X407" i="7"/>
  <c r="X411" i="7"/>
  <c r="X415" i="7"/>
  <c r="X419" i="7"/>
  <c r="X423" i="7"/>
  <c r="X427" i="7"/>
  <c r="X431" i="7"/>
  <c r="X435" i="7"/>
  <c r="X439" i="7"/>
  <c r="X443" i="7"/>
  <c r="X447" i="7"/>
  <c r="X451" i="7"/>
  <c r="X455" i="7"/>
  <c r="X459" i="7"/>
  <c r="X463" i="7"/>
  <c r="X467" i="7"/>
  <c r="X471" i="7"/>
  <c r="X475" i="7"/>
  <c r="X479" i="7"/>
  <c r="X483" i="7"/>
  <c r="X487" i="7"/>
  <c r="X491" i="7"/>
  <c r="X495" i="7"/>
  <c r="X499" i="7"/>
  <c r="X503" i="7"/>
  <c r="X507" i="7"/>
  <c r="X511" i="7"/>
  <c r="X515" i="7"/>
  <c r="X519" i="7"/>
  <c r="X523" i="7"/>
  <c r="X527" i="7"/>
  <c r="X531" i="7"/>
  <c r="X535" i="7"/>
  <c r="X539" i="7"/>
  <c r="X543" i="7"/>
  <c r="X547" i="7"/>
  <c r="X551" i="7"/>
  <c r="X555" i="7"/>
  <c r="X559" i="7"/>
  <c r="X563" i="7"/>
  <c r="X567" i="7"/>
  <c r="X571" i="7"/>
  <c r="X575" i="7"/>
  <c r="X579" i="7"/>
  <c r="X583" i="7"/>
  <c r="X587" i="7"/>
  <c r="X591" i="7"/>
  <c r="X595" i="7"/>
  <c r="X599" i="7"/>
  <c r="X603" i="7"/>
  <c r="X607" i="7"/>
  <c r="X611" i="7"/>
  <c r="X615" i="7"/>
  <c r="X619" i="7"/>
  <c r="X623" i="7"/>
  <c r="X627" i="7"/>
  <c r="X631" i="7"/>
  <c r="X635" i="7"/>
  <c r="X639" i="7"/>
  <c r="X643" i="7"/>
  <c r="X647" i="7"/>
  <c r="X651" i="7"/>
  <c r="X655" i="7"/>
  <c r="X659" i="7"/>
  <c r="X663" i="7"/>
  <c r="X667" i="7"/>
  <c r="X671" i="7"/>
  <c r="X675" i="7"/>
  <c r="X679" i="7"/>
  <c r="X683" i="7"/>
  <c r="X687" i="7"/>
  <c r="X352" i="7"/>
  <c r="X356" i="7"/>
  <c r="X360" i="7"/>
  <c r="X364" i="7"/>
  <c r="X368" i="7"/>
  <c r="X372" i="7"/>
  <c r="X376" i="7"/>
  <c r="X380" i="7"/>
  <c r="X384" i="7"/>
  <c r="X388" i="7"/>
  <c r="X392" i="7"/>
  <c r="X396" i="7"/>
  <c r="X400" i="7"/>
  <c r="X404" i="7"/>
  <c r="X408" i="7"/>
  <c r="X412" i="7"/>
  <c r="X416" i="7"/>
  <c r="X420" i="7"/>
  <c r="X424" i="7"/>
  <c r="X428" i="7"/>
  <c r="X432" i="7"/>
  <c r="X436" i="7"/>
  <c r="X440" i="7"/>
  <c r="X444" i="7"/>
  <c r="X448" i="7"/>
  <c r="X452" i="7"/>
  <c r="X456" i="7"/>
  <c r="X460" i="7"/>
  <c r="X464" i="7"/>
  <c r="X468" i="7"/>
  <c r="X472" i="7"/>
  <c r="X476" i="7"/>
  <c r="X480" i="7"/>
  <c r="X484" i="7"/>
  <c r="X488" i="7"/>
  <c r="X492" i="7"/>
  <c r="X496" i="7"/>
  <c r="X500" i="7"/>
  <c r="X504" i="7"/>
  <c r="X508" i="7"/>
  <c r="X512" i="7"/>
  <c r="X516" i="7"/>
  <c r="X520" i="7"/>
  <c r="X524" i="7"/>
  <c r="X528" i="7"/>
  <c r="X532" i="7"/>
  <c r="X536" i="7"/>
  <c r="X540" i="7"/>
  <c r="X544" i="7"/>
  <c r="X548" i="7"/>
  <c r="X552" i="7"/>
  <c r="X556" i="7"/>
  <c r="X560" i="7"/>
  <c r="X564" i="7"/>
  <c r="X568" i="7"/>
  <c r="X572" i="7"/>
  <c r="X576" i="7"/>
  <c r="X580" i="7"/>
  <c r="X584" i="7"/>
  <c r="X588" i="7"/>
  <c r="X592" i="7"/>
  <c r="X596" i="7"/>
  <c r="X600" i="7"/>
  <c r="X604" i="7"/>
  <c r="X608" i="7"/>
  <c r="X612" i="7"/>
  <c r="X616" i="7"/>
  <c r="X620" i="7"/>
  <c r="X624" i="7"/>
  <c r="X628" i="7"/>
  <c r="X632" i="7"/>
  <c r="X636" i="7"/>
  <c r="X640" i="7"/>
  <c r="X644" i="7"/>
  <c r="X648" i="7"/>
  <c r="X652" i="7"/>
  <c r="X656" i="7"/>
  <c r="X660" i="7"/>
  <c r="X664" i="7"/>
  <c r="X668" i="7"/>
  <c r="X672" i="7"/>
  <c r="X676" i="7"/>
  <c r="X680" i="7"/>
  <c r="X684" i="7"/>
  <c r="X688" i="7"/>
  <c r="X690" i="7"/>
  <c r="X694" i="7"/>
  <c r="X698" i="7"/>
  <c r="X702" i="7"/>
  <c r="X706" i="7"/>
  <c r="X710" i="7"/>
  <c r="X714" i="7"/>
  <c r="X718" i="7"/>
  <c r="X722" i="7"/>
  <c r="X726" i="7"/>
  <c r="X730" i="7"/>
  <c r="X734" i="7"/>
  <c r="X738" i="7"/>
  <c r="X742" i="7"/>
  <c r="X746" i="7"/>
  <c r="X750" i="7"/>
  <c r="X754" i="7"/>
  <c r="X758" i="7"/>
  <c r="X762" i="7"/>
  <c r="X766" i="7"/>
  <c r="X770" i="7"/>
  <c r="X774" i="7"/>
  <c r="X778" i="7"/>
  <c r="X782" i="7"/>
  <c r="X786" i="7"/>
  <c r="X790" i="7"/>
  <c r="X794" i="7"/>
  <c r="X798" i="7"/>
  <c r="X802" i="7"/>
  <c r="X806" i="7"/>
  <c r="X810" i="7"/>
  <c r="X814" i="7"/>
  <c r="X818" i="7"/>
  <c r="X822" i="7"/>
  <c r="X826" i="7"/>
  <c r="X830" i="7"/>
  <c r="X834" i="7"/>
  <c r="X838" i="7"/>
  <c r="X842" i="7"/>
  <c r="X846" i="7"/>
  <c r="X850" i="7"/>
  <c r="X854" i="7"/>
  <c r="X858" i="7"/>
  <c r="X862" i="7"/>
  <c r="X866" i="7"/>
  <c r="X870" i="7"/>
  <c r="X874" i="7"/>
  <c r="X878" i="7"/>
  <c r="X882" i="7"/>
  <c r="X886" i="7"/>
  <c r="X890" i="7"/>
  <c r="X894" i="7"/>
  <c r="X898" i="7"/>
  <c r="X902" i="7"/>
  <c r="X906" i="7"/>
  <c r="X910" i="7"/>
  <c r="X914" i="7"/>
  <c r="X918" i="7"/>
  <c r="X922" i="7"/>
  <c r="X926" i="7"/>
  <c r="X930" i="7"/>
  <c r="X934" i="7"/>
  <c r="X938" i="7"/>
  <c r="X942" i="7"/>
  <c r="X946" i="7"/>
  <c r="X950" i="7"/>
  <c r="X954" i="7"/>
  <c r="X958" i="7"/>
  <c r="X962" i="7"/>
  <c r="X966" i="7"/>
  <c r="X970" i="7"/>
  <c r="X974" i="7"/>
  <c r="X978" i="7"/>
  <c r="X982" i="7"/>
  <c r="X986" i="7"/>
  <c r="X990" i="7"/>
  <c r="X994" i="7"/>
  <c r="X998" i="7"/>
  <c r="X1002" i="7"/>
  <c r="X1006" i="7"/>
  <c r="X1010" i="7"/>
  <c r="X1014" i="7"/>
  <c r="X1018" i="7"/>
  <c r="X1022" i="7"/>
  <c r="X1026" i="7"/>
  <c r="X1030" i="7"/>
  <c r="X691" i="7"/>
  <c r="X695" i="7"/>
  <c r="X699" i="7"/>
  <c r="X703" i="7"/>
  <c r="X707" i="7"/>
  <c r="X711" i="7"/>
  <c r="X715" i="7"/>
  <c r="X719" i="7"/>
  <c r="X723" i="7"/>
  <c r="X727" i="7"/>
  <c r="X731" i="7"/>
  <c r="X735" i="7"/>
  <c r="X739" i="7"/>
  <c r="X743" i="7"/>
  <c r="X747" i="7"/>
  <c r="X751" i="7"/>
  <c r="X755" i="7"/>
  <c r="X759" i="7"/>
  <c r="X763" i="7"/>
  <c r="X767" i="7"/>
  <c r="X771" i="7"/>
  <c r="X775" i="7"/>
  <c r="X779" i="7"/>
  <c r="X783" i="7"/>
  <c r="X787" i="7"/>
  <c r="X791" i="7"/>
  <c r="X795" i="7"/>
  <c r="X799" i="7"/>
  <c r="X803" i="7"/>
  <c r="X807" i="7"/>
  <c r="X811" i="7"/>
  <c r="X815" i="7"/>
  <c r="X819" i="7"/>
  <c r="X823" i="7"/>
  <c r="X827" i="7"/>
  <c r="X831" i="7"/>
  <c r="X835" i="7"/>
  <c r="X839" i="7"/>
  <c r="X843" i="7"/>
  <c r="X847" i="7"/>
  <c r="X851" i="7"/>
  <c r="X855" i="7"/>
  <c r="X859" i="7"/>
  <c r="X863" i="7"/>
  <c r="X867" i="7"/>
  <c r="X871" i="7"/>
  <c r="X875" i="7"/>
  <c r="X879" i="7"/>
  <c r="X883" i="7"/>
  <c r="X887" i="7"/>
  <c r="X891" i="7"/>
  <c r="X895" i="7"/>
  <c r="X899" i="7"/>
  <c r="X903" i="7"/>
  <c r="X907" i="7"/>
  <c r="X911" i="7"/>
  <c r="X915" i="7"/>
  <c r="X919" i="7"/>
  <c r="X923" i="7"/>
  <c r="X927" i="7"/>
  <c r="X931" i="7"/>
  <c r="X935" i="7"/>
  <c r="X939" i="7"/>
  <c r="X943" i="7"/>
  <c r="X947" i="7"/>
  <c r="X951" i="7"/>
  <c r="X955" i="7"/>
  <c r="X959" i="7"/>
  <c r="X963" i="7"/>
  <c r="X967" i="7"/>
  <c r="X971" i="7"/>
  <c r="X975" i="7"/>
  <c r="X979" i="7"/>
  <c r="X983" i="7"/>
  <c r="X987" i="7"/>
  <c r="X991" i="7"/>
  <c r="X995" i="7"/>
  <c r="X999" i="7"/>
  <c r="X1003" i="7"/>
  <c r="X1007" i="7"/>
  <c r="X1011" i="7"/>
  <c r="X1015" i="7"/>
  <c r="X1019" i="7"/>
  <c r="X1023" i="7"/>
  <c r="X1027" i="7"/>
  <c r="X1031" i="7"/>
  <c r="X692" i="7"/>
  <c r="X696" i="7"/>
  <c r="X700" i="7"/>
  <c r="X704" i="7"/>
  <c r="X708" i="7"/>
  <c r="X712" i="7"/>
  <c r="X716" i="7"/>
  <c r="X720" i="7"/>
  <c r="X724" i="7"/>
  <c r="X728" i="7"/>
  <c r="X732" i="7"/>
  <c r="X736" i="7"/>
  <c r="X740" i="7"/>
  <c r="X744" i="7"/>
  <c r="X748" i="7"/>
  <c r="X752" i="7"/>
  <c r="X756" i="7"/>
  <c r="X760" i="7"/>
  <c r="X764" i="7"/>
  <c r="X768" i="7"/>
  <c r="X772" i="7"/>
  <c r="X776" i="7"/>
  <c r="X780" i="7"/>
  <c r="X784" i="7"/>
  <c r="X788" i="7"/>
  <c r="X792" i="7"/>
  <c r="X796" i="7"/>
  <c r="X800" i="7"/>
  <c r="X804" i="7"/>
  <c r="X808" i="7"/>
  <c r="X812" i="7"/>
  <c r="X816" i="7"/>
  <c r="X820" i="7"/>
  <c r="X824" i="7"/>
  <c r="X828" i="7"/>
  <c r="X832" i="7"/>
  <c r="X836" i="7"/>
  <c r="X840" i="7"/>
  <c r="X844" i="7"/>
  <c r="X848" i="7"/>
  <c r="X852" i="7"/>
  <c r="X856" i="7"/>
  <c r="X860" i="7"/>
  <c r="X864" i="7"/>
  <c r="X868" i="7"/>
  <c r="X872" i="7"/>
  <c r="X876" i="7"/>
  <c r="X880" i="7"/>
  <c r="X884" i="7"/>
  <c r="X888" i="7"/>
  <c r="X892" i="7"/>
  <c r="X896" i="7"/>
  <c r="X900" i="7"/>
  <c r="X904" i="7"/>
  <c r="X908" i="7"/>
  <c r="X912" i="7"/>
  <c r="X916" i="7"/>
  <c r="X920" i="7"/>
  <c r="X924" i="7"/>
  <c r="X928" i="7"/>
  <c r="X932" i="7"/>
  <c r="X936" i="7"/>
  <c r="X940" i="7"/>
  <c r="X944" i="7"/>
  <c r="X948" i="7"/>
  <c r="X952" i="7"/>
  <c r="X956" i="7"/>
  <c r="X960" i="7"/>
  <c r="X964" i="7"/>
  <c r="X968" i="7"/>
  <c r="X972" i="7"/>
  <c r="X976" i="7"/>
  <c r="X980" i="7"/>
  <c r="X984" i="7"/>
  <c r="X988" i="7"/>
  <c r="X992" i="7"/>
  <c r="X996" i="7"/>
  <c r="X1000" i="7"/>
  <c r="X1004" i="7"/>
  <c r="X1008" i="7"/>
  <c r="X1012" i="7"/>
  <c r="X1016" i="7"/>
  <c r="X1020" i="7"/>
  <c r="X1024" i="7"/>
  <c r="X1028" i="7"/>
  <c r="X693" i="7"/>
  <c r="X697" i="7"/>
  <c r="X701" i="7"/>
  <c r="X705" i="7"/>
  <c r="X709" i="7"/>
  <c r="X713" i="7"/>
  <c r="X717" i="7"/>
  <c r="X721" i="7"/>
  <c r="X725" i="7"/>
  <c r="X729" i="7"/>
  <c r="X733" i="7"/>
  <c r="X737" i="7"/>
  <c r="X741" i="7"/>
  <c r="X745" i="7"/>
  <c r="X749" i="7"/>
  <c r="X753" i="7"/>
  <c r="X757" i="7"/>
  <c r="X761" i="7"/>
  <c r="X765" i="7"/>
  <c r="X769" i="7"/>
  <c r="X773" i="7"/>
  <c r="X777" i="7"/>
  <c r="X781" i="7"/>
  <c r="X785" i="7"/>
  <c r="X789" i="7"/>
  <c r="X793" i="7"/>
  <c r="X797" i="7"/>
  <c r="X801" i="7"/>
  <c r="X805" i="7"/>
  <c r="X809" i="7"/>
  <c r="X813" i="7"/>
  <c r="X817" i="7"/>
  <c r="X821" i="7"/>
  <c r="X825" i="7"/>
  <c r="X829" i="7"/>
  <c r="X833" i="7"/>
  <c r="X837" i="7"/>
  <c r="X841" i="7"/>
  <c r="X845" i="7"/>
  <c r="X849" i="7"/>
  <c r="X853" i="7"/>
  <c r="X857" i="7"/>
  <c r="X861" i="7"/>
  <c r="X865" i="7"/>
  <c r="X869" i="7"/>
  <c r="X873" i="7"/>
  <c r="X877" i="7"/>
  <c r="X881" i="7"/>
  <c r="X885" i="7"/>
  <c r="X889" i="7"/>
  <c r="X893" i="7"/>
  <c r="X897" i="7"/>
  <c r="X901" i="7"/>
  <c r="X905" i="7"/>
  <c r="X909" i="7"/>
  <c r="X913" i="7"/>
  <c r="X917" i="7"/>
  <c r="X921" i="7"/>
  <c r="X925" i="7"/>
  <c r="X929" i="7"/>
  <c r="X933" i="7"/>
  <c r="X937" i="7"/>
  <c r="X941" i="7"/>
  <c r="X945" i="7"/>
  <c r="X949" i="7"/>
  <c r="X953" i="7"/>
  <c r="X957" i="7"/>
  <c r="X961" i="7"/>
  <c r="X965" i="7"/>
  <c r="X969" i="7"/>
  <c r="X973" i="7"/>
  <c r="X977" i="7"/>
  <c r="X981" i="7"/>
  <c r="X985" i="7"/>
  <c r="X989" i="7"/>
  <c r="X993" i="7"/>
  <c r="X997" i="7"/>
  <c r="X1001" i="7"/>
  <c r="X1005" i="7"/>
  <c r="X1009" i="7"/>
  <c r="X1013" i="7"/>
  <c r="X1017" i="7"/>
  <c r="X1021" i="7"/>
  <c r="X1025" i="7"/>
  <c r="X1029" i="7"/>
  <c r="X1032" i="7"/>
  <c r="X1036" i="7"/>
  <c r="X1040" i="7"/>
  <c r="X1044" i="7"/>
  <c r="X1048" i="7"/>
  <c r="X1052" i="7"/>
  <c r="X1056" i="7"/>
  <c r="X1060" i="7"/>
  <c r="X1062" i="7"/>
  <c r="X1033" i="7"/>
  <c r="X1037" i="7"/>
  <c r="X1041" i="7"/>
  <c r="X1045" i="7"/>
  <c r="X1049" i="7"/>
  <c r="X1053" i="7"/>
  <c r="X1057" i="7"/>
  <c r="X1061" i="7"/>
  <c r="X1058" i="7"/>
  <c r="X1034" i="7"/>
  <c r="X1038" i="7"/>
  <c r="X1042" i="7"/>
  <c r="X1046" i="7"/>
  <c r="X1050" i="7"/>
  <c r="X1054" i="7"/>
  <c r="X1059" i="7"/>
  <c r="X1035" i="7"/>
  <c r="X1039" i="7"/>
  <c r="X1043" i="7"/>
  <c r="X1047" i="7"/>
  <c r="X1051" i="7"/>
  <c r="X1055" i="7"/>
  <c r="X1063" i="7"/>
  <c r="H22" i="4"/>
  <c r="E27" i="19"/>
  <c r="O25" i="4"/>
  <c r="C27" i="19"/>
  <c r="O23" i="4"/>
  <c r="C26" i="12"/>
  <c r="U1056" i="9"/>
  <c r="T1056" i="9"/>
  <c r="U1024" i="9"/>
  <c r="T1024" i="9"/>
  <c r="U1023" i="9"/>
  <c r="T1023" i="9"/>
  <c r="U1021" i="9"/>
  <c r="T1021" i="9"/>
  <c r="U1055" i="9"/>
  <c r="T1055" i="9"/>
  <c r="U953" i="9"/>
  <c r="T953" i="9"/>
  <c r="U1040" i="9"/>
  <c r="T1040" i="9"/>
  <c r="U1034" i="9"/>
  <c r="T1034" i="9"/>
  <c r="U10" i="9"/>
  <c r="D60" i="11"/>
  <c r="G60" i="11"/>
  <c r="G67" i="11"/>
  <c r="G68" i="11"/>
  <c r="G69" i="11"/>
  <c r="G70" i="11"/>
  <c r="U1032" i="9"/>
  <c r="T1032" i="9"/>
  <c r="U1039" i="9"/>
  <c r="T1039" i="9"/>
  <c r="U1053" i="9"/>
  <c r="T1053" i="9"/>
  <c r="U889" i="9"/>
  <c r="T889" i="9"/>
  <c r="U1048" i="9"/>
  <c r="T1048" i="9"/>
  <c r="U1016" i="9"/>
  <c r="T1016" i="9"/>
  <c r="U1054" i="9"/>
  <c r="T1054" i="9"/>
  <c r="U993" i="9"/>
  <c r="T993" i="9"/>
  <c r="U1060" i="9"/>
  <c r="T1060" i="9"/>
  <c r="U1044" i="9"/>
  <c r="T1044" i="9"/>
  <c r="U1028" i="9"/>
  <c r="T1028" i="9"/>
  <c r="U1063" i="9"/>
  <c r="T1063" i="9"/>
  <c r="U1031" i="9"/>
  <c r="T1031" i="9"/>
  <c r="U1042" i="9"/>
  <c r="T1042" i="9"/>
  <c r="U1037" i="9"/>
  <c r="T1037" i="9"/>
  <c r="U977" i="9"/>
  <c r="T977" i="9"/>
  <c r="U809" i="9"/>
  <c r="T809" i="9"/>
  <c r="U1052" i="9"/>
  <c r="T1052" i="9"/>
  <c r="U1036" i="9"/>
  <c r="T1036" i="9"/>
  <c r="U1020" i="9"/>
  <c r="T1020" i="9"/>
  <c r="U1047" i="9"/>
  <c r="T1047" i="9"/>
  <c r="U1015" i="9"/>
  <c r="T1015" i="9"/>
  <c r="U1018" i="9"/>
  <c r="T1018" i="9"/>
  <c r="U1009" i="9"/>
  <c r="T1009" i="9"/>
  <c r="U921" i="9"/>
  <c r="T921" i="9"/>
  <c r="U1059" i="9"/>
  <c r="T1059" i="9"/>
  <c r="U1043" i="9"/>
  <c r="T1043" i="9"/>
  <c r="U1027" i="9"/>
  <c r="T1027" i="9"/>
  <c r="U1058" i="9"/>
  <c r="T1058" i="9"/>
  <c r="U1038" i="9"/>
  <c r="T1038" i="9"/>
  <c r="U1061" i="9"/>
  <c r="T1061" i="9"/>
  <c r="U1029" i="9"/>
  <c r="T1029" i="9"/>
  <c r="U1001" i="9"/>
  <c r="T1001" i="9"/>
  <c r="U969" i="9"/>
  <c r="T969" i="9"/>
  <c r="U905" i="9"/>
  <c r="T905" i="9"/>
  <c r="U745" i="9"/>
  <c r="T745" i="9"/>
  <c r="U1051" i="9"/>
  <c r="T1051" i="9"/>
  <c r="U1035" i="9"/>
  <c r="T1035" i="9"/>
  <c r="U1019" i="9"/>
  <c r="T1019" i="9"/>
  <c r="U1050" i="9"/>
  <c r="T1050" i="9"/>
  <c r="U1026" i="9"/>
  <c r="T1026" i="9"/>
  <c r="U1045" i="9"/>
  <c r="T1045" i="9"/>
  <c r="U1011" i="9"/>
  <c r="T1011" i="9"/>
  <c r="U985" i="9"/>
  <c r="T985" i="9"/>
  <c r="U937" i="9"/>
  <c r="T937" i="9"/>
  <c r="U873" i="9"/>
  <c r="T873" i="9"/>
  <c r="U961" i="9"/>
  <c r="T961" i="9"/>
  <c r="U929" i="9"/>
  <c r="T929" i="9"/>
  <c r="U897" i="9"/>
  <c r="T897" i="9"/>
  <c r="U841" i="9"/>
  <c r="T841" i="9"/>
  <c r="U713" i="9"/>
  <c r="T713" i="9"/>
  <c r="U945" i="9"/>
  <c r="T945" i="9"/>
  <c r="U913" i="9"/>
  <c r="T913" i="9"/>
  <c r="U881" i="9"/>
  <c r="T881" i="9"/>
  <c r="U777" i="9"/>
  <c r="T777" i="9"/>
  <c r="U825" i="9"/>
  <c r="T825" i="9"/>
  <c r="U761" i="9"/>
  <c r="T761" i="9"/>
  <c r="U681" i="9"/>
  <c r="T681" i="9"/>
  <c r="U857" i="9"/>
  <c r="T857" i="9"/>
  <c r="U793" i="9"/>
  <c r="T793" i="9"/>
  <c r="U729" i="9"/>
  <c r="T729" i="9"/>
  <c r="U936" i="9"/>
  <c r="T936" i="9"/>
  <c r="U697" i="9"/>
  <c r="T697" i="9"/>
  <c r="U872" i="9"/>
  <c r="T872" i="9"/>
  <c r="U1000" i="9"/>
  <c r="T1000" i="9"/>
  <c r="U808" i="9"/>
  <c r="T808" i="9"/>
  <c r="U1022" i="9"/>
  <c r="T1022" i="9"/>
  <c r="U1057" i="9"/>
  <c r="T1057" i="9"/>
  <c r="U1041" i="9"/>
  <c r="T1041" i="9"/>
  <c r="U1025" i="9"/>
  <c r="T1025" i="9"/>
  <c r="U1013" i="9"/>
  <c r="T1013" i="9"/>
  <c r="U997" i="9"/>
  <c r="T997" i="9"/>
  <c r="U981" i="9"/>
  <c r="T981" i="9"/>
  <c r="U965" i="9"/>
  <c r="T965" i="9"/>
  <c r="U949" i="9"/>
  <c r="T949" i="9"/>
  <c r="U933" i="9"/>
  <c r="T933" i="9"/>
  <c r="U917" i="9"/>
  <c r="T917" i="9"/>
  <c r="U901" i="9"/>
  <c r="T901" i="9"/>
  <c r="U885" i="9"/>
  <c r="T885" i="9"/>
  <c r="U865" i="9"/>
  <c r="T865" i="9"/>
  <c r="U833" i="9"/>
  <c r="T833" i="9"/>
  <c r="U801" i="9"/>
  <c r="T801" i="9"/>
  <c r="U769" i="9"/>
  <c r="T769" i="9"/>
  <c r="U737" i="9"/>
  <c r="T737" i="9"/>
  <c r="U705" i="9"/>
  <c r="T705" i="9"/>
  <c r="U1012" i="9"/>
  <c r="T1012" i="9"/>
  <c r="U904" i="9"/>
  <c r="T904" i="9"/>
  <c r="U776" i="9"/>
  <c r="T776" i="9"/>
  <c r="U1062" i="9"/>
  <c r="T1062" i="9"/>
  <c r="U1046" i="9"/>
  <c r="T1046" i="9"/>
  <c r="U1030" i="9"/>
  <c r="T1030" i="9"/>
  <c r="U1014" i="9"/>
  <c r="T1014" i="9"/>
  <c r="U1049" i="9"/>
  <c r="T1049" i="9"/>
  <c r="U1033" i="9"/>
  <c r="T1033" i="9"/>
  <c r="U1017" i="9"/>
  <c r="T1017" i="9"/>
  <c r="U1005" i="9"/>
  <c r="T1005" i="9"/>
  <c r="U989" i="9"/>
  <c r="T989" i="9"/>
  <c r="U973" i="9"/>
  <c r="T973" i="9"/>
  <c r="U957" i="9"/>
  <c r="T957" i="9"/>
  <c r="U941" i="9"/>
  <c r="T941" i="9"/>
  <c r="U925" i="9"/>
  <c r="T925" i="9"/>
  <c r="U909" i="9"/>
  <c r="T909" i="9"/>
  <c r="U893" i="9"/>
  <c r="T893" i="9"/>
  <c r="U877" i="9"/>
  <c r="T877" i="9"/>
  <c r="U849" i="9"/>
  <c r="T849" i="9"/>
  <c r="U817" i="9"/>
  <c r="T817" i="9"/>
  <c r="U785" i="9"/>
  <c r="T785" i="9"/>
  <c r="U753" i="9"/>
  <c r="T753" i="9"/>
  <c r="U721" i="9"/>
  <c r="T721" i="9"/>
  <c r="U689" i="9"/>
  <c r="T689" i="9"/>
  <c r="U968" i="9"/>
  <c r="T968" i="9"/>
  <c r="U840" i="9"/>
  <c r="T840" i="9"/>
  <c r="U728" i="9"/>
  <c r="T728" i="9"/>
  <c r="U869" i="9"/>
  <c r="T869" i="9"/>
  <c r="U853" i="9"/>
  <c r="T853" i="9"/>
  <c r="U837" i="9"/>
  <c r="T837" i="9"/>
  <c r="U821" i="9"/>
  <c r="T821" i="9"/>
  <c r="U805" i="9"/>
  <c r="T805" i="9"/>
  <c r="U789" i="9"/>
  <c r="T789" i="9"/>
  <c r="U773" i="9"/>
  <c r="T773" i="9"/>
  <c r="U757" i="9"/>
  <c r="T757" i="9"/>
  <c r="U741" i="9"/>
  <c r="T741" i="9"/>
  <c r="U725" i="9"/>
  <c r="T725" i="9"/>
  <c r="U709" i="9"/>
  <c r="T709" i="9"/>
  <c r="U693" i="9"/>
  <c r="T693" i="9"/>
  <c r="U676" i="9"/>
  <c r="T676" i="9"/>
  <c r="U984" i="9"/>
  <c r="T984" i="9"/>
  <c r="U920" i="9"/>
  <c r="T920" i="9"/>
  <c r="U856" i="9"/>
  <c r="T856" i="9"/>
  <c r="U792" i="9"/>
  <c r="T792" i="9"/>
  <c r="U680" i="9"/>
  <c r="T680" i="9"/>
  <c r="U861" i="9"/>
  <c r="T861" i="9"/>
  <c r="U845" i="9"/>
  <c r="T845" i="9"/>
  <c r="U829" i="9"/>
  <c r="T829" i="9"/>
  <c r="U813" i="9"/>
  <c r="T813" i="9"/>
  <c r="U797" i="9"/>
  <c r="T797" i="9"/>
  <c r="U781" i="9"/>
  <c r="T781" i="9"/>
  <c r="U765" i="9"/>
  <c r="T765" i="9"/>
  <c r="U749" i="9"/>
  <c r="T749" i="9"/>
  <c r="U733" i="9"/>
  <c r="T733" i="9"/>
  <c r="U717" i="9"/>
  <c r="T717" i="9"/>
  <c r="U701" i="9"/>
  <c r="T701" i="9"/>
  <c r="U685" i="9"/>
  <c r="T685" i="9"/>
  <c r="U1008" i="9"/>
  <c r="T1008" i="9"/>
  <c r="U952" i="9"/>
  <c r="T952" i="9"/>
  <c r="U888" i="9"/>
  <c r="T888" i="9"/>
  <c r="U824" i="9"/>
  <c r="T824" i="9"/>
  <c r="U760" i="9"/>
  <c r="T760" i="9"/>
  <c r="U1004" i="9"/>
  <c r="T1004" i="9"/>
  <c r="U972" i="9"/>
  <c r="T972" i="9"/>
  <c r="U940" i="9"/>
  <c r="T940" i="9"/>
  <c r="U908" i="9"/>
  <c r="T908" i="9"/>
  <c r="U876" i="9"/>
  <c r="T876" i="9"/>
  <c r="U844" i="9"/>
  <c r="T844" i="9"/>
  <c r="U812" i="9"/>
  <c r="T812" i="9"/>
  <c r="U780" i="9"/>
  <c r="T780" i="9"/>
  <c r="U744" i="9"/>
  <c r="T744" i="9"/>
  <c r="U919" i="9"/>
  <c r="T919" i="9"/>
  <c r="U988" i="9"/>
  <c r="T988" i="9"/>
  <c r="U956" i="9"/>
  <c r="T956" i="9"/>
  <c r="U924" i="9"/>
  <c r="T924" i="9"/>
  <c r="U892" i="9"/>
  <c r="T892" i="9"/>
  <c r="U860" i="9"/>
  <c r="T860" i="9"/>
  <c r="U828" i="9"/>
  <c r="T828" i="9"/>
  <c r="U796" i="9"/>
  <c r="T796" i="9"/>
  <c r="U764" i="9"/>
  <c r="T764" i="9"/>
  <c r="U712" i="9"/>
  <c r="T712" i="9"/>
  <c r="U831" i="9"/>
  <c r="T831" i="9"/>
  <c r="U959" i="9"/>
  <c r="T959" i="9"/>
  <c r="U732" i="9"/>
  <c r="T732" i="9"/>
  <c r="U688" i="9"/>
  <c r="T688" i="9"/>
  <c r="U951" i="9"/>
  <c r="T951" i="9"/>
  <c r="U759" i="9"/>
  <c r="T759" i="9"/>
  <c r="U748" i="9"/>
  <c r="T748" i="9"/>
  <c r="U716" i="9"/>
  <c r="T716" i="9"/>
  <c r="U983" i="9"/>
  <c r="T983" i="9"/>
  <c r="U887" i="9"/>
  <c r="T887" i="9"/>
  <c r="U991" i="9"/>
  <c r="T991" i="9"/>
  <c r="U927" i="9"/>
  <c r="T927" i="9"/>
  <c r="U863" i="9"/>
  <c r="T863" i="9"/>
  <c r="U1002" i="9"/>
  <c r="T1002" i="9"/>
  <c r="U895" i="9"/>
  <c r="T895" i="9"/>
  <c r="U799" i="9"/>
  <c r="T799" i="9"/>
  <c r="U855" i="9"/>
  <c r="T855" i="9"/>
  <c r="U791" i="9"/>
  <c r="T791" i="9"/>
  <c r="U970" i="9"/>
  <c r="T970" i="9"/>
  <c r="U823" i="9"/>
  <c r="T823" i="9"/>
  <c r="U743" i="9"/>
  <c r="T743" i="9"/>
  <c r="U996" i="9"/>
  <c r="T996" i="9"/>
  <c r="U980" i="9"/>
  <c r="T980" i="9"/>
  <c r="U964" i="9"/>
  <c r="T964" i="9"/>
  <c r="U948" i="9"/>
  <c r="T948" i="9"/>
  <c r="U932" i="9"/>
  <c r="T932" i="9"/>
  <c r="U916" i="9"/>
  <c r="T916" i="9"/>
  <c r="U900" i="9"/>
  <c r="T900" i="9"/>
  <c r="U884" i="9"/>
  <c r="T884" i="9"/>
  <c r="U868" i="9"/>
  <c r="T868" i="9"/>
  <c r="U852" i="9"/>
  <c r="T852" i="9"/>
  <c r="U836" i="9"/>
  <c r="T836" i="9"/>
  <c r="U820" i="9"/>
  <c r="T820" i="9"/>
  <c r="U804" i="9"/>
  <c r="T804" i="9"/>
  <c r="U788" i="9"/>
  <c r="T788" i="9"/>
  <c r="U772" i="9"/>
  <c r="T772" i="9"/>
  <c r="U756" i="9"/>
  <c r="T756" i="9"/>
  <c r="U740" i="9"/>
  <c r="T740" i="9"/>
  <c r="U724" i="9"/>
  <c r="T724" i="9"/>
  <c r="U704" i="9"/>
  <c r="T704" i="9"/>
  <c r="U1007" i="9"/>
  <c r="T1007" i="9"/>
  <c r="U975" i="9"/>
  <c r="T975" i="9"/>
  <c r="U943" i="9"/>
  <c r="T943" i="9"/>
  <c r="U911" i="9"/>
  <c r="T911" i="9"/>
  <c r="U879" i="9"/>
  <c r="T879" i="9"/>
  <c r="U847" i="9"/>
  <c r="T847" i="9"/>
  <c r="U815" i="9"/>
  <c r="T815" i="9"/>
  <c r="U783" i="9"/>
  <c r="T783" i="9"/>
  <c r="U727" i="9"/>
  <c r="T727" i="9"/>
  <c r="U938" i="9"/>
  <c r="T938" i="9"/>
  <c r="U992" i="9"/>
  <c r="T992" i="9"/>
  <c r="U976" i="9"/>
  <c r="T976" i="9"/>
  <c r="U960" i="9"/>
  <c r="T960" i="9"/>
  <c r="U944" i="9"/>
  <c r="T944" i="9"/>
  <c r="U928" i="9"/>
  <c r="T928" i="9"/>
  <c r="U912" i="9"/>
  <c r="T912" i="9"/>
  <c r="U896" i="9"/>
  <c r="T896" i="9"/>
  <c r="U880" i="9"/>
  <c r="T880" i="9"/>
  <c r="U864" i="9"/>
  <c r="T864" i="9"/>
  <c r="U848" i="9"/>
  <c r="T848" i="9"/>
  <c r="U832" i="9"/>
  <c r="T832" i="9"/>
  <c r="U816" i="9"/>
  <c r="T816" i="9"/>
  <c r="U800" i="9"/>
  <c r="T800" i="9"/>
  <c r="U784" i="9"/>
  <c r="T784" i="9"/>
  <c r="U768" i="9"/>
  <c r="T768" i="9"/>
  <c r="U752" i="9"/>
  <c r="T752" i="9"/>
  <c r="U736" i="9"/>
  <c r="T736" i="9"/>
  <c r="U720" i="9"/>
  <c r="T720" i="9"/>
  <c r="U696" i="9"/>
  <c r="T696" i="9"/>
  <c r="U999" i="9"/>
  <c r="T999" i="9"/>
  <c r="U967" i="9"/>
  <c r="T967" i="9"/>
  <c r="U935" i="9"/>
  <c r="T935" i="9"/>
  <c r="U903" i="9"/>
  <c r="T903" i="9"/>
  <c r="U871" i="9"/>
  <c r="T871" i="9"/>
  <c r="U839" i="9"/>
  <c r="T839" i="9"/>
  <c r="U807" i="9"/>
  <c r="T807" i="9"/>
  <c r="U775" i="9"/>
  <c r="T775" i="9"/>
  <c r="U695" i="9"/>
  <c r="T695" i="9"/>
  <c r="U886" i="9"/>
  <c r="T886" i="9"/>
  <c r="U679" i="9"/>
  <c r="T679" i="9"/>
  <c r="U954" i="9"/>
  <c r="T954" i="9"/>
  <c r="U838" i="9"/>
  <c r="T838" i="9"/>
  <c r="U711" i="9"/>
  <c r="T711" i="9"/>
  <c r="U986" i="9"/>
  <c r="T986" i="9"/>
  <c r="U918" i="9"/>
  <c r="T918" i="9"/>
  <c r="U774" i="9"/>
  <c r="T774" i="9"/>
  <c r="U700" i="9"/>
  <c r="T700" i="9"/>
  <c r="U684" i="9"/>
  <c r="T684" i="9"/>
  <c r="U1003" i="9"/>
  <c r="T1003" i="9"/>
  <c r="U987" i="9"/>
  <c r="T987" i="9"/>
  <c r="U971" i="9"/>
  <c r="T971" i="9"/>
  <c r="U955" i="9"/>
  <c r="T955" i="9"/>
  <c r="U939" i="9"/>
  <c r="T939" i="9"/>
  <c r="U923" i="9"/>
  <c r="T923" i="9"/>
  <c r="U907" i="9"/>
  <c r="T907" i="9"/>
  <c r="U891" i="9"/>
  <c r="T891" i="9"/>
  <c r="U875" i="9"/>
  <c r="T875" i="9"/>
  <c r="U859" i="9"/>
  <c r="T859" i="9"/>
  <c r="U843" i="9"/>
  <c r="T843" i="9"/>
  <c r="U827" i="9"/>
  <c r="T827" i="9"/>
  <c r="U811" i="9"/>
  <c r="T811" i="9"/>
  <c r="U795" i="9"/>
  <c r="T795" i="9"/>
  <c r="U779" i="9"/>
  <c r="T779" i="9"/>
  <c r="U751" i="9"/>
  <c r="T751" i="9"/>
  <c r="U719" i="9"/>
  <c r="T719" i="9"/>
  <c r="U687" i="9"/>
  <c r="T687" i="9"/>
  <c r="U994" i="9"/>
  <c r="T994" i="9"/>
  <c r="U962" i="9"/>
  <c r="T962" i="9"/>
  <c r="U930" i="9"/>
  <c r="T930" i="9"/>
  <c r="U870" i="9"/>
  <c r="T870" i="9"/>
  <c r="U742" i="9"/>
  <c r="T742" i="9"/>
  <c r="U708" i="9"/>
  <c r="T708" i="9"/>
  <c r="U692" i="9"/>
  <c r="T692" i="9"/>
  <c r="U675" i="9"/>
  <c r="T675" i="9"/>
  <c r="U995" i="9"/>
  <c r="T995" i="9"/>
  <c r="U979" i="9"/>
  <c r="T979" i="9"/>
  <c r="U963" i="9"/>
  <c r="T963" i="9"/>
  <c r="U947" i="9"/>
  <c r="T947" i="9"/>
  <c r="U931" i="9"/>
  <c r="T931" i="9"/>
  <c r="U915" i="9"/>
  <c r="T915" i="9"/>
  <c r="U899" i="9"/>
  <c r="T899" i="9"/>
  <c r="U883" i="9"/>
  <c r="T883" i="9"/>
  <c r="U867" i="9"/>
  <c r="T867" i="9"/>
  <c r="U851" i="9"/>
  <c r="T851" i="9"/>
  <c r="U835" i="9"/>
  <c r="T835" i="9"/>
  <c r="U819" i="9"/>
  <c r="T819" i="9"/>
  <c r="U803" i="9"/>
  <c r="T803" i="9"/>
  <c r="U787" i="9"/>
  <c r="T787" i="9"/>
  <c r="U767" i="9"/>
  <c r="T767" i="9"/>
  <c r="U735" i="9"/>
  <c r="T735" i="9"/>
  <c r="U703" i="9"/>
  <c r="T703" i="9"/>
  <c r="U1010" i="9"/>
  <c r="T1010" i="9"/>
  <c r="U978" i="9"/>
  <c r="T978" i="9"/>
  <c r="U946" i="9"/>
  <c r="T946" i="9"/>
  <c r="U902" i="9"/>
  <c r="T902" i="9"/>
  <c r="U806" i="9"/>
  <c r="T806" i="9"/>
  <c r="U702" i="9"/>
  <c r="T702" i="9"/>
  <c r="U822" i="9"/>
  <c r="T822" i="9"/>
  <c r="U758" i="9"/>
  <c r="T758" i="9"/>
  <c r="U653" i="9"/>
  <c r="T653" i="9"/>
  <c r="U854" i="9"/>
  <c r="T854" i="9"/>
  <c r="U790" i="9"/>
  <c r="T790" i="9"/>
  <c r="U726" i="9"/>
  <c r="T726" i="9"/>
  <c r="U771" i="9"/>
  <c r="T771" i="9"/>
  <c r="U755" i="9"/>
  <c r="T755" i="9"/>
  <c r="U739" i="9"/>
  <c r="T739" i="9"/>
  <c r="U723" i="9"/>
  <c r="T723" i="9"/>
  <c r="U707" i="9"/>
  <c r="T707" i="9"/>
  <c r="U691" i="9"/>
  <c r="T691" i="9"/>
  <c r="U674" i="9"/>
  <c r="T674" i="9"/>
  <c r="U998" i="9"/>
  <c r="T998" i="9"/>
  <c r="U982" i="9"/>
  <c r="T982" i="9"/>
  <c r="U966" i="9"/>
  <c r="T966" i="9"/>
  <c r="U950" i="9"/>
  <c r="T950" i="9"/>
  <c r="U934" i="9"/>
  <c r="T934" i="9"/>
  <c r="U910" i="9"/>
  <c r="T910" i="9"/>
  <c r="U878" i="9"/>
  <c r="T878" i="9"/>
  <c r="U846" i="9"/>
  <c r="T846" i="9"/>
  <c r="U814" i="9"/>
  <c r="T814" i="9"/>
  <c r="U782" i="9"/>
  <c r="T782" i="9"/>
  <c r="U750" i="9"/>
  <c r="T750" i="9"/>
  <c r="U718" i="9"/>
  <c r="T718" i="9"/>
  <c r="U621" i="9"/>
  <c r="T621" i="9"/>
  <c r="U763" i="9"/>
  <c r="T763" i="9"/>
  <c r="U747" i="9"/>
  <c r="T747" i="9"/>
  <c r="U731" i="9"/>
  <c r="T731" i="9"/>
  <c r="U715" i="9"/>
  <c r="T715" i="9"/>
  <c r="U699" i="9"/>
  <c r="T699" i="9"/>
  <c r="U683" i="9"/>
  <c r="T683" i="9"/>
  <c r="U1006" i="9"/>
  <c r="T1006" i="9"/>
  <c r="U990" i="9"/>
  <c r="T990" i="9"/>
  <c r="U974" i="9"/>
  <c r="T974" i="9"/>
  <c r="U958" i="9"/>
  <c r="T958" i="9"/>
  <c r="U942" i="9"/>
  <c r="T942" i="9"/>
  <c r="U926" i="9"/>
  <c r="T926" i="9"/>
  <c r="U894" i="9"/>
  <c r="T894" i="9"/>
  <c r="U862" i="9"/>
  <c r="T862" i="9"/>
  <c r="U830" i="9"/>
  <c r="T830" i="9"/>
  <c r="U798" i="9"/>
  <c r="T798" i="9"/>
  <c r="U766" i="9"/>
  <c r="T766" i="9"/>
  <c r="U734" i="9"/>
  <c r="T734" i="9"/>
  <c r="U678" i="9"/>
  <c r="T678" i="9"/>
  <c r="U710" i="9"/>
  <c r="T710" i="9"/>
  <c r="U669" i="9"/>
  <c r="T669" i="9"/>
  <c r="U589" i="9"/>
  <c r="T589" i="9"/>
  <c r="U694" i="9"/>
  <c r="T694" i="9"/>
  <c r="U637" i="9"/>
  <c r="T637" i="9"/>
  <c r="U686" i="9"/>
  <c r="T686" i="9"/>
  <c r="U661" i="9"/>
  <c r="T661" i="9"/>
  <c r="U629" i="9"/>
  <c r="T629" i="9"/>
  <c r="U573" i="9"/>
  <c r="T573" i="9"/>
  <c r="U677" i="9"/>
  <c r="T677" i="9"/>
  <c r="U645" i="9"/>
  <c r="T645" i="9"/>
  <c r="U605" i="9"/>
  <c r="T605" i="9"/>
  <c r="U922" i="9"/>
  <c r="T922" i="9"/>
  <c r="U906" i="9"/>
  <c r="T906" i="9"/>
  <c r="U890" i="9"/>
  <c r="T890" i="9"/>
  <c r="U874" i="9"/>
  <c r="T874" i="9"/>
  <c r="U858" i="9"/>
  <c r="T858" i="9"/>
  <c r="U842" i="9"/>
  <c r="T842" i="9"/>
  <c r="U826" i="9"/>
  <c r="T826" i="9"/>
  <c r="U810" i="9"/>
  <c r="T810" i="9"/>
  <c r="U794" i="9"/>
  <c r="T794" i="9"/>
  <c r="U778" i="9"/>
  <c r="T778" i="9"/>
  <c r="U762" i="9"/>
  <c r="T762" i="9"/>
  <c r="U746" i="9"/>
  <c r="T746" i="9"/>
  <c r="U730" i="9"/>
  <c r="T730" i="9"/>
  <c r="U714" i="9"/>
  <c r="T714" i="9"/>
  <c r="U698" i="9"/>
  <c r="T698" i="9"/>
  <c r="U682" i="9"/>
  <c r="T682" i="9"/>
  <c r="U673" i="9"/>
  <c r="T673" i="9"/>
  <c r="U657" i="9"/>
  <c r="T657" i="9"/>
  <c r="U641" i="9"/>
  <c r="T641" i="9"/>
  <c r="U625" i="9"/>
  <c r="T625" i="9"/>
  <c r="U597" i="9"/>
  <c r="T597" i="9"/>
  <c r="U549" i="9"/>
  <c r="T549" i="9"/>
  <c r="U914" i="9"/>
  <c r="T914" i="9"/>
  <c r="U898" i="9"/>
  <c r="T898" i="9"/>
  <c r="U882" i="9"/>
  <c r="T882" i="9"/>
  <c r="U866" i="9"/>
  <c r="T866" i="9"/>
  <c r="U850" i="9"/>
  <c r="T850" i="9"/>
  <c r="U834" i="9"/>
  <c r="T834" i="9"/>
  <c r="U818" i="9"/>
  <c r="T818" i="9"/>
  <c r="U802" i="9"/>
  <c r="T802" i="9"/>
  <c r="U786" i="9"/>
  <c r="T786" i="9"/>
  <c r="U770" i="9"/>
  <c r="T770" i="9"/>
  <c r="U754" i="9"/>
  <c r="T754" i="9"/>
  <c r="U738" i="9"/>
  <c r="T738" i="9"/>
  <c r="U722" i="9"/>
  <c r="T722" i="9"/>
  <c r="U706" i="9"/>
  <c r="T706" i="9"/>
  <c r="U690" i="9"/>
  <c r="T690" i="9"/>
  <c r="U670" i="9"/>
  <c r="T670" i="9"/>
  <c r="U665" i="9"/>
  <c r="T665" i="9"/>
  <c r="U649" i="9"/>
  <c r="T649" i="9"/>
  <c r="U633" i="9"/>
  <c r="T633" i="9"/>
  <c r="U613" i="9"/>
  <c r="T613" i="9"/>
  <c r="U581" i="9"/>
  <c r="T581" i="9"/>
  <c r="U509" i="9"/>
  <c r="T509" i="9"/>
  <c r="U565" i="9"/>
  <c r="T565" i="9"/>
  <c r="U557" i="9"/>
  <c r="T557" i="9"/>
  <c r="U477" i="9"/>
  <c r="T477" i="9"/>
  <c r="U533" i="9"/>
  <c r="T533" i="9"/>
  <c r="U525" i="9"/>
  <c r="T525" i="9"/>
  <c r="U461" i="9"/>
  <c r="T461" i="9"/>
  <c r="U541" i="9"/>
  <c r="T541" i="9"/>
  <c r="U493" i="9"/>
  <c r="T493" i="9"/>
  <c r="U517" i="9"/>
  <c r="T517" i="9"/>
  <c r="U485" i="9"/>
  <c r="T485" i="9"/>
  <c r="U433" i="9"/>
  <c r="T433" i="9"/>
  <c r="U501" i="9"/>
  <c r="T501" i="9"/>
  <c r="U469" i="9"/>
  <c r="T469" i="9"/>
  <c r="U609" i="9"/>
  <c r="T609" i="9"/>
  <c r="U593" i="9"/>
  <c r="T593" i="9"/>
  <c r="U577" i="9"/>
  <c r="T577" i="9"/>
  <c r="U561" i="9"/>
  <c r="T561" i="9"/>
  <c r="U545" i="9"/>
  <c r="T545" i="9"/>
  <c r="U529" i="9"/>
  <c r="T529" i="9"/>
  <c r="U513" i="9"/>
  <c r="T513" i="9"/>
  <c r="U497" i="9"/>
  <c r="T497" i="9"/>
  <c r="U481" i="9"/>
  <c r="T481" i="9"/>
  <c r="U465" i="9"/>
  <c r="T465" i="9"/>
  <c r="U417" i="9"/>
  <c r="T417" i="9"/>
  <c r="U617" i="9"/>
  <c r="T617" i="9"/>
  <c r="U601" i="9"/>
  <c r="T601" i="9"/>
  <c r="U585" i="9"/>
  <c r="T585" i="9"/>
  <c r="U569" i="9"/>
  <c r="T569" i="9"/>
  <c r="U553" i="9"/>
  <c r="T553" i="9"/>
  <c r="U537" i="9"/>
  <c r="T537" i="9"/>
  <c r="U521" i="9"/>
  <c r="T521" i="9"/>
  <c r="U505" i="9"/>
  <c r="T505" i="9"/>
  <c r="U489" i="9"/>
  <c r="T489" i="9"/>
  <c r="U473" i="9"/>
  <c r="T473" i="9"/>
  <c r="U449" i="9"/>
  <c r="T449" i="9"/>
  <c r="U441" i="9"/>
  <c r="T441" i="9"/>
  <c r="U409" i="9"/>
  <c r="T409" i="9"/>
  <c r="U457" i="9"/>
  <c r="T457" i="9"/>
  <c r="U425" i="9"/>
  <c r="T425" i="9"/>
  <c r="U453" i="9"/>
  <c r="T453" i="9"/>
  <c r="U437" i="9"/>
  <c r="T437" i="9"/>
  <c r="U421" i="9"/>
  <c r="T421" i="9"/>
  <c r="U393" i="9"/>
  <c r="T393" i="9"/>
  <c r="U445" i="9"/>
  <c r="T445" i="9"/>
  <c r="U429" i="9"/>
  <c r="T429" i="9"/>
  <c r="U413" i="9"/>
  <c r="T413" i="9"/>
  <c r="U373" i="9"/>
  <c r="T373" i="9"/>
  <c r="U401" i="9"/>
  <c r="T401" i="9"/>
  <c r="U353" i="9"/>
  <c r="T353" i="9"/>
  <c r="U385" i="9"/>
  <c r="T385" i="9"/>
  <c r="U397" i="9"/>
  <c r="T397" i="9"/>
  <c r="U381" i="9"/>
  <c r="T381" i="9"/>
  <c r="U628" i="9"/>
  <c r="T628" i="9"/>
  <c r="U405" i="9"/>
  <c r="T405" i="9"/>
  <c r="U389" i="9"/>
  <c r="T389" i="9"/>
  <c r="U365" i="9"/>
  <c r="T365" i="9"/>
  <c r="U377" i="9"/>
  <c r="T377" i="9"/>
  <c r="U361" i="9"/>
  <c r="T361" i="9"/>
  <c r="U444" i="9"/>
  <c r="T444" i="9"/>
  <c r="U369" i="9"/>
  <c r="T369" i="9"/>
  <c r="U668" i="9"/>
  <c r="T668" i="9"/>
  <c r="U357" i="9"/>
  <c r="T357" i="9"/>
  <c r="U652" i="9"/>
  <c r="T652" i="9"/>
  <c r="U527" i="9"/>
  <c r="T527" i="9"/>
  <c r="U333" i="9"/>
  <c r="T333" i="9"/>
  <c r="U572" i="9"/>
  <c r="T572" i="9"/>
  <c r="U508" i="9"/>
  <c r="T508" i="9"/>
  <c r="U606" i="9"/>
  <c r="T606" i="9"/>
  <c r="U380" i="9"/>
  <c r="T380" i="9"/>
  <c r="U655" i="9"/>
  <c r="T655" i="9"/>
  <c r="U349" i="9"/>
  <c r="T349" i="9"/>
  <c r="U399" i="9"/>
  <c r="T399" i="9"/>
  <c r="U242" i="9"/>
  <c r="T242" i="9"/>
  <c r="U591" i="9"/>
  <c r="T591" i="9"/>
  <c r="U478" i="9"/>
  <c r="T478" i="9"/>
  <c r="U293" i="9"/>
  <c r="T293" i="9"/>
  <c r="U414" i="9"/>
  <c r="T414" i="9"/>
  <c r="U178" i="9"/>
  <c r="T178" i="9"/>
  <c r="U463" i="9"/>
  <c r="T463" i="9"/>
  <c r="U542" i="9"/>
  <c r="T542" i="9"/>
  <c r="U306" i="9"/>
  <c r="T306" i="9"/>
  <c r="U660" i="9"/>
  <c r="T660" i="9"/>
  <c r="U604" i="9"/>
  <c r="T604" i="9"/>
  <c r="U476" i="9"/>
  <c r="T476" i="9"/>
  <c r="U345" i="9"/>
  <c r="T345" i="9"/>
  <c r="U559" i="9"/>
  <c r="T559" i="9"/>
  <c r="U431" i="9"/>
  <c r="T431" i="9"/>
  <c r="U638" i="9"/>
  <c r="T638" i="9"/>
  <c r="U510" i="9"/>
  <c r="T510" i="9"/>
  <c r="U382" i="9"/>
  <c r="T382" i="9"/>
  <c r="U274" i="9"/>
  <c r="T274" i="9"/>
  <c r="U130" i="9"/>
  <c r="T130" i="9"/>
  <c r="U301" i="9"/>
  <c r="T301" i="9"/>
  <c r="U644" i="9"/>
  <c r="T644" i="9"/>
  <c r="U540" i="9"/>
  <c r="T540" i="9"/>
  <c r="U412" i="9"/>
  <c r="T412" i="9"/>
  <c r="U623" i="9"/>
  <c r="T623" i="9"/>
  <c r="U495" i="9"/>
  <c r="T495" i="9"/>
  <c r="U367" i="9"/>
  <c r="T367" i="9"/>
  <c r="U574" i="9"/>
  <c r="T574" i="9"/>
  <c r="U446" i="9"/>
  <c r="T446" i="9"/>
  <c r="U338" i="9"/>
  <c r="T338" i="9"/>
  <c r="U210" i="9"/>
  <c r="T210" i="9"/>
  <c r="U98" i="9"/>
  <c r="T98" i="9"/>
  <c r="U317" i="9"/>
  <c r="T317" i="9"/>
  <c r="U664" i="9"/>
  <c r="T664" i="9"/>
  <c r="U648" i="9"/>
  <c r="T648" i="9"/>
  <c r="U620" i="9"/>
  <c r="T620" i="9"/>
  <c r="U556" i="9"/>
  <c r="T556" i="9"/>
  <c r="U492" i="9"/>
  <c r="T492" i="9"/>
  <c r="U428" i="9"/>
  <c r="T428" i="9"/>
  <c r="U364" i="9"/>
  <c r="T364" i="9"/>
  <c r="U639" i="9"/>
  <c r="T639" i="9"/>
  <c r="U575" i="9"/>
  <c r="T575" i="9"/>
  <c r="U511" i="9"/>
  <c r="T511" i="9"/>
  <c r="U447" i="9"/>
  <c r="T447" i="9"/>
  <c r="U383" i="9"/>
  <c r="T383" i="9"/>
  <c r="U654" i="9"/>
  <c r="T654" i="9"/>
  <c r="U590" i="9"/>
  <c r="T590" i="9"/>
  <c r="U526" i="9"/>
  <c r="T526" i="9"/>
  <c r="U462" i="9"/>
  <c r="T462" i="9"/>
  <c r="U398" i="9"/>
  <c r="T398" i="9"/>
  <c r="U289" i="9"/>
  <c r="T289" i="9"/>
  <c r="U290" i="9"/>
  <c r="T290" i="9"/>
  <c r="U226" i="9"/>
  <c r="T226" i="9"/>
  <c r="U162" i="9"/>
  <c r="T162" i="9"/>
  <c r="U46" i="9"/>
  <c r="T46" i="9"/>
  <c r="U347" i="9"/>
  <c r="T347" i="9"/>
  <c r="U672" i="9"/>
  <c r="T672" i="9"/>
  <c r="U656" i="9"/>
  <c r="T656" i="9"/>
  <c r="U636" i="9"/>
  <c r="T636" i="9"/>
  <c r="U588" i="9"/>
  <c r="T588" i="9"/>
  <c r="U524" i="9"/>
  <c r="T524" i="9"/>
  <c r="U460" i="9"/>
  <c r="T460" i="9"/>
  <c r="U396" i="9"/>
  <c r="T396" i="9"/>
  <c r="U671" i="9"/>
  <c r="T671" i="9"/>
  <c r="U607" i="9"/>
  <c r="T607" i="9"/>
  <c r="U543" i="9"/>
  <c r="T543" i="9"/>
  <c r="U479" i="9"/>
  <c r="T479" i="9"/>
  <c r="U415" i="9"/>
  <c r="T415" i="9"/>
  <c r="U351" i="9"/>
  <c r="T351" i="9"/>
  <c r="U622" i="9"/>
  <c r="T622" i="9"/>
  <c r="U558" i="9"/>
  <c r="T558" i="9"/>
  <c r="U494" i="9"/>
  <c r="T494" i="9"/>
  <c r="U430" i="9"/>
  <c r="T430" i="9"/>
  <c r="U366" i="9"/>
  <c r="T366" i="9"/>
  <c r="U322" i="9"/>
  <c r="T322" i="9"/>
  <c r="U258" i="9"/>
  <c r="T258" i="9"/>
  <c r="U194" i="9"/>
  <c r="T194" i="9"/>
  <c r="U114" i="9"/>
  <c r="T114" i="9"/>
  <c r="U225" i="9"/>
  <c r="T225" i="9"/>
  <c r="U66" i="9"/>
  <c r="T66" i="9"/>
  <c r="U161" i="9"/>
  <c r="T161" i="9"/>
  <c r="U14" i="9"/>
  <c r="T14" i="9"/>
  <c r="U146" i="9"/>
  <c r="T146" i="9"/>
  <c r="U82" i="9"/>
  <c r="T82" i="9"/>
  <c r="U19" i="9"/>
  <c r="T19" i="9"/>
  <c r="U177" i="9"/>
  <c r="T177" i="9"/>
  <c r="U233" i="9"/>
  <c r="T233" i="9"/>
  <c r="U265" i="9"/>
  <c r="T265" i="9"/>
  <c r="U22" i="9"/>
  <c r="T22" i="9"/>
  <c r="U54" i="9"/>
  <c r="T54" i="9"/>
  <c r="U70" i="9"/>
  <c r="T70" i="9"/>
  <c r="U86" i="9"/>
  <c r="T86" i="9"/>
  <c r="U102" i="9"/>
  <c r="T102" i="9"/>
  <c r="U118" i="9"/>
  <c r="T118" i="9"/>
  <c r="U134" i="9"/>
  <c r="T134" i="9"/>
  <c r="U150" i="9"/>
  <c r="T150" i="9"/>
  <c r="U166" i="9"/>
  <c r="T166" i="9"/>
  <c r="U182" i="9"/>
  <c r="T182" i="9"/>
  <c r="U198" i="9"/>
  <c r="T198" i="9"/>
  <c r="U214" i="9"/>
  <c r="T214" i="9"/>
  <c r="U230" i="9"/>
  <c r="T230" i="9"/>
  <c r="U246" i="9"/>
  <c r="T246" i="9"/>
  <c r="U262" i="9"/>
  <c r="T262" i="9"/>
  <c r="U278" i="9"/>
  <c r="T278" i="9"/>
  <c r="U294" i="9"/>
  <c r="T294" i="9"/>
  <c r="U310" i="9"/>
  <c r="T310" i="9"/>
  <c r="U326" i="9"/>
  <c r="T326" i="9"/>
  <c r="U342" i="9"/>
  <c r="T342" i="9"/>
  <c r="U305" i="9"/>
  <c r="T305" i="9"/>
  <c r="U354" i="9"/>
  <c r="T354" i="9"/>
  <c r="U370" i="9"/>
  <c r="T370" i="9"/>
  <c r="U386" i="9"/>
  <c r="T386" i="9"/>
  <c r="U402" i="9"/>
  <c r="T402" i="9"/>
  <c r="U418" i="9"/>
  <c r="T418" i="9"/>
  <c r="U434" i="9"/>
  <c r="T434" i="9"/>
  <c r="U450" i="9"/>
  <c r="T450" i="9"/>
  <c r="U466" i="9"/>
  <c r="T466" i="9"/>
  <c r="U482" i="9"/>
  <c r="T482" i="9"/>
  <c r="U498" i="9"/>
  <c r="T498" i="9"/>
  <c r="U514" i="9"/>
  <c r="T514" i="9"/>
  <c r="U530" i="9"/>
  <c r="T530" i="9"/>
  <c r="U546" i="9"/>
  <c r="T546" i="9"/>
  <c r="U562" i="9"/>
  <c r="T562" i="9"/>
  <c r="U578" i="9"/>
  <c r="T578" i="9"/>
  <c r="U594" i="9"/>
  <c r="T594" i="9"/>
  <c r="U610" i="9"/>
  <c r="T610" i="9"/>
  <c r="U626" i="9"/>
  <c r="T626" i="9"/>
  <c r="U642" i="9"/>
  <c r="T642" i="9"/>
  <c r="U658" i="9"/>
  <c r="T658" i="9"/>
  <c r="U309" i="9"/>
  <c r="T309" i="9"/>
  <c r="U355" i="9"/>
  <c r="T355" i="9"/>
  <c r="U371" i="9"/>
  <c r="T371" i="9"/>
  <c r="U387" i="9"/>
  <c r="T387" i="9"/>
  <c r="U403" i="9"/>
  <c r="T403" i="9"/>
  <c r="U419" i="9"/>
  <c r="T419" i="9"/>
  <c r="U435" i="9"/>
  <c r="T435" i="9"/>
  <c r="U451" i="9"/>
  <c r="T451" i="9"/>
  <c r="U467" i="9"/>
  <c r="T467" i="9"/>
  <c r="U483" i="9"/>
  <c r="T483" i="9"/>
  <c r="U499" i="9"/>
  <c r="T499" i="9"/>
  <c r="U515" i="9"/>
  <c r="T515" i="9"/>
  <c r="U531" i="9"/>
  <c r="T531" i="9"/>
  <c r="U547" i="9"/>
  <c r="T547" i="9"/>
  <c r="U563" i="9"/>
  <c r="T563" i="9"/>
  <c r="U579" i="9"/>
  <c r="T579" i="9"/>
  <c r="U595" i="9"/>
  <c r="T595" i="9"/>
  <c r="U611" i="9"/>
  <c r="T611" i="9"/>
  <c r="U627" i="9"/>
  <c r="T627" i="9"/>
  <c r="U643" i="9"/>
  <c r="T643" i="9"/>
  <c r="U659" i="9"/>
  <c r="T659" i="9"/>
  <c r="U297" i="9"/>
  <c r="T297" i="9"/>
  <c r="U352" i="9"/>
  <c r="T352" i="9"/>
  <c r="U368" i="9"/>
  <c r="T368" i="9"/>
  <c r="U384" i="9"/>
  <c r="T384" i="9"/>
  <c r="U400" i="9"/>
  <c r="T400" i="9"/>
  <c r="U416" i="9"/>
  <c r="T416" i="9"/>
  <c r="U432" i="9"/>
  <c r="T432" i="9"/>
  <c r="U448" i="9"/>
  <c r="T448" i="9"/>
  <c r="U464" i="9"/>
  <c r="T464" i="9"/>
  <c r="U480" i="9"/>
  <c r="T480" i="9"/>
  <c r="U496" i="9"/>
  <c r="T496" i="9"/>
  <c r="U512" i="9"/>
  <c r="T512" i="9"/>
  <c r="U528" i="9"/>
  <c r="T528" i="9"/>
  <c r="U544" i="9"/>
  <c r="T544" i="9"/>
  <c r="U560" i="9"/>
  <c r="T560" i="9"/>
  <c r="U576" i="9"/>
  <c r="T576" i="9"/>
  <c r="U592" i="9"/>
  <c r="T592" i="9"/>
  <c r="U608" i="9"/>
  <c r="T608" i="9"/>
  <c r="U624" i="9"/>
  <c r="T624" i="9"/>
  <c r="U640" i="9"/>
  <c r="T640" i="9"/>
  <c r="U193" i="9"/>
  <c r="T193" i="9"/>
  <c r="U241" i="9"/>
  <c r="T241" i="9"/>
  <c r="U273" i="9"/>
  <c r="T273" i="9"/>
  <c r="U30" i="9"/>
  <c r="T30" i="9"/>
  <c r="U58" i="9"/>
  <c r="T58" i="9"/>
  <c r="U74" i="9"/>
  <c r="T74" i="9"/>
  <c r="U90" i="9"/>
  <c r="T90" i="9"/>
  <c r="U106" i="9"/>
  <c r="T106" i="9"/>
  <c r="U122" i="9"/>
  <c r="T122" i="9"/>
  <c r="U138" i="9"/>
  <c r="T138" i="9"/>
  <c r="U154" i="9"/>
  <c r="T154" i="9"/>
  <c r="U170" i="9"/>
  <c r="T170" i="9"/>
  <c r="U186" i="9"/>
  <c r="T186" i="9"/>
  <c r="U202" i="9"/>
  <c r="T202" i="9"/>
  <c r="U218" i="9"/>
  <c r="T218" i="9"/>
  <c r="U234" i="9"/>
  <c r="T234" i="9"/>
  <c r="U250" i="9"/>
  <c r="T250" i="9"/>
  <c r="U266" i="9"/>
  <c r="T266" i="9"/>
  <c r="U282" i="9"/>
  <c r="T282" i="9"/>
  <c r="U298" i="9"/>
  <c r="T298" i="9"/>
  <c r="U314" i="9"/>
  <c r="T314" i="9"/>
  <c r="U330" i="9"/>
  <c r="T330" i="9"/>
  <c r="U346" i="9"/>
  <c r="T346" i="9"/>
  <c r="U321" i="9"/>
  <c r="T321" i="9"/>
  <c r="U358" i="9"/>
  <c r="T358" i="9"/>
  <c r="U374" i="9"/>
  <c r="T374" i="9"/>
  <c r="U390" i="9"/>
  <c r="T390" i="9"/>
  <c r="U406" i="9"/>
  <c r="T406" i="9"/>
  <c r="U422" i="9"/>
  <c r="T422" i="9"/>
  <c r="U438" i="9"/>
  <c r="T438" i="9"/>
  <c r="U454" i="9"/>
  <c r="T454" i="9"/>
  <c r="U470" i="9"/>
  <c r="T470" i="9"/>
  <c r="U486" i="9"/>
  <c r="T486" i="9"/>
  <c r="U502" i="9"/>
  <c r="T502" i="9"/>
  <c r="U518" i="9"/>
  <c r="T518" i="9"/>
  <c r="U534" i="9"/>
  <c r="T534" i="9"/>
  <c r="U550" i="9"/>
  <c r="T550" i="9"/>
  <c r="U566" i="9"/>
  <c r="T566" i="9"/>
  <c r="U582" i="9"/>
  <c r="T582" i="9"/>
  <c r="U598" i="9"/>
  <c r="T598" i="9"/>
  <c r="U614" i="9"/>
  <c r="T614" i="9"/>
  <c r="U630" i="9"/>
  <c r="T630" i="9"/>
  <c r="U646" i="9"/>
  <c r="T646" i="9"/>
  <c r="U662" i="9"/>
  <c r="T662" i="9"/>
  <c r="U325" i="9"/>
  <c r="T325" i="9"/>
  <c r="U359" i="9"/>
  <c r="T359" i="9"/>
  <c r="U375" i="9"/>
  <c r="T375" i="9"/>
  <c r="U391" i="9"/>
  <c r="T391" i="9"/>
  <c r="U407" i="9"/>
  <c r="T407" i="9"/>
  <c r="U423" i="9"/>
  <c r="T423" i="9"/>
  <c r="U439" i="9"/>
  <c r="T439" i="9"/>
  <c r="U455" i="9"/>
  <c r="T455" i="9"/>
  <c r="U471" i="9"/>
  <c r="T471" i="9"/>
  <c r="U487" i="9"/>
  <c r="T487" i="9"/>
  <c r="U503" i="9"/>
  <c r="T503" i="9"/>
  <c r="U519" i="9"/>
  <c r="T519" i="9"/>
  <c r="U535" i="9"/>
  <c r="T535" i="9"/>
  <c r="U551" i="9"/>
  <c r="T551" i="9"/>
  <c r="U567" i="9"/>
  <c r="T567" i="9"/>
  <c r="U583" i="9"/>
  <c r="T583" i="9"/>
  <c r="U599" i="9"/>
  <c r="T599" i="9"/>
  <c r="U615" i="9"/>
  <c r="T615" i="9"/>
  <c r="U631" i="9"/>
  <c r="T631" i="9"/>
  <c r="U647" i="9"/>
  <c r="T647" i="9"/>
  <c r="U663" i="9"/>
  <c r="T663" i="9"/>
  <c r="U313" i="9"/>
  <c r="T313" i="9"/>
  <c r="U356" i="9"/>
  <c r="T356" i="9"/>
  <c r="U372" i="9"/>
  <c r="T372" i="9"/>
  <c r="U388" i="9"/>
  <c r="T388" i="9"/>
  <c r="U404" i="9"/>
  <c r="T404" i="9"/>
  <c r="U420" i="9"/>
  <c r="T420" i="9"/>
  <c r="U436" i="9"/>
  <c r="T436" i="9"/>
  <c r="U452" i="9"/>
  <c r="T452" i="9"/>
  <c r="U468" i="9"/>
  <c r="T468" i="9"/>
  <c r="U484" i="9"/>
  <c r="T484" i="9"/>
  <c r="U500" i="9"/>
  <c r="T500" i="9"/>
  <c r="U516" i="9"/>
  <c r="T516" i="9"/>
  <c r="U532" i="9"/>
  <c r="T532" i="9"/>
  <c r="U548" i="9"/>
  <c r="T548" i="9"/>
  <c r="U564" i="9"/>
  <c r="T564" i="9"/>
  <c r="U580" i="9"/>
  <c r="T580" i="9"/>
  <c r="U596" i="9"/>
  <c r="T596" i="9"/>
  <c r="U612" i="9"/>
  <c r="T612" i="9"/>
  <c r="U145" i="9"/>
  <c r="T145" i="9"/>
  <c r="U209" i="9"/>
  <c r="T209" i="9"/>
  <c r="U249" i="9"/>
  <c r="T249" i="9"/>
  <c r="U281" i="9"/>
  <c r="T281" i="9"/>
  <c r="U38" i="9"/>
  <c r="T38" i="9"/>
  <c r="U62" i="9"/>
  <c r="T62" i="9"/>
  <c r="U78" i="9"/>
  <c r="T78" i="9"/>
  <c r="U94" i="9"/>
  <c r="T94" i="9"/>
  <c r="U110" i="9"/>
  <c r="T110" i="9"/>
  <c r="U126" i="9"/>
  <c r="T126" i="9"/>
  <c r="U142" i="9"/>
  <c r="T142" i="9"/>
  <c r="U158" i="9"/>
  <c r="T158" i="9"/>
  <c r="U174" i="9"/>
  <c r="T174" i="9"/>
  <c r="U190" i="9"/>
  <c r="T190" i="9"/>
  <c r="U206" i="9"/>
  <c r="T206" i="9"/>
  <c r="U222" i="9"/>
  <c r="T222" i="9"/>
  <c r="U238" i="9"/>
  <c r="T238" i="9"/>
  <c r="U254" i="9"/>
  <c r="T254" i="9"/>
  <c r="U270" i="9"/>
  <c r="T270" i="9"/>
  <c r="U286" i="9"/>
  <c r="T286" i="9"/>
  <c r="U302" i="9"/>
  <c r="T302" i="9"/>
  <c r="U318" i="9"/>
  <c r="T318" i="9"/>
  <c r="U334" i="9"/>
  <c r="T334" i="9"/>
  <c r="U350" i="9"/>
  <c r="T350" i="9"/>
  <c r="U337" i="9"/>
  <c r="T337" i="9"/>
  <c r="U362" i="9"/>
  <c r="T362" i="9"/>
  <c r="U378" i="9"/>
  <c r="T378" i="9"/>
  <c r="U394" i="9"/>
  <c r="T394" i="9"/>
  <c r="U410" i="9"/>
  <c r="T410" i="9"/>
  <c r="U426" i="9"/>
  <c r="T426" i="9"/>
  <c r="U442" i="9"/>
  <c r="T442" i="9"/>
  <c r="U458" i="9"/>
  <c r="T458" i="9"/>
  <c r="U474" i="9"/>
  <c r="T474" i="9"/>
  <c r="U490" i="9"/>
  <c r="T490" i="9"/>
  <c r="U506" i="9"/>
  <c r="T506" i="9"/>
  <c r="U522" i="9"/>
  <c r="T522" i="9"/>
  <c r="U538" i="9"/>
  <c r="T538" i="9"/>
  <c r="U554" i="9"/>
  <c r="T554" i="9"/>
  <c r="U570" i="9"/>
  <c r="T570" i="9"/>
  <c r="U586" i="9"/>
  <c r="T586" i="9"/>
  <c r="U602" i="9"/>
  <c r="T602" i="9"/>
  <c r="U618" i="9"/>
  <c r="T618" i="9"/>
  <c r="U634" i="9"/>
  <c r="T634" i="9"/>
  <c r="U650" i="9"/>
  <c r="T650" i="9"/>
  <c r="U666" i="9"/>
  <c r="T666" i="9"/>
  <c r="U341" i="9"/>
  <c r="T341" i="9"/>
  <c r="U363" i="9"/>
  <c r="T363" i="9"/>
  <c r="U379" i="9"/>
  <c r="T379" i="9"/>
  <c r="U395" i="9"/>
  <c r="T395" i="9"/>
  <c r="U411" i="9"/>
  <c r="T411" i="9"/>
  <c r="U427" i="9"/>
  <c r="T427" i="9"/>
  <c r="U443" i="9"/>
  <c r="T443" i="9"/>
  <c r="U459" i="9"/>
  <c r="T459" i="9"/>
  <c r="U475" i="9"/>
  <c r="T475" i="9"/>
  <c r="U491" i="9"/>
  <c r="T491" i="9"/>
  <c r="U507" i="9"/>
  <c r="T507" i="9"/>
  <c r="U523" i="9"/>
  <c r="T523" i="9"/>
  <c r="U539" i="9"/>
  <c r="T539" i="9"/>
  <c r="U555" i="9"/>
  <c r="T555" i="9"/>
  <c r="U571" i="9"/>
  <c r="T571" i="9"/>
  <c r="U587" i="9"/>
  <c r="T587" i="9"/>
  <c r="U603" i="9"/>
  <c r="T603" i="9"/>
  <c r="U619" i="9"/>
  <c r="T619" i="9"/>
  <c r="U635" i="9"/>
  <c r="T635" i="9"/>
  <c r="U651" i="9"/>
  <c r="T651" i="9"/>
  <c r="U667" i="9"/>
  <c r="T667" i="9"/>
  <c r="U329" i="9"/>
  <c r="T329" i="9"/>
  <c r="U360" i="9"/>
  <c r="T360" i="9"/>
  <c r="U376" i="9"/>
  <c r="T376" i="9"/>
  <c r="U392" i="9"/>
  <c r="T392" i="9"/>
  <c r="U408" i="9"/>
  <c r="T408" i="9"/>
  <c r="U424" i="9"/>
  <c r="T424" i="9"/>
  <c r="U440" i="9"/>
  <c r="T440" i="9"/>
  <c r="U456" i="9"/>
  <c r="T456" i="9"/>
  <c r="U472" i="9"/>
  <c r="T472" i="9"/>
  <c r="U488" i="9"/>
  <c r="T488" i="9"/>
  <c r="U504" i="9"/>
  <c r="T504" i="9"/>
  <c r="U520" i="9"/>
  <c r="T520" i="9"/>
  <c r="U536" i="9"/>
  <c r="T536" i="9"/>
  <c r="U552" i="9"/>
  <c r="T552" i="9"/>
  <c r="U568" i="9"/>
  <c r="T568" i="9"/>
  <c r="U584" i="9"/>
  <c r="T584" i="9"/>
  <c r="U600" i="9"/>
  <c r="T600" i="9"/>
  <c r="U616" i="9"/>
  <c r="T616" i="9"/>
  <c r="U632" i="9"/>
  <c r="T632" i="9"/>
  <c r="U201" i="9"/>
  <c r="T201" i="9"/>
  <c r="U169" i="9"/>
  <c r="T169" i="9"/>
  <c r="U101" i="9"/>
  <c r="T101" i="9"/>
  <c r="U217" i="9"/>
  <c r="T217" i="9"/>
  <c r="U185" i="9"/>
  <c r="T185" i="9"/>
  <c r="U153" i="9"/>
  <c r="T153" i="9"/>
  <c r="U53" i="9"/>
  <c r="T53" i="9"/>
  <c r="U133" i="9"/>
  <c r="T133" i="9"/>
  <c r="U117" i="9"/>
  <c r="T117" i="9"/>
  <c r="U312" i="9"/>
  <c r="T312" i="9"/>
  <c r="U85" i="9"/>
  <c r="T85" i="9"/>
  <c r="U42" i="9"/>
  <c r="T42" i="9"/>
  <c r="U26" i="9"/>
  <c r="T26" i="9"/>
  <c r="U285" i="9"/>
  <c r="T285" i="9"/>
  <c r="U269" i="9"/>
  <c r="T269" i="9"/>
  <c r="U253" i="9"/>
  <c r="T253" i="9"/>
  <c r="U237" i="9"/>
  <c r="T237" i="9"/>
  <c r="U221" i="9"/>
  <c r="T221" i="9"/>
  <c r="U205" i="9"/>
  <c r="T205" i="9"/>
  <c r="U189" i="9"/>
  <c r="T189" i="9"/>
  <c r="U173" i="9"/>
  <c r="T173" i="9"/>
  <c r="U157" i="9"/>
  <c r="T157" i="9"/>
  <c r="U141" i="9"/>
  <c r="T141" i="9"/>
  <c r="U109" i="9"/>
  <c r="T109" i="9"/>
  <c r="U69" i="9"/>
  <c r="T69" i="9"/>
  <c r="U188" i="9"/>
  <c r="T188" i="9"/>
  <c r="U50" i="9"/>
  <c r="T50" i="9"/>
  <c r="U34" i="9"/>
  <c r="T34" i="9"/>
  <c r="U18" i="9"/>
  <c r="T18" i="9"/>
  <c r="U277" i="9"/>
  <c r="T277" i="9"/>
  <c r="U261" i="9"/>
  <c r="T261" i="9"/>
  <c r="U245" i="9"/>
  <c r="T245" i="9"/>
  <c r="U229" i="9"/>
  <c r="T229" i="9"/>
  <c r="U213" i="9"/>
  <c r="T213" i="9"/>
  <c r="U197" i="9"/>
  <c r="T197" i="9"/>
  <c r="U181" i="9"/>
  <c r="T181" i="9"/>
  <c r="U165" i="9"/>
  <c r="T165" i="9"/>
  <c r="U149" i="9"/>
  <c r="T149" i="9"/>
  <c r="U125" i="9"/>
  <c r="T125" i="9"/>
  <c r="U93" i="9"/>
  <c r="T93" i="9"/>
  <c r="U29" i="9"/>
  <c r="T29" i="9"/>
  <c r="U61" i="9"/>
  <c r="T61" i="9"/>
  <c r="U344" i="9"/>
  <c r="T344" i="9"/>
  <c r="U60" i="9"/>
  <c r="T60" i="9"/>
  <c r="U77" i="9"/>
  <c r="T77" i="9"/>
  <c r="U45" i="9"/>
  <c r="T45" i="9"/>
  <c r="U252" i="9"/>
  <c r="T252" i="9"/>
  <c r="U37" i="9"/>
  <c r="T37" i="9"/>
  <c r="U328" i="9"/>
  <c r="T328" i="9"/>
  <c r="U220" i="9"/>
  <c r="T220" i="9"/>
  <c r="U323" i="9"/>
  <c r="T323" i="9"/>
  <c r="U21" i="9"/>
  <c r="T21" i="9"/>
  <c r="U284" i="9"/>
  <c r="T284" i="9"/>
  <c r="U124" i="9"/>
  <c r="T124" i="9"/>
  <c r="U13" i="9"/>
  <c r="T13" i="9"/>
  <c r="U320" i="9"/>
  <c r="T320" i="9"/>
  <c r="U268" i="9"/>
  <c r="T268" i="9"/>
  <c r="U204" i="9"/>
  <c r="T204" i="9"/>
  <c r="U92" i="9"/>
  <c r="T92" i="9"/>
  <c r="U195" i="9"/>
  <c r="T195" i="9"/>
  <c r="U336" i="9"/>
  <c r="T336" i="9"/>
  <c r="U300" i="9"/>
  <c r="T300" i="9"/>
  <c r="U236" i="9"/>
  <c r="T236" i="9"/>
  <c r="U156" i="9"/>
  <c r="T156" i="9"/>
  <c r="U28" i="9"/>
  <c r="T28" i="9"/>
  <c r="U137" i="9"/>
  <c r="T137" i="9"/>
  <c r="U121" i="9"/>
  <c r="T121" i="9"/>
  <c r="U105" i="9"/>
  <c r="T105" i="9"/>
  <c r="U89" i="9"/>
  <c r="T89" i="9"/>
  <c r="U73" i="9"/>
  <c r="T73" i="9"/>
  <c r="U57" i="9"/>
  <c r="T57" i="9"/>
  <c r="U41" i="9"/>
  <c r="T41" i="9"/>
  <c r="U25" i="9"/>
  <c r="T25" i="9"/>
  <c r="U348" i="9"/>
  <c r="T348" i="9"/>
  <c r="U332" i="9"/>
  <c r="T332" i="9"/>
  <c r="U316" i="9"/>
  <c r="T316" i="9"/>
  <c r="U292" i="9"/>
  <c r="T292" i="9"/>
  <c r="U260" i="9"/>
  <c r="T260" i="9"/>
  <c r="U228" i="9"/>
  <c r="T228" i="9"/>
  <c r="U196" i="9"/>
  <c r="T196" i="9"/>
  <c r="U140" i="9"/>
  <c r="T140" i="9"/>
  <c r="U76" i="9"/>
  <c r="T76" i="9"/>
  <c r="U12" i="9"/>
  <c r="T12" i="9"/>
  <c r="U131" i="9"/>
  <c r="T131" i="9"/>
  <c r="U129" i="9"/>
  <c r="T129" i="9"/>
  <c r="U113" i="9"/>
  <c r="T113" i="9"/>
  <c r="U97" i="9"/>
  <c r="T97" i="9"/>
  <c r="U81" i="9"/>
  <c r="T81" i="9"/>
  <c r="U65" i="9"/>
  <c r="T65" i="9"/>
  <c r="U49" i="9"/>
  <c r="T49" i="9"/>
  <c r="U33" i="9"/>
  <c r="T33" i="9"/>
  <c r="U17" i="9"/>
  <c r="T17" i="9"/>
  <c r="U340" i="9"/>
  <c r="T340" i="9"/>
  <c r="U324" i="9"/>
  <c r="T324" i="9"/>
  <c r="U308" i="9"/>
  <c r="T308" i="9"/>
  <c r="U276" i="9"/>
  <c r="T276" i="9"/>
  <c r="U244" i="9"/>
  <c r="T244" i="9"/>
  <c r="U212" i="9"/>
  <c r="T212" i="9"/>
  <c r="U172" i="9"/>
  <c r="T172" i="9"/>
  <c r="U108" i="9"/>
  <c r="T108" i="9"/>
  <c r="U44" i="9"/>
  <c r="T44" i="9"/>
  <c r="U259" i="9"/>
  <c r="T259" i="9"/>
  <c r="U304" i="9"/>
  <c r="T304" i="9"/>
  <c r="U288" i="9"/>
  <c r="T288" i="9"/>
  <c r="U272" i="9"/>
  <c r="T272" i="9"/>
  <c r="U256" i="9"/>
  <c r="T256" i="9"/>
  <c r="U240" i="9"/>
  <c r="T240" i="9"/>
  <c r="U224" i="9"/>
  <c r="T224" i="9"/>
  <c r="U208" i="9"/>
  <c r="T208" i="9"/>
  <c r="U192" i="9"/>
  <c r="T192" i="9"/>
  <c r="U164" i="9"/>
  <c r="T164" i="9"/>
  <c r="U132" i="9"/>
  <c r="T132" i="9"/>
  <c r="U100" i="9"/>
  <c r="T100" i="9"/>
  <c r="U68" i="9"/>
  <c r="T68" i="9"/>
  <c r="U36" i="9"/>
  <c r="T36" i="9"/>
  <c r="U339" i="9"/>
  <c r="T339" i="9"/>
  <c r="U227" i="9"/>
  <c r="T227" i="9"/>
  <c r="U99" i="9"/>
  <c r="T99" i="9"/>
  <c r="U296" i="9"/>
  <c r="T296" i="9"/>
  <c r="U280" i="9"/>
  <c r="T280" i="9"/>
  <c r="U264" i="9"/>
  <c r="T264" i="9"/>
  <c r="U248" i="9"/>
  <c r="T248" i="9"/>
  <c r="U232" i="9"/>
  <c r="T232" i="9"/>
  <c r="U216" i="9"/>
  <c r="T216" i="9"/>
  <c r="U200" i="9"/>
  <c r="T200" i="9"/>
  <c r="U180" i="9"/>
  <c r="T180" i="9"/>
  <c r="U148" i="9"/>
  <c r="T148" i="9"/>
  <c r="U116" i="9"/>
  <c r="T116" i="9"/>
  <c r="U84" i="9"/>
  <c r="T84" i="9"/>
  <c r="U52" i="9"/>
  <c r="T52" i="9"/>
  <c r="U20" i="9"/>
  <c r="T20" i="9"/>
  <c r="U291" i="9"/>
  <c r="T291" i="9"/>
  <c r="U163" i="9"/>
  <c r="T163" i="9"/>
  <c r="U275" i="9"/>
  <c r="T275" i="9"/>
  <c r="U211" i="9"/>
  <c r="T211" i="9"/>
  <c r="U147" i="9"/>
  <c r="T147" i="9"/>
  <c r="U75" i="9"/>
  <c r="T75" i="9"/>
  <c r="U307" i="9"/>
  <c r="T307" i="9"/>
  <c r="U243" i="9"/>
  <c r="T243" i="9"/>
  <c r="U179" i="9"/>
  <c r="T179" i="9"/>
  <c r="U115" i="9"/>
  <c r="T115" i="9"/>
  <c r="U176" i="9"/>
  <c r="T176" i="9"/>
  <c r="U160" i="9"/>
  <c r="T160" i="9"/>
  <c r="U144" i="9"/>
  <c r="T144" i="9"/>
  <c r="U128" i="9"/>
  <c r="T128" i="9"/>
  <c r="U112" i="9"/>
  <c r="T112" i="9"/>
  <c r="U96" i="9"/>
  <c r="T96" i="9"/>
  <c r="U80" i="9"/>
  <c r="T80" i="9"/>
  <c r="U64" i="9"/>
  <c r="T64" i="9"/>
  <c r="U48" i="9"/>
  <c r="T48" i="9"/>
  <c r="U32" i="9"/>
  <c r="T32" i="9"/>
  <c r="U16" i="9"/>
  <c r="T16" i="9"/>
  <c r="U331" i="9"/>
  <c r="T331" i="9"/>
  <c r="U299" i="9"/>
  <c r="T299" i="9"/>
  <c r="U267" i="9"/>
  <c r="T267" i="9"/>
  <c r="U235" i="9"/>
  <c r="T235" i="9"/>
  <c r="U203" i="9"/>
  <c r="T203" i="9"/>
  <c r="U171" i="9"/>
  <c r="T171" i="9"/>
  <c r="U139" i="9"/>
  <c r="T139" i="9"/>
  <c r="U107" i="9"/>
  <c r="T107" i="9"/>
  <c r="U59" i="9"/>
  <c r="T59" i="9"/>
  <c r="U184" i="9"/>
  <c r="T184" i="9"/>
  <c r="U168" i="9"/>
  <c r="T168" i="9"/>
  <c r="U152" i="9"/>
  <c r="T152" i="9"/>
  <c r="U136" i="9"/>
  <c r="T136" i="9"/>
  <c r="U120" i="9"/>
  <c r="T120" i="9"/>
  <c r="U104" i="9"/>
  <c r="T104" i="9"/>
  <c r="U88" i="9"/>
  <c r="T88" i="9"/>
  <c r="U72" i="9"/>
  <c r="T72" i="9"/>
  <c r="U56" i="9"/>
  <c r="T56" i="9"/>
  <c r="U40" i="9"/>
  <c r="T40" i="9"/>
  <c r="U24" i="9"/>
  <c r="T24" i="9"/>
  <c r="U343" i="9"/>
  <c r="T343" i="9"/>
  <c r="U315" i="9"/>
  <c r="T315" i="9"/>
  <c r="U283" i="9"/>
  <c r="T283" i="9"/>
  <c r="U251" i="9"/>
  <c r="T251" i="9"/>
  <c r="U219" i="9"/>
  <c r="T219" i="9"/>
  <c r="U187" i="9"/>
  <c r="T187" i="9"/>
  <c r="U155" i="9"/>
  <c r="T155" i="9"/>
  <c r="U123" i="9"/>
  <c r="T123" i="9"/>
  <c r="U91" i="9"/>
  <c r="T91" i="9"/>
  <c r="U83" i="9"/>
  <c r="T83" i="9"/>
  <c r="U39" i="9"/>
  <c r="T39" i="9"/>
  <c r="U67" i="9"/>
  <c r="T67" i="9"/>
  <c r="U335" i="9"/>
  <c r="T335" i="9"/>
  <c r="U319" i="9"/>
  <c r="T319" i="9"/>
  <c r="U303" i="9"/>
  <c r="T303" i="9"/>
  <c r="U287" i="9"/>
  <c r="T287" i="9"/>
  <c r="U271" i="9"/>
  <c r="T271" i="9"/>
  <c r="U255" i="9"/>
  <c r="T255" i="9"/>
  <c r="U239" i="9"/>
  <c r="T239" i="9"/>
  <c r="U223" i="9"/>
  <c r="T223" i="9"/>
  <c r="U207" i="9"/>
  <c r="T207" i="9"/>
  <c r="U191" i="9"/>
  <c r="T191" i="9"/>
  <c r="U175" i="9"/>
  <c r="T175" i="9"/>
  <c r="U159" i="9"/>
  <c r="T159" i="9"/>
  <c r="U143" i="9"/>
  <c r="T143" i="9"/>
  <c r="U127" i="9"/>
  <c r="T127" i="9"/>
  <c r="U111" i="9"/>
  <c r="T111" i="9"/>
  <c r="U95" i="9"/>
  <c r="T95" i="9"/>
  <c r="U79" i="9"/>
  <c r="T79" i="9"/>
  <c r="U63" i="9"/>
  <c r="T63" i="9"/>
  <c r="U23" i="9"/>
  <c r="T23" i="9"/>
  <c r="U327" i="9"/>
  <c r="T327" i="9"/>
  <c r="U311" i="9"/>
  <c r="T311" i="9"/>
  <c r="U295" i="9"/>
  <c r="T295" i="9"/>
  <c r="U279" i="9"/>
  <c r="T279" i="9"/>
  <c r="U263" i="9"/>
  <c r="T263" i="9"/>
  <c r="U247" i="9"/>
  <c r="T247" i="9"/>
  <c r="U231" i="9"/>
  <c r="T231" i="9"/>
  <c r="U215" i="9"/>
  <c r="T215" i="9"/>
  <c r="U199" i="9"/>
  <c r="T199" i="9"/>
  <c r="U183" i="9"/>
  <c r="T183" i="9"/>
  <c r="U167" i="9"/>
  <c r="T167" i="9"/>
  <c r="U151" i="9"/>
  <c r="T151" i="9"/>
  <c r="U135" i="9"/>
  <c r="T135" i="9"/>
  <c r="U119" i="9"/>
  <c r="T119" i="9"/>
  <c r="U103" i="9"/>
  <c r="T103" i="9"/>
  <c r="U87" i="9"/>
  <c r="T87" i="9"/>
  <c r="U71" i="9"/>
  <c r="T71" i="9"/>
  <c r="U55" i="9"/>
  <c r="T55" i="9"/>
  <c r="U47" i="9"/>
  <c r="T47" i="9"/>
  <c r="U15" i="9"/>
  <c r="T15" i="9"/>
  <c r="U31" i="9"/>
  <c r="T31" i="9"/>
  <c r="U43" i="9"/>
  <c r="T43" i="9"/>
  <c r="U27" i="9"/>
  <c r="T27" i="9"/>
  <c r="U11" i="9"/>
  <c r="T11" i="9"/>
  <c r="U51" i="9"/>
  <c r="T51" i="9"/>
  <c r="U35" i="9"/>
  <c r="T35" i="9"/>
  <c r="C33" i="8"/>
  <c r="C47" i="29"/>
  <c r="O61" i="4"/>
  <c r="D29" i="19"/>
  <c r="D56" i="19"/>
  <c r="F104" i="19"/>
  <c r="F139" i="19"/>
  <c r="C29" i="19"/>
  <c r="C56" i="19"/>
  <c r="E104" i="19"/>
  <c r="E139" i="19"/>
  <c r="I23" i="4"/>
  <c r="M23" i="4"/>
  <c r="B2" i="10"/>
  <c r="B4" i="10"/>
  <c r="F854" i="9"/>
  <c r="P13" i="10"/>
  <c r="J790" i="9"/>
  <c r="M61" i="4"/>
  <c r="J25" i="24"/>
  <c r="N25" i="24"/>
  <c r="C26" i="24"/>
  <c r="I26" i="24"/>
  <c r="M26" i="24"/>
  <c r="E26" i="24"/>
  <c r="G26" i="24"/>
  <c r="K26" i="24"/>
  <c r="B27" i="24"/>
  <c r="B60" i="19"/>
  <c r="F59" i="19"/>
  <c r="O49" i="10"/>
  <c r="A26" i="10"/>
  <c r="I25" i="10"/>
  <c r="D14" i="7"/>
  <c r="G14" i="7"/>
  <c r="D18" i="7"/>
  <c r="G18" i="7"/>
  <c r="D22" i="7"/>
  <c r="G22" i="7"/>
  <c r="D26" i="7"/>
  <c r="G26" i="7"/>
  <c r="D30" i="7"/>
  <c r="G30" i="7"/>
  <c r="D32" i="7"/>
  <c r="G32" i="7"/>
  <c r="D34" i="7"/>
  <c r="G34" i="7"/>
  <c r="D36" i="7"/>
  <c r="G36" i="7"/>
  <c r="D38" i="7"/>
  <c r="G38" i="7"/>
  <c r="D40" i="7"/>
  <c r="G40" i="7"/>
  <c r="D42" i="7"/>
  <c r="G42" i="7"/>
  <c r="D44" i="7"/>
  <c r="G44" i="7"/>
  <c r="D46" i="7"/>
  <c r="G46" i="7"/>
  <c r="D48" i="7"/>
  <c r="G48" i="7"/>
  <c r="D50" i="7"/>
  <c r="G50" i="7"/>
  <c r="D52" i="7"/>
  <c r="G52" i="7"/>
  <c r="D54" i="7"/>
  <c r="G54" i="7"/>
  <c r="D56" i="7"/>
  <c r="G56" i="7"/>
  <c r="D58" i="7"/>
  <c r="G58" i="7"/>
  <c r="D60" i="7"/>
  <c r="G60" i="7"/>
  <c r="D62" i="7"/>
  <c r="G62" i="7"/>
  <c r="D64" i="7"/>
  <c r="G64" i="7"/>
  <c r="D66" i="7"/>
  <c r="G66" i="7"/>
  <c r="D68" i="7"/>
  <c r="G68" i="7"/>
  <c r="D70" i="7"/>
  <c r="G70" i="7"/>
  <c r="D72" i="7"/>
  <c r="G72" i="7"/>
  <c r="D74" i="7"/>
  <c r="G74" i="7"/>
  <c r="D76" i="7"/>
  <c r="G76" i="7"/>
  <c r="D78" i="7"/>
  <c r="G78" i="7"/>
  <c r="D80" i="7"/>
  <c r="G80" i="7"/>
  <c r="D82" i="7"/>
  <c r="G82" i="7"/>
  <c r="D84" i="7"/>
  <c r="G84" i="7"/>
  <c r="D86" i="7"/>
  <c r="G86" i="7"/>
  <c r="D88" i="7"/>
  <c r="G88" i="7"/>
  <c r="D90" i="7"/>
  <c r="G90" i="7"/>
  <c r="D92" i="7"/>
  <c r="G92" i="7"/>
  <c r="D94" i="7"/>
  <c r="G94" i="7"/>
  <c r="D96" i="7"/>
  <c r="G96" i="7"/>
  <c r="D98" i="7"/>
  <c r="G98" i="7"/>
  <c r="D100" i="7"/>
  <c r="G100" i="7"/>
  <c r="D102" i="7"/>
  <c r="G102" i="7"/>
  <c r="D104" i="7"/>
  <c r="G104" i="7"/>
  <c r="D106" i="7"/>
  <c r="G106" i="7"/>
  <c r="D108" i="7"/>
  <c r="G108" i="7"/>
  <c r="D110" i="7"/>
  <c r="G110" i="7"/>
  <c r="D112" i="7"/>
  <c r="G112" i="7"/>
  <c r="D114" i="7"/>
  <c r="G114" i="7"/>
  <c r="D116" i="7"/>
  <c r="G116" i="7"/>
  <c r="D118" i="7"/>
  <c r="G118" i="7"/>
  <c r="D120" i="7"/>
  <c r="G120" i="7"/>
  <c r="D122" i="7"/>
  <c r="G122" i="7"/>
  <c r="D124" i="7"/>
  <c r="G124" i="7"/>
  <c r="D126" i="7"/>
  <c r="G126" i="7"/>
  <c r="D128" i="7"/>
  <c r="G128" i="7"/>
  <c r="D130" i="7"/>
  <c r="G130" i="7"/>
  <c r="D132" i="7"/>
  <c r="G132" i="7"/>
  <c r="D134" i="7"/>
  <c r="G134" i="7"/>
  <c r="D136" i="7"/>
  <c r="G136" i="7"/>
  <c r="D138" i="7"/>
  <c r="G138" i="7"/>
  <c r="D140" i="7"/>
  <c r="G140" i="7"/>
  <c r="D142" i="7"/>
  <c r="G142" i="7"/>
  <c r="D144" i="7"/>
  <c r="G144" i="7"/>
  <c r="D146" i="7"/>
  <c r="G146" i="7"/>
  <c r="D148" i="7"/>
  <c r="G148" i="7"/>
  <c r="D150" i="7"/>
  <c r="G150" i="7"/>
  <c r="D152" i="7"/>
  <c r="G152" i="7"/>
  <c r="D154" i="7"/>
  <c r="G154" i="7"/>
  <c r="D156" i="7"/>
  <c r="G156" i="7"/>
  <c r="D158" i="7"/>
  <c r="G158" i="7"/>
  <c r="D160" i="7"/>
  <c r="G160" i="7"/>
  <c r="D162" i="7"/>
  <c r="G162" i="7"/>
  <c r="D164" i="7"/>
  <c r="G164" i="7"/>
  <c r="D166" i="7"/>
  <c r="G166" i="7"/>
  <c r="D168" i="7"/>
  <c r="G168" i="7"/>
  <c r="D170" i="7"/>
  <c r="G170" i="7"/>
  <c r="D172" i="7"/>
  <c r="G172" i="7"/>
  <c r="D174" i="7"/>
  <c r="G174" i="7"/>
  <c r="D176" i="7"/>
  <c r="G176" i="7"/>
  <c r="D178" i="7"/>
  <c r="G178" i="7"/>
  <c r="D180" i="7"/>
  <c r="G180" i="7"/>
  <c r="D182" i="7"/>
  <c r="G182" i="7"/>
  <c r="D184" i="7"/>
  <c r="G184" i="7"/>
  <c r="D186" i="7"/>
  <c r="G186" i="7"/>
  <c r="D188" i="7"/>
  <c r="G188" i="7"/>
  <c r="D190" i="7"/>
  <c r="G190" i="7"/>
  <c r="D192" i="7"/>
  <c r="G192" i="7"/>
  <c r="D194" i="7"/>
  <c r="G194" i="7"/>
  <c r="D196" i="7"/>
  <c r="G196" i="7"/>
  <c r="D198" i="7"/>
  <c r="G198" i="7"/>
  <c r="D200" i="7"/>
  <c r="G200" i="7"/>
  <c r="D202" i="7"/>
  <c r="G202" i="7"/>
  <c r="D204" i="7"/>
  <c r="G204" i="7"/>
  <c r="D206" i="7"/>
  <c r="G206" i="7"/>
  <c r="D208" i="7"/>
  <c r="G208" i="7"/>
  <c r="D210" i="7"/>
  <c r="G210" i="7"/>
  <c r="D212" i="7"/>
  <c r="G212" i="7"/>
  <c r="G10" i="7"/>
  <c r="D13" i="7"/>
  <c r="G13" i="7"/>
  <c r="D17" i="7"/>
  <c r="G17" i="7"/>
  <c r="D21" i="7"/>
  <c r="G21" i="7"/>
  <c r="D25" i="7"/>
  <c r="G25" i="7"/>
  <c r="D29" i="7"/>
  <c r="G29" i="7"/>
  <c r="D12" i="7"/>
  <c r="G12" i="7"/>
  <c r="D16" i="7"/>
  <c r="G16" i="7"/>
  <c r="D20" i="7"/>
  <c r="G20" i="7"/>
  <c r="D24" i="7"/>
  <c r="G24" i="7"/>
  <c r="D28" i="7"/>
  <c r="G28" i="7"/>
  <c r="D31" i="7"/>
  <c r="G31" i="7"/>
  <c r="D33" i="7"/>
  <c r="G33" i="7"/>
  <c r="D35" i="7"/>
  <c r="G35" i="7"/>
  <c r="D37" i="7"/>
  <c r="G37" i="7"/>
  <c r="D39" i="7"/>
  <c r="G39" i="7"/>
  <c r="D41" i="7"/>
  <c r="G41" i="7"/>
  <c r="D43" i="7"/>
  <c r="G43" i="7"/>
  <c r="D45" i="7"/>
  <c r="G45" i="7"/>
  <c r="D47" i="7"/>
  <c r="G47" i="7"/>
  <c r="D49" i="7"/>
  <c r="G49" i="7"/>
  <c r="D51" i="7"/>
  <c r="G51" i="7"/>
  <c r="D53" i="7"/>
  <c r="G53" i="7"/>
  <c r="D55" i="7"/>
  <c r="G55" i="7"/>
  <c r="D57" i="7"/>
  <c r="G57" i="7"/>
  <c r="D59" i="7"/>
  <c r="G59" i="7"/>
  <c r="D61" i="7"/>
  <c r="G61" i="7"/>
  <c r="D63" i="7"/>
  <c r="G63" i="7"/>
  <c r="D65" i="7"/>
  <c r="G65" i="7"/>
  <c r="D67" i="7"/>
  <c r="G67" i="7"/>
  <c r="D69" i="7"/>
  <c r="G69" i="7"/>
  <c r="D71" i="7"/>
  <c r="G71" i="7"/>
  <c r="D73" i="7"/>
  <c r="G73" i="7"/>
  <c r="D75" i="7"/>
  <c r="G75" i="7"/>
  <c r="D77" i="7"/>
  <c r="G77" i="7"/>
  <c r="D79" i="7"/>
  <c r="G79" i="7"/>
  <c r="D81" i="7"/>
  <c r="G81" i="7"/>
  <c r="D83" i="7"/>
  <c r="G83" i="7"/>
  <c r="D85" i="7"/>
  <c r="G85" i="7"/>
  <c r="D87" i="7"/>
  <c r="G87" i="7"/>
  <c r="D89" i="7"/>
  <c r="G89" i="7"/>
  <c r="D91" i="7"/>
  <c r="G91" i="7"/>
  <c r="D93" i="7"/>
  <c r="G93" i="7"/>
  <c r="D95" i="7"/>
  <c r="G95" i="7"/>
  <c r="D97" i="7"/>
  <c r="G97" i="7"/>
  <c r="D99" i="7"/>
  <c r="G99" i="7"/>
  <c r="D101" i="7"/>
  <c r="G101" i="7"/>
  <c r="D103" i="7"/>
  <c r="G103" i="7"/>
  <c r="D105" i="7"/>
  <c r="G105" i="7"/>
  <c r="D107" i="7"/>
  <c r="G107" i="7"/>
  <c r="D109" i="7"/>
  <c r="G109" i="7"/>
  <c r="D111" i="7"/>
  <c r="G111" i="7"/>
  <c r="D113" i="7"/>
  <c r="G113" i="7"/>
  <c r="D115" i="7"/>
  <c r="G115" i="7"/>
  <c r="D117" i="7"/>
  <c r="G117" i="7"/>
  <c r="D119" i="7"/>
  <c r="G119" i="7"/>
  <c r="D121" i="7"/>
  <c r="G121" i="7"/>
  <c r="D123" i="7"/>
  <c r="G123" i="7"/>
  <c r="D125" i="7"/>
  <c r="G125" i="7"/>
  <c r="D127" i="7"/>
  <c r="G127" i="7"/>
  <c r="D129" i="7"/>
  <c r="G129" i="7"/>
  <c r="D131" i="7"/>
  <c r="G131" i="7"/>
  <c r="D133" i="7"/>
  <c r="G133" i="7"/>
  <c r="D135" i="7"/>
  <c r="G135" i="7"/>
  <c r="D137" i="7"/>
  <c r="G137" i="7"/>
  <c r="D139" i="7"/>
  <c r="G139" i="7"/>
  <c r="D141" i="7"/>
  <c r="G141" i="7"/>
  <c r="D143" i="7"/>
  <c r="G143" i="7"/>
  <c r="D145" i="7"/>
  <c r="G145" i="7"/>
  <c r="D147" i="7"/>
  <c r="G147" i="7"/>
  <c r="D149" i="7"/>
  <c r="G149" i="7"/>
  <c r="D151" i="7"/>
  <c r="G151" i="7"/>
  <c r="D153" i="7"/>
  <c r="G153" i="7"/>
  <c r="D155" i="7"/>
  <c r="G155" i="7"/>
  <c r="D157" i="7"/>
  <c r="G157" i="7"/>
  <c r="D159" i="7"/>
  <c r="G159" i="7"/>
  <c r="D161" i="7"/>
  <c r="G161" i="7"/>
  <c r="D163" i="7"/>
  <c r="G163" i="7"/>
  <c r="D165" i="7"/>
  <c r="G165" i="7"/>
  <c r="D167" i="7"/>
  <c r="G167" i="7"/>
  <c r="D169" i="7"/>
  <c r="G169" i="7"/>
  <c r="D171" i="7"/>
  <c r="G171" i="7"/>
  <c r="D173" i="7"/>
  <c r="G173" i="7"/>
  <c r="D175" i="7"/>
  <c r="G175" i="7"/>
  <c r="D177" i="7"/>
  <c r="G177" i="7"/>
  <c r="D179" i="7"/>
  <c r="G179" i="7"/>
  <c r="D181" i="7"/>
  <c r="G181" i="7"/>
  <c r="D183" i="7"/>
  <c r="G183" i="7"/>
  <c r="D185" i="7"/>
  <c r="G185" i="7"/>
  <c r="D187" i="7"/>
  <c r="G187" i="7"/>
  <c r="D189" i="7"/>
  <c r="G189" i="7"/>
  <c r="D191" i="7"/>
  <c r="G191" i="7"/>
  <c r="D193" i="7"/>
  <c r="G193" i="7"/>
  <c r="D195" i="7"/>
  <c r="G195" i="7"/>
  <c r="D197" i="7"/>
  <c r="G197" i="7"/>
  <c r="D199" i="7"/>
  <c r="G199" i="7"/>
  <c r="D201" i="7"/>
  <c r="G201" i="7"/>
  <c r="D203" i="7"/>
  <c r="G203" i="7"/>
  <c r="D205" i="7"/>
  <c r="G205" i="7"/>
  <c r="D207" i="7"/>
  <c r="G207" i="7"/>
  <c r="D209" i="7"/>
  <c r="G209" i="7"/>
  <c r="D211" i="7"/>
  <c r="G211" i="7"/>
  <c r="D213" i="7"/>
  <c r="G213" i="7"/>
  <c r="D11" i="7"/>
  <c r="G11" i="7"/>
  <c r="D15" i="7"/>
  <c r="G15" i="7"/>
  <c r="D19" i="7"/>
  <c r="G19" i="7"/>
  <c r="D23" i="7"/>
  <c r="G23" i="7"/>
  <c r="D27" i="7"/>
  <c r="G27" i="7"/>
  <c r="D215" i="7"/>
  <c r="G215" i="7"/>
  <c r="D217" i="7"/>
  <c r="G217" i="7"/>
  <c r="D219" i="7"/>
  <c r="G219" i="7"/>
  <c r="D221" i="7"/>
  <c r="G221" i="7"/>
  <c r="D223" i="7"/>
  <c r="G223" i="7"/>
  <c r="D225" i="7"/>
  <c r="G225" i="7"/>
  <c r="D227" i="7"/>
  <c r="G227" i="7"/>
  <c r="D229" i="7"/>
  <c r="G229" i="7"/>
  <c r="D231" i="7"/>
  <c r="G231" i="7"/>
  <c r="D233" i="7"/>
  <c r="G233" i="7"/>
  <c r="D235" i="7"/>
  <c r="G235" i="7"/>
  <c r="D236" i="7"/>
  <c r="G236" i="7"/>
  <c r="D238" i="7"/>
  <c r="G238" i="7"/>
  <c r="D240" i="7"/>
  <c r="G240" i="7"/>
  <c r="D242" i="7"/>
  <c r="G242" i="7"/>
  <c r="D244" i="7"/>
  <c r="G244" i="7"/>
  <c r="D246" i="7"/>
  <c r="G246" i="7"/>
  <c r="D248" i="7"/>
  <c r="G248" i="7"/>
  <c r="D250" i="7"/>
  <c r="G250" i="7"/>
  <c r="D251" i="7"/>
  <c r="G251" i="7"/>
  <c r="D253" i="7"/>
  <c r="G253" i="7"/>
  <c r="D255" i="7"/>
  <c r="G255" i="7"/>
  <c r="D257" i="7"/>
  <c r="G257" i="7"/>
  <c r="D259" i="7"/>
  <c r="G259" i="7"/>
  <c r="D261" i="7"/>
  <c r="G261" i="7"/>
  <c r="D263" i="7"/>
  <c r="G263" i="7"/>
  <c r="D265" i="7"/>
  <c r="G265" i="7"/>
  <c r="D267" i="7"/>
  <c r="G267" i="7"/>
  <c r="D269" i="7"/>
  <c r="G269" i="7"/>
  <c r="D271" i="7"/>
  <c r="G271" i="7"/>
  <c r="D273" i="7"/>
  <c r="G273" i="7"/>
  <c r="D275" i="7"/>
  <c r="G275" i="7"/>
  <c r="D277" i="7"/>
  <c r="G277" i="7"/>
  <c r="D279" i="7"/>
  <c r="G279" i="7"/>
  <c r="D281" i="7"/>
  <c r="G281" i="7"/>
  <c r="D283" i="7"/>
  <c r="G283" i="7"/>
  <c r="D285" i="7"/>
  <c r="G285" i="7"/>
  <c r="D287" i="7"/>
  <c r="G287" i="7"/>
  <c r="D289" i="7"/>
  <c r="G289" i="7"/>
  <c r="D291" i="7"/>
  <c r="G291" i="7"/>
  <c r="D293" i="7"/>
  <c r="G293" i="7"/>
  <c r="D295" i="7"/>
  <c r="G295" i="7"/>
  <c r="D297" i="7"/>
  <c r="G297" i="7"/>
  <c r="D299" i="7"/>
  <c r="G299" i="7"/>
  <c r="D301" i="7"/>
  <c r="G301" i="7"/>
  <c r="D303" i="7"/>
  <c r="G303" i="7"/>
  <c r="D305" i="7"/>
  <c r="G305" i="7"/>
  <c r="D307" i="7"/>
  <c r="G307" i="7"/>
  <c r="D309" i="7"/>
  <c r="G309" i="7"/>
  <c r="D311" i="7"/>
  <c r="G311" i="7"/>
  <c r="D313" i="7"/>
  <c r="G313" i="7"/>
  <c r="D315" i="7"/>
  <c r="G315" i="7"/>
  <c r="D317" i="7"/>
  <c r="G317" i="7"/>
  <c r="D319" i="7"/>
  <c r="G319" i="7"/>
  <c r="D321" i="7"/>
  <c r="G321" i="7"/>
  <c r="D323" i="7"/>
  <c r="G323" i="7"/>
  <c r="D325" i="7"/>
  <c r="G325" i="7"/>
  <c r="D327" i="7"/>
  <c r="G327" i="7"/>
  <c r="D329" i="7"/>
  <c r="G329" i="7"/>
  <c r="D331" i="7"/>
  <c r="G331" i="7"/>
  <c r="D333" i="7"/>
  <c r="G333" i="7"/>
  <c r="D335" i="7"/>
  <c r="G335" i="7"/>
  <c r="D337" i="7"/>
  <c r="G337" i="7"/>
  <c r="D339" i="7"/>
  <c r="G339" i="7"/>
  <c r="D341" i="7"/>
  <c r="G341" i="7"/>
  <c r="D343" i="7"/>
  <c r="G343" i="7"/>
  <c r="D345" i="7"/>
  <c r="G345" i="7"/>
  <c r="D347" i="7"/>
  <c r="G347" i="7"/>
  <c r="D349" i="7"/>
  <c r="G349" i="7"/>
  <c r="D351" i="7"/>
  <c r="G351" i="7"/>
  <c r="D353" i="7"/>
  <c r="G353" i="7"/>
  <c r="D355" i="7"/>
  <c r="G355" i="7"/>
  <c r="D357" i="7"/>
  <c r="G357" i="7"/>
  <c r="D359" i="7"/>
  <c r="G359" i="7"/>
  <c r="D361" i="7"/>
  <c r="G361" i="7"/>
  <c r="D363" i="7"/>
  <c r="G363" i="7"/>
  <c r="D365" i="7"/>
  <c r="G365" i="7"/>
  <c r="D367" i="7"/>
  <c r="G367" i="7"/>
  <c r="D369" i="7"/>
  <c r="G369" i="7"/>
  <c r="D371" i="7"/>
  <c r="G371" i="7"/>
  <c r="D373" i="7"/>
  <c r="G373" i="7"/>
  <c r="D375" i="7"/>
  <c r="G375" i="7"/>
  <c r="D377" i="7"/>
  <c r="G377" i="7"/>
  <c r="D379" i="7"/>
  <c r="G379" i="7"/>
  <c r="D381" i="7"/>
  <c r="G381" i="7"/>
  <c r="D383" i="7"/>
  <c r="G383" i="7"/>
  <c r="D385" i="7"/>
  <c r="G385" i="7"/>
  <c r="D387" i="7"/>
  <c r="G387" i="7"/>
  <c r="D389" i="7"/>
  <c r="G389" i="7"/>
  <c r="D391" i="7"/>
  <c r="G391" i="7"/>
  <c r="D393" i="7"/>
  <c r="G393" i="7"/>
  <c r="D395" i="7"/>
  <c r="G395" i="7"/>
  <c r="D397" i="7"/>
  <c r="G397" i="7"/>
  <c r="D399" i="7"/>
  <c r="G399" i="7"/>
  <c r="D401" i="7"/>
  <c r="G401" i="7"/>
  <c r="D403" i="7"/>
  <c r="G403" i="7"/>
  <c r="D405" i="7"/>
  <c r="G405" i="7"/>
  <c r="D407" i="7"/>
  <c r="G407" i="7"/>
  <c r="D409" i="7"/>
  <c r="G409" i="7"/>
  <c r="D411" i="7"/>
  <c r="G411" i="7"/>
  <c r="D413" i="7"/>
  <c r="G413" i="7"/>
  <c r="D415" i="7"/>
  <c r="G415" i="7"/>
  <c r="D417" i="7"/>
  <c r="G417" i="7"/>
  <c r="D419" i="7"/>
  <c r="G419" i="7"/>
  <c r="D421" i="7"/>
  <c r="G421" i="7"/>
  <c r="D423" i="7"/>
  <c r="G423" i="7"/>
  <c r="D425" i="7"/>
  <c r="G425" i="7"/>
  <c r="D427" i="7"/>
  <c r="G427" i="7"/>
  <c r="D429" i="7"/>
  <c r="G429" i="7"/>
  <c r="D431" i="7"/>
  <c r="G431" i="7"/>
  <c r="D433" i="7"/>
  <c r="G433" i="7"/>
  <c r="D435" i="7"/>
  <c r="G435" i="7"/>
  <c r="D437" i="7"/>
  <c r="G437" i="7"/>
  <c r="D439" i="7"/>
  <c r="G439" i="7"/>
  <c r="D441" i="7"/>
  <c r="G441" i="7"/>
  <c r="D443" i="7"/>
  <c r="G443" i="7"/>
  <c r="D445" i="7"/>
  <c r="G445" i="7"/>
  <c r="D447" i="7"/>
  <c r="G447" i="7"/>
  <c r="D449" i="7"/>
  <c r="G449" i="7"/>
  <c r="D451" i="7"/>
  <c r="G451" i="7"/>
  <c r="D453" i="7"/>
  <c r="G453" i="7"/>
  <c r="D455" i="7"/>
  <c r="G455" i="7"/>
  <c r="D457" i="7"/>
  <c r="G457" i="7"/>
  <c r="D459" i="7"/>
  <c r="G459" i="7"/>
  <c r="D461" i="7"/>
  <c r="G461" i="7"/>
  <c r="D463" i="7"/>
  <c r="G463" i="7"/>
  <c r="D465" i="7"/>
  <c r="G465" i="7"/>
  <c r="D467" i="7"/>
  <c r="G467" i="7"/>
  <c r="D469" i="7"/>
  <c r="G469" i="7"/>
  <c r="D471" i="7"/>
  <c r="G471" i="7"/>
  <c r="D473" i="7"/>
  <c r="G473" i="7"/>
  <c r="D475" i="7"/>
  <c r="G475" i="7"/>
  <c r="D477" i="7"/>
  <c r="G477" i="7"/>
  <c r="D479" i="7"/>
  <c r="G479" i="7"/>
  <c r="D481" i="7"/>
  <c r="G481" i="7"/>
  <c r="D483" i="7"/>
  <c r="G483" i="7"/>
  <c r="D485" i="7"/>
  <c r="G485" i="7"/>
  <c r="D487" i="7"/>
  <c r="G487" i="7"/>
  <c r="D489" i="7"/>
  <c r="G489" i="7"/>
  <c r="D491" i="7"/>
  <c r="G491" i="7"/>
  <c r="D493" i="7"/>
  <c r="G493" i="7"/>
  <c r="D495" i="7"/>
  <c r="G495" i="7"/>
  <c r="D497" i="7"/>
  <c r="G497" i="7"/>
  <c r="D499" i="7"/>
  <c r="G499" i="7"/>
  <c r="D501" i="7"/>
  <c r="G501" i="7"/>
  <c r="D503" i="7"/>
  <c r="G503" i="7"/>
  <c r="D505" i="7"/>
  <c r="G505" i="7"/>
  <c r="D507" i="7"/>
  <c r="G507" i="7"/>
  <c r="D509" i="7"/>
  <c r="G509" i="7"/>
  <c r="D511" i="7"/>
  <c r="G511" i="7"/>
  <c r="D513" i="7"/>
  <c r="G513" i="7"/>
  <c r="D515" i="7"/>
  <c r="G515" i="7"/>
  <c r="D517" i="7"/>
  <c r="G517" i="7"/>
  <c r="D519" i="7"/>
  <c r="G519" i="7"/>
  <c r="D521" i="7"/>
  <c r="G521" i="7"/>
  <c r="D523" i="7"/>
  <c r="G523" i="7"/>
  <c r="D525" i="7"/>
  <c r="G525" i="7"/>
  <c r="D527" i="7"/>
  <c r="G527" i="7"/>
  <c r="D529" i="7"/>
  <c r="G529" i="7"/>
  <c r="D531" i="7"/>
  <c r="G531" i="7"/>
  <c r="D533" i="7"/>
  <c r="G533" i="7"/>
  <c r="D535" i="7"/>
  <c r="G535" i="7"/>
  <c r="D537" i="7"/>
  <c r="G537" i="7"/>
  <c r="D539" i="7"/>
  <c r="G539" i="7"/>
  <c r="D541" i="7"/>
  <c r="G541" i="7"/>
  <c r="D543" i="7"/>
  <c r="G543" i="7"/>
  <c r="D545" i="7"/>
  <c r="G545" i="7"/>
  <c r="D547" i="7"/>
  <c r="G547" i="7"/>
  <c r="D549" i="7"/>
  <c r="G549" i="7"/>
  <c r="D551" i="7"/>
  <c r="G551" i="7"/>
  <c r="D553" i="7"/>
  <c r="G553" i="7"/>
  <c r="D555" i="7"/>
  <c r="G555" i="7"/>
  <c r="D557" i="7"/>
  <c r="G557" i="7"/>
  <c r="D559" i="7"/>
  <c r="G559" i="7"/>
  <c r="D561" i="7"/>
  <c r="G561" i="7"/>
  <c r="D563" i="7"/>
  <c r="G563" i="7"/>
  <c r="D565" i="7"/>
  <c r="G565" i="7"/>
  <c r="D567" i="7"/>
  <c r="G567" i="7"/>
  <c r="D569" i="7"/>
  <c r="G569" i="7"/>
  <c r="D571" i="7"/>
  <c r="G571" i="7"/>
  <c r="D573" i="7"/>
  <c r="G573" i="7"/>
  <c r="D575" i="7"/>
  <c r="G575" i="7"/>
  <c r="D577" i="7"/>
  <c r="G577" i="7"/>
  <c r="D579" i="7"/>
  <c r="G579" i="7"/>
  <c r="D581" i="7"/>
  <c r="G581" i="7"/>
  <c r="D583" i="7"/>
  <c r="G583" i="7"/>
  <c r="D585" i="7"/>
  <c r="G585" i="7"/>
  <c r="D587" i="7"/>
  <c r="G587" i="7"/>
  <c r="D589" i="7"/>
  <c r="G589" i="7"/>
  <c r="D591" i="7"/>
  <c r="G591" i="7"/>
  <c r="D593" i="7"/>
  <c r="G593" i="7"/>
  <c r="D595" i="7"/>
  <c r="G595" i="7"/>
  <c r="D597" i="7"/>
  <c r="G597" i="7"/>
  <c r="D599" i="7"/>
  <c r="G599" i="7"/>
  <c r="D214" i="7"/>
  <c r="G214" i="7"/>
  <c r="D237" i="7"/>
  <c r="G237" i="7"/>
  <c r="D239" i="7"/>
  <c r="G239" i="7"/>
  <c r="D241" i="7"/>
  <c r="G241" i="7"/>
  <c r="D243" i="7"/>
  <c r="G243" i="7"/>
  <c r="D245" i="7"/>
  <c r="G245" i="7"/>
  <c r="D247" i="7"/>
  <c r="G247" i="7"/>
  <c r="D249" i="7"/>
  <c r="G249" i="7"/>
  <c r="D220" i="7"/>
  <c r="G220" i="7"/>
  <c r="D228" i="7"/>
  <c r="G228" i="7"/>
  <c r="D252" i="7"/>
  <c r="G252" i="7"/>
  <c r="D260" i="7"/>
  <c r="G260" i="7"/>
  <c r="D268" i="7"/>
  <c r="G268" i="7"/>
  <c r="D600" i="7"/>
  <c r="G600" i="7"/>
  <c r="D602" i="7"/>
  <c r="G602" i="7"/>
  <c r="D604" i="7"/>
  <c r="G604" i="7"/>
  <c r="D606" i="7"/>
  <c r="G606" i="7"/>
  <c r="D608" i="7"/>
  <c r="G608" i="7"/>
  <c r="D610" i="7"/>
  <c r="G610" i="7"/>
  <c r="D612" i="7"/>
  <c r="G612" i="7"/>
  <c r="D614" i="7"/>
  <c r="G614" i="7"/>
  <c r="D616" i="7"/>
  <c r="G616" i="7"/>
  <c r="D618" i="7"/>
  <c r="G618" i="7"/>
  <c r="D620" i="7"/>
  <c r="G620" i="7"/>
  <c r="D622" i="7"/>
  <c r="G622" i="7"/>
  <c r="D624" i="7"/>
  <c r="G624" i="7"/>
  <c r="D626" i="7"/>
  <c r="G626" i="7"/>
  <c r="D628" i="7"/>
  <c r="G628" i="7"/>
  <c r="D630" i="7"/>
  <c r="G630" i="7"/>
  <c r="D632" i="7"/>
  <c r="G632" i="7"/>
  <c r="D634" i="7"/>
  <c r="G634" i="7"/>
  <c r="D636" i="7"/>
  <c r="G636" i="7"/>
  <c r="D665" i="7"/>
  <c r="G665" i="7"/>
  <c r="D667" i="7"/>
  <c r="G667" i="7"/>
  <c r="D669" i="7"/>
  <c r="G669" i="7"/>
  <c r="D671" i="7"/>
  <c r="G671" i="7"/>
  <c r="D673" i="7"/>
  <c r="G673" i="7"/>
  <c r="D675" i="7"/>
  <c r="G675" i="7"/>
  <c r="D677" i="7"/>
  <c r="G677" i="7"/>
  <c r="D679" i="7"/>
  <c r="G679" i="7"/>
  <c r="D681" i="7"/>
  <c r="G681" i="7"/>
  <c r="D683" i="7"/>
  <c r="G683" i="7"/>
  <c r="D685" i="7"/>
  <c r="G685" i="7"/>
  <c r="D687" i="7"/>
  <c r="G687" i="7"/>
  <c r="D689" i="7"/>
  <c r="G689" i="7"/>
  <c r="D691" i="7"/>
  <c r="G691" i="7"/>
  <c r="D693" i="7"/>
  <c r="G693" i="7"/>
  <c r="D695" i="7"/>
  <c r="G695" i="7"/>
  <c r="D697" i="7"/>
  <c r="G697" i="7"/>
  <c r="D699" i="7"/>
  <c r="G699" i="7"/>
  <c r="D701" i="7"/>
  <c r="G701" i="7"/>
  <c r="D703" i="7"/>
  <c r="G703" i="7"/>
  <c r="D705" i="7"/>
  <c r="G705" i="7"/>
  <c r="D707" i="7"/>
  <c r="G707" i="7"/>
  <c r="D709" i="7"/>
  <c r="G709" i="7"/>
  <c r="D711" i="7"/>
  <c r="G711" i="7"/>
  <c r="D713" i="7"/>
  <c r="G713" i="7"/>
  <c r="D715" i="7"/>
  <c r="G715" i="7"/>
  <c r="D717" i="7"/>
  <c r="G717" i="7"/>
  <c r="D719" i="7"/>
  <c r="G719" i="7"/>
  <c r="D721" i="7"/>
  <c r="G721" i="7"/>
  <c r="D723" i="7"/>
  <c r="G723" i="7"/>
  <c r="D725" i="7"/>
  <c r="G725" i="7"/>
  <c r="D727" i="7"/>
  <c r="G727" i="7"/>
  <c r="D729" i="7"/>
  <c r="G729" i="7"/>
  <c r="D731" i="7"/>
  <c r="G731" i="7"/>
  <c r="D733" i="7"/>
  <c r="G733" i="7"/>
  <c r="D735" i="7"/>
  <c r="G735" i="7"/>
  <c r="D737" i="7"/>
  <c r="G737" i="7"/>
  <c r="D739" i="7"/>
  <c r="G739" i="7"/>
  <c r="D741" i="7"/>
  <c r="G741" i="7"/>
  <c r="D743" i="7"/>
  <c r="G743" i="7"/>
  <c r="D745" i="7"/>
  <c r="G745" i="7"/>
  <c r="D747" i="7"/>
  <c r="G747" i="7"/>
  <c r="D749" i="7"/>
  <c r="G749" i="7"/>
  <c r="D751" i="7"/>
  <c r="G751" i="7"/>
  <c r="D753" i="7"/>
  <c r="G753" i="7"/>
  <c r="D755" i="7"/>
  <c r="G755" i="7"/>
  <c r="D757" i="7"/>
  <c r="G757" i="7"/>
  <c r="D759" i="7"/>
  <c r="G759" i="7"/>
  <c r="D761" i="7"/>
  <c r="G761" i="7"/>
  <c r="D763" i="7"/>
  <c r="G763" i="7"/>
  <c r="D765" i="7"/>
  <c r="G765" i="7"/>
  <c r="D767" i="7"/>
  <c r="G767" i="7"/>
  <c r="D769" i="7"/>
  <c r="G769" i="7"/>
  <c r="D771" i="7"/>
  <c r="G771" i="7"/>
  <c r="D773" i="7"/>
  <c r="G773" i="7"/>
  <c r="D775" i="7"/>
  <c r="G775" i="7"/>
  <c r="D777" i="7"/>
  <c r="G777" i="7"/>
  <c r="D779" i="7"/>
  <c r="G779" i="7"/>
  <c r="D781" i="7"/>
  <c r="G781" i="7"/>
  <c r="D783" i="7"/>
  <c r="G783" i="7"/>
  <c r="D785" i="7"/>
  <c r="G785" i="7"/>
  <c r="D787" i="7"/>
  <c r="G787" i="7"/>
  <c r="D789" i="7"/>
  <c r="G789" i="7"/>
  <c r="D791" i="7"/>
  <c r="G791" i="7"/>
  <c r="D793" i="7"/>
  <c r="G793" i="7"/>
  <c r="D795" i="7"/>
  <c r="G795" i="7"/>
  <c r="D797" i="7"/>
  <c r="G797" i="7"/>
  <c r="D799" i="7"/>
  <c r="G799" i="7"/>
  <c r="D801" i="7"/>
  <c r="G801" i="7"/>
  <c r="D803" i="7"/>
  <c r="G803" i="7"/>
  <c r="D805" i="7"/>
  <c r="G805" i="7"/>
  <c r="D807" i="7"/>
  <c r="G807" i="7"/>
  <c r="D809" i="7"/>
  <c r="G809" i="7"/>
  <c r="D811" i="7"/>
  <c r="G811" i="7"/>
  <c r="D813" i="7"/>
  <c r="G813" i="7"/>
  <c r="D815" i="7"/>
  <c r="G815" i="7"/>
  <c r="D817" i="7"/>
  <c r="G817" i="7"/>
  <c r="D819" i="7"/>
  <c r="G819" i="7"/>
  <c r="D821" i="7"/>
  <c r="G821" i="7"/>
  <c r="D823" i="7"/>
  <c r="G823" i="7"/>
  <c r="D825" i="7"/>
  <c r="G825" i="7"/>
  <c r="D827" i="7"/>
  <c r="G827" i="7"/>
  <c r="D829" i="7"/>
  <c r="G829" i="7"/>
  <c r="D831" i="7"/>
  <c r="G831" i="7"/>
  <c r="D833" i="7"/>
  <c r="G833" i="7"/>
  <c r="D835" i="7"/>
  <c r="G835" i="7"/>
  <c r="D837" i="7"/>
  <c r="G837" i="7"/>
  <c r="D839" i="7"/>
  <c r="G839" i="7"/>
  <c r="D841" i="7"/>
  <c r="G841" i="7"/>
  <c r="D843" i="7"/>
  <c r="G843" i="7"/>
  <c r="D845" i="7"/>
  <c r="G845" i="7"/>
  <c r="D847" i="7"/>
  <c r="G847" i="7"/>
  <c r="D849" i="7"/>
  <c r="G849" i="7"/>
  <c r="D851" i="7"/>
  <c r="G851" i="7"/>
  <c r="D853" i="7"/>
  <c r="G853" i="7"/>
  <c r="D855" i="7"/>
  <c r="G855" i="7"/>
  <c r="D857" i="7"/>
  <c r="G857" i="7"/>
  <c r="D859" i="7"/>
  <c r="G859" i="7"/>
  <c r="D861" i="7"/>
  <c r="G861" i="7"/>
  <c r="D863" i="7"/>
  <c r="G863" i="7"/>
  <c r="D865" i="7"/>
  <c r="G865" i="7"/>
  <c r="D867" i="7"/>
  <c r="G867" i="7"/>
  <c r="D869" i="7"/>
  <c r="G869" i="7"/>
  <c r="D871" i="7"/>
  <c r="G871" i="7"/>
  <c r="D873" i="7"/>
  <c r="G873" i="7"/>
  <c r="D875" i="7"/>
  <c r="G875" i="7"/>
  <c r="D877" i="7"/>
  <c r="G877" i="7"/>
  <c r="D879" i="7"/>
  <c r="G879" i="7"/>
  <c r="D881" i="7"/>
  <c r="G881" i="7"/>
  <c r="D883" i="7"/>
  <c r="G883" i="7"/>
  <c r="D885" i="7"/>
  <c r="G885" i="7"/>
  <c r="D887" i="7"/>
  <c r="G887" i="7"/>
  <c r="D889" i="7"/>
  <c r="G889" i="7"/>
  <c r="D891" i="7"/>
  <c r="G891" i="7"/>
  <c r="D893" i="7"/>
  <c r="G893" i="7"/>
  <c r="D895" i="7"/>
  <c r="G895" i="7"/>
  <c r="D222" i="7"/>
  <c r="G222" i="7"/>
  <c r="D230" i="7"/>
  <c r="G230" i="7"/>
  <c r="D254" i="7"/>
  <c r="G254" i="7"/>
  <c r="D262" i="7"/>
  <c r="G262" i="7"/>
  <c r="D270" i="7"/>
  <c r="G270" i="7"/>
  <c r="D216" i="7"/>
  <c r="G216" i="7"/>
  <c r="D224" i="7"/>
  <c r="G224" i="7"/>
  <c r="D232" i="7"/>
  <c r="G232" i="7"/>
  <c r="D256" i="7"/>
  <c r="G256" i="7"/>
  <c r="D264" i="7"/>
  <c r="G264" i="7"/>
  <c r="D272" i="7"/>
  <c r="G272" i="7"/>
  <c r="D601" i="7"/>
  <c r="G601" i="7"/>
  <c r="D603" i="7"/>
  <c r="G603" i="7"/>
  <c r="D605" i="7"/>
  <c r="G605" i="7"/>
  <c r="D607" i="7"/>
  <c r="G607" i="7"/>
  <c r="D609" i="7"/>
  <c r="G609" i="7"/>
  <c r="D611" i="7"/>
  <c r="G611" i="7"/>
  <c r="D613" i="7"/>
  <c r="G613" i="7"/>
  <c r="D615" i="7"/>
  <c r="G615" i="7"/>
  <c r="D617" i="7"/>
  <c r="G617" i="7"/>
  <c r="D619" i="7"/>
  <c r="G619" i="7"/>
  <c r="D621" i="7"/>
  <c r="G621" i="7"/>
  <c r="D623" i="7"/>
  <c r="G623" i="7"/>
  <c r="D625" i="7"/>
  <c r="G625" i="7"/>
  <c r="D627" i="7"/>
  <c r="G627" i="7"/>
  <c r="D629" i="7"/>
  <c r="G629" i="7"/>
  <c r="D631" i="7"/>
  <c r="G631" i="7"/>
  <c r="D633" i="7"/>
  <c r="G633" i="7"/>
  <c r="D635" i="7"/>
  <c r="G635" i="7"/>
  <c r="D637" i="7"/>
  <c r="G637" i="7"/>
  <c r="D639" i="7"/>
  <c r="G639" i="7"/>
  <c r="D641" i="7"/>
  <c r="G641" i="7"/>
  <c r="D643" i="7"/>
  <c r="G643" i="7"/>
  <c r="D645" i="7"/>
  <c r="G645" i="7"/>
  <c r="D647" i="7"/>
  <c r="G647" i="7"/>
  <c r="D649" i="7"/>
  <c r="G649" i="7"/>
  <c r="D651" i="7"/>
  <c r="G651" i="7"/>
  <c r="D653" i="7"/>
  <c r="G653" i="7"/>
  <c r="D655" i="7"/>
  <c r="G655" i="7"/>
  <c r="D657" i="7"/>
  <c r="G657" i="7"/>
  <c r="D659" i="7"/>
  <c r="G659" i="7"/>
  <c r="D661" i="7"/>
  <c r="G661" i="7"/>
  <c r="D663" i="7"/>
  <c r="G663" i="7"/>
  <c r="D666" i="7"/>
  <c r="G666" i="7"/>
  <c r="D668" i="7"/>
  <c r="G668" i="7"/>
  <c r="D670" i="7"/>
  <c r="G670" i="7"/>
  <c r="D672" i="7"/>
  <c r="G672" i="7"/>
  <c r="D674" i="7"/>
  <c r="G674" i="7"/>
  <c r="D676" i="7"/>
  <c r="G676" i="7"/>
  <c r="D678" i="7"/>
  <c r="G678" i="7"/>
  <c r="D680" i="7"/>
  <c r="G680" i="7"/>
  <c r="D682" i="7"/>
  <c r="G682" i="7"/>
  <c r="D684" i="7"/>
  <c r="G684" i="7"/>
  <c r="D686" i="7"/>
  <c r="G686" i="7"/>
  <c r="D688" i="7"/>
  <c r="G688" i="7"/>
  <c r="D690" i="7"/>
  <c r="G690" i="7"/>
  <c r="D692" i="7"/>
  <c r="G692" i="7"/>
  <c r="D694" i="7"/>
  <c r="G694" i="7"/>
  <c r="D696" i="7"/>
  <c r="G696" i="7"/>
  <c r="D698" i="7"/>
  <c r="G698" i="7"/>
  <c r="D700" i="7"/>
  <c r="G700" i="7"/>
  <c r="D702" i="7"/>
  <c r="G702" i="7"/>
  <c r="D704" i="7"/>
  <c r="G704" i="7"/>
  <c r="D706" i="7"/>
  <c r="G706" i="7"/>
  <c r="D708" i="7"/>
  <c r="G708" i="7"/>
  <c r="D710" i="7"/>
  <c r="G710" i="7"/>
  <c r="D712" i="7"/>
  <c r="G712" i="7"/>
  <c r="D714" i="7"/>
  <c r="G714" i="7"/>
  <c r="D716" i="7"/>
  <c r="G716" i="7"/>
  <c r="D718" i="7"/>
  <c r="G718" i="7"/>
  <c r="D720" i="7"/>
  <c r="G720" i="7"/>
  <c r="D722" i="7"/>
  <c r="G722" i="7"/>
  <c r="D724" i="7"/>
  <c r="G724" i="7"/>
  <c r="D726" i="7"/>
  <c r="G726" i="7"/>
  <c r="D728" i="7"/>
  <c r="G728" i="7"/>
  <c r="D730" i="7"/>
  <c r="G730" i="7"/>
  <c r="D732" i="7"/>
  <c r="G732" i="7"/>
  <c r="D734" i="7"/>
  <c r="G734" i="7"/>
  <c r="D736" i="7"/>
  <c r="G736" i="7"/>
  <c r="D738" i="7"/>
  <c r="G738" i="7"/>
  <c r="D740" i="7"/>
  <c r="G740" i="7"/>
  <c r="D742" i="7"/>
  <c r="G742" i="7"/>
  <c r="D744" i="7"/>
  <c r="G744" i="7"/>
  <c r="D746" i="7"/>
  <c r="G746" i="7"/>
  <c r="D748" i="7"/>
  <c r="G748" i="7"/>
  <c r="D750" i="7"/>
  <c r="G750" i="7"/>
  <c r="D752" i="7"/>
  <c r="G752" i="7"/>
  <c r="D754" i="7"/>
  <c r="G754" i="7"/>
  <c r="D756" i="7"/>
  <c r="G756" i="7"/>
  <c r="D758" i="7"/>
  <c r="G758" i="7"/>
  <c r="D760" i="7"/>
  <c r="G760" i="7"/>
  <c r="D762" i="7"/>
  <c r="G762" i="7"/>
  <c r="D764" i="7"/>
  <c r="G764" i="7"/>
  <c r="D766" i="7"/>
  <c r="G766" i="7"/>
  <c r="D768" i="7"/>
  <c r="G768" i="7"/>
  <c r="D770" i="7"/>
  <c r="G770" i="7"/>
  <c r="D772" i="7"/>
  <c r="G772" i="7"/>
  <c r="D774" i="7"/>
  <c r="G774" i="7"/>
  <c r="D776" i="7"/>
  <c r="G776" i="7"/>
  <c r="D778" i="7"/>
  <c r="G778" i="7"/>
  <c r="D780" i="7"/>
  <c r="G780" i="7"/>
  <c r="D782" i="7"/>
  <c r="G782" i="7"/>
  <c r="D784" i="7"/>
  <c r="G784" i="7"/>
  <c r="D786" i="7"/>
  <c r="G786" i="7"/>
  <c r="D788" i="7"/>
  <c r="G788" i="7"/>
  <c r="D790" i="7"/>
  <c r="G790" i="7"/>
  <c r="D792" i="7"/>
  <c r="G792" i="7"/>
  <c r="D794" i="7"/>
  <c r="G794" i="7"/>
  <c r="D796" i="7"/>
  <c r="G796" i="7"/>
  <c r="D798" i="7"/>
  <c r="G798" i="7"/>
  <c r="D800" i="7"/>
  <c r="G800" i="7"/>
  <c r="D802" i="7"/>
  <c r="G802" i="7"/>
  <c r="D804" i="7"/>
  <c r="G804" i="7"/>
  <c r="D806" i="7"/>
  <c r="G806" i="7"/>
  <c r="D808" i="7"/>
  <c r="G808" i="7"/>
  <c r="D810" i="7"/>
  <c r="G810" i="7"/>
  <c r="D812" i="7"/>
  <c r="G812" i="7"/>
  <c r="D814" i="7"/>
  <c r="G814" i="7"/>
  <c r="D816" i="7"/>
  <c r="G816" i="7"/>
  <c r="D818" i="7"/>
  <c r="G818" i="7"/>
  <c r="D820" i="7"/>
  <c r="G820" i="7"/>
  <c r="D822" i="7"/>
  <c r="G822" i="7"/>
  <c r="D824" i="7"/>
  <c r="G824" i="7"/>
  <c r="D826" i="7"/>
  <c r="G826" i="7"/>
  <c r="D828" i="7"/>
  <c r="G828" i="7"/>
  <c r="D830" i="7"/>
  <c r="G830" i="7"/>
  <c r="D832" i="7"/>
  <c r="G832" i="7"/>
  <c r="D834" i="7"/>
  <c r="G834" i="7"/>
  <c r="D836" i="7"/>
  <c r="G836" i="7"/>
  <c r="D838" i="7"/>
  <c r="G838" i="7"/>
  <c r="D840" i="7"/>
  <c r="G840" i="7"/>
  <c r="D842" i="7"/>
  <c r="G842" i="7"/>
  <c r="D844" i="7"/>
  <c r="G844" i="7"/>
  <c r="D846" i="7"/>
  <c r="G846" i="7"/>
  <c r="D848" i="7"/>
  <c r="G848" i="7"/>
  <c r="D850" i="7"/>
  <c r="G850" i="7"/>
  <c r="D852" i="7"/>
  <c r="G852" i="7"/>
  <c r="D854" i="7"/>
  <c r="G854" i="7"/>
  <c r="D856" i="7"/>
  <c r="G856" i="7"/>
  <c r="D858" i="7"/>
  <c r="G858" i="7"/>
  <c r="D860" i="7"/>
  <c r="G860" i="7"/>
  <c r="D862" i="7"/>
  <c r="G862" i="7"/>
  <c r="D864" i="7"/>
  <c r="G864" i="7"/>
  <c r="D866" i="7"/>
  <c r="G866" i="7"/>
  <c r="D868" i="7"/>
  <c r="G868" i="7"/>
  <c r="D870" i="7"/>
  <c r="G870" i="7"/>
  <c r="D872" i="7"/>
  <c r="G872" i="7"/>
  <c r="D874" i="7"/>
  <c r="G874" i="7"/>
  <c r="D876" i="7"/>
  <c r="G876" i="7"/>
  <c r="D878" i="7"/>
  <c r="G878" i="7"/>
  <c r="D880" i="7"/>
  <c r="G880" i="7"/>
  <c r="D882" i="7"/>
  <c r="G882" i="7"/>
  <c r="D884" i="7"/>
  <c r="G884" i="7"/>
  <c r="D886" i="7"/>
  <c r="G886" i="7"/>
  <c r="D888" i="7"/>
  <c r="G888" i="7"/>
  <c r="D890" i="7"/>
  <c r="G890" i="7"/>
  <c r="D892" i="7"/>
  <c r="G892" i="7"/>
  <c r="D894" i="7"/>
  <c r="G894" i="7"/>
  <c r="D896" i="7"/>
  <c r="G896" i="7"/>
  <c r="D898" i="7"/>
  <c r="G898" i="7"/>
  <c r="D900" i="7"/>
  <c r="G900" i="7"/>
  <c r="D902" i="7"/>
  <c r="G902" i="7"/>
  <c r="D904" i="7"/>
  <c r="G904" i="7"/>
  <c r="D906" i="7"/>
  <c r="G906" i="7"/>
  <c r="D908" i="7"/>
  <c r="G908" i="7"/>
  <c r="D218" i="7"/>
  <c r="G218" i="7"/>
  <c r="D226" i="7"/>
  <c r="G226" i="7"/>
  <c r="D234" i="7"/>
  <c r="G234" i="7"/>
  <c r="D258" i="7"/>
  <c r="G258" i="7"/>
  <c r="D266" i="7"/>
  <c r="G266" i="7"/>
  <c r="D274" i="7"/>
  <c r="G274" i="7"/>
  <c r="D276" i="7"/>
  <c r="G276" i="7"/>
  <c r="D278" i="7"/>
  <c r="G278" i="7"/>
  <c r="D280" i="7"/>
  <c r="G280" i="7"/>
  <c r="D282" i="7"/>
  <c r="G282" i="7"/>
  <c r="D284" i="7"/>
  <c r="G284" i="7"/>
  <c r="D286" i="7"/>
  <c r="G286" i="7"/>
  <c r="D288" i="7"/>
  <c r="G288" i="7"/>
  <c r="D290" i="7"/>
  <c r="G290" i="7"/>
  <c r="D292" i="7"/>
  <c r="G292" i="7"/>
  <c r="D294" i="7"/>
  <c r="G294" i="7"/>
  <c r="D296" i="7"/>
  <c r="G296" i="7"/>
  <c r="D298" i="7"/>
  <c r="G298" i="7"/>
  <c r="D300" i="7"/>
  <c r="G300" i="7"/>
  <c r="D302" i="7"/>
  <c r="G302" i="7"/>
  <c r="D304" i="7"/>
  <c r="G304" i="7"/>
  <c r="D306" i="7"/>
  <c r="G306" i="7"/>
  <c r="D308" i="7"/>
  <c r="G308" i="7"/>
  <c r="D310" i="7"/>
  <c r="G310" i="7"/>
  <c r="D312" i="7"/>
  <c r="G312" i="7"/>
  <c r="D314" i="7"/>
  <c r="G314" i="7"/>
  <c r="D316" i="7"/>
  <c r="G316" i="7"/>
  <c r="D318" i="7"/>
  <c r="G318" i="7"/>
  <c r="D320" i="7"/>
  <c r="G320" i="7"/>
  <c r="D322" i="7"/>
  <c r="G322" i="7"/>
  <c r="D324" i="7"/>
  <c r="G324" i="7"/>
  <c r="D326" i="7"/>
  <c r="G326" i="7"/>
  <c r="D328" i="7"/>
  <c r="G328" i="7"/>
  <c r="D330" i="7"/>
  <c r="G330" i="7"/>
  <c r="D332" i="7"/>
  <c r="G332" i="7"/>
  <c r="D334" i="7"/>
  <c r="G334" i="7"/>
  <c r="D336" i="7"/>
  <c r="G336" i="7"/>
  <c r="D338" i="7"/>
  <c r="G338" i="7"/>
  <c r="D340" i="7"/>
  <c r="G340" i="7"/>
  <c r="D342" i="7"/>
  <c r="G342" i="7"/>
  <c r="D344" i="7"/>
  <c r="G344" i="7"/>
  <c r="D346" i="7"/>
  <c r="G346" i="7"/>
  <c r="D348" i="7"/>
  <c r="G348" i="7"/>
  <c r="D350" i="7"/>
  <c r="G350" i="7"/>
  <c r="D352" i="7"/>
  <c r="G352" i="7"/>
  <c r="D354" i="7"/>
  <c r="G354" i="7"/>
  <c r="D356" i="7"/>
  <c r="G356" i="7"/>
  <c r="D358" i="7"/>
  <c r="G358" i="7"/>
  <c r="D360" i="7"/>
  <c r="G360" i="7"/>
  <c r="D362" i="7"/>
  <c r="G362" i="7"/>
  <c r="D364" i="7"/>
  <c r="G364" i="7"/>
  <c r="D366" i="7"/>
  <c r="G366" i="7"/>
  <c r="D368" i="7"/>
  <c r="G368" i="7"/>
  <c r="D370" i="7"/>
  <c r="G370" i="7"/>
  <c r="D372" i="7"/>
  <c r="G372" i="7"/>
  <c r="D374" i="7"/>
  <c r="G374" i="7"/>
  <c r="D376" i="7"/>
  <c r="G376" i="7"/>
  <c r="D378" i="7"/>
  <c r="G378" i="7"/>
  <c r="D380" i="7"/>
  <c r="G380" i="7"/>
  <c r="D382" i="7"/>
  <c r="G382" i="7"/>
  <c r="D384" i="7"/>
  <c r="G384" i="7"/>
  <c r="D386" i="7"/>
  <c r="G386" i="7"/>
  <c r="D388" i="7"/>
  <c r="G388" i="7"/>
  <c r="D390" i="7"/>
  <c r="G390" i="7"/>
  <c r="D392" i="7"/>
  <c r="G392" i="7"/>
  <c r="D394" i="7"/>
  <c r="G394" i="7"/>
  <c r="D396" i="7"/>
  <c r="G396" i="7"/>
  <c r="D398" i="7"/>
  <c r="G398" i="7"/>
  <c r="D400" i="7"/>
  <c r="G400" i="7"/>
  <c r="D402" i="7"/>
  <c r="G402" i="7"/>
  <c r="D404" i="7"/>
  <c r="G404" i="7"/>
  <c r="D406" i="7"/>
  <c r="G406" i="7"/>
  <c r="D408" i="7"/>
  <c r="G408" i="7"/>
  <c r="D410" i="7"/>
  <c r="G410" i="7"/>
  <c r="D412" i="7"/>
  <c r="G412" i="7"/>
  <c r="D414" i="7"/>
  <c r="G414" i="7"/>
  <c r="D416" i="7"/>
  <c r="G416" i="7"/>
  <c r="D418" i="7"/>
  <c r="G418" i="7"/>
  <c r="D420" i="7"/>
  <c r="G420" i="7"/>
  <c r="D422" i="7"/>
  <c r="G422" i="7"/>
  <c r="D424" i="7"/>
  <c r="G424" i="7"/>
  <c r="D426" i="7"/>
  <c r="G426" i="7"/>
  <c r="D428" i="7"/>
  <c r="G428" i="7"/>
  <c r="D430" i="7"/>
  <c r="G430" i="7"/>
  <c r="D432" i="7"/>
  <c r="G432" i="7"/>
  <c r="D434" i="7"/>
  <c r="G434" i="7"/>
  <c r="D436" i="7"/>
  <c r="G436" i="7"/>
  <c r="D438" i="7"/>
  <c r="G438" i="7"/>
  <c r="D440" i="7"/>
  <c r="G440" i="7"/>
  <c r="D442" i="7"/>
  <c r="G442" i="7"/>
  <c r="D444" i="7"/>
  <c r="G444" i="7"/>
  <c r="D446" i="7"/>
  <c r="G446" i="7"/>
  <c r="D448" i="7"/>
  <c r="G448" i="7"/>
  <c r="D450" i="7"/>
  <c r="G450" i="7"/>
  <c r="D452" i="7"/>
  <c r="G452" i="7"/>
  <c r="D454" i="7"/>
  <c r="G454" i="7"/>
  <c r="D456" i="7"/>
  <c r="G456" i="7"/>
  <c r="D458" i="7"/>
  <c r="G458" i="7"/>
  <c r="D460" i="7"/>
  <c r="G460" i="7"/>
  <c r="D462" i="7"/>
  <c r="G462" i="7"/>
  <c r="D464" i="7"/>
  <c r="G464" i="7"/>
  <c r="D466" i="7"/>
  <c r="G466" i="7"/>
  <c r="D468" i="7"/>
  <c r="G468" i="7"/>
  <c r="D470" i="7"/>
  <c r="G470" i="7"/>
  <c r="D472" i="7"/>
  <c r="G472" i="7"/>
  <c r="D474" i="7"/>
  <c r="G474" i="7"/>
  <c r="D476" i="7"/>
  <c r="G476" i="7"/>
  <c r="D478" i="7"/>
  <c r="G478" i="7"/>
  <c r="D480" i="7"/>
  <c r="G480" i="7"/>
  <c r="D482" i="7"/>
  <c r="G482" i="7"/>
  <c r="D484" i="7"/>
  <c r="G484" i="7"/>
  <c r="D486" i="7"/>
  <c r="G486" i="7"/>
  <c r="D488" i="7"/>
  <c r="G488" i="7"/>
  <c r="D490" i="7"/>
  <c r="G490" i="7"/>
  <c r="D492" i="7"/>
  <c r="G492" i="7"/>
  <c r="D494" i="7"/>
  <c r="G494" i="7"/>
  <c r="D496" i="7"/>
  <c r="G496" i="7"/>
  <c r="D498" i="7"/>
  <c r="G498" i="7"/>
  <c r="D500" i="7"/>
  <c r="G500" i="7"/>
  <c r="D502" i="7"/>
  <c r="G502" i="7"/>
  <c r="D504" i="7"/>
  <c r="G504" i="7"/>
  <c r="D506" i="7"/>
  <c r="G506" i="7"/>
  <c r="D508" i="7"/>
  <c r="G508" i="7"/>
  <c r="D510" i="7"/>
  <c r="G510" i="7"/>
  <c r="D512" i="7"/>
  <c r="G512" i="7"/>
  <c r="D514" i="7"/>
  <c r="G514" i="7"/>
  <c r="D516" i="7"/>
  <c r="G516" i="7"/>
  <c r="D518" i="7"/>
  <c r="G518" i="7"/>
  <c r="D520" i="7"/>
  <c r="G520" i="7"/>
  <c r="D522" i="7"/>
  <c r="G522" i="7"/>
  <c r="D524" i="7"/>
  <c r="G524" i="7"/>
  <c r="D526" i="7"/>
  <c r="G526" i="7"/>
  <c r="D528" i="7"/>
  <c r="G528" i="7"/>
  <c r="D530" i="7"/>
  <c r="G530" i="7"/>
  <c r="D532" i="7"/>
  <c r="G532" i="7"/>
  <c r="D534" i="7"/>
  <c r="G534" i="7"/>
  <c r="D536" i="7"/>
  <c r="G536" i="7"/>
  <c r="D538" i="7"/>
  <c r="G538" i="7"/>
  <c r="D540" i="7"/>
  <c r="G540" i="7"/>
  <c r="D542" i="7"/>
  <c r="G542" i="7"/>
  <c r="D544" i="7"/>
  <c r="G544" i="7"/>
  <c r="D546" i="7"/>
  <c r="G546" i="7"/>
  <c r="D548" i="7"/>
  <c r="G548" i="7"/>
  <c r="D550" i="7"/>
  <c r="G550" i="7"/>
  <c r="D552" i="7"/>
  <c r="G552" i="7"/>
  <c r="D554" i="7"/>
  <c r="G554" i="7"/>
  <c r="D556" i="7"/>
  <c r="G556" i="7"/>
  <c r="D558" i="7"/>
  <c r="G558" i="7"/>
  <c r="D560" i="7"/>
  <c r="G560" i="7"/>
  <c r="D562" i="7"/>
  <c r="G562" i="7"/>
  <c r="D564" i="7"/>
  <c r="G564" i="7"/>
  <c r="D566" i="7"/>
  <c r="G566" i="7"/>
  <c r="D568" i="7"/>
  <c r="G568" i="7"/>
  <c r="D570" i="7"/>
  <c r="G570" i="7"/>
  <c r="D572" i="7"/>
  <c r="G572" i="7"/>
  <c r="D574" i="7"/>
  <c r="G574" i="7"/>
  <c r="D576" i="7"/>
  <c r="G576" i="7"/>
  <c r="D578" i="7"/>
  <c r="G578" i="7"/>
  <c r="D580" i="7"/>
  <c r="G580" i="7"/>
  <c r="D582" i="7"/>
  <c r="G582" i="7"/>
  <c r="D584" i="7"/>
  <c r="G584" i="7"/>
  <c r="D586" i="7"/>
  <c r="G586" i="7"/>
  <c r="D588" i="7"/>
  <c r="G588" i="7"/>
  <c r="D590" i="7"/>
  <c r="G590" i="7"/>
  <c r="D592" i="7"/>
  <c r="G592" i="7"/>
  <c r="D594" i="7"/>
  <c r="G594" i="7"/>
  <c r="D596" i="7"/>
  <c r="G596" i="7"/>
  <c r="D598" i="7"/>
  <c r="G598" i="7"/>
  <c r="D638" i="7"/>
  <c r="G638" i="7"/>
  <c r="D640" i="7"/>
  <c r="G640" i="7"/>
  <c r="D642" i="7"/>
  <c r="G642" i="7"/>
  <c r="D644" i="7"/>
  <c r="G644" i="7"/>
  <c r="D646" i="7"/>
  <c r="G646" i="7"/>
  <c r="D648" i="7"/>
  <c r="G648" i="7"/>
  <c r="D650" i="7"/>
  <c r="G650" i="7"/>
  <c r="D652" i="7"/>
  <c r="G652" i="7"/>
  <c r="D654" i="7"/>
  <c r="G654" i="7"/>
  <c r="D656" i="7"/>
  <c r="G656" i="7"/>
  <c r="D658" i="7"/>
  <c r="G658" i="7"/>
  <c r="D660" i="7"/>
  <c r="G660" i="7"/>
  <c r="D662" i="7"/>
  <c r="G662" i="7"/>
  <c r="D664" i="7"/>
  <c r="G664" i="7"/>
  <c r="D897" i="7"/>
  <c r="G897" i="7"/>
  <c r="D899" i="7"/>
  <c r="G899" i="7"/>
  <c r="D901" i="7"/>
  <c r="G901" i="7"/>
  <c r="D903" i="7"/>
  <c r="G903" i="7"/>
  <c r="D905" i="7"/>
  <c r="G905" i="7"/>
  <c r="D907" i="7"/>
  <c r="G907" i="7"/>
  <c r="D942" i="7"/>
  <c r="G942" i="7"/>
  <c r="D944" i="7"/>
  <c r="G944" i="7"/>
  <c r="D946" i="7"/>
  <c r="G946" i="7"/>
  <c r="D948" i="7"/>
  <c r="G948" i="7"/>
  <c r="D950" i="7"/>
  <c r="G950" i="7"/>
  <c r="D952" i="7"/>
  <c r="G952" i="7"/>
  <c r="D954" i="7"/>
  <c r="G954" i="7"/>
  <c r="D956" i="7"/>
  <c r="G956" i="7"/>
  <c r="D958" i="7"/>
  <c r="G958" i="7"/>
  <c r="D960" i="7"/>
  <c r="G960" i="7"/>
  <c r="D962" i="7"/>
  <c r="G962" i="7"/>
  <c r="D964" i="7"/>
  <c r="G964" i="7"/>
  <c r="D966" i="7"/>
  <c r="G966" i="7"/>
  <c r="D968" i="7"/>
  <c r="G968" i="7"/>
  <c r="D970" i="7"/>
  <c r="G970" i="7"/>
  <c r="D972" i="7"/>
  <c r="G972" i="7"/>
  <c r="D974" i="7"/>
  <c r="G974" i="7"/>
  <c r="D976" i="7"/>
  <c r="G976" i="7"/>
  <c r="D978" i="7"/>
  <c r="G978" i="7"/>
  <c r="D980" i="7"/>
  <c r="G980" i="7"/>
  <c r="D982" i="7"/>
  <c r="G982" i="7"/>
  <c r="D984" i="7"/>
  <c r="G984" i="7"/>
  <c r="D986" i="7"/>
  <c r="G986" i="7"/>
  <c r="D988" i="7"/>
  <c r="G988" i="7"/>
  <c r="D990" i="7"/>
  <c r="G990" i="7"/>
  <c r="D992" i="7"/>
  <c r="G992" i="7"/>
  <c r="D994" i="7"/>
  <c r="G994" i="7"/>
  <c r="D996" i="7"/>
  <c r="G996" i="7"/>
  <c r="D998" i="7"/>
  <c r="G998" i="7"/>
  <c r="D1000" i="7"/>
  <c r="G1000" i="7"/>
  <c r="D1002" i="7"/>
  <c r="G1002" i="7"/>
  <c r="D1004" i="7"/>
  <c r="G1004" i="7"/>
  <c r="D1006" i="7"/>
  <c r="G1006" i="7"/>
  <c r="D1008" i="7"/>
  <c r="G1008" i="7"/>
  <c r="D1010" i="7"/>
  <c r="G1010" i="7"/>
  <c r="D1012" i="7"/>
  <c r="G1012" i="7"/>
  <c r="D1014" i="7"/>
  <c r="G1014" i="7"/>
  <c r="D1016" i="7"/>
  <c r="G1016" i="7"/>
  <c r="D1018" i="7"/>
  <c r="G1018" i="7"/>
  <c r="D1020" i="7"/>
  <c r="G1020" i="7"/>
  <c r="D1022" i="7"/>
  <c r="G1022" i="7"/>
  <c r="D1024" i="7"/>
  <c r="G1024" i="7"/>
  <c r="D1026" i="7"/>
  <c r="G1026" i="7"/>
  <c r="D1028" i="7"/>
  <c r="G1028" i="7"/>
  <c r="D1030" i="7"/>
  <c r="G1030" i="7"/>
  <c r="D1032" i="7"/>
  <c r="G1032" i="7"/>
  <c r="D1034" i="7"/>
  <c r="G1034" i="7"/>
  <c r="D1036" i="7"/>
  <c r="G1036" i="7"/>
  <c r="D1038" i="7"/>
  <c r="G1038" i="7"/>
  <c r="D1040" i="7"/>
  <c r="G1040" i="7"/>
  <c r="D1042" i="7"/>
  <c r="G1042" i="7"/>
  <c r="D1044" i="7"/>
  <c r="G1044" i="7"/>
  <c r="D1046" i="7"/>
  <c r="G1046" i="7"/>
  <c r="D1048" i="7"/>
  <c r="G1048" i="7"/>
  <c r="D1050" i="7"/>
  <c r="G1050" i="7"/>
  <c r="D1052" i="7"/>
  <c r="G1052" i="7"/>
  <c r="D1054" i="7"/>
  <c r="G1054" i="7"/>
  <c r="D1056" i="7"/>
  <c r="G1056" i="7"/>
  <c r="D1058" i="7"/>
  <c r="G1058" i="7"/>
  <c r="D1060" i="7"/>
  <c r="G1060" i="7"/>
  <c r="D1062" i="7"/>
  <c r="G1062" i="7"/>
  <c r="D909" i="7"/>
  <c r="G909" i="7"/>
  <c r="D911" i="7"/>
  <c r="G911" i="7"/>
  <c r="D913" i="7"/>
  <c r="G913" i="7"/>
  <c r="D915" i="7"/>
  <c r="G915" i="7"/>
  <c r="D917" i="7"/>
  <c r="G917" i="7"/>
  <c r="D919" i="7"/>
  <c r="G919" i="7"/>
  <c r="D921" i="7"/>
  <c r="G921" i="7"/>
  <c r="D923" i="7"/>
  <c r="G923" i="7"/>
  <c r="D925" i="7"/>
  <c r="G925" i="7"/>
  <c r="D927" i="7"/>
  <c r="G927" i="7"/>
  <c r="D929" i="7"/>
  <c r="G929" i="7"/>
  <c r="D931" i="7"/>
  <c r="G931" i="7"/>
  <c r="D933" i="7"/>
  <c r="G933" i="7"/>
  <c r="D935" i="7"/>
  <c r="G935" i="7"/>
  <c r="D937" i="7"/>
  <c r="G937" i="7"/>
  <c r="D939" i="7"/>
  <c r="G939" i="7"/>
  <c r="D941" i="7"/>
  <c r="G941" i="7"/>
  <c r="D943" i="7"/>
  <c r="G943" i="7"/>
  <c r="D945" i="7"/>
  <c r="G945" i="7"/>
  <c r="D947" i="7"/>
  <c r="G947" i="7"/>
  <c r="D949" i="7"/>
  <c r="G949" i="7"/>
  <c r="D951" i="7"/>
  <c r="G951" i="7"/>
  <c r="D953" i="7"/>
  <c r="G953" i="7"/>
  <c r="D955" i="7"/>
  <c r="G955" i="7"/>
  <c r="D957" i="7"/>
  <c r="G957" i="7"/>
  <c r="D959" i="7"/>
  <c r="G959" i="7"/>
  <c r="D961" i="7"/>
  <c r="G961" i="7"/>
  <c r="D963" i="7"/>
  <c r="G963" i="7"/>
  <c r="D965" i="7"/>
  <c r="G965" i="7"/>
  <c r="D967" i="7"/>
  <c r="G967" i="7"/>
  <c r="D969" i="7"/>
  <c r="G969" i="7"/>
  <c r="D971" i="7"/>
  <c r="G971" i="7"/>
  <c r="D973" i="7"/>
  <c r="G973" i="7"/>
  <c r="D975" i="7"/>
  <c r="G975" i="7"/>
  <c r="D977" i="7"/>
  <c r="G977" i="7"/>
  <c r="D979" i="7"/>
  <c r="G979" i="7"/>
  <c r="D981" i="7"/>
  <c r="G981" i="7"/>
  <c r="D983" i="7"/>
  <c r="G983" i="7"/>
  <c r="D985" i="7"/>
  <c r="G985" i="7"/>
  <c r="D987" i="7"/>
  <c r="G987" i="7"/>
  <c r="D989" i="7"/>
  <c r="G989" i="7"/>
  <c r="D991" i="7"/>
  <c r="G991" i="7"/>
  <c r="D993" i="7"/>
  <c r="G993" i="7"/>
  <c r="D995" i="7"/>
  <c r="G995" i="7"/>
  <c r="D997" i="7"/>
  <c r="G997" i="7"/>
  <c r="D999" i="7"/>
  <c r="G999" i="7"/>
  <c r="D1001" i="7"/>
  <c r="G1001" i="7"/>
  <c r="D1003" i="7"/>
  <c r="G1003" i="7"/>
  <c r="D1005" i="7"/>
  <c r="G1005" i="7"/>
  <c r="D1007" i="7"/>
  <c r="G1007" i="7"/>
  <c r="D1009" i="7"/>
  <c r="G1009" i="7"/>
  <c r="D1011" i="7"/>
  <c r="G1011" i="7"/>
  <c r="D1013" i="7"/>
  <c r="G1013" i="7"/>
  <c r="D1015" i="7"/>
  <c r="G1015" i="7"/>
  <c r="D1017" i="7"/>
  <c r="G1017" i="7"/>
  <c r="D1019" i="7"/>
  <c r="G1019" i="7"/>
  <c r="D1021" i="7"/>
  <c r="G1021" i="7"/>
  <c r="D1023" i="7"/>
  <c r="G1023" i="7"/>
  <c r="D1025" i="7"/>
  <c r="G1025" i="7"/>
  <c r="D1027" i="7"/>
  <c r="G1027" i="7"/>
  <c r="D1029" i="7"/>
  <c r="G1029" i="7"/>
  <c r="D1031" i="7"/>
  <c r="G1031" i="7"/>
  <c r="D1033" i="7"/>
  <c r="G1033" i="7"/>
  <c r="D1035" i="7"/>
  <c r="G1035" i="7"/>
  <c r="D1037" i="7"/>
  <c r="G1037" i="7"/>
  <c r="D1039" i="7"/>
  <c r="G1039" i="7"/>
  <c r="D1041" i="7"/>
  <c r="G1041" i="7"/>
  <c r="D1043" i="7"/>
  <c r="G1043" i="7"/>
  <c r="D1045" i="7"/>
  <c r="G1045" i="7"/>
  <c r="D1047" i="7"/>
  <c r="G1047" i="7"/>
  <c r="D1049" i="7"/>
  <c r="G1049" i="7"/>
  <c r="D1051" i="7"/>
  <c r="G1051" i="7"/>
  <c r="D1053" i="7"/>
  <c r="G1053" i="7"/>
  <c r="D1055" i="7"/>
  <c r="G1055" i="7"/>
  <c r="D1057" i="7"/>
  <c r="G1057" i="7"/>
  <c r="D1059" i="7"/>
  <c r="G1059" i="7"/>
  <c r="D1061" i="7"/>
  <c r="G1061" i="7"/>
  <c r="D1063" i="7"/>
  <c r="G1063" i="7"/>
  <c r="D910" i="7"/>
  <c r="G910" i="7"/>
  <c r="D912" i="7"/>
  <c r="G912" i="7"/>
  <c r="D914" i="7"/>
  <c r="G914" i="7"/>
  <c r="D916" i="7"/>
  <c r="G916" i="7"/>
  <c r="D918" i="7"/>
  <c r="G918" i="7"/>
  <c r="D920" i="7"/>
  <c r="G920" i="7"/>
  <c r="D922" i="7"/>
  <c r="G922" i="7"/>
  <c r="D924" i="7"/>
  <c r="G924" i="7"/>
  <c r="D926" i="7"/>
  <c r="G926" i="7"/>
  <c r="D928" i="7"/>
  <c r="G928" i="7"/>
  <c r="D930" i="7"/>
  <c r="G930" i="7"/>
  <c r="D932" i="7"/>
  <c r="G932" i="7"/>
  <c r="D934" i="7"/>
  <c r="G934" i="7"/>
  <c r="D936" i="7"/>
  <c r="G936" i="7"/>
  <c r="D938" i="7"/>
  <c r="G938" i="7"/>
  <c r="D940" i="7"/>
  <c r="G940" i="7"/>
  <c r="J33" i="4"/>
  <c r="J32" i="4"/>
  <c r="E29" i="19"/>
  <c r="E56" i="19"/>
  <c r="T10" i="9"/>
  <c r="AE3" i="9"/>
  <c r="D59" i="19"/>
  <c r="D38" i="19"/>
  <c r="F86" i="19"/>
  <c r="F121" i="19"/>
  <c r="D52" i="19"/>
  <c r="F100" i="19"/>
  <c r="F135" i="19"/>
  <c r="D58" i="19"/>
  <c r="F106" i="19"/>
  <c r="F141" i="19"/>
  <c r="D42" i="19"/>
  <c r="F90" i="19"/>
  <c r="F125" i="19"/>
  <c r="D47" i="19"/>
  <c r="F95" i="19"/>
  <c r="F130" i="19"/>
  <c r="E42" i="19"/>
  <c r="E44" i="19"/>
  <c r="E59" i="19"/>
  <c r="E39" i="19"/>
  <c r="E36" i="19"/>
  <c r="E55" i="19"/>
  <c r="E52" i="19"/>
  <c r="E38" i="19"/>
  <c r="E33" i="19"/>
  <c r="E37" i="19"/>
  <c r="E57" i="19"/>
  <c r="E46" i="19"/>
  <c r="E43" i="19"/>
  <c r="E53" i="19"/>
  <c r="E49" i="19"/>
  <c r="E47" i="19"/>
  <c r="E48" i="19"/>
  <c r="E41" i="19"/>
  <c r="E40" i="19"/>
  <c r="E50" i="19"/>
  <c r="E51" i="19"/>
  <c r="E34" i="19"/>
  <c r="E45" i="19"/>
  <c r="E35" i="19"/>
  <c r="D37" i="19"/>
  <c r="F85" i="19"/>
  <c r="F120" i="19"/>
  <c r="C59" i="19"/>
  <c r="E107" i="19"/>
  <c r="E142" i="19"/>
  <c r="C46" i="19"/>
  <c r="E94" i="19"/>
  <c r="E129" i="19"/>
  <c r="C50" i="19"/>
  <c r="E98" i="19"/>
  <c r="E133" i="19"/>
  <c r="C42" i="19"/>
  <c r="E90" i="19"/>
  <c r="E125" i="19"/>
  <c r="C51" i="19"/>
  <c r="E99" i="19"/>
  <c r="E134" i="19"/>
  <c r="C38" i="19"/>
  <c r="E86" i="19"/>
  <c r="E121" i="19"/>
  <c r="C41" i="19"/>
  <c r="E89" i="19"/>
  <c r="E124" i="19"/>
  <c r="C37" i="19"/>
  <c r="E85" i="19"/>
  <c r="E120" i="19"/>
  <c r="C54" i="19"/>
  <c r="E102" i="19"/>
  <c r="E137" i="19"/>
  <c r="C34" i="19"/>
  <c r="E82" i="19"/>
  <c r="E117" i="19"/>
  <c r="E25" i="10"/>
  <c r="H25" i="10"/>
  <c r="J25" i="10"/>
  <c r="D46" i="19"/>
  <c r="F94" i="19"/>
  <c r="F129" i="19"/>
  <c r="D57" i="19"/>
  <c r="F105" i="19"/>
  <c r="F140" i="19"/>
  <c r="D36" i="19"/>
  <c r="F84" i="19"/>
  <c r="F119" i="19"/>
  <c r="D40" i="19"/>
  <c r="F88" i="19"/>
  <c r="F123" i="19"/>
  <c r="D48" i="19"/>
  <c r="F96" i="19"/>
  <c r="F131" i="19"/>
  <c r="C25" i="10"/>
  <c r="F25" i="10"/>
  <c r="D43" i="19"/>
  <c r="F91" i="19"/>
  <c r="F126" i="19"/>
  <c r="D39" i="19"/>
  <c r="F87" i="19"/>
  <c r="F122" i="19"/>
  <c r="D53" i="19"/>
  <c r="F101" i="19"/>
  <c r="F136" i="19"/>
  <c r="D33" i="19"/>
  <c r="F81" i="19"/>
  <c r="F116" i="19"/>
  <c r="D49" i="19"/>
  <c r="F97" i="19"/>
  <c r="F132" i="19"/>
  <c r="D51" i="19"/>
  <c r="F99" i="19"/>
  <c r="F134" i="19"/>
  <c r="D35" i="19"/>
  <c r="F83" i="19"/>
  <c r="F118" i="19"/>
  <c r="D50" i="19"/>
  <c r="F98" i="19"/>
  <c r="F133" i="19"/>
  <c r="D41" i="19"/>
  <c r="F89" i="19"/>
  <c r="F124" i="19"/>
  <c r="D54" i="19"/>
  <c r="F102" i="19"/>
  <c r="F137" i="19"/>
  <c r="D45" i="19"/>
  <c r="F93" i="19"/>
  <c r="F128" i="19"/>
  <c r="D55" i="19"/>
  <c r="F103" i="19"/>
  <c r="F138" i="19"/>
  <c r="D34" i="19"/>
  <c r="F82" i="19"/>
  <c r="F117" i="19"/>
  <c r="H104" i="19"/>
  <c r="H139" i="19"/>
  <c r="D44" i="19"/>
  <c r="F92" i="19"/>
  <c r="F127" i="19"/>
  <c r="C43" i="19"/>
  <c r="E91" i="19"/>
  <c r="E126" i="19"/>
  <c r="C55" i="19"/>
  <c r="E103" i="19"/>
  <c r="E138" i="19"/>
  <c r="C57" i="19"/>
  <c r="E105" i="19"/>
  <c r="E140" i="19"/>
  <c r="C47" i="19"/>
  <c r="E95" i="19"/>
  <c r="E130" i="19"/>
  <c r="C44" i="19"/>
  <c r="C48" i="19"/>
  <c r="E96" i="19"/>
  <c r="E131" i="19"/>
  <c r="C35" i="19"/>
  <c r="E83" i="19"/>
  <c r="E118" i="19"/>
  <c r="C49" i="19"/>
  <c r="E97" i="19"/>
  <c r="E132" i="19"/>
  <c r="C40" i="19"/>
  <c r="E88" i="19"/>
  <c r="E123" i="19"/>
  <c r="C33" i="19"/>
  <c r="E81" i="19"/>
  <c r="E116" i="19"/>
  <c r="C45" i="19"/>
  <c r="E93" i="19"/>
  <c r="E128" i="19"/>
  <c r="C39" i="19"/>
  <c r="E87" i="19"/>
  <c r="E122" i="19"/>
  <c r="G104" i="19"/>
  <c r="G139" i="19"/>
  <c r="C36" i="19"/>
  <c r="E84" i="19"/>
  <c r="E119" i="19"/>
  <c r="C53" i="19"/>
  <c r="E101" i="19"/>
  <c r="E136" i="19"/>
  <c r="C58" i="19"/>
  <c r="E106" i="19"/>
  <c r="E141" i="19"/>
  <c r="C52" i="19"/>
  <c r="E100" i="19"/>
  <c r="E135" i="19"/>
  <c r="D25" i="10"/>
  <c r="F112" i="9"/>
  <c r="F1038" i="9"/>
  <c r="F599" i="9"/>
  <c r="F197" i="9"/>
  <c r="F15" i="9"/>
  <c r="F1007" i="9"/>
  <c r="F536" i="9"/>
  <c r="F178" i="9"/>
  <c r="C22" i="10"/>
  <c r="F22" i="10"/>
  <c r="F697" i="9"/>
  <c r="F485" i="9"/>
  <c r="F91" i="9"/>
  <c r="F212" i="9"/>
  <c r="F892" i="9"/>
  <c r="F787" i="9"/>
  <c r="F418" i="9"/>
  <c r="F984" i="9"/>
  <c r="F95" i="9"/>
  <c r="F30" i="9"/>
  <c r="F981" i="9"/>
  <c r="F867" i="9"/>
  <c r="F824" i="9"/>
  <c r="F416" i="9"/>
  <c r="F309" i="9"/>
  <c r="F243" i="9"/>
  <c r="F52" i="9"/>
  <c r="F945" i="9"/>
  <c r="F328" i="9"/>
  <c r="F74" i="9"/>
  <c r="F971" i="9"/>
  <c r="F125" i="9"/>
  <c r="F1020" i="9"/>
  <c r="F878" i="9"/>
  <c r="F710" i="9"/>
  <c r="F407" i="9"/>
  <c r="F586" i="9"/>
  <c r="F282" i="9"/>
  <c r="F208" i="9"/>
  <c r="C19" i="10"/>
  <c r="F19" i="10"/>
  <c r="F582" i="9"/>
  <c r="F164" i="9"/>
  <c r="F64" i="9"/>
  <c r="F78" i="9"/>
  <c r="E17" i="10"/>
  <c r="H17" i="10"/>
  <c r="J17" i="10"/>
  <c r="F1045" i="9"/>
  <c r="F942" i="9"/>
  <c r="F943" i="9"/>
  <c r="F617" i="9"/>
  <c r="F707" i="9"/>
  <c r="F511" i="9"/>
  <c r="F472" i="9"/>
  <c r="F429" i="9"/>
  <c r="F365" i="9"/>
  <c r="F139" i="9"/>
  <c r="F355" i="9"/>
  <c r="F272" i="9"/>
  <c r="F27" i="9"/>
  <c r="E24" i="10"/>
  <c r="H24" i="10"/>
  <c r="J24" i="10"/>
  <c r="F920" i="9"/>
  <c r="F881" i="9"/>
  <c r="F821" i="9"/>
  <c r="F324" i="9"/>
  <c r="F856" i="9"/>
  <c r="F970" i="9"/>
  <c r="F567" i="9"/>
  <c r="F924" i="9"/>
  <c r="F332" i="9"/>
  <c r="F31" i="9"/>
  <c r="F69" i="9"/>
  <c r="C23" i="10"/>
  <c r="F23" i="10"/>
  <c r="F956" i="9"/>
  <c r="F917" i="9"/>
  <c r="F828" i="9"/>
  <c r="F785" i="9"/>
  <c r="F622" i="9"/>
  <c r="F712" i="9"/>
  <c r="F360" i="9"/>
  <c r="F533" i="9"/>
  <c r="F530" i="9"/>
  <c r="F245" i="9"/>
  <c r="F226" i="9"/>
  <c r="F179" i="9"/>
  <c r="F152" i="9"/>
  <c r="F65" i="9"/>
  <c r="F1048" i="9"/>
  <c r="F1009" i="9"/>
  <c r="F842" i="9"/>
  <c r="F756" i="9"/>
  <c r="F877" i="9"/>
  <c r="F906" i="9"/>
  <c r="F903" i="9"/>
  <c r="F658" i="9"/>
  <c r="F334" i="9"/>
  <c r="F910" i="9"/>
  <c r="F816" i="9"/>
  <c r="F790" i="9"/>
  <c r="F171" i="9"/>
  <c r="F1034" i="9"/>
  <c r="F1035" i="9"/>
  <c r="F733" i="9"/>
  <c r="F580" i="9"/>
  <c r="F109" i="9"/>
  <c r="F299" i="9"/>
  <c r="F425" i="9"/>
  <c r="F507" i="9"/>
  <c r="F361" i="9"/>
  <c r="F71" i="9"/>
  <c r="F885" i="9"/>
  <c r="F747" i="9"/>
  <c r="F840" i="9"/>
  <c r="F356" i="9"/>
  <c r="F66" i="9"/>
  <c r="F174" i="9"/>
  <c r="F817" i="9"/>
  <c r="F405" i="9"/>
  <c r="F706" i="9"/>
  <c r="F48" i="9"/>
  <c r="F743" i="9"/>
  <c r="F585" i="9"/>
  <c r="F351" i="9"/>
  <c r="F11" i="9"/>
  <c r="F907" i="9"/>
  <c r="F916" i="9"/>
  <c r="F694" i="9"/>
  <c r="F181" i="9"/>
  <c r="F595" i="9"/>
  <c r="F641" i="9"/>
  <c r="F808" i="9"/>
  <c r="F392" i="9"/>
  <c r="F173" i="9"/>
  <c r="F123" i="9"/>
  <c r="F800" i="9"/>
  <c r="F506" i="9"/>
  <c r="F1044" i="9"/>
  <c r="F966" i="9"/>
  <c r="F649" i="9"/>
  <c r="F563" i="9"/>
  <c r="F402" i="9"/>
  <c r="F131" i="9"/>
  <c r="F703" i="9"/>
  <c r="F305" i="9"/>
  <c r="F891" i="9"/>
  <c r="F439" i="9"/>
  <c r="F275" i="9"/>
  <c r="F519" i="9"/>
  <c r="F253" i="9"/>
  <c r="F560" i="9"/>
  <c r="F202" i="9"/>
  <c r="F463" i="9"/>
  <c r="F1005" i="9"/>
  <c r="F967" i="9"/>
  <c r="F779" i="9"/>
  <c r="F408" i="9"/>
  <c r="F154" i="9"/>
  <c r="F741" i="9"/>
  <c r="F532" i="9"/>
  <c r="F268" i="9"/>
  <c r="F603" i="9"/>
  <c r="F514" i="9"/>
  <c r="F41" i="9"/>
  <c r="F541" i="9"/>
  <c r="F187" i="9"/>
  <c r="F115" i="9"/>
  <c r="F90" i="9"/>
  <c r="F547" i="9"/>
  <c r="F569" i="9"/>
  <c r="F281" i="9"/>
  <c r="F215" i="9"/>
  <c r="F24" i="9"/>
  <c r="F314" i="9"/>
  <c r="F997" i="9"/>
  <c r="F113" i="9"/>
  <c r="F14" i="9"/>
  <c r="D17" i="10"/>
  <c r="F952" i="9"/>
  <c r="F1041" i="9"/>
  <c r="F913" i="9"/>
  <c r="F1002" i="9"/>
  <c r="F874" i="9"/>
  <c r="F1003" i="9"/>
  <c r="F855" i="9"/>
  <c r="F693" i="9"/>
  <c r="F823" i="9"/>
  <c r="F652" i="9"/>
  <c r="F468" i="9"/>
  <c r="F462" i="9"/>
  <c r="F222" i="9"/>
  <c r="F204" i="9"/>
  <c r="F126" i="9"/>
  <c r="F1013" i="9"/>
  <c r="F1039" i="9"/>
  <c r="F662" i="9"/>
  <c r="F597" i="9"/>
  <c r="F980" i="9"/>
  <c r="F941" i="9"/>
  <c r="F902" i="9"/>
  <c r="F899" i="9"/>
  <c r="F782" i="9"/>
  <c r="F687" i="9"/>
  <c r="F447" i="9"/>
  <c r="F525" i="9"/>
  <c r="F293" i="9"/>
  <c r="F291" i="9"/>
  <c r="F36" i="9"/>
  <c r="F613" i="9"/>
  <c r="F772" i="9"/>
  <c r="F593" i="9"/>
  <c r="F342" i="9"/>
  <c r="F87" i="9"/>
  <c r="F769" i="9"/>
  <c r="F731" i="9"/>
  <c r="F568" i="9"/>
  <c r="F341" i="9"/>
  <c r="F304" i="9"/>
  <c r="E14" i="10"/>
  <c r="F391" i="9"/>
  <c r="F413" i="9"/>
  <c r="F330" i="9"/>
  <c r="F256" i="9"/>
  <c r="F559" i="9"/>
  <c r="F534" i="9"/>
  <c r="F156" i="9"/>
  <c r="F607" i="9"/>
  <c r="F791" i="9"/>
  <c r="F898" i="9"/>
  <c r="F814" i="9"/>
  <c r="F108" i="9"/>
  <c r="F138" i="9"/>
  <c r="E22" i="10"/>
  <c r="H22" i="10"/>
  <c r="J22" i="10"/>
  <c r="F1016" i="9"/>
  <c r="F888" i="9"/>
  <c r="F977" i="9"/>
  <c r="F849" i="9"/>
  <c r="F938" i="9"/>
  <c r="F826" i="9"/>
  <c r="F939" i="9"/>
  <c r="F781" i="9"/>
  <c r="F746" i="9"/>
  <c r="F643" i="9"/>
  <c r="F395" i="9"/>
  <c r="F481" i="9"/>
  <c r="F241" i="9"/>
  <c r="F231" i="9"/>
  <c r="F104" i="9"/>
  <c r="F1052" i="9"/>
  <c r="F1006" i="9"/>
  <c r="F745" i="9"/>
  <c r="F776" i="9"/>
  <c r="E19" i="10"/>
  <c r="H19" i="10"/>
  <c r="J19" i="10"/>
  <c r="F852" i="9"/>
  <c r="F1030" i="9"/>
  <c r="F1031" i="9"/>
  <c r="F729" i="9"/>
  <c r="F614" i="9"/>
  <c r="F696" i="9"/>
  <c r="F512" i="9"/>
  <c r="F522" i="9"/>
  <c r="F274" i="9"/>
  <c r="F248" i="9"/>
  <c r="F863" i="9"/>
  <c r="F831" i="9"/>
  <c r="F403" i="9"/>
  <c r="F478" i="9"/>
  <c r="F239" i="9"/>
  <c r="F134" i="9"/>
  <c r="F734" i="9"/>
  <c r="F632" i="9"/>
  <c r="F461" i="9"/>
  <c r="F210" i="9"/>
  <c r="F84" i="9"/>
  <c r="F672" i="9"/>
  <c r="F432" i="9"/>
  <c r="F378" i="9"/>
  <c r="F315" i="9"/>
  <c r="F92" i="9"/>
  <c r="F588" i="9"/>
  <c r="F230" i="9"/>
  <c r="F22" i="9"/>
  <c r="F490" i="9"/>
  <c r="F499" i="9"/>
  <c r="F946" i="9"/>
  <c r="F574" i="9"/>
  <c r="F238" i="9"/>
  <c r="F33" i="9"/>
  <c r="F182" i="9"/>
  <c r="F650" i="9"/>
  <c r="C17" i="10"/>
  <c r="F17" i="10"/>
  <c r="F701" i="9"/>
  <c r="F380" i="9"/>
  <c r="F76" i="9"/>
  <c r="F21" i="9"/>
  <c r="F10" i="9"/>
  <c r="F284" i="9"/>
  <c r="F343" i="9"/>
  <c r="F153" i="9"/>
  <c r="F406" i="9"/>
  <c r="F441" i="9"/>
  <c r="F460" i="9"/>
  <c r="F419" i="9"/>
  <c r="F700" i="9"/>
  <c r="D24" i="10"/>
  <c r="F89" i="9"/>
  <c r="F51" i="9"/>
  <c r="F192" i="9"/>
  <c r="F320" i="9"/>
  <c r="F251" i="9"/>
  <c r="F137" i="9"/>
  <c r="F266" i="9"/>
  <c r="F189" i="9"/>
  <c r="F317" i="9"/>
  <c r="F442" i="9"/>
  <c r="F570" i="9"/>
  <c r="F477" i="9"/>
  <c r="F605" i="9"/>
  <c r="F496" i="9"/>
  <c r="F352" i="9"/>
  <c r="F455" i="9"/>
  <c r="F608" i="9"/>
  <c r="F736" i="9"/>
  <c r="F631" i="9"/>
  <c r="F82" i="9"/>
  <c r="F129" i="9"/>
  <c r="F35" i="9"/>
  <c r="F216" i="9"/>
  <c r="F195" i="9"/>
  <c r="F363" i="9"/>
  <c r="F290" i="9"/>
  <c r="F261" i="9"/>
  <c r="F426" i="9"/>
  <c r="F594" i="9"/>
  <c r="F549" i="9"/>
  <c r="F480" i="9"/>
  <c r="F364" i="9"/>
  <c r="F527" i="9"/>
  <c r="F720" i="9"/>
  <c r="F655" i="9"/>
  <c r="F795" i="9"/>
  <c r="F670" i="9"/>
  <c r="F798" i="9"/>
  <c r="F705" i="9"/>
  <c r="F833" i="9"/>
  <c r="F46" i="9"/>
  <c r="F93" i="9"/>
  <c r="F136" i="9"/>
  <c r="F180" i="9"/>
  <c r="F159" i="9"/>
  <c r="F327" i="9"/>
  <c r="F254" i="9"/>
  <c r="F225" i="9"/>
  <c r="F390" i="9"/>
  <c r="F558" i="9"/>
  <c r="F513" i="9"/>
  <c r="F444" i="9"/>
  <c r="F346" i="9"/>
  <c r="F491" i="9"/>
  <c r="F684" i="9"/>
  <c r="F619" i="9"/>
  <c r="F767" i="9"/>
  <c r="F642" i="9"/>
  <c r="F770" i="9"/>
  <c r="F677" i="9"/>
  <c r="F805" i="9"/>
  <c r="F927" i="9"/>
  <c r="F49" i="9"/>
  <c r="F148" i="9"/>
  <c r="F950" i="9"/>
  <c r="D15" i="10"/>
  <c r="F1021" i="9"/>
  <c r="F1022" i="9"/>
  <c r="F321" i="9"/>
  <c r="F467" i="9"/>
  <c r="F893" i="9"/>
  <c r="F646" i="9"/>
  <c r="F486" i="9"/>
  <c r="E23" i="10"/>
  <c r="H23" i="10"/>
  <c r="J23" i="10"/>
  <c r="F85" i="9"/>
  <c r="F79" i="9"/>
  <c r="F151" i="9"/>
  <c r="F166" i="9"/>
  <c r="F217" i="9"/>
  <c r="F470" i="9"/>
  <c r="F505" i="9"/>
  <c r="F524" i="9"/>
  <c r="F483" i="9"/>
  <c r="F764" i="9"/>
  <c r="F26" i="9"/>
  <c r="F28" i="9"/>
  <c r="F83" i="9"/>
  <c r="F224" i="9"/>
  <c r="F155" i="9"/>
  <c r="F283" i="9"/>
  <c r="F170" i="9"/>
  <c r="F298" i="9"/>
  <c r="F221" i="9"/>
  <c r="F349" i="9"/>
  <c r="F474" i="9"/>
  <c r="F381" i="9"/>
  <c r="F509" i="9"/>
  <c r="F400" i="9"/>
  <c r="F528" i="9"/>
  <c r="F368" i="9"/>
  <c r="F487" i="9"/>
  <c r="F640" i="9"/>
  <c r="F768" i="9"/>
  <c r="F663" i="9"/>
  <c r="F130" i="9"/>
  <c r="F44" i="9"/>
  <c r="F75" i="9"/>
  <c r="F264" i="9"/>
  <c r="F235" i="9"/>
  <c r="F162" i="9"/>
  <c r="F338" i="9"/>
  <c r="F301" i="9"/>
  <c r="F466" i="9"/>
  <c r="F421" i="9"/>
  <c r="F589" i="9"/>
  <c r="F520" i="9"/>
  <c r="F399" i="9"/>
  <c r="F587" i="9"/>
  <c r="F760" i="9"/>
  <c r="F699" i="9"/>
  <c r="F827" i="9"/>
  <c r="F702" i="9"/>
  <c r="F609" i="9"/>
  <c r="F737" i="9"/>
  <c r="F859" i="9"/>
  <c r="F94" i="9"/>
  <c r="F133" i="9"/>
  <c r="F39" i="9"/>
  <c r="F228" i="9"/>
  <c r="F199" i="9"/>
  <c r="F367" i="9"/>
  <c r="F302" i="9"/>
  <c r="F265" i="9"/>
  <c r="F430" i="9"/>
  <c r="F385" i="9"/>
  <c r="F553" i="9"/>
  <c r="F484" i="9"/>
  <c r="F370" i="9"/>
  <c r="F531" i="9"/>
  <c r="F724" i="9"/>
  <c r="F667" i="9"/>
  <c r="F799" i="9"/>
  <c r="F674" i="9"/>
  <c r="F802" i="9"/>
  <c r="F709" i="9"/>
  <c r="F837" i="9"/>
  <c r="F17" i="9"/>
  <c r="F105" i="9"/>
  <c r="F67" i="9"/>
  <c r="F953" i="9"/>
  <c r="F722" i="9"/>
  <c r="F489" i="9"/>
  <c r="F1059" i="9"/>
  <c r="F955" i="9"/>
  <c r="F203" i="9"/>
  <c r="F88" i="9"/>
  <c r="F279" i="9"/>
  <c r="F345" i="9"/>
  <c r="F396" i="9"/>
  <c r="F636" i="9"/>
  <c r="F25" i="9"/>
  <c r="F160" i="9"/>
  <c r="F219" i="9"/>
  <c r="F234" i="9"/>
  <c r="F285" i="9"/>
  <c r="F538" i="9"/>
  <c r="F573" i="9"/>
  <c r="F592" i="9"/>
  <c r="F551" i="9"/>
  <c r="F575" i="9"/>
  <c r="F81" i="9"/>
  <c r="F176" i="9"/>
  <c r="F323" i="9"/>
  <c r="F213" i="9"/>
  <c r="F554" i="9"/>
  <c r="F440" i="9"/>
  <c r="F479" i="9"/>
  <c r="F615" i="9"/>
  <c r="F638" i="9"/>
  <c r="F673" i="9"/>
  <c r="F13" i="9"/>
  <c r="F96" i="9"/>
  <c r="F308" i="9"/>
  <c r="F214" i="9"/>
  <c r="F353" i="9"/>
  <c r="F465" i="9"/>
  <c r="F572" i="9"/>
  <c r="F644" i="9"/>
  <c r="F735" i="9"/>
  <c r="F738" i="9"/>
  <c r="F773" i="9"/>
  <c r="F114" i="9"/>
  <c r="F200" i="9"/>
  <c r="F227" i="9"/>
  <c r="F218" i="9"/>
  <c r="F237" i="9"/>
  <c r="F458" i="9"/>
  <c r="F469" i="9"/>
  <c r="F456" i="9"/>
  <c r="F383" i="9"/>
  <c r="F648" i="9"/>
  <c r="F639" i="9"/>
  <c r="F819" i="9"/>
  <c r="F742" i="9"/>
  <c r="F689" i="9"/>
  <c r="F851" i="9"/>
  <c r="F999" i="9"/>
  <c r="F870" i="9"/>
  <c r="F998" i="9"/>
  <c r="F909" i="9"/>
  <c r="F1037" i="9"/>
  <c r="F948" i="9"/>
  <c r="D16" i="10"/>
  <c r="F482" i="9"/>
  <c r="F656" i="9"/>
  <c r="F835" i="9"/>
  <c r="F657" i="9"/>
  <c r="F975" i="9"/>
  <c r="F974" i="9"/>
  <c r="F949" i="9"/>
  <c r="F988" i="9"/>
  <c r="F70" i="9"/>
  <c r="F40" i="9"/>
  <c r="F143" i="9"/>
  <c r="F175" i="9"/>
  <c r="F158" i="9"/>
  <c r="F193" i="9"/>
  <c r="F414" i="9"/>
  <c r="F417" i="9"/>
  <c r="F412" i="9"/>
  <c r="F358" i="9"/>
  <c r="F579" i="9"/>
  <c r="F820" i="9"/>
  <c r="F783" i="9"/>
  <c r="F698" i="9"/>
  <c r="F653" i="9"/>
  <c r="F744" i="9"/>
  <c r="F600" i="9"/>
  <c r="F196" i="9"/>
  <c r="F435" i="9"/>
  <c r="F86" i="9"/>
  <c r="F220" i="9"/>
  <c r="F294" i="9"/>
  <c r="F598" i="9"/>
  <c r="F366" i="9"/>
  <c r="F659" i="9"/>
  <c r="F16" i="9"/>
  <c r="F288" i="9"/>
  <c r="F347" i="9"/>
  <c r="F157" i="9"/>
  <c r="F410" i="9"/>
  <c r="F445" i="9"/>
  <c r="F464" i="9"/>
  <c r="F423" i="9"/>
  <c r="F704" i="9"/>
  <c r="F42" i="9"/>
  <c r="F132" i="9"/>
  <c r="F147" i="9"/>
  <c r="F250" i="9"/>
  <c r="F386" i="9"/>
  <c r="F501" i="9"/>
  <c r="F344" i="9"/>
  <c r="F680" i="9"/>
  <c r="F763" i="9"/>
  <c r="F766" i="9"/>
  <c r="F801" i="9"/>
  <c r="F45" i="9"/>
  <c r="F127" i="9"/>
  <c r="F287" i="9"/>
  <c r="F177" i="9"/>
  <c r="F518" i="9"/>
  <c r="F404" i="9"/>
  <c r="F443" i="9"/>
  <c r="F812" i="9"/>
  <c r="F610" i="9"/>
  <c r="F645" i="9"/>
  <c r="F895" i="9"/>
  <c r="F100" i="9"/>
  <c r="F312" i="9"/>
  <c r="F339" i="9"/>
  <c r="F322" i="9"/>
  <c r="F357" i="9"/>
  <c r="F578" i="9"/>
  <c r="F581" i="9"/>
  <c r="F576" i="9"/>
  <c r="F503" i="9"/>
  <c r="F752" i="9"/>
  <c r="F739" i="9"/>
  <c r="F654" i="9"/>
  <c r="F822" i="9"/>
  <c r="F777" i="9"/>
  <c r="F935" i="9"/>
  <c r="F1063" i="9"/>
  <c r="F934" i="9"/>
  <c r="F1062" i="9"/>
  <c r="F973" i="9"/>
  <c r="F884" i="9"/>
  <c r="F1012" i="9"/>
  <c r="D22" i="10"/>
  <c r="F584" i="9"/>
  <c r="F647" i="9"/>
  <c r="F750" i="9"/>
  <c r="F825" i="9"/>
  <c r="F844" i="9"/>
  <c r="F853" i="9"/>
  <c r="F860" i="9"/>
  <c r="D20" i="10"/>
  <c r="F61" i="9"/>
  <c r="F23" i="9"/>
  <c r="F260" i="9"/>
  <c r="F295" i="9"/>
  <c r="F278" i="9"/>
  <c r="F297" i="9"/>
  <c r="F526" i="9"/>
  <c r="F529" i="9"/>
  <c r="F516" i="9"/>
  <c r="F459" i="9"/>
  <c r="F708" i="9"/>
  <c r="F695" i="9"/>
  <c r="F618" i="9"/>
  <c r="F786" i="9"/>
  <c r="F876" i="9"/>
  <c r="F145" i="9"/>
  <c r="F611" i="9"/>
  <c r="F1014" i="9"/>
  <c r="F236" i="9"/>
  <c r="F688" i="9"/>
  <c r="F1000" i="9"/>
  <c r="F692" i="9"/>
  <c r="F97" i="9"/>
  <c r="F629" i="9"/>
  <c r="F303" i="9"/>
  <c r="F1015" i="9"/>
  <c r="F815" i="9"/>
  <c r="F675" i="9"/>
  <c r="F433" i="9"/>
  <c r="F169" i="9"/>
  <c r="F110" i="9"/>
  <c r="F384" i="9"/>
  <c r="F713" i="9"/>
  <c r="F992" i="9"/>
  <c r="F329" i="9"/>
  <c r="F847" i="9"/>
  <c r="F186" i="9"/>
  <c r="F834" i="9"/>
  <c r="F521" i="9"/>
  <c r="F1049" i="9"/>
  <c r="F543" i="9"/>
  <c r="F1028" i="9"/>
  <c r="F912" i="9"/>
  <c r="F889" i="9"/>
  <c r="F753" i="9"/>
  <c r="F206" i="9"/>
  <c r="F1025" i="9"/>
  <c r="F29" i="9"/>
  <c r="F457" i="9"/>
  <c r="F810" i="9"/>
  <c r="F1017" i="9"/>
  <c r="F240" i="9"/>
  <c r="F604" i="9"/>
  <c r="F871" i="9"/>
  <c r="F1004" i="9"/>
  <c r="F382" i="9"/>
  <c r="F839" i="9"/>
  <c r="F1054" i="9"/>
  <c r="F63" i="9"/>
  <c r="F488" i="9"/>
  <c r="F765" i="9"/>
  <c r="F1036" i="9"/>
  <c r="F829" i="9"/>
  <c r="E20" i="10"/>
  <c r="H20" i="10"/>
  <c r="J20" i="10"/>
  <c r="F991" i="9"/>
  <c r="F523" i="9"/>
  <c r="F263" i="9"/>
  <c r="F757" i="9"/>
  <c r="F172" i="9"/>
  <c r="F1042" i="9"/>
  <c r="F448" i="9"/>
  <c r="F43" i="9"/>
  <c r="F740" i="9"/>
  <c r="F102" i="9"/>
  <c r="F836" i="9"/>
  <c r="F832" i="9"/>
  <c r="F936" i="9"/>
  <c r="F333" i="9"/>
  <c r="F803" i="9"/>
  <c r="F1026" i="9"/>
  <c r="F292" i="9"/>
  <c r="F372" i="9"/>
  <c r="F887" i="9"/>
  <c r="F1032" i="9"/>
  <c r="F209" i="9"/>
  <c r="F711" i="9"/>
  <c r="F958" i="9"/>
  <c r="F989" i="9"/>
  <c r="F535" i="9"/>
  <c r="F929" i="9"/>
  <c r="F690" i="9"/>
  <c r="F546" i="9"/>
  <c r="E15" i="10"/>
  <c r="H15" i="10"/>
  <c r="J15" i="10"/>
  <c r="F550" i="9"/>
  <c r="F1008" i="9"/>
  <c r="F978" i="9"/>
  <c r="F190" i="9"/>
  <c r="F930" i="9"/>
  <c r="F908" i="9"/>
  <c r="F72" i="9"/>
  <c r="F277" i="9"/>
  <c r="F634" i="9"/>
  <c r="F972" i="9"/>
  <c r="F276" i="9"/>
  <c r="F369" i="9"/>
  <c r="F354" i="9"/>
  <c r="F811" i="9"/>
  <c r="F879" i="9"/>
  <c r="F1046" i="9"/>
  <c r="F1024" i="9"/>
  <c r="F548" i="9"/>
  <c r="F774" i="9"/>
  <c r="F1050" i="9"/>
  <c r="C16" i="10"/>
  <c r="F16" i="10"/>
  <c r="F1058" i="9"/>
  <c r="F911" i="9"/>
  <c r="F843" i="9"/>
  <c r="F374" i="9"/>
  <c r="F394" i="9"/>
  <c r="F296" i="9"/>
  <c r="E21" i="10"/>
  <c r="H21" i="10"/>
  <c r="J21" i="10"/>
  <c r="F937" i="9"/>
  <c r="F1011" i="9"/>
  <c r="F718" i="9"/>
  <c r="F539" i="9"/>
  <c r="F562" i="9"/>
  <c r="F271" i="9"/>
  <c r="D19" i="10"/>
  <c r="F921" i="9"/>
  <c r="F983" i="9"/>
  <c r="F682" i="9"/>
  <c r="F495" i="9"/>
  <c r="F510" i="9"/>
  <c r="F255" i="9"/>
  <c r="D21" i="10"/>
  <c r="F900" i="9"/>
  <c r="F922" i="9"/>
  <c r="F721" i="9"/>
  <c r="F635" i="9"/>
  <c r="F420" i="9"/>
  <c r="F149" i="9"/>
  <c r="F128" i="9"/>
  <c r="C18" i="10"/>
  <c r="F18" i="10"/>
  <c r="F897" i="9"/>
  <c r="F959" i="9"/>
  <c r="F771" i="9"/>
  <c r="F564" i="9"/>
  <c r="F318" i="9"/>
  <c r="F80" i="9"/>
  <c r="F976" i="9"/>
  <c r="F1010" i="9"/>
  <c r="F841" i="9"/>
  <c r="F759" i="9"/>
  <c r="F552" i="9"/>
  <c r="F289" i="9"/>
  <c r="F184" i="9"/>
  <c r="P5" i="10"/>
  <c r="F118" i="9"/>
  <c r="F117" i="9"/>
  <c r="F120" i="9"/>
  <c r="F111" i="9"/>
  <c r="F252" i="9"/>
  <c r="F183" i="9"/>
  <c r="F311" i="9"/>
  <c r="F198" i="9"/>
  <c r="F326" i="9"/>
  <c r="F249" i="9"/>
  <c r="F377" i="9"/>
  <c r="F502" i="9"/>
  <c r="F409" i="9"/>
  <c r="F537" i="9"/>
  <c r="F428" i="9"/>
  <c r="F556" i="9"/>
  <c r="F387" i="9"/>
  <c r="F515" i="9"/>
  <c r="F668" i="9"/>
  <c r="F796" i="9"/>
  <c r="F691" i="9"/>
  <c r="F58" i="9"/>
  <c r="F57" i="9"/>
  <c r="F60" i="9"/>
  <c r="F818" i="9"/>
  <c r="F925" i="9"/>
  <c r="C20" i="10"/>
  <c r="F20" i="10"/>
  <c r="F267" i="9"/>
  <c r="F452" i="9"/>
  <c r="F995" i="9"/>
  <c r="F73" i="9"/>
  <c r="F194" i="9"/>
  <c r="F497" i="9"/>
  <c r="F728" i="9"/>
  <c r="F621" i="9"/>
  <c r="F838" i="9"/>
  <c r="F1029" i="9"/>
  <c r="F201" i="9"/>
  <c r="F602" i="9"/>
  <c r="F1051" i="9"/>
  <c r="F928" i="9"/>
  <c r="F1053" i="9"/>
  <c r="F858" i="9"/>
  <c r="F633" i="9"/>
  <c r="F748" i="9"/>
  <c r="F545" i="9"/>
  <c r="F242" i="9"/>
  <c r="F101" i="9"/>
  <c r="F932" i="9"/>
  <c r="F954" i="9"/>
  <c r="F761" i="9"/>
  <c r="F683" i="9"/>
  <c r="F476" i="9"/>
  <c r="F205" i="9"/>
  <c r="F59" i="9"/>
  <c r="F904" i="9"/>
  <c r="F926" i="9"/>
  <c r="F725" i="9"/>
  <c r="F651" i="9"/>
  <c r="F424" i="9"/>
  <c r="F161" i="9"/>
  <c r="F140" i="9"/>
  <c r="E18" i="10"/>
  <c r="H18" i="10"/>
  <c r="J18" i="10"/>
  <c r="F905" i="9"/>
  <c r="F979" i="9"/>
  <c r="F678" i="9"/>
  <c r="F475" i="9"/>
  <c r="F498" i="9"/>
  <c r="F223" i="9"/>
  <c r="F845" i="9"/>
  <c r="F880" i="9"/>
  <c r="F914" i="9"/>
  <c r="F794" i="9"/>
  <c r="F664" i="9"/>
  <c r="F449" i="9"/>
  <c r="F207" i="9"/>
  <c r="C24" i="10"/>
  <c r="F24" i="10"/>
  <c r="F993" i="9"/>
  <c r="F1055" i="9"/>
  <c r="F778" i="9"/>
  <c r="F660" i="9"/>
  <c r="F437" i="9"/>
  <c r="F142" i="9"/>
  <c r="F106" i="9"/>
  <c r="F54" i="9"/>
  <c r="F53" i="9"/>
  <c r="F56" i="9"/>
  <c r="F47" i="9"/>
  <c r="F188" i="9"/>
  <c r="F316" i="9"/>
  <c r="F247" i="9"/>
  <c r="F375" i="9"/>
  <c r="F262" i="9"/>
  <c r="F185" i="9"/>
  <c r="F313" i="9"/>
  <c r="F438" i="9"/>
  <c r="F566" i="9"/>
  <c r="F473" i="9"/>
  <c r="F601" i="9"/>
  <c r="F492" i="9"/>
  <c r="F350" i="9"/>
  <c r="F451" i="9"/>
  <c r="F606" i="9"/>
  <c r="F732" i="9"/>
  <c r="F627" i="9"/>
  <c r="D14" i="10"/>
  <c r="H14" i="10"/>
  <c r="J14" i="10"/>
  <c r="F122" i="9"/>
  <c r="F121" i="9"/>
  <c r="F124" i="9"/>
  <c r="F686" i="9"/>
  <c r="F348" i="9"/>
  <c r="F244" i="9"/>
  <c r="F987" i="9"/>
  <c r="F807" i="9"/>
  <c r="F493" i="9"/>
  <c r="F37" i="9"/>
  <c r="F875" i="9"/>
  <c r="F716" i="9"/>
  <c r="F337" i="9"/>
  <c r="F996" i="9"/>
  <c r="F1001" i="9"/>
  <c r="F1018" i="9"/>
  <c r="F830" i="9"/>
  <c r="F775" i="9"/>
  <c r="F542" i="9"/>
  <c r="F259" i="9"/>
  <c r="D18" i="10"/>
  <c r="F901" i="9"/>
  <c r="F963" i="9"/>
  <c r="F596" i="9"/>
  <c r="F846" i="9"/>
  <c r="F325" i="9"/>
  <c r="F749" i="9"/>
  <c r="F671" i="9"/>
  <c r="F436" i="9"/>
  <c r="F165" i="9"/>
  <c r="F144" i="9"/>
  <c r="F896" i="9"/>
  <c r="F918" i="9"/>
  <c r="F806" i="9"/>
  <c r="F34" i="9"/>
  <c r="F717" i="9"/>
  <c r="F623" i="9"/>
  <c r="F388" i="9"/>
  <c r="F146" i="9"/>
  <c r="F797" i="9"/>
  <c r="F676" i="9"/>
  <c r="F453" i="9"/>
  <c r="F307" i="9"/>
  <c r="F434" i="9"/>
  <c r="F666" i="9"/>
  <c r="F471" i="9"/>
  <c r="F494" i="9"/>
  <c r="F99" i="9"/>
  <c r="F616" i="9"/>
  <c r="F933" i="9"/>
  <c r="F850" i="9"/>
  <c r="F685" i="9"/>
  <c r="F755" i="9"/>
  <c r="F362" i="9"/>
  <c r="F454" i="9"/>
  <c r="E16" i="10"/>
  <c r="H16" i="10"/>
  <c r="J16" i="10"/>
  <c r="F868" i="9"/>
  <c r="F873" i="9"/>
  <c r="F890" i="9"/>
  <c r="F947" i="9"/>
  <c r="F681" i="9"/>
  <c r="F630" i="9"/>
  <c r="F804" i="9"/>
  <c r="F427" i="9"/>
  <c r="F336" i="9"/>
  <c r="F450" i="9"/>
  <c r="F306" i="9"/>
  <c r="F167" i="9"/>
  <c r="F68" i="9"/>
  <c r="C21" i="10"/>
  <c r="F21" i="10"/>
  <c r="F894" i="9"/>
  <c r="F625" i="9"/>
  <c r="F431" i="9"/>
  <c r="F373" i="9"/>
  <c r="F371" i="9"/>
  <c r="F55" i="9"/>
  <c r="C14" i="10"/>
  <c r="F14" i="10"/>
  <c r="F964" i="9"/>
  <c r="F969" i="9"/>
  <c r="F986" i="9"/>
  <c r="F1043" i="9"/>
  <c r="F809" i="9"/>
  <c r="F758" i="9"/>
  <c r="F727" i="9"/>
  <c r="F620" i="9"/>
  <c r="F540" i="9"/>
  <c r="F397" i="9"/>
  <c r="F269" i="9"/>
  <c r="F335" i="9"/>
  <c r="F119" i="9"/>
  <c r="F62" i="9"/>
  <c r="F940" i="9"/>
  <c r="F957" i="9"/>
  <c r="F962" i="9"/>
  <c r="F1019" i="9"/>
  <c r="F789" i="9"/>
  <c r="F726" i="9"/>
  <c r="F715" i="9"/>
  <c r="F555" i="9"/>
  <c r="F500" i="9"/>
  <c r="F590" i="9"/>
  <c r="F229" i="9"/>
  <c r="F300" i="9"/>
  <c r="F508" i="9"/>
  <c r="F591" i="9"/>
  <c r="F1027" i="9"/>
  <c r="F865" i="9"/>
  <c r="F389" i="9"/>
  <c r="F872" i="9"/>
  <c r="F994" i="9"/>
  <c r="F951" i="9"/>
  <c r="F714" i="9"/>
  <c r="F628" i="9"/>
  <c r="F340" i="9"/>
  <c r="F191" i="9"/>
  <c r="F968" i="9"/>
  <c r="F985" i="9"/>
  <c r="F990" i="9"/>
  <c r="F1047" i="9"/>
  <c r="F813" i="9"/>
  <c r="F762" i="9"/>
  <c r="F751" i="9"/>
  <c r="F624" i="9"/>
  <c r="F544" i="9"/>
  <c r="F401" i="9"/>
  <c r="F273" i="9"/>
  <c r="F359" i="9"/>
  <c r="F168" i="9"/>
  <c r="F98" i="9"/>
  <c r="F1033" i="9"/>
  <c r="F883" i="9"/>
  <c r="F679" i="9"/>
  <c r="F517" i="9"/>
  <c r="F310" i="9"/>
  <c r="F280" i="9"/>
  <c r="F77" i="9"/>
  <c r="C15" i="10"/>
  <c r="F15" i="10"/>
  <c r="F864" i="9"/>
  <c r="F869" i="9"/>
  <c r="F886" i="9"/>
  <c r="F931" i="9"/>
  <c r="F669" i="9"/>
  <c r="F626" i="9"/>
  <c r="F792" i="9"/>
  <c r="F415" i="9"/>
  <c r="F577" i="9"/>
  <c r="F446" i="9"/>
  <c r="F286" i="9"/>
  <c r="F163" i="9"/>
  <c r="F32" i="9"/>
  <c r="F1040" i="9"/>
  <c r="F1057" i="9"/>
  <c r="F857" i="9"/>
  <c r="F862" i="9"/>
  <c r="F915" i="9"/>
  <c r="F637" i="9"/>
  <c r="F571" i="9"/>
  <c r="F780" i="9"/>
  <c r="F376" i="9"/>
  <c r="F557" i="9"/>
  <c r="F398" i="9"/>
  <c r="F246" i="9"/>
  <c r="F12" i="9"/>
  <c r="F960" i="9"/>
  <c r="F50" i="9"/>
  <c r="F961" i="9"/>
  <c r="F38" i="9"/>
  <c r="F19" i="9"/>
  <c r="F561" i="9"/>
  <c r="F730" i="9"/>
  <c r="F866" i="9"/>
  <c r="F211" i="9"/>
  <c r="F116" i="9"/>
  <c r="F257" i="9"/>
  <c r="F982" i="9"/>
  <c r="F411" i="9"/>
  <c r="F1060" i="9"/>
  <c r="F754" i="9"/>
  <c r="F319" i="9"/>
  <c r="F1023" i="9"/>
  <c r="F258" i="9"/>
  <c r="P4" i="10"/>
  <c r="Q7" i="10"/>
  <c r="G533" i="9"/>
  <c r="K533" i="9"/>
  <c r="D23" i="10"/>
  <c r="F150" i="9"/>
  <c r="F232" i="9"/>
  <c r="F18" i="9"/>
  <c r="F723" i="9"/>
  <c r="F141" i="9"/>
  <c r="F923" i="9"/>
  <c r="F393" i="9"/>
  <c r="F965" i="9"/>
  <c r="F612" i="9"/>
  <c r="F331" i="9"/>
  <c r="F784" i="9"/>
  <c r="F504" i="9"/>
  <c r="F20" i="9"/>
  <c r="F661" i="9"/>
  <c r="P3" i="10"/>
  <c r="F583" i="9"/>
  <c r="F422" i="9"/>
  <c r="F882" i="9"/>
  <c r="F719" i="9"/>
  <c r="F1061" i="9"/>
  <c r="F270" i="9"/>
  <c r="F944" i="9"/>
  <c r="F107" i="9"/>
  <c r="F861" i="9"/>
  <c r="F135" i="9"/>
  <c r="F233" i="9"/>
  <c r="F665" i="9"/>
  <c r="F848" i="9"/>
  <c r="F565" i="9"/>
  <c r="F793" i="9"/>
  <c r="F1056" i="9"/>
  <c r="F103" i="9"/>
  <c r="F379" i="9"/>
  <c r="F919" i="9"/>
  <c r="F788" i="9"/>
  <c r="J69" i="9"/>
  <c r="J217" i="9"/>
  <c r="J468" i="9"/>
  <c r="J669" i="9"/>
  <c r="J941" i="9"/>
  <c r="J1011" i="9"/>
  <c r="J170" i="9"/>
  <c r="J777" i="9"/>
  <c r="J590" i="9"/>
  <c r="J583" i="9"/>
  <c r="J311" i="9"/>
  <c r="J360" i="9"/>
  <c r="J534" i="9"/>
  <c r="J902" i="9"/>
  <c r="J972" i="9"/>
  <c r="J567" i="9"/>
  <c r="J1024" i="9"/>
  <c r="J18" i="9"/>
  <c r="J188" i="9"/>
  <c r="J423" i="9"/>
  <c r="J692" i="9"/>
  <c r="J846" i="9"/>
  <c r="J277" i="9"/>
  <c r="J865" i="9"/>
  <c r="J282" i="9"/>
  <c r="J529" i="9"/>
  <c r="J674" i="9"/>
  <c r="J1030" i="9"/>
  <c r="J883" i="9"/>
  <c r="J56" i="9"/>
  <c r="J715" i="9"/>
  <c r="J1063" i="9"/>
  <c r="J528" i="9"/>
  <c r="J800" i="9"/>
  <c r="J636" i="9"/>
  <c r="J417" i="9"/>
  <c r="J782" i="9"/>
  <c r="J993" i="9"/>
  <c r="J693" i="9"/>
  <c r="J954" i="9"/>
  <c r="J935" i="9"/>
  <c r="J794" i="9"/>
  <c r="J896" i="9"/>
  <c r="J812" i="9"/>
  <c r="J618" i="9"/>
  <c r="J363" i="9"/>
  <c r="J416" i="9"/>
  <c r="J368" i="9"/>
  <c r="J249" i="9"/>
  <c r="J323" i="9"/>
  <c r="J648" i="9"/>
  <c r="J549" i="9"/>
  <c r="J24" i="9"/>
  <c r="J154" i="9"/>
  <c r="J261" i="9"/>
  <c r="J401" i="9"/>
  <c r="J512" i="9"/>
  <c r="J699" i="9"/>
  <c r="J765" i="9"/>
  <c r="J950" i="9"/>
  <c r="J989" i="9"/>
  <c r="J1020" i="9"/>
  <c r="J1059" i="9"/>
  <c r="J321" i="9"/>
  <c r="J568" i="9"/>
  <c r="J759" i="9"/>
  <c r="J809" i="9"/>
  <c r="J970" i="9"/>
  <c r="J1009" i="9"/>
  <c r="J1040" i="9"/>
  <c r="J886" i="9"/>
  <c r="J780" i="9"/>
  <c r="J677" i="9"/>
  <c r="J819" i="9"/>
  <c r="J539" i="9"/>
  <c r="J392" i="9"/>
  <c r="J179" i="9"/>
  <c r="J571" i="9"/>
  <c r="J116" i="9"/>
  <c r="J199" i="9"/>
  <c r="J194" i="9"/>
  <c r="J366" i="9"/>
  <c r="J305" i="9"/>
  <c r="J272" i="9"/>
  <c r="J445" i="9"/>
  <c r="J384" i="9"/>
  <c r="J552" i="9"/>
  <c r="J595" i="9"/>
  <c r="J743" i="9"/>
  <c r="J802" i="9"/>
  <c r="J797" i="9"/>
  <c r="J820" i="9"/>
  <c r="J966" i="9"/>
  <c r="J877" i="9"/>
  <c r="J1005" i="9"/>
  <c r="J908" i="9"/>
  <c r="J1036" i="9"/>
  <c r="J947" i="9"/>
  <c r="J145" i="9"/>
  <c r="J338" i="9"/>
  <c r="J248" i="9"/>
  <c r="J589" i="9"/>
  <c r="J395" i="9"/>
  <c r="J510" i="9"/>
  <c r="J654" i="9"/>
  <c r="J649" i="9"/>
  <c r="J672" i="9"/>
  <c r="J890" i="9"/>
  <c r="J1018" i="9"/>
  <c r="J929" i="9"/>
  <c r="J1057" i="9"/>
  <c r="J960" i="9"/>
  <c r="J871" i="9"/>
  <c r="J999" i="9"/>
  <c r="J839" i="9"/>
  <c r="J716" i="9"/>
  <c r="J789" i="9"/>
  <c r="J613" i="9"/>
  <c r="J698" i="9"/>
  <c r="J731" i="9"/>
  <c r="J462" i="9"/>
  <c r="J455" i="9"/>
  <c r="J544" i="9"/>
  <c r="J521" i="9"/>
  <c r="J200" i="9"/>
  <c r="J354" i="9"/>
  <c r="J866" i="9"/>
  <c r="J653" i="9"/>
  <c r="J211" i="9"/>
  <c r="J806" i="9"/>
  <c r="J744" i="9"/>
  <c r="J59" i="9"/>
  <c r="J142" i="9"/>
  <c r="J146" i="9"/>
  <c r="J293" i="9"/>
  <c r="J264" i="9"/>
  <c r="J393" i="9"/>
  <c r="J541" i="9"/>
  <c r="J456" i="9"/>
  <c r="J564" i="9"/>
  <c r="J375" i="9"/>
  <c r="J499" i="9"/>
  <c r="J603" i="9"/>
  <c r="J482" i="9"/>
  <c r="J647" i="9"/>
  <c r="J755" i="9"/>
  <c r="J634" i="9"/>
  <c r="J730" i="9"/>
  <c r="J810" i="9"/>
  <c r="J629" i="9"/>
  <c r="J725" i="9"/>
  <c r="J805" i="9"/>
  <c r="J652" i="9"/>
  <c r="J748" i="9"/>
  <c r="J828" i="9"/>
  <c r="J854" i="9"/>
  <c r="J1047" i="9"/>
  <c r="J983" i="9"/>
  <c r="J919" i="9"/>
  <c r="J855" i="9"/>
  <c r="J1008" i="9"/>
  <c r="J944" i="9"/>
  <c r="J880" i="9"/>
  <c r="J1041" i="9"/>
  <c r="J977" i="9"/>
  <c r="J913" i="9"/>
  <c r="J849" i="9"/>
  <c r="J1002" i="9"/>
  <c r="J938" i="9"/>
  <c r="J858" i="9"/>
  <c r="J768" i="9"/>
  <c r="J640" i="9"/>
  <c r="J745" i="9"/>
  <c r="J617" i="9"/>
  <c r="J750" i="9"/>
  <c r="J622" i="9"/>
  <c r="J675" i="9"/>
  <c r="J466" i="9"/>
  <c r="J523" i="9"/>
  <c r="J367" i="9"/>
  <c r="J484" i="9"/>
  <c r="J545" i="9"/>
  <c r="J376" i="9"/>
  <c r="J204" i="9"/>
  <c r="J233" i="9"/>
  <c r="J298" i="9"/>
  <c r="J327" i="9"/>
  <c r="J50" i="9"/>
  <c r="J105" i="9"/>
  <c r="J1043" i="9"/>
  <c r="J979" i="9"/>
  <c r="J915" i="9"/>
  <c r="J851" i="9"/>
  <c r="J1004" i="9"/>
  <c r="J940" i="9"/>
  <c r="J876" i="9"/>
  <c r="J1037" i="9"/>
  <c r="J973" i="9"/>
  <c r="J909" i="9"/>
  <c r="J1062" i="9"/>
  <c r="J998" i="9"/>
  <c r="J934" i="9"/>
  <c r="J843" i="9"/>
  <c r="J756" i="9"/>
  <c r="J628" i="9"/>
  <c r="J733" i="9"/>
  <c r="J606" i="9"/>
  <c r="J738" i="9"/>
  <c r="J566" i="9"/>
  <c r="J659" i="9"/>
  <c r="J450" i="9"/>
  <c r="J507" i="9"/>
  <c r="J359" i="9"/>
  <c r="J429" i="9"/>
  <c r="J673" i="9"/>
  <c r="J808" i="9"/>
  <c r="J46" i="9"/>
  <c r="J186" i="9"/>
  <c r="J165" i="9"/>
  <c r="J337" i="9"/>
  <c r="J284" i="9"/>
  <c r="J433" i="9"/>
  <c r="J335" i="9"/>
  <c r="J480" i="9"/>
  <c r="J584" i="9"/>
  <c r="J411" i="9"/>
  <c r="J519" i="9"/>
  <c r="J398" i="9"/>
  <c r="J526" i="9"/>
  <c r="J667" i="9"/>
  <c r="J775" i="9"/>
  <c r="J666" i="9"/>
  <c r="J746" i="9"/>
  <c r="J826" i="9"/>
  <c r="J661" i="9"/>
  <c r="J741" i="9"/>
  <c r="J821" i="9"/>
  <c r="J684" i="9"/>
  <c r="J764" i="9"/>
  <c r="J844" i="9"/>
  <c r="J870" i="9"/>
  <c r="J1031" i="9"/>
  <c r="J967" i="9"/>
  <c r="J903" i="9"/>
  <c r="J1056" i="9"/>
  <c r="J992" i="9"/>
  <c r="J928" i="9"/>
  <c r="J864" i="9"/>
  <c r="J1025" i="9"/>
  <c r="J961" i="9"/>
  <c r="J897" i="9"/>
  <c r="J1050" i="9"/>
  <c r="J986" i="9"/>
  <c r="J922" i="9"/>
  <c r="J833" i="9"/>
  <c r="J736" i="9"/>
  <c r="J608" i="9"/>
  <c r="J713" i="9"/>
  <c r="J562" i="9"/>
  <c r="J718" i="9"/>
  <c r="J803" i="9"/>
  <c r="J631" i="9"/>
  <c r="J422" i="9"/>
  <c r="J483" i="9"/>
  <c r="J345" i="9"/>
  <c r="J440" i="9"/>
  <c r="J505" i="9"/>
  <c r="J332" i="9"/>
  <c r="J160" i="9"/>
  <c r="J193" i="9"/>
  <c r="J254" i="9"/>
  <c r="J283" i="9"/>
  <c r="J111" i="9"/>
  <c r="J1027" i="9"/>
  <c r="J963" i="9"/>
  <c r="J899" i="9"/>
  <c r="J1052" i="9"/>
  <c r="J988" i="9"/>
  <c r="J924" i="9"/>
  <c r="J860" i="9"/>
  <c r="J1021" i="9"/>
  <c r="J957" i="9"/>
  <c r="J893" i="9"/>
  <c r="J1046" i="9"/>
  <c r="J982" i="9"/>
  <c r="J918" i="9"/>
  <c r="J827" i="9"/>
  <c r="J724" i="9"/>
  <c r="J574" i="9"/>
  <c r="J701" i="9"/>
  <c r="J834" i="9"/>
  <c r="J706" i="9"/>
  <c r="J787" i="9"/>
  <c r="J615" i="9"/>
  <c r="J406" i="9"/>
  <c r="J467" i="9"/>
  <c r="J596" i="9"/>
  <c r="J110" i="9"/>
  <c r="J322" i="9"/>
  <c r="J232" i="9"/>
  <c r="J573" i="9"/>
  <c r="J551" i="9"/>
  <c r="J770" i="9"/>
  <c r="J788" i="9"/>
  <c r="J861" i="9"/>
  <c r="J892" i="9"/>
  <c r="J931" i="9"/>
  <c r="J27" i="9"/>
  <c r="J210" i="9"/>
  <c r="J461" i="9"/>
  <c r="J382" i="9"/>
  <c r="J814" i="9"/>
  <c r="J832" i="9"/>
  <c r="J881" i="9"/>
  <c r="J912" i="9"/>
  <c r="J951" i="9"/>
  <c r="J620" i="9"/>
  <c r="J762" i="9"/>
  <c r="J546" i="9"/>
  <c r="J353" i="9"/>
  <c r="J304" i="9"/>
  <c r="J229" i="9"/>
  <c r="J632" i="9"/>
  <c r="J79" i="9"/>
  <c r="J267" i="9"/>
  <c r="J238" i="9"/>
  <c r="J177" i="9"/>
  <c r="J140" i="9"/>
  <c r="J316" i="9"/>
  <c r="J489" i="9"/>
  <c r="J424" i="9"/>
  <c r="J379" i="9"/>
  <c r="J494" i="9"/>
  <c r="J642" i="9"/>
  <c r="J637" i="9"/>
  <c r="J660" i="9"/>
  <c r="J878" i="9"/>
  <c r="J1014" i="9"/>
  <c r="J925" i="9"/>
  <c r="J1053" i="9"/>
  <c r="J956" i="9"/>
  <c r="J867" i="9"/>
  <c r="J995" i="9"/>
  <c r="J231" i="9"/>
  <c r="J149" i="9"/>
  <c r="J288" i="9"/>
  <c r="J400" i="9"/>
  <c r="J439" i="9"/>
  <c r="J550" i="9"/>
  <c r="J686" i="9"/>
  <c r="J681" i="9"/>
  <c r="J704" i="9"/>
  <c r="J906" i="9"/>
  <c r="J1034" i="9"/>
  <c r="J945" i="9"/>
  <c r="J848" i="9"/>
  <c r="J976" i="9"/>
  <c r="J887" i="9"/>
  <c r="J1015" i="9"/>
  <c r="J831" i="9"/>
  <c r="J700" i="9"/>
  <c r="J757" i="9"/>
  <c r="J594" i="9"/>
  <c r="J682" i="9"/>
  <c r="J691" i="9"/>
  <c r="J438" i="9"/>
  <c r="J435" i="9"/>
  <c r="J500" i="9"/>
  <c r="J477" i="9"/>
  <c r="J176" i="9"/>
  <c r="J290" i="9"/>
  <c r="J850" i="9"/>
  <c r="J427" i="9"/>
  <c r="J270" i="9"/>
  <c r="J215" i="9"/>
  <c r="J137" i="9"/>
  <c r="J776" i="9"/>
  <c r="J785" i="9"/>
  <c r="J663" i="9"/>
  <c r="J671" i="9"/>
  <c r="J579" i="9"/>
  <c r="J280" i="9"/>
  <c r="J479" i="9"/>
  <c r="J1051" i="9"/>
  <c r="J614" i="9"/>
  <c r="J388" i="9"/>
  <c r="J167" i="9"/>
  <c r="J292" i="9"/>
  <c r="J727" i="9"/>
  <c r="J536" i="9"/>
  <c r="J350" i="9"/>
  <c r="J506" i="9"/>
  <c r="J214" i="9"/>
  <c r="J88" i="9"/>
  <c r="J837" i="9"/>
  <c r="J696" i="9"/>
  <c r="J737" i="9"/>
  <c r="J678" i="9"/>
  <c r="J454" i="9"/>
  <c r="J472" i="9"/>
  <c r="J309" i="9"/>
  <c r="J783" i="9"/>
  <c r="J463" i="9"/>
  <c r="J62" i="9"/>
  <c r="J226" i="9"/>
  <c r="J259" i="9"/>
  <c r="J143" i="9"/>
  <c r="J89" i="9"/>
  <c r="J824" i="9"/>
  <c r="J712" i="9"/>
  <c r="J616" i="9"/>
  <c r="J609" i="9"/>
  <c r="J662" i="9"/>
  <c r="J542" i="9"/>
  <c r="J407" i="9"/>
  <c r="J449" i="9"/>
  <c r="J370" i="9"/>
  <c r="J120" i="9"/>
  <c r="J378" i="9"/>
  <c r="J533" i="9"/>
  <c r="J30" i="9"/>
  <c r="J599" i="9"/>
  <c r="J361" i="9"/>
  <c r="J537" i="9"/>
  <c r="J256" i="9"/>
  <c r="J202" i="9"/>
  <c r="J799" i="9"/>
  <c r="J490" i="9"/>
  <c r="J572" i="9"/>
  <c r="J237" i="9"/>
  <c r="J32" i="9"/>
  <c r="J576" i="9"/>
  <c r="J569" i="9"/>
  <c r="J1000" i="9"/>
  <c r="J70" i="9"/>
  <c r="J441" i="9"/>
  <c r="J221" i="9"/>
  <c r="J48" i="9"/>
  <c r="J1045" i="9"/>
  <c r="J420" i="9"/>
  <c r="J122" i="9"/>
  <c r="J93" i="9"/>
  <c r="J1032" i="9"/>
  <c r="J921" i="9"/>
  <c r="J109" i="9"/>
  <c r="J900" i="9"/>
  <c r="J752" i="9"/>
  <c r="J761" i="9"/>
  <c r="J561" i="9"/>
  <c r="J457" i="9"/>
  <c r="J348" i="9"/>
  <c r="J220" i="9"/>
  <c r="J313" i="9"/>
  <c r="J209" i="9"/>
  <c r="J314" i="9"/>
  <c r="J206" i="9"/>
  <c r="J299" i="9"/>
  <c r="J82" i="9"/>
  <c r="J13" i="9"/>
  <c r="J45" i="9"/>
  <c r="J840" i="9"/>
  <c r="J760" i="9"/>
  <c r="J680" i="9"/>
  <c r="J801" i="9"/>
  <c r="J657" i="9"/>
  <c r="J742" i="9"/>
  <c r="J747" i="9"/>
  <c r="J518" i="9"/>
  <c r="J515" i="9"/>
  <c r="J560" i="9"/>
  <c r="J601" i="9"/>
  <c r="J364" i="9"/>
  <c r="J289" i="9"/>
  <c r="J178" i="9"/>
  <c r="J84" i="9"/>
  <c r="J655" i="9"/>
  <c r="J591" i="9"/>
  <c r="J556" i="9"/>
  <c r="J276" i="9"/>
  <c r="J198" i="9"/>
  <c r="J106" i="9"/>
  <c r="J38" i="9"/>
  <c r="J514" i="9"/>
  <c r="J404" i="9"/>
  <c r="J525" i="9"/>
  <c r="J578" i="9"/>
  <c r="J624" i="9"/>
  <c r="J592" i="9"/>
  <c r="J754" i="9"/>
  <c r="J1013" i="9"/>
  <c r="J990" i="9"/>
  <c r="J971" i="9"/>
  <c r="J991" i="9"/>
  <c r="J656" i="9"/>
  <c r="J17" i="9"/>
  <c r="J651" i="9"/>
  <c r="J873" i="9"/>
  <c r="J31" i="9"/>
  <c r="J386" i="9"/>
  <c r="J862" i="9"/>
  <c r="J151" i="9"/>
  <c r="J14" i="9"/>
  <c r="J219" i="9"/>
  <c r="J71" i="9"/>
  <c r="J101" i="9"/>
  <c r="J271" i="9"/>
  <c r="J326" i="9"/>
  <c r="J141" i="9"/>
  <c r="J405" i="9"/>
  <c r="J428" i="9"/>
  <c r="J383" i="9"/>
  <c r="J527" i="9"/>
  <c r="J426" i="9"/>
  <c r="J554" i="9"/>
  <c r="J719" i="9"/>
  <c r="J29" i="9"/>
  <c r="J127" i="9"/>
  <c r="J295" i="9"/>
  <c r="J266" i="9"/>
  <c r="J201" i="9"/>
  <c r="J172" i="9"/>
  <c r="J344" i="9"/>
  <c r="J513" i="9"/>
  <c r="J452" i="9"/>
  <c r="J351" i="9"/>
  <c r="J491" i="9"/>
  <c r="J434" i="9"/>
  <c r="J643" i="9"/>
  <c r="J811" i="9"/>
  <c r="J726" i="9"/>
  <c r="J586" i="9"/>
  <c r="J721" i="9"/>
  <c r="J602" i="9"/>
  <c r="J664" i="9"/>
  <c r="J728" i="9"/>
  <c r="J792" i="9"/>
  <c r="J829" i="9"/>
  <c r="J882" i="9"/>
  <c r="J52" i="9"/>
  <c r="J95" i="9"/>
  <c r="J130" i="9"/>
  <c r="J279" i="9"/>
  <c r="J162" i="9"/>
  <c r="J250" i="9"/>
  <c r="J334" i="9"/>
  <c r="J185" i="9"/>
  <c r="J273" i="9"/>
  <c r="J156" i="9"/>
  <c r="J240" i="9"/>
  <c r="J328" i="9"/>
  <c r="J413" i="9"/>
  <c r="J497" i="9"/>
  <c r="J585" i="9"/>
  <c r="J436" i="9"/>
  <c r="J520" i="9"/>
  <c r="J343" i="9"/>
  <c r="J391" i="9"/>
  <c r="J475" i="9"/>
  <c r="J563" i="9"/>
  <c r="J418" i="9"/>
  <c r="J502" i="9"/>
  <c r="J627" i="9"/>
  <c r="J711" i="9"/>
  <c r="J795" i="9"/>
  <c r="J650" i="9"/>
  <c r="J714" i="9"/>
  <c r="J778" i="9"/>
  <c r="J842" i="9"/>
  <c r="J645" i="9"/>
  <c r="J709" i="9"/>
  <c r="J773" i="9"/>
  <c r="J605" i="9"/>
  <c r="J668" i="9"/>
  <c r="J732" i="9"/>
  <c r="J796" i="9"/>
  <c r="J923" i="9"/>
  <c r="J1016" i="9"/>
  <c r="J955" i="9"/>
  <c r="J813" i="9"/>
  <c r="J307" i="9"/>
  <c r="J739" i="9"/>
  <c r="J905" i="9"/>
  <c r="J243" i="9"/>
  <c r="J679" i="9"/>
  <c r="J804" i="9"/>
  <c r="J12" i="9"/>
  <c r="J35" i="9"/>
  <c r="J235" i="9"/>
  <c r="J103" i="9"/>
  <c r="J133" i="9"/>
  <c r="J287" i="9"/>
  <c r="J342" i="9"/>
  <c r="J164" i="9"/>
  <c r="J421" i="9"/>
  <c r="J444" i="9"/>
  <c r="J399" i="9"/>
  <c r="J543" i="9"/>
  <c r="J442" i="9"/>
  <c r="J607" i="9"/>
  <c r="J735" i="9"/>
  <c r="J85" i="9"/>
  <c r="J34" i="9"/>
  <c r="J315" i="9"/>
  <c r="J286" i="9"/>
  <c r="J225" i="9"/>
  <c r="J192" i="9"/>
  <c r="J875" i="9"/>
  <c r="J487" i="9"/>
  <c r="J1048" i="9"/>
  <c r="J509" i="9"/>
  <c r="J901" i="9"/>
  <c r="J504" i="9"/>
  <c r="J996" i="9"/>
  <c r="J974" i="9"/>
  <c r="J722" i="9"/>
  <c r="J169" i="9"/>
  <c r="J213" i="9"/>
  <c r="J355" i="9"/>
  <c r="J798" i="9"/>
  <c r="J930" i="9"/>
  <c r="J1033" i="9"/>
  <c r="J943" i="9"/>
  <c r="J153" i="9"/>
  <c r="J570" i="9"/>
  <c r="J895" i="9"/>
  <c r="J869" i="9"/>
  <c r="J697" i="9"/>
  <c r="J425" i="9"/>
  <c r="J73" i="9"/>
  <c r="J44" i="9"/>
  <c r="J99" i="9"/>
  <c r="J138" i="9"/>
  <c r="J61" i="9"/>
  <c r="J112" i="9"/>
  <c r="J26" i="9"/>
  <c r="J191" i="9"/>
  <c r="J132" i="9"/>
  <c r="J163" i="9"/>
  <c r="J134" i="9"/>
  <c r="J262" i="9"/>
  <c r="J157" i="9"/>
  <c r="J285" i="9"/>
  <c r="J212" i="9"/>
  <c r="J340" i="9"/>
  <c r="J469" i="9"/>
  <c r="J597" i="9"/>
  <c r="J492" i="9"/>
  <c r="J349" i="9"/>
  <c r="J431" i="9"/>
  <c r="J495" i="9"/>
  <c r="J559" i="9"/>
  <c r="J394" i="9"/>
  <c r="J458" i="9"/>
  <c r="J522" i="9"/>
  <c r="J623" i="9"/>
  <c r="J687" i="9"/>
  <c r="J751" i="9"/>
  <c r="J815" i="9"/>
  <c r="J121" i="9"/>
  <c r="J47" i="9"/>
  <c r="J78" i="9"/>
  <c r="J247" i="9"/>
  <c r="J136" i="9"/>
  <c r="J222" i="9"/>
  <c r="J306" i="9"/>
  <c r="J161" i="9"/>
  <c r="J245" i="9"/>
  <c r="J329" i="9"/>
  <c r="J216" i="9"/>
  <c r="J300" i="9"/>
  <c r="J385" i="9"/>
  <c r="J473" i="9"/>
  <c r="J557" i="9"/>
  <c r="J408" i="9"/>
  <c r="J496" i="9"/>
  <c r="J580" i="9"/>
  <c r="J371" i="9"/>
  <c r="J451" i="9"/>
  <c r="J535" i="9"/>
  <c r="J390" i="9"/>
  <c r="J478" i="9"/>
  <c r="J582" i="9"/>
  <c r="J683" i="9"/>
  <c r="J771" i="9"/>
  <c r="J630" i="9"/>
  <c r="J694" i="9"/>
  <c r="J758" i="9"/>
  <c r="J822" i="9"/>
  <c r="J625" i="9"/>
  <c r="J689" i="9"/>
  <c r="J753" i="9"/>
  <c r="J817" i="9"/>
  <c r="J1029" i="9"/>
  <c r="J291" i="9"/>
  <c r="J933" i="9"/>
  <c r="J168" i="9"/>
  <c r="J1038" i="9"/>
  <c r="J257" i="9"/>
  <c r="J952" i="9"/>
  <c r="J926" i="9"/>
  <c r="J763" i="9"/>
  <c r="J234" i="9"/>
  <c r="J297" i="9"/>
  <c r="J503" i="9"/>
  <c r="J598" i="9"/>
  <c r="J962" i="9"/>
  <c r="J872" i="9"/>
  <c r="J975" i="9"/>
  <c r="J325" i="9"/>
  <c r="J381" i="9"/>
  <c r="J859" i="9"/>
  <c r="J1042" i="9"/>
  <c r="J786" i="9"/>
  <c r="J252" i="9"/>
  <c r="J16" i="9"/>
  <c r="J76" i="9"/>
  <c r="J115" i="9"/>
  <c r="J155" i="9"/>
  <c r="J97" i="9"/>
  <c r="J128" i="9"/>
  <c r="J42" i="9"/>
  <c r="J223" i="9"/>
  <c r="J43" i="9"/>
  <c r="J195" i="9"/>
  <c r="J150" i="9"/>
  <c r="J278" i="9"/>
  <c r="J173" i="9"/>
  <c r="J301" i="9"/>
  <c r="J228" i="9"/>
  <c r="J356" i="9"/>
  <c r="J485" i="9"/>
  <c r="J380" i="9"/>
  <c r="J508" i="9"/>
  <c r="J357" i="9"/>
  <c r="J447" i="9"/>
  <c r="J511" i="9"/>
  <c r="J575" i="9"/>
  <c r="J410" i="9"/>
  <c r="J474" i="9"/>
  <c r="J538" i="9"/>
  <c r="J639" i="9"/>
  <c r="J703" i="9"/>
  <c r="J767" i="9"/>
  <c r="J610" i="9"/>
  <c r="J40" i="9"/>
  <c r="J91" i="9"/>
  <c r="J114" i="9"/>
  <c r="J275" i="9"/>
  <c r="J158" i="9"/>
  <c r="J242" i="9"/>
  <c r="J330" i="9"/>
  <c r="J181" i="9"/>
  <c r="J265" i="9"/>
  <c r="J152" i="9"/>
  <c r="J236" i="9"/>
  <c r="J320" i="9"/>
  <c r="J409" i="9"/>
  <c r="J493" i="9"/>
  <c r="J577" i="9"/>
  <c r="J432" i="9"/>
  <c r="J516" i="9"/>
  <c r="J600" i="9"/>
  <c r="J387" i="9"/>
  <c r="J471" i="9"/>
  <c r="J555" i="9"/>
  <c r="J414" i="9"/>
  <c r="J498" i="9"/>
  <c r="J619" i="9"/>
  <c r="J707" i="9"/>
  <c r="J791" i="9"/>
  <c r="J646" i="9"/>
  <c r="J710" i="9"/>
  <c r="J774" i="9"/>
  <c r="J838" i="9"/>
  <c r="J641" i="9"/>
  <c r="J705" i="9"/>
  <c r="J769" i="9"/>
  <c r="J978" i="9"/>
  <c r="J807" i="9"/>
  <c r="J942" i="9"/>
  <c r="J676" i="9"/>
  <c r="J920" i="9"/>
  <c r="J1060" i="9"/>
  <c r="J377" i="9"/>
  <c r="J884" i="9"/>
  <c r="J894" i="9"/>
  <c r="J779" i="9"/>
  <c r="J123" i="9"/>
  <c r="J932" i="9"/>
  <c r="J946" i="9"/>
  <c r="J695" i="9"/>
  <c r="J148" i="9"/>
  <c r="J907" i="9"/>
  <c r="J868" i="9"/>
  <c r="J885" i="9"/>
  <c r="J874" i="9"/>
  <c r="J633" i="9"/>
  <c r="J611" i="9"/>
  <c r="J481" i="9"/>
  <c r="J49" i="9"/>
  <c r="J190" i="9"/>
  <c r="J184" i="9"/>
  <c r="J464" i="9"/>
  <c r="J587" i="9"/>
  <c r="J823" i="9"/>
  <c r="J729" i="9"/>
  <c r="J816" i="9"/>
  <c r="J994" i="9"/>
  <c r="J969" i="9"/>
  <c r="J904" i="9"/>
  <c r="J847" i="9"/>
  <c r="J1039" i="9"/>
  <c r="J331" i="9"/>
  <c r="J208" i="9"/>
  <c r="J531" i="9"/>
  <c r="J553" i="9"/>
  <c r="J1023" i="9"/>
  <c r="J984" i="9"/>
  <c r="J997" i="9"/>
  <c r="J1006" i="9"/>
  <c r="J644" i="9"/>
  <c r="J702" i="9"/>
  <c r="J403" i="9"/>
  <c r="J346" i="9"/>
  <c r="J25" i="9"/>
  <c r="J33" i="9"/>
  <c r="J10" i="9"/>
  <c r="J92" i="9"/>
  <c r="J51" i="9"/>
  <c r="J147" i="9"/>
  <c r="J86" i="9"/>
  <c r="J171" i="9"/>
  <c r="J15" i="9"/>
  <c r="J113" i="9"/>
  <c r="J64" i="9"/>
  <c r="J39" i="9"/>
  <c r="J119" i="9"/>
  <c r="J58" i="9"/>
  <c r="J159" i="9"/>
  <c r="J239" i="9"/>
  <c r="J36" i="9"/>
  <c r="J107" i="9"/>
  <c r="J94" i="9"/>
  <c r="J227" i="9"/>
  <c r="J303" i="9"/>
  <c r="J166" i="9"/>
  <c r="J230" i="9"/>
  <c r="J294" i="9"/>
  <c r="J358" i="9"/>
  <c r="J189" i="9"/>
  <c r="J253" i="9"/>
  <c r="J317" i="9"/>
  <c r="J180" i="9"/>
  <c r="J244" i="9"/>
  <c r="J308" i="9"/>
  <c r="J372" i="9"/>
  <c r="J437" i="9"/>
  <c r="J501" i="9"/>
  <c r="J565" i="9"/>
  <c r="J396" i="9"/>
  <c r="J460" i="9"/>
  <c r="J524" i="9"/>
  <c r="J588" i="9"/>
  <c r="J365" i="9"/>
  <c r="J415" i="9"/>
  <c r="J1061" i="9"/>
  <c r="J980" i="9"/>
  <c r="J749" i="9"/>
  <c r="J949" i="9"/>
  <c r="J224" i="9"/>
  <c r="J1017" i="9"/>
  <c r="J772" i="9"/>
  <c r="J347" i="9"/>
  <c r="J1055" i="9"/>
  <c r="J852" i="9"/>
  <c r="J708" i="9"/>
  <c r="J547" i="9"/>
  <c r="J20" i="9"/>
  <c r="J1044" i="9"/>
  <c r="J1049" i="9"/>
  <c r="J1054" i="9"/>
  <c r="J740" i="9"/>
  <c r="J818" i="9"/>
  <c r="J402" i="9"/>
  <c r="J341" i="9"/>
  <c r="J104" i="9"/>
  <c r="J274" i="9"/>
  <c r="J352" i="9"/>
  <c r="J548" i="9"/>
  <c r="J446" i="9"/>
  <c r="J734" i="9"/>
  <c r="J793" i="9"/>
  <c r="J841" i="9"/>
  <c r="J1058" i="9"/>
  <c r="J1001" i="9"/>
  <c r="J936" i="9"/>
  <c r="J911" i="9"/>
  <c r="J117" i="9"/>
  <c r="J218" i="9"/>
  <c r="J465" i="9"/>
  <c r="J470" i="9"/>
  <c r="J488" i="9"/>
  <c r="J939" i="9"/>
  <c r="J948" i="9"/>
  <c r="J953" i="9"/>
  <c r="J914" i="9"/>
  <c r="J781" i="9"/>
  <c r="J626" i="9"/>
  <c r="J593" i="9"/>
  <c r="J174" i="9"/>
  <c r="J41" i="9"/>
  <c r="J77" i="9"/>
  <c r="J28" i="9"/>
  <c r="J108" i="9"/>
  <c r="J83" i="9"/>
  <c r="J22" i="9"/>
  <c r="J102" i="9"/>
  <c r="J203" i="9"/>
  <c r="J37" i="9"/>
  <c r="J129" i="9"/>
  <c r="J96" i="9"/>
  <c r="J55" i="9"/>
  <c r="J135" i="9"/>
  <c r="J90" i="9"/>
  <c r="J175" i="9"/>
  <c r="J21" i="9"/>
  <c r="J100" i="9"/>
  <c r="J139" i="9"/>
  <c r="J126" i="9"/>
  <c r="J255" i="9"/>
  <c r="J319" i="9"/>
  <c r="J182" i="9"/>
  <c r="J246" i="9"/>
  <c r="J310" i="9"/>
  <c r="J374" i="9"/>
  <c r="J205" i="9"/>
  <c r="J269" i="9"/>
  <c r="J333" i="9"/>
  <c r="J196" i="9"/>
  <c r="J260" i="9"/>
  <c r="J324" i="9"/>
  <c r="J389" i="9"/>
  <c r="J453" i="9"/>
  <c r="J517" i="9"/>
  <c r="J581" i="9"/>
  <c r="J412" i="9"/>
  <c r="J476" i="9"/>
  <c r="J540" i="9"/>
  <c r="J604" i="9"/>
  <c r="J373" i="9"/>
  <c r="J1003" i="9"/>
  <c r="J784" i="9"/>
  <c r="J1019" i="9"/>
  <c r="J825" i="9"/>
  <c r="J857" i="9"/>
  <c r="J927" i="9"/>
  <c r="J63" i="9"/>
  <c r="J959" i="9"/>
  <c r="J889" i="9"/>
  <c r="J612" i="9"/>
  <c r="J1022" i="9"/>
  <c r="J336" i="9"/>
  <c r="J888" i="9"/>
  <c r="J685" i="9"/>
  <c r="J98" i="9"/>
  <c r="J964" i="9"/>
  <c r="J853" i="9"/>
  <c r="J558" i="9"/>
  <c r="J430" i="9"/>
  <c r="J258" i="9"/>
  <c r="J891" i="9"/>
  <c r="J985" i="9"/>
  <c r="J835" i="9"/>
  <c r="J690" i="9"/>
  <c r="J397" i="9"/>
  <c r="J1035" i="9"/>
  <c r="J863" i="9"/>
  <c r="J916" i="9"/>
  <c r="J965" i="9"/>
  <c r="J1010" i="9"/>
  <c r="J836" i="9"/>
  <c r="J717" i="9"/>
  <c r="J638" i="9"/>
  <c r="J459" i="9"/>
  <c r="J312" i="9"/>
  <c r="J263" i="9"/>
  <c r="J183" i="9"/>
  <c r="J362" i="9"/>
  <c r="J268" i="9"/>
  <c r="J339" i="9"/>
  <c r="J419" i="9"/>
  <c r="J530" i="9"/>
  <c r="J670" i="9"/>
  <c r="J665" i="9"/>
  <c r="J688" i="9"/>
  <c r="J898" i="9"/>
  <c r="J1026" i="9"/>
  <c r="J937" i="9"/>
  <c r="J845" i="9"/>
  <c r="J968" i="9"/>
  <c r="J879" i="9"/>
  <c r="J1007" i="9"/>
  <c r="J66" i="9"/>
  <c r="J302" i="9"/>
  <c r="J296" i="9"/>
  <c r="J369" i="9"/>
  <c r="J241" i="9"/>
  <c r="J443" i="9"/>
  <c r="J987" i="9"/>
  <c r="J1028" i="9"/>
  <c r="J856" i="9"/>
  <c r="J917" i="9"/>
  <c r="J958" i="9"/>
  <c r="J720" i="9"/>
  <c r="J621" i="9"/>
  <c r="J723" i="9"/>
  <c r="J532" i="9"/>
  <c r="J281" i="9"/>
  <c r="J72" i="9"/>
  <c r="J57" i="9"/>
  <c r="J53" i="9"/>
  <c r="J125" i="9"/>
  <c r="J60" i="9"/>
  <c r="J124" i="9"/>
  <c r="J67" i="9"/>
  <c r="J131" i="9"/>
  <c r="J54" i="9"/>
  <c r="J118" i="9"/>
  <c r="J187" i="9"/>
  <c r="J251" i="9"/>
  <c r="J81" i="9"/>
  <c r="J19" i="9"/>
  <c r="J80" i="9"/>
  <c r="J23" i="9"/>
  <c r="J87" i="9"/>
  <c r="J11" i="9"/>
  <c r="J74" i="9"/>
  <c r="J144" i="9"/>
  <c r="J207" i="9"/>
  <c r="J65" i="9"/>
  <c r="J68" i="9"/>
  <c r="J75" i="9"/>
  <c r="J658" i="9"/>
  <c r="J981" i="9"/>
  <c r="J318" i="9"/>
  <c r="J635" i="9"/>
  <c r="J910" i="9"/>
  <c r="J766" i="9"/>
  <c r="J486" i="9"/>
  <c r="J197" i="9"/>
  <c r="J1012" i="9"/>
  <c r="J448" i="9"/>
  <c r="J830" i="9"/>
  <c r="P18" i="10"/>
  <c r="P34" i="10"/>
  <c r="L27" i="9"/>
  <c r="I61" i="4"/>
  <c r="H930" i="7"/>
  <c r="F930" i="7"/>
  <c r="H1061" i="7"/>
  <c r="F1061" i="7"/>
  <c r="H1037" i="7"/>
  <c r="F1037" i="7"/>
  <c r="H1013" i="7"/>
  <c r="F1013" i="7"/>
  <c r="H989" i="7"/>
  <c r="F989" i="7"/>
  <c r="H949" i="7"/>
  <c r="F949" i="7"/>
  <c r="H925" i="7"/>
  <c r="F925" i="7"/>
  <c r="H1056" i="7"/>
  <c r="F1056" i="7"/>
  <c r="H1040" i="7"/>
  <c r="F1040" i="7"/>
  <c r="H1016" i="7"/>
  <c r="F1016" i="7"/>
  <c r="H992" i="7"/>
  <c r="F992" i="7"/>
  <c r="H976" i="7"/>
  <c r="F976" i="7"/>
  <c r="H960" i="7"/>
  <c r="F960" i="7"/>
  <c r="H903" i="7"/>
  <c r="F903" i="7"/>
  <c r="H648" i="7"/>
  <c r="F648" i="7"/>
  <c r="H586" i="7"/>
  <c r="F586" i="7"/>
  <c r="H554" i="7"/>
  <c r="F554" i="7"/>
  <c r="H530" i="7"/>
  <c r="F530" i="7"/>
  <c r="H506" i="7"/>
  <c r="F506" i="7"/>
  <c r="H490" i="7"/>
  <c r="F490" i="7"/>
  <c r="H466" i="7"/>
  <c r="F466" i="7"/>
  <c r="H442" i="7"/>
  <c r="F442" i="7"/>
  <c r="H426" i="7"/>
  <c r="F426" i="7"/>
  <c r="H402" i="7"/>
  <c r="F402" i="7"/>
  <c r="H378" i="7"/>
  <c r="F378" i="7"/>
  <c r="H354" i="7"/>
  <c r="F354" i="7"/>
  <c r="H338" i="7"/>
  <c r="F338" i="7"/>
  <c r="H314" i="7"/>
  <c r="F314" i="7"/>
  <c r="H290" i="7"/>
  <c r="F290" i="7"/>
  <c r="H226" i="7"/>
  <c r="F226" i="7"/>
  <c r="H888" i="7"/>
  <c r="F888" i="7"/>
  <c r="H872" i="7"/>
  <c r="F872" i="7"/>
  <c r="H856" i="7"/>
  <c r="F856" i="7"/>
  <c r="H832" i="7"/>
  <c r="F832" i="7"/>
  <c r="H808" i="7"/>
  <c r="F808" i="7"/>
  <c r="H784" i="7"/>
  <c r="F784" i="7"/>
  <c r="H760" i="7"/>
  <c r="F760" i="7"/>
  <c r="H736" i="7"/>
  <c r="F736" i="7"/>
  <c r="H712" i="7"/>
  <c r="F712" i="7"/>
  <c r="H688" i="7"/>
  <c r="F688" i="7"/>
  <c r="H663" i="7"/>
  <c r="F663" i="7"/>
  <c r="H639" i="7"/>
  <c r="F639" i="7"/>
  <c r="H615" i="7"/>
  <c r="F615" i="7"/>
  <c r="H224" i="7"/>
  <c r="F224" i="7"/>
  <c r="H885" i="7"/>
  <c r="F885" i="7"/>
  <c r="H861" i="7"/>
  <c r="F861" i="7"/>
  <c r="H837" i="7"/>
  <c r="F837" i="7"/>
  <c r="H813" i="7"/>
  <c r="F813" i="7"/>
  <c r="H789" i="7"/>
  <c r="F789" i="7"/>
  <c r="H749" i="7"/>
  <c r="F749" i="7"/>
  <c r="H725" i="7"/>
  <c r="F725" i="7"/>
  <c r="H701" i="7"/>
  <c r="F701" i="7"/>
  <c r="H677" i="7"/>
  <c r="F677" i="7"/>
  <c r="H626" i="7"/>
  <c r="F626" i="7"/>
  <c r="H602" i="7"/>
  <c r="F602" i="7"/>
  <c r="H239" i="7"/>
  <c r="F239" i="7"/>
  <c r="H581" i="7"/>
  <c r="F581" i="7"/>
  <c r="H557" i="7"/>
  <c r="F557" i="7"/>
  <c r="H525" i="7"/>
  <c r="F525" i="7"/>
  <c r="H501" i="7"/>
  <c r="F501" i="7"/>
  <c r="H477" i="7"/>
  <c r="F477" i="7"/>
  <c r="H453" i="7"/>
  <c r="F453" i="7"/>
  <c r="H429" i="7"/>
  <c r="F429" i="7"/>
  <c r="H405" i="7"/>
  <c r="F405" i="7"/>
  <c r="H381" i="7"/>
  <c r="F381" i="7"/>
  <c r="H357" i="7"/>
  <c r="F357" i="7"/>
  <c r="H325" i="7"/>
  <c r="F325" i="7"/>
  <c r="H301" i="7"/>
  <c r="F301" i="7"/>
  <c r="H269" i="7"/>
  <c r="F269" i="7"/>
  <c r="H246" i="7"/>
  <c r="F246" i="7"/>
  <c r="H231" i="7"/>
  <c r="F231" i="7"/>
  <c r="H15" i="7"/>
  <c r="F15" i="7"/>
  <c r="H193" i="7"/>
  <c r="F193" i="7"/>
  <c r="H169" i="7"/>
  <c r="F169" i="7"/>
  <c r="H145" i="7"/>
  <c r="F145" i="7"/>
  <c r="H121" i="7"/>
  <c r="F121" i="7"/>
  <c r="H97" i="7"/>
  <c r="F97" i="7"/>
  <c r="H73" i="7"/>
  <c r="F73" i="7"/>
  <c r="H49" i="7"/>
  <c r="F49" i="7"/>
  <c r="H33" i="7"/>
  <c r="F33" i="7"/>
  <c r="H10" i="7"/>
  <c r="F10" i="7"/>
  <c r="H198" i="7"/>
  <c r="F198" i="7"/>
  <c r="H158" i="7"/>
  <c r="F158" i="7"/>
  <c r="H134" i="7"/>
  <c r="F134" i="7"/>
  <c r="H110" i="7"/>
  <c r="F110" i="7"/>
  <c r="H38" i="7"/>
  <c r="F38" i="7"/>
  <c r="H936" i="7"/>
  <c r="F936" i="7"/>
  <c r="H920" i="7"/>
  <c r="F920" i="7"/>
  <c r="H1051" i="7"/>
  <c r="F1051" i="7"/>
  <c r="H1027" i="7"/>
  <c r="F1027" i="7"/>
  <c r="H1011" i="7"/>
  <c r="F1011" i="7"/>
  <c r="H987" i="7"/>
  <c r="F987" i="7"/>
  <c r="H979" i="7"/>
  <c r="F979" i="7"/>
  <c r="H947" i="7"/>
  <c r="F947" i="7"/>
  <c r="H940" i="7"/>
  <c r="F940" i="7"/>
  <c r="H932" i="7"/>
  <c r="F932" i="7"/>
  <c r="H924" i="7"/>
  <c r="F924" i="7"/>
  <c r="H916" i="7"/>
  <c r="F916" i="7"/>
  <c r="H1063" i="7"/>
  <c r="F1063" i="7"/>
  <c r="H1055" i="7"/>
  <c r="F1055" i="7"/>
  <c r="H1047" i="7"/>
  <c r="F1047" i="7"/>
  <c r="H1039" i="7"/>
  <c r="F1039" i="7"/>
  <c r="H1031" i="7"/>
  <c r="F1031" i="7"/>
  <c r="H1023" i="7"/>
  <c r="F1023" i="7"/>
  <c r="H1015" i="7"/>
  <c r="F1015" i="7"/>
  <c r="H1007" i="7"/>
  <c r="F1007" i="7"/>
  <c r="H999" i="7"/>
  <c r="F999" i="7"/>
  <c r="H991" i="7"/>
  <c r="F991" i="7"/>
  <c r="H983" i="7"/>
  <c r="F983" i="7"/>
  <c r="H975" i="7"/>
  <c r="F975" i="7"/>
  <c r="H967" i="7"/>
  <c r="F967" i="7"/>
  <c r="H959" i="7"/>
  <c r="F959" i="7"/>
  <c r="H951" i="7"/>
  <c r="F951" i="7"/>
  <c r="H943" i="7"/>
  <c r="F943" i="7"/>
  <c r="H935" i="7"/>
  <c r="F935" i="7"/>
  <c r="H927" i="7"/>
  <c r="F927" i="7"/>
  <c r="H919" i="7"/>
  <c r="F919" i="7"/>
  <c r="H911" i="7"/>
  <c r="F911" i="7"/>
  <c r="H1058" i="7"/>
  <c r="F1058" i="7"/>
  <c r="H1050" i="7"/>
  <c r="F1050" i="7"/>
  <c r="H1042" i="7"/>
  <c r="F1042" i="7"/>
  <c r="H1034" i="7"/>
  <c r="F1034" i="7"/>
  <c r="H1026" i="7"/>
  <c r="F1026" i="7"/>
  <c r="H1018" i="7"/>
  <c r="F1018" i="7"/>
  <c r="H1010" i="7"/>
  <c r="F1010" i="7"/>
  <c r="H1002" i="7"/>
  <c r="F1002" i="7"/>
  <c r="H994" i="7"/>
  <c r="F994" i="7"/>
  <c r="H986" i="7"/>
  <c r="F986" i="7"/>
  <c r="H978" i="7"/>
  <c r="F978" i="7"/>
  <c r="H970" i="7"/>
  <c r="F970" i="7"/>
  <c r="H962" i="7"/>
  <c r="F962" i="7"/>
  <c r="H954" i="7"/>
  <c r="F954" i="7"/>
  <c r="H946" i="7"/>
  <c r="F946" i="7"/>
  <c r="H905" i="7"/>
  <c r="F905" i="7"/>
  <c r="H897" i="7"/>
  <c r="F897" i="7"/>
  <c r="H658" i="7"/>
  <c r="F658" i="7"/>
  <c r="H650" i="7"/>
  <c r="F650" i="7"/>
  <c r="H642" i="7"/>
  <c r="F642" i="7"/>
  <c r="H596" i="7"/>
  <c r="F596" i="7"/>
  <c r="H588" i="7"/>
  <c r="F588" i="7"/>
  <c r="H580" i="7"/>
  <c r="F580" i="7"/>
  <c r="H572" i="7"/>
  <c r="F572" i="7"/>
  <c r="H564" i="7"/>
  <c r="F564" i="7"/>
  <c r="H556" i="7"/>
  <c r="F556" i="7"/>
  <c r="H548" i="7"/>
  <c r="F548" i="7"/>
  <c r="H540" i="7"/>
  <c r="F540" i="7"/>
  <c r="H532" i="7"/>
  <c r="F532" i="7"/>
  <c r="H524" i="7"/>
  <c r="F524" i="7"/>
  <c r="H516" i="7"/>
  <c r="F516" i="7"/>
  <c r="H508" i="7"/>
  <c r="F508" i="7"/>
  <c r="H500" i="7"/>
  <c r="F500" i="7"/>
  <c r="H492" i="7"/>
  <c r="F492" i="7"/>
  <c r="H484" i="7"/>
  <c r="F484" i="7"/>
  <c r="H476" i="7"/>
  <c r="F476" i="7"/>
  <c r="H468" i="7"/>
  <c r="F468" i="7"/>
  <c r="H460" i="7"/>
  <c r="F460" i="7"/>
  <c r="H452" i="7"/>
  <c r="F452" i="7"/>
  <c r="H444" i="7"/>
  <c r="F444" i="7"/>
  <c r="H436" i="7"/>
  <c r="F436" i="7"/>
  <c r="H428" i="7"/>
  <c r="F428" i="7"/>
  <c r="H420" i="7"/>
  <c r="F420" i="7"/>
  <c r="H412" i="7"/>
  <c r="F412" i="7"/>
  <c r="H404" i="7"/>
  <c r="F404" i="7"/>
  <c r="H396" i="7"/>
  <c r="F396" i="7"/>
  <c r="H388" i="7"/>
  <c r="F388" i="7"/>
  <c r="H380" i="7"/>
  <c r="F380" i="7"/>
  <c r="H372" i="7"/>
  <c r="F372" i="7"/>
  <c r="H364" i="7"/>
  <c r="F364" i="7"/>
  <c r="H356" i="7"/>
  <c r="F356" i="7"/>
  <c r="H348" i="7"/>
  <c r="F348" i="7"/>
  <c r="H340" i="7"/>
  <c r="F340" i="7"/>
  <c r="H332" i="7"/>
  <c r="F332" i="7"/>
  <c r="H324" i="7"/>
  <c r="F324" i="7"/>
  <c r="H316" i="7"/>
  <c r="F316" i="7"/>
  <c r="H308" i="7"/>
  <c r="F308" i="7"/>
  <c r="H300" i="7"/>
  <c r="F300" i="7"/>
  <c r="H292" i="7"/>
  <c r="F292" i="7"/>
  <c r="H284" i="7"/>
  <c r="F284" i="7"/>
  <c r="H276" i="7"/>
  <c r="F276" i="7"/>
  <c r="H234" i="7"/>
  <c r="F234" i="7"/>
  <c r="H906" i="7"/>
  <c r="F906" i="7"/>
  <c r="H898" i="7"/>
  <c r="F898" i="7"/>
  <c r="H890" i="7"/>
  <c r="F890" i="7"/>
  <c r="H882" i="7"/>
  <c r="F882" i="7"/>
  <c r="H874" i="7"/>
  <c r="F874" i="7"/>
  <c r="H866" i="7"/>
  <c r="F866" i="7"/>
  <c r="H858" i="7"/>
  <c r="F858" i="7"/>
  <c r="H850" i="7"/>
  <c r="F850" i="7"/>
  <c r="H842" i="7"/>
  <c r="F842" i="7"/>
  <c r="H834" i="7"/>
  <c r="F834" i="7"/>
  <c r="H826" i="7"/>
  <c r="F826" i="7"/>
  <c r="H818" i="7"/>
  <c r="F818" i="7"/>
  <c r="H810" i="7"/>
  <c r="F810" i="7"/>
  <c r="H802" i="7"/>
  <c r="F802" i="7"/>
  <c r="H794" i="7"/>
  <c r="F794" i="7"/>
  <c r="H786" i="7"/>
  <c r="F786" i="7"/>
  <c r="H778" i="7"/>
  <c r="F778" i="7"/>
  <c r="H770" i="7"/>
  <c r="F770" i="7"/>
  <c r="H762" i="7"/>
  <c r="F762" i="7"/>
  <c r="H754" i="7"/>
  <c r="F754" i="7"/>
  <c r="H746" i="7"/>
  <c r="F746" i="7"/>
  <c r="H738" i="7"/>
  <c r="F738" i="7"/>
  <c r="H730" i="7"/>
  <c r="F730" i="7"/>
  <c r="H722" i="7"/>
  <c r="F722" i="7"/>
  <c r="H714" i="7"/>
  <c r="F714" i="7"/>
  <c r="H706" i="7"/>
  <c r="F706" i="7"/>
  <c r="H698" i="7"/>
  <c r="F698" i="7"/>
  <c r="H690" i="7"/>
  <c r="F690" i="7"/>
  <c r="H682" i="7"/>
  <c r="F682" i="7"/>
  <c r="H674" i="7"/>
  <c r="F674" i="7"/>
  <c r="H666" i="7"/>
  <c r="F666" i="7"/>
  <c r="H657" i="7"/>
  <c r="F657" i="7"/>
  <c r="H649" i="7"/>
  <c r="F649" i="7"/>
  <c r="H641" i="7"/>
  <c r="F641" i="7"/>
  <c r="H633" i="7"/>
  <c r="F633" i="7"/>
  <c r="H625" i="7"/>
  <c r="F625" i="7"/>
  <c r="H617" i="7"/>
  <c r="F617" i="7"/>
  <c r="H609" i="7"/>
  <c r="F609" i="7"/>
  <c r="H601" i="7"/>
  <c r="F601" i="7"/>
  <c r="H232" i="7"/>
  <c r="F232" i="7"/>
  <c r="H262" i="7"/>
  <c r="F262" i="7"/>
  <c r="H895" i="7"/>
  <c r="F895" i="7"/>
  <c r="H887" i="7"/>
  <c r="F887" i="7"/>
  <c r="H879" i="7"/>
  <c r="F879" i="7"/>
  <c r="H871" i="7"/>
  <c r="F871" i="7"/>
  <c r="H863" i="7"/>
  <c r="F863" i="7"/>
  <c r="H855" i="7"/>
  <c r="F855" i="7"/>
  <c r="H847" i="7"/>
  <c r="F847" i="7"/>
  <c r="H839" i="7"/>
  <c r="F839" i="7"/>
  <c r="H831" i="7"/>
  <c r="F831" i="7"/>
  <c r="H823" i="7"/>
  <c r="F823" i="7"/>
  <c r="H815" i="7"/>
  <c r="F815" i="7"/>
  <c r="H807" i="7"/>
  <c r="F807" i="7"/>
  <c r="H799" i="7"/>
  <c r="F799" i="7"/>
  <c r="H791" i="7"/>
  <c r="F791" i="7"/>
  <c r="H783" i="7"/>
  <c r="F783" i="7"/>
  <c r="H775" i="7"/>
  <c r="F775" i="7"/>
  <c r="H767" i="7"/>
  <c r="F767" i="7"/>
  <c r="H759" i="7"/>
  <c r="F759" i="7"/>
  <c r="H751" i="7"/>
  <c r="F751" i="7"/>
  <c r="H743" i="7"/>
  <c r="F743" i="7"/>
  <c r="H735" i="7"/>
  <c r="F735" i="7"/>
  <c r="H727" i="7"/>
  <c r="F727" i="7"/>
  <c r="H719" i="7"/>
  <c r="F719" i="7"/>
  <c r="H711" i="7"/>
  <c r="F711" i="7"/>
  <c r="H703" i="7"/>
  <c r="F703" i="7"/>
  <c r="H695" i="7"/>
  <c r="F695" i="7"/>
  <c r="H687" i="7"/>
  <c r="F687" i="7"/>
  <c r="H679" i="7"/>
  <c r="F679" i="7"/>
  <c r="H671" i="7"/>
  <c r="F671" i="7"/>
  <c r="H636" i="7"/>
  <c r="F636" i="7"/>
  <c r="H628" i="7"/>
  <c r="F628" i="7"/>
  <c r="H620" i="7"/>
  <c r="F620" i="7"/>
  <c r="H612" i="7"/>
  <c r="F612" i="7"/>
  <c r="H604" i="7"/>
  <c r="F604" i="7"/>
  <c r="H260" i="7"/>
  <c r="F260" i="7"/>
  <c r="H249" i="7"/>
  <c r="F249" i="7"/>
  <c r="H241" i="7"/>
  <c r="F241" i="7"/>
  <c r="H599" i="7"/>
  <c r="F599" i="7"/>
  <c r="H591" i="7"/>
  <c r="F591" i="7"/>
  <c r="H583" i="7"/>
  <c r="F583" i="7"/>
  <c r="H575" i="7"/>
  <c r="F575" i="7"/>
  <c r="H567" i="7"/>
  <c r="F567" i="7"/>
  <c r="H559" i="7"/>
  <c r="F559" i="7"/>
  <c r="H551" i="7"/>
  <c r="F551" i="7"/>
  <c r="H543" i="7"/>
  <c r="F543" i="7"/>
  <c r="H535" i="7"/>
  <c r="F535" i="7"/>
  <c r="H527" i="7"/>
  <c r="F527" i="7"/>
  <c r="H519" i="7"/>
  <c r="F519" i="7"/>
  <c r="H511" i="7"/>
  <c r="F511" i="7"/>
  <c r="H503" i="7"/>
  <c r="F503" i="7"/>
  <c r="H495" i="7"/>
  <c r="F495" i="7"/>
  <c r="H487" i="7"/>
  <c r="F487" i="7"/>
  <c r="H479" i="7"/>
  <c r="F479" i="7"/>
  <c r="H471" i="7"/>
  <c r="F471" i="7"/>
  <c r="H463" i="7"/>
  <c r="F463" i="7"/>
  <c r="H455" i="7"/>
  <c r="F455" i="7"/>
  <c r="H447" i="7"/>
  <c r="F447" i="7"/>
  <c r="H439" i="7"/>
  <c r="F439" i="7"/>
  <c r="H431" i="7"/>
  <c r="F431" i="7"/>
  <c r="H423" i="7"/>
  <c r="F423" i="7"/>
  <c r="H415" i="7"/>
  <c r="F415" i="7"/>
  <c r="H407" i="7"/>
  <c r="F407" i="7"/>
  <c r="H399" i="7"/>
  <c r="F399" i="7"/>
  <c r="H391" i="7"/>
  <c r="F391" i="7"/>
  <c r="H383" i="7"/>
  <c r="F383" i="7"/>
  <c r="H375" i="7"/>
  <c r="F375" i="7"/>
  <c r="H367" i="7"/>
  <c r="F367" i="7"/>
  <c r="H359" i="7"/>
  <c r="F359" i="7"/>
  <c r="H351" i="7"/>
  <c r="F351" i="7"/>
  <c r="H343" i="7"/>
  <c r="F343" i="7"/>
  <c r="H335" i="7"/>
  <c r="F335" i="7"/>
  <c r="H327" i="7"/>
  <c r="F327" i="7"/>
  <c r="H319" i="7"/>
  <c r="F319" i="7"/>
  <c r="H311" i="7"/>
  <c r="F311" i="7"/>
  <c r="H303" i="7"/>
  <c r="F303" i="7"/>
  <c r="H295" i="7"/>
  <c r="F295" i="7"/>
  <c r="H287" i="7"/>
  <c r="F287" i="7"/>
  <c r="H279" i="7"/>
  <c r="F279" i="7"/>
  <c r="H271" i="7"/>
  <c r="F271" i="7"/>
  <c r="H263" i="7"/>
  <c r="F263" i="7"/>
  <c r="H255" i="7"/>
  <c r="F255" i="7"/>
  <c r="H248" i="7"/>
  <c r="F248" i="7"/>
  <c r="H240" i="7"/>
  <c r="F240" i="7"/>
  <c r="H233" i="7"/>
  <c r="F233" i="7"/>
  <c r="H225" i="7"/>
  <c r="F225" i="7"/>
  <c r="H217" i="7"/>
  <c r="F217" i="7"/>
  <c r="H19" i="7"/>
  <c r="F19" i="7"/>
  <c r="H211" i="7"/>
  <c r="F211" i="7"/>
  <c r="H203" i="7"/>
  <c r="F203" i="7"/>
  <c r="H195" i="7"/>
  <c r="F195" i="7"/>
  <c r="H187" i="7"/>
  <c r="F187" i="7"/>
  <c r="H179" i="7"/>
  <c r="F179" i="7"/>
  <c r="H171" i="7"/>
  <c r="F171" i="7"/>
  <c r="H163" i="7"/>
  <c r="F163" i="7"/>
  <c r="H155" i="7"/>
  <c r="F155" i="7"/>
  <c r="H147" i="7"/>
  <c r="F147" i="7"/>
  <c r="H139" i="7"/>
  <c r="F139" i="7"/>
  <c r="H131" i="7"/>
  <c r="F131" i="7"/>
  <c r="H123" i="7"/>
  <c r="F123" i="7"/>
  <c r="H115" i="7"/>
  <c r="F115" i="7"/>
  <c r="H107" i="7"/>
  <c r="F107" i="7"/>
  <c r="H99" i="7"/>
  <c r="F99" i="7"/>
  <c r="H91" i="7"/>
  <c r="F91" i="7"/>
  <c r="H83" i="7"/>
  <c r="F83" i="7"/>
  <c r="H75" i="7"/>
  <c r="F75" i="7"/>
  <c r="H67" i="7"/>
  <c r="F67" i="7"/>
  <c r="H59" i="7"/>
  <c r="F59" i="7"/>
  <c r="H51" i="7"/>
  <c r="F51" i="7"/>
  <c r="H43" i="7"/>
  <c r="F43" i="7"/>
  <c r="H35" i="7"/>
  <c r="F35" i="7"/>
  <c r="H24" i="7"/>
  <c r="F24" i="7"/>
  <c r="H29" i="7"/>
  <c r="F29" i="7"/>
  <c r="H13" i="7"/>
  <c r="F13" i="7"/>
  <c r="H208" i="7"/>
  <c r="F208" i="7"/>
  <c r="H200" i="7"/>
  <c r="F200" i="7"/>
  <c r="H192" i="7"/>
  <c r="F192" i="7"/>
  <c r="H184" i="7"/>
  <c r="F184" i="7"/>
  <c r="H176" i="7"/>
  <c r="F176" i="7"/>
  <c r="H168" i="7"/>
  <c r="F168" i="7"/>
  <c r="H160" i="7"/>
  <c r="F160" i="7"/>
  <c r="H152" i="7"/>
  <c r="F152" i="7"/>
  <c r="H144" i="7"/>
  <c r="F144" i="7"/>
  <c r="H136" i="7"/>
  <c r="F136" i="7"/>
  <c r="H128" i="7"/>
  <c r="F128" i="7"/>
  <c r="H120" i="7"/>
  <c r="F120" i="7"/>
  <c r="H112" i="7"/>
  <c r="F112" i="7"/>
  <c r="H104" i="7"/>
  <c r="F104" i="7"/>
  <c r="H96" i="7"/>
  <c r="F96" i="7"/>
  <c r="H88" i="7"/>
  <c r="F88" i="7"/>
  <c r="H80" i="7"/>
  <c r="F80" i="7"/>
  <c r="H72" i="7"/>
  <c r="F72" i="7"/>
  <c r="H64" i="7"/>
  <c r="F64" i="7"/>
  <c r="H56" i="7"/>
  <c r="F56" i="7"/>
  <c r="H48" i="7"/>
  <c r="F48" i="7"/>
  <c r="H40" i="7"/>
  <c r="F40" i="7"/>
  <c r="H32" i="7"/>
  <c r="F32" i="7"/>
  <c r="H18" i="7"/>
  <c r="F18" i="7"/>
  <c r="H30" i="7"/>
  <c r="F30" i="7"/>
  <c r="H14" i="7"/>
  <c r="F14" i="7"/>
  <c r="H938" i="7"/>
  <c r="F938" i="7"/>
  <c r="H914" i="7"/>
  <c r="F914" i="7"/>
  <c r="H1045" i="7"/>
  <c r="F1045" i="7"/>
  <c r="H1021" i="7"/>
  <c r="F1021" i="7"/>
  <c r="H997" i="7"/>
  <c r="F997" i="7"/>
  <c r="H973" i="7"/>
  <c r="F973" i="7"/>
  <c r="H965" i="7"/>
  <c r="F965" i="7"/>
  <c r="H941" i="7"/>
  <c r="F941" i="7"/>
  <c r="H917" i="7"/>
  <c r="F917" i="7"/>
  <c r="H1048" i="7"/>
  <c r="F1048" i="7"/>
  <c r="H1024" i="7"/>
  <c r="F1024" i="7"/>
  <c r="H1000" i="7"/>
  <c r="F1000" i="7"/>
  <c r="H984" i="7"/>
  <c r="F984" i="7"/>
  <c r="H952" i="7"/>
  <c r="F952" i="7"/>
  <c r="H664" i="7"/>
  <c r="F664" i="7"/>
  <c r="H640" i="7"/>
  <c r="F640" i="7"/>
  <c r="H570" i="7"/>
  <c r="F570" i="7"/>
  <c r="H538" i="7"/>
  <c r="F538" i="7"/>
  <c r="H514" i="7"/>
  <c r="F514" i="7"/>
  <c r="H482" i="7"/>
  <c r="F482" i="7"/>
  <c r="H458" i="7"/>
  <c r="F458" i="7"/>
  <c r="H434" i="7"/>
  <c r="F434" i="7"/>
  <c r="H418" i="7"/>
  <c r="F418" i="7"/>
  <c r="H394" i="7"/>
  <c r="F394" i="7"/>
  <c r="H370" i="7"/>
  <c r="F370" i="7"/>
  <c r="H346" i="7"/>
  <c r="F346" i="7"/>
  <c r="H322" i="7"/>
  <c r="F322" i="7"/>
  <c r="H306" i="7"/>
  <c r="F306" i="7"/>
  <c r="H282" i="7"/>
  <c r="F282" i="7"/>
  <c r="H904" i="7"/>
  <c r="F904" i="7"/>
  <c r="H880" i="7"/>
  <c r="F880" i="7"/>
  <c r="H848" i="7"/>
  <c r="F848" i="7"/>
  <c r="H824" i="7"/>
  <c r="F824" i="7"/>
  <c r="H800" i="7"/>
  <c r="F800" i="7"/>
  <c r="H776" i="7"/>
  <c r="F776" i="7"/>
  <c r="H752" i="7"/>
  <c r="F752" i="7"/>
  <c r="H728" i="7"/>
  <c r="F728" i="7"/>
  <c r="H704" i="7"/>
  <c r="F704" i="7"/>
  <c r="H680" i="7"/>
  <c r="F680" i="7"/>
  <c r="H655" i="7"/>
  <c r="F655" i="7"/>
  <c r="H623" i="7"/>
  <c r="F623" i="7"/>
  <c r="H272" i="7"/>
  <c r="F272" i="7"/>
  <c r="H893" i="7"/>
  <c r="F893" i="7"/>
  <c r="H869" i="7"/>
  <c r="F869" i="7"/>
  <c r="H853" i="7"/>
  <c r="F853" i="7"/>
  <c r="H829" i="7"/>
  <c r="F829" i="7"/>
  <c r="H805" i="7"/>
  <c r="F805" i="7"/>
  <c r="H773" i="7"/>
  <c r="F773" i="7"/>
  <c r="H757" i="7"/>
  <c r="F757" i="7"/>
  <c r="H733" i="7"/>
  <c r="F733" i="7"/>
  <c r="H717" i="7"/>
  <c r="F717" i="7"/>
  <c r="H693" i="7"/>
  <c r="F693" i="7"/>
  <c r="H669" i="7"/>
  <c r="F669" i="7"/>
  <c r="H618" i="7"/>
  <c r="F618" i="7"/>
  <c r="H252" i="7"/>
  <c r="F252" i="7"/>
  <c r="H597" i="7"/>
  <c r="F597" i="7"/>
  <c r="H573" i="7"/>
  <c r="F573" i="7"/>
  <c r="H549" i="7"/>
  <c r="F549" i="7"/>
  <c r="H533" i="7"/>
  <c r="F533" i="7"/>
  <c r="H517" i="7"/>
  <c r="F517" i="7"/>
  <c r="H493" i="7"/>
  <c r="F493" i="7"/>
  <c r="H469" i="7"/>
  <c r="F469" i="7"/>
  <c r="H445" i="7"/>
  <c r="F445" i="7"/>
  <c r="H421" i="7"/>
  <c r="F421" i="7"/>
  <c r="H397" i="7"/>
  <c r="F397" i="7"/>
  <c r="H365" i="7"/>
  <c r="F365" i="7"/>
  <c r="H341" i="7"/>
  <c r="F341" i="7"/>
  <c r="H317" i="7"/>
  <c r="F317" i="7"/>
  <c r="H293" i="7"/>
  <c r="F293" i="7"/>
  <c r="H277" i="7"/>
  <c r="F277" i="7"/>
  <c r="H261" i="7"/>
  <c r="F261" i="7"/>
  <c r="H223" i="7"/>
  <c r="F223" i="7"/>
  <c r="H209" i="7"/>
  <c r="F209" i="7"/>
  <c r="H185" i="7"/>
  <c r="F185" i="7"/>
  <c r="H161" i="7"/>
  <c r="F161" i="7"/>
  <c r="H137" i="7"/>
  <c r="F137" i="7"/>
  <c r="H105" i="7"/>
  <c r="F105" i="7"/>
  <c r="H81" i="7"/>
  <c r="F81" i="7"/>
  <c r="H65" i="7"/>
  <c r="F65" i="7"/>
  <c r="H41" i="7"/>
  <c r="F41" i="7"/>
  <c r="H25" i="7"/>
  <c r="F25" i="7"/>
  <c r="H190" i="7"/>
  <c r="F190" i="7"/>
  <c r="H174" i="7"/>
  <c r="F174" i="7"/>
  <c r="H150" i="7"/>
  <c r="F150" i="7"/>
  <c r="H126" i="7"/>
  <c r="F126" i="7"/>
  <c r="H118" i="7"/>
  <c r="F118" i="7"/>
  <c r="H94" i="7"/>
  <c r="F94" i="7"/>
  <c r="H86" i="7"/>
  <c r="F86" i="7"/>
  <c r="H78" i="7"/>
  <c r="F78" i="7"/>
  <c r="H70" i="7"/>
  <c r="F70" i="7"/>
  <c r="H62" i="7"/>
  <c r="F62" i="7"/>
  <c r="H54" i="7"/>
  <c r="F54" i="7"/>
  <c r="H1059" i="7"/>
  <c r="F1059" i="7"/>
  <c r="H1035" i="7"/>
  <c r="F1035" i="7"/>
  <c r="H1003" i="7"/>
  <c r="F1003" i="7"/>
  <c r="H971" i="7"/>
  <c r="F971" i="7"/>
  <c r="H955" i="7"/>
  <c r="F955" i="7"/>
  <c r="H939" i="7"/>
  <c r="F939" i="7"/>
  <c r="H931" i="7"/>
  <c r="F931" i="7"/>
  <c r="H923" i="7"/>
  <c r="F923" i="7"/>
  <c r="H915" i="7"/>
  <c r="F915" i="7"/>
  <c r="H1062" i="7"/>
  <c r="F1062" i="7"/>
  <c r="H1054" i="7"/>
  <c r="F1054" i="7"/>
  <c r="H1046" i="7"/>
  <c r="F1046" i="7"/>
  <c r="H1038" i="7"/>
  <c r="F1038" i="7"/>
  <c r="H1030" i="7"/>
  <c r="F1030" i="7"/>
  <c r="H1022" i="7"/>
  <c r="F1022" i="7"/>
  <c r="H1014" i="7"/>
  <c r="F1014" i="7"/>
  <c r="H1006" i="7"/>
  <c r="F1006" i="7"/>
  <c r="H998" i="7"/>
  <c r="F998" i="7"/>
  <c r="H990" i="7"/>
  <c r="F990" i="7"/>
  <c r="H982" i="7"/>
  <c r="F982" i="7"/>
  <c r="H974" i="7"/>
  <c r="F974" i="7"/>
  <c r="H966" i="7"/>
  <c r="F966" i="7"/>
  <c r="H958" i="7"/>
  <c r="F958" i="7"/>
  <c r="H950" i="7"/>
  <c r="F950" i="7"/>
  <c r="H942" i="7"/>
  <c r="F942" i="7"/>
  <c r="H901" i="7"/>
  <c r="F901" i="7"/>
  <c r="H662" i="7"/>
  <c r="F662" i="7"/>
  <c r="H654" i="7"/>
  <c r="F654" i="7"/>
  <c r="H646" i="7"/>
  <c r="F646" i="7"/>
  <c r="H638" i="7"/>
  <c r="F638" i="7"/>
  <c r="H592" i="7"/>
  <c r="F592" i="7"/>
  <c r="H584" i="7"/>
  <c r="F584" i="7"/>
  <c r="H576" i="7"/>
  <c r="F576" i="7"/>
  <c r="H568" i="7"/>
  <c r="F568" i="7"/>
  <c r="H560" i="7"/>
  <c r="F560" i="7"/>
  <c r="H552" i="7"/>
  <c r="F552" i="7"/>
  <c r="H544" i="7"/>
  <c r="F544" i="7"/>
  <c r="H536" i="7"/>
  <c r="F536" i="7"/>
  <c r="H528" i="7"/>
  <c r="F528" i="7"/>
  <c r="H520" i="7"/>
  <c r="F520" i="7"/>
  <c r="H512" i="7"/>
  <c r="F512" i="7"/>
  <c r="H504" i="7"/>
  <c r="F504" i="7"/>
  <c r="H496" i="7"/>
  <c r="F496" i="7"/>
  <c r="H488" i="7"/>
  <c r="F488" i="7"/>
  <c r="H480" i="7"/>
  <c r="F480" i="7"/>
  <c r="H472" i="7"/>
  <c r="F472" i="7"/>
  <c r="H464" i="7"/>
  <c r="F464" i="7"/>
  <c r="H456" i="7"/>
  <c r="F456" i="7"/>
  <c r="H448" i="7"/>
  <c r="F448" i="7"/>
  <c r="H440" i="7"/>
  <c r="F440" i="7"/>
  <c r="H432" i="7"/>
  <c r="F432" i="7"/>
  <c r="H424" i="7"/>
  <c r="F424" i="7"/>
  <c r="H416" i="7"/>
  <c r="F416" i="7"/>
  <c r="H408" i="7"/>
  <c r="F408" i="7"/>
  <c r="H400" i="7"/>
  <c r="F400" i="7"/>
  <c r="H392" i="7"/>
  <c r="F392" i="7"/>
  <c r="H384" i="7"/>
  <c r="F384" i="7"/>
  <c r="H376" i="7"/>
  <c r="F376" i="7"/>
  <c r="H368" i="7"/>
  <c r="F368" i="7"/>
  <c r="H360" i="7"/>
  <c r="F360" i="7"/>
  <c r="H352" i="7"/>
  <c r="F352" i="7"/>
  <c r="H344" i="7"/>
  <c r="F344" i="7"/>
  <c r="H336" i="7"/>
  <c r="F336" i="7"/>
  <c r="H328" i="7"/>
  <c r="F328" i="7"/>
  <c r="H320" i="7"/>
  <c r="F320" i="7"/>
  <c r="H312" i="7"/>
  <c r="F312" i="7"/>
  <c r="H304" i="7"/>
  <c r="F304" i="7"/>
  <c r="H296" i="7"/>
  <c r="F296" i="7"/>
  <c r="H288" i="7"/>
  <c r="F288" i="7"/>
  <c r="H280" i="7"/>
  <c r="F280" i="7"/>
  <c r="H266" i="7"/>
  <c r="F266" i="7"/>
  <c r="H218" i="7"/>
  <c r="F218" i="7"/>
  <c r="H902" i="7"/>
  <c r="F902" i="7"/>
  <c r="H894" i="7"/>
  <c r="F894" i="7"/>
  <c r="H886" i="7"/>
  <c r="F886" i="7"/>
  <c r="H878" i="7"/>
  <c r="F878" i="7"/>
  <c r="H870" i="7"/>
  <c r="F870" i="7"/>
  <c r="H862" i="7"/>
  <c r="F862" i="7"/>
  <c r="H854" i="7"/>
  <c r="F854" i="7"/>
  <c r="H846" i="7"/>
  <c r="F846" i="7"/>
  <c r="H838" i="7"/>
  <c r="F838" i="7"/>
  <c r="H830" i="7"/>
  <c r="F830" i="7"/>
  <c r="H822" i="7"/>
  <c r="F822" i="7"/>
  <c r="H814" i="7"/>
  <c r="F814" i="7"/>
  <c r="H806" i="7"/>
  <c r="F806" i="7"/>
  <c r="H798" i="7"/>
  <c r="F798" i="7"/>
  <c r="H790" i="7"/>
  <c r="F790" i="7"/>
  <c r="H782" i="7"/>
  <c r="F782" i="7"/>
  <c r="H774" i="7"/>
  <c r="F774" i="7"/>
  <c r="H766" i="7"/>
  <c r="F766" i="7"/>
  <c r="H758" i="7"/>
  <c r="F758" i="7"/>
  <c r="H750" i="7"/>
  <c r="F750" i="7"/>
  <c r="H742" i="7"/>
  <c r="F742" i="7"/>
  <c r="H734" i="7"/>
  <c r="F734" i="7"/>
  <c r="H726" i="7"/>
  <c r="F726" i="7"/>
  <c r="H718" i="7"/>
  <c r="F718" i="7"/>
  <c r="H710" i="7"/>
  <c r="F710" i="7"/>
  <c r="H702" i="7"/>
  <c r="F702" i="7"/>
  <c r="H694" i="7"/>
  <c r="F694" i="7"/>
  <c r="H686" i="7"/>
  <c r="F686" i="7"/>
  <c r="H678" i="7"/>
  <c r="F678" i="7"/>
  <c r="H670" i="7"/>
  <c r="F670" i="7"/>
  <c r="H661" i="7"/>
  <c r="F661" i="7"/>
  <c r="H653" i="7"/>
  <c r="F653" i="7"/>
  <c r="H645" i="7"/>
  <c r="F645" i="7"/>
  <c r="H637" i="7"/>
  <c r="F637" i="7"/>
  <c r="H629" i="7"/>
  <c r="F629" i="7"/>
  <c r="H621" i="7"/>
  <c r="F621" i="7"/>
  <c r="H613" i="7"/>
  <c r="F613" i="7"/>
  <c r="H605" i="7"/>
  <c r="F605" i="7"/>
  <c r="H264" i="7"/>
  <c r="F264" i="7"/>
  <c r="H216" i="7"/>
  <c r="F216" i="7"/>
  <c r="H230" i="7"/>
  <c r="F230" i="7"/>
  <c r="H891" i="7"/>
  <c r="F891" i="7"/>
  <c r="H883" i="7"/>
  <c r="F883" i="7"/>
  <c r="H875" i="7"/>
  <c r="F875" i="7"/>
  <c r="H867" i="7"/>
  <c r="F867" i="7"/>
  <c r="H859" i="7"/>
  <c r="F859" i="7"/>
  <c r="H851" i="7"/>
  <c r="F851" i="7"/>
  <c r="H843" i="7"/>
  <c r="F843" i="7"/>
  <c r="H835" i="7"/>
  <c r="F835" i="7"/>
  <c r="H827" i="7"/>
  <c r="F827" i="7"/>
  <c r="H819" i="7"/>
  <c r="F819" i="7"/>
  <c r="H811" i="7"/>
  <c r="F811" i="7"/>
  <c r="H803" i="7"/>
  <c r="F803" i="7"/>
  <c r="H795" i="7"/>
  <c r="F795" i="7"/>
  <c r="H787" i="7"/>
  <c r="F787" i="7"/>
  <c r="H779" i="7"/>
  <c r="F779" i="7"/>
  <c r="H771" i="7"/>
  <c r="F771" i="7"/>
  <c r="H763" i="7"/>
  <c r="F763" i="7"/>
  <c r="H755" i="7"/>
  <c r="F755" i="7"/>
  <c r="H747" i="7"/>
  <c r="F747" i="7"/>
  <c r="H739" i="7"/>
  <c r="F739" i="7"/>
  <c r="H731" i="7"/>
  <c r="F731" i="7"/>
  <c r="H723" i="7"/>
  <c r="F723" i="7"/>
  <c r="H715" i="7"/>
  <c r="F715" i="7"/>
  <c r="H707" i="7"/>
  <c r="F707" i="7"/>
  <c r="H699" i="7"/>
  <c r="F699" i="7"/>
  <c r="H691" i="7"/>
  <c r="F691" i="7"/>
  <c r="H683" i="7"/>
  <c r="F683" i="7"/>
  <c r="H675" i="7"/>
  <c r="F675" i="7"/>
  <c r="H667" i="7"/>
  <c r="F667" i="7"/>
  <c r="H632" i="7"/>
  <c r="F632" i="7"/>
  <c r="H624" i="7"/>
  <c r="F624" i="7"/>
  <c r="H616" i="7"/>
  <c r="F616" i="7"/>
  <c r="H608" i="7"/>
  <c r="F608" i="7"/>
  <c r="H600" i="7"/>
  <c r="F600" i="7"/>
  <c r="H228" i="7"/>
  <c r="F228" i="7"/>
  <c r="H245" i="7"/>
  <c r="F245" i="7"/>
  <c r="H237" i="7"/>
  <c r="F237" i="7"/>
  <c r="H595" i="7"/>
  <c r="F595" i="7"/>
  <c r="H587" i="7"/>
  <c r="F587" i="7"/>
  <c r="H579" i="7"/>
  <c r="F579" i="7"/>
  <c r="H571" i="7"/>
  <c r="F571" i="7"/>
  <c r="H563" i="7"/>
  <c r="F563" i="7"/>
  <c r="H555" i="7"/>
  <c r="F555" i="7"/>
  <c r="H547" i="7"/>
  <c r="F547" i="7"/>
  <c r="H539" i="7"/>
  <c r="F539" i="7"/>
  <c r="H531" i="7"/>
  <c r="F531" i="7"/>
  <c r="H523" i="7"/>
  <c r="F523" i="7"/>
  <c r="H515" i="7"/>
  <c r="F515" i="7"/>
  <c r="H507" i="7"/>
  <c r="F507" i="7"/>
  <c r="H499" i="7"/>
  <c r="F499" i="7"/>
  <c r="H491" i="7"/>
  <c r="F491" i="7"/>
  <c r="H483" i="7"/>
  <c r="F483" i="7"/>
  <c r="H475" i="7"/>
  <c r="F475" i="7"/>
  <c r="H467" i="7"/>
  <c r="F467" i="7"/>
  <c r="H459" i="7"/>
  <c r="F459" i="7"/>
  <c r="H451" i="7"/>
  <c r="F451" i="7"/>
  <c r="H443" i="7"/>
  <c r="F443" i="7"/>
  <c r="H435" i="7"/>
  <c r="F435" i="7"/>
  <c r="H427" i="7"/>
  <c r="F427" i="7"/>
  <c r="H419" i="7"/>
  <c r="F419" i="7"/>
  <c r="H411" i="7"/>
  <c r="F411" i="7"/>
  <c r="H403" i="7"/>
  <c r="F403" i="7"/>
  <c r="H395" i="7"/>
  <c r="F395" i="7"/>
  <c r="H387" i="7"/>
  <c r="F387" i="7"/>
  <c r="H379" i="7"/>
  <c r="F379" i="7"/>
  <c r="H371" i="7"/>
  <c r="F371" i="7"/>
  <c r="H363" i="7"/>
  <c r="F363" i="7"/>
  <c r="H355" i="7"/>
  <c r="F355" i="7"/>
  <c r="H347" i="7"/>
  <c r="F347" i="7"/>
  <c r="H339" i="7"/>
  <c r="F339" i="7"/>
  <c r="H331" i="7"/>
  <c r="F331" i="7"/>
  <c r="H323" i="7"/>
  <c r="F323" i="7"/>
  <c r="H315" i="7"/>
  <c r="F315" i="7"/>
  <c r="H307" i="7"/>
  <c r="F307" i="7"/>
  <c r="H299" i="7"/>
  <c r="F299" i="7"/>
  <c r="H291" i="7"/>
  <c r="F291" i="7"/>
  <c r="H283" i="7"/>
  <c r="F283" i="7"/>
  <c r="H275" i="7"/>
  <c r="F275" i="7"/>
  <c r="H267" i="7"/>
  <c r="F267" i="7"/>
  <c r="H259" i="7"/>
  <c r="F259" i="7"/>
  <c r="H251" i="7"/>
  <c r="F251" i="7"/>
  <c r="H244" i="7"/>
  <c r="F244" i="7"/>
  <c r="H236" i="7"/>
  <c r="F236" i="7"/>
  <c r="H229" i="7"/>
  <c r="F229" i="7"/>
  <c r="H221" i="7"/>
  <c r="F221" i="7"/>
  <c r="H27" i="7"/>
  <c r="F27" i="7"/>
  <c r="H11" i="7"/>
  <c r="F11" i="7"/>
  <c r="H207" i="7"/>
  <c r="F207" i="7"/>
  <c r="H199" i="7"/>
  <c r="F199" i="7"/>
  <c r="H191" i="7"/>
  <c r="F191" i="7"/>
  <c r="H183" i="7"/>
  <c r="F183" i="7"/>
  <c r="H175" i="7"/>
  <c r="F175" i="7"/>
  <c r="H167" i="7"/>
  <c r="F167" i="7"/>
  <c r="H159" i="7"/>
  <c r="F159" i="7"/>
  <c r="H151" i="7"/>
  <c r="F151" i="7"/>
  <c r="H143" i="7"/>
  <c r="F143" i="7"/>
  <c r="H135" i="7"/>
  <c r="F135" i="7"/>
  <c r="H127" i="7"/>
  <c r="F127" i="7"/>
  <c r="H119" i="7"/>
  <c r="F119" i="7"/>
  <c r="H111" i="7"/>
  <c r="F111" i="7"/>
  <c r="H103" i="7"/>
  <c r="F103" i="7"/>
  <c r="H95" i="7"/>
  <c r="F95" i="7"/>
  <c r="H87" i="7"/>
  <c r="F87" i="7"/>
  <c r="H79" i="7"/>
  <c r="F79" i="7"/>
  <c r="H71" i="7"/>
  <c r="F71" i="7"/>
  <c r="H63" i="7"/>
  <c r="F63" i="7"/>
  <c r="H55" i="7"/>
  <c r="F55" i="7"/>
  <c r="H47" i="7"/>
  <c r="F47" i="7"/>
  <c r="H39" i="7"/>
  <c r="F39" i="7"/>
  <c r="H31" i="7"/>
  <c r="F31" i="7"/>
  <c r="H16" i="7"/>
  <c r="F16" i="7"/>
  <c r="H21" i="7"/>
  <c r="F21" i="7"/>
  <c r="H212" i="7"/>
  <c r="F212" i="7"/>
  <c r="H204" i="7"/>
  <c r="F204" i="7"/>
  <c r="H196" i="7"/>
  <c r="F196" i="7"/>
  <c r="H188" i="7"/>
  <c r="F188" i="7"/>
  <c r="H180" i="7"/>
  <c r="F180" i="7"/>
  <c r="H172" i="7"/>
  <c r="F172" i="7"/>
  <c r="H164" i="7"/>
  <c r="F164" i="7"/>
  <c r="H156" i="7"/>
  <c r="F156" i="7"/>
  <c r="H148" i="7"/>
  <c r="F148" i="7"/>
  <c r="H140" i="7"/>
  <c r="F140" i="7"/>
  <c r="H132" i="7"/>
  <c r="F132" i="7"/>
  <c r="H124" i="7"/>
  <c r="F124" i="7"/>
  <c r="H116" i="7"/>
  <c r="F116" i="7"/>
  <c r="H108" i="7"/>
  <c r="F108" i="7"/>
  <c r="H100" i="7"/>
  <c r="F100" i="7"/>
  <c r="H92" i="7"/>
  <c r="F92" i="7"/>
  <c r="H84" i="7"/>
  <c r="F84" i="7"/>
  <c r="H76" i="7"/>
  <c r="F76" i="7"/>
  <c r="H68" i="7"/>
  <c r="F68" i="7"/>
  <c r="H60" i="7"/>
  <c r="F60" i="7"/>
  <c r="H52" i="7"/>
  <c r="F52" i="7"/>
  <c r="H44" i="7"/>
  <c r="F44" i="7"/>
  <c r="H36" i="7"/>
  <c r="F36" i="7"/>
  <c r="H26" i="7"/>
  <c r="F26" i="7"/>
  <c r="H922" i="7"/>
  <c r="F922" i="7"/>
  <c r="H1053" i="7"/>
  <c r="F1053" i="7"/>
  <c r="H1029" i="7"/>
  <c r="F1029" i="7"/>
  <c r="H1005" i="7"/>
  <c r="F1005" i="7"/>
  <c r="H981" i="7"/>
  <c r="F981" i="7"/>
  <c r="H957" i="7"/>
  <c r="F957" i="7"/>
  <c r="H933" i="7"/>
  <c r="F933" i="7"/>
  <c r="H909" i="7"/>
  <c r="F909" i="7"/>
  <c r="H1032" i="7"/>
  <c r="F1032" i="7"/>
  <c r="H1008" i="7"/>
  <c r="F1008" i="7"/>
  <c r="H968" i="7"/>
  <c r="F968" i="7"/>
  <c r="H944" i="7"/>
  <c r="F944" i="7"/>
  <c r="H656" i="7"/>
  <c r="F656" i="7"/>
  <c r="H594" i="7"/>
  <c r="F594" i="7"/>
  <c r="H578" i="7"/>
  <c r="F578" i="7"/>
  <c r="H562" i="7"/>
  <c r="F562" i="7"/>
  <c r="H546" i="7"/>
  <c r="F546" i="7"/>
  <c r="H522" i="7"/>
  <c r="F522" i="7"/>
  <c r="H498" i="7"/>
  <c r="F498" i="7"/>
  <c r="H474" i="7"/>
  <c r="F474" i="7"/>
  <c r="H450" i="7"/>
  <c r="F450" i="7"/>
  <c r="H410" i="7"/>
  <c r="F410" i="7"/>
  <c r="H386" i="7"/>
  <c r="F386" i="7"/>
  <c r="H362" i="7"/>
  <c r="F362" i="7"/>
  <c r="H330" i="7"/>
  <c r="F330" i="7"/>
  <c r="H298" i="7"/>
  <c r="F298" i="7"/>
  <c r="H274" i="7"/>
  <c r="F274" i="7"/>
  <c r="H896" i="7"/>
  <c r="F896" i="7"/>
  <c r="H864" i="7"/>
  <c r="F864" i="7"/>
  <c r="H840" i="7"/>
  <c r="F840" i="7"/>
  <c r="H816" i="7"/>
  <c r="F816" i="7"/>
  <c r="H792" i="7"/>
  <c r="F792" i="7"/>
  <c r="H768" i="7"/>
  <c r="F768" i="7"/>
  <c r="H744" i="7"/>
  <c r="F744" i="7"/>
  <c r="H720" i="7"/>
  <c r="F720" i="7"/>
  <c r="H696" i="7"/>
  <c r="F696" i="7"/>
  <c r="H672" i="7"/>
  <c r="F672" i="7"/>
  <c r="H647" i="7"/>
  <c r="F647" i="7"/>
  <c r="H631" i="7"/>
  <c r="F631" i="7"/>
  <c r="H607" i="7"/>
  <c r="F607" i="7"/>
  <c r="H254" i="7"/>
  <c r="F254" i="7"/>
  <c r="H877" i="7"/>
  <c r="F877" i="7"/>
  <c r="H845" i="7"/>
  <c r="F845" i="7"/>
  <c r="H821" i="7"/>
  <c r="F821" i="7"/>
  <c r="H797" i="7"/>
  <c r="F797" i="7"/>
  <c r="H781" i="7"/>
  <c r="F781" i="7"/>
  <c r="H765" i="7"/>
  <c r="F765" i="7"/>
  <c r="H741" i="7"/>
  <c r="F741" i="7"/>
  <c r="H709" i="7"/>
  <c r="F709" i="7"/>
  <c r="H685" i="7"/>
  <c r="F685" i="7"/>
  <c r="H634" i="7"/>
  <c r="F634" i="7"/>
  <c r="H610" i="7"/>
  <c r="F610" i="7"/>
  <c r="H247" i="7"/>
  <c r="F247" i="7"/>
  <c r="H589" i="7"/>
  <c r="F589" i="7"/>
  <c r="H565" i="7"/>
  <c r="F565" i="7"/>
  <c r="H541" i="7"/>
  <c r="F541" i="7"/>
  <c r="H509" i="7"/>
  <c r="F509" i="7"/>
  <c r="H485" i="7"/>
  <c r="F485" i="7"/>
  <c r="H461" i="7"/>
  <c r="F461" i="7"/>
  <c r="H437" i="7"/>
  <c r="F437" i="7"/>
  <c r="H413" i="7"/>
  <c r="F413" i="7"/>
  <c r="H389" i="7"/>
  <c r="F389" i="7"/>
  <c r="H373" i="7"/>
  <c r="F373" i="7"/>
  <c r="H349" i="7"/>
  <c r="F349" i="7"/>
  <c r="H333" i="7"/>
  <c r="F333" i="7"/>
  <c r="H309" i="7"/>
  <c r="F309" i="7"/>
  <c r="H285" i="7"/>
  <c r="F285" i="7"/>
  <c r="H253" i="7"/>
  <c r="F253" i="7"/>
  <c r="H238" i="7"/>
  <c r="F238" i="7"/>
  <c r="H215" i="7"/>
  <c r="F215" i="7"/>
  <c r="H201" i="7"/>
  <c r="F201" i="7"/>
  <c r="H177" i="7"/>
  <c r="F177" i="7"/>
  <c r="H153" i="7"/>
  <c r="F153" i="7"/>
  <c r="H129" i="7"/>
  <c r="F129" i="7"/>
  <c r="H113" i="7"/>
  <c r="F113" i="7"/>
  <c r="H89" i="7"/>
  <c r="F89" i="7"/>
  <c r="H57" i="7"/>
  <c r="F57" i="7"/>
  <c r="H20" i="7"/>
  <c r="F20" i="7"/>
  <c r="H206" i="7"/>
  <c r="F206" i="7"/>
  <c r="H182" i="7"/>
  <c r="F182" i="7"/>
  <c r="H166" i="7"/>
  <c r="F166" i="7"/>
  <c r="H142" i="7"/>
  <c r="F142" i="7"/>
  <c r="H102" i="7"/>
  <c r="F102" i="7"/>
  <c r="H46" i="7"/>
  <c r="F46" i="7"/>
  <c r="H928" i="7"/>
  <c r="F928" i="7"/>
  <c r="H912" i="7"/>
  <c r="F912" i="7"/>
  <c r="H1043" i="7"/>
  <c r="F1043" i="7"/>
  <c r="H1019" i="7"/>
  <c r="F1019" i="7"/>
  <c r="H995" i="7"/>
  <c r="F995" i="7"/>
  <c r="H963" i="7"/>
  <c r="F963" i="7"/>
  <c r="H934" i="7"/>
  <c r="F934" i="7"/>
  <c r="H926" i="7"/>
  <c r="F926" i="7"/>
  <c r="H918" i="7"/>
  <c r="F918" i="7"/>
  <c r="H910" i="7"/>
  <c r="F910" i="7"/>
  <c r="H1057" i="7"/>
  <c r="F1057" i="7"/>
  <c r="H1049" i="7"/>
  <c r="F1049" i="7"/>
  <c r="H1041" i="7"/>
  <c r="F1041" i="7"/>
  <c r="H1033" i="7"/>
  <c r="F1033" i="7"/>
  <c r="H1025" i="7"/>
  <c r="F1025" i="7"/>
  <c r="H1017" i="7"/>
  <c r="F1017" i="7"/>
  <c r="H1009" i="7"/>
  <c r="F1009" i="7"/>
  <c r="H1001" i="7"/>
  <c r="F1001" i="7"/>
  <c r="H993" i="7"/>
  <c r="F993" i="7"/>
  <c r="H985" i="7"/>
  <c r="F985" i="7"/>
  <c r="H977" i="7"/>
  <c r="F977" i="7"/>
  <c r="H969" i="7"/>
  <c r="F969" i="7"/>
  <c r="H961" i="7"/>
  <c r="F961" i="7"/>
  <c r="H953" i="7"/>
  <c r="F953" i="7"/>
  <c r="H945" i="7"/>
  <c r="F945" i="7"/>
  <c r="H937" i="7"/>
  <c r="F937" i="7"/>
  <c r="H929" i="7"/>
  <c r="F929" i="7"/>
  <c r="H921" i="7"/>
  <c r="F921" i="7"/>
  <c r="H913" i="7"/>
  <c r="F913" i="7"/>
  <c r="H1060" i="7"/>
  <c r="F1060" i="7"/>
  <c r="H1052" i="7"/>
  <c r="F1052" i="7"/>
  <c r="H1044" i="7"/>
  <c r="F1044" i="7"/>
  <c r="H1036" i="7"/>
  <c r="F1036" i="7"/>
  <c r="H1028" i="7"/>
  <c r="F1028" i="7"/>
  <c r="H1020" i="7"/>
  <c r="F1020" i="7"/>
  <c r="H1012" i="7"/>
  <c r="F1012" i="7"/>
  <c r="H1004" i="7"/>
  <c r="F1004" i="7"/>
  <c r="H996" i="7"/>
  <c r="F996" i="7"/>
  <c r="H988" i="7"/>
  <c r="F988" i="7"/>
  <c r="H980" i="7"/>
  <c r="F980" i="7"/>
  <c r="H972" i="7"/>
  <c r="F972" i="7"/>
  <c r="H964" i="7"/>
  <c r="F964" i="7"/>
  <c r="H956" i="7"/>
  <c r="F956" i="7"/>
  <c r="H948" i="7"/>
  <c r="F948" i="7"/>
  <c r="H907" i="7"/>
  <c r="F907" i="7"/>
  <c r="H899" i="7"/>
  <c r="F899" i="7"/>
  <c r="H660" i="7"/>
  <c r="F660" i="7"/>
  <c r="H652" i="7"/>
  <c r="F652" i="7"/>
  <c r="H644" i="7"/>
  <c r="F644" i="7"/>
  <c r="H598" i="7"/>
  <c r="F598" i="7"/>
  <c r="H590" i="7"/>
  <c r="F590" i="7"/>
  <c r="H582" i="7"/>
  <c r="F582" i="7"/>
  <c r="H574" i="7"/>
  <c r="F574" i="7"/>
  <c r="H566" i="7"/>
  <c r="F566" i="7"/>
  <c r="H558" i="7"/>
  <c r="F558" i="7"/>
  <c r="H550" i="7"/>
  <c r="F550" i="7"/>
  <c r="H542" i="7"/>
  <c r="F542" i="7"/>
  <c r="H534" i="7"/>
  <c r="F534" i="7"/>
  <c r="H526" i="7"/>
  <c r="F526" i="7"/>
  <c r="H518" i="7"/>
  <c r="F518" i="7"/>
  <c r="H510" i="7"/>
  <c r="F510" i="7"/>
  <c r="H502" i="7"/>
  <c r="F502" i="7"/>
  <c r="H494" i="7"/>
  <c r="F494" i="7"/>
  <c r="H486" i="7"/>
  <c r="F486" i="7"/>
  <c r="H478" i="7"/>
  <c r="F478" i="7"/>
  <c r="H470" i="7"/>
  <c r="F470" i="7"/>
  <c r="H462" i="7"/>
  <c r="F462" i="7"/>
  <c r="H454" i="7"/>
  <c r="F454" i="7"/>
  <c r="H446" i="7"/>
  <c r="F446" i="7"/>
  <c r="H438" i="7"/>
  <c r="F438" i="7"/>
  <c r="H430" i="7"/>
  <c r="F430" i="7"/>
  <c r="H422" i="7"/>
  <c r="F422" i="7"/>
  <c r="H414" i="7"/>
  <c r="F414" i="7"/>
  <c r="H406" i="7"/>
  <c r="F406" i="7"/>
  <c r="H398" i="7"/>
  <c r="F398" i="7"/>
  <c r="H390" i="7"/>
  <c r="F390" i="7"/>
  <c r="H382" i="7"/>
  <c r="F382" i="7"/>
  <c r="H374" i="7"/>
  <c r="F374" i="7"/>
  <c r="H366" i="7"/>
  <c r="F366" i="7"/>
  <c r="H358" i="7"/>
  <c r="F358" i="7"/>
  <c r="H350" i="7"/>
  <c r="F350" i="7"/>
  <c r="H342" i="7"/>
  <c r="F342" i="7"/>
  <c r="H334" i="7"/>
  <c r="F334" i="7"/>
  <c r="H326" i="7"/>
  <c r="F326" i="7"/>
  <c r="H318" i="7"/>
  <c r="F318" i="7"/>
  <c r="H310" i="7"/>
  <c r="F310" i="7"/>
  <c r="H302" i="7"/>
  <c r="F302" i="7"/>
  <c r="H294" i="7"/>
  <c r="F294" i="7"/>
  <c r="H286" i="7"/>
  <c r="F286" i="7"/>
  <c r="H278" i="7"/>
  <c r="F278" i="7"/>
  <c r="H258" i="7"/>
  <c r="F258" i="7"/>
  <c r="H908" i="7"/>
  <c r="F908" i="7"/>
  <c r="H900" i="7"/>
  <c r="F900" i="7"/>
  <c r="H892" i="7"/>
  <c r="F892" i="7"/>
  <c r="H884" i="7"/>
  <c r="F884" i="7"/>
  <c r="H876" i="7"/>
  <c r="F876" i="7"/>
  <c r="H868" i="7"/>
  <c r="F868" i="7"/>
  <c r="H860" i="7"/>
  <c r="F860" i="7"/>
  <c r="H852" i="7"/>
  <c r="F852" i="7"/>
  <c r="H844" i="7"/>
  <c r="F844" i="7"/>
  <c r="H836" i="7"/>
  <c r="F836" i="7"/>
  <c r="H828" i="7"/>
  <c r="F828" i="7"/>
  <c r="H820" i="7"/>
  <c r="F820" i="7"/>
  <c r="H812" i="7"/>
  <c r="F812" i="7"/>
  <c r="H804" i="7"/>
  <c r="F804" i="7"/>
  <c r="H796" i="7"/>
  <c r="F796" i="7"/>
  <c r="H788" i="7"/>
  <c r="F788" i="7"/>
  <c r="H780" i="7"/>
  <c r="F780" i="7"/>
  <c r="H772" i="7"/>
  <c r="F772" i="7"/>
  <c r="H764" i="7"/>
  <c r="F764" i="7"/>
  <c r="H756" i="7"/>
  <c r="F756" i="7"/>
  <c r="H748" i="7"/>
  <c r="F748" i="7"/>
  <c r="H740" i="7"/>
  <c r="F740" i="7"/>
  <c r="H732" i="7"/>
  <c r="F732" i="7"/>
  <c r="H724" i="7"/>
  <c r="F724" i="7"/>
  <c r="H716" i="7"/>
  <c r="F716" i="7"/>
  <c r="H708" i="7"/>
  <c r="F708" i="7"/>
  <c r="H700" i="7"/>
  <c r="F700" i="7"/>
  <c r="H692" i="7"/>
  <c r="F692" i="7"/>
  <c r="H684" i="7"/>
  <c r="F684" i="7"/>
  <c r="H676" i="7"/>
  <c r="F676" i="7"/>
  <c r="H668" i="7"/>
  <c r="F668" i="7"/>
  <c r="H659" i="7"/>
  <c r="F659" i="7"/>
  <c r="H651" i="7"/>
  <c r="F651" i="7"/>
  <c r="H643" i="7"/>
  <c r="F643" i="7"/>
  <c r="H635" i="7"/>
  <c r="F635" i="7"/>
  <c r="H627" i="7"/>
  <c r="F627" i="7"/>
  <c r="H619" i="7"/>
  <c r="F619" i="7"/>
  <c r="H611" i="7"/>
  <c r="F611" i="7"/>
  <c r="H603" i="7"/>
  <c r="F603" i="7"/>
  <c r="H256" i="7"/>
  <c r="F256" i="7"/>
  <c r="H270" i="7"/>
  <c r="F270" i="7"/>
  <c r="H222" i="7"/>
  <c r="F222" i="7"/>
  <c r="H889" i="7"/>
  <c r="F889" i="7"/>
  <c r="H881" i="7"/>
  <c r="F881" i="7"/>
  <c r="H873" i="7"/>
  <c r="F873" i="7"/>
  <c r="H865" i="7"/>
  <c r="F865" i="7"/>
  <c r="H857" i="7"/>
  <c r="F857" i="7"/>
  <c r="H849" i="7"/>
  <c r="F849" i="7"/>
  <c r="H841" i="7"/>
  <c r="F841" i="7"/>
  <c r="H833" i="7"/>
  <c r="F833" i="7"/>
  <c r="H825" i="7"/>
  <c r="F825" i="7"/>
  <c r="H817" i="7"/>
  <c r="F817" i="7"/>
  <c r="H809" i="7"/>
  <c r="F809" i="7"/>
  <c r="H801" i="7"/>
  <c r="F801" i="7"/>
  <c r="H793" i="7"/>
  <c r="F793" i="7"/>
  <c r="H785" i="7"/>
  <c r="F785" i="7"/>
  <c r="H777" i="7"/>
  <c r="F777" i="7"/>
  <c r="H769" i="7"/>
  <c r="F769" i="7"/>
  <c r="H761" i="7"/>
  <c r="F761" i="7"/>
  <c r="H753" i="7"/>
  <c r="F753" i="7"/>
  <c r="H745" i="7"/>
  <c r="F745" i="7"/>
  <c r="H737" i="7"/>
  <c r="F737" i="7"/>
  <c r="H729" i="7"/>
  <c r="F729" i="7"/>
  <c r="H721" i="7"/>
  <c r="F721" i="7"/>
  <c r="H713" i="7"/>
  <c r="F713" i="7"/>
  <c r="H705" i="7"/>
  <c r="F705" i="7"/>
  <c r="H697" i="7"/>
  <c r="F697" i="7"/>
  <c r="H689" i="7"/>
  <c r="F689" i="7"/>
  <c r="H681" i="7"/>
  <c r="F681" i="7"/>
  <c r="H673" i="7"/>
  <c r="F673" i="7"/>
  <c r="H665" i="7"/>
  <c r="F665" i="7"/>
  <c r="H630" i="7"/>
  <c r="F630" i="7"/>
  <c r="H622" i="7"/>
  <c r="F622" i="7"/>
  <c r="H614" i="7"/>
  <c r="F614" i="7"/>
  <c r="H606" i="7"/>
  <c r="F606" i="7"/>
  <c r="H268" i="7"/>
  <c r="F268" i="7"/>
  <c r="H220" i="7"/>
  <c r="F220" i="7"/>
  <c r="H243" i="7"/>
  <c r="F243" i="7"/>
  <c r="H214" i="7"/>
  <c r="F214" i="7"/>
  <c r="H593" i="7"/>
  <c r="F593" i="7"/>
  <c r="H585" i="7"/>
  <c r="F585" i="7"/>
  <c r="H577" i="7"/>
  <c r="F577" i="7"/>
  <c r="H569" i="7"/>
  <c r="F569" i="7"/>
  <c r="H561" i="7"/>
  <c r="F561" i="7"/>
  <c r="H553" i="7"/>
  <c r="F553" i="7"/>
  <c r="H545" i="7"/>
  <c r="F545" i="7"/>
  <c r="H537" i="7"/>
  <c r="F537" i="7"/>
  <c r="H529" i="7"/>
  <c r="F529" i="7"/>
  <c r="H521" i="7"/>
  <c r="F521" i="7"/>
  <c r="H513" i="7"/>
  <c r="F513" i="7"/>
  <c r="H505" i="7"/>
  <c r="F505" i="7"/>
  <c r="H497" i="7"/>
  <c r="F497" i="7"/>
  <c r="H489" i="7"/>
  <c r="F489" i="7"/>
  <c r="H481" i="7"/>
  <c r="F481" i="7"/>
  <c r="H473" i="7"/>
  <c r="F473" i="7"/>
  <c r="H465" i="7"/>
  <c r="F465" i="7"/>
  <c r="H457" i="7"/>
  <c r="F457" i="7"/>
  <c r="H449" i="7"/>
  <c r="F449" i="7"/>
  <c r="H441" i="7"/>
  <c r="F441" i="7"/>
  <c r="H433" i="7"/>
  <c r="F433" i="7"/>
  <c r="H425" i="7"/>
  <c r="F425" i="7"/>
  <c r="H417" i="7"/>
  <c r="F417" i="7"/>
  <c r="H409" i="7"/>
  <c r="F409" i="7"/>
  <c r="H401" i="7"/>
  <c r="F401" i="7"/>
  <c r="H393" i="7"/>
  <c r="F393" i="7"/>
  <c r="H385" i="7"/>
  <c r="F385" i="7"/>
  <c r="H377" i="7"/>
  <c r="F377" i="7"/>
  <c r="H369" i="7"/>
  <c r="F369" i="7"/>
  <c r="H361" i="7"/>
  <c r="F361" i="7"/>
  <c r="H353" i="7"/>
  <c r="F353" i="7"/>
  <c r="H345" i="7"/>
  <c r="F345" i="7"/>
  <c r="H337" i="7"/>
  <c r="F337" i="7"/>
  <c r="H329" i="7"/>
  <c r="F329" i="7"/>
  <c r="H321" i="7"/>
  <c r="F321" i="7"/>
  <c r="H313" i="7"/>
  <c r="F313" i="7"/>
  <c r="H305" i="7"/>
  <c r="F305" i="7"/>
  <c r="H297" i="7"/>
  <c r="F297" i="7"/>
  <c r="H289" i="7"/>
  <c r="F289" i="7"/>
  <c r="H281" i="7"/>
  <c r="F281" i="7"/>
  <c r="H273" i="7"/>
  <c r="F273" i="7"/>
  <c r="H265" i="7"/>
  <c r="F265" i="7"/>
  <c r="H257" i="7"/>
  <c r="F257" i="7"/>
  <c r="H250" i="7"/>
  <c r="F250" i="7"/>
  <c r="H242" i="7"/>
  <c r="F242" i="7"/>
  <c r="H235" i="7"/>
  <c r="F235" i="7"/>
  <c r="H227" i="7"/>
  <c r="F227" i="7"/>
  <c r="H219" i="7"/>
  <c r="F219" i="7"/>
  <c r="H23" i="7"/>
  <c r="F23" i="7"/>
  <c r="H213" i="7"/>
  <c r="F213" i="7"/>
  <c r="H205" i="7"/>
  <c r="F205" i="7"/>
  <c r="H197" i="7"/>
  <c r="F197" i="7"/>
  <c r="H189" i="7"/>
  <c r="F189" i="7"/>
  <c r="H181" i="7"/>
  <c r="F181" i="7"/>
  <c r="H173" i="7"/>
  <c r="F173" i="7"/>
  <c r="H165" i="7"/>
  <c r="F165" i="7"/>
  <c r="H157" i="7"/>
  <c r="F157" i="7"/>
  <c r="H149" i="7"/>
  <c r="F149" i="7"/>
  <c r="H141" i="7"/>
  <c r="F141" i="7"/>
  <c r="H133" i="7"/>
  <c r="F133" i="7"/>
  <c r="H125" i="7"/>
  <c r="F125" i="7"/>
  <c r="H117" i="7"/>
  <c r="F117" i="7"/>
  <c r="H109" i="7"/>
  <c r="F109" i="7"/>
  <c r="H101" i="7"/>
  <c r="F101" i="7"/>
  <c r="H93" i="7"/>
  <c r="F93" i="7"/>
  <c r="H85" i="7"/>
  <c r="F85" i="7"/>
  <c r="H77" i="7"/>
  <c r="F77" i="7"/>
  <c r="H69" i="7"/>
  <c r="F69" i="7"/>
  <c r="H61" i="7"/>
  <c r="F61" i="7"/>
  <c r="H53" i="7"/>
  <c r="F53" i="7"/>
  <c r="H45" i="7"/>
  <c r="F45" i="7"/>
  <c r="H37" i="7"/>
  <c r="F37" i="7"/>
  <c r="H28" i="7"/>
  <c r="F28" i="7"/>
  <c r="H12" i="7"/>
  <c r="F12" i="7"/>
  <c r="H17" i="7"/>
  <c r="F17" i="7"/>
  <c r="H210" i="7"/>
  <c r="F210" i="7"/>
  <c r="H202" i="7"/>
  <c r="F202" i="7"/>
  <c r="H194" i="7"/>
  <c r="F194" i="7"/>
  <c r="H186" i="7"/>
  <c r="F186" i="7"/>
  <c r="H178" i="7"/>
  <c r="F178" i="7"/>
  <c r="H170" i="7"/>
  <c r="F170" i="7"/>
  <c r="H162" i="7"/>
  <c r="F162" i="7"/>
  <c r="H154" i="7"/>
  <c r="F154" i="7"/>
  <c r="H146" i="7"/>
  <c r="F146" i="7"/>
  <c r="H138" i="7"/>
  <c r="F138" i="7"/>
  <c r="H130" i="7"/>
  <c r="F130" i="7"/>
  <c r="H122" i="7"/>
  <c r="F122" i="7"/>
  <c r="H114" i="7"/>
  <c r="F114" i="7"/>
  <c r="H106" i="7"/>
  <c r="F106" i="7"/>
  <c r="H98" i="7"/>
  <c r="F98" i="7"/>
  <c r="H90" i="7"/>
  <c r="F90" i="7"/>
  <c r="H82" i="7"/>
  <c r="F82" i="7"/>
  <c r="H74" i="7"/>
  <c r="F74" i="7"/>
  <c r="H66" i="7"/>
  <c r="F66" i="7"/>
  <c r="H58" i="7"/>
  <c r="F58" i="7"/>
  <c r="H50" i="7"/>
  <c r="F50" i="7"/>
  <c r="H42" i="7"/>
  <c r="F42" i="7"/>
  <c r="H34" i="7"/>
  <c r="F34" i="7"/>
  <c r="H22" i="7"/>
  <c r="F22" i="7"/>
  <c r="J26" i="24"/>
  <c r="AH7" i="9"/>
  <c r="H72" i="4"/>
  <c r="C10" i="11"/>
  <c r="AF3" i="9"/>
  <c r="H97" i="19"/>
  <c r="H132" i="19"/>
  <c r="N26" i="24"/>
  <c r="C60" i="19"/>
  <c r="B61" i="19"/>
  <c r="F60" i="19"/>
  <c r="E60" i="19"/>
  <c r="D60" i="19"/>
  <c r="C27" i="24"/>
  <c r="I27" i="24"/>
  <c r="M27" i="24"/>
  <c r="E27" i="24"/>
  <c r="G27" i="24"/>
  <c r="K27" i="24"/>
  <c r="B28" i="24"/>
  <c r="O50" i="10"/>
  <c r="C26" i="10"/>
  <c r="F26" i="10"/>
  <c r="A27" i="10"/>
  <c r="D26" i="10"/>
  <c r="I26" i="10"/>
  <c r="E26" i="10"/>
  <c r="H26" i="10"/>
  <c r="J26" i="10"/>
  <c r="E58" i="19"/>
  <c r="E54" i="19"/>
  <c r="H84" i="19"/>
  <c r="H119" i="19"/>
  <c r="G97" i="19"/>
  <c r="G132" i="19"/>
  <c r="G107" i="19"/>
  <c r="G142" i="19"/>
  <c r="H91" i="19"/>
  <c r="H126" i="19"/>
  <c r="G81" i="19"/>
  <c r="G116" i="19"/>
  <c r="H90" i="19"/>
  <c r="H125" i="19"/>
  <c r="H96" i="19"/>
  <c r="H131" i="19"/>
  <c r="G84" i="19"/>
  <c r="G119" i="19"/>
  <c r="G96" i="19"/>
  <c r="G131" i="19"/>
  <c r="G82" i="19"/>
  <c r="G117" i="19"/>
  <c r="G103" i="19"/>
  <c r="G138" i="19"/>
  <c r="H82" i="19"/>
  <c r="H117" i="19"/>
  <c r="H81" i="19"/>
  <c r="H116" i="19"/>
  <c r="H99" i="19"/>
  <c r="H134" i="19"/>
  <c r="G105" i="19"/>
  <c r="G140" i="19"/>
  <c r="H85" i="19"/>
  <c r="H120" i="19"/>
  <c r="H107" i="19"/>
  <c r="H142" i="19"/>
  <c r="H89" i="19"/>
  <c r="H124" i="19"/>
  <c r="F107" i="19"/>
  <c r="F142" i="19"/>
  <c r="G85" i="19"/>
  <c r="G120" i="19"/>
  <c r="I120" i="19"/>
  <c r="I153" i="19"/>
  <c r="G92" i="19"/>
  <c r="G127" i="19"/>
  <c r="H106" i="19"/>
  <c r="H141" i="19"/>
  <c r="G99" i="19"/>
  <c r="G134" i="19"/>
  <c r="H86" i="19"/>
  <c r="H121" i="19"/>
  <c r="H87" i="19"/>
  <c r="H122" i="19"/>
  <c r="H88" i="19"/>
  <c r="H123" i="19"/>
  <c r="H100" i="19"/>
  <c r="H135" i="19"/>
  <c r="G95" i="19"/>
  <c r="G130" i="19"/>
  <c r="G94" i="19"/>
  <c r="G129" i="19"/>
  <c r="G86" i="19"/>
  <c r="G121" i="19"/>
  <c r="H102" i="19"/>
  <c r="H137" i="19"/>
  <c r="G89" i="19"/>
  <c r="G124" i="19"/>
  <c r="H95" i="19"/>
  <c r="H130" i="19"/>
  <c r="G98" i="19"/>
  <c r="G133" i="19"/>
  <c r="G101" i="19"/>
  <c r="G136" i="19"/>
  <c r="G93" i="19"/>
  <c r="G128" i="19"/>
  <c r="G83" i="19"/>
  <c r="G118" i="19"/>
  <c r="I139" i="19"/>
  <c r="I172" i="19"/>
  <c r="H92" i="19"/>
  <c r="H127" i="19"/>
  <c r="G90" i="19"/>
  <c r="G125" i="19"/>
  <c r="I125" i="19"/>
  <c r="I158" i="19"/>
  <c r="H93" i="19"/>
  <c r="H128" i="19"/>
  <c r="H101" i="19"/>
  <c r="H136" i="19"/>
  <c r="H83" i="19"/>
  <c r="H118" i="19"/>
  <c r="G87" i="19"/>
  <c r="G122" i="19"/>
  <c r="H94" i="19"/>
  <c r="H129" i="19"/>
  <c r="G106" i="19"/>
  <c r="G141" i="19"/>
  <c r="I141" i="19"/>
  <c r="I174" i="19"/>
  <c r="H105" i="19"/>
  <c r="H140" i="19"/>
  <c r="H98" i="19"/>
  <c r="H133" i="19"/>
  <c r="E92" i="19"/>
  <c r="E127" i="19"/>
  <c r="G91" i="19"/>
  <c r="G126" i="19"/>
  <c r="G102" i="19"/>
  <c r="G137" i="19"/>
  <c r="I137" i="19"/>
  <c r="I170" i="19"/>
  <c r="H103" i="19"/>
  <c r="H138" i="19"/>
  <c r="G100" i="19"/>
  <c r="G135" i="19"/>
  <c r="G88" i="19"/>
  <c r="G123" i="19"/>
  <c r="I123" i="19"/>
  <c r="I156" i="19"/>
  <c r="G443" i="9"/>
  <c r="K443" i="9"/>
  <c r="G865" i="9"/>
  <c r="K865" i="9"/>
  <c r="G332" i="9"/>
  <c r="K332" i="9"/>
  <c r="G1053" i="9"/>
  <c r="K1053" i="9"/>
  <c r="G1037" i="9"/>
  <c r="K1037" i="9"/>
  <c r="G556" i="9"/>
  <c r="K556" i="9"/>
  <c r="G832" i="9"/>
  <c r="K832" i="9"/>
  <c r="G742" i="9"/>
  <c r="K742" i="9"/>
  <c r="G329" i="9"/>
  <c r="K329" i="9"/>
  <c r="G664" i="9"/>
  <c r="K664" i="9"/>
  <c r="J65" i="4"/>
  <c r="G778" i="9"/>
  <c r="K778" i="9"/>
  <c r="G553" i="9"/>
  <c r="K553" i="9"/>
  <c r="G414" i="9"/>
  <c r="K414" i="9"/>
  <c r="G996" i="9"/>
  <c r="K996" i="9"/>
  <c r="G257" i="9"/>
  <c r="K257" i="9"/>
  <c r="G638" i="9"/>
  <c r="K638" i="9"/>
  <c r="G837" i="9"/>
  <c r="K837" i="9"/>
  <c r="G592" i="9"/>
  <c r="K592" i="9"/>
  <c r="G492" i="9"/>
  <c r="K492" i="9"/>
  <c r="G561" i="9"/>
  <c r="K561" i="9"/>
  <c r="G1063" i="9"/>
  <c r="K1063" i="9"/>
  <c r="G602" i="9"/>
  <c r="K602" i="9"/>
  <c r="G847" i="9"/>
  <c r="K847" i="9"/>
  <c r="G321" i="9"/>
  <c r="K321" i="9"/>
  <c r="G393" i="9"/>
  <c r="K393" i="9"/>
  <c r="G400" i="9"/>
  <c r="K400" i="9"/>
  <c r="G874" i="9"/>
  <c r="K874" i="9"/>
  <c r="G375" i="9"/>
  <c r="K375" i="9"/>
  <c r="G1032" i="9"/>
  <c r="K1032" i="9"/>
  <c r="G811" i="9"/>
  <c r="K811" i="9"/>
  <c r="G967" i="9"/>
  <c r="K967" i="9"/>
  <c r="G755" i="9"/>
  <c r="K755" i="9"/>
  <c r="G1030" i="9"/>
  <c r="K1030" i="9"/>
  <c r="G968" i="9"/>
  <c r="K968" i="9"/>
  <c r="G279" i="9"/>
  <c r="K279" i="9"/>
  <c r="G708" i="9"/>
  <c r="K708" i="9"/>
  <c r="G383" i="9"/>
  <c r="K383" i="9"/>
  <c r="G757" i="9"/>
  <c r="K757" i="9"/>
  <c r="G95" i="9"/>
  <c r="K95" i="9"/>
  <c r="G796" i="9"/>
  <c r="K796" i="9"/>
  <c r="G909" i="9"/>
  <c r="K909" i="9"/>
  <c r="G465" i="9"/>
  <c r="K465" i="9"/>
  <c r="G849" i="9"/>
  <c r="K849" i="9"/>
  <c r="G32" i="9"/>
  <c r="K32" i="9"/>
  <c r="G869" i="9"/>
  <c r="K869" i="9"/>
  <c r="G827" i="9"/>
  <c r="K827" i="9"/>
  <c r="G993" i="9"/>
  <c r="K993" i="9"/>
  <c r="G774" i="9"/>
  <c r="K774" i="9"/>
  <c r="G807" i="9"/>
  <c r="K807" i="9"/>
  <c r="G262" i="9"/>
  <c r="K262" i="9"/>
  <c r="G132" i="9"/>
  <c r="K132" i="9"/>
  <c r="G249" i="9"/>
  <c r="K249" i="9"/>
  <c r="G405" i="9"/>
  <c r="K405" i="9"/>
  <c r="G711" i="9"/>
  <c r="K711" i="9"/>
  <c r="G1031" i="9"/>
  <c r="K1031" i="9"/>
  <c r="G973" i="9"/>
  <c r="K973" i="9"/>
  <c r="G364" i="9"/>
  <c r="K364" i="9"/>
  <c r="G681" i="9"/>
  <c r="K681" i="9"/>
  <c r="G892" i="9"/>
  <c r="K892" i="9"/>
  <c r="G977" i="9"/>
  <c r="K977" i="9"/>
  <c r="G565" i="9"/>
  <c r="K565" i="9"/>
  <c r="G138" i="9"/>
  <c r="K138" i="9"/>
  <c r="G642" i="9"/>
  <c r="K642" i="9"/>
  <c r="G62" i="9"/>
  <c r="K62" i="9"/>
  <c r="G676" i="9"/>
  <c r="K676" i="9"/>
  <c r="G1022" i="9"/>
  <c r="K1022" i="9"/>
  <c r="G991" i="9"/>
  <c r="K991" i="9"/>
  <c r="G929" i="9"/>
  <c r="K929" i="9"/>
  <c r="G963" i="9"/>
  <c r="K963" i="9"/>
  <c r="G803" i="9"/>
  <c r="K803" i="9"/>
  <c r="G419" i="9"/>
  <c r="K419" i="9"/>
  <c r="G236" i="9"/>
  <c r="K236" i="9"/>
  <c r="G687" i="9"/>
  <c r="K687" i="9"/>
  <c r="G55" i="9"/>
  <c r="K55" i="9"/>
  <c r="G824" i="9"/>
  <c r="K824" i="9"/>
  <c r="G572" i="9"/>
  <c r="K572" i="9"/>
  <c r="G512" i="9"/>
  <c r="K512" i="9"/>
  <c r="G339" i="9"/>
  <c r="K339" i="9"/>
  <c r="G616" i="9"/>
  <c r="K616" i="9"/>
  <c r="G888" i="9"/>
  <c r="K888" i="9"/>
  <c r="G974" i="9"/>
  <c r="K974" i="9"/>
  <c r="G137" i="9"/>
  <c r="K137" i="9"/>
  <c r="G418" i="9"/>
  <c r="K418" i="9"/>
  <c r="G800" i="9"/>
  <c r="K800" i="9"/>
  <c r="G878" i="9"/>
  <c r="K878" i="9"/>
  <c r="G686" i="9"/>
  <c r="K686" i="9"/>
  <c r="G879" i="9"/>
  <c r="K879" i="9"/>
  <c r="G685" i="9"/>
  <c r="K685" i="9"/>
  <c r="G910" i="9"/>
  <c r="K910" i="9"/>
  <c r="G234" i="9"/>
  <c r="K234" i="9"/>
  <c r="G1052" i="9"/>
  <c r="K1052" i="9"/>
  <c r="G219" i="9"/>
  <c r="K219" i="9"/>
  <c r="G965" i="9"/>
  <c r="K965" i="9"/>
  <c r="G906" i="9"/>
  <c r="K906" i="9"/>
  <c r="G868" i="9"/>
  <c r="K868" i="9"/>
  <c r="G805" i="9"/>
  <c r="K805" i="9"/>
  <c r="G1028" i="9"/>
  <c r="K1028" i="9"/>
  <c r="G1059" i="9"/>
  <c r="K1059" i="9"/>
  <c r="G386" i="9"/>
  <c r="K386" i="9"/>
  <c r="G515" i="9"/>
  <c r="K515" i="9"/>
  <c r="G620" i="9"/>
  <c r="K620" i="9"/>
  <c r="G790" i="9"/>
  <c r="K790" i="9"/>
  <c r="G69" i="9"/>
  <c r="K69" i="9"/>
  <c r="G367" i="9"/>
  <c r="K367" i="9"/>
  <c r="G677" i="9"/>
  <c r="K677" i="9"/>
  <c r="G819" i="9"/>
  <c r="K819" i="9"/>
  <c r="G931" i="9"/>
  <c r="K931" i="9"/>
  <c r="G1062" i="9"/>
  <c r="K1062" i="9"/>
  <c r="G111" i="9"/>
  <c r="K111" i="9"/>
  <c r="G198" i="9"/>
  <c r="K198" i="9"/>
  <c r="G428" i="9"/>
  <c r="K428" i="9"/>
  <c r="G715" i="9"/>
  <c r="K715" i="9"/>
  <c r="G935" i="9"/>
  <c r="K935" i="9"/>
  <c r="G98" i="9"/>
  <c r="K98" i="9"/>
  <c r="G128" i="9"/>
  <c r="K128" i="9"/>
  <c r="G1054" i="9"/>
  <c r="K1054" i="9"/>
  <c r="G469" i="9"/>
  <c r="K469" i="9"/>
  <c r="G896" i="9"/>
  <c r="K896" i="9"/>
  <c r="G997" i="9"/>
  <c r="K997" i="9"/>
  <c r="G530" i="9"/>
  <c r="K530" i="9"/>
  <c r="G798" i="9"/>
  <c r="K798" i="9"/>
  <c r="G937" i="9"/>
  <c r="K937" i="9"/>
  <c r="G775" i="9"/>
  <c r="K775" i="9"/>
  <c r="G1057" i="9"/>
  <c r="K1057" i="9"/>
  <c r="G1006" i="9"/>
  <c r="K1006" i="9"/>
  <c r="G863" i="9"/>
  <c r="K863" i="9"/>
  <c r="G674" i="9"/>
  <c r="K674" i="9"/>
  <c r="G456" i="9"/>
  <c r="K456" i="9"/>
  <c r="G313" i="9"/>
  <c r="K313" i="9"/>
  <c r="G809" i="9"/>
  <c r="K809" i="9"/>
  <c r="G925" i="9"/>
  <c r="K925" i="9"/>
  <c r="G864" i="9"/>
  <c r="K864" i="9"/>
  <c r="G641" i="9"/>
  <c r="K641" i="9"/>
  <c r="G316" i="9"/>
  <c r="K316" i="9"/>
  <c r="G647" i="9"/>
  <c r="K647" i="9"/>
  <c r="G921" i="9"/>
  <c r="K921" i="9"/>
  <c r="G1013" i="9"/>
  <c r="K1013" i="9"/>
  <c r="G922" i="9"/>
  <c r="K922" i="9"/>
  <c r="G311" i="9"/>
  <c r="K311" i="9"/>
  <c r="G979" i="9"/>
  <c r="K979" i="9"/>
  <c r="G308" i="9"/>
  <c r="K308" i="9"/>
  <c r="G130" i="9"/>
  <c r="K130" i="9"/>
  <c r="G410" i="9"/>
  <c r="K410" i="9"/>
  <c r="G1002" i="9"/>
  <c r="K1002" i="9"/>
  <c r="G670" i="9"/>
  <c r="K670" i="9"/>
  <c r="G521" i="9"/>
  <c r="K521" i="9"/>
  <c r="G64" i="9"/>
  <c r="K64" i="9"/>
  <c r="G552" i="9"/>
  <c r="K552" i="9"/>
  <c r="G943" i="9"/>
  <c r="K943" i="9"/>
  <c r="G1000" i="9"/>
  <c r="K1000" i="9"/>
  <c r="G884" i="9"/>
  <c r="K884" i="9"/>
  <c r="G91" i="9"/>
  <c r="K91" i="9"/>
  <c r="G738" i="9"/>
  <c r="K738" i="9"/>
  <c r="G500" i="9"/>
  <c r="K500" i="9"/>
  <c r="G118" i="9"/>
  <c r="K118" i="9"/>
  <c r="G79" i="9"/>
  <c r="K79" i="9"/>
  <c r="G560" i="9"/>
  <c r="K560" i="9"/>
  <c r="G23" i="9"/>
  <c r="K23" i="9"/>
  <c r="G596" i="9"/>
  <c r="K596" i="9"/>
  <c r="G1040" i="9"/>
  <c r="K1040" i="9"/>
  <c r="G101" i="9"/>
  <c r="K101" i="9"/>
  <c r="G358" i="9"/>
  <c r="K358" i="9"/>
  <c r="G524" i="9"/>
  <c r="K524" i="9"/>
  <c r="G735" i="9"/>
  <c r="K735" i="9"/>
  <c r="G1012" i="9"/>
  <c r="K1012" i="9"/>
  <c r="G1050" i="9"/>
  <c r="K1050" i="9"/>
  <c r="G483" i="9"/>
  <c r="K483" i="9"/>
  <c r="G615" i="9"/>
  <c r="K615" i="9"/>
  <c r="G995" i="9"/>
  <c r="K995" i="9"/>
  <c r="G122" i="9"/>
  <c r="K122" i="9"/>
  <c r="G578" i="9"/>
  <c r="K578" i="9"/>
  <c r="G783" i="9"/>
  <c r="K783" i="9"/>
  <c r="G898" i="9"/>
  <c r="K898" i="9"/>
  <c r="G985" i="9"/>
  <c r="K985" i="9"/>
  <c r="G203" i="9"/>
  <c r="K203" i="9"/>
  <c r="G514" i="9"/>
  <c r="K514" i="9"/>
  <c r="G737" i="9"/>
  <c r="K737" i="9"/>
  <c r="G751" i="9"/>
  <c r="K751" i="9"/>
  <c r="G872" i="9"/>
  <c r="K872" i="9"/>
  <c r="G34" i="9"/>
  <c r="K34" i="9"/>
  <c r="G193" i="9"/>
  <c r="K193" i="9"/>
  <c r="G155" i="9"/>
  <c r="K155" i="9"/>
  <c r="G343" i="9"/>
  <c r="K343" i="9"/>
  <c r="G478" i="9"/>
  <c r="K478" i="9"/>
  <c r="G380" i="9"/>
  <c r="K380" i="9"/>
  <c r="G721" i="9"/>
  <c r="K721" i="9"/>
  <c r="G764" i="9"/>
  <c r="K764" i="9"/>
  <c r="G743" i="9"/>
  <c r="K743" i="9"/>
  <c r="G714" i="9"/>
  <c r="K714" i="9"/>
  <c r="G920" i="9"/>
  <c r="K920" i="9"/>
  <c r="G903" i="9"/>
  <c r="K903" i="9"/>
  <c r="G843" i="9"/>
  <c r="K843" i="9"/>
  <c r="G1042" i="9"/>
  <c r="K1042" i="9"/>
  <c r="G957" i="9"/>
  <c r="K957" i="9"/>
  <c r="G63" i="9"/>
  <c r="K63" i="9"/>
  <c r="G283" i="9"/>
  <c r="K283" i="9"/>
  <c r="G606" i="9"/>
  <c r="K606" i="9"/>
  <c r="G716" i="9"/>
  <c r="K716" i="9"/>
  <c r="G678" i="9"/>
  <c r="K678" i="9"/>
  <c r="G911" i="9"/>
  <c r="K911" i="9"/>
  <c r="G129" i="9"/>
  <c r="K129" i="9"/>
  <c r="G204" i="9"/>
  <c r="K204" i="9"/>
  <c r="G186" i="9"/>
  <c r="K186" i="9"/>
  <c r="G511" i="9"/>
  <c r="K511" i="9"/>
  <c r="G457" i="9"/>
  <c r="K457" i="9"/>
  <c r="G548" i="9"/>
  <c r="K548" i="9"/>
  <c r="G640" i="9"/>
  <c r="K640" i="9"/>
  <c r="G643" i="9"/>
  <c r="K643" i="9"/>
  <c r="G618" i="9"/>
  <c r="K618" i="9"/>
  <c r="G830" i="9"/>
  <c r="K830" i="9"/>
  <c r="G1024" i="9"/>
  <c r="K1024" i="9"/>
  <c r="G1007" i="9"/>
  <c r="K1007" i="9"/>
  <c r="G962" i="9"/>
  <c r="K962" i="9"/>
  <c r="G897" i="9"/>
  <c r="K897" i="9"/>
  <c r="G1025" i="9"/>
  <c r="K1025" i="9"/>
  <c r="G1009" i="9"/>
  <c r="K1009" i="9"/>
  <c r="G838" i="9"/>
  <c r="K838" i="9"/>
  <c r="G547" i="9"/>
  <c r="K547" i="9"/>
  <c r="G1001" i="9"/>
  <c r="K1001" i="9"/>
  <c r="G926" i="9"/>
  <c r="K926" i="9"/>
  <c r="G932" i="9"/>
  <c r="K932" i="9"/>
  <c r="G607" i="9"/>
  <c r="K607" i="9"/>
  <c r="G481" i="9"/>
  <c r="K481" i="9"/>
  <c r="G211" i="9"/>
  <c r="K211" i="9"/>
  <c r="G1061" i="9"/>
  <c r="K1061" i="9"/>
  <c r="G1014" i="9"/>
  <c r="K1014" i="9"/>
  <c r="G1048" i="9"/>
  <c r="K1048" i="9"/>
  <c r="G719" i="9"/>
  <c r="K719" i="9"/>
  <c r="G488" i="9"/>
  <c r="K488" i="9"/>
  <c r="G202" i="9"/>
  <c r="K202" i="9"/>
  <c r="G119" i="9"/>
  <c r="K119" i="9"/>
  <c r="G842" i="9"/>
  <c r="K842" i="9"/>
  <c r="G326" i="9"/>
  <c r="K326" i="9"/>
  <c r="G952" i="9"/>
  <c r="K952" i="9"/>
  <c r="G322" i="9"/>
  <c r="K322" i="9"/>
  <c r="G913" i="9"/>
  <c r="K913" i="9"/>
  <c r="G1035" i="9"/>
  <c r="K1035" i="9"/>
  <c r="G746" i="9"/>
  <c r="K746" i="9"/>
  <c r="G353" i="9"/>
  <c r="K353" i="9"/>
  <c r="G76" i="9"/>
  <c r="K76" i="9"/>
  <c r="G207" i="9"/>
  <c r="K207" i="9"/>
  <c r="G156" i="9"/>
  <c r="K156" i="9"/>
  <c r="G727" i="9"/>
  <c r="K727" i="9"/>
  <c r="G228" i="9"/>
  <c r="K228" i="9"/>
  <c r="G736" i="9"/>
  <c r="K736" i="9"/>
  <c r="G1015" i="9"/>
  <c r="K1015" i="9"/>
  <c r="G229" i="9"/>
  <c r="K229" i="9"/>
  <c r="G543" i="9"/>
  <c r="K543" i="9"/>
  <c r="G749" i="9"/>
  <c r="K749" i="9"/>
  <c r="G634" i="9"/>
  <c r="K634" i="9"/>
  <c r="G923" i="9"/>
  <c r="K923" i="9"/>
  <c r="G73" i="9"/>
  <c r="K73" i="9"/>
  <c r="G417" i="9"/>
  <c r="K417" i="9"/>
  <c r="G604" i="9"/>
  <c r="K604" i="9"/>
  <c r="G938" i="9"/>
  <c r="K938" i="9"/>
  <c r="G265" i="9"/>
  <c r="K265" i="9"/>
  <c r="G444" i="9"/>
  <c r="K444" i="9"/>
  <c r="G766" i="9"/>
  <c r="K766" i="9"/>
  <c r="G998" i="9"/>
  <c r="K998" i="9"/>
  <c r="G1049" i="9"/>
  <c r="K1049" i="9"/>
  <c r="G194" i="9"/>
  <c r="K194" i="9"/>
  <c r="G461" i="9"/>
  <c r="K461" i="9"/>
  <c r="G656" i="9"/>
  <c r="K656" i="9"/>
  <c r="G622" i="9"/>
  <c r="K622" i="9"/>
  <c r="G984" i="9"/>
  <c r="K984" i="9"/>
  <c r="G126" i="9"/>
  <c r="K126" i="9"/>
  <c r="G297" i="9"/>
  <c r="K297" i="9"/>
  <c r="G275" i="9"/>
  <c r="K275" i="9"/>
  <c r="G387" i="9"/>
  <c r="K387" i="9"/>
  <c r="G594" i="9"/>
  <c r="K594" i="9"/>
  <c r="G452" i="9"/>
  <c r="K452" i="9"/>
  <c r="G801" i="9"/>
  <c r="K801" i="9"/>
  <c r="G828" i="9"/>
  <c r="K828" i="9"/>
  <c r="G787" i="9"/>
  <c r="K787" i="9"/>
  <c r="G770" i="9"/>
  <c r="K770" i="9"/>
  <c r="G964" i="9"/>
  <c r="K964" i="9"/>
  <c r="G959" i="9"/>
  <c r="K959" i="9"/>
  <c r="G902" i="9"/>
  <c r="K902" i="9"/>
  <c r="G861" i="9"/>
  <c r="K861" i="9"/>
  <c r="G989" i="9"/>
  <c r="K989" i="9"/>
  <c r="G41" i="9"/>
  <c r="K41" i="9"/>
  <c r="G298" i="9"/>
  <c r="K298" i="9"/>
  <c r="G392" i="9"/>
  <c r="K392" i="9"/>
  <c r="G836" i="9"/>
  <c r="K836" i="9"/>
  <c r="G834" i="9"/>
  <c r="K834" i="9"/>
  <c r="G59" i="9"/>
  <c r="K59" i="9"/>
  <c r="G96" i="9"/>
  <c r="K96" i="9"/>
  <c r="G324" i="9"/>
  <c r="K324" i="9"/>
  <c r="G266" i="9"/>
  <c r="K266" i="9"/>
  <c r="G402" i="9"/>
  <c r="K402" i="9"/>
  <c r="G525" i="9"/>
  <c r="K525" i="9"/>
  <c r="G665" i="9"/>
  <c r="K665" i="9"/>
  <c r="G712" i="9"/>
  <c r="K712" i="9"/>
  <c r="G691" i="9"/>
  <c r="K691" i="9"/>
  <c r="G106" i="9"/>
  <c r="K106" i="9"/>
  <c r="G295" i="9"/>
  <c r="K295" i="9"/>
  <c r="G567" i="9"/>
  <c r="K567" i="9"/>
  <c r="G346" i="9"/>
  <c r="K346" i="9"/>
  <c r="G876" i="9"/>
  <c r="K876" i="9"/>
  <c r="G363" i="9"/>
  <c r="K363" i="9"/>
  <c r="G763" i="9"/>
  <c r="K763" i="9"/>
  <c r="G918" i="9"/>
  <c r="K918" i="9"/>
  <c r="G296" i="9"/>
  <c r="K296" i="9"/>
  <c r="G574" i="9"/>
  <c r="K574" i="9"/>
  <c r="G696" i="9"/>
  <c r="K696" i="9"/>
  <c r="G762" i="9"/>
  <c r="K762" i="9"/>
  <c r="G1051" i="9"/>
  <c r="K1051" i="9"/>
  <c r="G188" i="9"/>
  <c r="K188" i="9"/>
  <c r="G508" i="9"/>
  <c r="K508" i="9"/>
  <c r="G806" i="9"/>
  <c r="K806" i="9"/>
  <c r="G885" i="9"/>
  <c r="K885" i="9"/>
  <c r="G267" i="9"/>
  <c r="K267" i="9"/>
  <c r="G777" i="9"/>
  <c r="K777" i="9"/>
  <c r="G960" i="9"/>
  <c r="K960" i="9"/>
  <c r="G857" i="9"/>
  <c r="K857" i="9"/>
  <c r="G133" i="9"/>
  <c r="K133" i="9"/>
  <c r="G349" i="9"/>
  <c r="K349" i="9"/>
  <c r="G484" i="9"/>
  <c r="K484" i="9"/>
  <c r="G784" i="9"/>
  <c r="K784" i="9"/>
  <c r="G734" i="9"/>
  <c r="K734" i="9"/>
  <c r="G867" i="9"/>
  <c r="K867" i="9"/>
  <c r="G121" i="9"/>
  <c r="K121" i="9"/>
  <c r="G200" i="9"/>
  <c r="K200" i="9"/>
  <c r="G170" i="9"/>
  <c r="K170" i="9"/>
  <c r="G507" i="9"/>
  <c r="K507" i="9"/>
  <c r="G429" i="9"/>
  <c r="K429" i="9"/>
  <c r="G540" i="9"/>
  <c r="K540" i="9"/>
  <c r="G632" i="9"/>
  <c r="K632" i="9"/>
  <c r="G639" i="9"/>
  <c r="K639" i="9"/>
  <c r="G614" i="9"/>
  <c r="K614" i="9"/>
  <c r="G814" i="9"/>
  <c r="K814" i="9"/>
  <c r="G1020" i="9"/>
  <c r="K1020" i="9"/>
  <c r="G1003" i="9"/>
  <c r="K1003" i="9"/>
  <c r="G958" i="9"/>
  <c r="K958" i="9"/>
  <c r="G893" i="9"/>
  <c r="K893" i="9"/>
  <c r="G1021" i="9"/>
  <c r="K1021" i="9"/>
  <c r="G201" i="9"/>
  <c r="K201" i="9"/>
  <c r="G435" i="9"/>
  <c r="K435" i="9"/>
  <c r="G673" i="9"/>
  <c r="K673" i="9"/>
  <c r="G707" i="9"/>
  <c r="K707" i="9"/>
  <c r="G928" i="9"/>
  <c r="K928" i="9"/>
  <c r="G50" i="9"/>
  <c r="K50" i="9"/>
  <c r="G197" i="9"/>
  <c r="K197" i="9"/>
  <c r="G187" i="9"/>
  <c r="K187" i="9"/>
  <c r="G347" i="9"/>
  <c r="K347" i="9"/>
  <c r="G482" i="9"/>
  <c r="K482" i="9"/>
  <c r="G388" i="9"/>
  <c r="K388" i="9"/>
  <c r="G729" i="9"/>
  <c r="K729" i="9"/>
  <c r="G780" i="9"/>
  <c r="K780" i="9"/>
  <c r="G747" i="9"/>
  <c r="K747" i="9"/>
  <c r="G718" i="9"/>
  <c r="K718" i="9"/>
  <c r="G924" i="9"/>
  <c r="K924" i="9"/>
  <c r="G907" i="9"/>
  <c r="K907" i="9"/>
  <c r="G862" i="9"/>
  <c r="K862" i="9"/>
  <c r="G1046" i="9"/>
  <c r="K1046" i="9"/>
  <c r="G961" i="9"/>
  <c r="K961" i="9"/>
  <c r="G529" i="9"/>
  <c r="K529" i="9"/>
  <c r="G934" i="9"/>
  <c r="K934" i="9"/>
  <c r="G769" i="9"/>
  <c r="K769" i="9"/>
  <c r="G124" i="9"/>
  <c r="K124" i="9"/>
  <c r="G873" i="9"/>
  <c r="K873" i="9"/>
  <c r="G971" i="9"/>
  <c r="K971" i="9"/>
  <c r="G646" i="9"/>
  <c r="K646" i="9"/>
  <c r="G753" i="9"/>
  <c r="K753" i="9"/>
  <c r="G447" i="9"/>
  <c r="K447" i="9"/>
  <c r="G48" i="9"/>
  <c r="K48" i="9"/>
  <c r="G933" i="9"/>
  <c r="K933" i="9"/>
  <c r="G825" i="9"/>
  <c r="K825" i="9"/>
  <c r="G782" i="9"/>
  <c r="K782" i="9"/>
  <c r="G672" i="9"/>
  <c r="K672" i="9"/>
  <c r="G450" i="9"/>
  <c r="K450" i="9"/>
  <c r="G325" i="9"/>
  <c r="K325" i="9"/>
  <c r="G866" i="9"/>
  <c r="K866" i="9"/>
  <c r="G813" i="9"/>
  <c r="K813" i="9"/>
  <c r="G881" i="9"/>
  <c r="K881" i="9"/>
  <c r="G651" i="9"/>
  <c r="K651" i="9"/>
  <c r="G1041" i="9"/>
  <c r="K1041" i="9"/>
  <c r="G990" i="9"/>
  <c r="K990" i="9"/>
  <c r="G558" i="9"/>
  <c r="K558" i="9"/>
  <c r="G427" i="9"/>
  <c r="K427" i="9"/>
  <c r="G208" i="9"/>
  <c r="K208" i="9"/>
  <c r="G131" i="9"/>
  <c r="K131" i="9"/>
  <c r="G112" i="9"/>
  <c r="K112" i="9"/>
  <c r="G1017" i="9"/>
  <c r="K1017" i="9"/>
  <c r="G889" i="9"/>
  <c r="K889" i="9"/>
  <c r="G942" i="9"/>
  <c r="K942" i="9"/>
  <c r="G1016" i="9"/>
  <c r="K1016" i="9"/>
  <c r="G610" i="9"/>
  <c r="K610" i="9"/>
  <c r="G624" i="9"/>
  <c r="K624" i="9"/>
  <c r="G425" i="9"/>
  <c r="K425" i="9"/>
  <c r="G136" i="9"/>
  <c r="K136" i="9"/>
  <c r="G105" i="9"/>
  <c r="K105" i="9"/>
  <c r="G917" i="9"/>
  <c r="K917" i="9"/>
  <c r="G1039" i="9"/>
  <c r="K1039" i="9"/>
  <c r="G856" i="9"/>
  <c r="K856" i="9"/>
  <c r="G679" i="9"/>
  <c r="K679" i="9"/>
  <c r="G621" i="9"/>
  <c r="K621" i="9"/>
  <c r="G575" i="9"/>
  <c r="K575" i="9"/>
  <c r="G268" i="9"/>
  <c r="K268" i="9"/>
  <c r="G31" i="9"/>
  <c r="K31" i="9"/>
  <c r="G833" i="9"/>
  <c r="K833" i="9"/>
  <c r="G1044" i="9"/>
  <c r="K1044" i="9"/>
  <c r="G794" i="9"/>
  <c r="K794" i="9"/>
  <c r="G767" i="9"/>
  <c r="K767" i="9"/>
  <c r="G740" i="9"/>
  <c r="K740" i="9"/>
  <c r="G609" i="9"/>
  <c r="K609" i="9"/>
  <c r="G397" i="9"/>
  <c r="K397" i="9"/>
  <c r="G365" i="9"/>
  <c r="K365" i="9"/>
  <c r="G360" i="9"/>
  <c r="K360" i="9"/>
  <c r="G28" i="9"/>
  <c r="K28" i="9"/>
  <c r="G950" i="9"/>
  <c r="K950" i="9"/>
  <c r="G887" i="9"/>
  <c r="K887" i="9"/>
  <c r="G568" i="9"/>
  <c r="K568" i="9"/>
  <c r="G705" i="9"/>
  <c r="K705" i="9"/>
  <c r="G475" i="9"/>
  <c r="K475" i="9"/>
  <c r="G33" i="9"/>
  <c r="K33" i="9"/>
  <c r="G940" i="9"/>
  <c r="K940" i="9"/>
  <c r="G684" i="9"/>
  <c r="K684" i="9"/>
  <c r="G531" i="9"/>
  <c r="K531" i="9"/>
  <c r="G82" i="9"/>
  <c r="K82" i="9"/>
  <c r="G470" i="9"/>
  <c r="K470" i="9"/>
  <c r="G116" i="9"/>
  <c r="K116" i="9"/>
  <c r="G445" i="9"/>
  <c r="K445" i="9"/>
  <c r="G213" i="9"/>
  <c r="K213" i="9"/>
  <c r="G458" i="9"/>
  <c r="K458" i="9"/>
  <c r="G113" i="9"/>
  <c r="K113" i="9"/>
  <c r="G336" i="9"/>
  <c r="K336" i="9"/>
  <c r="G744" i="9"/>
  <c r="K744" i="9"/>
  <c r="G1029" i="9"/>
  <c r="K1029" i="9"/>
  <c r="G328" i="9"/>
  <c r="K328" i="9"/>
  <c r="G58" i="9"/>
  <c r="K58" i="9"/>
  <c r="G953" i="9"/>
  <c r="K953" i="9"/>
  <c r="G1038" i="9"/>
  <c r="K1038" i="9"/>
  <c r="G999" i="9"/>
  <c r="K999" i="9"/>
  <c r="G810" i="9"/>
  <c r="K810" i="9"/>
  <c r="G619" i="9"/>
  <c r="K619" i="9"/>
  <c r="G528" i="9"/>
  <c r="K528" i="9"/>
  <c r="G499" i="9"/>
  <c r="K499" i="9"/>
  <c r="G196" i="9"/>
  <c r="K196" i="9"/>
  <c r="G1045" i="9"/>
  <c r="K1045" i="9"/>
  <c r="G994" i="9"/>
  <c r="K994" i="9"/>
  <c r="G1056" i="9"/>
  <c r="K1056" i="9"/>
  <c r="G650" i="9"/>
  <c r="K650" i="9"/>
  <c r="G680" i="9"/>
  <c r="K680" i="9"/>
  <c r="G501" i="9"/>
  <c r="K501" i="9"/>
  <c r="G250" i="9"/>
  <c r="K250" i="9"/>
  <c r="G56" i="9"/>
  <c r="K56" i="9"/>
  <c r="G954" i="9"/>
  <c r="K954" i="9"/>
  <c r="G955" i="9"/>
  <c r="K955" i="9"/>
  <c r="G916" i="9"/>
  <c r="K916" i="9"/>
  <c r="G666" i="9"/>
  <c r="K666" i="9"/>
  <c r="G635" i="9"/>
  <c r="K635" i="9"/>
  <c r="G793" i="9"/>
  <c r="K793" i="9"/>
  <c r="G597" i="9"/>
  <c r="K597" i="9"/>
  <c r="G382" i="9"/>
  <c r="K382" i="9"/>
  <c r="G166" i="9"/>
  <c r="K166" i="9"/>
  <c r="G293" i="9"/>
  <c r="K293" i="9"/>
  <c r="G30" i="9"/>
  <c r="K30" i="9"/>
  <c r="G831" i="9"/>
  <c r="K831" i="9"/>
  <c r="G848" i="9"/>
  <c r="K848" i="9"/>
  <c r="G808" i="9"/>
  <c r="K808" i="9"/>
  <c r="G493" i="9"/>
  <c r="K493" i="9"/>
  <c r="G356" i="9"/>
  <c r="K356" i="9"/>
  <c r="G1043" i="9"/>
  <c r="K1043" i="9"/>
  <c r="G626" i="9"/>
  <c r="K626" i="9"/>
  <c r="G412" i="9"/>
  <c r="K412" i="9"/>
  <c r="G284" i="9"/>
  <c r="K284" i="9"/>
  <c r="G765" i="9"/>
  <c r="K765" i="9"/>
  <c r="G335" i="9"/>
  <c r="K335" i="9"/>
  <c r="G660" i="9"/>
  <c r="K660" i="9"/>
  <c r="G342" i="9"/>
  <c r="K342" i="9"/>
  <c r="G657" i="9"/>
  <c r="K657" i="9"/>
  <c r="G195" i="9"/>
  <c r="K195" i="9"/>
  <c r="G583" i="9"/>
  <c r="K583" i="9"/>
  <c r="G134" i="9"/>
  <c r="K134" i="9"/>
  <c r="G841" i="9"/>
  <c r="K841" i="9"/>
  <c r="G899" i="9"/>
  <c r="K899" i="9"/>
  <c r="G904" i="9"/>
  <c r="K904" i="9"/>
  <c r="G710" i="9"/>
  <c r="K710" i="9"/>
  <c r="G739" i="9"/>
  <c r="K739" i="9"/>
  <c r="G760" i="9"/>
  <c r="K760" i="9"/>
  <c r="G717" i="9"/>
  <c r="K717" i="9"/>
  <c r="G585" i="9"/>
  <c r="K585" i="9"/>
  <c r="G474" i="9"/>
  <c r="K474" i="9"/>
  <c r="G362" i="9"/>
  <c r="K362" i="9"/>
  <c r="G151" i="9"/>
  <c r="K151" i="9"/>
  <c r="G185" i="9"/>
  <c r="K185" i="9"/>
  <c r="G127" i="9"/>
  <c r="K127" i="9"/>
  <c r="G981" i="9"/>
  <c r="K981" i="9"/>
  <c r="G853" i="9"/>
  <c r="K853" i="9"/>
  <c r="G894" i="9"/>
  <c r="K894" i="9"/>
  <c r="G939" i="9"/>
  <c r="K939" i="9"/>
  <c r="G956" i="9"/>
  <c r="K956" i="9"/>
  <c r="G750" i="9"/>
  <c r="K750" i="9"/>
  <c r="G779" i="9"/>
  <c r="K779" i="9"/>
  <c r="G816" i="9"/>
  <c r="K816" i="9"/>
  <c r="G773" i="9"/>
  <c r="K773" i="9"/>
  <c r="G432" i="9"/>
  <c r="K432" i="9"/>
  <c r="G546" i="9"/>
  <c r="K546" i="9"/>
  <c r="G379" i="9"/>
  <c r="K379" i="9"/>
  <c r="G251" i="9"/>
  <c r="K251" i="9"/>
  <c r="G261" i="9"/>
  <c r="K261" i="9"/>
  <c r="G114" i="9"/>
  <c r="K114" i="9"/>
  <c r="G1018" i="9"/>
  <c r="K1018" i="9"/>
  <c r="G890" i="9"/>
  <c r="K890" i="9"/>
  <c r="G1019" i="9"/>
  <c r="K1019" i="9"/>
  <c r="G891" i="9"/>
  <c r="K891" i="9"/>
  <c r="G980" i="9"/>
  <c r="K980" i="9"/>
  <c r="G852" i="9"/>
  <c r="K852" i="9"/>
  <c r="G730" i="9"/>
  <c r="K730" i="9"/>
  <c r="G603" i="9"/>
  <c r="K603" i="9"/>
  <c r="G703" i="9"/>
  <c r="K703" i="9"/>
  <c r="G812" i="9"/>
  <c r="K812" i="9"/>
  <c r="G652" i="9"/>
  <c r="K652" i="9"/>
  <c r="G709" i="9"/>
  <c r="K709" i="9"/>
  <c r="G476" i="9"/>
  <c r="K476" i="9"/>
  <c r="G497" i="9"/>
  <c r="K497" i="9"/>
  <c r="G510" i="9"/>
  <c r="K510" i="9"/>
  <c r="G479" i="9"/>
  <c r="K479" i="9"/>
  <c r="G294" i="9"/>
  <c r="K294" i="9"/>
  <c r="G247" i="9"/>
  <c r="K247" i="9"/>
  <c r="G232" i="9"/>
  <c r="K232" i="9"/>
  <c r="G165" i="9"/>
  <c r="K165" i="9"/>
  <c r="G37" i="9"/>
  <c r="K37" i="9"/>
  <c r="G27" i="9"/>
  <c r="K27" i="9"/>
  <c r="G886" i="9"/>
  <c r="K886" i="9"/>
  <c r="G983" i="9"/>
  <c r="K983" i="9"/>
  <c r="G976" i="9"/>
  <c r="K976" i="9"/>
  <c r="G726" i="9"/>
  <c r="K726" i="9"/>
  <c r="G699" i="9"/>
  <c r="K699" i="9"/>
  <c r="G648" i="9"/>
  <c r="K648" i="9"/>
  <c r="G464" i="9"/>
  <c r="K464" i="9"/>
  <c r="G506" i="9"/>
  <c r="K506" i="9"/>
  <c r="G290" i="9"/>
  <c r="K290" i="9"/>
  <c r="G161" i="9"/>
  <c r="K161" i="9"/>
  <c r="G978" i="9"/>
  <c r="K978" i="9"/>
  <c r="G915" i="9"/>
  <c r="K915" i="9"/>
  <c r="G754" i="9"/>
  <c r="K754" i="9"/>
  <c r="G659" i="9"/>
  <c r="K659" i="9"/>
  <c r="G741" i="9"/>
  <c r="K741" i="9"/>
  <c r="G562" i="9"/>
  <c r="K562" i="9"/>
  <c r="G218" i="9"/>
  <c r="K218" i="9"/>
  <c r="G217" i="9"/>
  <c r="K217" i="9"/>
  <c r="G668" i="9"/>
  <c r="K668" i="9"/>
  <c r="G384" i="9"/>
  <c r="K384" i="9"/>
  <c r="G439" i="9"/>
  <c r="K439" i="9"/>
  <c r="G192" i="9"/>
  <c r="K192" i="9"/>
  <c r="G115" i="9"/>
  <c r="K115" i="9"/>
  <c r="G629" i="9"/>
  <c r="K629" i="9"/>
  <c r="G527" i="9"/>
  <c r="K527" i="9"/>
  <c r="G167" i="9"/>
  <c r="K167" i="9"/>
  <c r="G85" i="9"/>
  <c r="K85" i="9"/>
  <c r="G473" i="9"/>
  <c r="K473" i="9"/>
  <c r="G370" i="9"/>
  <c r="K370" i="9"/>
  <c r="G180" i="9"/>
  <c r="K180" i="9"/>
  <c r="G337" i="9"/>
  <c r="K337" i="9"/>
  <c r="G270" i="9"/>
  <c r="K270" i="9"/>
  <c r="G269" i="9"/>
  <c r="K269" i="9"/>
  <c r="G720" i="9"/>
  <c r="K720" i="9"/>
  <c r="G401" i="9"/>
  <c r="K401" i="9"/>
  <c r="G1055" i="9"/>
  <c r="K1055" i="9"/>
  <c r="G1060" i="9"/>
  <c r="K1060" i="9"/>
  <c r="G860" i="9"/>
  <c r="K860" i="9"/>
  <c r="G654" i="9"/>
  <c r="K654" i="9"/>
  <c r="G683" i="9"/>
  <c r="K683" i="9"/>
  <c r="G704" i="9"/>
  <c r="K704" i="9"/>
  <c r="G633" i="9"/>
  <c r="K633" i="9"/>
  <c r="G513" i="9"/>
  <c r="K513" i="9"/>
  <c r="G579" i="9"/>
  <c r="K579" i="9"/>
  <c r="G258" i="9"/>
  <c r="K258" i="9"/>
  <c r="G300" i="9"/>
  <c r="K300" i="9"/>
  <c r="G60" i="9"/>
  <c r="K60" i="9"/>
  <c r="G47" i="9"/>
  <c r="K47" i="9"/>
  <c r="G949" i="9"/>
  <c r="K949" i="9"/>
  <c r="G1034" i="9"/>
  <c r="K1034" i="9"/>
  <c r="G839" i="9"/>
  <c r="K839" i="9"/>
  <c r="G895" i="9"/>
  <c r="K895" i="9"/>
  <c r="G900" i="9"/>
  <c r="K900" i="9"/>
  <c r="G706" i="9"/>
  <c r="K706" i="9"/>
  <c r="G723" i="9"/>
  <c r="K723" i="9"/>
  <c r="G752" i="9"/>
  <c r="K752" i="9"/>
  <c r="G713" i="9"/>
  <c r="K713" i="9"/>
  <c r="G577" i="9"/>
  <c r="K577" i="9"/>
  <c r="G466" i="9"/>
  <c r="K466" i="9"/>
  <c r="G330" i="9"/>
  <c r="K330" i="9"/>
  <c r="G147" i="9"/>
  <c r="K147" i="9"/>
  <c r="G169" i="9"/>
  <c r="K169" i="9"/>
  <c r="G123" i="9"/>
  <c r="K123" i="9"/>
  <c r="G986" i="9"/>
  <c r="K986" i="9"/>
  <c r="G858" i="9"/>
  <c r="K858" i="9"/>
  <c r="G987" i="9"/>
  <c r="K987" i="9"/>
  <c r="G859" i="9"/>
  <c r="K859" i="9"/>
  <c r="G948" i="9"/>
  <c r="K948" i="9"/>
  <c r="G826" i="9"/>
  <c r="K826" i="9"/>
  <c r="G698" i="9"/>
  <c r="K698" i="9"/>
  <c r="G799" i="9"/>
  <c r="K799" i="9"/>
  <c r="G671" i="9"/>
  <c r="K671" i="9"/>
  <c r="G776" i="9"/>
  <c r="K776" i="9"/>
  <c r="G612" i="9"/>
  <c r="K612" i="9"/>
  <c r="G653" i="9"/>
  <c r="K653" i="9"/>
  <c r="G424" i="9"/>
  <c r="K424" i="9"/>
  <c r="G449" i="9"/>
  <c r="K449" i="9"/>
  <c r="G446" i="9"/>
  <c r="K446" i="9"/>
  <c r="G415" i="9"/>
  <c r="K415" i="9"/>
  <c r="G230" i="9"/>
  <c r="K230" i="9"/>
  <c r="G183" i="9"/>
  <c r="K183" i="9"/>
  <c r="G168" i="9"/>
  <c r="K168" i="9"/>
  <c r="G92" i="9"/>
  <c r="K92" i="9"/>
  <c r="G94" i="9"/>
  <c r="K94" i="9"/>
  <c r="G982" i="9"/>
  <c r="K982" i="9"/>
  <c r="G854" i="9"/>
  <c r="K854" i="9"/>
  <c r="G951" i="9"/>
  <c r="K951" i="9"/>
  <c r="G912" i="9"/>
  <c r="K912" i="9"/>
  <c r="G662" i="9"/>
  <c r="K662" i="9"/>
  <c r="G627" i="9"/>
  <c r="K627" i="9"/>
  <c r="G785" i="9"/>
  <c r="K785" i="9"/>
  <c r="G593" i="9"/>
  <c r="K593" i="9"/>
  <c r="G378" i="9"/>
  <c r="K378" i="9"/>
  <c r="G243" i="9"/>
  <c r="K243" i="9"/>
  <c r="G24" i="9"/>
  <c r="K24" i="9"/>
  <c r="G914" i="9"/>
  <c r="K914" i="9"/>
  <c r="G1004" i="9"/>
  <c r="K1004" i="9"/>
  <c r="G690" i="9"/>
  <c r="K690" i="9"/>
  <c r="G840" i="9"/>
  <c r="K840" i="9"/>
  <c r="G516" i="9"/>
  <c r="K516" i="9"/>
  <c r="G434" i="9"/>
  <c r="K434" i="9"/>
  <c r="G299" i="9"/>
  <c r="K299" i="9"/>
  <c r="G89" i="9"/>
  <c r="K89" i="9"/>
  <c r="G576" i="9"/>
  <c r="K576" i="9"/>
  <c r="G485" i="9"/>
  <c r="K485" i="9"/>
  <c r="G254" i="9"/>
  <c r="K254" i="9"/>
  <c r="G253" i="9"/>
  <c r="K253" i="9"/>
  <c r="G663" i="9"/>
  <c r="K663" i="9"/>
  <c r="G573" i="9"/>
  <c r="K573" i="9"/>
  <c r="G399" i="9"/>
  <c r="K399" i="9"/>
  <c r="G280" i="9"/>
  <c r="K280" i="9"/>
  <c r="G75" i="9"/>
  <c r="K75" i="9"/>
  <c r="G586" i="9"/>
  <c r="K586" i="9"/>
  <c r="G242" i="9"/>
  <c r="K242" i="9"/>
  <c r="G104" i="9"/>
  <c r="K104" i="9"/>
  <c r="G486" i="9"/>
  <c r="K486" i="9"/>
  <c r="G142" i="9"/>
  <c r="K142" i="9"/>
  <c r="G141" i="9"/>
  <c r="K141" i="9"/>
  <c r="G835" i="9"/>
  <c r="K835" i="9"/>
  <c r="G969" i="9"/>
  <c r="K969" i="9"/>
  <c r="G162" i="9"/>
  <c r="K162" i="9"/>
  <c r="G289" i="9"/>
  <c r="K289" i="9"/>
  <c r="G26" i="9"/>
  <c r="K26" i="9"/>
  <c r="G850" i="9"/>
  <c r="K850" i="9"/>
  <c r="G851" i="9"/>
  <c r="K851" i="9"/>
  <c r="G818" i="9"/>
  <c r="K818" i="9"/>
  <c r="G791" i="9"/>
  <c r="K791" i="9"/>
  <c r="G768" i="9"/>
  <c r="K768" i="9"/>
  <c r="G645" i="9"/>
  <c r="K645" i="9"/>
  <c r="G433" i="9"/>
  <c r="K433" i="9"/>
  <c r="G403" i="9"/>
  <c r="K403" i="9"/>
  <c r="G171" i="9"/>
  <c r="K171" i="9"/>
  <c r="G80" i="9"/>
  <c r="K80" i="9"/>
  <c r="G732" i="9"/>
  <c r="K732" i="9"/>
  <c r="G669" i="9"/>
  <c r="K669" i="9"/>
  <c r="G598" i="9"/>
  <c r="K598" i="9"/>
  <c r="G345" i="9"/>
  <c r="K345" i="9"/>
  <c r="G320" i="9"/>
  <c r="K320" i="9"/>
  <c r="G125" i="9"/>
  <c r="K125" i="9"/>
  <c r="G788" i="9"/>
  <c r="K788" i="9"/>
  <c r="G472" i="9"/>
  <c r="K472" i="9"/>
  <c r="G430" i="9"/>
  <c r="K430" i="9"/>
  <c r="G214" i="9"/>
  <c r="K214" i="9"/>
  <c r="G152" i="9"/>
  <c r="K152" i="9"/>
  <c r="G78" i="9"/>
  <c r="K78" i="9"/>
  <c r="G601" i="9"/>
  <c r="K601" i="9"/>
  <c r="G555" i="9"/>
  <c r="K555" i="9"/>
  <c r="G323" i="9"/>
  <c r="K323" i="9"/>
  <c r="G241" i="9"/>
  <c r="K241" i="9"/>
  <c r="G103" i="9"/>
  <c r="K103" i="9"/>
  <c r="G455" i="9"/>
  <c r="K455" i="9"/>
  <c r="G223" i="9"/>
  <c r="K223" i="9"/>
  <c r="G139" i="9"/>
  <c r="K139" i="9"/>
  <c r="G172" i="9"/>
  <c r="K172" i="9"/>
  <c r="G613" i="9"/>
  <c r="K613" i="9"/>
  <c r="G855" i="9"/>
  <c r="K855" i="9"/>
  <c r="G944" i="9"/>
  <c r="K944" i="9"/>
  <c r="G822" i="9"/>
  <c r="K822" i="9"/>
  <c r="G694" i="9"/>
  <c r="K694" i="9"/>
  <c r="G795" i="9"/>
  <c r="K795" i="9"/>
  <c r="G667" i="9"/>
  <c r="K667" i="9"/>
  <c r="G772" i="9"/>
  <c r="K772" i="9"/>
  <c r="G608" i="9"/>
  <c r="K608" i="9"/>
  <c r="G649" i="9"/>
  <c r="K649" i="9"/>
  <c r="G420" i="9"/>
  <c r="K420" i="9"/>
  <c r="G437" i="9"/>
  <c r="K437" i="9"/>
  <c r="G442" i="9"/>
  <c r="K442" i="9"/>
  <c r="G411" i="9"/>
  <c r="K411" i="9"/>
  <c r="G226" i="9"/>
  <c r="K226" i="9"/>
  <c r="G179" i="9"/>
  <c r="K179" i="9"/>
  <c r="G164" i="9"/>
  <c r="K164" i="9"/>
  <c r="G88" i="9"/>
  <c r="K88" i="9"/>
  <c r="G90" i="9"/>
  <c r="K90" i="9"/>
  <c r="G1010" i="9"/>
  <c r="K1010" i="9"/>
  <c r="G882" i="9"/>
  <c r="K882" i="9"/>
  <c r="G1011" i="9"/>
  <c r="K1011" i="9"/>
  <c r="G883" i="9"/>
  <c r="K883" i="9"/>
  <c r="G972" i="9"/>
  <c r="K972" i="9"/>
  <c r="G845" i="9"/>
  <c r="K845" i="9"/>
  <c r="G722" i="9"/>
  <c r="K722" i="9"/>
  <c r="G823" i="9"/>
  <c r="K823" i="9"/>
  <c r="G695" i="9"/>
  <c r="K695" i="9"/>
  <c r="G804" i="9"/>
  <c r="K804" i="9"/>
  <c r="G644" i="9"/>
  <c r="K644" i="9"/>
  <c r="G697" i="9"/>
  <c r="K697" i="9"/>
  <c r="G460" i="9"/>
  <c r="K460" i="9"/>
  <c r="G489" i="9"/>
  <c r="K489" i="9"/>
  <c r="G498" i="9"/>
  <c r="K498" i="9"/>
  <c r="G467" i="9"/>
  <c r="K467" i="9"/>
  <c r="G282" i="9"/>
  <c r="K282" i="9"/>
  <c r="G235" i="9"/>
  <c r="K235" i="9"/>
  <c r="G220" i="9"/>
  <c r="K220" i="9"/>
  <c r="G153" i="9"/>
  <c r="K153" i="9"/>
  <c r="G25" i="9"/>
  <c r="K25" i="9"/>
  <c r="G13" i="9"/>
  <c r="K13" i="9"/>
  <c r="G636" i="9"/>
  <c r="K636" i="9"/>
  <c r="G733" i="9"/>
  <c r="K733" i="9"/>
  <c r="G448" i="9"/>
  <c r="K448" i="9"/>
  <c r="G421" i="9"/>
  <c r="K421" i="9"/>
  <c r="G406" i="9"/>
  <c r="K406" i="9"/>
  <c r="G377" i="9"/>
  <c r="K377" i="9"/>
  <c r="G190" i="9"/>
  <c r="K190" i="9"/>
  <c r="G144" i="9"/>
  <c r="K144" i="9"/>
  <c r="G317" i="9"/>
  <c r="K317" i="9"/>
  <c r="G52" i="9"/>
  <c r="K52" i="9"/>
  <c r="G54" i="9"/>
  <c r="K54" i="9"/>
  <c r="G584" i="9"/>
  <c r="K584" i="9"/>
  <c r="G821" i="9"/>
  <c r="K821" i="9"/>
  <c r="G536" i="9"/>
  <c r="K536" i="9"/>
  <c r="G509" i="9"/>
  <c r="K509" i="9"/>
  <c r="G494" i="9"/>
  <c r="K494" i="9"/>
  <c r="G463" i="9"/>
  <c r="K463" i="9"/>
  <c r="G278" i="9"/>
  <c r="K278" i="9"/>
  <c r="G231" i="9"/>
  <c r="K231" i="9"/>
  <c r="G216" i="9"/>
  <c r="K216" i="9"/>
  <c r="G149" i="9"/>
  <c r="K149" i="9"/>
  <c r="G21" i="9"/>
  <c r="K21" i="9"/>
  <c r="G18" i="9"/>
  <c r="K18" i="9"/>
  <c r="G436" i="9"/>
  <c r="K436" i="9"/>
  <c r="G409" i="9"/>
  <c r="K409" i="9"/>
  <c r="G394" i="9"/>
  <c r="K394" i="9"/>
  <c r="G371" i="9"/>
  <c r="K371" i="9"/>
  <c r="G178" i="9"/>
  <c r="K178" i="9"/>
  <c r="G372" i="9"/>
  <c r="K372" i="9"/>
  <c r="G305" i="9"/>
  <c r="K305" i="9"/>
  <c r="G40" i="9"/>
  <c r="K40" i="9"/>
  <c r="G42" i="9"/>
  <c r="K42" i="9"/>
  <c r="G550" i="9"/>
  <c r="K550" i="9"/>
  <c r="G519" i="9"/>
  <c r="K519" i="9"/>
  <c r="G334" i="9"/>
  <c r="K334" i="9"/>
  <c r="G287" i="9"/>
  <c r="K287" i="9"/>
  <c r="G272" i="9"/>
  <c r="K272" i="9"/>
  <c r="G205" i="9"/>
  <c r="K205" i="9"/>
  <c r="G77" i="9"/>
  <c r="K77" i="9"/>
  <c r="G67" i="9"/>
  <c r="K67" i="9"/>
  <c r="G802" i="9"/>
  <c r="K802" i="9"/>
  <c r="G260" i="9"/>
  <c r="K260" i="9"/>
  <c r="G233" i="9"/>
  <c r="K233" i="9"/>
  <c r="G571" i="9"/>
  <c r="K571" i="9"/>
  <c r="G992" i="9"/>
  <c r="K992" i="9"/>
  <c r="G1047" i="9"/>
  <c r="K1047" i="9"/>
  <c r="G919" i="9"/>
  <c r="K919" i="9"/>
  <c r="G1008" i="9"/>
  <c r="K1008" i="9"/>
  <c r="G880" i="9"/>
  <c r="K880" i="9"/>
  <c r="G758" i="9"/>
  <c r="K758" i="9"/>
  <c r="G630" i="9"/>
  <c r="K630" i="9"/>
  <c r="G731" i="9"/>
  <c r="K731" i="9"/>
  <c r="G844" i="9"/>
  <c r="K844" i="9"/>
  <c r="G688" i="9"/>
  <c r="K688" i="9"/>
  <c r="G745" i="9"/>
  <c r="K745" i="9"/>
  <c r="G520" i="9"/>
  <c r="K520" i="9"/>
  <c r="G545" i="9"/>
  <c r="K545" i="9"/>
  <c r="G570" i="9"/>
  <c r="K570" i="9"/>
  <c r="G539" i="9"/>
  <c r="K539" i="9"/>
  <c r="G354" i="9"/>
  <c r="K354" i="9"/>
  <c r="G307" i="9"/>
  <c r="K307" i="9"/>
  <c r="G292" i="9"/>
  <c r="K292" i="9"/>
  <c r="G225" i="9"/>
  <c r="K225" i="9"/>
  <c r="G97" i="9"/>
  <c r="K97" i="9"/>
  <c r="G87" i="9"/>
  <c r="K87" i="9"/>
  <c r="G946" i="9"/>
  <c r="K946" i="9"/>
  <c r="G829" i="9"/>
  <c r="K829" i="9"/>
  <c r="G947" i="9"/>
  <c r="K947" i="9"/>
  <c r="G1036" i="9"/>
  <c r="K1036" i="9"/>
  <c r="G908" i="9"/>
  <c r="K908" i="9"/>
  <c r="G786" i="9"/>
  <c r="K786" i="9"/>
  <c r="G658" i="9"/>
  <c r="K658" i="9"/>
  <c r="G759" i="9"/>
  <c r="K759" i="9"/>
  <c r="G623" i="9"/>
  <c r="K623" i="9"/>
  <c r="G728" i="9"/>
  <c r="K728" i="9"/>
  <c r="G781" i="9"/>
  <c r="K781" i="9"/>
  <c r="G564" i="9"/>
  <c r="K564" i="9"/>
  <c r="G589" i="9"/>
  <c r="K589" i="9"/>
  <c r="G385" i="9"/>
  <c r="K385" i="9"/>
  <c r="G595" i="9"/>
  <c r="K595" i="9"/>
  <c r="G359" i="9"/>
  <c r="K359" i="9"/>
  <c r="G154" i="9"/>
  <c r="K154" i="9"/>
  <c r="G348" i="9"/>
  <c r="K348" i="9"/>
  <c r="G281" i="9"/>
  <c r="K281" i="9"/>
  <c r="G19" i="9"/>
  <c r="K19" i="9"/>
  <c r="G17" i="9"/>
  <c r="K17" i="9"/>
  <c r="G700" i="9"/>
  <c r="K700" i="9"/>
  <c r="G797" i="9"/>
  <c r="K797" i="9"/>
  <c r="G600" i="9"/>
  <c r="K600" i="9"/>
  <c r="G549" i="9"/>
  <c r="K549" i="9"/>
  <c r="G534" i="9"/>
  <c r="K534" i="9"/>
  <c r="G503" i="9"/>
  <c r="K503" i="9"/>
  <c r="G318" i="9"/>
  <c r="K318" i="9"/>
  <c r="G271" i="9"/>
  <c r="K271" i="9"/>
  <c r="G256" i="9"/>
  <c r="K256" i="9"/>
  <c r="G189" i="9"/>
  <c r="K189" i="9"/>
  <c r="G61" i="9"/>
  <c r="K61" i="9"/>
  <c r="G51" i="9"/>
  <c r="K51" i="9"/>
  <c r="G724" i="9"/>
  <c r="K724" i="9"/>
  <c r="G693" i="9"/>
  <c r="K693" i="9"/>
  <c r="G408" i="9"/>
  <c r="K408" i="9"/>
  <c r="G381" i="9"/>
  <c r="K381" i="9"/>
  <c r="G591" i="9"/>
  <c r="K591" i="9"/>
  <c r="G357" i="9"/>
  <c r="K357" i="9"/>
  <c r="G150" i="9"/>
  <c r="K150" i="9"/>
  <c r="G344" i="9"/>
  <c r="K344" i="9"/>
  <c r="G277" i="9"/>
  <c r="K277" i="9"/>
  <c r="G12" i="9"/>
  <c r="K12" i="9"/>
  <c r="G11" i="9"/>
  <c r="K11" i="9"/>
  <c r="G580" i="9"/>
  <c r="K580" i="9"/>
  <c r="G537" i="9"/>
  <c r="K537" i="9"/>
  <c r="G522" i="9"/>
  <c r="K522" i="9"/>
  <c r="G491" i="9"/>
  <c r="K491" i="9"/>
  <c r="G306" i="9"/>
  <c r="K306" i="9"/>
  <c r="G259" i="9"/>
  <c r="K259" i="9"/>
  <c r="G244" i="9"/>
  <c r="K244" i="9"/>
  <c r="G177" i="9"/>
  <c r="K177" i="9"/>
  <c r="G49" i="9"/>
  <c r="K49" i="9"/>
  <c r="G39" i="9"/>
  <c r="K39" i="9"/>
  <c r="G422" i="9"/>
  <c r="K422" i="9"/>
  <c r="G391" i="9"/>
  <c r="K391" i="9"/>
  <c r="G206" i="9"/>
  <c r="K206" i="9"/>
  <c r="G159" i="9"/>
  <c r="K159" i="9"/>
  <c r="G140" i="9"/>
  <c r="K140" i="9"/>
  <c r="G68" i="9"/>
  <c r="K68" i="9"/>
  <c r="G70" i="9"/>
  <c r="K70" i="9"/>
  <c r="G538" i="9"/>
  <c r="K538" i="9"/>
  <c r="G941" i="9"/>
  <c r="K941" i="9"/>
  <c r="G988" i="9"/>
  <c r="K988" i="9"/>
  <c r="G66" i="9"/>
  <c r="K66" i="9"/>
  <c r="G815" i="9"/>
  <c r="K815" i="9"/>
  <c r="G792" i="9"/>
  <c r="K792" i="9"/>
  <c r="G617" i="9"/>
  <c r="K617" i="9"/>
  <c r="G655" i="9"/>
  <c r="K655" i="9"/>
  <c r="G945" i="9"/>
  <c r="K945" i="9"/>
  <c r="G1026" i="9"/>
  <c r="K1026" i="9"/>
  <c r="G771" i="9"/>
  <c r="K771" i="9"/>
  <c r="G314" i="9"/>
  <c r="K314" i="9"/>
  <c r="G99" i="9"/>
  <c r="K99" i="9"/>
  <c r="G102" i="9"/>
  <c r="K102" i="9"/>
  <c r="G109" i="9"/>
  <c r="K109" i="9"/>
  <c r="G100" i="9"/>
  <c r="K100" i="9"/>
  <c r="G237" i="9"/>
  <c r="K237" i="9"/>
  <c r="G176" i="9"/>
  <c r="K176" i="9"/>
  <c r="G304" i="9"/>
  <c r="K304" i="9"/>
  <c r="G191" i="9"/>
  <c r="K191" i="9"/>
  <c r="G319" i="9"/>
  <c r="K319" i="9"/>
  <c r="G238" i="9"/>
  <c r="K238" i="9"/>
  <c r="G366" i="9"/>
  <c r="K366" i="9"/>
  <c r="G423" i="9"/>
  <c r="K423" i="9"/>
  <c r="G551" i="9"/>
  <c r="K551" i="9"/>
  <c r="G454" i="9"/>
  <c r="K454" i="9"/>
  <c r="G582" i="9"/>
  <c r="K582" i="9"/>
  <c r="G71" i="9"/>
  <c r="K71" i="9"/>
  <c r="G74" i="9"/>
  <c r="K74" i="9"/>
  <c r="G81" i="9"/>
  <c r="K81" i="9"/>
  <c r="G72" i="9"/>
  <c r="K72" i="9"/>
  <c r="G209" i="9"/>
  <c r="K209" i="9"/>
  <c r="G143" i="9"/>
  <c r="K143" i="9"/>
  <c r="G276" i="9"/>
  <c r="K276" i="9"/>
  <c r="G163" i="9"/>
  <c r="K163" i="9"/>
  <c r="G291" i="9"/>
  <c r="K291" i="9"/>
  <c r="G210" i="9"/>
  <c r="K210" i="9"/>
  <c r="G338" i="9"/>
  <c r="K338" i="9"/>
  <c r="G395" i="9"/>
  <c r="K395" i="9"/>
  <c r="G523" i="9"/>
  <c r="K523" i="9"/>
  <c r="G426" i="9"/>
  <c r="K426" i="9"/>
  <c r="G554" i="9"/>
  <c r="K554" i="9"/>
  <c r="G441" i="9"/>
  <c r="K441" i="9"/>
  <c r="G569" i="9"/>
  <c r="K569" i="9"/>
  <c r="G468" i="9"/>
  <c r="K468" i="9"/>
  <c r="G625" i="9"/>
  <c r="K625" i="9"/>
  <c r="G43" i="9"/>
  <c r="K43" i="9"/>
  <c r="G46" i="9"/>
  <c r="K46" i="9"/>
  <c r="G53" i="9"/>
  <c r="K53" i="9"/>
  <c r="G44" i="9"/>
  <c r="K44" i="9"/>
  <c r="G181" i="9"/>
  <c r="K181" i="9"/>
  <c r="G309" i="9"/>
  <c r="K309" i="9"/>
  <c r="G248" i="9"/>
  <c r="K248" i="9"/>
  <c r="G376" i="9"/>
  <c r="K376" i="9"/>
  <c r="G263" i="9"/>
  <c r="K263" i="9"/>
  <c r="G182" i="9"/>
  <c r="K182" i="9"/>
  <c r="G310" i="9"/>
  <c r="K310" i="9"/>
  <c r="G373" i="9"/>
  <c r="K373" i="9"/>
  <c r="G495" i="9"/>
  <c r="K495" i="9"/>
  <c r="G398" i="9"/>
  <c r="K398" i="9"/>
  <c r="G526" i="9"/>
  <c r="K526" i="9"/>
  <c r="G413" i="9"/>
  <c r="K413" i="9"/>
  <c r="G541" i="9"/>
  <c r="K541" i="9"/>
  <c r="G440" i="9"/>
  <c r="K440" i="9"/>
  <c r="G588" i="9"/>
  <c r="K588" i="9"/>
  <c r="G725" i="9"/>
  <c r="K725" i="9"/>
  <c r="G628" i="9"/>
  <c r="K628" i="9"/>
  <c r="G756" i="9"/>
  <c r="K756" i="9"/>
  <c r="G631" i="9"/>
  <c r="K631" i="9"/>
  <c r="G83" i="9"/>
  <c r="K83" i="9"/>
  <c r="G86" i="9"/>
  <c r="K86" i="9"/>
  <c r="G93" i="9"/>
  <c r="K93" i="9"/>
  <c r="G84" i="9"/>
  <c r="K84" i="9"/>
  <c r="G221" i="9"/>
  <c r="K221" i="9"/>
  <c r="G160" i="9"/>
  <c r="K160" i="9"/>
  <c r="G288" i="9"/>
  <c r="K288" i="9"/>
  <c r="G175" i="9"/>
  <c r="K175" i="9"/>
  <c r="G303" i="9"/>
  <c r="K303" i="9"/>
  <c r="G222" i="9"/>
  <c r="K222" i="9"/>
  <c r="G350" i="9"/>
  <c r="K350" i="9"/>
  <c r="G407" i="9"/>
  <c r="K407" i="9"/>
  <c r="G535" i="9"/>
  <c r="K535" i="9"/>
  <c r="G438" i="9"/>
  <c r="K438" i="9"/>
  <c r="G566" i="9"/>
  <c r="K566" i="9"/>
  <c r="G453" i="9"/>
  <c r="K453" i="9"/>
  <c r="G581" i="9"/>
  <c r="K581" i="9"/>
  <c r="G480" i="9"/>
  <c r="K480" i="9"/>
  <c r="G637" i="9"/>
  <c r="K637" i="9"/>
  <c r="G396" i="9"/>
  <c r="K396" i="9"/>
  <c r="G675" i="9"/>
  <c r="K675" i="9"/>
  <c r="G1027" i="9"/>
  <c r="K1027" i="9"/>
  <c r="G966" i="9"/>
  <c r="K966" i="9"/>
  <c r="G563" i="9"/>
  <c r="K563" i="9"/>
  <c r="G252" i="9"/>
  <c r="K252" i="9"/>
  <c r="G871" i="9"/>
  <c r="K871" i="9"/>
  <c r="G496" i="9"/>
  <c r="K496" i="9"/>
  <c r="G10" i="9"/>
  <c r="K10" i="9"/>
  <c r="G38" i="9"/>
  <c r="K38" i="9"/>
  <c r="G45" i="9"/>
  <c r="K45" i="9"/>
  <c r="G36" i="9"/>
  <c r="K36" i="9"/>
  <c r="G173" i="9"/>
  <c r="K173" i="9"/>
  <c r="G301" i="9"/>
  <c r="K301" i="9"/>
  <c r="G240" i="9"/>
  <c r="K240" i="9"/>
  <c r="G368" i="9"/>
  <c r="K368" i="9"/>
  <c r="G255" i="9"/>
  <c r="K255" i="9"/>
  <c r="G174" i="9"/>
  <c r="K174" i="9"/>
  <c r="G302" i="9"/>
  <c r="K302" i="9"/>
  <c r="G369" i="9"/>
  <c r="K369" i="9"/>
  <c r="G487" i="9"/>
  <c r="K487" i="9"/>
  <c r="G390" i="9"/>
  <c r="K390" i="9"/>
  <c r="G518" i="9"/>
  <c r="K518" i="9"/>
  <c r="G14" i="9"/>
  <c r="K14" i="9"/>
  <c r="G135" i="9"/>
  <c r="K135" i="9"/>
  <c r="G15" i="9"/>
  <c r="K15" i="9"/>
  <c r="G145" i="9"/>
  <c r="K145" i="9"/>
  <c r="G146" i="9"/>
  <c r="K146" i="9"/>
  <c r="G273" i="9"/>
  <c r="K273" i="9"/>
  <c r="G212" i="9"/>
  <c r="K212" i="9"/>
  <c r="G340" i="9"/>
  <c r="K340" i="9"/>
  <c r="G227" i="9"/>
  <c r="K227" i="9"/>
  <c r="G148" i="9"/>
  <c r="K148" i="9"/>
  <c r="G274" i="9"/>
  <c r="K274" i="9"/>
  <c r="G355" i="9"/>
  <c r="K355" i="9"/>
  <c r="G459" i="9"/>
  <c r="K459" i="9"/>
  <c r="G587" i="9"/>
  <c r="K587" i="9"/>
  <c r="G490" i="9"/>
  <c r="K490" i="9"/>
  <c r="G341" i="9"/>
  <c r="K341" i="9"/>
  <c r="G505" i="9"/>
  <c r="K505" i="9"/>
  <c r="G404" i="9"/>
  <c r="K404" i="9"/>
  <c r="G532" i="9"/>
  <c r="K532" i="9"/>
  <c r="G689" i="9"/>
  <c r="K689" i="9"/>
  <c r="G107" i="9"/>
  <c r="K107" i="9"/>
  <c r="G110" i="9"/>
  <c r="K110" i="9"/>
  <c r="G117" i="9"/>
  <c r="K117" i="9"/>
  <c r="G108" i="9"/>
  <c r="K108" i="9"/>
  <c r="G245" i="9"/>
  <c r="K245" i="9"/>
  <c r="G184" i="9"/>
  <c r="K184" i="9"/>
  <c r="G312" i="9"/>
  <c r="K312" i="9"/>
  <c r="G199" i="9"/>
  <c r="K199" i="9"/>
  <c r="G327" i="9"/>
  <c r="K327" i="9"/>
  <c r="G246" i="9"/>
  <c r="K246" i="9"/>
  <c r="G374" i="9"/>
  <c r="K374" i="9"/>
  <c r="G431" i="9"/>
  <c r="K431" i="9"/>
  <c r="G559" i="9"/>
  <c r="K559" i="9"/>
  <c r="G462" i="9"/>
  <c r="K462" i="9"/>
  <c r="G590" i="9"/>
  <c r="K590" i="9"/>
  <c r="G477" i="9"/>
  <c r="K477" i="9"/>
  <c r="G605" i="9"/>
  <c r="K605" i="9"/>
  <c r="G504" i="9"/>
  <c r="K504" i="9"/>
  <c r="G661" i="9"/>
  <c r="K661" i="9"/>
  <c r="G789" i="9"/>
  <c r="K789" i="9"/>
  <c r="G692" i="9"/>
  <c r="K692" i="9"/>
  <c r="G820" i="9"/>
  <c r="K820" i="9"/>
  <c r="G16" i="9"/>
  <c r="K16" i="9"/>
  <c r="G22" i="9"/>
  <c r="K22" i="9"/>
  <c r="G29" i="9"/>
  <c r="K29" i="9"/>
  <c r="G20" i="9"/>
  <c r="K20" i="9"/>
  <c r="G157" i="9"/>
  <c r="K157" i="9"/>
  <c r="G285" i="9"/>
  <c r="K285" i="9"/>
  <c r="G224" i="9"/>
  <c r="K224" i="9"/>
  <c r="G352" i="9"/>
  <c r="K352" i="9"/>
  <c r="G239" i="9"/>
  <c r="K239" i="9"/>
  <c r="G158" i="9"/>
  <c r="K158" i="9"/>
  <c r="G286" i="9"/>
  <c r="K286" i="9"/>
  <c r="G361" i="9"/>
  <c r="K361" i="9"/>
  <c r="G471" i="9"/>
  <c r="K471" i="9"/>
  <c r="G599" i="9"/>
  <c r="K599" i="9"/>
  <c r="G502" i="9"/>
  <c r="K502" i="9"/>
  <c r="G389" i="9"/>
  <c r="K389" i="9"/>
  <c r="G517" i="9"/>
  <c r="K517" i="9"/>
  <c r="G416" i="9"/>
  <c r="K416" i="9"/>
  <c r="G544" i="9"/>
  <c r="K544" i="9"/>
  <c r="G701" i="9"/>
  <c r="K701" i="9"/>
  <c r="G35" i="9"/>
  <c r="K35" i="9"/>
  <c r="G215" i="9"/>
  <c r="K215" i="9"/>
  <c r="G557" i="9"/>
  <c r="K557" i="9"/>
  <c r="G611" i="9"/>
  <c r="K611" i="9"/>
  <c r="G936" i="9"/>
  <c r="K936" i="9"/>
  <c r="G930" i="9"/>
  <c r="K930" i="9"/>
  <c r="G1005" i="9"/>
  <c r="K1005" i="9"/>
  <c r="G875" i="9"/>
  <c r="K875" i="9"/>
  <c r="G315" i="9"/>
  <c r="K315" i="9"/>
  <c r="G748" i="9"/>
  <c r="K748" i="9"/>
  <c r="G1023" i="9"/>
  <c r="K1023" i="9"/>
  <c r="G65" i="9"/>
  <c r="K65" i="9"/>
  <c r="G817" i="9"/>
  <c r="K817" i="9"/>
  <c r="G264" i="9"/>
  <c r="K264" i="9"/>
  <c r="G331" i="9"/>
  <c r="K331" i="9"/>
  <c r="G351" i="9"/>
  <c r="K351" i="9"/>
  <c r="G846" i="9"/>
  <c r="K846" i="9"/>
  <c r="G120" i="9"/>
  <c r="K120" i="9"/>
  <c r="G451" i="9"/>
  <c r="K451" i="9"/>
  <c r="G761" i="9"/>
  <c r="K761" i="9"/>
  <c r="G682" i="9"/>
  <c r="K682" i="9"/>
  <c r="G975" i="9"/>
  <c r="K975" i="9"/>
  <c r="G877" i="9"/>
  <c r="K877" i="9"/>
  <c r="G542" i="9"/>
  <c r="K542" i="9"/>
  <c r="G57" i="9"/>
  <c r="K57" i="9"/>
  <c r="G333" i="9"/>
  <c r="K333" i="9"/>
  <c r="G702" i="9"/>
  <c r="K702" i="9"/>
  <c r="G901" i="9"/>
  <c r="K901" i="9"/>
  <c r="G927" i="9"/>
  <c r="K927" i="9"/>
  <c r="G905" i="9"/>
  <c r="K905" i="9"/>
  <c r="G870" i="9"/>
  <c r="K870" i="9"/>
  <c r="G970" i="9"/>
  <c r="K970" i="9"/>
  <c r="G1058" i="9"/>
  <c r="K1058" i="9"/>
  <c r="G1033" i="9"/>
  <c r="K1033" i="9"/>
  <c r="L14" i="9"/>
  <c r="L39" i="9"/>
  <c r="L23" i="9"/>
  <c r="L24" i="9"/>
  <c r="L40" i="9"/>
  <c r="L29" i="9"/>
  <c r="L42" i="9"/>
  <c r="P38" i="10"/>
  <c r="L165" i="9"/>
  <c r="L33" i="9"/>
  <c r="L26" i="9"/>
  <c r="P39" i="10"/>
  <c r="L200" i="9"/>
  <c r="D7" i="11"/>
  <c r="G7" i="11"/>
  <c r="L37" i="9"/>
  <c r="L41" i="9"/>
  <c r="L16" i="9"/>
  <c r="L22" i="9"/>
  <c r="L17" i="9"/>
  <c r="P47" i="10"/>
  <c r="P35" i="10"/>
  <c r="L51" i="9"/>
  <c r="L10" i="9"/>
  <c r="L45" i="9"/>
  <c r="L18" i="9"/>
  <c r="L19" i="9"/>
  <c r="L32" i="9"/>
  <c r="L13" i="9"/>
  <c r="L34" i="9"/>
  <c r="L11" i="9"/>
  <c r="L31" i="9"/>
  <c r="P37" i="10"/>
  <c r="L122" i="9"/>
  <c r="P41" i="10"/>
  <c r="L294" i="9"/>
  <c r="P46" i="10"/>
  <c r="L480" i="9"/>
  <c r="P43" i="10"/>
  <c r="L363" i="9"/>
  <c r="P48" i="10"/>
  <c r="L20" i="9"/>
  <c r="L36" i="9"/>
  <c r="L38" i="9"/>
  <c r="L35" i="9"/>
  <c r="P36" i="10"/>
  <c r="L87" i="9"/>
  <c r="P49" i="10"/>
  <c r="L15" i="9"/>
  <c r="L21" i="9"/>
  <c r="L25" i="9"/>
  <c r="L44" i="9"/>
  <c r="L28" i="9"/>
  <c r="L12" i="9"/>
  <c r="L30" i="9"/>
  <c r="L43" i="9"/>
  <c r="P45" i="10"/>
  <c r="L432" i="9"/>
  <c r="P40" i="10"/>
  <c r="L231" i="9"/>
  <c r="P42" i="10"/>
  <c r="L315" i="9"/>
  <c r="P44" i="10"/>
  <c r="L384" i="9"/>
  <c r="B22" i="12"/>
  <c r="J27" i="24"/>
  <c r="I132" i="19"/>
  <c r="I165" i="19"/>
  <c r="N27" i="24"/>
  <c r="H108" i="19"/>
  <c r="H143" i="19"/>
  <c r="F108" i="19"/>
  <c r="F143" i="19"/>
  <c r="E108" i="19"/>
  <c r="E143" i="19"/>
  <c r="G108" i="19"/>
  <c r="G143" i="19"/>
  <c r="C28" i="24"/>
  <c r="I28" i="24"/>
  <c r="M28" i="24"/>
  <c r="E28" i="24"/>
  <c r="G28" i="24"/>
  <c r="K28" i="24"/>
  <c r="B29" i="24"/>
  <c r="C61" i="19"/>
  <c r="B62" i="19"/>
  <c r="D61" i="19"/>
  <c r="E61" i="19"/>
  <c r="F61" i="19"/>
  <c r="E27" i="10"/>
  <c r="H27" i="10"/>
  <c r="J27" i="10"/>
  <c r="D27" i="10"/>
  <c r="A28" i="10"/>
  <c r="I27" i="10"/>
  <c r="C27" i="10"/>
  <c r="F27" i="10"/>
  <c r="O51" i="10"/>
  <c r="P50" i="10"/>
  <c r="I119" i="19"/>
  <c r="I152" i="19"/>
  <c r="I117" i="19"/>
  <c r="I150" i="19"/>
  <c r="I124" i="19"/>
  <c r="I157" i="19"/>
  <c r="I126" i="19"/>
  <c r="I159" i="19"/>
  <c r="I116" i="19"/>
  <c r="I149" i="19"/>
  <c r="I130" i="19"/>
  <c r="I163" i="19"/>
  <c r="I131" i="19"/>
  <c r="I164" i="19"/>
  <c r="I129" i="19"/>
  <c r="I162" i="19"/>
  <c r="I140" i="19"/>
  <c r="I173" i="19"/>
  <c r="I134" i="19"/>
  <c r="I167" i="19"/>
  <c r="I142" i="19"/>
  <c r="I175" i="19"/>
  <c r="I138" i="19"/>
  <c r="I171" i="19"/>
  <c r="I121" i="19"/>
  <c r="I154" i="19"/>
  <c r="I136" i="19"/>
  <c r="I169" i="19"/>
  <c r="I127" i="19"/>
  <c r="I160" i="19"/>
  <c r="I133" i="19"/>
  <c r="I166" i="19"/>
  <c r="I135" i="19"/>
  <c r="I168" i="19"/>
  <c r="I122" i="19"/>
  <c r="I155" i="19"/>
  <c r="I118" i="19"/>
  <c r="I151" i="19"/>
  <c r="I128" i="19"/>
  <c r="I161" i="19"/>
  <c r="R842" i="9"/>
  <c r="AB842" i="9"/>
  <c r="R861" i="9"/>
  <c r="AB861" i="9"/>
  <c r="R937" i="9"/>
  <c r="AB937" i="9"/>
  <c r="R978" i="9"/>
  <c r="AB978" i="9"/>
  <c r="R286" i="9"/>
  <c r="AB286" i="9"/>
  <c r="R883" i="9"/>
  <c r="AB883" i="9"/>
  <c r="R220" i="9"/>
  <c r="AB220" i="9"/>
  <c r="R1029" i="9"/>
  <c r="AB1029" i="9"/>
  <c r="R386" i="9"/>
  <c r="AB386" i="9"/>
  <c r="R764" i="9"/>
  <c r="AB764" i="9"/>
  <c r="R990" i="9"/>
  <c r="AB990" i="9"/>
  <c r="R920" i="9"/>
  <c r="AB920" i="9"/>
  <c r="R184" i="9"/>
  <c r="AB184" i="9"/>
  <c r="R333" i="9"/>
  <c r="AB333" i="9"/>
  <c r="R989" i="9"/>
  <c r="AB989" i="9"/>
  <c r="R720" i="9"/>
  <c r="AB720" i="9"/>
  <c r="R180" i="9"/>
  <c r="AB180" i="9"/>
  <c r="R761" i="9"/>
  <c r="AB761" i="9"/>
  <c r="R655" i="9"/>
  <c r="AB655" i="9"/>
  <c r="R656" i="9"/>
  <c r="AB656" i="9"/>
  <c r="R292" i="9"/>
  <c r="AB292" i="9"/>
  <c r="R1008" i="9"/>
  <c r="AB1008" i="9"/>
  <c r="R237" i="9"/>
  <c r="AB237" i="9"/>
  <c r="R773" i="9"/>
  <c r="AB773" i="9"/>
  <c r="R790" i="9"/>
  <c r="AB790" i="9"/>
  <c r="R235" i="9"/>
  <c r="AB235" i="9"/>
  <c r="R37" i="9"/>
  <c r="AB37" i="9"/>
  <c r="R219" i="9"/>
  <c r="AB219" i="9"/>
  <c r="R675" i="9"/>
  <c r="AB675" i="9"/>
  <c r="R299" i="9"/>
  <c r="AB299" i="9"/>
  <c r="R182" i="9"/>
  <c r="AB182" i="9"/>
  <c r="R673" i="9"/>
  <c r="AB673" i="9"/>
  <c r="R982" i="9"/>
  <c r="AB982" i="9"/>
  <c r="R193" i="9"/>
  <c r="AB193" i="9"/>
  <c r="R710" i="9"/>
  <c r="AB710" i="9"/>
  <c r="R23" i="9"/>
  <c r="AB23" i="9"/>
  <c r="R453" i="9"/>
  <c r="AB453" i="9"/>
  <c r="R736" i="9"/>
  <c r="AB736" i="9"/>
  <c r="R875" i="9"/>
  <c r="AB875" i="9"/>
  <c r="R827" i="9"/>
  <c r="AB827" i="9"/>
  <c r="R83" i="9"/>
  <c r="AB83" i="9"/>
  <c r="R611" i="9"/>
  <c r="AB611" i="9"/>
  <c r="R749" i="9"/>
  <c r="AB749" i="9"/>
  <c r="R411" i="9"/>
  <c r="AB411" i="9"/>
  <c r="R606" i="9"/>
  <c r="AB606" i="9"/>
  <c r="R921" i="9"/>
  <c r="AB921" i="9"/>
  <c r="R234" i="9"/>
  <c r="AB234" i="9"/>
  <c r="R136" i="9"/>
  <c r="AB136" i="9"/>
  <c r="R703" i="9"/>
  <c r="AB703" i="9"/>
  <c r="R601" i="9"/>
  <c r="AB601" i="9"/>
  <c r="R854" i="9"/>
  <c r="AB854" i="9"/>
  <c r="R432" i="9"/>
  <c r="AB432" i="9"/>
  <c r="R287" i="9"/>
  <c r="AB287" i="9"/>
  <c r="R998" i="9"/>
  <c r="AB998" i="9"/>
  <c r="R1009" i="9"/>
  <c r="AB1009" i="9"/>
  <c r="R985" i="9"/>
  <c r="AB985" i="9"/>
  <c r="R1028" i="9"/>
  <c r="AB1028" i="9"/>
  <c r="R34" i="9"/>
  <c r="AB34" i="9"/>
  <c r="R740" i="9"/>
  <c r="AB740" i="9"/>
  <c r="R767" i="9"/>
  <c r="AB767" i="9"/>
  <c r="R20" i="9"/>
  <c r="AB20" i="9"/>
  <c r="R568" i="9"/>
  <c r="AB568" i="9"/>
  <c r="R515" i="9"/>
  <c r="AB515" i="9"/>
  <c r="R1004" i="9"/>
  <c r="AB1004" i="9"/>
  <c r="R118" i="9"/>
  <c r="AB118" i="9"/>
  <c r="R583" i="9"/>
  <c r="AB583" i="9"/>
  <c r="R849" i="9"/>
  <c r="AB849" i="9"/>
  <c r="R511" i="9"/>
  <c r="AB511" i="9"/>
  <c r="R1013" i="9"/>
  <c r="AB1013" i="9"/>
  <c r="R28" i="9"/>
  <c r="AB28" i="9"/>
  <c r="R762" i="9"/>
  <c r="AB762" i="9"/>
  <c r="R155" i="9"/>
  <c r="AB155" i="9"/>
  <c r="R799" i="9"/>
  <c r="AB799" i="9"/>
  <c r="R944" i="9"/>
  <c r="AB944" i="9"/>
  <c r="R609" i="9"/>
  <c r="AB609" i="9"/>
  <c r="R497" i="9"/>
  <c r="AB497" i="9"/>
  <c r="R330" i="9"/>
  <c r="AB330" i="9"/>
  <c r="R38" i="9"/>
  <c r="AB38" i="9"/>
  <c r="R450" i="9"/>
  <c r="AB450" i="9"/>
  <c r="R164" i="9"/>
  <c r="AB164" i="9"/>
  <c r="R327" i="9"/>
  <c r="AB327" i="9"/>
  <c r="R239" i="9"/>
  <c r="AB239" i="9"/>
  <c r="R298" i="9"/>
  <c r="AB298" i="9"/>
  <c r="R680" i="9"/>
  <c r="AB680" i="9"/>
  <c r="R1044" i="9"/>
  <c r="AB1044" i="9"/>
  <c r="R88" i="9"/>
  <c r="AB88" i="9"/>
  <c r="R428" i="9"/>
  <c r="AB428" i="9"/>
  <c r="R1053" i="9"/>
  <c r="AB1053" i="9"/>
  <c r="R934" i="9"/>
  <c r="AB934" i="9"/>
  <c r="R439" i="9"/>
  <c r="AB439" i="9"/>
  <c r="R169" i="9"/>
  <c r="AB169" i="9"/>
  <c r="R660" i="9"/>
  <c r="AB660" i="9"/>
  <c r="R360" i="9"/>
  <c r="AB360" i="9"/>
  <c r="R422" i="9"/>
  <c r="AB422" i="9"/>
  <c r="R582" i="9"/>
  <c r="AB582" i="9"/>
  <c r="R1031" i="9"/>
  <c r="AB1031" i="9"/>
  <c r="R918" i="9"/>
  <c r="AB918" i="9"/>
  <c r="R263" i="9"/>
  <c r="AB263" i="9"/>
  <c r="R686" i="9"/>
  <c r="AB686" i="9"/>
  <c r="R393" i="9"/>
  <c r="AB393" i="9"/>
  <c r="R980" i="9"/>
  <c r="AB980" i="9"/>
  <c r="R699" i="9"/>
  <c r="AB699" i="9"/>
  <c r="R249" i="9"/>
  <c r="AB249" i="9"/>
  <c r="R440" i="9"/>
  <c r="AB440" i="9"/>
  <c r="R791" i="9"/>
  <c r="AB791" i="9"/>
  <c r="R504" i="9"/>
  <c r="AB504" i="9"/>
  <c r="R253" i="9"/>
  <c r="AB253" i="9"/>
  <c r="R824" i="9"/>
  <c r="AB824" i="9"/>
  <c r="R66" i="9"/>
  <c r="AB66" i="9"/>
  <c r="R120" i="9"/>
  <c r="AB120" i="9"/>
  <c r="R188" i="9"/>
  <c r="AB188" i="9"/>
  <c r="R1005" i="9"/>
  <c r="AB1005" i="9"/>
  <c r="R857" i="9"/>
  <c r="AB857" i="9"/>
  <c r="R893" i="9"/>
  <c r="AB893" i="9"/>
  <c r="R50" i="9"/>
  <c r="AB50" i="9"/>
  <c r="R808" i="9"/>
  <c r="AB808" i="9"/>
  <c r="R896" i="9"/>
  <c r="AB896" i="9"/>
  <c r="R378" i="9"/>
  <c r="AB378" i="9"/>
  <c r="R880" i="9"/>
  <c r="AB880" i="9"/>
  <c r="R375" i="9"/>
  <c r="AB375" i="9"/>
  <c r="R1036" i="9"/>
  <c r="AB1036" i="9"/>
  <c r="R858" i="9"/>
  <c r="AB858" i="9"/>
  <c r="R519" i="9"/>
  <c r="AB519" i="9"/>
  <c r="R100" i="9"/>
  <c r="AB100" i="9"/>
  <c r="R218" i="9"/>
  <c r="AB218" i="9"/>
  <c r="R194" i="9"/>
  <c r="AB194" i="9"/>
  <c r="R221" i="9"/>
  <c r="AB221" i="9"/>
  <c r="R442" i="9"/>
  <c r="AB442" i="9"/>
  <c r="R1050" i="9"/>
  <c r="AB1050" i="9"/>
  <c r="R503" i="9"/>
  <c r="AB503" i="9"/>
  <c r="R607" i="9"/>
  <c r="AB607" i="9"/>
  <c r="R826" i="9"/>
  <c r="AB826" i="9"/>
  <c r="R351" i="9"/>
  <c r="AB351" i="9"/>
  <c r="R43" i="9"/>
  <c r="AB43" i="9"/>
  <c r="R157" i="9"/>
  <c r="AB157" i="9"/>
  <c r="R359" i="9"/>
  <c r="AB359" i="9"/>
  <c r="R1046" i="9"/>
  <c r="AB1046" i="9"/>
  <c r="R787" i="9"/>
  <c r="AB787" i="9"/>
  <c r="R719" i="9"/>
  <c r="AB719" i="9"/>
  <c r="R670" i="9"/>
  <c r="AB670" i="9"/>
  <c r="R839" i="9"/>
  <c r="AB839" i="9"/>
  <c r="R501" i="9"/>
  <c r="AB501" i="9"/>
  <c r="R626" i="9"/>
  <c r="AB626" i="9"/>
  <c r="R750" i="9"/>
  <c r="AB750" i="9"/>
  <c r="R765" i="9"/>
  <c r="AB765" i="9"/>
  <c r="R649" i="9"/>
  <c r="AB649" i="9"/>
  <c r="R312" i="9"/>
  <c r="AB312" i="9"/>
  <c r="R196" i="9"/>
  <c r="AB196" i="9"/>
  <c r="R574" i="9"/>
  <c r="AB574" i="9"/>
  <c r="R295" i="9"/>
  <c r="AB295" i="9"/>
  <c r="R561" i="9"/>
  <c r="AB561" i="9"/>
  <c r="R763" i="9"/>
  <c r="AB763" i="9"/>
  <c r="R1022" i="9"/>
  <c r="AB1022" i="9"/>
  <c r="R128" i="9"/>
  <c r="AB128" i="9"/>
  <c r="R390" i="9"/>
  <c r="AB390" i="9"/>
  <c r="R280" i="9"/>
  <c r="AB280" i="9"/>
  <c r="R104" i="9"/>
  <c r="AB104" i="9"/>
  <c r="R240" i="9"/>
  <c r="AB240" i="9"/>
  <c r="R133" i="9"/>
  <c r="AB133" i="9"/>
  <c r="R1000" i="9"/>
  <c r="AB1000" i="9"/>
  <c r="R214" i="9"/>
  <c r="AB214" i="9"/>
  <c r="R21" i="9"/>
  <c r="AB21" i="9"/>
  <c r="R248" i="9"/>
  <c r="AB248" i="9"/>
  <c r="R922" i="9"/>
  <c r="AB922" i="9"/>
  <c r="R271" i="9"/>
  <c r="AB271" i="9"/>
  <c r="R919" i="9"/>
  <c r="AB919" i="9"/>
  <c r="R595" i="9"/>
  <c r="AB595" i="9"/>
  <c r="R683" i="9"/>
  <c r="AB683" i="9"/>
  <c r="R337" i="9"/>
  <c r="AB337" i="9"/>
  <c r="R793" i="9"/>
  <c r="AB793" i="9"/>
  <c r="R911" i="9"/>
  <c r="AB911" i="9"/>
  <c r="R206" i="9"/>
  <c r="AB206" i="9"/>
  <c r="R848" i="9"/>
  <c r="AB848" i="9"/>
  <c r="R95" i="9"/>
  <c r="AB95" i="9"/>
  <c r="R945" i="9"/>
  <c r="AB945" i="9"/>
  <c r="R374" i="9"/>
  <c r="AB374" i="9"/>
  <c r="R175" i="9"/>
  <c r="AB175" i="9"/>
  <c r="R964" i="9"/>
  <c r="AB964" i="9"/>
  <c r="R806" i="9"/>
  <c r="AB806" i="9"/>
  <c r="R616" i="9"/>
  <c r="AB616" i="9"/>
  <c r="R612" i="9"/>
  <c r="AB612" i="9"/>
  <c r="R167" i="9"/>
  <c r="AB167" i="9"/>
  <c r="R24" i="9"/>
  <c r="AB24" i="9"/>
  <c r="R81" i="9"/>
  <c r="AB81" i="9"/>
  <c r="R64" i="9"/>
  <c r="AB64" i="9"/>
  <c r="R216" i="9"/>
  <c r="AB216" i="9"/>
  <c r="R123" i="9"/>
  <c r="AB123" i="9"/>
  <c r="R757" i="9"/>
  <c r="AB757" i="9"/>
  <c r="R87" i="9"/>
  <c r="AB87" i="9"/>
  <c r="R901" i="9"/>
  <c r="AB901" i="9"/>
  <c r="R981" i="9"/>
  <c r="AB981" i="9"/>
  <c r="R245" i="9"/>
  <c r="AB245" i="9"/>
  <c r="R879" i="9"/>
  <c r="AB879" i="9"/>
  <c r="R419" i="9"/>
  <c r="AB419" i="9"/>
  <c r="R1020" i="9"/>
  <c r="AB1020" i="9"/>
  <c r="R27" i="9"/>
  <c r="AB27" i="9"/>
  <c r="R273" i="9"/>
  <c r="AB273" i="9"/>
  <c r="R625" i="9"/>
  <c r="AB625" i="9"/>
  <c r="R652" i="9"/>
  <c r="AB652" i="9"/>
  <c r="R98" i="9"/>
  <c r="AB98" i="9"/>
  <c r="R326" i="9"/>
  <c r="AB326" i="9"/>
  <c r="R366" i="9"/>
  <c r="AB366" i="9"/>
  <c r="R269" i="9"/>
  <c r="AB269" i="9"/>
  <c r="R205" i="9"/>
  <c r="AB205" i="9"/>
  <c r="R212" i="9"/>
  <c r="AB212" i="9"/>
  <c r="R948" i="9"/>
  <c r="AB948" i="9"/>
  <c r="R738" i="9"/>
  <c r="AB738" i="9"/>
  <c r="R348" i="9"/>
  <c r="AB348" i="9"/>
  <c r="R573" i="9"/>
  <c r="AB573" i="9"/>
  <c r="R553" i="9"/>
  <c r="AB553" i="9"/>
  <c r="R585" i="9"/>
  <c r="AB585" i="9"/>
  <c r="R529" i="9"/>
  <c r="AB529" i="9"/>
  <c r="R589" i="9"/>
  <c r="AB589" i="9"/>
  <c r="R423" i="9"/>
  <c r="AB423" i="9"/>
  <c r="R472" i="9"/>
  <c r="AB472" i="9"/>
  <c r="R931" i="9"/>
  <c r="AB931" i="9"/>
  <c r="R1061" i="9"/>
  <c r="AB1061" i="9"/>
  <c r="R251" i="9"/>
  <c r="AB251" i="9"/>
  <c r="R307" i="9"/>
  <c r="AB307" i="9"/>
  <c r="R197" i="9"/>
  <c r="AB197" i="9"/>
  <c r="R557" i="9"/>
  <c r="AB557" i="9"/>
  <c r="R634" i="9"/>
  <c r="AB634" i="9"/>
  <c r="R909" i="9"/>
  <c r="AB909" i="9"/>
  <c r="R131" i="9"/>
  <c r="AB131" i="9"/>
  <c r="R618" i="9"/>
  <c r="AB618" i="9"/>
  <c r="R954" i="9"/>
  <c r="AB954" i="9"/>
  <c r="R396" i="9"/>
  <c r="AB396" i="9"/>
  <c r="R560" i="9"/>
  <c r="AB560" i="9"/>
  <c r="R370" i="9"/>
  <c r="AB370" i="9"/>
  <c r="R534" i="9"/>
  <c r="AB534" i="9"/>
  <c r="R353" i="9"/>
  <c r="AB353" i="9"/>
  <c r="R599" i="9"/>
  <c r="AB599" i="9"/>
  <c r="R336" i="9"/>
  <c r="AB336" i="9"/>
  <c r="R526" i="9"/>
  <c r="AB526" i="9"/>
  <c r="R709" i="9"/>
  <c r="AB709" i="9"/>
  <c r="R156" i="9"/>
  <c r="AB156" i="9"/>
  <c r="R68" i="9"/>
  <c r="AB68" i="9"/>
  <c r="R733" i="9"/>
  <c r="AB733" i="9"/>
  <c r="R491" i="9"/>
  <c r="AB491" i="9"/>
  <c r="R910" i="9"/>
  <c r="AB910" i="9"/>
  <c r="R387" i="9"/>
  <c r="AB387" i="9"/>
  <c r="R717" i="9"/>
  <c r="AB717" i="9"/>
  <c r="R965" i="9"/>
  <c r="AB965" i="9"/>
  <c r="R823" i="9"/>
  <c r="AB823" i="9"/>
  <c r="R796" i="9"/>
  <c r="AB796" i="9"/>
  <c r="R1045" i="9"/>
  <c r="AB1045" i="9"/>
  <c r="R701" i="9"/>
  <c r="AB701" i="9"/>
  <c r="R355" i="9"/>
  <c r="AB355" i="9"/>
  <c r="R309" i="9"/>
  <c r="AB309" i="9"/>
  <c r="R510" i="9"/>
  <c r="AB510" i="9"/>
  <c r="R1011" i="9"/>
  <c r="AB1011" i="9"/>
  <c r="R943" i="9"/>
  <c r="AB943" i="9"/>
  <c r="R1051" i="9"/>
  <c r="AB1051" i="9"/>
  <c r="R646" i="9"/>
  <c r="AB646" i="9"/>
  <c r="R357" i="9"/>
  <c r="AB357" i="9"/>
  <c r="R1060" i="9"/>
  <c r="AB1060" i="9"/>
  <c r="R485" i="9"/>
  <c r="AB485" i="9"/>
  <c r="R122" i="9"/>
  <c r="AB122" i="9"/>
  <c r="R881" i="9"/>
  <c r="AB881" i="9"/>
  <c r="R900" i="9"/>
  <c r="AB900" i="9"/>
  <c r="R395" i="9"/>
  <c r="AB395" i="9"/>
  <c r="R14" i="9"/>
  <c r="AB14" i="9"/>
  <c r="R297" i="9"/>
  <c r="AB297" i="9"/>
  <c r="R311" i="9"/>
  <c r="AB311" i="9"/>
  <c r="R69" i="9"/>
  <c r="AB69" i="9"/>
  <c r="R851" i="9"/>
  <c r="AB851" i="9"/>
  <c r="R323" i="9"/>
  <c r="AB323" i="9"/>
  <c r="R862" i="9"/>
  <c r="AB862" i="9"/>
  <c r="R284" i="9"/>
  <c r="AB284" i="9"/>
  <c r="R71" i="9"/>
  <c r="AB71" i="9"/>
  <c r="R398" i="9"/>
  <c r="AB398" i="9"/>
  <c r="R367" i="9"/>
  <c r="AB367" i="9"/>
  <c r="R154" i="9"/>
  <c r="AB154" i="9"/>
  <c r="R477" i="9"/>
  <c r="AB477" i="9"/>
  <c r="R1012" i="9"/>
  <c r="AB1012" i="9"/>
  <c r="R55" i="9"/>
  <c r="AB55" i="9"/>
  <c r="R18" i="9"/>
  <c r="AB18" i="9"/>
  <c r="R25" i="9"/>
  <c r="AB25" i="9"/>
  <c r="R632" i="9"/>
  <c r="AB632" i="9"/>
  <c r="R769" i="9"/>
  <c r="AB769" i="9"/>
  <c r="R725" i="9"/>
  <c r="AB725" i="9"/>
  <c r="R474" i="9"/>
  <c r="AB474" i="9"/>
  <c r="R260" i="9"/>
  <c r="AB260" i="9"/>
  <c r="R594" i="9"/>
  <c r="AB594" i="9"/>
  <c r="R409" i="9"/>
  <c r="AB409" i="9"/>
  <c r="R549" i="9"/>
  <c r="AB549" i="9"/>
  <c r="R633" i="9"/>
  <c r="AB633" i="9"/>
  <c r="R490" i="9"/>
  <c r="AB490" i="9"/>
  <c r="R674" i="9"/>
  <c r="AB674" i="9"/>
  <c r="R40" i="9"/>
  <c r="AB40" i="9"/>
  <c r="R528" i="9"/>
  <c r="AB528" i="9"/>
  <c r="R778" i="9"/>
  <c r="AB778" i="9"/>
  <c r="R204" i="9"/>
  <c r="AB204" i="9"/>
  <c r="R781" i="9"/>
  <c r="AB781" i="9"/>
  <c r="R818" i="9"/>
  <c r="AB818" i="9"/>
  <c r="R111" i="9"/>
  <c r="AB111" i="9"/>
  <c r="R544" i="9"/>
  <c r="AB544" i="9"/>
  <c r="R955" i="9"/>
  <c r="AB955" i="9"/>
  <c r="R215" i="9"/>
  <c r="AB215" i="9"/>
  <c r="R435" i="9"/>
  <c r="AB435" i="9"/>
  <c r="R438" i="9"/>
  <c r="AB438" i="9"/>
  <c r="R564" i="9"/>
  <c r="AB564" i="9"/>
  <c r="R1026" i="9"/>
  <c r="AB1026" i="9"/>
  <c r="R241" i="9"/>
  <c r="AB241" i="9"/>
  <c r="R682" i="9"/>
  <c r="AB682" i="9"/>
  <c r="R956" i="9"/>
  <c r="AB956" i="9"/>
  <c r="R452" i="9"/>
  <c r="AB452" i="9"/>
  <c r="R936" i="9"/>
  <c r="AB936" i="9"/>
  <c r="R448" i="9"/>
  <c r="AB448" i="9"/>
  <c r="R996" i="9"/>
  <c r="AB996" i="9"/>
  <c r="R556" i="9"/>
  <c r="AB556" i="9"/>
  <c r="R54" i="9"/>
  <c r="AB54" i="9"/>
  <c r="R467" i="9"/>
  <c r="AB467" i="9"/>
  <c r="R73" i="9"/>
  <c r="AB73" i="9"/>
  <c r="R339" i="9"/>
  <c r="AB339" i="9"/>
  <c r="R957" i="9"/>
  <c r="AB957" i="9"/>
  <c r="R783" i="9"/>
  <c r="AB783" i="9"/>
  <c r="R834" i="9"/>
  <c r="AB834" i="9"/>
  <c r="R832" i="9"/>
  <c r="AB832" i="9"/>
  <c r="R992" i="9"/>
  <c r="AB992" i="9"/>
  <c r="R1049" i="9"/>
  <c r="AB1049" i="9"/>
  <c r="R904" i="9"/>
  <c r="AB904" i="9"/>
  <c r="R42" i="9"/>
  <c r="AB42" i="9"/>
  <c r="R22" i="9"/>
  <c r="AB22" i="9"/>
  <c r="R168" i="9"/>
  <c r="AB168" i="9"/>
  <c r="R436" i="9"/>
  <c r="AB436" i="9"/>
  <c r="R495" i="9"/>
  <c r="AB495" i="9"/>
  <c r="R101" i="9"/>
  <c r="AB101" i="9"/>
  <c r="R772" i="9"/>
  <c r="AB772" i="9"/>
  <c r="R91" i="9"/>
  <c r="AB91" i="9"/>
  <c r="R752" i="9"/>
  <c r="AB752" i="9"/>
  <c r="R137" i="9"/>
  <c r="AB137" i="9"/>
  <c r="R166" i="9"/>
  <c r="AB166" i="9"/>
  <c r="R233" i="9"/>
  <c r="AB233" i="9"/>
  <c r="R728" i="9"/>
  <c r="AB728" i="9"/>
  <c r="R47" i="9"/>
  <c r="AB47" i="9"/>
  <c r="R788" i="9"/>
  <c r="AB788" i="9"/>
  <c r="R107" i="9"/>
  <c r="AB107" i="9"/>
  <c r="R591" i="9"/>
  <c r="AB591" i="9"/>
  <c r="R151" i="9"/>
  <c r="AB151" i="9"/>
  <c r="R723" i="9"/>
  <c r="AB723" i="9"/>
  <c r="R232" i="9"/>
  <c r="AB232" i="9"/>
  <c r="R876" i="9"/>
  <c r="AB876" i="9"/>
  <c r="R500" i="9"/>
  <c r="AB500" i="9"/>
  <c r="R984" i="9"/>
  <c r="AB984" i="9"/>
  <c r="R459" i="9"/>
  <c r="AB459" i="9"/>
  <c r="R65" i="9"/>
  <c r="AB65" i="9"/>
  <c r="R112" i="9"/>
  <c r="AB112" i="9"/>
  <c r="R722" i="9"/>
  <c r="AB722" i="9"/>
  <c r="R162" i="9"/>
  <c r="AB162" i="9"/>
  <c r="R718" i="9"/>
  <c r="AB718" i="9"/>
  <c r="R158" i="9"/>
  <c r="AB158" i="9"/>
  <c r="R567" i="9"/>
  <c r="AB567" i="9"/>
  <c r="R202" i="9"/>
  <c r="AB202" i="9"/>
  <c r="R681" i="9"/>
  <c r="AB681" i="9"/>
  <c r="R342" i="9"/>
  <c r="AB342" i="9"/>
  <c r="R707" i="9"/>
  <c r="AB707" i="9"/>
  <c r="R587" i="9"/>
  <c r="AB587" i="9"/>
  <c r="R821" i="9"/>
  <c r="AB821" i="9"/>
  <c r="R379" i="9"/>
  <c r="AB379" i="9"/>
  <c r="R885" i="9"/>
  <c r="AB885" i="9"/>
  <c r="R270" i="9"/>
  <c r="AB270" i="9"/>
  <c r="R539" i="9"/>
  <c r="AB539" i="9"/>
  <c r="R354" i="9"/>
  <c r="AB354" i="9"/>
  <c r="R685" i="9"/>
  <c r="AB685" i="9"/>
  <c r="R322" i="9"/>
  <c r="AB322" i="9"/>
  <c r="R967" i="9"/>
  <c r="AB967" i="9"/>
  <c r="R315" i="9"/>
  <c r="AB315" i="9"/>
  <c r="R1042" i="9"/>
  <c r="AB1042" i="9"/>
  <c r="R973" i="9"/>
  <c r="AB973" i="9"/>
  <c r="R313" i="9"/>
  <c r="AB313" i="9"/>
  <c r="R483" i="9"/>
  <c r="AB483" i="9"/>
  <c r="R732" i="9"/>
  <c r="AB732" i="9"/>
  <c r="R563" i="9"/>
  <c r="AB563" i="9"/>
  <c r="R952" i="9"/>
  <c r="AB952" i="9"/>
  <c r="R174" i="9"/>
  <c r="AB174" i="9"/>
  <c r="R816" i="9"/>
  <c r="AB816" i="9"/>
  <c r="R70" i="9"/>
  <c r="AB70" i="9"/>
  <c r="R983" i="9"/>
  <c r="AB983" i="9"/>
  <c r="R792" i="9"/>
  <c r="AB792" i="9"/>
  <c r="R1032" i="9"/>
  <c r="AB1032" i="9"/>
  <c r="R254" i="9"/>
  <c r="AB254" i="9"/>
  <c r="R666" i="9"/>
  <c r="AB666" i="9"/>
  <c r="R29" i="9"/>
  <c r="AB29" i="9"/>
  <c r="R153" i="9"/>
  <c r="AB153" i="9"/>
  <c r="R940" i="9"/>
  <c r="AB940" i="9"/>
  <c r="R578" i="9"/>
  <c r="AB578" i="9"/>
  <c r="R811" i="9"/>
  <c r="AB811" i="9"/>
  <c r="R187" i="9"/>
  <c r="AB187" i="9"/>
  <c r="R457" i="9"/>
  <c r="AB457" i="9"/>
  <c r="R950" i="9"/>
  <c r="AB950" i="9"/>
  <c r="R466" i="9"/>
  <c r="AB466" i="9"/>
  <c r="R898" i="9"/>
  <c r="AB898" i="9"/>
  <c r="R462" i="9"/>
  <c r="AB462" i="9"/>
  <c r="R942" i="9"/>
  <c r="AB942" i="9"/>
  <c r="R570" i="9"/>
  <c r="AB570" i="9"/>
  <c r="R1034" i="9"/>
  <c r="AB1034" i="9"/>
  <c r="R421" i="9"/>
  <c r="AB421" i="9"/>
  <c r="R925" i="9"/>
  <c r="AB925" i="9"/>
  <c r="R82" i="9"/>
  <c r="AB82" i="9"/>
  <c r="R488" i="9"/>
  <c r="AB488" i="9"/>
  <c r="R431" i="9"/>
  <c r="AB431" i="9"/>
  <c r="R734" i="9"/>
  <c r="AB734" i="9"/>
  <c r="R650" i="9"/>
  <c r="AB650" i="9"/>
  <c r="R565" i="9"/>
  <c r="AB565" i="9"/>
  <c r="R690" i="9"/>
  <c r="AB690" i="9"/>
  <c r="R814" i="9"/>
  <c r="AB814" i="9"/>
  <c r="R829" i="9"/>
  <c r="AB829" i="9"/>
  <c r="R713" i="9"/>
  <c r="AB713" i="9"/>
  <c r="R665" i="9"/>
  <c r="AB665" i="9"/>
  <c r="R905" i="9"/>
  <c r="AB905" i="9"/>
  <c r="R449" i="9"/>
  <c r="AB449" i="9"/>
  <c r="R888" i="9"/>
  <c r="AB888" i="9"/>
  <c r="R464" i="9"/>
  <c r="AB464" i="9"/>
  <c r="R884" i="9"/>
  <c r="AB884" i="9"/>
  <c r="R444" i="9"/>
  <c r="AB444" i="9"/>
  <c r="R17" i="9"/>
  <c r="AB17" i="9"/>
  <c r="R810" i="9"/>
  <c r="AB810" i="9"/>
  <c r="R860" i="9"/>
  <c r="AB860" i="9"/>
  <c r="R420" i="9"/>
  <c r="AB420" i="9"/>
  <c r="R968" i="9"/>
  <c r="AB968" i="9"/>
  <c r="R480" i="9"/>
  <c r="AB480" i="9"/>
  <c r="R106" i="9"/>
  <c r="AB106" i="9"/>
  <c r="R551" i="9"/>
  <c r="AB551" i="9"/>
  <c r="R86" i="9"/>
  <c r="AB86" i="9"/>
  <c r="R600" i="9"/>
  <c r="AB600" i="9"/>
  <c r="R41" i="9"/>
  <c r="AB41" i="9"/>
  <c r="R1059" i="9"/>
  <c r="AB1059" i="9"/>
  <c r="R514" i="9"/>
  <c r="AB514" i="9"/>
  <c r="R962" i="9"/>
  <c r="AB962" i="9"/>
  <c r="R413" i="9"/>
  <c r="AB413" i="9"/>
  <c r="R977" i="9"/>
  <c r="AB977" i="9"/>
  <c r="R358" i="9"/>
  <c r="AB358" i="9"/>
  <c r="R696" i="9"/>
  <c r="AB696" i="9"/>
  <c r="R142" i="9"/>
  <c r="AB142" i="9"/>
  <c r="R692" i="9"/>
  <c r="AB692" i="9"/>
  <c r="R148" i="9"/>
  <c r="AB148" i="9"/>
  <c r="R800" i="9"/>
  <c r="AB800" i="9"/>
  <c r="R119" i="9"/>
  <c r="AB119" i="9"/>
  <c r="R691" i="9"/>
  <c r="AB691" i="9"/>
  <c r="R264" i="9"/>
  <c r="AB264" i="9"/>
  <c r="R437" i="9"/>
  <c r="AB437" i="9"/>
  <c r="R300" i="9"/>
  <c r="AB300" i="9"/>
  <c r="R385" i="9"/>
  <c r="AB385" i="9"/>
  <c r="R391" i="9"/>
  <c r="AB391" i="9"/>
  <c r="R705" i="9"/>
  <c r="AB705" i="9"/>
  <c r="R415" i="9"/>
  <c r="AB415" i="9"/>
  <c r="R716" i="9"/>
  <c r="AB716" i="9"/>
  <c r="R319" i="9"/>
  <c r="AB319" i="9"/>
  <c r="R802" i="9"/>
  <c r="AB802" i="9"/>
  <c r="R189" i="9"/>
  <c r="AB189" i="9"/>
  <c r="R847" i="9"/>
  <c r="AB847" i="9"/>
  <c r="R405" i="9"/>
  <c r="AB405" i="9"/>
  <c r="R604" i="9"/>
  <c r="AB604" i="9"/>
  <c r="R590" i="9"/>
  <c r="AB590" i="9"/>
  <c r="R871" i="9"/>
  <c r="AB871" i="9"/>
  <c r="R259" i="9"/>
  <c r="AB259" i="9"/>
  <c r="R92" i="9"/>
  <c r="AB92" i="9"/>
  <c r="R115" i="9"/>
  <c r="AB115" i="9"/>
  <c r="R513" i="9"/>
  <c r="AB513" i="9"/>
  <c r="R641" i="9"/>
  <c r="AB641" i="9"/>
  <c r="R139" i="9"/>
  <c r="AB139" i="9"/>
  <c r="R508" i="9"/>
  <c r="AB508" i="9"/>
  <c r="R520" i="9"/>
  <c r="AB520" i="9"/>
  <c r="R566" i="9"/>
  <c r="AB566" i="9"/>
  <c r="R484" i="9"/>
  <c r="AB484" i="9"/>
  <c r="R721" i="9"/>
  <c r="AB721" i="9"/>
  <c r="R176" i="9"/>
  <c r="AB176" i="9"/>
  <c r="R640" i="9"/>
  <c r="AB640" i="9"/>
  <c r="R841" i="9"/>
  <c r="AB841" i="9"/>
  <c r="R296" i="9"/>
  <c r="AB296" i="9"/>
  <c r="R886" i="9"/>
  <c r="AB886" i="9"/>
  <c r="R127" i="9"/>
  <c r="AB127" i="9"/>
  <c r="R523" i="9"/>
  <c r="AB523" i="9"/>
  <c r="R129" i="9"/>
  <c r="AB129" i="9"/>
  <c r="R39" i="9"/>
  <c r="AB39" i="9"/>
  <c r="R786" i="9"/>
  <c r="AB786" i="9"/>
  <c r="R226" i="9"/>
  <c r="AB226" i="9"/>
  <c r="R782" i="9"/>
  <c r="AB782" i="9"/>
  <c r="R222" i="9"/>
  <c r="AB222" i="9"/>
  <c r="R669" i="9"/>
  <c r="AB669" i="9"/>
  <c r="R266" i="9"/>
  <c r="AB266" i="9"/>
  <c r="R745" i="9"/>
  <c r="AB745" i="9"/>
  <c r="R185" i="9"/>
  <c r="AB185" i="9"/>
  <c r="R726" i="9"/>
  <c r="AB726" i="9"/>
  <c r="R784" i="9"/>
  <c r="AB784" i="9"/>
  <c r="R10" i="9"/>
  <c r="D5" i="11"/>
  <c r="G5" i="11"/>
  <c r="R306" i="9"/>
  <c r="AB306" i="9"/>
  <c r="R400" i="9"/>
  <c r="AB400" i="9"/>
  <c r="R380" i="9"/>
  <c r="AB380" i="9"/>
  <c r="R746" i="9"/>
  <c r="AB746" i="9"/>
  <c r="R593" i="9"/>
  <c r="AB593" i="9"/>
  <c r="R416" i="9"/>
  <c r="AB416" i="9"/>
  <c r="R487" i="9"/>
  <c r="AB487" i="9"/>
  <c r="R536" i="9"/>
  <c r="AB536" i="9"/>
  <c r="R828" i="9"/>
  <c r="AB828" i="9"/>
  <c r="R837" i="9"/>
  <c r="AB837" i="9"/>
  <c r="R213" i="9"/>
  <c r="AB213" i="9"/>
  <c r="R850" i="9"/>
  <c r="AB850" i="9"/>
  <c r="R478" i="9"/>
  <c r="AB478" i="9"/>
  <c r="R1003" i="9"/>
  <c r="AB1003" i="9"/>
  <c r="R458" i="9"/>
  <c r="AB458" i="9"/>
  <c r="R697" i="9"/>
  <c r="AB697" i="9"/>
  <c r="R172" i="9"/>
  <c r="AB172" i="9"/>
  <c r="R1043" i="9"/>
  <c r="AB1043" i="9"/>
  <c r="R434" i="9"/>
  <c r="AB434" i="9"/>
  <c r="R930" i="9"/>
  <c r="AB930" i="9"/>
  <c r="R494" i="9"/>
  <c r="AB494" i="9"/>
  <c r="R897" i="9"/>
  <c r="AB897" i="9"/>
  <c r="R505" i="9"/>
  <c r="AB505" i="9"/>
  <c r="R877" i="9"/>
  <c r="AB877" i="9"/>
  <c r="R350" i="9"/>
  <c r="AB350" i="9"/>
  <c r="R855" i="9"/>
  <c r="AB855" i="9"/>
  <c r="R770" i="9"/>
  <c r="AB770" i="9"/>
  <c r="R210" i="9"/>
  <c r="AB210" i="9"/>
  <c r="R737" i="9"/>
  <c r="AB737" i="9"/>
  <c r="R177" i="9"/>
  <c r="AB177" i="9"/>
  <c r="R727" i="9"/>
  <c r="AB727" i="9"/>
  <c r="R892" i="9"/>
  <c r="AB892" i="9"/>
  <c r="R388" i="9"/>
  <c r="AB388" i="9"/>
  <c r="R872" i="9"/>
  <c r="AB872" i="9"/>
  <c r="R384" i="9"/>
  <c r="AB384" i="9"/>
  <c r="R932" i="9"/>
  <c r="AB932" i="9"/>
  <c r="R492" i="9"/>
  <c r="AB492" i="9"/>
  <c r="R1040" i="9"/>
  <c r="AB1040" i="9"/>
  <c r="R403" i="9"/>
  <c r="AB403" i="9"/>
  <c r="R130" i="9"/>
  <c r="AB130" i="9"/>
  <c r="R146" i="9"/>
  <c r="AB146" i="9"/>
  <c r="R874" i="9"/>
  <c r="AB874" i="9"/>
  <c r="R361" i="9"/>
  <c r="AB361" i="9"/>
  <c r="R547" i="9"/>
  <c r="AB547" i="9"/>
  <c r="R865" i="9"/>
  <c r="AB865" i="9"/>
  <c r="R969" i="9"/>
  <c r="AB969" i="9"/>
  <c r="R282" i="9"/>
  <c r="AB282" i="9"/>
  <c r="R667" i="9"/>
  <c r="AB667" i="9"/>
  <c r="R89" i="9"/>
  <c r="AB89" i="9"/>
  <c r="R1041" i="9"/>
  <c r="AB1041" i="9"/>
  <c r="R756" i="9"/>
  <c r="AB756" i="9"/>
  <c r="R755" i="9"/>
  <c r="AB755" i="9"/>
  <c r="R1062" i="9"/>
  <c r="AB1062" i="9"/>
  <c r="R803" i="9"/>
  <c r="AB803" i="9"/>
  <c r="R550" i="9"/>
  <c r="AB550" i="9"/>
  <c r="R798" i="9"/>
  <c r="AB798" i="9"/>
  <c r="R456" i="9"/>
  <c r="AB456" i="9"/>
  <c r="R657" i="9"/>
  <c r="AB657" i="9"/>
  <c r="R777" i="9"/>
  <c r="AB777" i="9"/>
  <c r="R63" i="9"/>
  <c r="AB63" i="9"/>
  <c r="R902" i="9"/>
  <c r="AB902" i="9"/>
  <c r="R878" i="9"/>
  <c r="AB878" i="9"/>
  <c r="R1015" i="9"/>
  <c r="AB1015" i="9"/>
  <c r="R1023" i="9"/>
  <c r="AB1023" i="9"/>
  <c r="R939" i="9"/>
  <c r="AB939" i="9"/>
  <c r="R662" i="9"/>
  <c r="AB662" i="9"/>
  <c r="R979" i="9"/>
  <c r="AB979" i="9"/>
  <c r="R866" i="9"/>
  <c r="AB866" i="9"/>
  <c r="R1054" i="9"/>
  <c r="AB1054" i="9"/>
  <c r="R1002" i="9"/>
  <c r="AB1002" i="9"/>
  <c r="R243" i="9"/>
  <c r="AB243" i="9"/>
  <c r="R285" i="9"/>
  <c r="AB285" i="9"/>
  <c r="R321" i="9"/>
  <c r="AB321" i="9"/>
  <c r="R541" i="9"/>
  <c r="AB541" i="9"/>
  <c r="R538" i="9"/>
  <c r="AB538" i="9"/>
  <c r="R700" i="9"/>
  <c r="AB700" i="9"/>
  <c r="R908" i="9"/>
  <c r="AB908" i="9"/>
  <c r="R809" i="9"/>
  <c r="AB809" i="9"/>
  <c r="R341" i="9"/>
  <c r="AB341" i="9"/>
  <c r="R62" i="9"/>
  <c r="AB62" i="9"/>
  <c r="R647" i="9"/>
  <c r="AB647" i="9"/>
  <c r="R960" i="9"/>
  <c r="AB960" i="9"/>
  <c r="R895" i="9"/>
  <c r="AB895" i="9"/>
  <c r="R935" i="9"/>
  <c r="AB935" i="9"/>
  <c r="R543" i="9"/>
  <c r="AB543" i="9"/>
  <c r="R642" i="9"/>
  <c r="AB642" i="9"/>
  <c r="R56" i="9"/>
  <c r="AB56" i="9"/>
  <c r="R36" i="9"/>
  <c r="AB36" i="9"/>
  <c r="R476" i="9"/>
  <c r="AB476" i="9"/>
  <c r="R923" i="9"/>
  <c r="AB923" i="9"/>
  <c r="R913" i="9"/>
  <c r="AB913" i="9"/>
  <c r="R279" i="9"/>
  <c r="AB279" i="9"/>
  <c r="R329" i="9"/>
  <c r="AB329" i="9"/>
  <c r="R45" i="9"/>
  <c r="AB45" i="9"/>
  <c r="R887" i="9"/>
  <c r="AB887" i="9"/>
  <c r="R819" i="9"/>
  <c r="AB819" i="9"/>
  <c r="R537" i="9"/>
  <c r="AB537" i="9"/>
  <c r="R331" i="9"/>
  <c r="AB331" i="9"/>
  <c r="R85" i="9"/>
  <c r="AB85" i="9"/>
  <c r="R947" i="9"/>
  <c r="AB947" i="9"/>
  <c r="R852" i="9"/>
  <c r="AB852" i="9"/>
  <c r="R766" i="9"/>
  <c r="AB766" i="9"/>
  <c r="R527" i="9"/>
  <c r="AB527" i="9"/>
  <c r="R291" i="9"/>
  <c r="AB291" i="9"/>
  <c r="R170" i="9"/>
  <c r="AB170" i="9"/>
  <c r="R171" i="9"/>
  <c r="AB171" i="9"/>
  <c r="R308" i="9"/>
  <c r="AB308" i="9"/>
  <c r="R451" i="9"/>
  <c r="AB451" i="9"/>
  <c r="R199" i="9"/>
  <c r="AB199" i="9"/>
  <c r="R288" i="9"/>
  <c r="AB288" i="9"/>
  <c r="R31" i="9"/>
  <c r="AB31" i="9"/>
  <c r="R822" i="9"/>
  <c r="AB822" i="9"/>
  <c r="R208" i="9"/>
  <c r="AB208" i="9"/>
  <c r="R991" i="9"/>
  <c r="AB991" i="9"/>
  <c r="R225" i="9"/>
  <c r="AB225" i="9"/>
  <c r="R90" i="9"/>
  <c r="AB90" i="9"/>
  <c r="R178" i="9"/>
  <c r="AB178" i="9"/>
  <c r="R247" i="9"/>
  <c r="AB247" i="9"/>
  <c r="R59" i="9"/>
  <c r="AB59" i="9"/>
  <c r="R1039" i="9"/>
  <c r="AB1039" i="9"/>
  <c r="R11" i="9"/>
  <c r="AB11" i="9"/>
  <c r="R817" i="9"/>
  <c r="AB817" i="9"/>
  <c r="R946" i="9"/>
  <c r="AB946" i="9"/>
  <c r="R730" i="9"/>
  <c r="AB730" i="9"/>
  <c r="R586" i="9"/>
  <c r="AB586" i="9"/>
  <c r="R377" i="9"/>
  <c r="AB377" i="9"/>
  <c r="R636" i="9"/>
  <c r="AB636" i="9"/>
  <c r="R229" i="9"/>
  <c r="AB229" i="9"/>
  <c r="R846" i="9"/>
  <c r="AB846" i="9"/>
  <c r="R835" i="9"/>
  <c r="AB835" i="9"/>
  <c r="R159" i="9"/>
  <c r="AB159" i="9"/>
  <c r="R230" i="9"/>
  <c r="AB230" i="9"/>
  <c r="R49" i="9"/>
  <c r="AB49" i="9"/>
  <c r="R623" i="9"/>
  <c r="AB623" i="9"/>
  <c r="R597" i="9"/>
  <c r="AB597" i="9"/>
  <c r="R75" i="9"/>
  <c r="AB75" i="9"/>
  <c r="R328" i="9"/>
  <c r="AB328" i="9"/>
  <c r="R228" i="9"/>
  <c r="AB228" i="9"/>
  <c r="R303" i="9"/>
  <c r="AB303" i="9"/>
  <c r="R706" i="9"/>
  <c r="AB706" i="9"/>
  <c r="R347" i="9"/>
  <c r="AB347" i="9"/>
  <c r="R630" i="9"/>
  <c r="AB630" i="9"/>
  <c r="R190" i="9"/>
  <c r="AB190" i="9"/>
  <c r="R310" i="9"/>
  <c r="AB310" i="9"/>
  <c r="R747" i="9"/>
  <c r="AB747" i="9"/>
  <c r="R402" i="9"/>
  <c r="AB402" i="9"/>
  <c r="R506" i="9"/>
  <c r="AB506" i="9"/>
  <c r="R19" i="9"/>
  <c r="AB19" i="9"/>
  <c r="R708" i="9"/>
  <c r="AB708" i="9"/>
  <c r="R688" i="9"/>
  <c r="AB688" i="9"/>
  <c r="R275" i="9"/>
  <c r="AB275" i="9"/>
  <c r="R664" i="9"/>
  <c r="AB664" i="9"/>
  <c r="R724" i="9"/>
  <c r="AB724" i="9"/>
  <c r="R775" i="9"/>
  <c r="AB775" i="9"/>
  <c r="R659" i="9"/>
  <c r="AB659" i="9"/>
  <c r="R995" i="9"/>
  <c r="AB995" i="9"/>
  <c r="R1056" i="9"/>
  <c r="AB1056" i="9"/>
  <c r="R276" i="9"/>
  <c r="AB276" i="9"/>
  <c r="R191" i="9"/>
  <c r="AB191" i="9"/>
  <c r="R52" i="9"/>
  <c r="AB52" i="9"/>
  <c r="R471" i="9"/>
  <c r="AB471" i="9"/>
  <c r="R352" i="9"/>
  <c r="AB352" i="9"/>
  <c r="R608" i="9"/>
  <c r="AB608" i="9"/>
  <c r="R1017" i="9"/>
  <c r="AB1017" i="9"/>
  <c r="R831" i="9"/>
  <c r="AB831" i="9"/>
  <c r="R289" i="9"/>
  <c r="AB289" i="9"/>
  <c r="R80" i="9"/>
  <c r="AB80" i="9"/>
  <c r="R972" i="9"/>
  <c r="AB972" i="9"/>
  <c r="R672" i="9"/>
  <c r="AB672" i="9"/>
  <c r="R412" i="9"/>
  <c r="AB412" i="9"/>
  <c r="R486" i="9"/>
  <c r="AB486" i="9"/>
  <c r="R915" i="9"/>
  <c r="AB915" i="9"/>
  <c r="R644" i="9"/>
  <c r="AB644" i="9"/>
  <c r="R825" i="9"/>
  <c r="AB825" i="9"/>
  <c r="R628" i="9"/>
  <c r="AB628" i="9"/>
  <c r="R702" i="9"/>
  <c r="AB702" i="9"/>
  <c r="R1025" i="9"/>
  <c r="AB1025" i="9"/>
  <c r="R631" i="9"/>
  <c r="AB631" i="9"/>
  <c r="R540" i="9"/>
  <c r="AB540" i="9"/>
  <c r="R140" i="9"/>
  <c r="AB140" i="9"/>
  <c r="R1063" i="9"/>
  <c r="AB1063" i="9"/>
  <c r="R679" i="9"/>
  <c r="AB679" i="9"/>
  <c r="R429" i="9"/>
  <c r="AB429" i="9"/>
  <c r="R147" i="9"/>
  <c r="AB147" i="9"/>
  <c r="R124" i="9"/>
  <c r="AB124" i="9"/>
  <c r="R192" i="9"/>
  <c r="AB192" i="9"/>
  <c r="R869" i="9"/>
  <c r="AB869" i="9"/>
  <c r="R805" i="9"/>
  <c r="AB805" i="9"/>
  <c r="R581" i="9"/>
  <c r="AB581" i="9"/>
  <c r="R524" i="9"/>
  <c r="AB524" i="9"/>
  <c r="R461" i="9"/>
  <c r="AB461" i="9"/>
  <c r="R401" i="9"/>
  <c r="AB401" i="9"/>
  <c r="R426" i="9"/>
  <c r="AB426" i="9"/>
  <c r="R425" i="9"/>
  <c r="AB425" i="9"/>
  <c r="R445" i="9"/>
  <c r="AB445" i="9"/>
  <c r="R482" i="9"/>
  <c r="AB482" i="9"/>
  <c r="R643" i="9"/>
  <c r="AB643" i="9"/>
  <c r="R949" i="9"/>
  <c r="AB949" i="9"/>
  <c r="R815" i="9"/>
  <c r="AB815" i="9"/>
  <c r="R165" i="9"/>
  <c r="AB165" i="9"/>
  <c r="R30" i="9"/>
  <c r="AB30" i="9"/>
  <c r="R198" i="9"/>
  <c r="AB198" i="9"/>
  <c r="R868" i="9"/>
  <c r="AB868" i="9"/>
  <c r="R882" i="9"/>
  <c r="AB882" i="9"/>
  <c r="R144" i="9"/>
  <c r="AB144" i="9"/>
  <c r="R627" i="9"/>
  <c r="AB627" i="9"/>
  <c r="R372" i="9"/>
  <c r="AB372" i="9"/>
  <c r="R677" i="9"/>
  <c r="AB677" i="9"/>
  <c r="R731" i="9"/>
  <c r="AB731" i="9"/>
  <c r="R974" i="9"/>
  <c r="AB974" i="9"/>
  <c r="R109" i="9"/>
  <c r="AB109" i="9"/>
  <c r="R951" i="9"/>
  <c r="AB951" i="9"/>
  <c r="R929" i="9"/>
  <c r="AB929" i="9"/>
  <c r="R959" i="9"/>
  <c r="AB959" i="9"/>
  <c r="R751" i="9"/>
  <c r="AB751" i="9"/>
  <c r="R864" i="9"/>
  <c r="AB864" i="9"/>
  <c r="R603" i="9"/>
  <c r="AB603" i="9"/>
  <c r="R924" i="9"/>
  <c r="AB924" i="9"/>
  <c r="R349" i="9"/>
  <c r="AB349" i="9"/>
  <c r="R1048" i="9"/>
  <c r="AB1048" i="9"/>
  <c r="R760" i="9"/>
  <c r="AB760" i="9"/>
  <c r="R615" i="9"/>
  <c r="AB615" i="9"/>
  <c r="R392" i="9"/>
  <c r="AB392" i="9"/>
  <c r="R283" i="9"/>
  <c r="AB283" i="9"/>
  <c r="R363" i="9"/>
  <c r="AB363" i="9"/>
  <c r="R610" i="9"/>
  <c r="AB610" i="9"/>
  <c r="R714" i="9"/>
  <c r="AB714" i="9"/>
  <c r="R754" i="9"/>
  <c r="AB754" i="9"/>
  <c r="R891" i="9"/>
  <c r="AB891" i="9"/>
  <c r="R262" i="9"/>
  <c r="AB262" i="9"/>
  <c r="R320" i="9"/>
  <c r="AB320" i="9"/>
  <c r="R1007" i="9"/>
  <c r="AB1007" i="9"/>
  <c r="R970" i="9"/>
  <c r="AB970" i="9"/>
  <c r="R533" i="9"/>
  <c r="AB533" i="9"/>
  <c r="R414" i="9"/>
  <c r="AB414" i="9"/>
  <c r="R394" i="9"/>
  <c r="AB394" i="9"/>
  <c r="R48" i="9"/>
  <c r="AB48" i="9"/>
  <c r="R373" i="9"/>
  <c r="AB373" i="9"/>
  <c r="R430" i="9"/>
  <c r="AB430" i="9"/>
  <c r="R441" i="9"/>
  <c r="AB441" i="9"/>
  <c r="R246" i="9"/>
  <c r="AB246" i="9"/>
  <c r="R744" i="9"/>
  <c r="AB744" i="9"/>
  <c r="R617" i="9"/>
  <c r="AB617" i="9"/>
  <c r="R658" i="9"/>
  <c r="AB658" i="9"/>
  <c r="R873" i="9"/>
  <c r="AB873" i="9"/>
  <c r="R53" i="9"/>
  <c r="AB53" i="9"/>
  <c r="R209" i="9"/>
  <c r="AB209" i="9"/>
  <c r="R345" i="9"/>
  <c r="AB345" i="9"/>
  <c r="R135" i="9"/>
  <c r="AB135" i="9"/>
  <c r="R1006" i="9"/>
  <c r="AB1006" i="9"/>
  <c r="R35" i="9"/>
  <c r="AB35" i="9"/>
  <c r="R117" i="9"/>
  <c r="AB117" i="9"/>
  <c r="R535" i="9"/>
  <c r="AB535" i="9"/>
  <c r="R521" i="9"/>
  <c r="AB521" i="9"/>
  <c r="R203" i="9"/>
  <c r="AB203" i="9"/>
  <c r="R334" i="9"/>
  <c r="AB334" i="9"/>
  <c r="R376" i="9"/>
  <c r="AB376" i="9"/>
  <c r="R211" i="9"/>
  <c r="AB211" i="9"/>
  <c r="R596" i="9"/>
  <c r="AB596" i="9"/>
  <c r="R340" i="9"/>
  <c r="AB340" i="9"/>
  <c r="R335" i="9"/>
  <c r="AB335" i="9"/>
  <c r="R338" i="9"/>
  <c r="AB338" i="9"/>
  <c r="R853" i="9"/>
  <c r="AB853" i="9"/>
  <c r="R648" i="9"/>
  <c r="AB648" i="9"/>
  <c r="R152" i="9"/>
  <c r="AB152" i="9"/>
  <c r="R278" i="9"/>
  <c r="AB278" i="9"/>
  <c r="R125" i="9"/>
  <c r="AB125" i="9"/>
  <c r="R987" i="9"/>
  <c r="AB987" i="9"/>
  <c r="R820" i="9"/>
  <c r="AB820" i="9"/>
  <c r="R433" i="9"/>
  <c r="AB433" i="9"/>
  <c r="R838" i="9"/>
  <c r="AB838" i="9"/>
  <c r="R446" i="9"/>
  <c r="AB446" i="9"/>
  <c r="R72" i="9"/>
  <c r="AB72" i="9"/>
  <c r="R60" i="9"/>
  <c r="AB60" i="9"/>
  <c r="R742" i="9"/>
  <c r="AB742" i="9"/>
  <c r="R637" i="9"/>
  <c r="AB637" i="9"/>
  <c r="R622" i="9"/>
  <c r="AB622" i="9"/>
  <c r="R735" i="9"/>
  <c r="AB735" i="9"/>
  <c r="R598" i="9"/>
  <c r="AB598" i="9"/>
  <c r="R759" i="9"/>
  <c r="AB759" i="9"/>
  <c r="R779" i="9"/>
  <c r="AB779" i="9"/>
  <c r="R776" i="9"/>
  <c r="AB776" i="9"/>
  <c r="R684" i="9"/>
  <c r="AB684" i="9"/>
  <c r="R953" i="9"/>
  <c r="AB953" i="9"/>
  <c r="R108" i="9"/>
  <c r="AB108" i="9"/>
  <c r="R1021" i="9"/>
  <c r="AB1021" i="9"/>
  <c r="R645" i="9"/>
  <c r="AB645" i="9"/>
  <c r="R406" i="9"/>
  <c r="AB406" i="9"/>
  <c r="R753" i="9"/>
  <c r="AB753" i="9"/>
  <c r="R1001" i="9"/>
  <c r="AB1001" i="9"/>
  <c r="R242" i="9"/>
  <c r="AB242" i="9"/>
  <c r="R473" i="9"/>
  <c r="AB473" i="9"/>
  <c r="R729" i="9"/>
  <c r="AB729" i="9"/>
  <c r="R163" i="9"/>
  <c r="AB163" i="9"/>
  <c r="R562" i="9"/>
  <c r="AB562" i="9"/>
  <c r="R346" i="9"/>
  <c r="AB346" i="9"/>
  <c r="R663" i="9"/>
  <c r="AB663" i="9"/>
  <c r="R67" i="9"/>
  <c r="AB67" i="9"/>
  <c r="R890" i="9"/>
  <c r="AB890" i="9"/>
  <c r="R807" i="9"/>
  <c r="AB807" i="9"/>
  <c r="R493" i="9"/>
  <c r="AB493" i="9"/>
  <c r="R290" i="9"/>
  <c r="AB290" i="9"/>
  <c r="R179" i="9"/>
  <c r="AB179" i="9"/>
  <c r="R256" i="9"/>
  <c r="AB256" i="9"/>
  <c r="R997" i="9"/>
  <c r="AB997" i="9"/>
  <c r="R867" i="9"/>
  <c r="AB867" i="9"/>
  <c r="R408" i="9"/>
  <c r="AB408" i="9"/>
  <c r="R588" i="9"/>
  <c r="AB588" i="9"/>
  <c r="R525" i="9"/>
  <c r="AB525" i="9"/>
  <c r="R465" i="9"/>
  <c r="AB465" i="9"/>
  <c r="R554" i="9"/>
  <c r="AB554" i="9"/>
  <c r="R489" i="9"/>
  <c r="AB489" i="9"/>
  <c r="R509" i="9"/>
  <c r="AB509" i="9"/>
  <c r="R546" i="9"/>
  <c r="AB546" i="9"/>
  <c r="R195" i="9"/>
  <c r="AB195" i="9"/>
  <c r="R325" i="9"/>
  <c r="AB325" i="9"/>
  <c r="R552" i="9"/>
  <c r="AB552" i="9"/>
  <c r="R447" i="9"/>
  <c r="AB447" i="9"/>
  <c r="R468" i="9"/>
  <c r="AB468" i="9"/>
  <c r="R912" i="9"/>
  <c r="AB912" i="9"/>
  <c r="R479" i="9"/>
  <c r="AB479" i="9"/>
  <c r="R255" i="9"/>
  <c r="AB255" i="9"/>
  <c r="R958" i="9"/>
  <c r="AB958" i="9"/>
  <c r="R813" i="9"/>
  <c r="AB813" i="9"/>
  <c r="R812" i="9"/>
  <c r="AB812" i="9"/>
  <c r="R836" i="9"/>
  <c r="AB836" i="9"/>
  <c r="R99" i="9"/>
  <c r="AB99" i="9"/>
  <c r="R572" i="9"/>
  <c r="AB572" i="9"/>
  <c r="R638" i="9"/>
  <c r="AB638" i="9"/>
  <c r="R281" i="9"/>
  <c r="AB281" i="9"/>
  <c r="R161" i="9"/>
  <c r="AB161" i="9"/>
  <c r="R938" i="9"/>
  <c r="AB938" i="9"/>
  <c r="R302" i="9"/>
  <c r="AB302" i="9"/>
  <c r="R651" i="9"/>
  <c r="AB651" i="9"/>
  <c r="R369" i="9"/>
  <c r="AB369" i="9"/>
  <c r="R33" i="9"/>
  <c r="AB33" i="9"/>
  <c r="R475" i="9"/>
  <c r="AB475" i="9"/>
  <c r="R46" i="9"/>
  <c r="AB46" i="9"/>
  <c r="R577" i="9"/>
  <c r="AB577" i="9"/>
  <c r="R928" i="9"/>
  <c r="AB928" i="9"/>
  <c r="R571" i="9"/>
  <c r="AB571" i="9"/>
  <c r="R318" i="9"/>
  <c r="AB318" i="9"/>
  <c r="R502" i="9"/>
  <c r="AB502" i="9"/>
  <c r="R1037" i="9"/>
  <c r="AB1037" i="9"/>
  <c r="R592" i="9"/>
  <c r="AB592" i="9"/>
  <c r="R903" i="9"/>
  <c r="AB903" i="9"/>
  <c r="R698" i="9"/>
  <c r="AB698" i="9"/>
  <c r="R454" i="9"/>
  <c r="AB454" i="9"/>
  <c r="R531" i="9"/>
  <c r="AB531" i="9"/>
  <c r="R512" i="9"/>
  <c r="AB512" i="9"/>
  <c r="R186" i="9"/>
  <c r="AB186" i="9"/>
  <c r="R907" i="9"/>
  <c r="AB907" i="9"/>
  <c r="R134" i="9"/>
  <c r="AB134" i="9"/>
  <c r="R252" i="9"/>
  <c r="AB252" i="9"/>
  <c r="R250" i="9"/>
  <c r="AB250" i="9"/>
  <c r="R575" i="9"/>
  <c r="AB575" i="9"/>
  <c r="R833" i="9"/>
  <c r="AB833" i="9"/>
  <c r="R748" i="9"/>
  <c r="AB748" i="9"/>
  <c r="R207" i="9"/>
  <c r="AB207" i="9"/>
  <c r="R1055" i="9"/>
  <c r="AB1055" i="9"/>
  <c r="R344" i="9"/>
  <c r="AB344" i="9"/>
  <c r="R51" i="9"/>
  <c r="AB51" i="9"/>
  <c r="R555" i="9"/>
  <c r="AB555" i="9"/>
  <c r="R150" i="9"/>
  <c r="AB150" i="9"/>
  <c r="R530" i="9"/>
  <c r="AB530" i="9"/>
  <c r="R758" i="9"/>
  <c r="AB758" i="9"/>
  <c r="R293" i="9"/>
  <c r="AB293" i="9"/>
  <c r="R15" i="9"/>
  <c r="AB15" i="9"/>
  <c r="R305" i="9"/>
  <c r="AB305" i="9"/>
  <c r="R469" i="9"/>
  <c r="AB469" i="9"/>
  <c r="R994" i="9"/>
  <c r="AB994" i="9"/>
  <c r="R712" i="9"/>
  <c r="AB712" i="9"/>
  <c r="R12" i="9"/>
  <c r="AB12" i="9"/>
  <c r="R715" i="9"/>
  <c r="AB715" i="9"/>
  <c r="R224" i="9"/>
  <c r="AB224" i="9"/>
  <c r="R695" i="9"/>
  <c r="AB695" i="9"/>
  <c r="R332" i="9"/>
  <c r="AB332" i="9"/>
  <c r="R470" i="9"/>
  <c r="AB470" i="9"/>
  <c r="R424" i="9"/>
  <c r="AB424" i="9"/>
  <c r="R671" i="9"/>
  <c r="AB671" i="9"/>
  <c r="R244" i="9"/>
  <c r="AB244" i="9"/>
  <c r="R795" i="9"/>
  <c r="AB795" i="9"/>
  <c r="R304" i="9"/>
  <c r="AB304" i="9"/>
  <c r="R794" i="9"/>
  <c r="AB794" i="9"/>
  <c r="R343" i="9"/>
  <c r="AB343" i="9"/>
  <c r="R678" i="9"/>
  <c r="AB678" i="9"/>
  <c r="R227" i="9"/>
  <c r="AB227" i="9"/>
  <c r="R57" i="9"/>
  <c r="AB57" i="9"/>
  <c r="R463" i="9"/>
  <c r="AB463" i="9"/>
  <c r="R126" i="9"/>
  <c r="AB126" i="9"/>
  <c r="R676" i="9"/>
  <c r="AB676" i="9"/>
  <c r="R132" i="9"/>
  <c r="AB132" i="9"/>
  <c r="R231" i="9"/>
  <c r="AB231" i="9"/>
  <c r="R693" i="9"/>
  <c r="AB693" i="9"/>
  <c r="R149" i="9"/>
  <c r="AB149" i="9"/>
  <c r="R689" i="9"/>
  <c r="AB689" i="9"/>
  <c r="R145" i="9"/>
  <c r="AB145" i="9"/>
  <c r="R797" i="9"/>
  <c r="AB797" i="9"/>
  <c r="R173" i="9"/>
  <c r="AB173" i="9"/>
  <c r="R223" i="9"/>
  <c r="AB223" i="9"/>
  <c r="R103" i="9"/>
  <c r="AB103" i="9"/>
  <c r="R238" i="9"/>
  <c r="AB238" i="9"/>
  <c r="R739" i="9"/>
  <c r="AB739" i="9"/>
  <c r="R371" i="9"/>
  <c r="AB371" i="9"/>
  <c r="R294" i="9"/>
  <c r="AB294" i="9"/>
  <c r="R785" i="9"/>
  <c r="AB785" i="9"/>
  <c r="R141" i="9"/>
  <c r="AB141" i="9"/>
  <c r="R362" i="9"/>
  <c r="AB362" i="9"/>
  <c r="R804" i="9"/>
  <c r="AB804" i="9"/>
  <c r="R856" i="9"/>
  <c r="AB856" i="9"/>
  <c r="R559" i="9"/>
  <c r="AB559" i="9"/>
  <c r="R364" i="9"/>
  <c r="AB364" i="9"/>
  <c r="R1016" i="9"/>
  <c r="AB1016" i="9"/>
  <c r="R993" i="9"/>
  <c r="AB993" i="9"/>
  <c r="R619" i="9"/>
  <c r="AB619" i="9"/>
  <c r="R507" i="9"/>
  <c r="AB507" i="9"/>
  <c r="R121" i="9"/>
  <c r="AB121" i="9"/>
  <c r="R183" i="9"/>
  <c r="AB183" i="9"/>
  <c r="R629" i="9"/>
  <c r="AB629" i="9"/>
  <c r="R545" i="9"/>
  <c r="AB545" i="9"/>
  <c r="R116" i="9"/>
  <c r="AB116" i="9"/>
  <c r="R771" i="9"/>
  <c r="AB771" i="9"/>
  <c r="R94" i="9"/>
  <c r="AB94" i="9"/>
  <c r="R976" i="9"/>
  <c r="AB976" i="9"/>
  <c r="R694" i="9"/>
  <c r="AB694" i="9"/>
  <c r="R780" i="9"/>
  <c r="AB780" i="9"/>
  <c r="R93" i="9"/>
  <c r="AB93" i="9"/>
  <c r="R999" i="9"/>
  <c r="AB999" i="9"/>
  <c r="R399" i="9"/>
  <c r="AB399" i="9"/>
  <c r="R268" i="9"/>
  <c r="AB268" i="9"/>
  <c r="R844" i="9"/>
  <c r="AB844" i="9"/>
  <c r="R404" i="9"/>
  <c r="AB404" i="9"/>
  <c r="R16" i="9"/>
  <c r="AB16" i="9"/>
  <c r="R427" i="9"/>
  <c r="AB427" i="9"/>
  <c r="R26" i="9"/>
  <c r="AB26" i="9"/>
  <c r="R407" i="9"/>
  <c r="AB407" i="9"/>
  <c r="R77" i="9"/>
  <c r="AB77" i="9"/>
  <c r="R1035" i="9"/>
  <c r="AB1035" i="9"/>
  <c r="R1052" i="9"/>
  <c r="AB1052" i="9"/>
  <c r="R383" i="9"/>
  <c r="AB383" i="9"/>
  <c r="R110" i="9"/>
  <c r="AB110" i="9"/>
  <c r="R443" i="9"/>
  <c r="AB443" i="9"/>
  <c r="R113" i="9"/>
  <c r="AB113" i="9"/>
  <c r="R768" i="9"/>
  <c r="AB768" i="9"/>
  <c r="R96" i="9"/>
  <c r="AB96" i="9"/>
  <c r="R579" i="9"/>
  <c r="AB579" i="9"/>
  <c r="R44" i="9"/>
  <c r="AB44" i="9"/>
  <c r="R1030" i="9"/>
  <c r="AB1030" i="9"/>
  <c r="R417" i="9"/>
  <c r="AB417" i="9"/>
  <c r="R933" i="9"/>
  <c r="AB933" i="9"/>
  <c r="R605" i="9"/>
  <c r="AB605" i="9"/>
  <c r="R916" i="9"/>
  <c r="AB916" i="9"/>
  <c r="R668" i="9"/>
  <c r="AB668" i="9"/>
  <c r="R639" i="9"/>
  <c r="AB639" i="9"/>
  <c r="R143" i="9"/>
  <c r="AB143" i="9"/>
  <c r="R635" i="9"/>
  <c r="AB635" i="9"/>
  <c r="R272" i="9"/>
  <c r="AB272" i="9"/>
  <c r="R743" i="9"/>
  <c r="AB743" i="9"/>
  <c r="R316" i="9"/>
  <c r="AB316" i="9"/>
  <c r="R410" i="9"/>
  <c r="AB410" i="9"/>
  <c r="R687" i="9"/>
  <c r="AB687" i="9"/>
  <c r="R257" i="9"/>
  <c r="AB257" i="9"/>
  <c r="R261" i="9"/>
  <c r="AB261" i="9"/>
  <c r="R105" i="9"/>
  <c r="AB105" i="9"/>
  <c r="R499" i="9"/>
  <c r="AB499" i="9"/>
  <c r="R843" i="9"/>
  <c r="AB843" i="9"/>
  <c r="R584" i="9"/>
  <c r="AB584" i="9"/>
  <c r="R548" i="9"/>
  <c r="AB548" i="9"/>
  <c r="R1019" i="9"/>
  <c r="AB1019" i="9"/>
  <c r="R988" i="9"/>
  <c r="AB988" i="9"/>
  <c r="R845" i="9"/>
  <c r="AB845" i="9"/>
  <c r="R301" i="9"/>
  <c r="AB301" i="9"/>
  <c r="R32" i="9"/>
  <c r="AB32" i="9"/>
  <c r="R265" i="9"/>
  <c r="AB265" i="9"/>
  <c r="R654" i="9"/>
  <c r="AB654" i="9"/>
  <c r="R481" i="9"/>
  <c r="AB481" i="9"/>
  <c r="R789" i="9"/>
  <c r="AB789" i="9"/>
  <c r="R926" i="9"/>
  <c r="AB926" i="9"/>
  <c r="R1057" i="9"/>
  <c r="AB1057" i="9"/>
  <c r="R314" i="9"/>
  <c r="AB314" i="9"/>
  <c r="R602" i="9"/>
  <c r="AB602" i="9"/>
  <c r="R975" i="9"/>
  <c r="AB975" i="9"/>
  <c r="R317" i="9"/>
  <c r="AB317" i="9"/>
  <c r="R532" i="9"/>
  <c r="AB532" i="9"/>
  <c r="R859" i="9"/>
  <c r="AB859" i="9"/>
  <c r="R496" i="9"/>
  <c r="AB496" i="9"/>
  <c r="R711" i="9"/>
  <c r="AB711" i="9"/>
  <c r="R624" i="9"/>
  <c r="AB624" i="9"/>
  <c r="R267" i="9"/>
  <c r="AB267" i="9"/>
  <c r="R614" i="9"/>
  <c r="AB614" i="9"/>
  <c r="R160" i="9"/>
  <c r="AB160" i="9"/>
  <c r="R1027" i="9"/>
  <c r="AB1027" i="9"/>
  <c r="R418" i="9"/>
  <c r="AB418" i="9"/>
  <c r="R1058" i="9"/>
  <c r="AB1058" i="9"/>
  <c r="R381" i="9"/>
  <c r="AB381" i="9"/>
  <c r="R1038" i="9"/>
  <c r="AB1038" i="9"/>
  <c r="R368" i="9"/>
  <c r="AB368" i="9"/>
  <c r="R986" i="9"/>
  <c r="AB986" i="9"/>
  <c r="R365" i="9"/>
  <c r="AB365" i="9"/>
  <c r="R1014" i="9"/>
  <c r="AB1014" i="9"/>
  <c r="R356" i="9"/>
  <c r="AB356" i="9"/>
  <c r="R917" i="9"/>
  <c r="AB917" i="9"/>
  <c r="R397" i="9"/>
  <c r="AB397" i="9"/>
  <c r="R840" i="9"/>
  <c r="AB840" i="9"/>
  <c r="R460" i="9"/>
  <c r="AB460" i="9"/>
  <c r="R830" i="9"/>
  <c r="AB830" i="9"/>
  <c r="R517" i="9"/>
  <c r="AB517" i="9"/>
  <c r="R1024" i="9"/>
  <c r="AB1024" i="9"/>
  <c r="R741" i="9"/>
  <c r="AB741" i="9"/>
  <c r="R181" i="9"/>
  <c r="AB181" i="9"/>
  <c r="R927" i="9"/>
  <c r="AB927" i="9"/>
  <c r="R382" i="9"/>
  <c r="AB382" i="9"/>
  <c r="R971" i="9"/>
  <c r="AB971" i="9"/>
  <c r="R114" i="9"/>
  <c r="AB114" i="9"/>
  <c r="R580" i="9"/>
  <c r="AB580" i="9"/>
  <c r="R78" i="9"/>
  <c r="AB78" i="9"/>
  <c r="R576" i="9"/>
  <c r="AB576" i="9"/>
  <c r="R74" i="9"/>
  <c r="AB74" i="9"/>
  <c r="R455" i="9"/>
  <c r="AB455" i="9"/>
  <c r="R61" i="9"/>
  <c r="AB61" i="9"/>
  <c r="R620" i="9"/>
  <c r="AB620" i="9"/>
  <c r="R76" i="9"/>
  <c r="AB76" i="9"/>
  <c r="R201" i="9"/>
  <c r="AB201" i="9"/>
  <c r="R102" i="9"/>
  <c r="AB102" i="9"/>
  <c r="R899" i="9"/>
  <c r="AB899" i="9"/>
  <c r="R277" i="9"/>
  <c r="AB277" i="9"/>
  <c r="R914" i="9"/>
  <c r="AB914" i="9"/>
  <c r="R542" i="9"/>
  <c r="AB542" i="9"/>
  <c r="R894" i="9"/>
  <c r="AB894" i="9"/>
  <c r="R522" i="9"/>
  <c r="AB522" i="9"/>
  <c r="R906" i="9"/>
  <c r="AB906" i="9"/>
  <c r="R236" i="9"/>
  <c r="AB236" i="9"/>
  <c r="R870" i="9"/>
  <c r="AB870" i="9"/>
  <c r="R498" i="9"/>
  <c r="AB498" i="9"/>
  <c r="R1010" i="9"/>
  <c r="AB1010" i="9"/>
  <c r="R558" i="9"/>
  <c r="AB558" i="9"/>
  <c r="R961" i="9"/>
  <c r="AB961" i="9"/>
  <c r="R569" i="9"/>
  <c r="AB569" i="9"/>
  <c r="R941" i="9"/>
  <c r="AB941" i="9"/>
  <c r="R389" i="9"/>
  <c r="AB389" i="9"/>
  <c r="R1018" i="9"/>
  <c r="AB1018" i="9"/>
  <c r="R613" i="9"/>
  <c r="AB613" i="9"/>
  <c r="R274" i="9"/>
  <c r="AB274" i="9"/>
  <c r="R801" i="9"/>
  <c r="AB801" i="9"/>
  <c r="R13" i="9"/>
  <c r="AB13" i="9"/>
  <c r="R518" i="9"/>
  <c r="AB518" i="9"/>
  <c r="R653" i="9"/>
  <c r="AB653" i="9"/>
  <c r="R324" i="9"/>
  <c r="AB324" i="9"/>
  <c r="R863" i="9"/>
  <c r="AB863" i="9"/>
  <c r="R963" i="9"/>
  <c r="AB963" i="9"/>
  <c r="R97" i="9"/>
  <c r="AB97" i="9"/>
  <c r="R621" i="9"/>
  <c r="AB621" i="9"/>
  <c r="R704" i="9"/>
  <c r="AB704" i="9"/>
  <c r="R1047" i="9"/>
  <c r="AB1047" i="9"/>
  <c r="R889" i="9"/>
  <c r="AB889" i="9"/>
  <c r="R1033" i="9"/>
  <c r="AB1033" i="9"/>
  <c r="R966" i="9"/>
  <c r="AB966" i="9"/>
  <c r="R79" i="9"/>
  <c r="AB79" i="9"/>
  <c r="R258" i="9"/>
  <c r="AB258" i="9"/>
  <c r="R84" i="9"/>
  <c r="AB84" i="9"/>
  <c r="R516" i="9"/>
  <c r="AB516" i="9"/>
  <c r="R200" i="9"/>
  <c r="AB200" i="9"/>
  <c r="R217" i="9"/>
  <c r="AB217" i="9"/>
  <c r="R774" i="9"/>
  <c r="AB774" i="9"/>
  <c r="R661" i="9"/>
  <c r="AB661" i="9"/>
  <c r="R58" i="9"/>
  <c r="AB58" i="9"/>
  <c r="R138" i="9"/>
  <c r="AB138" i="9"/>
  <c r="L260" i="9"/>
  <c r="L348" i="9"/>
  <c r="L162" i="9"/>
  <c r="L174" i="9"/>
  <c r="L180" i="9"/>
  <c r="L159" i="9"/>
  <c r="L181" i="9"/>
  <c r="L158" i="9"/>
  <c r="L188" i="9"/>
  <c r="L183" i="9"/>
  <c r="L213" i="9"/>
  <c r="L176" i="9"/>
  <c r="L170" i="9"/>
  <c r="L169" i="9"/>
  <c r="L175" i="9"/>
  <c r="L191" i="9"/>
  <c r="L172" i="9"/>
  <c r="L184" i="9"/>
  <c r="L171" i="9"/>
  <c r="L164" i="9"/>
  <c r="L161" i="9"/>
  <c r="L121" i="9"/>
  <c r="L163" i="9"/>
  <c r="L156" i="9"/>
  <c r="L185" i="9"/>
  <c r="L168" i="9"/>
  <c r="L186" i="9"/>
  <c r="L182" i="9"/>
  <c r="L160" i="9"/>
  <c r="L166" i="9"/>
  <c r="L137" i="9"/>
  <c r="L243" i="9"/>
  <c r="L179" i="9"/>
  <c r="L178" i="9"/>
  <c r="L167" i="9"/>
  <c r="L190" i="9"/>
  <c r="L173" i="9"/>
  <c r="L177" i="9"/>
  <c r="L189" i="9"/>
  <c r="L187" i="9"/>
  <c r="L157" i="9"/>
  <c r="L244" i="9"/>
  <c r="L264" i="9"/>
  <c r="L234" i="9"/>
  <c r="L229" i="9"/>
  <c r="L258" i="9"/>
  <c r="L255" i="9"/>
  <c r="L131" i="9"/>
  <c r="L133" i="9"/>
  <c r="L152" i="9"/>
  <c r="L254" i="9"/>
  <c r="L120" i="9"/>
  <c r="L135" i="9"/>
  <c r="L125" i="9"/>
  <c r="L140" i="9"/>
  <c r="L251" i="9"/>
  <c r="L143" i="9"/>
  <c r="L124" i="9"/>
  <c r="L107" i="9"/>
  <c r="L256" i="9"/>
  <c r="L247" i="9"/>
  <c r="L246" i="9"/>
  <c r="L239" i="9"/>
  <c r="L130" i="9"/>
  <c r="L259" i="9"/>
  <c r="L139" i="9"/>
  <c r="L146" i="9"/>
  <c r="L245" i="9"/>
  <c r="L134" i="9"/>
  <c r="L261" i="9"/>
  <c r="L128" i="9"/>
  <c r="L240" i="9"/>
  <c r="L129" i="9"/>
  <c r="L241" i="9"/>
  <c r="L132" i="9"/>
  <c r="L142" i="9"/>
  <c r="L279" i="9"/>
  <c r="L144" i="9"/>
  <c r="L141" i="9"/>
  <c r="L233" i="9"/>
  <c r="L242" i="9"/>
  <c r="L153" i="9"/>
  <c r="L136" i="9"/>
  <c r="L249" i="9"/>
  <c r="L248" i="9"/>
  <c r="L147" i="9"/>
  <c r="L145" i="9"/>
  <c r="L238" i="9"/>
  <c r="L230" i="9"/>
  <c r="L149" i="9"/>
  <c r="L252" i="9"/>
  <c r="L232" i="9"/>
  <c r="L86" i="9"/>
  <c r="L278" i="9"/>
  <c r="L138" i="9"/>
  <c r="L150" i="9"/>
  <c r="L126" i="9"/>
  <c r="L148" i="9"/>
  <c r="L127" i="9"/>
  <c r="L237" i="9"/>
  <c r="L262" i="9"/>
  <c r="L155" i="9"/>
  <c r="L154" i="9"/>
  <c r="L253" i="9"/>
  <c r="L236" i="9"/>
  <c r="L123" i="9"/>
  <c r="L263" i="9"/>
  <c r="L119" i="9"/>
  <c r="L250" i="9"/>
  <c r="L235" i="9"/>
  <c r="L151" i="9"/>
  <c r="L257" i="9"/>
  <c r="L296" i="9"/>
  <c r="L91" i="9"/>
  <c r="L309" i="9"/>
  <c r="L293" i="9"/>
  <c r="L210" i="9"/>
  <c r="L300" i="9"/>
  <c r="L295" i="9"/>
  <c r="L224" i="9"/>
  <c r="L196" i="9"/>
  <c r="L94" i="9"/>
  <c r="L268" i="9"/>
  <c r="L111" i="9"/>
  <c r="L284" i="9"/>
  <c r="L331" i="9"/>
  <c r="L203" i="9"/>
  <c r="L220" i="9"/>
  <c r="L116" i="9"/>
  <c r="L113" i="9"/>
  <c r="L211" i="9"/>
  <c r="L57" i="9"/>
  <c r="L110" i="9"/>
  <c r="L272" i="9"/>
  <c r="L105" i="9"/>
  <c r="L318" i="9"/>
  <c r="L322" i="9"/>
  <c r="L319" i="9"/>
  <c r="L216" i="9"/>
  <c r="L219" i="9"/>
  <c r="L223" i="9"/>
  <c r="L214" i="9"/>
  <c r="L217" i="9"/>
  <c r="L208" i="9"/>
  <c r="L367" i="9"/>
  <c r="L424" i="9"/>
  <c r="L225" i="9"/>
  <c r="L228" i="9"/>
  <c r="L194" i="9"/>
  <c r="L227" i="9"/>
  <c r="L352" i="9"/>
  <c r="L416" i="9"/>
  <c r="L372" i="9"/>
  <c r="L373" i="9"/>
  <c r="L440" i="9"/>
  <c r="L428" i="9"/>
  <c r="L197" i="9"/>
  <c r="L212" i="9"/>
  <c r="L199" i="9"/>
  <c r="L201" i="9"/>
  <c r="L206" i="9"/>
  <c r="L205" i="9"/>
  <c r="L207" i="9"/>
  <c r="L193" i="9"/>
  <c r="L204" i="9"/>
  <c r="L375" i="9"/>
  <c r="L362" i="9"/>
  <c r="L344" i="9"/>
  <c r="L412" i="9"/>
  <c r="L198" i="9"/>
  <c r="L195" i="9"/>
  <c r="L226" i="9"/>
  <c r="L202" i="9"/>
  <c r="L215" i="9"/>
  <c r="L222" i="9"/>
  <c r="L221" i="9"/>
  <c r="L192" i="9"/>
  <c r="L209" i="9"/>
  <c r="L218" i="9"/>
  <c r="L342" i="9"/>
  <c r="L366" i="9"/>
  <c r="L81" i="9"/>
  <c r="L298" i="9"/>
  <c r="L93" i="9"/>
  <c r="L115" i="9"/>
  <c r="L269" i="9"/>
  <c r="L92" i="9"/>
  <c r="L275" i="9"/>
  <c r="L323" i="9"/>
  <c r="L326" i="9"/>
  <c r="L281" i="9"/>
  <c r="L303" i="9"/>
  <c r="L305" i="9"/>
  <c r="L60" i="9"/>
  <c r="L271" i="9"/>
  <c r="L103" i="9"/>
  <c r="L101" i="9"/>
  <c r="L277" i="9"/>
  <c r="L108" i="9"/>
  <c r="L96" i="9"/>
  <c r="L448" i="9"/>
  <c r="L282" i="9"/>
  <c r="L329" i="9"/>
  <c r="L325" i="9"/>
  <c r="L90" i="9"/>
  <c r="L62" i="9"/>
  <c r="L70" i="9"/>
  <c r="L80" i="9"/>
  <c r="L74" i="9"/>
  <c r="L280" i="9"/>
  <c r="L283" i="9"/>
  <c r="L88" i="9"/>
  <c r="L85" i="9"/>
  <c r="L118" i="9"/>
  <c r="L476" i="9"/>
  <c r="L286" i="9"/>
  <c r="L285" i="9"/>
  <c r="L98" i="9"/>
  <c r="L89" i="9"/>
  <c r="L117" i="9"/>
  <c r="L291" i="9"/>
  <c r="L311" i="9"/>
  <c r="L336" i="9"/>
  <c r="L267" i="9"/>
  <c r="L288" i="9"/>
  <c r="L337" i="9"/>
  <c r="L289" i="9"/>
  <c r="L301" i="9"/>
  <c r="L321" i="9"/>
  <c r="L290" i="9"/>
  <c r="L307" i="9"/>
  <c r="L310" i="9"/>
  <c r="L333" i="9"/>
  <c r="L84" i="9"/>
  <c r="L97" i="9"/>
  <c r="L100" i="9"/>
  <c r="L73" i="9"/>
  <c r="L71" i="9"/>
  <c r="L75" i="9"/>
  <c r="L404" i="9"/>
  <c r="L53" i="9"/>
  <c r="L452" i="9"/>
  <c r="L72" i="9"/>
  <c r="L76" i="9"/>
  <c r="L388" i="9"/>
  <c r="L472" i="9"/>
  <c r="L265" i="9"/>
  <c r="L273" i="9"/>
  <c r="L104" i="9"/>
  <c r="L109" i="9"/>
  <c r="L112" i="9"/>
  <c r="L460" i="9"/>
  <c r="L270" i="9"/>
  <c r="L297" i="9"/>
  <c r="L114" i="9"/>
  <c r="L95" i="9"/>
  <c r="L102" i="9"/>
  <c r="L266" i="9"/>
  <c r="L299" i="9"/>
  <c r="L327" i="9"/>
  <c r="L302" i="9"/>
  <c r="L274" i="9"/>
  <c r="L313" i="9"/>
  <c r="L287" i="9"/>
  <c r="L317" i="9"/>
  <c r="L306" i="9"/>
  <c r="L335" i="9"/>
  <c r="L334" i="9"/>
  <c r="L99" i="9"/>
  <c r="L106" i="9"/>
  <c r="L46" i="9"/>
  <c r="L48" i="9"/>
  <c r="L50" i="9"/>
  <c r="L64" i="9"/>
  <c r="L396" i="9"/>
  <c r="L83" i="9"/>
  <c r="L356" i="9"/>
  <c r="L343" i="9"/>
  <c r="L444" i="9"/>
  <c r="L420" i="9"/>
  <c r="L349" i="9"/>
  <c r="L339" i="9"/>
  <c r="L368" i="9"/>
  <c r="L359" i="9"/>
  <c r="L351" i="9"/>
  <c r="L355" i="9"/>
  <c r="L374" i="9"/>
  <c r="L338" i="9"/>
  <c r="L370" i="9"/>
  <c r="L456" i="9"/>
  <c r="L468" i="9"/>
  <c r="L78" i="9"/>
  <c r="L77" i="9"/>
  <c r="L66" i="9"/>
  <c r="L65" i="9"/>
  <c r="L61" i="9"/>
  <c r="L400" i="9"/>
  <c r="L380" i="9"/>
  <c r="L63" i="9"/>
  <c r="L392" i="9"/>
  <c r="L68" i="9"/>
  <c r="L371" i="9"/>
  <c r="L350" i="9"/>
  <c r="L346" i="9"/>
  <c r="L345" i="9"/>
  <c r="L58" i="9"/>
  <c r="L365" i="9"/>
  <c r="L360" i="9"/>
  <c r="L354" i="9"/>
  <c r="L353" i="9"/>
  <c r="L436" i="9"/>
  <c r="L464" i="9"/>
  <c r="L67" i="9"/>
  <c r="L56" i="9"/>
  <c r="L54" i="9"/>
  <c r="L55" i="9"/>
  <c r="L82" i="9"/>
  <c r="L69" i="9"/>
  <c r="L59" i="9"/>
  <c r="L408" i="9"/>
  <c r="L377" i="9"/>
  <c r="L52" i="9"/>
  <c r="L79" i="9"/>
  <c r="L47" i="9"/>
  <c r="L347" i="9"/>
  <c r="L364" i="9"/>
  <c r="L341" i="9"/>
  <c r="L340" i="9"/>
  <c r="L49" i="9"/>
  <c r="L369" i="9"/>
  <c r="L358" i="9"/>
  <c r="L357" i="9"/>
  <c r="L361" i="9"/>
  <c r="N28" i="24"/>
  <c r="I143" i="19"/>
  <c r="I176" i="19"/>
  <c r="H109" i="19"/>
  <c r="H144" i="19"/>
  <c r="F109" i="19"/>
  <c r="F144" i="19"/>
  <c r="C62" i="19"/>
  <c r="B63" i="19"/>
  <c r="D62" i="19"/>
  <c r="E62" i="19"/>
  <c r="F62" i="19"/>
  <c r="J28" i="24"/>
  <c r="G109" i="19"/>
  <c r="G144" i="19"/>
  <c r="E109" i="19"/>
  <c r="E144" i="19"/>
  <c r="C29" i="24"/>
  <c r="I29" i="24"/>
  <c r="M29" i="24"/>
  <c r="E29" i="24"/>
  <c r="G29" i="24"/>
  <c r="K29" i="24"/>
  <c r="B30" i="24"/>
  <c r="O52" i="10"/>
  <c r="P51" i="10"/>
  <c r="C28" i="10"/>
  <c r="F28" i="10"/>
  <c r="A29" i="10"/>
  <c r="D28" i="10"/>
  <c r="I28" i="10"/>
  <c r="E28" i="10"/>
  <c r="H28" i="10"/>
  <c r="J28" i="10"/>
  <c r="AB10" i="9"/>
  <c r="J29" i="24"/>
  <c r="N29" i="24"/>
  <c r="C63" i="19"/>
  <c r="D63" i="19"/>
  <c r="E63" i="19"/>
  <c r="F63" i="19"/>
  <c r="G110" i="19"/>
  <c r="G145" i="19"/>
  <c r="E110" i="19"/>
  <c r="E145" i="19"/>
  <c r="I144" i="19"/>
  <c r="I177" i="19"/>
  <c r="C30" i="24"/>
  <c r="I30" i="24"/>
  <c r="M30" i="24"/>
  <c r="E30" i="24"/>
  <c r="G30" i="24"/>
  <c r="K30" i="24"/>
  <c r="F110" i="19"/>
  <c r="F145" i="19"/>
  <c r="H110" i="19"/>
  <c r="H145" i="19"/>
  <c r="E29" i="10"/>
  <c r="H29" i="10"/>
  <c r="J29" i="10"/>
  <c r="D29" i="10"/>
  <c r="A30" i="10"/>
  <c r="I29" i="10"/>
  <c r="C29" i="10"/>
  <c r="F29" i="10"/>
  <c r="O53" i="10"/>
  <c r="P52" i="10"/>
  <c r="N30" i="24"/>
  <c r="E111" i="19"/>
  <c r="E146" i="19"/>
  <c r="G111" i="19"/>
  <c r="G146" i="19"/>
  <c r="J30" i="24"/>
  <c r="I145" i="19"/>
  <c r="I178" i="19"/>
  <c r="F111" i="19"/>
  <c r="F146" i="19"/>
  <c r="H111" i="19"/>
  <c r="H146" i="19"/>
  <c r="C30" i="10"/>
  <c r="F30" i="10"/>
  <c r="I30" i="10"/>
  <c r="E30" i="10"/>
  <c r="H30" i="10"/>
  <c r="J30" i="10"/>
  <c r="A31" i="10"/>
  <c r="D30" i="10"/>
  <c r="O54" i="10"/>
  <c r="P53" i="10"/>
  <c r="I146" i="19"/>
  <c r="I179" i="19"/>
  <c r="A32" i="10"/>
  <c r="C31" i="10"/>
  <c r="F31" i="10"/>
  <c r="D31" i="10"/>
  <c r="E31" i="10"/>
  <c r="H31" i="10"/>
  <c r="J31" i="10"/>
  <c r="I31" i="10"/>
  <c r="O55" i="10"/>
  <c r="P54" i="10"/>
  <c r="O56" i="10"/>
  <c r="P55" i="10"/>
  <c r="E32" i="10"/>
  <c r="H32" i="10"/>
  <c r="J32" i="10"/>
  <c r="I32" i="10"/>
  <c r="C32" i="10"/>
  <c r="F32" i="10"/>
  <c r="A33" i="10"/>
  <c r="D32" i="10"/>
  <c r="I25" i="4"/>
  <c r="M25" i="4"/>
  <c r="I24" i="4"/>
  <c r="M24" i="4"/>
  <c r="C33" i="10"/>
  <c r="F33" i="10"/>
  <c r="D33" i="10"/>
  <c r="I33" i="10"/>
  <c r="A34" i="10"/>
  <c r="E33" i="10"/>
  <c r="H33" i="10"/>
  <c r="J33" i="10"/>
  <c r="O57" i="10"/>
  <c r="P56" i="10"/>
  <c r="C30" i="8"/>
  <c r="C37" i="29"/>
  <c r="C31" i="8"/>
  <c r="C38" i="29"/>
  <c r="P19" i="10"/>
  <c r="C32" i="8"/>
  <c r="C39" i="29"/>
  <c r="C34" i="10"/>
  <c r="F34" i="10"/>
  <c r="D34" i="10"/>
  <c r="A35" i="10"/>
  <c r="E34" i="10"/>
  <c r="H34" i="10"/>
  <c r="J34" i="10"/>
  <c r="I34" i="10"/>
  <c r="O58" i="10"/>
  <c r="P57" i="10"/>
  <c r="O59" i="10"/>
  <c r="P58" i="10"/>
  <c r="C35" i="10"/>
  <c r="F35" i="10"/>
  <c r="D35" i="10"/>
  <c r="I35" i="10"/>
  <c r="A36" i="10"/>
  <c r="E35" i="10"/>
  <c r="H35" i="10"/>
  <c r="J35" i="10"/>
  <c r="Q35" i="10"/>
  <c r="Q36" i="10"/>
  <c r="Q37" i="10"/>
  <c r="Q38" i="10"/>
  <c r="Q39" i="10"/>
  <c r="Q40" i="10"/>
  <c r="Q41" i="10"/>
  <c r="Q42" i="10"/>
  <c r="Q43" i="10"/>
  <c r="Q44" i="10"/>
  <c r="Q45" i="10"/>
  <c r="Q46" i="10"/>
  <c r="Q47" i="10"/>
  <c r="Q48" i="10"/>
  <c r="Q49" i="10"/>
  <c r="Q50" i="10"/>
  <c r="Q51" i="10"/>
  <c r="Q52" i="10"/>
  <c r="Q53" i="10"/>
  <c r="Q54" i="10"/>
  <c r="Q55" i="10"/>
  <c r="Q56" i="10"/>
  <c r="Q57" i="10"/>
  <c r="Q58" i="10"/>
  <c r="Q59" i="10"/>
  <c r="Q34" i="10"/>
  <c r="M465" i="9"/>
  <c r="M460" i="9"/>
  <c r="N460" i="9"/>
  <c r="AA460" i="9"/>
  <c r="M448" i="9"/>
  <c r="N448" i="9"/>
  <c r="AA448" i="9"/>
  <c r="M476" i="9"/>
  <c r="N476" i="9"/>
  <c r="AA476" i="9"/>
  <c r="M481" i="9"/>
  <c r="M449" i="9"/>
  <c r="M464" i="9"/>
  <c r="N464" i="9"/>
  <c r="AA464" i="9"/>
  <c r="M303" i="9"/>
  <c r="N303" i="9"/>
  <c r="AA303" i="9"/>
  <c r="M322" i="9"/>
  <c r="N322" i="9"/>
  <c r="AA322" i="9"/>
  <c r="M320" i="9"/>
  <c r="M333" i="9"/>
  <c r="N333" i="9"/>
  <c r="AA333" i="9"/>
  <c r="M317" i="9"/>
  <c r="N317" i="9"/>
  <c r="AA317" i="9"/>
  <c r="M315" i="9"/>
  <c r="N315" i="9"/>
  <c r="AA315" i="9"/>
  <c r="M318" i="9"/>
  <c r="N318" i="9"/>
  <c r="AA318" i="9"/>
  <c r="M335" i="9"/>
  <c r="N335" i="9"/>
  <c r="AA335" i="9"/>
  <c r="M319" i="9"/>
  <c r="N319" i="9"/>
  <c r="AA319" i="9"/>
  <c r="M332" i="9"/>
  <c r="M325" i="9"/>
  <c r="N325" i="9"/>
  <c r="AA325" i="9"/>
  <c r="M334" i="9"/>
  <c r="N334" i="9"/>
  <c r="AA334" i="9"/>
  <c r="M302" i="9"/>
  <c r="N302" i="9"/>
  <c r="AA302" i="9"/>
  <c r="M331" i="9"/>
  <c r="N331" i="9"/>
  <c r="AA331" i="9"/>
  <c r="M314" i="9"/>
  <c r="M336" i="9"/>
  <c r="N336" i="9"/>
  <c r="AA336" i="9"/>
  <c r="M316" i="9"/>
  <c r="M310" i="9"/>
  <c r="N310" i="9"/>
  <c r="AA310" i="9"/>
  <c r="M326" i="9"/>
  <c r="N326" i="9"/>
  <c r="AA326" i="9"/>
  <c r="M330" i="9"/>
  <c r="M324" i="9"/>
  <c r="M307" i="9"/>
  <c r="N307" i="9"/>
  <c r="AA307" i="9"/>
  <c r="M304" i="9"/>
  <c r="M308" i="9"/>
  <c r="M306" i="9"/>
  <c r="N306" i="9"/>
  <c r="AA306" i="9"/>
  <c r="M312" i="9"/>
  <c r="M323" i="9"/>
  <c r="N323" i="9"/>
  <c r="AA323" i="9"/>
  <c r="M311" i="9"/>
  <c r="N311" i="9"/>
  <c r="AA311" i="9"/>
  <c r="M328" i="9"/>
  <c r="M327" i="9"/>
  <c r="N327" i="9"/>
  <c r="AA327" i="9"/>
  <c r="M158" i="9"/>
  <c r="N158" i="9"/>
  <c r="AA158" i="9"/>
  <c r="M174" i="9"/>
  <c r="N174" i="9"/>
  <c r="AA174" i="9"/>
  <c r="M190" i="9"/>
  <c r="N190" i="9"/>
  <c r="AA190" i="9"/>
  <c r="M169" i="9"/>
  <c r="N169" i="9"/>
  <c r="AA169" i="9"/>
  <c r="M171" i="9"/>
  <c r="N171" i="9"/>
  <c r="AA171" i="9"/>
  <c r="M187" i="9"/>
  <c r="N187" i="9"/>
  <c r="AA187" i="9"/>
  <c r="M189" i="9"/>
  <c r="N189" i="9"/>
  <c r="AA189" i="9"/>
  <c r="M160" i="9"/>
  <c r="N160" i="9"/>
  <c r="AA160" i="9"/>
  <c r="M172" i="9"/>
  <c r="N172" i="9"/>
  <c r="AA172" i="9"/>
  <c r="M162" i="9"/>
  <c r="N162" i="9"/>
  <c r="AA162" i="9"/>
  <c r="M178" i="9"/>
  <c r="N178" i="9"/>
  <c r="AA178" i="9"/>
  <c r="M173" i="9"/>
  <c r="N173" i="9"/>
  <c r="AA173" i="9"/>
  <c r="M159" i="9"/>
  <c r="N159" i="9"/>
  <c r="AA159" i="9"/>
  <c r="M175" i="9"/>
  <c r="N175" i="9"/>
  <c r="AA175" i="9"/>
  <c r="M191" i="9"/>
  <c r="N191" i="9"/>
  <c r="AA191" i="9"/>
  <c r="M184" i="9"/>
  <c r="N184" i="9"/>
  <c r="AA184" i="9"/>
  <c r="M181" i="9"/>
  <c r="N181" i="9"/>
  <c r="AA181" i="9"/>
  <c r="M164" i="9"/>
  <c r="N164" i="9"/>
  <c r="AA164" i="9"/>
  <c r="M166" i="9"/>
  <c r="N166" i="9"/>
  <c r="AA166" i="9"/>
  <c r="M182" i="9"/>
  <c r="N182" i="9"/>
  <c r="AA182" i="9"/>
  <c r="M161" i="9"/>
  <c r="N161" i="9"/>
  <c r="AA161" i="9"/>
  <c r="M177" i="9"/>
  <c r="N177" i="9"/>
  <c r="AA177" i="9"/>
  <c r="M163" i="9"/>
  <c r="N163" i="9"/>
  <c r="AA163" i="9"/>
  <c r="M179" i="9"/>
  <c r="N179" i="9"/>
  <c r="AA179" i="9"/>
  <c r="M176" i="9"/>
  <c r="N176" i="9"/>
  <c r="AA176" i="9"/>
  <c r="M185" i="9"/>
  <c r="N185" i="9"/>
  <c r="AA185" i="9"/>
  <c r="M188" i="9"/>
  <c r="N188" i="9"/>
  <c r="AA188" i="9"/>
  <c r="M156" i="9"/>
  <c r="N156" i="9"/>
  <c r="AA156" i="9"/>
  <c r="M170" i="9"/>
  <c r="N170" i="9"/>
  <c r="AA170" i="9"/>
  <c r="M186" i="9"/>
  <c r="N186" i="9"/>
  <c r="AA186" i="9"/>
  <c r="M165" i="9"/>
  <c r="N165" i="9"/>
  <c r="AA165" i="9"/>
  <c r="M167" i="9"/>
  <c r="N167" i="9"/>
  <c r="AA167" i="9"/>
  <c r="M183" i="9"/>
  <c r="N183" i="9"/>
  <c r="AA183" i="9"/>
  <c r="M168" i="9"/>
  <c r="N168" i="9"/>
  <c r="AA168" i="9"/>
  <c r="M157" i="9"/>
  <c r="N157" i="9"/>
  <c r="AA157" i="9"/>
  <c r="M180" i="9"/>
  <c r="N180" i="9"/>
  <c r="AA180" i="9"/>
  <c r="M20" i="9"/>
  <c r="N20" i="9"/>
  <c r="AA20" i="9"/>
  <c r="M36" i="9"/>
  <c r="N36" i="9"/>
  <c r="AA36" i="9"/>
  <c r="M23" i="9"/>
  <c r="N23" i="9"/>
  <c r="AA23" i="9"/>
  <c r="M39" i="9"/>
  <c r="N39" i="9"/>
  <c r="AA39" i="9"/>
  <c r="M25" i="9"/>
  <c r="N25" i="9"/>
  <c r="AA25" i="9"/>
  <c r="M26" i="9"/>
  <c r="N26" i="9"/>
  <c r="AA26" i="9"/>
  <c r="M11" i="9"/>
  <c r="N11" i="9"/>
  <c r="AA11" i="9"/>
  <c r="M24" i="9"/>
  <c r="N24" i="9"/>
  <c r="AA24" i="9"/>
  <c r="M40" i="9"/>
  <c r="N40" i="9"/>
  <c r="AA40" i="9"/>
  <c r="M27" i="9"/>
  <c r="N27" i="9"/>
  <c r="AA27" i="9"/>
  <c r="M43" i="9"/>
  <c r="N43" i="9"/>
  <c r="AA43" i="9"/>
  <c r="M37" i="9"/>
  <c r="N37" i="9"/>
  <c r="AA37" i="9"/>
  <c r="M21" i="9"/>
  <c r="N21" i="9"/>
  <c r="AA21" i="9"/>
  <c r="M45" i="9"/>
  <c r="N45" i="9"/>
  <c r="AA45" i="9"/>
  <c r="M13" i="9"/>
  <c r="N13" i="9"/>
  <c r="AA13" i="9"/>
  <c r="M28" i="9"/>
  <c r="N28" i="9"/>
  <c r="AA28" i="9"/>
  <c r="M44" i="9"/>
  <c r="N44" i="9"/>
  <c r="AA44" i="9"/>
  <c r="M17" i="9"/>
  <c r="N17" i="9"/>
  <c r="AA17" i="9"/>
  <c r="M31" i="9"/>
  <c r="N31" i="9"/>
  <c r="AA31" i="9"/>
  <c r="M12" i="9"/>
  <c r="N12" i="9"/>
  <c r="AA12" i="9"/>
  <c r="M10" i="9"/>
  <c r="N10" i="9"/>
  <c r="M30" i="9"/>
  <c r="N30" i="9"/>
  <c r="AA30" i="9"/>
  <c r="M14" i="9"/>
  <c r="N14" i="9"/>
  <c r="AA14" i="9"/>
  <c r="M29" i="9"/>
  <c r="N29" i="9"/>
  <c r="AA29" i="9"/>
  <c r="M34" i="9"/>
  <c r="N34" i="9"/>
  <c r="AA34" i="9"/>
  <c r="M33" i="9"/>
  <c r="N33" i="9"/>
  <c r="AA33" i="9"/>
  <c r="M16" i="9"/>
  <c r="N16" i="9"/>
  <c r="AA16" i="9"/>
  <c r="M32" i="9"/>
  <c r="N32" i="9"/>
  <c r="AA32" i="9"/>
  <c r="M18" i="9"/>
  <c r="N18" i="9"/>
  <c r="AA18" i="9"/>
  <c r="M35" i="9"/>
  <c r="N35" i="9"/>
  <c r="AA35" i="9"/>
  <c r="M22" i="9"/>
  <c r="N22" i="9"/>
  <c r="AA22" i="9"/>
  <c r="M15" i="9"/>
  <c r="N15" i="9"/>
  <c r="AA15" i="9"/>
  <c r="M42" i="9"/>
  <c r="N42" i="9"/>
  <c r="AA42" i="9"/>
  <c r="M41" i="9"/>
  <c r="N41" i="9"/>
  <c r="AA41" i="9"/>
  <c r="M38" i="9"/>
  <c r="N38" i="9"/>
  <c r="AA38" i="9"/>
  <c r="M19" i="9"/>
  <c r="N19" i="9"/>
  <c r="AA19" i="9"/>
  <c r="M437" i="9"/>
  <c r="M413" i="9"/>
  <c r="M445" i="9"/>
  <c r="M425" i="9"/>
  <c r="M416" i="9"/>
  <c r="N416" i="9"/>
  <c r="AA416" i="9"/>
  <c r="M440" i="9"/>
  <c r="N440" i="9"/>
  <c r="AA440" i="9"/>
  <c r="M424" i="9"/>
  <c r="N424" i="9"/>
  <c r="AA424" i="9"/>
  <c r="M412" i="9"/>
  <c r="N412" i="9"/>
  <c r="AA412" i="9"/>
  <c r="M444" i="9"/>
  <c r="N444" i="9"/>
  <c r="AA444" i="9"/>
  <c r="M417" i="9"/>
  <c r="M428" i="9"/>
  <c r="N428" i="9"/>
  <c r="AA428" i="9"/>
  <c r="M433" i="9"/>
  <c r="M432" i="9"/>
  <c r="N432" i="9"/>
  <c r="AA432" i="9"/>
  <c r="M274" i="9"/>
  <c r="N274" i="9"/>
  <c r="AA274" i="9"/>
  <c r="M296" i="9"/>
  <c r="N296" i="9"/>
  <c r="AA296" i="9"/>
  <c r="M269" i="9"/>
  <c r="N269" i="9"/>
  <c r="AA269" i="9"/>
  <c r="M282" i="9"/>
  <c r="N282" i="9"/>
  <c r="AA282" i="9"/>
  <c r="M293" i="9"/>
  <c r="N293" i="9"/>
  <c r="AA293" i="9"/>
  <c r="M275" i="9"/>
  <c r="N275" i="9"/>
  <c r="AA275" i="9"/>
  <c r="M278" i="9"/>
  <c r="N278" i="9"/>
  <c r="AA278" i="9"/>
  <c r="M280" i="9"/>
  <c r="N280" i="9"/>
  <c r="AA280" i="9"/>
  <c r="M301" i="9"/>
  <c r="N301" i="9"/>
  <c r="AA301" i="9"/>
  <c r="M281" i="9"/>
  <c r="N281" i="9"/>
  <c r="AA281" i="9"/>
  <c r="M288" i="9"/>
  <c r="N288" i="9"/>
  <c r="AA288" i="9"/>
  <c r="M267" i="9"/>
  <c r="N267" i="9"/>
  <c r="AA267" i="9"/>
  <c r="M276" i="9"/>
  <c r="M266" i="9"/>
  <c r="N266" i="9"/>
  <c r="AA266" i="9"/>
  <c r="M272" i="9"/>
  <c r="N272" i="9"/>
  <c r="AA272" i="9"/>
  <c r="M285" i="9"/>
  <c r="N285" i="9"/>
  <c r="AA285" i="9"/>
  <c r="M292" i="9"/>
  <c r="M287" i="9"/>
  <c r="N287" i="9"/>
  <c r="AA287" i="9"/>
  <c r="M268" i="9"/>
  <c r="N268" i="9"/>
  <c r="AA268" i="9"/>
  <c r="M270" i="9"/>
  <c r="N270" i="9"/>
  <c r="AA270" i="9"/>
  <c r="M277" i="9"/>
  <c r="N277" i="9"/>
  <c r="AA277" i="9"/>
  <c r="M289" i="9"/>
  <c r="N289" i="9"/>
  <c r="AA289" i="9"/>
  <c r="M295" i="9"/>
  <c r="N295" i="9"/>
  <c r="AA295" i="9"/>
  <c r="M271" i="9"/>
  <c r="N271" i="9"/>
  <c r="AA271" i="9"/>
  <c r="M290" i="9"/>
  <c r="N290" i="9"/>
  <c r="AA290" i="9"/>
  <c r="M300" i="9"/>
  <c r="N300" i="9"/>
  <c r="AA300" i="9"/>
  <c r="M273" i="9"/>
  <c r="N273" i="9"/>
  <c r="AA273" i="9"/>
  <c r="M299" i="9"/>
  <c r="N299" i="9"/>
  <c r="AA299" i="9"/>
  <c r="M297" i="9"/>
  <c r="N297" i="9"/>
  <c r="AA297" i="9"/>
  <c r="M279" i="9"/>
  <c r="N279" i="9"/>
  <c r="AA279" i="9"/>
  <c r="M298" i="9"/>
  <c r="N298" i="9"/>
  <c r="AA298" i="9"/>
  <c r="M284" i="9"/>
  <c r="N284" i="9"/>
  <c r="AA284" i="9"/>
  <c r="M291" i="9"/>
  <c r="N291" i="9"/>
  <c r="AA291" i="9"/>
  <c r="M294" i="9"/>
  <c r="N294" i="9"/>
  <c r="AA294" i="9"/>
  <c r="M265" i="9"/>
  <c r="N265" i="9"/>
  <c r="AA265" i="9"/>
  <c r="M283" i="9"/>
  <c r="N283" i="9"/>
  <c r="AA283" i="9"/>
  <c r="M286" i="9"/>
  <c r="N286" i="9"/>
  <c r="AA286" i="9"/>
  <c r="M132" i="9"/>
  <c r="N132" i="9"/>
  <c r="AA132" i="9"/>
  <c r="M129" i="9"/>
  <c r="N129" i="9"/>
  <c r="AA129" i="9"/>
  <c r="M137" i="9"/>
  <c r="N137" i="9"/>
  <c r="AA137" i="9"/>
  <c r="M147" i="9"/>
  <c r="N147" i="9"/>
  <c r="AA147" i="9"/>
  <c r="M155" i="9"/>
  <c r="N155" i="9"/>
  <c r="AA155" i="9"/>
  <c r="M143" i="9"/>
  <c r="N143" i="9"/>
  <c r="AA143" i="9"/>
  <c r="M119" i="9"/>
  <c r="N119" i="9"/>
  <c r="AA119" i="9"/>
  <c r="M120" i="9"/>
  <c r="N120" i="9"/>
  <c r="AA120" i="9"/>
  <c r="M136" i="9"/>
  <c r="N136" i="9"/>
  <c r="AA136" i="9"/>
  <c r="M139" i="9"/>
  <c r="N139" i="9"/>
  <c r="AA139" i="9"/>
  <c r="M140" i="9"/>
  <c r="N140" i="9"/>
  <c r="AA140" i="9"/>
  <c r="M133" i="9"/>
  <c r="N133" i="9"/>
  <c r="AA133" i="9"/>
  <c r="M149" i="9"/>
  <c r="N149" i="9"/>
  <c r="AA149" i="9"/>
  <c r="M146" i="9"/>
  <c r="N146" i="9"/>
  <c r="AA146" i="9"/>
  <c r="M134" i="9"/>
  <c r="N134" i="9"/>
  <c r="AA134" i="9"/>
  <c r="M152" i="9"/>
  <c r="N152" i="9"/>
  <c r="AA152" i="9"/>
  <c r="M135" i="9"/>
  <c r="N135" i="9"/>
  <c r="AA135" i="9"/>
  <c r="M124" i="9"/>
  <c r="N124" i="9"/>
  <c r="AA124" i="9"/>
  <c r="M121" i="9"/>
  <c r="N121" i="9"/>
  <c r="AA121" i="9"/>
  <c r="M150" i="9"/>
  <c r="N150" i="9"/>
  <c r="AA150" i="9"/>
  <c r="M144" i="9"/>
  <c r="N144" i="9"/>
  <c r="AA144" i="9"/>
  <c r="M148" i="9"/>
  <c r="N148" i="9"/>
  <c r="AA148" i="9"/>
  <c r="M138" i="9"/>
  <c r="N138" i="9"/>
  <c r="AA138" i="9"/>
  <c r="M126" i="9"/>
  <c r="N126" i="9"/>
  <c r="AA126" i="9"/>
  <c r="M142" i="9"/>
  <c r="N142" i="9"/>
  <c r="AA142" i="9"/>
  <c r="M153" i="9"/>
  <c r="N153" i="9"/>
  <c r="AA153" i="9"/>
  <c r="M141" i="9"/>
  <c r="N141" i="9"/>
  <c r="AA141" i="9"/>
  <c r="M128" i="9"/>
  <c r="N128" i="9"/>
  <c r="AA128" i="9"/>
  <c r="M125" i="9"/>
  <c r="N125" i="9"/>
  <c r="AA125" i="9"/>
  <c r="M154" i="9"/>
  <c r="N154" i="9"/>
  <c r="AA154" i="9"/>
  <c r="M145" i="9"/>
  <c r="N145" i="9"/>
  <c r="AA145" i="9"/>
  <c r="M151" i="9"/>
  <c r="N151" i="9"/>
  <c r="AA151" i="9"/>
  <c r="M123" i="9"/>
  <c r="N123" i="9"/>
  <c r="AA123" i="9"/>
  <c r="M122" i="9"/>
  <c r="N122" i="9"/>
  <c r="AA122" i="9"/>
  <c r="M131" i="9"/>
  <c r="N131" i="9"/>
  <c r="AA131" i="9"/>
  <c r="M130" i="9"/>
  <c r="N130" i="9"/>
  <c r="AA130" i="9"/>
  <c r="M127" i="9"/>
  <c r="N127" i="9"/>
  <c r="AA127" i="9"/>
  <c r="D36" i="10"/>
  <c r="I36" i="10"/>
  <c r="E36" i="10"/>
  <c r="H36" i="10"/>
  <c r="J36" i="10"/>
  <c r="A37" i="10"/>
  <c r="C36" i="10"/>
  <c r="F36" i="10"/>
  <c r="M401" i="9"/>
  <c r="M380" i="9"/>
  <c r="N380" i="9"/>
  <c r="AA380" i="9"/>
  <c r="M400" i="9"/>
  <c r="N400" i="9"/>
  <c r="AA400" i="9"/>
  <c r="M378" i="9"/>
  <c r="M385" i="9"/>
  <c r="M394" i="9"/>
  <c r="M393" i="9"/>
  <c r="M410" i="9"/>
  <c r="M403" i="9"/>
  <c r="M384" i="9"/>
  <c r="N384" i="9"/>
  <c r="AA384" i="9"/>
  <c r="M408" i="9"/>
  <c r="N408" i="9"/>
  <c r="AA408" i="9"/>
  <c r="M396" i="9"/>
  <c r="N396" i="9"/>
  <c r="AA396" i="9"/>
  <c r="M399" i="9"/>
  <c r="M377" i="9"/>
  <c r="N377" i="9"/>
  <c r="AA377" i="9"/>
  <c r="M381" i="9"/>
  <c r="M405" i="9"/>
  <c r="M389" i="9"/>
  <c r="M404" i="9"/>
  <c r="N404" i="9"/>
  <c r="AA404" i="9"/>
  <c r="M392" i="9"/>
  <c r="N392" i="9"/>
  <c r="AA392" i="9"/>
  <c r="M388" i="9"/>
  <c r="N388" i="9"/>
  <c r="AA388" i="9"/>
  <c r="M375" i="9"/>
  <c r="N375" i="9"/>
  <c r="AA375" i="9"/>
  <c r="M409" i="9"/>
  <c r="M397" i="9"/>
  <c r="M238" i="9"/>
  <c r="N238" i="9"/>
  <c r="AA238" i="9"/>
  <c r="M254" i="9"/>
  <c r="N254" i="9"/>
  <c r="AA254" i="9"/>
  <c r="M235" i="9"/>
  <c r="N235" i="9"/>
  <c r="AA235" i="9"/>
  <c r="M251" i="9"/>
  <c r="N251" i="9"/>
  <c r="AA251" i="9"/>
  <c r="M253" i="9"/>
  <c r="N253" i="9"/>
  <c r="AA253" i="9"/>
  <c r="M256" i="9"/>
  <c r="N256" i="9"/>
  <c r="AA256" i="9"/>
  <c r="M261" i="9"/>
  <c r="N261" i="9"/>
  <c r="AA261" i="9"/>
  <c r="M236" i="9"/>
  <c r="N236" i="9"/>
  <c r="AA236" i="9"/>
  <c r="M242" i="9"/>
  <c r="N242" i="9"/>
  <c r="AA242" i="9"/>
  <c r="M258" i="9"/>
  <c r="N258" i="9"/>
  <c r="AA258" i="9"/>
  <c r="M239" i="9"/>
  <c r="N239" i="9"/>
  <c r="AA239" i="9"/>
  <c r="M255" i="9"/>
  <c r="N255" i="9"/>
  <c r="AA255" i="9"/>
  <c r="M237" i="9"/>
  <c r="N237" i="9"/>
  <c r="AA237" i="9"/>
  <c r="M257" i="9"/>
  <c r="N257" i="9"/>
  <c r="AA257" i="9"/>
  <c r="M248" i="9"/>
  <c r="N248" i="9"/>
  <c r="AA248" i="9"/>
  <c r="M245" i="9"/>
  <c r="N245" i="9"/>
  <c r="AA245" i="9"/>
  <c r="M260" i="9"/>
  <c r="N260" i="9"/>
  <c r="AA260" i="9"/>
  <c r="M230" i="9"/>
  <c r="N230" i="9"/>
  <c r="AA230" i="9"/>
  <c r="M246" i="9"/>
  <c r="N246" i="9"/>
  <c r="AA246" i="9"/>
  <c r="M262" i="9"/>
  <c r="N262" i="9"/>
  <c r="AA262" i="9"/>
  <c r="M243" i="9"/>
  <c r="N243" i="9"/>
  <c r="AA243" i="9"/>
  <c r="M259" i="9"/>
  <c r="N259" i="9"/>
  <c r="AA259" i="9"/>
  <c r="M241" i="9"/>
  <c r="N241" i="9"/>
  <c r="AA241" i="9"/>
  <c r="M240" i="9"/>
  <c r="N240" i="9"/>
  <c r="AA240" i="9"/>
  <c r="M229" i="9"/>
  <c r="N229" i="9"/>
  <c r="AA229" i="9"/>
  <c r="M249" i="9"/>
  <c r="N249" i="9"/>
  <c r="AA249" i="9"/>
  <c r="M252" i="9"/>
  <c r="N252" i="9"/>
  <c r="AA252" i="9"/>
  <c r="M234" i="9"/>
  <c r="N234" i="9"/>
  <c r="AA234" i="9"/>
  <c r="M250" i="9"/>
  <c r="N250" i="9"/>
  <c r="AA250" i="9"/>
  <c r="M231" i="9"/>
  <c r="N231" i="9"/>
  <c r="AA231" i="9"/>
  <c r="M247" i="9"/>
  <c r="N247" i="9"/>
  <c r="AA247" i="9"/>
  <c r="M263" i="9"/>
  <c r="N263" i="9"/>
  <c r="AA263" i="9"/>
  <c r="M264" i="9"/>
  <c r="N264" i="9"/>
  <c r="AA264" i="9"/>
  <c r="M232" i="9"/>
  <c r="N232" i="9"/>
  <c r="AA232" i="9"/>
  <c r="M233" i="9"/>
  <c r="N233" i="9"/>
  <c r="AA233" i="9"/>
  <c r="M244" i="9"/>
  <c r="N244" i="9"/>
  <c r="AA244" i="9"/>
  <c r="M84" i="9"/>
  <c r="N84" i="9"/>
  <c r="AA84" i="9"/>
  <c r="M100" i="9"/>
  <c r="N100" i="9"/>
  <c r="AA100" i="9"/>
  <c r="M116" i="9"/>
  <c r="N116" i="9"/>
  <c r="AA116" i="9"/>
  <c r="M87" i="9"/>
  <c r="N87" i="9"/>
  <c r="AA87" i="9"/>
  <c r="M97" i="9"/>
  <c r="N97" i="9"/>
  <c r="AA97" i="9"/>
  <c r="M113" i="9"/>
  <c r="N113" i="9"/>
  <c r="AA113" i="9"/>
  <c r="M115" i="9"/>
  <c r="N115" i="9"/>
  <c r="AA115" i="9"/>
  <c r="M118" i="9"/>
  <c r="N118" i="9"/>
  <c r="AA118" i="9"/>
  <c r="M102" i="9"/>
  <c r="N102" i="9"/>
  <c r="AA102" i="9"/>
  <c r="M94" i="9"/>
  <c r="N94" i="9"/>
  <c r="AA94" i="9"/>
  <c r="M89" i="9"/>
  <c r="N89" i="9"/>
  <c r="AA89" i="9"/>
  <c r="M86" i="9"/>
  <c r="N86" i="9"/>
  <c r="AA86" i="9"/>
  <c r="M88" i="9"/>
  <c r="N88" i="9"/>
  <c r="AA88" i="9"/>
  <c r="M104" i="9"/>
  <c r="N104" i="9"/>
  <c r="AA104" i="9"/>
  <c r="M91" i="9"/>
  <c r="N91" i="9"/>
  <c r="AA91" i="9"/>
  <c r="M101" i="9"/>
  <c r="N101" i="9"/>
  <c r="AA101" i="9"/>
  <c r="M117" i="9"/>
  <c r="N117" i="9"/>
  <c r="AA117" i="9"/>
  <c r="M107" i="9"/>
  <c r="N107" i="9"/>
  <c r="AA107" i="9"/>
  <c r="M114" i="9"/>
  <c r="N114" i="9"/>
  <c r="AA114" i="9"/>
  <c r="M98" i="9"/>
  <c r="N98" i="9"/>
  <c r="AA98" i="9"/>
  <c r="M111" i="9"/>
  <c r="N111" i="9"/>
  <c r="AA111" i="9"/>
  <c r="M92" i="9"/>
  <c r="N92" i="9"/>
  <c r="AA92" i="9"/>
  <c r="M108" i="9"/>
  <c r="N108" i="9"/>
  <c r="AA108" i="9"/>
  <c r="M105" i="9"/>
  <c r="N105" i="9"/>
  <c r="AA105" i="9"/>
  <c r="M85" i="9"/>
  <c r="N85" i="9"/>
  <c r="AA85" i="9"/>
  <c r="M99" i="9"/>
  <c r="N99" i="9"/>
  <c r="AA99" i="9"/>
  <c r="M110" i="9"/>
  <c r="N110" i="9"/>
  <c r="AA110" i="9"/>
  <c r="M90" i="9"/>
  <c r="N90" i="9"/>
  <c r="AA90" i="9"/>
  <c r="M103" i="9"/>
  <c r="N103" i="9"/>
  <c r="AA103" i="9"/>
  <c r="M96" i="9"/>
  <c r="N96" i="9"/>
  <c r="AA96" i="9"/>
  <c r="M112" i="9"/>
  <c r="N112" i="9"/>
  <c r="AA112" i="9"/>
  <c r="M83" i="9"/>
  <c r="N83" i="9"/>
  <c r="AA83" i="9"/>
  <c r="M93" i="9"/>
  <c r="N93" i="9"/>
  <c r="AA93" i="9"/>
  <c r="M109" i="9"/>
  <c r="N109" i="9"/>
  <c r="AA109" i="9"/>
  <c r="M106" i="9"/>
  <c r="N106" i="9"/>
  <c r="AA106" i="9"/>
  <c r="M95" i="9"/>
  <c r="N95" i="9"/>
  <c r="AA95" i="9"/>
  <c r="M340" i="9"/>
  <c r="N340" i="9"/>
  <c r="AA340" i="9"/>
  <c r="M339" i="9"/>
  <c r="N339" i="9"/>
  <c r="AA339" i="9"/>
  <c r="M369" i="9"/>
  <c r="N369" i="9"/>
  <c r="AA369" i="9"/>
  <c r="M351" i="9"/>
  <c r="N351" i="9"/>
  <c r="AA351" i="9"/>
  <c r="M338" i="9"/>
  <c r="N338" i="9"/>
  <c r="AA338" i="9"/>
  <c r="M363" i="9"/>
  <c r="N363" i="9"/>
  <c r="AA363" i="9"/>
  <c r="M359" i="9"/>
  <c r="N359" i="9"/>
  <c r="AA359" i="9"/>
  <c r="M367" i="9"/>
  <c r="N367" i="9"/>
  <c r="AA367" i="9"/>
  <c r="M373" i="9"/>
  <c r="N373" i="9"/>
  <c r="AA373" i="9"/>
  <c r="M371" i="9"/>
  <c r="N371" i="9"/>
  <c r="AA371" i="9"/>
  <c r="M342" i="9"/>
  <c r="N342" i="9"/>
  <c r="AA342" i="9"/>
  <c r="M343" i="9"/>
  <c r="N343" i="9"/>
  <c r="AA343" i="9"/>
  <c r="M347" i="9"/>
  <c r="N347" i="9"/>
  <c r="AA347" i="9"/>
  <c r="M355" i="9"/>
  <c r="N355" i="9"/>
  <c r="AA355" i="9"/>
  <c r="M206" i="9"/>
  <c r="N206" i="9"/>
  <c r="AA206" i="9"/>
  <c r="M222" i="9"/>
  <c r="N222" i="9"/>
  <c r="AA222" i="9"/>
  <c r="M203" i="9"/>
  <c r="N203" i="9"/>
  <c r="AA203" i="9"/>
  <c r="M219" i="9"/>
  <c r="N219" i="9"/>
  <c r="AA219" i="9"/>
  <c r="M209" i="9"/>
  <c r="N209" i="9"/>
  <c r="AA209" i="9"/>
  <c r="M224" i="9"/>
  <c r="N224" i="9"/>
  <c r="AA224" i="9"/>
  <c r="M192" i="9"/>
  <c r="N192" i="9"/>
  <c r="AA192" i="9"/>
  <c r="M197" i="9"/>
  <c r="N197" i="9"/>
  <c r="AA197" i="9"/>
  <c r="M217" i="9"/>
  <c r="N217" i="9"/>
  <c r="AA217" i="9"/>
  <c r="M204" i="9"/>
  <c r="N204" i="9"/>
  <c r="AA204" i="9"/>
  <c r="M194" i="9"/>
  <c r="N194" i="9"/>
  <c r="AA194" i="9"/>
  <c r="M210" i="9"/>
  <c r="N210" i="9"/>
  <c r="AA210" i="9"/>
  <c r="M226" i="9"/>
  <c r="N226" i="9"/>
  <c r="AA226" i="9"/>
  <c r="M207" i="9"/>
  <c r="N207" i="9"/>
  <c r="AA207" i="9"/>
  <c r="M223" i="9"/>
  <c r="N223" i="9"/>
  <c r="AA223" i="9"/>
  <c r="M193" i="9"/>
  <c r="N193" i="9"/>
  <c r="AA193" i="9"/>
  <c r="M216" i="9"/>
  <c r="N216" i="9"/>
  <c r="AA216" i="9"/>
  <c r="M201" i="9"/>
  <c r="N201" i="9"/>
  <c r="AA201" i="9"/>
  <c r="M228" i="9"/>
  <c r="N228" i="9"/>
  <c r="AA228" i="9"/>
  <c r="M196" i="9"/>
  <c r="N196" i="9"/>
  <c r="AA196" i="9"/>
  <c r="M198" i="9"/>
  <c r="N198" i="9"/>
  <c r="AA198" i="9"/>
  <c r="M214" i="9"/>
  <c r="N214" i="9"/>
  <c r="AA214" i="9"/>
  <c r="M195" i="9"/>
  <c r="N195" i="9"/>
  <c r="AA195" i="9"/>
  <c r="M211" i="9"/>
  <c r="N211" i="9"/>
  <c r="AA211" i="9"/>
  <c r="M227" i="9"/>
  <c r="N227" i="9"/>
  <c r="AA227" i="9"/>
  <c r="M221" i="9"/>
  <c r="N221" i="9"/>
  <c r="AA221" i="9"/>
  <c r="M208" i="9"/>
  <c r="N208" i="9"/>
  <c r="AA208" i="9"/>
  <c r="M220" i="9"/>
  <c r="N220" i="9"/>
  <c r="AA220" i="9"/>
  <c r="M202" i="9"/>
  <c r="N202" i="9"/>
  <c r="AA202" i="9"/>
  <c r="M218" i="9"/>
  <c r="N218" i="9"/>
  <c r="AA218" i="9"/>
  <c r="M199" i="9"/>
  <c r="N199" i="9"/>
  <c r="AA199" i="9"/>
  <c r="M215" i="9"/>
  <c r="N215" i="9"/>
  <c r="AA215" i="9"/>
  <c r="M205" i="9"/>
  <c r="N205" i="9"/>
  <c r="AA205" i="9"/>
  <c r="M225" i="9"/>
  <c r="N225" i="9"/>
  <c r="AA225" i="9"/>
  <c r="M200" i="9"/>
  <c r="N200" i="9"/>
  <c r="AA200" i="9"/>
  <c r="M213" i="9"/>
  <c r="N213" i="9"/>
  <c r="AA213" i="9"/>
  <c r="M212" i="9"/>
  <c r="N212" i="9"/>
  <c r="AA212" i="9"/>
  <c r="M52" i="9"/>
  <c r="N52" i="9"/>
  <c r="AA52" i="9"/>
  <c r="M68" i="9"/>
  <c r="N68" i="9"/>
  <c r="AA68" i="9"/>
  <c r="M55" i="9"/>
  <c r="N55" i="9"/>
  <c r="AA55" i="9"/>
  <c r="M71" i="9"/>
  <c r="N71" i="9"/>
  <c r="AA71" i="9"/>
  <c r="M53" i="9"/>
  <c r="N53" i="9"/>
  <c r="AA53" i="9"/>
  <c r="M62" i="9"/>
  <c r="N62" i="9"/>
  <c r="AA62" i="9"/>
  <c r="M61" i="9"/>
  <c r="N61" i="9"/>
  <c r="AA61" i="9"/>
  <c r="M66" i="9"/>
  <c r="N66" i="9"/>
  <c r="AA66" i="9"/>
  <c r="M65" i="9"/>
  <c r="N65" i="9"/>
  <c r="AA65" i="9"/>
  <c r="M56" i="9"/>
  <c r="N56" i="9"/>
  <c r="AA56" i="9"/>
  <c r="M72" i="9"/>
  <c r="N72" i="9"/>
  <c r="AA72" i="9"/>
  <c r="M59" i="9"/>
  <c r="N59" i="9"/>
  <c r="AA59" i="9"/>
  <c r="M75" i="9"/>
  <c r="N75" i="9"/>
  <c r="AA75" i="9"/>
  <c r="M46" i="9"/>
  <c r="N46" i="9"/>
  <c r="AA46" i="9"/>
  <c r="M74" i="9"/>
  <c r="N74" i="9"/>
  <c r="AA74" i="9"/>
  <c r="M73" i="9"/>
  <c r="N73" i="9"/>
  <c r="AA73" i="9"/>
  <c r="M70" i="9"/>
  <c r="N70" i="9"/>
  <c r="AA70" i="9"/>
  <c r="M50" i="9"/>
  <c r="N50" i="9"/>
  <c r="AA50" i="9"/>
  <c r="M49" i="9"/>
  <c r="N49" i="9"/>
  <c r="AA49" i="9"/>
  <c r="M60" i="9"/>
  <c r="N60" i="9"/>
  <c r="AA60" i="9"/>
  <c r="M76" i="9"/>
  <c r="N76" i="9"/>
  <c r="AA76" i="9"/>
  <c r="M47" i="9"/>
  <c r="N47" i="9"/>
  <c r="AA47" i="9"/>
  <c r="M63" i="9"/>
  <c r="N63" i="9"/>
  <c r="AA63" i="9"/>
  <c r="M79" i="9"/>
  <c r="N79" i="9"/>
  <c r="AA79" i="9"/>
  <c r="M58" i="9"/>
  <c r="N58" i="9"/>
  <c r="AA58" i="9"/>
  <c r="M57" i="9"/>
  <c r="N57" i="9"/>
  <c r="AA57" i="9"/>
  <c r="M54" i="9"/>
  <c r="N54" i="9"/>
  <c r="AA54" i="9"/>
  <c r="M48" i="9"/>
  <c r="N48" i="9"/>
  <c r="AA48" i="9"/>
  <c r="M64" i="9"/>
  <c r="N64" i="9"/>
  <c r="AA64" i="9"/>
  <c r="M80" i="9"/>
  <c r="N80" i="9"/>
  <c r="AA80" i="9"/>
  <c r="M51" i="9"/>
  <c r="N51" i="9"/>
  <c r="AA51" i="9"/>
  <c r="M67" i="9"/>
  <c r="N67" i="9"/>
  <c r="AA67" i="9"/>
  <c r="M69" i="9"/>
  <c r="N69" i="9"/>
  <c r="AA69" i="9"/>
  <c r="M78" i="9"/>
  <c r="N78" i="9"/>
  <c r="AA78" i="9"/>
  <c r="M77" i="9"/>
  <c r="N77" i="9"/>
  <c r="AA77" i="9"/>
  <c r="M82" i="9"/>
  <c r="N82" i="9"/>
  <c r="AA82" i="9"/>
  <c r="M81" i="9"/>
  <c r="N81" i="9"/>
  <c r="AA81" i="9"/>
  <c r="O60" i="10"/>
  <c r="P59" i="10"/>
  <c r="J339" i="7"/>
  <c r="AB339" i="7"/>
  <c r="J341" i="7"/>
  <c r="AB341" i="7"/>
  <c r="J343" i="7"/>
  <c r="AB343" i="7"/>
  <c r="J345" i="7"/>
  <c r="AB345" i="7"/>
  <c r="J347" i="7"/>
  <c r="AB347" i="7"/>
  <c r="J349" i="7"/>
  <c r="AB349" i="7"/>
  <c r="J351" i="7"/>
  <c r="AB351" i="7"/>
  <c r="J353" i="7"/>
  <c r="AB353" i="7"/>
  <c r="J355" i="7"/>
  <c r="AB355" i="7"/>
  <c r="J357" i="7"/>
  <c r="AB357" i="7"/>
  <c r="J359" i="7"/>
  <c r="AB359" i="7"/>
  <c r="J361" i="7"/>
  <c r="AB361" i="7"/>
  <c r="J363" i="7"/>
  <c r="AB363" i="7"/>
  <c r="J365" i="7"/>
  <c r="AB365" i="7"/>
  <c r="J367" i="7"/>
  <c r="AB367" i="7"/>
  <c r="J369" i="7"/>
  <c r="AB369" i="7"/>
  <c r="J371" i="7"/>
  <c r="AB371" i="7"/>
  <c r="J373" i="7"/>
  <c r="AB373" i="7"/>
  <c r="J338" i="7"/>
  <c r="AB338" i="7"/>
  <c r="J340" i="7"/>
  <c r="AB340" i="7"/>
  <c r="J342" i="7"/>
  <c r="AB342" i="7"/>
  <c r="J344" i="7"/>
  <c r="AB344" i="7"/>
  <c r="J346" i="7"/>
  <c r="AB346" i="7"/>
  <c r="J348" i="7"/>
  <c r="AB348" i="7"/>
  <c r="J350" i="7"/>
  <c r="AB350" i="7"/>
  <c r="J352" i="7"/>
  <c r="AB352" i="7"/>
  <c r="J354" i="7"/>
  <c r="AB354" i="7"/>
  <c r="J356" i="7"/>
  <c r="AB356" i="7"/>
  <c r="J358" i="7"/>
  <c r="AB358" i="7"/>
  <c r="J360" i="7"/>
  <c r="AB360" i="7"/>
  <c r="J362" i="7"/>
  <c r="AB362" i="7"/>
  <c r="J364" i="7"/>
  <c r="AB364" i="7"/>
  <c r="J366" i="7"/>
  <c r="AB366" i="7"/>
  <c r="J368" i="7"/>
  <c r="AB368" i="7"/>
  <c r="J370" i="7"/>
  <c r="AB370" i="7"/>
  <c r="J372" i="7"/>
  <c r="AB372" i="7"/>
  <c r="J374" i="7"/>
  <c r="AB374" i="7"/>
  <c r="J120" i="7"/>
  <c r="AB120" i="7"/>
  <c r="J122" i="7"/>
  <c r="AB122" i="7"/>
  <c r="J124" i="7"/>
  <c r="AB124" i="7"/>
  <c r="J126" i="7"/>
  <c r="AB126" i="7"/>
  <c r="J128" i="7"/>
  <c r="AB128" i="7"/>
  <c r="J130" i="7"/>
  <c r="AB130" i="7"/>
  <c r="J132" i="7"/>
  <c r="AB132" i="7"/>
  <c r="J134" i="7"/>
  <c r="AB134" i="7"/>
  <c r="J136" i="7"/>
  <c r="AB136" i="7"/>
  <c r="J138" i="7"/>
  <c r="AB138" i="7"/>
  <c r="J140" i="7"/>
  <c r="AB140" i="7"/>
  <c r="J142" i="7"/>
  <c r="AB142" i="7"/>
  <c r="J144" i="7"/>
  <c r="AB144" i="7"/>
  <c r="J146" i="7"/>
  <c r="AB146" i="7"/>
  <c r="J148" i="7"/>
  <c r="AB148" i="7"/>
  <c r="J150" i="7"/>
  <c r="AB150" i="7"/>
  <c r="J152" i="7"/>
  <c r="AB152" i="7"/>
  <c r="J154" i="7"/>
  <c r="AB154" i="7"/>
  <c r="J119" i="7"/>
  <c r="AB119" i="7"/>
  <c r="J121" i="7"/>
  <c r="AB121" i="7"/>
  <c r="J123" i="7"/>
  <c r="AB123" i="7"/>
  <c r="J125" i="7"/>
  <c r="AB125" i="7"/>
  <c r="J127" i="7"/>
  <c r="AB127" i="7"/>
  <c r="J129" i="7"/>
  <c r="AB129" i="7"/>
  <c r="J131" i="7"/>
  <c r="AB131" i="7"/>
  <c r="J133" i="7"/>
  <c r="AB133" i="7"/>
  <c r="J135" i="7"/>
  <c r="AB135" i="7"/>
  <c r="J137" i="7"/>
  <c r="AB137" i="7"/>
  <c r="J139" i="7"/>
  <c r="AB139" i="7"/>
  <c r="J141" i="7"/>
  <c r="AB141" i="7"/>
  <c r="J143" i="7"/>
  <c r="AB143" i="7"/>
  <c r="J145" i="7"/>
  <c r="AB145" i="7"/>
  <c r="J147" i="7"/>
  <c r="AB147" i="7"/>
  <c r="J149" i="7"/>
  <c r="AB149" i="7"/>
  <c r="J151" i="7"/>
  <c r="AB151" i="7"/>
  <c r="J153" i="7"/>
  <c r="AB153" i="7"/>
  <c r="J155" i="7"/>
  <c r="AB155" i="7"/>
  <c r="J375" i="7"/>
  <c r="AB375" i="7"/>
  <c r="J377" i="7"/>
  <c r="AB377" i="7"/>
  <c r="J379" i="7"/>
  <c r="AB379" i="7"/>
  <c r="J381" i="7"/>
  <c r="AB381" i="7"/>
  <c r="J383" i="7"/>
  <c r="AB383" i="7"/>
  <c r="J385" i="7"/>
  <c r="AB385" i="7"/>
  <c r="J387" i="7"/>
  <c r="AB387" i="7"/>
  <c r="J389" i="7"/>
  <c r="AB389" i="7"/>
  <c r="J391" i="7"/>
  <c r="AB391" i="7"/>
  <c r="J393" i="7"/>
  <c r="AB393" i="7"/>
  <c r="J395" i="7"/>
  <c r="AB395" i="7"/>
  <c r="J397" i="7"/>
  <c r="AB397" i="7"/>
  <c r="J399" i="7"/>
  <c r="AB399" i="7"/>
  <c r="J401" i="7"/>
  <c r="AB401" i="7"/>
  <c r="J403" i="7"/>
  <c r="AB403" i="7"/>
  <c r="J405" i="7"/>
  <c r="AB405" i="7"/>
  <c r="J407" i="7"/>
  <c r="AB407" i="7"/>
  <c r="J409" i="7"/>
  <c r="AB409" i="7"/>
  <c r="J376" i="7"/>
  <c r="AB376" i="7"/>
  <c r="J378" i="7"/>
  <c r="AB378" i="7"/>
  <c r="J380" i="7"/>
  <c r="AB380" i="7"/>
  <c r="J382" i="7"/>
  <c r="AB382" i="7"/>
  <c r="J384" i="7"/>
  <c r="AB384" i="7"/>
  <c r="J386" i="7"/>
  <c r="AB386" i="7"/>
  <c r="J388" i="7"/>
  <c r="AB388" i="7"/>
  <c r="J390" i="7"/>
  <c r="AB390" i="7"/>
  <c r="J392" i="7"/>
  <c r="AB392" i="7"/>
  <c r="J394" i="7"/>
  <c r="AB394" i="7"/>
  <c r="J396" i="7"/>
  <c r="AB396" i="7"/>
  <c r="J398" i="7"/>
  <c r="AB398" i="7"/>
  <c r="J400" i="7"/>
  <c r="AB400" i="7"/>
  <c r="J402" i="7"/>
  <c r="AB402" i="7"/>
  <c r="J404" i="7"/>
  <c r="AB404" i="7"/>
  <c r="J406" i="7"/>
  <c r="AB406" i="7"/>
  <c r="J408" i="7"/>
  <c r="AB408" i="7"/>
  <c r="J410" i="7"/>
  <c r="AB410" i="7"/>
  <c r="J521" i="7"/>
  <c r="AB521" i="7"/>
  <c r="J523" i="7"/>
  <c r="AB523" i="7"/>
  <c r="J525" i="7"/>
  <c r="AB525" i="7"/>
  <c r="J527" i="7"/>
  <c r="AB527" i="7"/>
  <c r="J529" i="7"/>
  <c r="AB529" i="7"/>
  <c r="J531" i="7"/>
  <c r="AB531" i="7"/>
  <c r="J533" i="7"/>
  <c r="AB533" i="7"/>
  <c r="J535" i="7"/>
  <c r="AB535" i="7"/>
  <c r="J537" i="7"/>
  <c r="AB537" i="7"/>
  <c r="J539" i="7"/>
  <c r="AB539" i="7"/>
  <c r="J541" i="7"/>
  <c r="AB541" i="7"/>
  <c r="J543" i="7"/>
  <c r="AB543" i="7"/>
  <c r="J545" i="7"/>
  <c r="AB545" i="7"/>
  <c r="J547" i="7"/>
  <c r="AB547" i="7"/>
  <c r="J549" i="7"/>
  <c r="AB549" i="7"/>
  <c r="J551" i="7"/>
  <c r="AB551" i="7"/>
  <c r="J553" i="7"/>
  <c r="AB553" i="7"/>
  <c r="J555" i="7"/>
  <c r="AB555" i="7"/>
  <c r="J522" i="7"/>
  <c r="AB522" i="7"/>
  <c r="J524" i="7"/>
  <c r="AB524" i="7"/>
  <c r="J526" i="7"/>
  <c r="AB526" i="7"/>
  <c r="J528" i="7"/>
  <c r="AB528" i="7"/>
  <c r="J530" i="7"/>
  <c r="AB530" i="7"/>
  <c r="J532" i="7"/>
  <c r="AB532" i="7"/>
  <c r="J534" i="7"/>
  <c r="AB534" i="7"/>
  <c r="J536" i="7"/>
  <c r="AB536" i="7"/>
  <c r="J538" i="7"/>
  <c r="AB538" i="7"/>
  <c r="J540" i="7"/>
  <c r="AB540" i="7"/>
  <c r="J542" i="7"/>
  <c r="AB542" i="7"/>
  <c r="J544" i="7"/>
  <c r="AB544" i="7"/>
  <c r="J546" i="7"/>
  <c r="AB546" i="7"/>
  <c r="J548" i="7"/>
  <c r="AB548" i="7"/>
  <c r="J550" i="7"/>
  <c r="AB550" i="7"/>
  <c r="J552" i="7"/>
  <c r="AB552" i="7"/>
  <c r="J554" i="7"/>
  <c r="AB554" i="7"/>
  <c r="J556" i="7"/>
  <c r="AB556" i="7"/>
  <c r="AE81" i="9"/>
  <c r="AD81" i="9"/>
  <c r="AF81" i="9"/>
  <c r="AE69" i="9"/>
  <c r="AD69" i="9"/>
  <c r="AF69" i="9"/>
  <c r="AE64" i="9"/>
  <c r="AD64" i="9"/>
  <c r="AF64" i="9"/>
  <c r="AE58" i="9"/>
  <c r="AD58" i="9"/>
  <c r="AF58" i="9"/>
  <c r="AE76" i="9"/>
  <c r="AD76" i="9"/>
  <c r="AF76" i="9"/>
  <c r="AE70" i="9"/>
  <c r="AF70" i="9"/>
  <c r="AD70" i="9"/>
  <c r="AE75" i="9"/>
  <c r="AF75" i="9"/>
  <c r="AD75" i="9"/>
  <c r="AE65" i="9"/>
  <c r="AD65" i="9"/>
  <c r="AF65" i="9"/>
  <c r="AE53" i="9"/>
  <c r="AD53" i="9"/>
  <c r="AF53" i="9"/>
  <c r="AE52" i="9"/>
  <c r="AD52" i="9"/>
  <c r="AF52" i="9"/>
  <c r="AE225" i="9"/>
  <c r="AD225" i="9"/>
  <c r="AF225" i="9"/>
  <c r="AE218" i="9"/>
  <c r="AD218" i="9"/>
  <c r="AF218" i="9"/>
  <c r="AE221" i="9"/>
  <c r="AD221" i="9"/>
  <c r="AF221" i="9"/>
  <c r="AE214" i="9"/>
  <c r="AD214" i="9"/>
  <c r="AF214" i="9"/>
  <c r="AE201" i="9"/>
  <c r="AD201" i="9"/>
  <c r="AF201" i="9"/>
  <c r="AE207" i="9"/>
  <c r="AD207" i="9"/>
  <c r="AF207" i="9"/>
  <c r="AE204" i="9"/>
  <c r="AF204" i="9"/>
  <c r="AD204" i="9"/>
  <c r="AE224" i="9"/>
  <c r="AD224" i="9"/>
  <c r="AF224" i="9"/>
  <c r="AE222" i="9"/>
  <c r="AF222" i="9"/>
  <c r="AD222" i="9"/>
  <c r="AE343" i="9"/>
  <c r="AD343" i="9"/>
  <c r="AF343" i="9"/>
  <c r="AE367" i="9"/>
  <c r="AD367" i="9"/>
  <c r="AF367" i="9"/>
  <c r="AE351" i="9"/>
  <c r="AD351" i="9"/>
  <c r="AF351" i="9"/>
  <c r="AE95" i="9"/>
  <c r="AD95" i="9"/>
  <c r="AF95" i="9"/>
  <c r="AE83" i="9"/>
  <c r="AD83" i="9"/>
  <c r="AF83" i="9"/>
  <c r="AE90" i="9"/>
  <c r="AD90" i="9"/>
  <c r="AF90" i="9"/>
  <c r="AE105" i="9"/>
  <c r="AD105" i="9"/>
  <c r="AF105" i="9"/>
  <c r="AE98" i="9"/>
  <c r="AF98" i="9"/>
  <c r="AD98" i="9"/>
  <c r="AE101" i="9"/>
  <c r="AD101" i="9"/>
  <c r="AF101" i="9"/>
  <c r="AE86" i="9"/>
  <c r="AD86" i="9"/>
  <c r="AF86" i="9"/>
  <c r="AE118" i="9"/>
  <c r="AD118" i="9"/>
  <c r="AF118" i="9"/>
  <c r="AE87" i="9"/>
  <c r="AD87" i="9"/>
  <c r="AF87" i="9"/>
  <c r="AE244" i="9"/>
  <c r="AD244" i="9"/>
  <c r="AF244" i="9"/>
  <c r="AE263" i="9"/>
  <c r="AD263" i="9"/>
  <c r="AF263" i="9"/>
  <c r="AE234" i="9"/>
  <c r="AD234" i="9"/>
  <c r="AF234" i="9"/>
  <c r="AE240" i="9"/>
  <c r="AD240" i="9"/>
  <c r="AF240" i="9"/>
  <c r="AE262" i="9"/>
  <c r="AD262" i="9"/>
  <c r="AF262" i="9"/>
  <c r="AE245" i="9"/>
  <c r="AD245" i="9"/>
  <c r="AF245" i="9"/>
  <c r="AE255" i="9"/>
  <c r="AD255" i="9"/>
  <c r="AF255" i="9"/>
  <c r="AE236" i="9"/>
  <c r="AF236" i="9"/>
  <c r="AD236" i="9"/>
  <c r="AE251" i="9"/>
  <c r="AD251" i="9"/>
  <c r="AF251" i="9"/>
  <c r="AE392" i="9"/>
  <c r="AF392" i="9"/>
  <c r="AD392" i="9"/>
  <c r="AE408" i="9"/>
  <c r="AD408" i="9"/>
  <c r="AF408" i="9"/>
  <c r="AE400" i="9"/>
  <c r="AF400" i="9"/>
  <c r="AD400" i="9"/>
  <c r="D37" i="10"/>
  <c r="I37" i="10"/>
  <c r="E37" i="10"/>
  <c r="H37" i="10"/>
  <c r="J37" i="10"/>
  <c r="A38" i="10"/>
  <c r="C37" i="10"/>
  <c r="F37" i="10"/>
  <c r="AE127" i="9"/>
  <c r="AF127" i="9"/>
  <c r="AD127" i="9"/>
  <c r="AE123" i="9"/>
  <c r="AD123" i="9"/>
  <c r="AF123" i="9"/>
  <c r="AE125" i="9"/>
  <c r="AD125" i="9"/>
  <c r="AF125" i="9"/>
  <c r="AE142" i="9"/>
  <c r="AD142" i="9"/>
  <c r="AF142" i="9"/>
  <c r="AE144" i="9"/>
  <c r="AD144" i="9"/>
  <c r="AF144" i="9"/>
  <c r="AE135" i="9"/>
  <c r="AD135" i="9"/>
  <c r="AF135" i="9"/>
  <c r="AE149" i="9"/>
  <c r="AD149" i="9"/>
  <c r="AF149" i="9"/>
  <c r="AE136" i="9"/>
  <c r="AF136" i="9"/>
  <c r="AD136" i="9"/>
  <c r="AE155" i="9"/>
  <c r="AD155" i="9"/>
  <c r="AF155" i="9"/>
  <c r="AE132" i="9"/>
  <c r="AD132" i="9"/>
  <c r="AF132" i="9"/>
  <c r="AE294" i="9"/>
  <c r="AD294" i="9"/>
  <c r="AF294" i="9"/>
  <c r="AE279" i="9"/>
  <c r="AD279" i="9"/>
  <c r="AF279" i="9"/>
  <c r="AE300" i="9"/>
  <c r="AD300" i="9"/>
  <c r="AF300" i="9"/>
  <c r="AE289" i="9"/>
  <c r="AD289" i="9"/>
  <c r="AF289" i="9"/>
  <c r="AE287" i="9"/>
  <c r="AD287" i="9"/>
  <c r="AF287" i="9"/>
  <c r="AE266" i="9"/>
  <c r="AF266" i="9"/>
  <c r="AD266" i="9"/>
  <c r="AE281" i="9"/>
  <c r="AD281" i="9"/>
  <c r="AF281" i="9"/>
  <c r="AE275" i="9"/>
  <c r="AF275" i="9"/>
  <c r="AD275" i="9"/>
  <c r="AE296" i="9"/>
  <c r="AF296" i="9"/>
  <c r="AD296" i="9"/>
  <c r="AE428" i="9"/>
  <c r="AF428" i="9"/>
  <c r="AD428" i="9"/>
  <c r="AE424" i="9"/>
  <c r="AD424" i="9"/>
  <c r="AF424" i="9"/>
  <c r="AE38" i="9"/>
  <c r="AD38" i="9"/>
  <c r="AF38" i="9"/>
  <c r="AE22" i="9"/>
  <c r="AF22" i="9"/>
  <c r="AD22" i="9"/>
  <c r="AE16" i="9"/>
  <c r="AD16" i="9"/>
  <c r="AF16" i="9"/>
  <c r="AE14" i="9"/>
  <c r="AD14" i="9"/>
  <c r="AF14" i="9"/>
  <c r="AE31" i="9"/>
  <c r="AD31" i="9"/>
  <c r="AF31" i="9"/>
  <c r="AE13" i="9"/>
  <c r="AD13" i="9"/>
  <c r="AF13" i="9"/>
  <c r="AE43" i="9"/>
  <c r="AF43" i="9"/>
  <c r="AD43" i="9"/>
  <c r="AE11" i="9"/>
  <c r="AD11" i="9"/>
  <c r="AF11" i="9"/>
  <c r="AE23" i="9"/>
  <c r="AD23" i="9"/>
  <c r="AF23" i="9"/>
  <c r="AE157" i="9"/>
  <c r="AD157" i="9"/>
  <c r="AF157" i="9"/>
  <c r="AE165" i="9"/>
  <c r="AD165" i="9"/>
  <c r="AF165" i="9"/>
  <c r="AE188" i="9"/>
  <c r="AF188" i="9"/>
  <c r="AD188" i="9"/>
  <c r="AE163" i="9"/>
  <c r="AD163" i="9"/>
  <c r="AF163" i="9"/>
  <c r="AE166" i="9"/>
  <c r="AD166" i="9"/>
  <c r="AF166" i="9"/>
  <c r="AE191" i="9"/>
  <c r="AD191" i="9"/>
  <c r="AF191" i="9"/>
  <c r="AE178" i="9"/>
  <c r="AD178" i="9"/>
  <c r="AF178" i="9"/>
  <c r="AE189" i="9"/>
  <c r="AD189" i="9"/>
  <c r="AF189" i="9"/>
  <c r="AE190" i="9"/>
  <c r="AD190" i="9"/>
  <c r="AF190" i="9"/>
  <c r="AE306" i="9"/>
  <c r="AF306" i="9"/>
  <c r="AD306" i="9"/>
  <c r="AE302" i="9"/>
  <c r="AD302" i="9"/>
  <c r="AF302" i="9"/>
  <c r="AE319" i="9"/>
  <c r="AF319" i="9"/>
  <c r="AD319" i="9"/>
  <c r="AE317" i="9"/>
  <c r="AD317" i="9"/>
  <c r="AF317" i="9"/>
  <c r="AE303" i="9"/>
  <c r="AF303" i="9"/>
  <c r="AD303" i="9"/>
  <c r="AE476" i="9"/>
  <c r="AD476" i="9"/>
  <c r="AF476" i="9"/>
  <c r="J849" i="7"/>
  <c r="AB849" i="7"/>
  <c r="J851" i="7"/>
  <c r="AB851" i="7"/>
  <c r="J853" i="7"/>
  <c r="AB853" i="7"/>
  <c r="J855" i="7"/>
  <c r="AB855" i="7"/>
  <c r="J857" i="7"/>
  <c r="AB857" i="7"/>
  <c r="J859" i="7"/>
  <c r="AB859" i="7"/>
  <c r="J861" i="7"/>
  <c r="AB861" i="7"/>
  <c r="J863" i="7"/>
  <c r="AB863" i="7"/>
  <c r="J865" i="7"/>
  <c r="AB865" i="7"/>
  <c r="J867" i="7"/>
  <c r="AB867" i="7"/>
  <c r="J869" i="7"/>
  <c r="AB869" i="7"/>
  <c r="J871" i="7"/>
  <c r="AB871" i="7"/>
  <c r="J873" i="7"/>
  <c r="AB873" i="7"/>
  <c r="J875" i="7"/>
  <c r="AB875" i="7"/>
  <c r="J877" i="7"/>
  <c r="AB877" i="7"/>
  <c r="J879" i="7"/>
  <c r="AB879" i="7"/>
  <c r="J881" i="7"/>
  <c r="AB881" i="7"/>
  <c r="J883" i="7"/>
  <c r="AB883" i="7"/>
  <c r="J885" i="7"/>
  <c r="AB885" i="7"/>
  <c r="J850" i="7"/>
  <c r="AB850" i="7"/>
  <c r="J852" i="7"/>
  <c r="AB852" i="7"/>
  <c r="J854" i="7"/>
  <c r="AB854" i="7"/>
  <c r="J856" i="7"/>
  <c r="AB856" i="7"/>
  <c r="J858" i="7"/>
  <c r="AB858" i="7"/>
  <c r="J860" i="7"/>
  <c r="AB860" i="7"/>
  <c r="J862" i="7"/>
  <c r="AB862" i="7"/>
  <c r="J864" i="7"/>
  <c r="AB864" i="7"/>
  <c r="J866" i="7"/>
  <c r="AB866" i="7"/>
  <c r="J868" i="7"/>
  <c r="AB868" i="7"/>
  <c r="J870" i="7"/>
  <c r="AB870" i="7"/>
  <c r="J872" i="7"/>
  <c r="AB872" i="7"/>
  <c r="J874" i="7"/>
  <c r="AB874" i="7"/>
  <c r="J876" i="7"/>
  <c r="AB876" i="7"/>
  <c r="J878" i="7"/>
  <c r="AB878" i="7"/>
  <c r="J880" i="7"/>
  <c r="AB880" i="7"/>
  <c r="J882" i="7"/>
  <c r="AB882" i="7"/>
  <c r="J884" i="7"/>
  <c r="AB884" i="7"/>
  <c r="J923" i="7"/>
  <c r="AB923" i="7"/>
  <c r="J925" i="7"/>
  <c r="AB925" i="7"/>
  <c r="J927" i="7"/>
  <c r="AB927" i="7"/>
  <c r="J929" i="7"/>
  <c r="AB929" i="7"/>
  <c r="J931" i="7"/>
  <c r="AB931" i="7"/>
  <c r="J933" i="7"/>
  <c r="AB933" i="7"/>
  <c r="J935" i="7"/>
  <c r="AB935" i="7"/>
  <c r="J937" i="7"/>
  <c r="AB937" i="7"/>
  <c r="J939" i="7"/>
  <c r="AB939" i="7"/>
  <c r="J941" i="7"/>
  <c r="AB941" i="7"/>
  <c r="J942" i="7"/>
  <c r="AB942" i="7"/>
  <c r="J944" i="7"/>
  <c r="AB944" i="7"/>
  <c r="J946" i="7"/>
  <c r="AB946" i="7"/>
  <c r="J948" i="7"/>
  <c r="AB948" i="7"/>
  <c r="J950" i="7"/>
  <c r="AB950" i="7"/>
  <c r="J952" i="7"/>
  <c r="AB952" i="7"/>
  <c r="J954" i="7"/>
  <c r="AB954" i="7"/>
  <c r="J956" i="7"/>
  <c r="AB956" i="7"/>
  <c r="J958" i="7"/>
  <c r="AB958" i="7"/>
  <c r="J922" i="7"/>
  <c r="AB922" i="7"/>
  <c r="J924" i="7"/>
  <c r="AB924" i="7"/>
  <c r="J926" i="7"/>
  <c r="AB926" i="7"/>
  <c r="J928" i="7"/>
  <c r="AB928" i="7"/>
  <c r="J930" i="7"/>
  <c r="AB930" i="7"/>
  <c r="J932" i="7"/>
  <c r="AB932" i="7"/>
  <c r="J934" i="7"/>
  <c r="AB934" i="7"/>
  <c r="J936" i="7"/>
  <c r="AB936" i="7"/>
  <c r="J938" i="7"/>
  <c r="AB938" i="7"/>
  <c r="J940" i="7"/>
  <c r="AB940" i="7"/>
  <c r="J943" i="7"/>
  <c r="AB943" i="7"/>
  <c r="J945" i="7"/>
  <c r="AB945" i="7"/>
  <c r="J947" i="7"/>
  <c r="AB947" i="7"/>
  <c r="J949" i="7"/>
  <c r="AB949" i="7"/>
  <c r="J951" i="7"/>
  <c r="AB951" i="7"/>
  <c r="J953" i="7"/>
  <c r="AB953" i="7"/>
  <c r="J955" i="7"/>
  <c r="AB955" i="7"/>
  <c r="J957" i="7"/>
  <c r="AB957" i="7"/>
  <c r="J156" i="7"/>
  <c r="AB156" i="7"/>
  <c r="J158" i="7"/>
  <c r="AB158" i="7"/>
  <c r="J160" i="7"/>
  <c r="AB160" i="7"/>
  <c r="J162" i="7"/>
  <c r="AB162" i="7"/>
  <c r="J164" i="7"/>
  <c r="AB164" i="7"/>
  <c r="J166" i="7"/>
  <c r="AB166" i="7"/>
  <c r="J168" i="7"/>
  <c r="AB168" i="7"/>
  <c r="J170" i="7"/>
  <c r="AB170" i="7"/>
  <c r="J172" i="7"/>
  <c r="AB172" i="7"/>
  <c r="J174" i="7"/>
  <c r="AB174" i="7"/>
  <c r="J176" i="7"/>
  <c r="AB176" i="7"/>
  <c r="J178" i="7"/>
  <c r="AB178" i="7"/>
  <c r="J180" i="7"/>
  <c r="AB180" i="7"/>
  <c r="J182" i="7"/>
  <c r="AB182" i="7"/>
  <c r="J184" i="7"/>
  <c r="AB184" i="7"/>
  <c r="J186" i="7"/>
  <c r="AB186" i="7"/>
  <c r="J188" i="7"/>
  <c r="AB188" i="7"/>
  <c r="J190" i="7"/>
  <c r="AB190" i="7"/>
  <c r="J157" i="7"/>
  <c r="AB157" i="7"/>
  <c r="J159" i="7"/>
  <c r="AB159" i="7"/>
  <c r="J161" i="7"/>
  <c r="AB161" i="7"/>
  <c r="J163" i="7"/>
  <c r="AB163" i="7"/>
  <c r="J165" i="7"/>
  <c r="AB165" i="7"/>
  <c r="J167" i="7"/>
  <c r="AB167" i="7"/>
  <c r="J169" i="7"/>
  <c r="AB169" i="7"/>
  <c r="J171" i="7"/>
  <c r="AB171" i="7"/>
  <c r="J173" i="7"/>
  <c r="AB173" i="7"/>
  <c r="J175" i="7"/>
  <c r="AB175" i="7"/>
  <c r="J177" i="7"/>
  <c r="AB177" i="7"/>
  <c r="J179" i="7"/>
  <c r="AB179" i="7"/>
  <c r="J181" i="7"/>
  <c r="AB181" i="7"/>
  <c r="J183" i="7"/>
  <c r="AB183" i="7"/>
  <c r="J185" i="7"/>
  <c r="AB185" i="7"/>
  <c r="J187" i="7"/>
  <c r="AB187" i="7"/>
  <c r="J189" i="7"/>
  <c r="AB189" i="7"/>
  <c r="J191" i="7"/>
  <c r="AB191" i="7"/>
  <c r="J557" i="7"/>
  <c r="AB557" i="7"/>
  <c r="J559" i="7"/>
  <c r="AB559" i="7"/>
  <c r="J561" i="7"/>
  <c r="AB561" i="7"/>
  <c r="J563" i="7"/>
  <c r="AB563" i="7"/>
  <c r="J565" i="7"/>
  <c r="AB565" i="7"/>
  <c r="J567" i="7"/>
  <c r="AB567" i="7"/>
  <c r="J569" i="7"/>
  <c r="AB569" i="7"/>
  <c r="J571" i="7"/>
  <c r="AB571" i="7"/>
  <c r="J573" i="7"/>
  <c r="AB573" i="7"/>
  <c r="J575" i="7"/>
  <c r="AB575" i="7"/>
  <c r="J577" i="7"/>
  <c r="AB577" i="7"/>
  <c r="J579" i="7"/>
  <c r="AB579" i="7"/>
  <c r="J581" i="7"/>
  <c r="AB581" i="7"/>
  <c r="J583" i="7"/>
  <c r="AB583" i="7"/>
  <c r="J585" i="7"/>
  <c r="AB585" i="7"/>
  <c r="J587" i="7"/>
  <c r="AB587" i="7"/>
  <c r="J589" i="7"/>
  <c r="AB589" i="7"/>
  <c r="J591" i="7"/>
  <c r="AB591" i="7"/>
  <c r="J593" i="7"/>
  <c r="AB593" i="7"/>
  <c r="J558" i="7"/>
  <c r="AB558" i="7"/>
  <c r="J560" i="7"/>
  <c r="AB560" i="7"/>
  <c r="J562" i="7"/>
  <c r="AB562" i="7"/>
  <c r="J564" i="7"/>
  <c r="AB564" i="7"/>
  <c r="J566" i="7"/>
  <c r="AB566" i="7"/>
  <c r="J568" i="7"/>
  <c r="AB568" i="7"/>
  <c r="J570" i="7"/>
  <c r="AB570" i="7"/>
  <c r="J572" i="7"/>
  <c r="AB572" i="7"/>
  <c r="J574" i="7"/>
  <c r="AB574" i="7"/>
  <c r="J576" i="7"/>
  <c r="AB576" i="7"/>
  <c r="J578" i="7"/>
  <c r="AB578" i="7"/>
  <c r="J580" i="7"/>
  <c r="AB580" i="7"/>
  <c r="J582" i="7"/>
  <c r="AB582" i="7"/>
  <c r="J584" i="7"/>
  <c r="AB584" i="7"/>
  <c r="J586" i="7"/>
  <c r="AB586" i="7"/>
  <c r="J588" i="7"/>
  <c r="AB588" i="7"/>
  <c r="J590" i="7"/>
  <c r="AB590" i="7"/>
  <c r="J592" i="7"/>
  <c r="AB592" i="7"/>
  <c r="J485" i="7"/>
  <c r="AB485" i="7"/>
  <c r="J487" i="7"/>
  <c r="AB487" i="7"/>
  <c r="J489" i="7"/>
  <c r="AB489" i="7"/>
  <c r="J491" i="7"/>
  <c r="AB491" i="7"/>
  <c r="J493" i="7"/>
  <c r="AB493" i="7"/>
  <c r="J495" i="7"/>
  <c r="AB495" i="7"/>
  <c r="J497" i="7"/>
  <c r="AB497" i="7"/>
  <c r="J499" i="7"/>
  <c r="AB499" i="7"/>
  <c r="J501" i="7"/>
  <c r="AB501" i="7"/>
  <c r="J503" i="7"/>
  <c r="AB503" i="7"/>
  <c r="J505" i="7"/>
  <c r="AB505" i="7"/>
  <c r="J507" i="7"/>
  <c r="AB507" i="7"/>
  <c r="J509" i="7"/>
  <c r="AB509" i="7"/>
  <c r="J511" i="7"/>
  <c r="AB511" i="7"/>
  <c r="J513" i="7"/>
  <c r="AB513" i="7"/>
  <c r="J515" i="7"/>
  <c r="AB515" i="7"/>
  <c r="J517" i="7"/>
  <c r="AB517" i="7"/>
  <c r="J519" i="7"/>
  <c r="AB519" i="7"/>
  <c r="J484" i="7"/>
  <c r="AB484" i="7"/>
  <c r="J486" i="7"/>
  <c r="AB486" i="7"/>
  <c r="J488" i="7"/>
  <c r="AB488" i="7"/>
  <c r="J490" i="7"/>
  <c r="AB490" i="7"/>
  <c r="J492" i="7"/>
  <c r="AB492" i="7"/>
  <c r="J494" i="7"/>
  <c r="AB494" i="7"/>
  <c r="J496" i="7"/>
  <c r="AB496" i="7"/>
  <c r="J498" i="7"/>
  <c r="AB498" i="7"/>
  <c r="J500" i="7"/>
  <c r="AB500" i="7"/>
  <c r="J502" i="7"/>
  <c r="AB502" i="7"/>
  <c r="J504" i="7"/>
  <c r="AB504" i="7"/>
  <c r="J506" i="7"/>
  <c r="AB506" i="7"/>
  <c r="J508" i="7"/>
  <c r="AB508" i="7"/>
  <c r="J510" i="7"/>
  <c r="AB510" i="7"/>
  <c r="J512" i="7"/>
  <c r="AB512" i="7"/>
  <c r="J514" i="7"/>
  <c r="AB514" i="7"/>
  <c r="J516" i="7"/>
  <c r="AB516" i="7"/>
  <c r="J518" i="7"/>
  <c r="AB518" i="7"/>
  <c r="J520" i="7"/>
  <c r="AB520" i="7"/>
  <c r="J667" i="7"/>
  <c r="AB667" i="7"/>
  <c r="J669" i="7"/>
  <c r="AB669" i="7"/>
  <c r="J671" i="7"/>
  <c r="AB671" i="7"/>
  <c r="J673" i="7"/>
  <c r="AB673" i="7"/>
  <c r="J675" i="7"/>
  <c r="AB675" i="7"/>
  <c r="J677" i="7"/>
  <c r="AB677" i="7"/>
  <c r="J679" i="7"/>
  <c r="AB679" i="7"/>
  <c r="J681" i="7"/>
  <c r="AB681" i="7"/>
  <c r="J683" i="7"/>
  <c r="AB683" i="7"/>
  <c r="J685" i="7"/>
  <c r="AB685" i="7"/>
  <c r="J687" i="7"/>
  <c r="AB687" i="7"/>
  <c r="J689" i="7"/>
  <c r="AB689" i="7"/>
  <c r="J691" i="7"/>
  <c r="AB691" i="7"/>
  <c r="J693" i="7"/>
  <c r="AB693" i="7"/>
  <c r="J695" i="7"/>
  <c r="AB695" i="7"/>
  <c r="J697" i="7"/>
  <c r="AB697" i="7"/>
  <c r="J699" i="7"/>
  <c r="AB699" i="7"/>
  <c r="J701" i="7"/>
  <c r="AB701" i="7"/>
  <c r="J668" i="7"/>
  <c r="AB668" i="7"/>
  <c r="J670" i="7"/>
  <c r="AB670" i="7"/>
  <c r="J672" i="7"/>
  <c r="AB672" i="7"/>
  <c r="J674" i="7"/>
  <c r="AB674" i="7"/>
  <c r="J676" i="7"/>
  <c r="AB676" i="7"/>
  <c r="J678" i="7"/>
  <c r="AB678" i="7"/>
  <c r="J680" i="7"/>
  <c r="AB680" i="7"/>
  <c r="J682" i="7"/>
  <c r="AB682" i="7"/>
  <c r="J684" i="7"/>
  <c r="AB684" i="7"/>
  <c r="J686" i="7"/>
  <c r="AB686" i="7"/>
  <c r="J688" i="7"/>
  <c r="AB688" i="7"/>
  <c r="J690" i="7"/>
  <c r="AB690" i="7"/>
  <c r="J692" i="7"/>
  <c r="AB692" i="7"/>
  <c r="J694" i="7"/>
  <c r="AB694" i="7"/>
  <c r="J696" i="7"/>
  <c r="AB696" i="7"/>
  <c r="J698" i="7"/>
  <c r="AB698" i="7"/>
  <c r="J700" i="7"/>
  <c r="AB700" i="7"/>
  <c r="J702" i="7"/>
  <c r="AB702" i="7"/>
  <c r="J46" i="7"/>
  <c r="AB46" i="7"/>
  <c r="J48" i="7"/>
  <c r="AB48" i="7"/>
  <c r="J50" i="7"/>
  <c r="AB50" i="7"/>
  <c r="J52" i="7"/>
  <c r="AB52" i="7"/>
  <c r="J54" i="7"/>
  <c r="AB54" i="7"/>
  <c r="J56" i="7"/>
  <c r="AB56" i="7"/>
  <c r="J58" i="7"/>
  <c r="AB58" i="7"/>
  <c r="J60" i="7"/>
  <c r="AB60" i="7"/>
  <c r="J62" i="7"/>
  <c r="AB62" i="7"/>
  <c r="J64" i="7"/>
  <c r="AB64" i="7"/>
  <c r="J66" i="7"/>
  <c r="AB66" i="7"/>
  <c r="J68" i="7"/>
  <c r="AB68" i="7"/>
  <c r="J70" i="7"/>
  <c r="AB70" i="7"/>
  <c r="J72" i="7"/>
  <c r="AB72" i="7"/>
  <c r="J74" i="7"/>
  <c r="AB74" i="7"/>
  <c r="J76" i="7"/>
  <c r="AB76" i="7"/>
  <c r="J78" i="7"/>
  <c r="AB78" i="7"/>
  <c r="J80" i="7"/>
  <c r="AB80" i="7"/>
  <c r="J82" i="7"/>
  <c r="AB82" i="7"/>
  <c r="J47" i="7"/>
  <c r="AB47" i="7"/>
  <c r="J49" i="7"/>
  <c r="AB49" i="7"/>
  <c r="J51" i="7"/>
  <c r="AB51" i="7"/>
  <c r="J53" i="7"/>
  <c r="AB53" i="7"/>
  <c r="J55" i="7"/>
  <c r="AB55" i="7"/>
  <c r="J57" i="7"/>
  <c r="AB57" i="7"/>
  <c r="J59" i="7"/>
  <c r="AB59" i="7"/>
  <c r="J61" i="7"/>
  <c r="AB61" i="7"/>
  <c r="J63" i="7"/>
  <c r="AB63" i="7"/>
  <c r="J65" i="7"/>
  <c r="AB65" i="7"/>
  <c r="J67" i="7"/>
  <c r="AB67" i="7"/>
  <c r="J69" i="7"/>
  <c r="AB69" i="7"/>
  <c r="J71" i="7"/>
  <c r="AB71" i="7"/>
  <c r="J73" i="7"/>
  <c r="AB73" i="7"/>
  <c r="J75" i="7"/>
  <c r="AB75" i="7"/>
  <c r="J77" i="7"/>
  <c r="AB77" i="7"/>
  <c r="J79" i="7"/>
  <c r="AB79" i="7"/>
  <c r="J81" i="7"/>
  <c r="AB81" i="7"/>
  <c r="J595" i="7"/>
  <c r="AB595" i="7"/>
  <c r="J597" i="7"/>
  <c r="AB597" i="7"/>
  <c r="J599" i="7"/>
  <c r="AB599" i="7"/>
  <c r="J594" i="7"/>
  <c r="AB594" i="7"/>
  <c r="J596" i="7"/>
  <c r="AB596" i="7"/>
  <c r="J598" i="7"/>
  <c r="AB598" i="7"/>
  <c r="J601" i="7"/>
  <c r="AB601" i="7"/>
  <c r="J603" i="7"/>
  <c r="AB603" i="7"/>
  <c r="J605" i="7"/>
  <c r="AB605" i="7"/>
  <c r="J607" i="7"/>
  <c r="AB607" i="7"/>
  <c r="J609" i="7"/>
  <c r="AB609" i="7"/>
  <c r="J611" i="7"/>
  <c r="AB611" i="7"/>
  <c r="J613" i="7"/>
  <c r="AB613" i="7"/>
  <c r="J615" i="7"/>
  <c r="AB615" i="7"/>
  <c r="J617" i="7"/>
  <c r="AB617" i="7"/>
  <c r="J619" i="7"/>
  <c r="AB619" i="7"/>
  <c r="J621" i="7"/>
  <c r="AB621" i="7"/>
  <c r="J623" i="7"/>
  <c r="AB623" i="7"/>
  <c r="J625" i="7"/>
  <c r="AB625" i="7"/>
  <c r="J627" i="7"/>
  <c r="AB627" i="7"/>
  <c r="J629" i="7"/>
  <c r="AB629" i="7"/>
  <c r="J600" i="7"/>
  <c r="AB600" i="7"/>
  <c r="J602" i="7"/>
  <c r="AB602" i="7"/>
  <c r="J604" i="7"/>
  <c r="AB604" i="7"/>
  <c r="J606" i="7"/>
  <c r="AB606" i="7"/>
  <c r="J608" i="7"/>
  <c r="AB608" i="7"/>
  <c r="J610" i="7"/>
  <c r="AB610" i="7"/>
  <c r="J612" i="7"/>
  <c r="AB612" i="7"/>
  <c r="J614" i="7"/>
  <c r="AB614" i="7"/>
  <c r="J616" i="7"/>
  <c r="AB616" i="7"/>
  <c r="J618" i="7"/>
  <c r="AB618" i="7"/>
  <c r="J620" i="7"/>
  <c r="AB620" i="7"/>
  <c r="J622" i="7"/>
  <c r="AB622" i="7"/>
  <c r="J624" i="7"/>
  <c r="AB624" i="7"/>
  <c r="J626" i="7"/>
  <c r="AB626" i="7"/>
  <c r="J628" i="7"/>
  <c r="AB628" i="7"/>
  <c r="J229" i="7"/>
  <c r="AB229" i="7"/>
  <c r="J231" i="7"/>
  <c r="AB231" i="7"/>
  <c r="J233" i="7"/>
  <c r="AB233" i="7"/>
  <c r="J235" i="7"/>
  <c r="AB235" i="7"/>
  <c r="J236" i="7"/>
  <c r="AB236" i="7"/>
  <c r="J237" i="7"/>
  <c r="AB237" i="7"/>
  <c r="J238" i="7"/>
  <c r="AB238" i="7"/>
  <c r="J239" i="7"/>
  <c r="AB239" i="7"/>
  <c r="J240" i="7"/>
  <c r="AB240" i="7"/>
  <c r="J241" i="7"/>
  <c r="AB241" i="7"/>
  <c r="J242" i="7"/>
  <c r="AB242" i="7"/>
  <c r="J243" i="7"/>
  <c r="AB243" i="7"/>
  <c r="J244" i="7"/>
  <c r="AB244" i="7"/>
  <c r="J245" i="7"/>
  <c r="AB245" i="7"/>
  <c r="J246" i="7"/>
  <c r="AB246" i="7"/>
  <c r="J247" i="7"/>
  <c r="AB247" i="7"/>
  <c r="J248" i="7"/>
  <c r="AB248" i="7"/>
  <c r="J249" i="7"/>
  <c r="AB249" i="7"/>
  <c r="J250" i="7"/>
  <c r="AB250" i="7"/>
  <c r="J251" i="7"/>
  <c r="AB251" i="7"/>
  <c r="J253" i="7"/>
  <c r="AB253" i="7"/>
  <c r="J255" i="7"/>
  <c r="AB255" i="7"/>
  <c r="J257" i="7"/>
  <c r="AB257" i="7"/>
  <c r="J259" i="7"/>
  <c r="AB259" i="7"/>
  <c r="J261" i="7"/>
  <c r="AB261" i="7"/>
  <c r="J263" i="7"/>
  <c r="AB263" i="7"/>
  <c r="J230" i="7"/>
  <c r="AB230" i="7"/>
  <c r="J232" i="7"/>
  <c r="AB232" i="7"/>
  <c r="J234" i="7"/>
  <c r="AB234" i="7"/>
  <c r="J256" i="7"/>
  <c r="AB256" i="7"/>
  <c r="J264" i="7"/>
  <c r="AB264" i="7"/>
  <c r="J258" i="7"/>
  <c r="AB258" i="7"/>
  <c r="J252" i="7"/>
  <c r="AB252" i="7"/>
  <c r="J260" i="7"/>
  <c r="AB260" i="7"/>
  <c r="J254" i="7"/>
  <c r="AB254" i="7"/>
  <c r="J262" i="7"/>
  <c r="AB262" i="7"/>
  <c r="J777" i="7"/>
  <c r="AB777" i="7"/>
  <c r="J779" i="7"/>
  <c r="AB779" i="7"/>
  <c r="J781" i="7"/>
  <c r="AB781" i="7"/>
  <c r="J783" i="7"/>
  <c r="AB783" i="7"/>
  <c r="J785" i="7"/>
  <c r="AB785" i="7"/>
  <c r="J787" i="7"/>
  <c r="AB787" i="7"/>
  <c r="J789" i="7"/>
  <c r="AB789" i="7"/>
  <c r="J791" i="7"/>
  <c r="AB791" i="7"/>
  <c r="J793" i="7"/>
  <c r="AB793" i="7"/>
  <c r="J795" i="7"/>
  <c r="AB795" i="7"/>
  <c r="J797" i="7"/>
  <c r="AB797" i="7"/>
  <c r="J799" i="7"/>
  <c r="AB799" i="7"/>
  <c r="J801" i="7"/>
  <c r="AB801" i="7"/>
  <c r="J803" i="7"/>
  <c r="AB803" i="7"/>
  <c r="J805" i="7"/>
  <c r="AB805" i="7"/>
  <c r="J807" i="7"/>
  <c r="AB807" i="7"/>
  <c r="J809" i="7"/>
  <c r="AB809" i="7"/>
  <c r="J811" i="7"/>
  <c r="AB811" i="7"/>
  <c r="J776" i="7"/>
  <c r="AB776" i="7"/>
  <c r="J778" i="7"/>
  <c r="AB778" i="7"/>
  <c r="J780" i="7"/>
  <c r="AB780" i="7"/>
  <c r="J782" i="7"/>
  <c r="AB782" i="7"/>
  <c r="J784" i="7"/>
  <c r="AB784" i="7"/>
  <c r="J786" i="7"/>
  <c r="AB786" i="7"/>
  <c r="J788" i="7"/>
  <c r="AB788" i="7"/>
  <c r="J790" i="7"/>
  <c r="AB790" i="7"/>
  <c r="J792" i="7"/>
  <c r="AB792" i="7"/>
  <c r="J794" i="7"/>
  <c r="AB794" i="7"/>
  <c r="J796" i="7"/>
  <c r="AB796" i="7"/>
  <c r="J798" i="7"/>
  <c r="AB798" i="7"/>
  <c r="J800" i="7"/>
  <c r="AB800" i="7"/>
  <c r="J802" i="7"/>
  <c r="AB802" i="7"/>
  <c r="J804" i="7"/>
  <c r="AB804" i="7"/>
  <c r="J806" i="7"/>
  <c r="AB806" i="7"/>
  <c r="J808" i="7"/>
  <c r="AB808" i="7"/>
  <c r="J810" i="7"/>
  <c r="AB810" i="7"/>
  <c r="J812" i="7"/>
  <c r="AB812" i="7"/>
  <c r="J14" i="7"/>
  <c r="AB14" i="7"/>
  <c r="J18" i="7"/>
  <c r="AB18" i="7"/>
  <c r="J22" i="7"/>
  <c r="AB22" i="7"/>
  <c r="J26" i="7"/>
  <c r="AB26" i="7"/>
  <c r="J30" i="7"/>
  <c r="AB30" i="7"/>
  <c r="J32" i="7"/>
  <c r="AB32" i="7"/>
  <c r="J34" i="7"/>
  <c r="AB34" i="7"/>
  <c r="J36" i="7"/>
  <c r="AB36" i="7"/>
  <c r="J38" i="7"/>
  <c r="AB38" i="7"/>
  <c r="J40" i="7"/>
  <c r="AB40" i="7"/>
  <c r="J42" i="7"/>
  <c r="AB42" i="7"/>
  <c r="J44" i="7"/>
  <c r="AB44" i="7"/>
  <c r="J10" i="7"/>
  <c r="J13" i="7"/>
  <c r="AB13" i="7"/>
  <c r="J17" i="7"/>
  <c r="AB17" i="7"/>
  <c r="J21" i="7"/>
  <c r="AB21" i="7"/>
  <c r="J25" i="7"/>
  <c r="AB25" i="7"/>
  <c r="J29" i="7"/>
  <c r="AB29" i="7"/>
  <c r="J12" i="7"/>
  <c r="AB12" i="7"/>
  <c r="J16" i="7"/>
  <c r="AB16" i="7"/>
  <c r="J20" i="7"/>
  <c r="AB20" i="7"/>
  <c r="J24" i="7"/>
  <c r="AB24" i="7"/>
  <c r="J28" i="7"/>
  <c r="AB28" i="7"/>
  <c r="J31" i="7"/>
  <c r="AB31" i="7"/>
  <c r="J33" i="7"/>
  <c r="AB33" i="7"/>
  <c r="J35" i="7"/>
  <c r="AB35" i="7"/>
  <c r="J37" i="7"/>
  <c r="AB37" i="7"/>
  <c r="J39" i="7"/>
  <c r="AB39" i="7"/>
  <c r="J41" i="7"/>
  <c r="AB41" i="7"/>
  <c r="J43" i="7"/>
  <c r="AB43" i="7"/>
  <c r="J45" i="7"/>
  <c r="AB45" i="7"/>
  <c r="J11" i="7"/>
  <c r="AB11" i="7"/>
  <c r="J15" i="7"/>
  <c r="AB15" i="7"/>
  <c r="J19" i="7"/>
  <c r="AB19" i="7"/>
  <c r="J23" i="7"/>
  <c r="AB23" i="7"/>
  <c r="J27" i="7"/>
  <c r="AB27" i="7"/>
  <c r="J31" i="4"/>
  <c r="D7" i="8"/>
  <c r="J703" i="7"/>
  <c r="AB703" i="7"/>
  <c r="J705" i="7"/>
  <c r="AB705" i="7"/>
  <c r="J707" i="7"/>
  <c r="AB707" i="7"/>
  <c r="J709" i="7"/>
  <c r="AB709" i="7"/>
  <c r="J711" i="7"/>
  <c r="AB711" i="7"/>
  <c r="J713" i="7"/>
  <c r="AB713" i="7"/>
  <c r="J715" i="7"/>
  <c r="AB715" i="7"/>
  <c r="J717" i="7"/>
  <c r="AB717" i="7"/>
  <c r="J719" i="7"/>
  <c r="AB719" i="7"/>
  <c r="J721" i="7"/>
  <c r="AB721" i="7"/>
  <c r="J723" i="7"/>
  <c r="AB723" i="7"/>
  <c r="J725" i="7"/>
  <c r="AB725" i="7"/>
  <c r="J727" i="7"/>
  <c r="AB727" i="7"/>
  <c r="J729" i="7"/>
  <c r="AB729" i="7"/>
  <c r="J731" i="7"/>
  <c r="AB731" i="7"/>
  <c r="J733" i="7"/>
  <c r="AB733" i="7"/>
  <c r="J735" i="7"/>
  <c r="AB735" i="7"/>
  <c r="J737" i="7"/>
  <c r="AB737" i="7"/>
  <c r="J739" i="7"/>
  <c r="AB739" i="7"/>
  <c r="J704" i="7"/>
  <c r="AB704" i="7"/>
  <c r="J706" i="7"/>
  <c r="AB706" i="7"/>
  <c r="J708" i="7"/>
  <c r="AB708" i="7"/>
  <c r="J710" i="7"/>
  <c r="AB710" i="7"/>
  <c r="J712" i="7"/>
  <c r="AB712" i="7"/>
  <c r="J714" i="7"/>
  <c r="AB714" i="7"/>
  <c r="J716" i="7"/>
  <c r="AB716" i="7"/>
  <c r="J718" i="7"/>
  <c r="AB718" i="7"/>
  <c r="J720" i="7"/>
  <c r="AB720" i="7"/>
  <c r="J722" i="7"/>
  <c r="AB722" i="7"/>
  <c r="J724" i="7"/>
  <c r="AB724" i="7"/>
  <c r="J726" i="7"/>
  <c r="AB726" i="7"/>
  <c r="J728" i="7"/>
  <c r="AB728" i="7"/>
  <c r="J730" i="7"/>
  <c r="AB730" i="7"/>
  <c r="J732" i="7"/>
  <c r="AB732" i="7"/>
  <c r="J734" i="7"/>
  <c r="AB734" i="7"/>
  <c r="J736" i="7"/>
  <c r="AB736" i="7"/>
  <c r="J738" i="7"/>
  <c r="AB738" i="7"/>
  <c r="AE82" i="9"/>
  <c r="AF82" i="9"/>
  <c r="AD82" i="9"/>
  <c r="AE67" i="9"/>
  <c r="AD67" i="9"/>
  <c r="AF67" i="9"/>
  <c r="AE48" i="9"/>
  <c r="AF48" i="9"/>
  <c r="AD48" i="9"/>
  <c r="AE79" i="9"/>
  <c r="AF79" i="9"/>
  <c r="AD79" i="9"/>
  <c r="AE60" i="9"/>
  <c r="AD60" i="9"/>
  <c r="AF60" i="9"/>
  <c r="AE73" i="9"/>
  <c r="AF73" i="9"/>
  <c r="AD73" i="9"/>
  <c r="AE59" i="9"/>
  <c r="AD59" i="9"/>
  <c r="AF59" i="9"/>
  <c r="AE66" i="9"/>
  <c r="AF66" i="9"/>
  <c r="AD66" i="9"/>
  <c r="AE71" i="9"/>
  <c r="AF71" i="9"/>
  <c r="AD71" i="9"/>
  <c r="AE212" i="9"/>
  <c r="AF212" i="9"/>
  <c r="AD212" i="9"/>
  <c r="AE205" i="9"/>
  <c r="AF205" i="9"/>
  <c r="AD205" i="9"/>
  <c r="AE202" i="9"/>
  <c r="AD202" i="9"/>
  <c r="AF202" i="9"/>
  <c r="AE227" i="9"/>
  <c r="AD227" i="9"/>
  <c r="AF227" i="9"/>
  <c r="AE198" i="9"/>
  <c r="AD198" i="9"/>
  <c r="AF198" i="9"/>
  <c r="AE216" i="9"/>
  <c r="AD216" i="9"/>
  <c r="AF216" i="9"/>
  <c r="AE226" i="9"/>
  <c r="AF226" i="9"/>
  <c r="AD226" i="9"/>
  <c r="AE217" i="9"/>
  <c r="AD217" i="9"/>
  <c r="AF217" i="9"/>
  <c r="AE209" i="9"/>
  <c r="AD209" i="9"/>
  <c r="AF209" i="9"/>
  <c r="AE206" i="9"/>
  <c r="AD206" i="9"/>
  <c r="AF206" i="9"/>
  <c r="AE342" i="9"/>
  <c r="AD342" i="9"/>
  <c r="AF342" i="9"/>
  <c r="AE359" i="9"/>
  <c r="AF359" i="9"/>
  <c r="AD359" i="9"/>
  <c r="AE369" i="9"/>
  <c r="AD369" i="9"/>
  <c r="AF369" i="9"/>
  <c r="AE106" i="9"/>
  <c r="AD106" i="9"/>
  <c r="AF106" i="9"/>
  <c r="AE112" i="9"/>
  <c r="AD112" i="9"/>
  <c r="AF112" i="9"/>
  <c r="AE110" i="9"/>
  <c r="AD110" i="9"/>
  <c r="AF110" i="9"/>
  <c r="AE108" i="9"/>
  <c r="AD108" i="9"/>
  <c r="AF108" i="9"/>
  <c r="AE114" i="9"/>
  <c r="AD114" i="9"/>
  <c r="AF114" i="9"/>
  <c r="AE91" i="9"/>
  <c r="AD91" i="9"/>
  <c r="AF91" i="9"/>
  <c r="AE89" i="9"/>
  <c r="AF89" i="9"/>
  <c r="AD89" i="9"/>
  <c r="AE115" i="9"/>
  <c r="AD115" i="9"/>
  <c r="AF115" i="9"/>
  <c r="AE116" i="9"/>
  <c r="AD116" i="9"/>
  <c r="AF116" i="9"/>
  <c r="AE233" i="9"/>
  <c r="AD233" i="9"/>
  <c r="AF233" i="9"/>
  <c r="AE247" i="9"/>
  <c r="AD247" i="9"/>
  <c r="AF247" i="9"/>
  <c r="AE252" i="9"/>
  <c r="AD252" i="9"/>
  <c r="AF252" i="9"/>
  <c r="AE241" i="9"/>
  <c r="AF241" i="9"/>
  <c r="AD241" i="9"/>
  <c r="AE246" i="9"/>
  <c r="AF246" i="9"/>
  <c r="AD246" i="9"/>
  <c r="AE248" i="9"/>
  <c r="AD248" i="9"/>
  <c r="AF248" i="9"/>
  <c r="AE239" i="9"/>
  <c r="AD239" i="9"/>
  <c r="AF239" i="9"/>
  <c r="AE261" i="9"/>
  <c r="AD261" i="9"/>
  <c r="AF261" i="9"/>
  <c r="AE235" i="9"/>
  <c r="AD235" i="9"/>
  <c r="AF235" i="9"/>
  <c r="AE404" i="9"/>
  <c r="AD404" i="9"/>
  <c r="AF404" i="9"/>
  <c r="AE377" i="9"/>
  <c r="AF377" i="9"/>
  <c r="AD377" i="9"/>
  <c r="AE384" i="9"/>
  <c r="AD384" i="9"/>
  <c r="AF384" i="9"/>
  <c r="AE380" i="9"/>
  <c r="AF380" i="9"/>
  <c r="AD380" i="9"/>
  <c r="AE130" i="9"/>
  <c r="AD130" i="9"/>
  <c r="AF130" i="9"/>
  <c r="AE151" i="9"/>
  <c r="AD151" i="9"/>
  <c r="AF151" i="9"/>
  <c r="AE128" i="9"/>
  <c r="AD128" i="9"/>
  <c r="AF128" i="9"/>
  <c r="AE126" i="9"/>
  <c r="AD126" i="9"/>
  <c r="AF126" i="9"/>
  <c r="AE150" i="9"/>
  <c r="AD150" i="9"/>
  <c r="AF150" i="9"/>
  <c r="AE152" i="9"/>
  <c r="AD152" i="9"/>
  <c r="AF152" i="9"/>
  <c r="AE133" i="9"/>
  <c r="AD133" i="9"/>
  <c r="AF133" i="9"/>
  <c r="AE120" i="9"/>
  <c r="AF120" i="9"/>
  <c r="AD120" i="9"/>
  <c r="AE147" i="9"/>
  <c r="AF147" i="9"/>
  <c r="AD147" i="9"/>
  <c r="AE286" i="9"/>
  <c r="AD286" i="9"/>
  <c r="AF286" i="9"/>
  <c r="AE291" i="9"/>
  <c r="AD291" i="9"/>
  <c r="AF291" i="9"/>
  <c r="AE297" i="9"/>
  <c r="AD297" i="9"/>
  <c r="AF297" i="9"/>
  <c r="AE290" i="9"/>
  <c r="AD290" i="9"/>
  <c r="AF290" i="9"/>
  <c r="AE277" i="9"/>
  <c r="AF277" i="9"/>
  <c r="AD277" i="9"/>
  <c r="AE301" i="9"/>
  <c r="AD301" i="9"/>
  <c r="AF301" i="9"/>
  <c r="AE293" i="9"/>
  <c r="AD293" i="9"/>
  <c r="AF293" i="9"/>
  <c r="AE274" i="9"/>
  <c r="AF274" i="9"/>
  <c r="AD274" i="9"/>
  <c r="AE440" i="9"/>
  <c r="AD440" i="9"/>
  <c r="AF440" i="9"/>
  <c r="AE41" i="9"/>
  <c r="AD41" i="9"/>
  <c r="AF41" i="9"/>
  <c r="AE35" i="9"/>
  <c r="AD35" i="9"/>
  <c r="AF35" i="9"/>
  <c r="AE33" i="9"/>
  <c r="AD33" i="9"/>
  <c r="AF33" i="9"/>
  <c r="AE30" i="9"/>
  <c r="AD30" i="9"/>
  <c r="AF30" i="9"/>
  <c r="AE17" i="9"/>
  <c r="AD17" i="9"/>
  <c r="AF17" i="9"/>
  <c r="AE45" i="9"/>
  <c r="AD45" i="9"/>
  <c r="AF45" i="9"/>
  <c r="AE27" i="9"/>
  <c r="AD27" i="9"/>
  <c r="AF27" i="9"/>
  <c r="AE26" i="9"/>
  <c r="AD26" i="9"/>
  <c r="AF26" i="9"/>
  <c r="AE36" i="9"/>
  <c r="AD36" i="9"/>
  <c r="AF36" i="9"/>
  <c r="AE168" i="9"/>
  <c r="AF168" i="9"/>
  <c r="AD168" i="9"/>
  <c r="AE186" i="9"/>
  <c r="AD186" i="9"/>
  <c r="AF186" i="9"/>
  <c r="AE185" i="9"/>
  <c r="AF185" i="9"/>
  <c r="AD185" i="9"/>
  <c r="AE177" i="9"/>
  <c r="AD177" i="9"/>
  <c r="AF177" i="9"/>
  <c r="AE164" i="9"/>
  <c r="AD164" i="9"/>
  <c r="AF164" i="9"/>
  <c r="AE175" i="9"/>
  <c r="AD175" i="9"/>
  <c r="AF175" i="9"/>
  <c r="AE162" i="9"/>
  <c r="AD162" i="9"/>
  <c r="AF162" i="9"/>
  <c r="AE187" i="9"/>
  <c r="AF187" i="9"/>
  <c r="AD187" i="9"/>
  <c r="AE174" i="9"/>
  <c r="AF174" i="9"/>
  <c r="AD174" i="9"/>
  <c r="AE311" i="9"/>
  <c r="AD311" i="9"/>
  <c r="AF311" i="9"/>
  <c r="AE336" i="9"/>
  <c r="AD336" i="9"/>
  <c r="AF336" i="9"/>
  <c r="AE334" i="9"/>
  <c r="AF334" i="9"/>
  <c r="AD334" i="9"/>
  <c r="AE335" i="9"/>
  <c r="AD335" i="9"/>
  <c r="AF335" i="9"/>
  <c r="AE333" i="9"/>
  <c r="AD333" i="9"/>
  <c r="AF333" i="9"/>
  <c r="AE464" i="9"/>
  <c r="AD464" i="9"/>
  <c r="AF464" i="9"/>
  <c r="AE448" i="9"/>
  <c r="AF448" i="9"/>
  <c r="AD448" i="9"/>
  <c r="J996" i="7"/>
  <c r="AB996" i="7"/>
  <c r="J998" i="7"/>
  <c r="AB998" i="7"/>
  <c r="J1000" i="7"/>
  <c r="AB1000" i="7"/>
  <c r="J1002" i="7"/>
  <c r="AB1002" i="7"/>
  <c r="J1004" i="7"/>
  <c r="AB1004" i="7"/>
  <c r="J1006" i="7"/>
  <c r="AB1006" i="7"/>
  <c r="J1008" i="7"/>
  <c r="AB1008" i="7"/>
  <c r="J1010" i="7"/>
  <c r="AB1010" i="7"/>
  <c r="J1012" i="7"/>
  <c r="AB1012" i="7"/>
  <c r="J1014" i="7"/>
  <c r="AB1014" i="7"/>
  <c r="J1016" i="7"/>
  <c r="AB1016" i="7"/>
  <c r="J1018" i="7"/>
  <c r="AB1018" i="7"/>
  <c r="J1020" i="7"/>
  <c r="AB1020" i="7"/>
  <c r="J1022" i="7"/>
  <c r="AB1022" i="7"/>
  <c r="J1024" i="7"/>
  <c r="AB1024" i="7"/>
  <c r="J1026" i="7"/>
  <c r="AB1026" i="7"/>
  <c r="J1028" i="7"/>
  <c r="AB1028" i="7"/>
  <c r="J1030" i="7"/>
  <c r="AB1030" i="7"/>
  <c r="J995" i="7"/>
  <c r="AB995" i="7"/>
  <c r="J997" i="7"/>
  <c r="AB997" i="7"/>
  <c r="J999" i="7"/>
  <c r="AB999" i="7"/>
  <c r="J1001" i="7"/>
  <c r="AB1001" i="7"/>
  <c r="J1003" i="7"/>
  <c r="AB1003" i="7"/>
  <c r="J1005" i="7"/>
  <c r="AB1005" i="7"/>
  <c r="J1007" i="7"/>
  <c r="AB1007" i="7"/>
  <c r="J1009" i="7"/>
  <c r="AB1009" i="7"/>
  <c r="J1011" i="7"/>
  <c r="AB1011" i="7"/>
  <c r="J1013" i="7"/>
  <c r="AB1013" i="7"/>
  <c r="J1015" i="7"/>
  <c r="AB1015" i="7"/>
  <c r="J1017" i="7"/>
  <c r="AB1017" i="7"/>
  <c r="J1019" i="7"/>
  <c r="AB1019" i="7"/>
  <c r="J1021" i="7"/>
  <c r="AB1021" i="7"/>
  <c r="J1023" i="7"/>
  <c r="AB1023" i="7"/>
  <c r="J1025" i="7"/>
  <c r="AB1025" i="7"/>
  <c r="J1027" i="7"/>
  <c r="AB1027" i="7"/>
  <c r="J1029" i="7"/>
  <c r="AB1029" i="7"/>
  <c r="J1031" i="7"/>
  <c r="AB1031" i="7"/>
  <c r="J1032" i="7"/>
  <c r="AB1032" i="7"/>
  <c r="J1034" i="7"/>
  <c r="AB1034" i="7"/>
  <c r="J1036" i="7"/>
  <c r="AB1036" i="7"/>
  <c r="J1038" i="7"/>
  <c r="AB1038" i="7"/>
  <c r="J1040" i="7"/>
  <c r="AB1040" i="7"/>
  <c r="J1042" i="7"/>
  <c r="AB1042" i="7"/>
  <c r="J1044" i="7"/>
  <c r="AB1044" i="7"/>
  <c r="J1046" i="7"/>
  <c r="AB1046" i="7"/>
  <c r="J1048" i="7"/>
  <c r="AB1048" i="7"/>
  <c r="J1050" i="7"/>
  <c r="AB1050" i="7"/>
  <c r="J1052" i="7"/>
  <c r="AB1052" i="7"/>
  <c r="J1054" i="7"/>
  <c r="AB1054" i="7"/>
  <c r="J1056" i="7"/>
  <c r="AB1056" i="7"/>
  <c r="J1058" i="7"/>
  <c r="AB1058" i="7"/>
  <c r="J1060" i="7"/>
  <c r="AB1060" i="7"/>
  <c r="J1062" i="7"/>
  <c r="AB1062" i="7"/>
  <c r="J1033" i="7"/>
  <c r="AB1033" i="7"/>
  <c r="J1035" i="7"/>
  <c r="AB1035" i="7"/>
  <c r="J1037" i="7"/>
  <c r="AB1037" i="7"/>
  <c r="J1039" i="7"/>
  <c r="AB1039" i="7"/>
  <c r="J1041" i="7"/>
  <c r="AB1041" i="7"/>
  <c r="J1043" i="7"/>
  <c r="AB1043" i="7"/>
  <c r="J1045" i="7"/>
  <c r="AB1045" i="7"/>
  <c r="J1047" i="7"/>
  <c r="AB1047" i="7"/>
  <c r="J1049" i="7"/>
  <c r="AB1049" i="7"/>
  <c r="J1051" i="7"/>
  <c r="AB1051" i="7"/>
  <c r="J1053" i="7"/>
  <c r="AB1053" i="7"/>
  <c r="J1055" i="7"/>
  <c r="AB1055" i="7"/>
  <c r="J1057" i="7"/>
  <c r="AB1057" i="7"/>
  <c r="J1059" i="7"/>
  <c r="AB1059" i="7"/>
  <c r="J1061" i="7"/>
  <c r="AB1061" i="7"/>
  <c r="J1063" i="7"/>
  <c r="AB1063" i="7"/>
  <c r="AE77" i="9"/>
  <c r="AD77" i="9"/>
  <c r="AF77" i="9"/>
  <c r="AE51" i="9"/>
  <c r="AD51" i="9"/>
  <c r="AF51" i="9"/>
  <c r="AE54" i="9"/>
  <c r="AF54" i="9"/>
  <c r="AD54" i="9"/>
  <c r="AE63" i="9"/>
  <c r="AD63" i="9"/>
  <c r="AF63" i="9"/>
  <c r="AE49" i="9"/>
  <c r="AF49" i="9"/>
  <c r="AD49" i="9"/>
  <c r="AE74" i="9"/>
  <c r="AD74" i="9"/>
  <c r="AF74" i="9"/>
  <c r="AE72" i="9"/>
  <c r="AD72" i="9"/>
  <c r="AF72" i="9"/>
  <c r="AE61" i="9"/>
  <c r="AD61" i="9"/>
  <c r="AF61" i="9"/>
  <c r="AE55" i="9"/>
  <c r="AF55" i="9"/>
  <c r="AD55" i="9"/>
  <c r="AE213" i="9"/>
  <c r="AD213" i="9"/>
  <c r="AF213" i="9"/>
  <c r="AE215" i="9"/>
  <c r="AF215" i="9"/>
  <c r="AD215" i="9"/>
  <c r="AE220" i="9"/>
  <c r="AD220" i="9"/>
  <c r="AF220" i="9"/>
  <c r="AE211" i="9"/>
  <c r="AD211" i="9"/>
  <c r="AF211" i="9"/>
  <c r="AE196" i="9"/>
  <c r="AD196" i="9"/>
  <c r="AF196" i="9"/>
  <c r="AE193" i="9"/>
  <c r="AD193" i="9"/>
  <c r="AF193" i="9"/>
  <c r="AE210" i="9"/>
  <c r="AD210" i="9"/>
  <c r="AF210" i="9"/>
  <c r="AE197" i="9"/>
  <c r="AD197" i="9"/>
  <c r="AF197" i="9"/>
  <c r="AE219" i="9"/>
  <c r="AD219" i="9"/>
  <c r="AF219" i="9"/>
  <c r="AE355" i="9"/>
  <c r="AD355" i="9"/>
  <c r="AF355" i="9"/>
  <c r="AE371" i="9"/>
  <c r="AF371" i="9"/>
  <c r="AD371" i="9"/>
  <c r="AE363" i="9"/>
  <c r="AF363" i="9"/>
  <c r="AD363" i="9"/>
  <c r="AE339" i="9"/>
  <c r="AF339" i="9"/>
  <c r="AD339" i="9"/>
  <c r="AE109" i="9"/>
  <c r="AD109" i="9"/>
  <c r="AF109" i="9"/>
  <c r="AE96" i="9"/>
  <c r="AD96" i="9"/>
  <c r="AF96" i="9"/>
  <c r="AE99" i="9"/>
  <c r="AD99" i="9"/>
  <c r="AF99" i="9"/>
  <c r="AE92" i="9"/>
  <c r="AD92" i="9"/>
  <c r="AF92" i="9"/>
  <c r="AE107" i="9"/>
  <c r="AD107" i="9"/>
  <c r="AF107" i="9"/>
  <c r="AE104" i="9"/>
  <c r="AD104" i="9"/>
  <c r="AF104" i="9"/>
  <c r="AE94" i="9"/>
  <c r="AD94" i="9"/>
  <c r="AF94" i="9"/>
  <c r="AE113" i="9"/>
  <c r="AD113" i="9"/>
  <c r="AF113" i="9"/>
  <c r="AE100" i="9"/>
  <c r="AF100" i="9"/>
  <c r="AD100" i="9"/>
  <c r="AE232" i="9"/>
  <c r="AD232" i="9"/>
  <c r="AF232" i="9"/>
  <c r="AE231" i="9"/>
  <c r="AD231" i="9"/>
  <c r="AF231" i="9"/>
  <c r="AE249" i="9"/>
  <c r="AD249" i="9"/>
  <c r="AF249" i="9"/>
  <c r="AE259" i="9"/>
  <c r="AD259" i="9"/>
  <c r="AF259" i="9"/>
  <c r="AE230" i="9"/>
  <c r="AF230" i="9"/>
  <c r="AD230" i="9"/>
  <c r="AE257" i="9"/>
  <c r="AD257" i="9"/>
  <c r="AF257" i="9"/>
  <c r="AE258" i="9"/>
  <c r="AD258" i="9"/>
  <c r="AF258" i="9"/>
  <c r="AE256" i="9"/>
  <c r="AF256" i="9"/>
  <c r="AD256" i="9"/>
  <c r="AE254" i="9"/>
  <c r="AF254" i="9"/>
  <c r="AD254" i="9"/>
  <c r="AE375" i="9"/>
  <c r="AF375" i="9"/>
  <c r="AD375" i="9"/>
  <c r="AE131" i="9"/>
  <c r="AD131" i="9"/>
  <c r="AF131" i="9"/>
  <c r="AE145" i="9"/>
  <c r="AD145" i="9"/>
  <c r="AF145" i="9"/>
  <c r="AE141" i="9"/>
  <c r="AD141" i="9"/>
  <c r="AF141" i="9"/>
  <c r="AE138" i="9"/>
  <c r="AD138" i="9"/>
  <c r="AF138" i="9"/>
  <c r="AE121" i="9"/>
  <c r="AD121" i="9"/>
  <c r="AF121" i="9"/>
  <c r="AE134" i="9"/>
  <c r="AD134" i="9"/>
  <c r="AF134" i="9"/>
  <c r="AE140" i="9"/>
  <c r="AD140" i="9"/>
  <c r="AF140" i="9"/>
  <c r="AE119" i="9"/>
  <c r="AD119" i="9"/>
  <c r="AF119" i="9"/>
  <c r="AE137" i="9"/>
  <c r="AD137" i="9"/>
  <c r="AF137" i="9"/>
  <c r="AE283" i="9"/>
  <c r="AF283" i="9"/>
  <c r="AD283" i="9"/>
  <c r="AE284" i="9"/>
  <c r="AF284" i="9"/>
  <c r="AD284" i="9"/>
  <c r="AE299" i="9"/>
  <c r="AD299" i="9"/>
  <c r="AF299" i="9"/>
  <c r="AE271" i="9"/>
  <c r="AD271" i="9"/>
  <c r="AF271" i="9"/>
  <c r="AE270" i="9"/>
  <c r="AD270" i="9"/>
  <c r="AF270" i="9"/>
  <c r="AE285" i="9"/>
  <c r="AD285" i="9"/>
  <c r="AF285" i="9"/>
  <c r="AE267" i="9"/>
  <c r="AD267" i="9"/>
  <c r="AF267" i="9"/>
  <c r="AE280" i="9"/>
  <c r="AF280" i="9"/>
  <c r="AD280" i="9"/>
  <c r="AE282" i="9"/>
  <c r="AF282" i="9"/>
  <c r="AD282" i="9"/>
  <c r="AE432" i="9"/>
  <c r="AD432" i="9"/>
  <c r="AF432" i="9"/>
  <c r="AE444" i="9"/>
  <c r="AD444" i="9"/>
  <c r="AF444" i="9"/>
  <c r="AE416" i="9"/>
  <c r="AF416" i="9"/>
  <c r="AD416" i="9"/>
  <c r="AE42" i="9"/>
  <c r="AF42" i="9"/>
  <c r="AD42" i="9"/>
  <c r="AE18" i="9"/>
  <c r="AD18" i="9"/>
  <c r="AF18" i="9"/>
  <c r="AE34" i="9"/>
  <c r="AD34" i="9"/>
  <c r="AF34" i="9"/>
  <c r="O13" i="9"/>
  <c r="O17" i="9"/>
  <c r="O12" i="9"/>
  <c r="O15" i="9"/>
  <c r="O22" i="9"/>
  <c r="O26" i="9"/>
  <c r="O30" i="9"/>
  <c r="O34" i="9"/>
  <c r="O38" i="9"/>
  <c r="O42" i="9"/>
  <c r="O46" i="9"/>
  <c r="O50" i="9"/>
  <c r="O54" i="9"/>
  <c r="O58" i="9"/>
  <c r="O62" i="9"/>
  <c r="O66" i="9"/>
  <c r="O70" i="9"/>
  <c r="O74" i="9"/>
  <c r="O78" i="9"/>
  <c r="O82" i="9"/>
  <c r="O86" i="9"/>
  <c r="O90" i="9"/>
  <c r="O94" i="9"/>
  <c r="O98" i="9"/>
  <c r="O102" i="9"/>
  <c r="O106" i="9"/>
  <c r="O110" i="9"/>
  <c r="O114" i="9"/>
  <c r="O118" i="9"/>
  <c r="O122" i="9"/>
  <c r="O126" i="9"/>
  <c r="O130" i="9"/>
  <c r="O134" i="9"/>
  <c r="O10" i="9"/>
  <c r="AH10" i="9"/>
  <c r="O16" i="9"/>
  <c r="O19" i="9"/>
  <c r="O21" i="9"/>
  <c r="O25" i="9"/>
  <c r="O29" i="9"/>
  <c r="O33" i="9"/>
  <c r="O37" i="9"/>
  <c r="O41" i="9"/>
  <c r="O45" i="9"/>
  <c r="O49" i="9"/>
  <c r="O53" i="9"/>
  <c r="O57" i="9"/>
  <c r="O61" i="9"/>
  <c r="O65" i="9"/>
  <c r="O69" i="9"/>
  <c r="O73" i="9"/>
  <c r="O77" i="9"/>
  <c r="O81" i="9"/>
  <c r="O85" i="9"/>
  <c r="O89" i="9"/>
  <c r="O93" i="9"/>
  <c r="O97" i="9"/>
  <c r="O101" i="9"/>
  <c r="O105" i="9"/>
  <c r="O109" i="9"/>
  <c r="O113" i="9"/>
  <c r="O117" i="9"/>
  <c r="O121" i="9"/>
  <c r="O125" i="9"/>
  <c r="O129" i="9"/>
  <c r="O133" i="9"/>
  <c r="O14" i="9"/>
  <c r="O20" i="9"/>
  <c r="O24" i="9"/>
  <c r="O28" i="9"/>
  <c r="O32" i="9"/>
  <c r="O36" i="9"/>
  <c r="O40" i="9"/>
  <c r="O44" i="9"/>
  <c r="O48" i="9"/>
  <c r="O52" i="9"/>
  <c r="O56" i="9"/>
  <c r="O60" i="9"/>
  <c r="O64" i="9"/>
  <c r="O68" i="9"/>
  <c r="O72" i="9"/>
  <c r="O76" i="9"/>
  <c r="O80" i="9"/>
  <c r="O84" i="9"/>
  <c r="O88" i="9"/>
  <c r="O92" i="9"/>
  <c r="O96" i="9"/>
  <c r="O100" i="9"/>
  <c r="O104" i="9"/>
  <c r="O108" i="9"/>
  <c r="O112" i="9"/>
  <c r="O116" i="9"/>
  <c r="O120" i="9"/>
  <c r="O124" i="9"/>
  <c r="O128" i="9"/>
  <c r="O132" i="9"/>
  <c r="O136" i="9"/>
  <c r="O140" i="9"/>
  <c r="O144" i="9"/>
  <c r="O148" i="9"/>
  <c r="AA10" i="9"/>
  <c r="O11" i="9"/>
  <c r="O18" i="9"/>
  <c r="O23" i="9"/>
  <c r="O27" i="9"/>
  <c r="O31" i="9"/>
  <c r="O35" i="9"/>
  <c r="O39" i="9"/>
  <c r="O43" i="9"/>
  <c r="O47" i="9"/>
  <c r="O51" i="9"/>
  <c r="O55" i="9"/>
  <c r="O59" i="9"/>
  <c r="O63" i="9"/>
  <c r="O67" i="9"/>
  <c r="O71" i="9"/>
  <c r="O75" i="9"/>
  <c r="O79" i="9"/>
  <c r="O83" i="9"/>
  <c r="O87" i="9"/>
  <c r="O91" i="9"/>
  <c r="O95" i="9"/>
  <c r="O99" i="9"/>
  <c r="O103" i="9"/>
  <c r="O107" i="9"/>
  <c r="O111" i="9"/>
  <c r="O115" i="9"/>
  <c r="O119" i="9"/>
  <c r="O123" i="9"/>
  <c r="O127" i="9"/>
  <c r="O135" i="9"/>
  <c r="O138" i="9"/>
  <c r="O145" i="9"/>
  <c r="O152" i="9"/>
  <c r="O156" i="9"/>
  <c r="O160" i="9"/>
  <c r="O164" i="9"/>
  <c r="O168" i="9"/>
  <c r="O172" i="9"/>
  <c r="O176" i="9"/>
  <c r="O180" i="9"/>
  <c r="O184" i="9"/>
  <c r="O188" i="9"/>
  <c r="O192" i="9"/>
  <c r="O196" i="9"/>
  <c r="O200" i="9"/>
  <c r="O204" i="9"/>
  <c r="O208" i="9"/>
  <c r="O212" i="9"/>
  <c r="O216" i="9"/>
  <c r="O220" i="9"/>
  <c r="O224" i="9"/>
  <c r="O228" i="9"/>
  <c r="O232" i="9"/>
  <c r="O236" i="9"/>
  <c r="O240" i="9"/>
  <c r="O244" i="9"/>
  <c r="O248" i="9"/>
  <c r="O252" i="9"/>
  <c r="O256" i="9"/>
  <c r="O260" i="9"/>
  <c r="O264" i="9"/>
  <c r="O268" i="9"/>
  <c r="O272" i="9"/>
  <c r="O139" i="9"/>
  <c r="O142" i="9"/>
  <c r="O151" i="9"/>
  <c r="O155" i="9"/>
  <c r="O159" i="9"/>
  <c r="O163" i="9"/>
  <c r="O167" i="9"/>
  <c r="O171" i="9"/>
  <c r="O175" i="9"/>
  <c r="O179" i="9"/>
  <c r="O183" i="9"/>
  <c r="O187" i="9"/>
  <c r="O191" i="9"/>
  <c r="O195" i="9"/>
  <c r="O199" i="9"/>
  <c r="O203" i="9"/>
  <c r="O207" i="9"/>
  <c r="O211" i="9"/>
  <c r="O215" i="9"/>
  <c r="O219" i="9"/>
  <c r="O223" i="9"/>
  <c r="O227" i="9"/>
  <c r="O231" i="9"/>
  <c r="O235" i="9"/>
  <c r="O239" i="9"/>
  <c r="O243" i="9"/>
  <c r="O247" i="9"/>
  <c r="O251" i="9"/>
  <c r="O255" i="9"/>
  <c r="O259" i="9"/>
  <c r="O263" i="9"/>
  <c r="O267" i="9"/>
  <c r="O271" i="9"/>
  <c r="O275" i="9"/>
  <c r="O137" i="9"/>
  <c r="O143" i="9"/>
  <c r="O146" i="9"/>
  <c r="O150" i="9"/>
  <c r="O154" i="9"/>
  <c r="O158" i="9"/>
  <c r="O162" i="9"/>
  <c r="O166" i="9"/>
  <c r="O170" i="9"/>
  <c r="O174" i="9"/>
  <c r="O178" i="9"/>
  <c r="O182" i="9"/>
  <c r="O186" i="9"/>
  <c r="O190" i="9"/>
  <c r="O194" i="9"/>
  <c r="O198" i="9"/>
  <c r="O202" i="9"/>
  <c r="O206" i="9"/>
  <c r="O210" i="9"/>
  <c r="O214" i="9"/>
  <c r="O218" i="9"/>
  <c r="O222" i="9"/>
  <c r="O226" i="9"/>
  <c r="O230" i="9"/>
  <c r="O234" i="9"/>
  <c r="O238" i="9"/>
  <c r="O242" i="9"/>
  <c r="O246" i="9"/>
  <c r="O250" i="9"/>
  <c r="O254" i="9"/>
  <c r="O258" i="9"/>
  <c r="O262" i="9"/>
  <c r="O266" i="9"/>
  <c r="O270" i="9"/>
  <c r="O274" i="9"/>
  <c r="O131" i="9"/>
  <c r="O141" i="9"/>
  <c r="O147" i="9"/>
  <c r="O149" i="9"/>
  <c r="O153" i="9"/>
  <c r="O157" i="9"/>
  <c r="O161" i="9"/>
  <c r="O165" i="9"/>
  <c r="O169" i="9"/>
  <c r="O173" i="9"/>
  <c r="O177" i="9"/>
  <c r="O181" i="9"/>
  <c r="O185" i="9"/>
  <c r="O189" i="9"/>
  <c r="O193" i="9"/>
  <c r="O197" i="9"/>
  <c r="O201" i="9"/>
  <c r="O205" i="9"/>
  <c r="O209" i="9"/>
  <c r="O213" i="9"/>
  <c r="O217" i="9"/>
  <c r="O221" i="9"/>
  <c r="O225" i="9"/>
  <c r="O229" i="9"/>
  <c r="O233" i="9"/>
  <c r="O237" i="9"/>
  <c r="O241" i="9"/>
  <c r="O245" i="9"/>
  <c r="O249" i="9"/>
  <c r="O253" i="9"/>
  <c r="O257" i="9"/>
  <c r="O261" i="9"/>
  <c r="O265" i="9"/>
  <c r="O269" i="9"/>
  <c r="O273" i="9"/>
  <c r="AE44" i="9"/>
  <c r="AD44" i="9"/>
  <c r="AF44" i="9"/>
  <c r="AE21" i="9"/>
  <c r="AD21" i="9"/>
  <c r="AF21" i="9"/>
  <c r="AE40" i="9"/>
  <c r="AF40" i="9"/>
  <c r="AD40" i="9"/>
  <c r="AE25" i="9"/>
  <c r="AD25" i="9"/>
  <c r="AF25" i="9"/>
  <c r="AE20" i="9"/>
  <c r="AD20" i="9"/>
  <c r="AF20" i="9"/>
  <c r="AE183" i="9"/>
  <c r="AD183" i="9"/>
  <c r="AF183" i="9"/>
  <c r="AE170" i="9"/>
  <c r="AD170" i="9"/>
  <c r="AF170" i="9"/>
  <c r="AE176" i="9"/>
  <c r="AF176" i="9"/>
  <c r="AD176" i="9"/>
  <c r="AE161" i="9"/>
  <c r="AD161" i="9"/>
  <c r="AF161" i="9"/>
  <c r="AE181" i="9"/>
  <c r="AD181" i="9"/>
  <c r="AF181" i="9"/>
  <c r="AE159" i="9"/>
  <c r="AF159" i="9"/>
  <c r="AD159" i="9"/>
  <c r="AE172" i="9"/>
  <c r="AD172" i="9"/>
  <c r="AF172" i="9"/>
  <c r="AE171" i="9"/>
  <c r="AD171" i="9"/>
  <c r="AF171" i="9"/>
  <c r="AE158" i="9"/>
  <c r="AD158" i="9"/>
  <c r="AF158" i="9"/>
  <c r="AE323" i="9"/>
  <c r="AD323" i="9"/>
  <c r="AF323" i="9"/>
  <c r="AE326" i="9"/>
  <c r="AF326" i="9"/>
  <c r="AD326" i="9"/>
  <c r="AE325" i="9"/>
  <c r="AD325" i="9"/>
  <c r="AF325" i="9"/>
  <c r="AE318" i="9"/>
  <c r="AD318" i="9"/>
  <c r="AF318" i="9"/>
  <c r="AE460" i="9"/>
  <c r="AD460" i="9"/>
  <c r="AF460" i="9"/>
  <c r="J303" i="7"/>
  <c r="AB303" i="7"/>
  <c r="J305" i="7"/>
  <c r="AB305" i="7"/>
  <c r="J307" i="7"/>
  <c r="AB307" i="7"/>
  <c r="J309" i="7"/>
  <c r="AB309" i="7"/>
  <c r="J311" i="7"/>
  <c r="AB311" i="7"/>
  <c r="J313" i="7"/>
  <c r="AB313" i="7"/>
  <c r="J315" i="7"/>
  <c r="AB315" i="7"/>
  <c r="J317" i="7"/>
  <c r="AB317" i="7"/>
  <c r="J319" i="7"/>
  <c r="AB319" i="7"/>
  <c r="J321" i="7"/>
  <c r="AB321" i="7"/>
  <c r="J323" i="7"/>
  <c r="AB323" i="7"/>
  <c r="J325" i="7"/>
  <c r="AB325" i="7"/>
  <c r="J327" i="7"/>
  <c r="AB327" i="7"/>
  <c r="J329" i="7"/>
  <c r="AB329" i="7"/>
  <c r="J331" i="7"/>
  <c r="AB331" i="7"/>
  <c r="J333" i="7"/>
  <c r="AB333" i="7"/>
  <c r="J335" i="7"/>
  <c r="AB335" i="7"/>
  <c r="J337" i="7"/>
  <c r="AB337" i="7"/>
  <c r="J302" i="7"/>
  <c r="AB302" i="7"/>
  <c r="J304" i="7"/>
  <c r="AB304" i="7"/>
  <c r="J306" i="7"/>
  <c r="AB306" i="7"/>
  <c r="J308" i="7"/>
  <c r="AB308" i="7"/>
  <c r="J310" i="7"/>
  <c r="AB310" i="7"/>
  <c r="J312" i="7"/>
  <c r="AB312" i="7"/>
  <c r="J314" i="7"/>
  <c r="AB314" i="7"/>
  <c r="J316" i="7"/>
  <c r="AB316" i="7"/>
  <c r="J318" i="7"/>
  <c r="AB318" i="7"/>
  <c r="J320" i="7"/>
  <c r="AB320" i="7"/>
  <c r="J322" i="7"/>
  <c r="AB322" i="7"/>
  <c r="J324" i="7"/>
  <c r="AB324" i="7"/>
  <c r="J326" i="7"/>
  <c r="AB326" i="7"/>
  <c r="J328" i="7"/>
  <c r="AB328" i="7"/>
  <c r="J330" i="7"/>
  <c r="AB330" i="7"/>
  <c r="J332" i="7"/>
  <c r="AB332" i="7"/>
  <c r="J334" i="7"/>
  <c r="AB334" i="7"/>
  <c r="J336" i="7"/>
  <c r="AB336" i="7"/>
  <c r="J265" i="7"/>
  <c r="AB265" i="7"/>
  <c r="J267" i="7"/>
  <c r="AB267" i="7"/>
  <c r="J269" i="7"/>
  <c r="AB269" i="7"/>
  <c r="J271" i="7"/>
  <c r="AB271" i="7"/>
  <c r="J273" i="7"/>
  <c r="AB273" i="7"/>
  <c r="J275" i="7"/>
  <c r="AB275" i="7"/>
  <c r="J277" i="7"/>
  <c r="AB277" i="7"/>
  <c r="J279" i="7"/>
  <c r="AB279" i="7"/>
  <c r="J281" i="7"/>
  <c r="AB281" i="7"/>
  <c r="J283" i="7"/>
  <c r="AB283" i="7"/>
  <c r="J285" i="7"/>
  <c r="AB285" i="7"/>
  <c r="J287" i="7"/>
  <c r="AB287" i="7"/>
  <c r="J289" i="7"/>
  <c r="AB289" i="7"/>
  <c r="J291" i="7"/>
  <c r="AB291" i="7"/>
  <c r="J293" i="7"/>
  <c r="AB293" i="7"/>
  <c r="J295" i="7"/>
  <c r="AB295" i="7"/>
  <c r="J297" i="7"/>
  <c r="AB297" i="7"/>
  <c r="J299" i="7"/>
  <c r="AB299" i="7"/>
  <c r="J301" i="7"/>
  <c r="AB301" i="7"/>
  <c r="J272" i="7"/>
  <c r="AB272" i="7"/>
  <c r="J266" i="7"/>
  <c r="AB266" i="7"/>
  <c r="J274" i="7"/>
  <c r="AB274" i="7"/>
  <c r="J276" i="7"/>
  <c r="AB276" i="7"/>
  <c r="J278" i="7"/>
  <c r="AB278" i="7"/>
  <c r="J280" i="7"/>
  <c r="AB280" i="7"/>
  <c r="J282" i="7"/>
  <c r="AB282" i="7"/>
  <c r="J284" i="7"/>
  <c r="AB284" i="7"/>
  <c r="J286" i="7"/>
  <c r="AB286" i="7"/>
  <c r="J288" i="7"/>
  <c r="AB288" i="7"/>
  <c r="J290" i="7"/>
  <c r="AB290" i="7"/>
  <c r="J292" i="7"/>
  <c r="AB292" i="7"/>
  <c r="J294" i="7"/>
  <c r="AB294" i="7"/>
  <c r="J296" i="7"/>
  <c r="AB296" i="7"/>
  <c r="J298" i="7"/>
  <c r="AB298" i="7"/>
  <c r="J300" i="7"/>
  <c r="AB300" i="7"/>
  <c r="J268" i="7"/>
  <c r="AB268" i="7"/>
  <c r="J270" i="7"/>
  <c r="AB270" i="7"/>
  <c r="J887" i="7"/>
  <c r="AB887" i="7"/>
  <c r="J889" i="7"/>
  <c r="AB889" i="7"/>
  <c r="J891" i="7"/>
  <c r="AB891" i="7"/>
  <c r="J893" i="7"/>
  <c r="AB893" i="7"/>
  <c r="J895" i="7"/>
  <c r="AB895" i="7"/>
  <c r="J886" i="7"/>
  <c r="AB886" i="7"/>
  <c r="J888" i="7"/>
  <c r="AB888" i="7"/>
  <c r="J890" i="7"/>
  <c r="AB890" i="7"/>
  <c r="J892" i="7"/>
  <c r="AB892" i="7"/>
  <c r="J894" i="7"/>
  <c r="AB894" i="7"/>
  <c r="J896" i="7"/>
  <c r="AB896" i="7"/>
  <c r="J898" i="7"/>
  <c r="AB898" i="7"/>
  <c r="J900" i="7"/>
  <c r="AB900" i="7"/>
  <c r="J902" i="7"/>
  <c r="AB902" i="7"/>
  <c r="J904" i="7"/>
  <c r="AB904" i="7"/>
  <c r="J906" i="7"/>
  <c r="AB906" i="7"/>
  <c r="J908" i="7"/>
  <c r="AB908" i="7"/>
  <c r="J909" i="7"/>
  <c r="AB909" i="7"/>
  <c r="J911" i="7"/>
  <c r="AB911" i="7"/>
  <c r="J913" i="7"/>
  <c r="AB913" i="7"/>
  <c r="J915" i="7"/>
  <c r="AB915" i="7"/>
  <c r="J917" i="7"/>
  <c r="AB917" i="7"/>
  <c r="J919" i="7"/>
  <c r="AB919" i="7"/>
  <c r="J921" i="7"/>
  <c r="AB921" i="7"/>
  <c r="J897" i="7"/>
  <c r="AB897" i="7"/>
  <c r="J899" i="7"/>
  <c r="AB899" i="7"/>
  <c r="J901" i="7"/>
  <c r="AB901" i="7"/>
  <c r="J903" i="7"/>
  <c r="AB903" i="7"/>
  <c r="J905" i="7"/>
  <c r="AB905" i="7"/>
  <c r="J907" i="7"/>
  <c r="AB907" i="7"/>
  <c r="J910" i="7"/>
  <c r="AB910" i="7"/>
  <c r="J912" i="7"/>
  <c r="AB912" i="7"/>
  <c r="J914" i="7"/>
  <c r="AB914" i="7"/>
  <c r="J916" i="7"/>
  <c r="AB916" i="7"/>
  <c r="J918" i="7"/>
  <c r="AB918" i="7"/>
  <c r="J920" i="7"/>
  <c r="AB920" i="7"/>
  <c r="J449" i="7"/>
  <c r="AB449" i="7"/>
  <c r="J451" i="7"/>
  <c r="AB451" i="7"/>
  <c r="J453" i="7"/>
  <c r="AB453" i="7"/>
  <c r="J455" i="7"/>
  <c r="AB455" i="7"/>
  <c r="J457" i="7"/>
  <c r="AB457" i="7"/>
  <c r="J459" i="7"/>
  <c r="AB459" i="7"/>
  <c r="J461" i="7"/>
  <c r="AB461" i="7"/>
  <c r="J463" i="7"/>
  <c r="AB463" i="7"/>
  <c r="J465" i="7"/>
  <c r="AB465" i="7"/>
  <c r="J467" i="7"/>
  <c r="AB467" i="7"/>
  <c r="J469" i="7"/>
  <c r="AB469" i="7"/>
  <c r="J471" i="7"/>
  <c r="AB471" i="7"/>
  <c r="J473" i="7"/>
  <c r="AB473" i="7"/>
  <c r="J475" i="7"/>
  <c r="AB475" i="7"/>
  <c r="J477" i="7"/>
  <c r="AB477" i="7"/>
  <c r="J479" i="7"/>
  <c r="AB479" i="7"/>
  <c r="J481" i="7"/>
  <c r="AB481" i="7"/>
  <c r="J483" i="7"/>
  <c r="AB483" i="7"/>
  <c r="J448" i="7"/>
  <c r="AB448" i="7"/>
  <c r="J450" i="7"/>
  <c r="AB450" i="7"/>
  <c r="J452" i="7"/>
  <c r="AB452" i="7"/>
  <c r="J454" i="7"/>
  <c r="AB454" i="7"/>
  <c r="J456" i="7"/>
  <c r="AB456" i="7"/>
  <c r="J458" i="7"/>
  <c r="AB458" i="7"/>
  <c r="J460" i="7"/>
  <c r="AB460" i="7"/>
  <c r="J462" i="7"/>
  <c r="AB462" i="7"/>
  <c r="J464" i="7"/>
  <c r="AB464" i="7"/>
  <c r="J466" i="7"/>
  <c r="AB466" i="7"/>
  <c r="J468" i="7"/>
  <c r="AB468" i="7"/>
  <c r="J470" i="7"/>
  <c r="AB470" i="7"/>
  <c r="J472" i="7"/>
  <c r="AB472" i="7"/>
  <c r="J474" i="7"/>
  <c r="AB474" i="7"/>
  <c r="J476" i="7"/>
  <c r="AB476" i="7"/>
  <c r="J478" i="7"/>
  <c r="AB478" i="7"/>
  <c r="J480" i="7"/>
  <c r="AB480" i="7"/>
  <c r="J482" i="7"/>
  <c r="AB482" i="7"/>
  <c r="J813" i="7"/>
  <c r="AB813" i="7"/>
  <c r="J815" i="7"/>
  <c r="AB815" i="7"/>
  <c r="J817" i="7"/>
  <c r="AB817" i="7"/>
  <c r="J819" i="7"/>
  <c r="AB819" i="7"/>
  <c r="J821" i="7"/>
  <c r="AB821" i="7"/>
  <c r="J823" i="7"/>
  <c r="AB823" i="7"/>
  <c r="J825" i="7"/>
  <c r="AB825" i="7"/>
  <c r="J827" i="7"/>
  <c r="AB827" i="7"/>
  <c r="J829" i="7"/>
  <c r="AB829" i="7"/>
  <c r="J831" i="7"/>
  <c r="AB831" i="7"/>
  <c r="J833" i="7"/>
  <c r="AB833" i="7"/>
  <c r="J835" i="7"/>
  <c r="AB835" i="7"/>
  <c r="J837" i="7"/>
  <c r="AB837" i="7"/>
  <c r="J839" i="7"/>
  <c r="AB839" i="7"/>
  <c r="J841" i="7"/>
  <c r="AB841" i="7"/>
  <c r="J843" i="7"/>
  <c r="AB843" i="7"/>
  <c r="J845" i="7"/>
  <c r="AB845" i="7"/>
  <c r="J847" i="7"/>
  <c r="AB847" i="7"/>
  <c r="J814" i="7"/>
  <c r="AB814" i="7"/>
  <c r="J816" i="7"/>
  <c r="AB816" i="7"/>
  <c r="J818" i="7"/>
  <c r="AB818" i="7"/>
  <c r="J820" i="7"/>
  <c r="AB820" i="7"/>
  <c r="J822" i="7"/>
  <c r="AB822" i="7"/>
  <c r="J824" i="7"/>
  <c r="AB824" i="7"/>
  <c r="J826" i="7"/>
  <c r="AB826" i="7"/>
  <c r="J828" i="7"/>
  <c r="AB828" i="7"/>
  <c r="J830" i="7"/>
  <c r="AB830" i="7"/>
  <c r="J832" i="7"/>
  <c r="AB832" i="7"/>
  <c r="J834" i="7"/>
  <c r="AB834" i="7"/>
  <c r="J836" i="7"/>
  <c r="AB836" i="7"/>
  <c r="J838" i="7"/>
  <c r="AB838" i="7"/>
  <c r="J840" i="7"/>
  <c r="AB840" i="7"/>
  <c r="J842" i="7"/>
  <c r="AB842" i="7"/>
  <c r="J844" i="7"/>
  <c r="AB844" i="7"/>
  <c r="J846" i="7"/>
  <c r="AB846" i="7"/>
  <c r="J848" i="7"/>
  <c r="AB848" i="7"/>
  <c r="J741" i="7"/>
  <c r="AB741" i="7"/>
  <c r="J743" i="7"/>
  <c r="AB743" i="7"/>
  <c r="J745" i="7"/>
  <c r="AB745" i="7"/>
  <c r="J747" i="7"/>
  <c r="AB747" i="7"/>
  <c r="J749" i="7"/>
  <c r="AB749" i="7"/>
  <c r="J751" i="7"/>
  <c r="AB751" i="7"/>
  <c r="J753" i="7"/>
  <c r="AB753" i="7"/>
  <c r="J755" i="7"/>
  <c r="AB755" i="7"/>
  <c r="J757" i="7"/>
  <c r="AB757" i="7"/>
  <c r="J759" i="7"/>
  <c r="AB759" i="7"/>
  <c r="J761" i="7"/>
  <c r="AB761" i="7"/>
  <c r="J763" i="7"/>
  <c r="AB763" i="7"/>
  <c r="J765" i="7"/>
  <c r="AB765" i="7"/>
  <c r="J767" i="7"/>
  <c r="AB767" i="7"/>
  <c r="J769" i="7"/>
  <c r="AB769" i="7"/>
  <c r="J771" i="7"/>
  <c r="AB771" i="7"/>
  <c r="J773" i="7"/>
  <c r="AB773" i="7"/>
  <c r="J775" i="7"/>
  <c r="AB775" i="7"/>
  <c r="J740" i="7"/>
  <c r="AB740" i="7"/>
  <c r="J742" i="7"/>
  <c r="AB742" i="7"/>
  <c r="J744" i="7"/>
  <c r="AB744" i="7"/>
  <c r="J746" i="7"/>
  <c r="AB746" i="7"/>
  <c r="J748" i="7"/>
  <c r="AB748" i="7"/>
  <c r="J750" i="7"/>
  <c r="AB750" i="7"/>
  <c r="J752" i="7"/>
  <c r="AB752" i="7"/>
  <c r="J754" i="7"/>
  <c r="AB754" i="7"/>
  <c r="J756" i="7"/>
  <c r="AB756" i="7"/>
  <c r="J758" i="7"/>
  <c r="AB758" i="7"/>
  <c r="J760" i="7"/>
  <c r="AB760" i="7"/>
  <c r="J762" i="7"/>
  <c r="AB762" i="7"/>
  <c r="J764" i="7"/>
  <c r="AB764" i="7"/>
  <c r="J766" i="7"/>
  <c r="AB766" i="7"/>
  <c r="J768" i="7"/>
  <c r="AB768" i="7"/>
  <c r="J770" i="7"/>
  <c r="AB770" i="7"/>
  <c r="J772" i="7"/>
  <c r="AB772" i="7"/>
  <c r="J774" i="7"/>
  <c r="AB774" i="7"/>
  <c r="J960" i="7"/>
  <c r="AB960" i="7"/>
  <c r="J962" i="7"/>
  <c r="AB962" i="7"/>
  <c r="J964" i="7"/>
  <c r="AB964" i="7"/>
  <c r="J966" i="7"/>
  <c r="AB966" i="7"/>
  <c r="J968" i="7"/>
  <c r="AB968" i="7"/>
  <c r="J970" i="7"/>
  <c r="AB970" i="7"/>
  <c r="J972" i="7"/>
  <c r="AB972" i="7"/>
  <c r="J974" i="7"/>
  <c r="AB974" i="7"/>
  <c r="J976" i="7"/>
  <c r="AB976" i="7"/>
  <c r="J978" i="7"/>
  <c r="AB978" i="7"/>
  <c r="J980" i="7"/>
  <c r="AB980" i="7"/>
  <c r="J982" i="7"/>
  <c r="AB982" i="7"/>
  <c r="J984" i="7"/>
  <c r="AB984" i="7"/>
  <c r="J986" i="7"/>
  <c r="AB986" i="7"/>
  <c r="J988" i="7"/>
  <c r="AB988" i="7"/>
  <c r="J990" i="7"/>
  <c r="AB990" i="7"/>
  <c r="J992" i="7"/>
  <c r="AB992" i="7"/>
  <c r="J994" i="7"/>
  <c r="AB994" i="7"/>
  <c r="J959" i="7"/>
  <c r="AB959" i="7"/>
  <c r="J961" i="7"/>
  <c r="AB961" i="7"/>
  <c r="J963" i="7"/>
  <c r="AB963" i="7"/>
  <c r="J965" i="7"/>
  <c r="AB965" i="7"/>
  <c r="J967" i="7"/>
  <c r="AB967" i="7"/>
  <c r="J969" i="7"/>
  <c r="AB969" i="7"/>
  <c r="J971" i="7"/>
  <c r="AB971" i="7"/>
  <c r="J973" i="7"/>
  <c r="AB973" i="7"/>
  <c r="J975" i="7"/>
  <c r="AB975" i="7"/>
  <c r="J977" i="7"/>
  <c r="AB977" i="7"/>
  <c r="J979" i="7"/>
  <c r="AB979" i="7"/>
  <c r="J981" i="7"/>
  <c r="AB981" i="7"/>
  <c r="J983" i="7"/>
  <c r="AB983" i="7"/>
  <c r="J985" i="7"/>
  <c r="AB985" i="7"/>
  <c r="J987" i="7"/>
  <c r="AB987" i="7"/>
  <c r="J989" i="7"/>
  <c r="AB989" i="7"/>
  <c r="J991" i="7"/>
  <c r="AB991" i="7"/>
  <c r="J993" i="7"/>
  <c r="AB993" i="7"/>
  <c r="J84" i="7"/>
  <c r="AB84" i="7"/>
  <c r="J86" i="7"/>
  <c r="AB86" i="7"/>
  <c r="J88" i="7"/>
  <c r="AB88" i="7"/>
  <c r="J90" i="7"/>
  <c r="AB90" i="7"/>
  <c r="J92" i="7"/>
  <c r="AB92" i="7"/>
  <c r="J94" i="7"/>
  <c r="AB94" i="7"/>
  <c r="J96" i="7"/>
  <c r="AB96" i="7"/>
  <c r="J98" i="7"/>
  <c r="AB98" i="7"/>
  <c r="J100" i="7"/>
  <c r="AB100" i="7"/>
  <c r="J102" i="7"/>
  <c r="AB102" i="7"/>
  <c r="J104" i="7"/>
  <c r="AB104" i="7"/>
  <c r="J106" i="7"/>
  <c r="AB106" i="7"/>
  <c r="J108" i="7"/>
  <c r="AB108" i="7"/>
  <c r="J110" i="7"/>
  <c r="AB110" i="7"/>
  <c r="J112" i="7"/>
  <c r="AB112" i="7"/>
  <c r="J114" i="7"/>
  <c r="AB114" i="7"/>
  <c r="J116" i="7"/>
  <c r="AB116" i="7"/>
  <c r="J118" i="7"/>
  <c r="AB118" i="7"/>
  <c r="J83" i="7"/>
  <c r="AB83" i="7"/>
  <c r="J85" i="7"/>
  <c r="AB85" i="7"/>
  <c r="J87" i="7"/>
  <c r="AB87" i="7"/>
  <c r="J89" i="7"/>
  <c r="AB89" i="7"/>
  <c r="J91" i="7"/>
  <c r="AB91" i="7"/>
  <c r="J93" i="7"/>
  <c r="AB93" i="7"/>
  <c r="J95" i="7"/>
  <c r="AB95" i="7"/>
  <c r="J97" i="7"/>
  <c r="AB97" i="7"/>
  <c r="J99" i="7"/>
  <c r="AB99" i="7"/>
  <c r="J101" i="7"/>
  <c r="AB101" i="7"/>
  <c r="J103" i="7"/>
  <c r="AB103" i="7"/>
  <c r="J105" i="7"/>
  <c r="AB105" i="7"/>
  <c r="J107" i="7"/>
  <c r="AB107" i="7"/>
  <c r="J109" i="7"/>
  <c r="AB109" i="7"/>
  <c r="J111" i="7"/>
  <c r="AB111" i="7"/>
  <c r="J113" i="7"/>
  <c r="AB113" i="7"/>
  <c r="J115" i="7"/>
  <c r="AB115" i="7"/>
  <c r="J117" i="7"/>
  <c r="AB117" i="7"/>
  <c r="J192" i="7"/>
  <c r="AB192" i="7"/>
  <c r="J194" i="7"/>
  <c r="AB194" i="7"/>
  <c r="J196" i="7"/>
  <c r="AB196" i="7"/>
  <c r="J198" i="7"/>
  <c r="AB198" i="7"/>
  <c r="J200" i="7"/>
  <c r="AB200" i="7"/>
  <c r="J202" i="7"/>
  <c r="AB202" i="7"/>
  <c r="J204" i="7"/>
  <c r="AB204" i="7"/>
  <c r="J206" i="7"/>
  <c r="AB206" i="7"/>
  <c r="J208" i="7"/>
  <c r="AB208" i="7"/>
  <c r="J210" i="7"/>
  <c r="AB210" i="7"/>
  <c r="J212" i="7"/>
  <c r="AB212" i="7"/>
  <c r="J193" i="7"/>
  <c r="AB193" i="7"/>
  <c r="J195" i="7"/>
  <c r="AB195" i="7"/>
  <c r="J197" i="7"/>
  <c r="AB197" i="7"/>
  <c r="J199" i="7"/>
  <c r="AB199" i="7"/>
  <c r="J201" i="7"/>
  <c r="AB201" i="7"/>
  <c r="J203" i="7"/>
  <c r="AB203" i="7"/>
  <c r="J205" i="7"/>
  <c r="AB205" i="7"/>
  <c r="J207" i="7"/>
  <c r="AB207" i="7"/>
  <c r="J209" i="7"/>
  <c r="AB209" i="7"/>
  <c r="J211" i="7"/>
  <c r="AB211" i="7"/>
  <c r="J213" i="7"/>
  <c r="AB213" i="7"/>
  <c r="J214" i="7"/>
  <c r="AB214" i="7"/>
  <c r="J215" i="7"/>
  <c r="AB215" i="7"/>
  <c r="J217" i="7"/>
  <c r="AB217" i="7"/>
  <c r="J219" i="7"/>
  <c r="AB219" i="7"/>
  <c r="J221" i="7"/>
  <c r="AB221" i="7"/>
  <c r="J223" i="7"/>
  <c r="AB223" i="7"/>
  <c r="J225" i="7"/>
  <c r="AB225" i="7"/>
  <c r="J227" i="7"/>
  <c r="AB227" i="7"/>
  <c r="J216" i="7"/>
  <c r="AB216" i="7"/>
  <c r="J218" i="7"/>
  <c r="AB218" i="7"/>
  <c r="J220" i="7"/>
  <c r="AB220" i="7"/>
  <c r="J222" i="7"/>
  <c r="AB222" i="7"/>
  <c r="J224" i="7"/>
  <c r="AB224" i="7"/>
  <c r="J226" i="7"/>
  <c r="AB226" i="7"/>
  <c r="J228" i="7"/>
  <c r="AB228" i="7"/>
  <c r="J411" i="7"/>
  <c r="AB411" i="7"/>
  <c r="J413" i="7"/>
  <c r="AB413" i="7"/>
  <c r="J415" i="7"/>
  <c r="AB415" i="7"/>
  <c r="J417" i="7"/>
  <c r="AB417" i="7"/>
  <c r="J419" i="7"/>
  <c r="AB419" i="7"/>
  <c r="J421" i="7"/>
  <c r="AB421" i="7"/>
  <c r="J423" i="7"/>
  <c r="AB423" i="7"/>
  <c r="J425" i="7"/>
  <c r="AB425" i="7"/>
  <c r="J427" i="7"/>
  <c r="AB427" i="7"/>
  <c r="J429" i="7"/>
  <c r="AB429" i="7"/>
  <c r="J431" i="7"/>
  <c r="AB431" i="7"/>
  <c r="J433" i="7"/>
  <c r="AB433" i="7"/>
  <c r="J435" i="7"/>
  <c r="AB435" i="7"/>
  <c r="J437" i="7"/>
  <c r="AB437" i="7"/>
  <c r="J439" i="7"/>
  <c r="AB439" i="7"/>
  <c r="J441" i="7"/>
  <c r="AB441" i="7"/>
  <c r="J443" i="7"/>
  <c r="AB443" i="7"/>
  <c r="J445" i="7"/>
  <c r="AB445" i="7"/>
  <c r="J447" i="7"/>
  <c r="AB447" i="7"/>
  <c r="J412" i="7"/>
  <c r="AB412" i="7"/>
  <c r="J414" i="7"/>
  <c r="AB414" i="7"/>
  <c r="J416" i="7"/>
  <c r="AB416" i="7"/>
  <c r="J418" i="7"/>
  <c r="AB418" i="7"/>
  <c r="J420" i="7"/>
  <c r="AB420" i="7"/>
  <c r="J422" i="7"/>
  <c r="AB422" i="7"/>
  <c r="J424" i="7"/>
  <c r="AB424" i="7"/>
  <c r="J426" i="7"/>
  <c r="AB426" i="7"/>
  <c r="J428" i="7"/>
  <c r="AB428" i="7"/>
  <c r="J430" i="7"/>
  <c r="AB430" i="7"/>
  <c r="J432" i="7"/>
  <c r="AB432" i="7"/>
  <c r="J434" i="7"/>
  <c r="AB434" i="7"/>
  <c r="J436" i="7"/>
  <c r="AB436" i="7"/>
  <c r="J438" i="7"/>
  <c r="AB438" i="7"/>
  <c r="J440" i="7"/>
  <c r="AB440" i="7"/>
  <c r="J442" i="7"/>
  <c r="AB442" i="7"/>
  <c r="J444" i="7"/>
  <c r="AB444" i="7"/>
  <c r="J446" i="7"/>
  <c r="AB446" i="7"/>
  <c r="J665" i="7"/>
  <c r="AB665" i="7"/>
  <c r="J631" i="7"/>
  <c r="AB631" i="7"/>
  <c r="J633" i="7"/>
  <c r="AB633" i="7"/>
  <c r="J635" i="7"/>
  <c r="AB635" i="7"/>
  <c r="J637" i="7"/>
  <c r="AB637" i="7"/>
  <c r="J638" i="7"/>
  <c r="AB638" i="7"/>
  <c r="J639" i="7"/>
  <c r="AB639" i="7"/>
  <c r="J640" i="7"/>
  <c r="AB640" i="7"/>
  <c r="J641" i="7"/>
  <c r="AB641" i="7"/>
  <c r="J642" i="7"/>
  <c r="AB642" i="7"/>
  <c r="J643" i="7"/>
  <c r="AB643" i="7"/>
  <c r="J644" i="7"/>
  <c r="AB644" i="7"/>
  <c r="J645" i="7"/>
  <c r="AB645" i="7"/>
  <c r="J646" i="7"/>
  <c r="AB646" i="7"/>
  <c r="J647" i="7"/>
  <c r="AB647" i="7"/>
  <c r="J648" i="7"/>
  <c r="AB648" i="7"/>
  <c r="J649" i="7"/>
  <c r="AB649" i="7"/>
  <c r="J650" i="7"/>
  <c r="AB650" i="7"/>
  <c r="J651" i="7"/>
  <c r="AB651" i="7"/>
  <c r="J652" i="7"/>
  <c r="AB652" i="7"/>
  <c r="J653" i="7"/>
  <c r="AB653" i="7"/>
  <c r="J654" i="7"/>
  <c r="AB654" i="7"/>
  <c r="J655" i="7"/>
  <c r="AB655" i="7"/>
  <c r="J656" i="7"/>
  <c r="AB656" i="7"/>
  <c r="J657" i="7"/>
  <c r="AB657" i="7"/>
  <c r="J658" i="7"/>
  <c r="AB658" i="7"/>
  <c r="J659" i="7"/>
  <c r="AB659" i="7"/>
  <c r="J660" i="7"/>
  <c r="AB660" i="7"/>
  <c r="J661" i="7"/>
  <c r="AB661" i="7"/>
  <c r="J662" i="7"/>
  <c r="AB662" i="7"/>
  <c r="J663" i="7"/>
  <c r="AB663" i="7"/>
  <c r="J664" i="7"/>
  <c r="AB664" i="7"/>
  <c r="J666" i="7"/>
  <c r="AB666" i="7"/>
  <c r="J630" i="7"/>
  <c r="AB630" i="7"/>
  <c r="J632" i="7"/>
  <c r="AB632" i="7"/>
  <c r="J634" i="7"/>
  <c r="AB634" i="7"/>
  <c r="J636" i="7"/>
  <c r="AB636" i="7"/>
  <c r="O61" i="10"/>
  <c r="P60" i="10"/>
  <c r="Q60" i="10"/>
  <c r="AE78" i="9"/>
  <c r="AD78" i="9"/>
  <c r="AF78" i="9"/>
  <c r="AE80" i="9"/>
  <c r="AD80" i="9"/>
  <c r="AF80" i="9"/>
  <c r="AE57" i="9"/>
  <c r="AD57" i="9"/>
  <c r="AF57" i="9"/>
  <c r="AE47" i="9"/>
  <c r="AD47" i="9"/>
  <c r="AF47" i="9"/>
  <c r="AE50" i="9"/>
  <c r="AD50" i="9"/>
  <c r="AF50" i="9"/>
  <c r="AE46" i="9"/>
  <c r="AD46" i="9"/>
  <c r="AF46" i="9"/>
  <c r="AE56" i="9"/>
  <c r="AD56" i="9"/>
  <c r="AF56" i="9"/>
  <c r="AE62" i="9"/>
  <c r="AD62" i="9"/>
  <c r="AF62" i="9"/>
  <c r="AE68" i="9"/>
  <c r="AD68" i="9"/>
  <c r="AF68" i="9"/>
  <c r="AE200" i="9"/>
  <c r="AF200" i="9"/>
  <c r="AD200" i="9"/>
  <c r="AE199" i="9"/>
  <c r="AD199" i="9"/>
  <c r="AF199" i="9"/>
  <c r="AE208" i="9"/>
  <c r="AD208" i="9"/>
  <c r="AF208" i="9"/>
  <c r="AE195" i="9"/>
  <c r="AD195" i="9"/>
  <c r="AF195" i="9"/>
  <c r="AE228" i="9"/>
  <c r="AF228" i="9"/>
  <c r="AD228" i="9"/>
  <c r="AE223" i="9"/>
  <c r="AD223" i="9"/>
  <c r="AF223" i="9"/>
  <c r="AE194" i="9"/>
  <c r="AF194" i="9"/>
  <c r="AD194" i="9"/>
  <c r="AE192" i="9"/>
  <c r="AD192" i="9"/>
  <c r="AF192" i="9"/>
  <c r="AE203" i="9"/>
  <c r="AD203" i="9"/>
  <c r="AF203" i="9"/>
  <c r="AE347" i="9"/>
  <c r="AD347" i="9"/>
  <c r="AF347" i="9"/>
  <c r="AE373" i="9"/>
  <c r="AF373" i="9"/>
  <c r="AD373" i="9"/>
  <c r="AE338" i="9"/>
  <c r="AD338" i="9"/>
  <c r="AF338" i="9"/>
  <c r="AE340" i="9"/>
  <c r="AD340" i="9"/>
  <c r="AF340" i="9"/>
  <c r="AE93" i="9"/>
  <c r="AD93" i="9"/>
  <c r="AF93" i="9"/>
  <c r="AE103" i="9"/>
  <c r="AF103" i="9"/>
  <c r="AD103" i="9"/>
  <c r="AE85" i="9"/>
  <c r="AD85" i="9"/>
  <c r="AF85" i="9"/>
  <c r="AE111" i="9"/>
  <c r="AF111" i="9"/>
  <c r="AD111" i="9"/>
  <c r="AE117" i="9"/>
  <c r="AD117" i="9"/>
  <c r="AF117" i="9"/>
  <c r="AE88" i="9"/>
  <c r="AD88" i="9"/>
  <c r="AF88" i="9"/>
  <c r="AE102" i="9"/>
  <c r="AD102" i="9"/>
  <c r="AF102" i="9"/>
  <c r="AE97" i="9"/>
  <c r="AD97" i="9"/>
  <c r="AF97" i="9"/>
  <c r="AE84" i="9"/>
  <c r="AF84" i="9"/>
  <c r="AD84" i="9"/>
  <c r="AE264" i="9"/>
  <c r="AD264" i="9"/>
  <c r="AF264" i="9"/>
  <c r="AE250" i="9"/>
  <c r="AD250" i="9"/>
  <c r="AF250" i="9"/>
  <c r="AE229" i="9"/>
  <c r="AD229" i="9"/>
  <c r="AF229" i="9"/>
  <c r="AE243" i="9"/>
  <c r="AF243" i="9"/>
  <c r="AD243" i="9"/>
  <c r="AE260" i="9"/>
  <c r="AD260" i="9"/>
  <c r="AF260" i="9"/>
  <c r="AE237" i="9"/>
  <c r="AD237" i="9"/>
  <c r="AF237" i="9"/>
  <c r="AE242" i="9"/>
  <c r="AD242" i="9"/>
  <c r="AF242" i="9"/>
  <c r="AE253" i="9"/>
  <c r="AD253" i="9"/>
  <c r="AF253" i="9"/>
  <c r="AE238" i="9"/>
  <c r="AD238" i="9"/>
  <c r="AF238" i="9"/>
  <c r="AE388" i="9"/>
  <c r="AD388" i="9"/>
  <c r="AF388" i="9"/>
  <c r="AE396" i="9"/>
  <c r="AD396" i="9"/>
  <c r="AF396" i="9"/>
  <c r="AE122" i="9"/>
  <c r="AF122" i="9"/>
  <c r="AD122" i="9"/>
  <c r="AE154" i="9"/>
  <c r="AF154" i="9"/>
  <c r="AD154" i="9"/>
  <c r="AE153" i="9"/>
  <c r="AF153" i="9"/>
  <c r="AD153" i="9"/>
  <c r="AE148" i="9"/>
  <c r="AD148" i="9"/>
  <c r="AF148" i="9"/>
  <c r="AE124" i="9"/>
  <c r="AD124" i="9"/>
  <c r="AF124" i="9"/>
  <c r="AE146" i="9"/>
  <c r="AD146" i="9"/>
  <c r="AF146" i="9"/>
  <c r="AE139" i="9"/>
  <c r="AF139" i="9"/>
  <c r="AD139" i="9"/>
  <c r="AE143" i="9"/>
  <c r="AD143" i="9"/>
  <c r="AF143" i="9"/>
  <c r="AE129" i="9"/>
  <c r="AF129" i="9"/>
  <c r="AD129" i="9"/>
  <c r="AE265" i="9"/>
  <c r="AD265" i="9"/>
  <c r="AF265" i="9"/>
  <c r="AE298" i="9"/>
  <c r="AD298" i="9"/>
  <c r="AF298" i="9"/>
  <c r="AE273" i="9"/>
  <c r="AD273" i="9"/>
  <c r="AF273" i="9"/>
  <c r="AE295" i="9"/>
  <c r="AD295" i="9"/>
  <c r="AF295" i="9"/>
  <c r="AE268" i="9"/>
  <c r="AD268" i="9"/>
  <c r="AF268" i="9"/>
  <c r="AE272" i="9"/>
  <c r="AD272" i="9"/>
  <c r="AF272" i="9"/>
  <c r="AE288" i="9"/>
  <c r="AD288" i="9"/>
  <c r="AF288" i="9"/>
  <c r="AE278" i="9"/>
  <c r="AF278" i="9"/>
  <c r="AD278" i="9"/>
  <c r="AE269" i="9"/>
  <c r="AD269" i="9"/>
  <c r="AF269" i="9"/>
  <c r="AE412" i="9"/>
  <c r="AD412" i="9"/>
  <c r="AF412" i="9"/>
  <c r="AE19" i="9"/>
  <c r="AD19" i="9"/>
  <c r="AF19" i="9"/>
  <c r="AE15" i="9"/>
  <c r="AD15" i="9"/>
  <c r="AF15" i="9"/>
  <c r="AE32" i="9"/>
  <c r="AD32" i="9"/>
  <c r="AF32" i="9"/>
  <c r="AE29" i="9"/>
  <c r="AF29" i="9"/>
  <c r="AD29" i="9"/>
  <c r="AE12" i="9"/>
  <c r="AD12" i="9"/>
  <c r="AF12" i="9"/>
  <c r="AE28" i="9"/>
  <c r="AD28" i="9"/>
  <c r="AF28" i="9"/>
  <c r="AE37" i="9"/>
  <c r="AF37" i="9"/>
  <c r="AD37" i="9"/>
  <c r="AE24" i="9"/>
  <c r="AD24" i="9"/>
  <c r="AF24" i="9"/>
  <c r="AE39" i="9"/>
  <c r="AF39" i="9"/>
  <c r="AD39" i="9"/>
  <c r="AE180" i="9"/>
  <c r="AD180" i="9"/>
  <c r="AF180" i="9"/>
  <c r="AE167" i="9"/>
  <c r="AD167" i="9"/>
  <c r="AF167" i="9"/>
  <c r="AE156" i="9"/>
  <c r="AD156" i="9"/>
  <c r="AF156" i="9"/>
  <c r="AE179" i="9"/>
  <c r="AD179" i="9"/>
  <c r="AF179" i="9"/>
  <c r="AE182" i="9"/>
  <c r="AD182" i="9"/>
  <c r="AF182" i="9"/>
  <c r="AE184" i="9"/>
  <c r="AD184" i="9"/>
  <c r="AF184" i="9"/>
  <c r="AE173" i="9"/>
  <c r="AD173" i="9"/>
  <c r="AF173" i="9"/>
  <c r="AE160" i="9"/>
  <c r="AD160" i="9"/>
  <c r="AF160" i="9"/>
  <c r="AE169" i="9"/>
  <c r="AD169" i="9"/>
  <c r="AF169" i="9"/>
  <c r="AE327" i="9"/>
  <c r="AD327" i="9"/>
  <c r="AF327" i="9"/>
  <c r="AE307" i="9"/>
  <c r="AD307" i="9"/>
  <c r="AF307" i="9"/>
  <c r="AE310" i="9"/>
  <c r="AD310" i="9"/>
  <c r="AF310" i="9"/>
  <c r="AE331" i="9"/>
  <c r="AF331" i="9"/>
  <c r="AD331" i="9"/>
  <c r="AE315" i="9"/>
  <c r="AD315" i="9"/>
  <c r="AF315" i="9"/>
  <c r="AE322" i="9"/>
  <c r="AD322" i="9"/>
  <c r="AF322" i="9"/>
  <c r="P273" i="9"/>
  <c r="AH273" i="9"/>
  <c r="P257" i="9"/>
  <c r="AH257" i="9"/>
  <c r="P241" i="9"/>
  <c r="AH241" i="9"/>
  <c r="P225" i="9"/>
  <c r="AH225" i="9"/>
  <c r="P209" i="9"/>
  <c r="AH209" i="9"/>
  <c r="P193" i="9"/>
  <c r="AH193" i="9"/>
  <c r="P177" i="9"/>
  <c r="AH177" i="9"/>
  <c r="P161" i="9"/>
  <c r="AH161" i="9"/>
  <c r="P147" i="9"/>
  <c r="AH147" i="9"/>
  <c r="AH274" i="9"/>
  <c r="P274" i="9"/>
  <c r="AH258" i="9"/>
  <c r="P258" i="9"/>
  <c r="AH242" i="9"/>
  <c r="P242" i="9"/>
  <c r="AH226" i="9"/>
  <c r="P226" i="9"/>
  <c r="AH210" i="9"/>
  <c r="P210" i="9"/>
  <c r="AH194" i="9"/>
  <c r="P194" i="9"/>
  <c r="AH178" i="9"/>
  <c r="P178" i="9"/>
  <c r="AH162" i="9"/>
  <c r="P162" i="9"/>
  <c r="AH146" i="9"/>
  <c r="P146" i="9"/>
  <c r="P275" i="9"/>
  <c r="AH275" i="9"/>
  <c r="P259" i="9"/>
  <c r="AH259" i="9"/>
  <c r="P243" i="9"/>
  <c r="AH243" i="9"/>
  <c r="P227" i="9"/>
  <c r="AH227" i="9"/>
  <c r="P211" i="9"/>
  <c r="AH211" i="9"/>
  <c r="P195" i="9"/>
  <c r="AH195" i="9"/>
  <c r="P179" i="9"/>
  <c r="AH179" i="9"/>
  <c r="P163" i="9"/>
  <c r="AH163" i="9"/>
  <c r="AH142" i="9"/>
  <c r="P142" i="9"/>
  <c r="P260" i="9"/>
  <c r="AH260" i="9"/>
  <c r="P244" i="9"/>
  <c r="AH244" i="9"/>
  <c r="P228" i="9"/>
  <c r="AH228" i="9"/>
  <c r="P212" i="9"/>
  <c r="AH212" i="9"/>
  <c r="P196" i="9"/>
  <c r="AH196" i="9"/>
  <c r="P180" i="9"/>
  <c r="AH180" i="9"/>
  <c r="P164" i="9"/>
  <c r="AH164" i="9"/>
  <c r="P145" i="9"/>
  <c r="AH145" i="9"/>
  <c r="P123" i="9"/>
  <c r="AH123" i="9"/>
  <c r="P107" i="9"/>
  <c r="AH107" i="9"/>
  <c r="P91" i="9"/>
  <c r="AH91" i="9"/>
  <c r="P75" i="9"/>
  <c r="AH75" i="9"/>
  <c r="P59" i="9"/>
  <c r="AH59" i="9"/>
  <c r="P43" i="9"/>
  <c r="AH43" i="9"/>
  <c r="P27" i="9"/>
  <c r="AH27" i="9"/>
  <c r="AE10" i="9"/>
  <c r="AD10" i="9"/>
  <c r="AF10" i="9"/>
  <c r="AH136" i="9"/>
  <c r="P136" i="9"/>
  <c r="AH120" i="9"/>
  <c r="P120" i="9"/>
  <c r="AH104" i="9"/>
  <c r="P104" i="9"/>
  <c r="AH88" i="9"/>
  <c r="P88" i="9"/>
  <c r="AH72" i="9"/>
  <c r="P72" i="9"/>
  <c r="AH56" i="9"/>
  <c r="P56" i="9"/>
  <c r="AH40" i="9"/>
  <c r="P40" i="9"/>
  <c r="AH24" i="9"/>
  <c r="P24" i="9"/>
  <c r="P129" i="9"/>
  <c r="AH129" i="9"/>
  <c r="P113" i="9"/>
  <c r="AH113" i="9"/>
  <c r="P97" i="9"/>
  <c r="AH97" i="9"/>
  <c r="P81" i="9"/>
  <c r="AH81" i="9"/>
  <c r="P65" i="9"/>
  <c r="AH65" i="9"/>
  <c r="P49" i="9"/>
  <c r="AH49" i="9"/>
  <c r="P33" i="9"/>
  <c r="AH33" i="9"/>
  <c r="AH19" i="9"/>
  <c r="P19" i="9"/>
  <c r="P130" i="9"/>
  <c r="AH130" i="9"/>
  <c r="P114" i="9"/>
  <c r="AH114" i="9"/>
  <c r="P98" i="9"/>
  <c r="AH98" i="9"/>
  <c r="P82" i="9"/>
  <c r="AH82" i="9"/>
  <c r="P66" i="9"/>
  <c r="AH66" i="9"/>
  <c r="P50" i="9"/>
  <c r="AH50" i="9"/>
  <c r="P34" i="9"/>
  <c r="AH34" i="9"/>
  <c r="AH15" i="9"/>
  <c r="P15" i="9"/>
  <c r="P269" i="9"/>
  <c r="AH269" i="9"/>
  <c r="P253" i="9"/>
  <c r="AH253" i="9"/>
  <c r="P237" i="9"/>
  <c r="AH237" i="9"/>
  <c r="P221" i="9"/>
  <c r="AH221" i="9"/>
  <c r="P205" i="9"/>
  <c r="AH205" i="9"/>
  <c r="P189" i="9"/>
  <c r="AH189" i="9"/>
  <c r="P173" i="9"/>
  <c r="AH173" i="9"/>
  <c r="P157" i="9"/>
  <c r="AH157" i="9"/>
  <c r="P141" i="9"/>
  <c r="AH141" i="9"/>
  <c r="AH270" i="9"/>
  <c r="P270" i="9"/>
  <c r="AH254" i="9"/>
  <c r="P254" i="9"/>
  <c r="AH238" i="9"/>
  <c r="P238" i="9"/>
  <c r="AH222" i="9"/>
  <c r="P222" i="9"/>
  <c r="AH206" i="9"/>
  <c r="P206" i="9"/>
  <c r="AH190" i="9"/>
  <c r="P190" i="9"/>
  <c r="AH174" i="9"/>
  <c r="P174" i="9"/>
  <c r="AH158" i="9"/>
  <c r="P158" i="9"/>
  <c r="AH143" i="9"/>
  <c r="P143" i="9"/>
  <c r="P271" i="9"/>
  <c r="AH271" i="9"/>
  <c r="P255" i="9"/>
  <c r="AH255" i="9"/>
  <c r="P239" i="9"/>
  <c r="AH239" i="9"/>
  <c r="P223" i="9"/>
  <c r="AH223" i="9"/>
  <c r="P207" i="9"/>
  <c r="AH207" i="9"/>
  <c r="P191" i="9"/>
  <c r="AH191" i="9"/>
  <c r="P175" i="9"/>
  <c r="AH175" i="9"/>
  <c r="P159" i="9"/>
  <c r="AH159" i="9"/>
  <c r="AH139" i="9"/>
  <c r="P139" i="9"/>
  <c r="P272" i="9"/>
  <c r="AH272" i="9"/>
  <c r="P256" i="9"/>
  <c r="AH256" i="9"/>
  <c r="P240" i="9"/>
  <c r="AH240" i="9"/>
  <c r="P224" i="9"/>
  <c r="AH224" i="9"/>
  <c r="P208" i="9"/>
  <c r="AH208" i="9"/>
  <c r="P192" i="9"/>
  <c r="AH192" i="9"/>
  <c r="P176" i="9"/>
  <c r="AH176" i="9"/>
  <c r="P160" i="9"/>
  <c r="AH160" i="9"/>
  <c r="AH138" i="9"/>
  <c r="P138" i="9"/>
  <c r="P119" i="9"/>
  <c r="AH119" i="9"/>
  <c r="P103" i="9"/>
  <c r="AH103" i="9"/>
  <c r="P87" i="9"/>
  <c r="AH87" i="9"/>
  <c r="P71" i="9"/>
  <c r="AH71" i="9"/>
  <c r="P55" i="9"/>
  <c r="AH55" i="9"/>
  <c r="P39" i="9"/>
  <c r="AH39" i="9"/>
  <c r="P23" i="9"/>
  <c r="AH23" i="9"/>
  <c r="P148" i="9"/>
  <c r="AH148" i="9"/>
  <c r="AH132" i="9"/>
  <c r="P132" i="9"/>
  <c r="AH116" i="9"/>
  <c r="P116" i="9"/>
  <c r="AH100" i="9"/>
  <c r="P100" i="9"/>
  <c r="AH84" i="9"/>
  <c r="P84" i="9"/>
  <c r="AH68" i="9"/>
  <c r="P68" i="9"/>
  <c r="AH52" i="9"/>
  <c r="P52" i="9"/>
  <c r="AH36" i="9"/>
  <c r="P36" i="9"/>
  <c r="AH20" i="9"/>
  <c r="P20" i="9"/>
  <c r="P125" i="9"/>
  <c r="AH125" i="9"/>
  <c r="P109" i="9"/>
  <c r="AH109" i="9"/>
  <c r="P93" i="9"/>
  <c r="AH93" i="9"/>
  <c r="P77" i="9"/>
  <c r="AH77" i="9"/>
  <c r="P61" i="9"/>
  <c r="AH61" i="9"/>
  <c r="P45" i="9"/>
  <c r="AH45" i="9"/>
  <c r="P29" i="9"/>
  <c r="AH29" i="9"/>
  <c r="AH16" i="9"/>
  <c r="P16" i="9"/>
  <c r="P126" i="9"/>
  <c r="AH126" i="9"/>
  <c r="P110" i="9"/>
  <c r="AH110" i="9"/>
  <c r="P94" i="9"/>
  <c r="AH94" i="9"/>
  <c r="P78" i="9"/>
  <c r="AH78" i="9"/>
  <c r="P62" i="9"/>
  <c r="AH62" i="9"/>
  <c r="P46" i="9"/>
  <c r="AH46" i="9"/>
  <c r="P30" i="9"/>
  <c r="AH30" i="9"/>
  <c r="P12" i="9"/>
  <c r="AH12" i="9"/>
  <c r="D38" i="10"/>
  <c r="I38" i="10"/>
  <c r="E38" i="10"/>
  <c r="H38" i="10"/>
  <c r="J38" i="10"/>
  <c r="A39" i="10"/>
  <c r="C38" i="10"/>
  <c r="F38" i="10"/>
  <c r="P265" i="9"/>
  <c r="AH265" i="9"/>
  <c r="P249" i="9"/>
  <c r="AH249" i="9"/>
  <c r="P233" i="9"/>
  <c r="AH233" i="9"/>
  <c r="P217" i="9"/>
  <c r="AH217" i="9"/>
  <c r="P201" i="9"/>
  <c r="AH201" i="9"/>
  <c r="P185" i="9"/>
  <c r="AH185" i="9"/>
  <c r="P169" i="9"/>
  <c r="AH169" i="9"/>
  <c r="P153" i="9"/>
  <c r="AH153" i="9"/>
  <c r="P131" i="9"/>
  <c r="AH131" i="9"/>
  <c r="AH266" i="9"/>
  <c r="P266" i="9"/>
  <c r="AH250" i="9"/>
  <c r="P250" i="9"/>
  <c r="AH234" i="9"/>
  <c r="P234" i="9"/>
  <c r="AH218" i="9"/>
  <c r="P218" i="9"/>
  <c r="AH202" i="9"/>
  <c r="P202" i="9"/>
  <c r="AH186" i="9"/>
  <c r="P186" i="9"/>
  <c r="AH170" i="9"/>
  <c r="P170" i="9"/>
  <c r="AH154" i="9"/>
  <c r="P154" i="9"/>
  <c r="P137" i="9"/>
  <c r="AH137" i="9"/>
  <c r="P267" i="9"/>
  <c r="AH267" i="9"/>
  <c r="P251" i="9"/>
  <c r="AH251" i="9"/>
  <c r="P235" i="9"/>
  <c r="AH235" i="9"/>
  <c r="P219" i="9"/>
  <c r="AH219" i="9"/>
  <c r="P203" i="9"/>
  <c r="AH203" i="9"/>
  <c r="P187" i="9"/>
  <c r="AH187" i="9"/>
  <c r="P171" i="9"/>
  <c r="AH171" i="9"/>
  <c r="P155" i="9"/>
  <c r="AH155" i="9"/>
  <c r="P268" i="9"/>
  <c r="AH268" i="9"/>
  <c r="P252" i="9"/>
  <c r="AH252" i="9"/>
  <c r="P236" i="9"/>
  <c r="AH236" i="9"/>
  <c r="P220" i="9"/>
  <c r="AH220" i="9"/>
  <c r="P204" i="9"/>
  <c r="AH204" i="9"/>
  <c r="P188" i="9"/>
  <c r="AH188" i="9"/>
  <c r="P172" i="9"/>
  <c r="AH172" i="9"/>
  <c r="P156" i="9"/>
  <c r="AH156" i="9"/>
  <c r="P135" i="9"/>
  <c r="AH135" i="9"/>
  <c r="P115" i="9"/>
  <c r="AH115" i="9"/>
  <c r="P99" i="9"/>
  <c r="AH99" i="9"/>
  <c r="P83" i="9"/>
  <c r="AH83" i="9"/>
  <c r="P67" i="9"/>
  <c r="AH67" i="9"/>
  <c r="P51" i="9"/>
  <c r="AH51" i="9"/>
  <c r="P35" i="9"/>
  <c r="AH35" i="9"/>
  <c r="P18" i="9"/>
  <c r="AH18" i="9"/>
  <c r="P144" i="9"/>
  <c r="AH144" i="9"/>
  <c r="AH128" i="9"/>
  <c r="P128" i="9"/>
  <c r="AH112" i="9"/>
  <c r="P112" i="9"/>
  <c r="AH96" i="9"/>
  <c r="P96" i="9"/>
  <c r="AH80" i="9"/>
  <c r="P80" i="9"/>
  <c r="AH64" i="9"/>
  <c r="P64" i="9"/>
  <c r="AH48" i="9"/>
  <c r="P48" i="9"/>
  <c r="AH32" i="9"/>
  <c r="P32" i="9"/>
  <c r="P14" i="9"/>
  <c r="AH14" i="9"/>
  <c r="P121" i="9"/>
  <c r="AH121" i="9"/>
  <c r="P105" i="9"/>
  <c r="AH105" i="9"/>
  <c r="P89" i="9"/>
  <c r="AH89" i="9"/>
  <c r="P73" i="9"/>
  <c r="AH73" i="9"/>
  <c r="P57" i="9"/>
  <c r="AH57" i="9"/>
  <c r="P41" i="9"/>
  <c r="AH41" i="9"/>
  <c r="P25" i="9"/>
  <c r="AH25" i="9"/>
  <c r="P10" i="9"/>
  <c r="P122" i="9"/>
  <c r="AH122" i="9"/>
  <c r="P106" i="9"/>
  <c r="AH106" i="9"/>
  <c r="P90" i="9"/>
  <c r="AH90" i="9"/>
  <c r="P74" i="9"/>
  <c r="AH74" i="9"/>
  <c r="P58" i="9"/>
  <c r="AH58" i="9"/>
  <c r="P42" i="9"/>
  <c r="AH42" i="9"/>
  <c r="P26" i="9"/>
  <c r="AH26" i="9"/>
  <c r="AH17" i="9"/>
  <c r="P17" i="9"/>
  <c r="G7" i="8"/>
  <c r="AB10" i="7"/>
  <c r="K592" i="7"/>
  <c r="K594" i="7"/>
  <c r="K596" i="7"/>
  <c r="K598" i="7"/>
  <c r="K600" i="7"/>
  <c r="K602" i="7"/>
  <c r="K604" i="7"/>
  <c r="K606" i="7"/>
  <c r="K608" i="7"/>
  <c r="K610" i="7"/>
  <c r="K612" i="7"/>
  <c r="K614" i="7"/>
  <c r="K616" i="7"/>
  <c r="K618" i="7"/>
  <c r="K620" i="7"/>
  <c r="K622" i="7"/>
  <c r="K624" i="7"/>
  <c r="K626" i="7"/>
  <c r="K628" i="7"/>
  <c r="K630" i="7"/>
  <c r="K632" i="7"/>
  <c r="K634" i="7"/>
  <c r="K636" i="7"/>
  <c r="K638" i="7"/>
  <c r="K640" i="7"/>
  <c r="K642" i="7"/>
  <c r="K644" i="7"/>
  <c r="K646" i="7"/>
  <c r="K648" i="7"/>
  <c r="K650" i="7"/>
  <c r="K652" i="7"/>
  <c r="K654" i="7"/>
  <c r="K656" i="7"/>
  <c r="K658" i="7"/>
  <c r="K660" i="7"/>
  <c r="K662" i="7"/>
  <c r="K593" i="7"/>
  <c r="K595" i="7"/>
  <c r="K597" i="7"/>
  <c r="K599" i="7"/>
  <c r="K601" i="7"/>
  <c r="K603" i="7"/>
  <c r="K605" i="7"/>
  <c r="K607" i="7"/>
  <c r="K609" i="7"/>
  <c r="K611" i="7"/>
  <c r="K613" i="7"/>
  <c r="K615" i="7"/>
  <c r="K617" i="7"/>
  <c r="K619" i="7"/>
  <c r="K621" i="7"/>
  <c r="K623" i="7"/>
  <c r="K625" i="7"/>
  <c r="K627" i="7"/>
  <c r="K629" i="7"/>
  <c r="K631" i="7"/>
  <c r="K633" i="7"/>
  <c r="K635" i="7"/>
  <c r="K637" i="7"/>
  <c r="K665" i="7"/>
  <c r="K667" i="7"/>
  <c r="K669" i="7"/>
  <c r="K671" i="7"/>
  <c r="K673" i="7"/>
  <c r="K675" i="7"/>
  <c r="K677" i="7"/>
  <c r="K679" i="7"/>
  <c r="K681" i="7"/>
  <c r="K683" i="7"/>
  <c r="K685" i="7"/>
  <c r="K687" i="7"/>
  <c r="K689" i="7"/>
  <c r="K691" i="7"/>
  <c r="K693" i="7"/>
  <c r="K695" i="7"/>
  <c r="K697" i="7"/>
  <c r="K699" i="7"/>
  <c r="K701" i="7"/>
  <c r="K703" i="7"/>
  <c r="K705" i="7"/>
  <c r="K707" i="7"/>
  <c r="K709" i="7"/>
  <c r="K711" i="7"/>
  <c r="K713" i="7"/>
  <c r="K715" i="7"/>
  <c r="K717" i="7"/>
  <c r="K719" i="7"/>
  <c r="K721" i="7"/>
  <c r="K723" i="7"/>
  <c r="K725" i="7"/>
  <c r="K727" i="7"/>
  <c r="K729" i="7"/>
  <c r="K731" i="7"/>
  <c r="K733" i="7"/>
  <c r="K735" i="7"/>
  <c r="K737" i="7"/>
  <c r="K739" i="7"/>
  <c r="K741" i="7"/>
  <c r="K743" i="7"/>
  <c r="K745" i="7"/>
  <c r="K747" i="7"/>
  <c r="K749" i="7"/>
  <c r="K751" i="7"/>
  <c r="K753" i="7"/>
  <c r="K755" i="7"/>
  <c r="K757" i="7"/>
  <c r="K759" i="7"/>
  <c r="K761" i="7"/>
  <c r="K763" i="7"/>
  <c r="K765" i="7"/>
  <c r="K767" i="7"/>
  <c r="K769" i="7"/>
  <c r="K771" i="7"/>
  <c r="K773" i="7"/>
  <c r="K775" i="7"/>
  <c r="K777" i="7"/>
  <c r="K779" i="7"/>
  <c r="K781" i="7"/>
  <c r="K783" i="7"/>
  <c r="K785" i="7"/>
  <c r="K787" i="7"/>
  <c r="K789" i="7"/>
  <c r="K791" i="7"/>
  <c r="K793" i="7"/>
  <c r="K795" i="7"/>
  <c r="K797" i="7"/>
  <c r="K799" i="7"/>
  <c r="K801" i="7"/>
  <c r="K803" i="7"/>
  <c r="K805" i="7"/>
  <c r="K807" i="7"/>
  <c r="K809" i="7"/>
  <c r="K811" i="7"/>
  <c r="K813" i="7"/>
  <c r="K815" i="7"/>
  <c r="K817" i="7"/>
  <c r="K819" i="7"/>
  <c r="K821" i="7"/>
  <c r="K823" i="7"/>
  <c r="K825" i="7"/>
  <c r="K827" i="7"/>
  <c r="K829" i="7"/>
  <c r="K831" i="7"/>
  <c r="K833" i="7"/>
  <c r="K835" i="7"/>
  <c r="K837" i="7"/>
  <c r="K839" i="7"/>
  <c r="K841" i="7"/>
  <c r="K843" i="7"/>
  <c r="K845" i="7"/>
  <c r="K847" i="7"/>
  <c r="K849" i="7"/>
  <c r="K851" i="7"/>
  <c r="K853" i="7"/>
  <c r="K855" i="7"/>
  <c r="K857" i="7"/>
  <c r="K859" i="7"/>
  <c r="K861" i="7"/>
  <c r="K863" i="7"/>
  <c r="K865" i="7"/>
  <c r="K867" i="7"/>
  <c r="K869" i="7"/>
  <c r="K871" i="7"/>
  <c r="K873" i="7"/>
  <c r="K875" i="7"/>
  <c r="K877" i="7"/>
  <c r="K879" i="7"/>
  <c r="K881" i="7"/>
  <c r="K883" i="7"/>
  <c r="K885" i="7"/>
  <c r="K887" i="7"/>
  <c r="K889" i="7"/>
  <c r="K891" i="7"/>
  <c r="K893" i="7"/>
  <c r="K895" i="7"/>
  <c r="K897" i="7"/>
  <c r="K899" i="7"/>
  <c r="K901" i="7"/>
  <c r="K903" i="7"/>
  <c r="K905" i="7"/>
  <c r="K907" i="7"/>
  <c r="K909" i="7"/>
  <c r="K911" i="7"/>
  <c r="K913" i="7"/>
  <c r="K915" i="7"/>
  <c r="K917" i="7"/>
  <c r="K919" i="7"/>
  <c r="K921" i="7"/>
  <c r="K923" i="7"/>
  <c r="K925" i="7"/>
  <c r="K927" i="7"/>
  <c r="K929" i="7"/>
  <c r="K931" i="7"/>
  <c r="K933" i="7"/>
  <c r="K935" i="7"/>
  <c r="K937" i="7"/>
  <c r="K939" i="7"/>
  <c r="K941" i="7"/>
  <c r="K639" i="7"/>
  <c r="K641" i="7"/>
  <c r="K643" i="7"/>
  <c r="K645" i="7"/>
  <c r="K647" i="7"/>
  <c r="K649" i="7"/>
  <c r="K651" i="7"/>
  <c r="K653" i="7"/>
  <c r="K655" i="7"/>
  <c r="K657" i="7"/>
  <c r="K659" i="7"/>
  <c r="K661" i="7"/>
  <c r="K663" i="7"/>
  <c r="K664" i="7"/>
  <c r="K666" i="7"/>
  <c r="K668" i="7"/>
  <c r="K670" i="7"/>
  <c r="K672" i="7"/>
  <c r="K674" i="7"/>
  <c r="K676" i="7"/>
  <c r="K678" i="7"/>
  <c r="K680" i="7"/>
  <c r="K682" i="7"/>
  <c r="K684" i="7"/>
  <c r="K686" i="7"/>
  <c r="K688" i="7"/>
  <c r="K690" i="7"/>
  <c r="K692" i="7"/>
  <c r="K694" i="7"/>
  <c r="K696" i="7"/>
  <c r="K698" i="7"/>
  <c r="K700" i="7"/>
  <c r="K702" i="7"/>
  <c r="K704" i="7"/>
  <c r="K706" i="7"/>
  <c r="K708" i="7"/>
  <c r="K710" i="7"/>
  <c r="K712" i="7"/>
  <c r="K714" i="7"/>
  <c r="K716" i="7"/>
  <c r="K718" i="7"/>
  <c r="K720" i="7"/>
  <c r="K722" i="7"/>
  <c r="K724" i="7"/>
  <c r="K726" i="7"/>
  <c r="K728" i="7"/>
  <c r="K730" i="7"/>
  <c r="K732" i="7"/>
  <c r="K734" i="7"/>
  <c r="K736" i="7"/>
  <c r="K738" i="7"/>
  <c r="K740" i="7"/>
  <c r="K742" i="7"/>
  <c r="K744" i="7"/>
  <c r="K746" i="7"/>
  <c r="K748" i="7"/>
  <c r="K750" i="7"/>
  <c r="K752" i="7"/>
  <c r="K754" i="7"/>
  <c r="K756" i="7"/>
  <c r="K758" i="7"/>
  <c r="K760" i="7"/>
  <c r="K762" i="7"/>
  <c r="K764" i="7"/>
  <c r="K766" i="7"/>
  <c r="K768" i="7"/>
  <c r="K770" i="7"/>
  <c r="K772" i="7"/>
  <c r="K774" i="7"/>
  <c r="K776" i="7"/>
  <c r="K778" i="7"/>
  <c r="K780" i="7"/>
  <c r="K782" i="7"/>
  <c r="K784" i="7"/>
  <c r="K786" i="7"/>
  <c r="K788" i="7"/>
  <c r="K790" i="7"/>
  <c r="K792" i="7"/>
  <c r="K794" i="7"/>
  <c r="K796" i="7"/>
  <c r="K798" i="7"/>
  <c r="K800" i="7"/>
  <c r="K802" i="7"/>
  <c r="K804" i="7"/>
  <c r="K806" i="7"/>
  <c r="K808" i="7"/>
  <c r="K810" i="7"/>
  <c r="K812" i="7"/>
  <c r="K814" i="7"/>
  <c r="K816" i="7"/>
  <c r="K818" i="7"/>
  <c r="K820" i="7"/>
  <c r="K822" i="7"/>
  <c r="K824" i="7"/>
  <c r="K826" i="7"/>
  <c r="K828" i="7"/>
  <c r="K830" i="7"/>
  <c r="K832" i="7"/>
  <c r="K834" i="7"/>
  <c r="K836" i="7"/>
  <c r="K838" i="7"/>
  <c r="K840" i="7"/>
  <c r="K842" i="7"/>
  <c r="K844" i="7"/>
  <c r="K846" i="7"/>
  <c r="K848" i="7"/>
  <c r="K850" i="7"/>
  <c r="K852" i="7"/>
  <c r="K854" i="7"/>
  <c r="K856" i="7"/>
  <c r="K858" i="7"/>
  <c r="K860" i="7"/>
  <c r="K862" i="7"/>
  <c r="K864" i="7"/>
  <c r="K866" i="7"/>
  <c r="K868" i="7"/>
  <c r="K870" i="7"/>
  <c r="K872" i="7"/>
  <c r="K874" i="7"/>
  <c r="K876" i="7"/>
  <c r="K878" i="7"/>
  <c r="K880" i="7"/>
  <c r="K882" i="7"/>
  <c r="K884" i="7"/>
  <c r="K886" i="7"/>
  <c r="K888" i="7"/>
  <c r="K890" i="7"/>
  <c r="K892" i="7"/>
  <c r="K894" i="7"/>
  <c r="K896" i="7"/>
  <c r="K898" i="7"/>
  <c r="K900" i="7"/>
  <c r="K902" i="7"/>
  <c r="K904" i="7"/>
  <c r="K906" i="7"/>
  <c r="K908" i="7"/>
  <c r="K910" i="7"/>
  <c r="K912" i="7"/>
  <c r="K914" i="7"/>
  <c r="K916" i="7"/>
  <c r="K918" i="7"/>
  <c r="K920" i="7"/>
  <c r="K922" i="7"/>
  <c r="K924" i="7"/>
  <c r="K926" i="7"/>
  <c r="K928" i="7"/>
  <c r="K930" i="7"/>
  <c r="K932" i="7"/>
  <c r="K934" i="7"/>
  <c r="K936" i="7"/>
  <c r="K938" i="7"/>
  <c r="K940" i="7"/>
  <c r="K942" i="7"/>
  <c r="K944" i="7"/>
  <c r="K946" i="7"/>
  <c r="K948" i="7"/>
  <c r="K950" i="7"/>
  <c r="K952" i="7"/>
  <c r="K954" i="7"/>
  <c r="K956" i="7"/>
  <c r="K958" i="7"/>
  <c r="K960" i="7"/>
  <c r="K962" i="7"/>
  <c r="K964" i="7"/>
  <c r="K966" i="7"/>
  <c r="K968" i="7"/>
  <c r="K970" i="7"/>
  <c r="K972" i="7"/>
  <c r="K974" i="7"/>
  <c r="K976" i="7"/>
  <c r="K978" i="7"/>
  <c r="K980" i="7"/>
  <c r="K982" i="7"/>
  <c r="K984" i="7"/>
  <c r="K986" i="7"/>
  <c r="K988" i="7"/>
  <c r="K990" i="7"/>
  <c r="K992" i="7"/>
  <c r="K994" i="7"/>
  <c r="K996" i="7"/>
  <c r="K998" i="7"/>
  <c r="K1000" i="7"/>
  <c r="K1002" i="7"/>
  <c r="K1004" i="7"/>
  <c r="K1006" i="7"/>
  <c r="K1008" i="7"/>
  <c r="K1010" i="7"/>
  <c r="K1012" i="7"/>
  <c r="K1014" i="7"/>
  <c r="K1016" i="7"/>
  <c r="K1018" i="7"/>
  <c r="K1020" i="7"/>
  <c r="K1022" i="7"/>
  <c r="K1024" i="7"/>
  <c r="K1026" i="7"/>
  <c r="K1028" i="7"/>
  <c r="K1030" i="7"/>
  <c r="K1032" i="7"/>
  <c r="K1034" i="7"/>
  <c r="K1036" i="7"/>
  <c r="K1038" i="7"/>
  <c r="K1040" i="7"/>
  <c r="K1042" i="7"/>
  <c r="K1044" i="7"/>
  <c r="K1046" i="7"/>
  <c r="K1048" i="7"/>
  <c r="K1050" i="7"/>
  <c r="K1052" i="7"/>
  <c r="K1054" i="7"/>
  <c r="K1056" i="7"/>
  <c r="K1058" i="7"/>
  <c r="K1060" i="7"/>
  <c r="K1062" i="7"/>
  <c r="K943" i="7"/>
  <c r="K945" i="7"/>
  <c r="K947" i="7"/>
  <c r="K949" i="7"/>
  <c r="K951" i="7"/>
  <c r="K953" i="7"/>
  <c r="K955" i="7"/>
  <c r="K957" i="7"/>
  <c r="K959" i="7"/>
  <c r="K961" i="7"/>
  <c r="K963" i="7"/>
  <c r="K965" i="7"/>
  <c r="K967" i="7"/>
  <c r="K969" i="7"/>
  <c r="K971" i="7"/>
  <c r="K973" i="7"/>
  <c r="K975" i="7"/>
  <c r="K977" i="7"/>
  <c r="K979" i="7"/>
  <c r="K981" i="7"/>
  <c r="K983" i="7"/>
  <c r="K985" i="7"/>
  <c r="K987" i="7"/>
  <c r="K989" i="7"/>
  <c r="K991" i="7"/>
  <c r="K993" i="7"/>
  <c r="K995" i="7"/>
  <c r="K997" i="7"/>
  <c r="K999" i="7"/>
  <c r="K1001" i="7"/>
  <c r="K1003" i="7"/>
  <c r="K1005" i="7"/>
  <c r="K1007" i="7"/>
  <c r="K1009" i="7"/>
  <c r="K1011" i="7"/>
  <c r="K1013" i="7"/>
  <c r="K1015" i="7"/>
  <c r="K1017" i="7"/>
  <c r="K1019" i="7"/>
  <c r="K1021" i="7"/>
  <c r="K1023" i="7"/>
  <c r="K1025" i="7"/>
  <c r="K1027" i="7"/>
  <c r="K1029" i="7"/>
  <c r="K1031" i="7"/>
  <c r="K1033" i="7"/>
  <c r="K1035" i="7"/>
  <c r="K1037" i="7"/>
  <c r="K1039" i="7"/>
  <c r="K1041" i="7"/>
  <c r="K1043" i="7"/>
  <c r="K1045" i="7"/>
  <c r="K1047" i="7"/>
  <c r="K1049" i="7"/>
  <c r="K1051" i="7"/>
  <c r="K1053" i="7"/>
  <c r="K1055" i="7"/>
  <c r="K1057" i="7"/>
  <c r="K1059" i="7"/>
  <c r="K1061" i="7"/>
  <c r="K1063" i="7"/>
  <c r="O62" i="10"/>
  <c r="P61" i="10"/>
  <c r="Q61" i="10"/>
  <c r="P261" i="9"/>
  <c r="AH261" i="9"/>
  <c r="P245" i="9"/>
  <c r="AH245" i="9"/>
  <c r="P229" i="9"/>
  <c r="AH229" i="9"/>
  <c r="P213" i="9"/>
  <c r="AH213" i="9"/>
  <c r="P197" i="9"/>
  <c r="AH197" i="9"/>
  <c r="P181" i="9"/>
  <c r="AH181" i="9"/>
  <c r="P165" i="9"/>
  <c r="AH165" i="9"/>
  <c r="P149" i="9"/>
  <c r="AH149" i="9"/>
  <c r="AH262" i="9"/>
  <c r="P262" i="9"/>
  <c r="AH246" i="9"/>
  <c r="P246" i="9"/>
  <c r="AH230" i="9"/>
  <c r="P230" i="9"/>
  <c r="AH214" i="9"/>
  <c r="P214" i="9"/>
  <c r="AH198" i="9"/>
  <c r="P198" i="9"/>
  <c r="AH182" i="9"/>
  <c r="P182" i="9"/>
  <c r="AH166" i="9"/>
  <c r="P166" i="9"/>
  <c r="AH150" i="9"/>
  <c r="P150" i="9"/>
  <c r="P263" i="9"/>
  <c r="AH263" i="9"/>
  <c r="P247" i="9"/>
  <c r="AH247" i="9"/>
  <c r="P231" i="9"/>
  <c r="AH231" i="9"/>
  <c r="P215" i="9"/>
  <c r="AH215" i="9"/>
  <c r="P199" i="9"/>
  <c r="AH199" i="9"/>
  <c r="P183" i="9"/>
  <c r="AH183" i="9"/>
  <c r="P167" i="9"/>
  <c r="AH167" i="9"/>
  <c r="P151" i="9"/>
  <c r="AH151" i="9"/>
  <c r="P264" i="9"/>
  <c r="AH264" i="9"/>
  <c r="P248" i="9"/>
  <c r="AH248" i="9"/>
  <c r="P232" i="9"/>
  <c r="AH232" i="9"/>
  <c r="P216" i="9"/>
  <c r="AH216" i="9"/>
  <c r="P200" i="9"/>
  <c r="AH200" i="9"/>
  <c r="P184" i="9"/>
  <c r="AH184" i="9"/>
  <c r="P168" i="9"/>
  <c r="AH168" i="9"/>
  <c r="P152" i="9"/>
  <c r="AH152" i="9"/>
  <c r="P127" i="9"/>
  <c r="AH127" i="9"/>
  <c r="P111" i="9"/>
  <c r="AH111" i="9"/>
  <c r="P95" i="9"/>
  <c r="AH95" i="9"/>
  <c r="P79" i="9"/>
  <c r="AH79" i="9"/>
  <c r="P63" i="9"/>
  <c r="AH63" i="9"/>
  <c r="P47" i="9"/>
  <c r="AH47" i="9"/>
  <c r="P31" i="9"/>
  <c r="AH31" i="9"/>
  <c r="AH11" i="9"/>
  <c r="P11" i="9"/>
  <c r="AH140" i="9"/>
  <c r="P140" i="9"/>
  <c r="AH124" i="9"/>
  <c r="P124" i="9"/>
  <c r="AH108" i="9"/>
  <c r="P108" i="9"/>
  <c r="AH92" i="9"/>
  <c r="P92" i="9"/>
  <c r="AH76" i="9"/>
  <c r="P76" i="9"/>
  <c r="AH60" i="9"/>
  <c r="P60" i="9"/>
  <c r="AH44" i="9"/>
  <c r="P44" i="9"/>
  <c r="AH28" i="9"/>
  <c r="P28" i="9"/>
  <c r="P133" i="9"/>
  <c r="AH133" i="9"/>
  <c r="P117" i="9"/>
  <c r="AH117" i="9"/>
  <c r="P101" i="9"/>
  <c r="AH101" i="9"/>
  <c r="P85" i="9"/>
  <c r="AH85" i="9"/>
  <c r="P69" i="9"/>
  <c r="AH69" i="9"/>
  <c r="P53" i="9"/>
  <c r="AH53" i="9"/>
  <c r="P37" i="9"/>
  <c r="AH37" i="9"/>
  <c r="P21" i="9"/>
  <c r="AH21" i="9"/>
  <c r="P134" i="9"/>
  <c r="AH134" i="9"/>
  <c r="P118" i="9"/>
  <c r="AH118" i="9"/>
  <c r="P102" i="9"/>
  <c r="AH102" i="9"/>
  <c r="P86" i="9"/>
  <c r="AH86" i="9"/>
  <c r="P70" i="9"/>
  <c r="AH70" i="9"/>
  <c r="P54" i="9"/>
  <c r="AH54" i="9"/>
  <c r="P38" i="9"/>
  <c r="AH38" i="9"/>
  <c r="P22" i="9"/>
  <c r="AH22" i="9"/>
  <c r="AH13" i="9"/>
  <c r="P13" i="9"/>
  <c r="L1063" i="7"/>
  <c r="M1063" i="7"/>
  <c r="N1063" i="7"/>
  <c r="AI1063" i="7"/>
  <c r="L1055" i="7"/>
  <c r="M1055" i="7"/>
  <c r="N1055" i="7"/>
  <c r="AI1055" i="7"/>
  <c r="L1047" i="7"/>
  <c r="M1047" i="7"/>
  <c r="N1047" i="7"/>
  <c r="AI1047" i="7"/>
  <c r="L1039" i="7"/>
  <c r="M1039" i="7"/>
  <c r="N1039" i="7"/>
  <c r="AI1039" i="7"/>
  <c r="L1031" i="7"/>
  <c r="M1031" i="7"/>
  <c r="N1031" i="7"/>
  <c r="AI1031" i="7"/>
  <c r="L1023" i="7"/>
  <c r="M1023" i="7"/>
  <c r="N1023" i="7"/>
  <c r="AI1023" i="7"/>
  <c r="L1015" i="7"/>
  <c r="M1015" i="7"/>
  <c r="N1015" i="7"/>
  <c r="AI1015" i="7"/>
  <c r="L1007" i="7"/>
  <c r="M1007" i="7"/>
  <c r="N1007" i="7"/>
  <c r="AI1007" i="7"/>
  <c r="L999" i="7"/>
  <c r="M999" i="7"/>
  <c r="N999" i="7"/>
  <c r="AI999" i="7"/>
  <c r="L991" i="7"/>
  <c r="M991" i="7"/>
  <c r="N991" i="7"/>
  <c r="AI991" i="7"/>
  <c r="L983" i="7"/>
  <c r="M983" i="7"/>
  <c r="N983" i="7"/>
  <c r="AI983" i="7"/>
  <c r="L975" i="7"/>
  <c r="M975" i="7"/>
  <c r="N975" i="7"/>
  <c r="AI975" i="7"/>
  <c r="L967" i="7"/>
  <c r="M967" i="7"/>
  <c r="N967" i="7"/>
  <c r="AI967" i="7"/>
  <c r="L959" i="7"/>
  <c r="M959" i="7"/>
  <c r="N959" i="7"/>
  <c r="AI959" i="7"/>
  <c r="L951" i="7"/>
  <c r="M951" i="7"/>
  <c r="N951" i="7"/>
  <c r="AI951" i="7"/>
  <c r="L943" i="7"/>
  <c r="M943" i="7"/>
  <c r="N943" i="7"/>
  <c r="AI943" i="7"/>
  <c r="N1056" i="7"/>
  <c r="AI1056" i="7"/>
  <c r="L1056" i="7"/>
  <c r="M1056" i="7"/>
  <c r="N1048" i="7"/>
  <c r="AI1048" i="7"/>
  <c r="L1048" i="7"/>
  <c r="M1048" i="7"/>
  <c r="N1040" i="7"/>
  <c r="AI1040" i="7"/>
  <c r="L1040" i="7"/>
  <c r="M1040" i="7"/>
  <c r="N1032" i="7"/>
  <c r="AI1032" i="7"/>
  <c r="L1032" i="7"/>
  <c r="M1032" i="7"/>
  <c r="N1024" i="7"/>
  <c r="AI1024" i="7"/>
  <c r="L1024" i="7"/>
  <c r="M1024" i="7"/>
  <c r="N1016" i="7"/>
  <c r="AI1016" i="7"/>
  <c r="L1016" i="7"/>
  <c r="M1016" i="7"/>
  <c r="N1008" i="7"/>
  <c r="AI1008" i="7"/>
  <c r="L1008" i="7"/>
  <c r="M1008" i="7"/>
  <c r="N1000" i="7"/>
  <c r="AI1000" i="7"/>
  <c r="L1000" i="7"/>
  <c r="M1000" i="7"/>
  <c r="N992" i="7"/>
  <c r="AI992" i="7"/>
  <c r="L992" i="7"/>
  <c r="M992" i="7"/>
  <c r="N984" i="7"/>
  <c r="AI984" i="7"/>
  <c r="L984" i="7"/>
  <c r="M984" i="7"/>
  <c r="N976" i="7"/>
  <c r="AI976" i="7"/>
  <c r="L976" i="7"/>
  <c r="M976" i="7"/>
  <c r="N968" i="7"/>
  <c r="AI968" i="7"/>
  <c r="L968" i="7"/>
  <c r="M968" i="7"/>
  <c r="N960" i="7"/>
  <c r="AI960" i="7"/>
  <c r="L960" i="7"/>
  <c r="M960" i="7"/>
  <c r="N952" i="7"/>
  <c r="AI952" i="7"/>
  <c r="L952" i="7"/>
  <c r="M952" i="7"/>
  <c r="N944" i="7"/>
  <c r="AI944" i="7"/>
  <c r="L944" i="7"/>
  <c r="M944" i="7"/>
  <c r="M936" i="7"/>
  <c r="AI936" i="7"/>
  <c r="N936" i="7"/>
  <c r="L936" i="7"/>
  <c r="M928" i="7"/>
  <c r="AI928" i="7"/>
  <c r="N928" i="7"/>
  <c r="L928" i="7"/>
  <c r="M920" i="7"/>
  <c r="AI920" i="7"/>
  <c r="N920" i="7"/>
  <c r="L920" i="7"/>
  <c r="M912" i="7"/>
  <c r="AI912" i="7"/>
  <c r="N912" i="7"/>
  <c r="L912" i="7"/>
  <c r="M904" i="7"/>
  <c r="N904" i="7"/>
  <c r="AI904" i="7"/>
  <c r="L904" i="7"/>
  <c r="M896" i="7"/>
  <c r="N896" i="7"/>
  <c r="AI896" i="7"/>
  <c r="L896" i="7"/>
  <c r="L888" i="7"/>
  <c r="M888" i="7"/>
  <c r="N888" i="7"/>
  <c r="AI888" i="7"/>
  <c r="L880" i="7"/>
  <c r="M880" i="7"/>
  <c r="N880" i="7"/>
  <c r="AI880" i="7"/>
  <c r="L872" i="7"/>
  <c r="M872" i="7"/>
  <c r="N872" i="7"/>
  <c r="AI872" i="7"/>
  <c r="L864" i="7"/>
  <c r="M864" i="7"/>
  <c r="N864" i="7"/>
  <c r="AI864" i="7"/>
  <c r="L856" i="7"/>
  <c r="M856" i="7"/>
  <c r="N856" i="7"/>
  <c r="AI856" i="7"/>
  <c r="L848" i="7"/>
  <c r="M848" i="7"/>
  <c r="N848" i="7"/>
  <c r="AI848" i="7"/>
  <c r="L840" i="7"/>
  <c r="M840" i="7"/>
  <c r="N840" i="7"/>
  <c r="AI840" i="7"/>
  <c r="L832" i="7"/>
  <c r="M832" i="7"/>
  <c r="N832" i="7"/>
  <c r="AI832" i="7"/>
  <c r="L824" i="7"/>
  <c r="M824" i="7"/>
  <c r="N824" i="7"/>
  <c r="AI824" i="7"/>
  <c r="L816" i="7"/>
  <c r="M816" i="7"/>
  <c r="N816" i="7"/>
  <c r="AI816" i="7"/>
  <c r="L808" i="7"/>
  <c r="M808" i="7"/>
  <c r="N808" i="7"/>
  <c r="AI808" i="7"/>
  <c r="L800" i="7"/>
  <c r="M800" i="7"/>
  <c r="N800" i="7"/>
  <c r="AI800" i="7"/>
  <c r="L792" i="7"/>
  <c r="M792" i="7"/>
  <c r="N792" i="7"/>
  <c r="AI792" i="7"/>
  <c r="L784" i="7"/>
  <c r="M784" i="7"/>
  <c r="N784" i="7"/>
  <c r="AI784" i="7"/>
  <c r="L776" i="7"/>
  <c r="M776" i="7"/>
  <c r="N776" i="7"/>
  <c r="AI776" i="7"/>
  <c r="L768" i="7"/>
  <c r="M768" i="7"/>
  <c r="N768" i="7"/>
  <c r="AI768" i="7"/>
  <c r="L760" i="7"/>
  <c r="M760" i="7"/>
  <c r="N760" i="7"/>
  <c r="AI760" i="7"/>
  <c r="L752" i="7"/>
  <c r="M752" i="7"/>
  <c r="N752" i="7"/>
  <c r="AI752" i="7"/>
  <c r="L744" i="7"/>
  <c r="M744" i="7"/>
  <c r="N744" i="7"/>
  <c r="AI744" i="7"/>
  <c r="L736" i="7"/>
  <c r="M736" i="7"/>
  <c r="N736" i="7"/>
  <c r="AI736" i="7"/>
  <c r="L728" i="7"/>
  <c r="M728" i="7"/>
  <c r="N728" i="7"/>
  <c r="AI728" i="7"/>
  <c r="L720" i="7"/>
  <c r="M720" i="7"/>
  <c r="N720" i="7"/>
  <c r="AI720" i="7"/>
  <c r="L712" i="7"/>
  <c r="M712" i="7"/>
  <c r="N712" i="7"/>
  <c r="AI712" i="7"/>
  <c r="L704" i="7"/>
  <c r="M704" i="7"/>
  <c r="N704" i="7"/>
  <c r="AI704" i="7"/>
  <c r="L696" i="7"/>
  <c r="M696" i="7"/>
  <c r="N696" i="7"/>
  <c r="AI696" i="7"/>
  <c r="L688" i="7"/>
  <c r="M688" i="7"/>
  <c r="N688" i="7"/>
  <c r="AI688" i="7"/>
  <c r="L680" i="7"/>
  <c r="M680" i="7"/>
  <c r="N680" i="7"/>
  <c r="AI680" i="7"/>
  <c r="L672" i="7"/>
  <c r="M672" i="7"/>
  <c r="N672" i="7"/>
  <c r="AI672" i="7"/>
  <c r="L664" i="7"/>
  <c r="M664" i="7"/>
  <c r="N664" i="7"/>
  <c r="AI664" i="7"/>
  <c r="M657" i="7"/>
  <c r="L657" i="7"/>
  <c r="N657" i="7"/>
  <c r="AI657" i="7"/>
  <c r="M649" i="7"/>
  <c r="L649" i="7"/>
  <c r="N649" i="7"/>
  <c r="AI649" i="7"/>
  <c r="M641" i="7"/>
  <c r="L641" i="7"/>
  <c r="N641" i="7"/>
  <c r="AI641" i="7"/>
  <c r="AI937" i="7"/>
  <c r="M937" i="7"/>
  <c r="L937" i="7"/>
  <c r="N937" i="7"/>
  <c r="AI929" i="7"/>
  <c r="M929" i="7"/>
  <c r="L929" i="7"/>
  <c r="N929" i="7"/>
  <c r="AI921" i="7"/>
  <c r="M921" i="7"/>
  <c r="L921" i="7"/>
  <c r="N921" i="7"/>
  <c r="AI913" i="7"/>
  <c r="M913" i="7"/>
  <c r="L913" i="7"/>
  <c r="N913" i="7"/>
  <c r="AI905" i="7"/>
  <c r="L905" i="7"/>
  <c r="M905" i="7"/>
  <c r="N905" i="7"/>
  <c r="AI897" i="7"/>
  <c r="L897" i="7"/>
  <c r="M897" i="7"/>
  <c r="N897" i="7"/>
  <c r="N889" i="7"/>
  <c r="AI889" i="7"/>
  <c r="L889" i="7"/>
  <c r="M889" i="7"/>
  <c r="N881" i="7"/>
  <c r="AI881" i="7"/>
  <c r="L881" i="7"/>
  <c r="M881" i="7"/>
  <c r="N873" i="7"/>
  <c r="AI873" i="7"/>
  <c r="L873" i="7"/>
  <c r="M873" i="7"/>
  <c r="N865" i="7"/>
  <c r="AI865" i="7"/>
  <c r="L865" i="7"/>
  <c r="M865" i="7"/>
  <c r="N857" i="7"/>
  <c r="AI857" i="7"/>
  <c r="L857" i="7"/>
  <c r="M857" i="7"/>
  <c r="N849" i="7"/>
  <c r="AI849" i="7"/>
  <c r="L849" i="7"/>
  <c r="M849" i="7"/>
  <c r="N841" i="7"/>
  <c r="AI841" i="7"/>
  <c r="L841" i="7"/>
  <c r="M841" i="7"/>
  <c r="N833" i="7"/>
  <c r="AI833" i="7"/>
  <c r="L833" i="7"/>
  <c r="M833" i="7"/>
  <c r="N825" i="7"/>
  <c r="AI825" i="7"/>
  <c r="L825" i="7"/>
  <c r="M825" i="7"/>
  <c r="N817" i="7"/>
  <c r="AI817" i="7"/>
  <c r="L817" i="7"/>
  <c r="M817" i="7"/>
  <c r="N809" i="7"/>
  <c r="AI809" i="7"/>
  <c r="L809" i="7"/>
  <c r="M809" i="7"/>
  <c r="N801" i="7"/>
  <c r="AI801" i="7"/>
  <c r="L801" i="7"/>
  <c r="M801" i="7"/>
  <c r="N793" i="7"/>
  <c r="AI793" i="7"/>
  <c r="L793" i="7"/>
  <c r="M793" i="7"/>
  <c r="N785" i="7"/>
  <c r="AI785" i="7"/>
  <c r="L785" i="7"/>
  <c r="M785" i="7"/>
  <c r="N777" i="7"/>
  <c r="AI777" i="7"/>
  <c r="L777" i="7"/>
  <c r="M777" i="7"/>
  <c r="N769" i="7"/>
  <c r="AI769" i="7"/>
  <c r="L769" i="7"/>
  <c r="M769" i="7"/>
  <c r="N761" i="7"/>
  <c r="AI761" i="7"/>
  <c r="L761" i="7"/>
  <c r="M761" i="7"/>
  <c r="N753" i="7"/>
  <c r="AI753" i="7"/>
  <c r="L753" i="7"/>
  <c r="M753" i="7"/>
  <c r="N745" i="7"/>
  <c r="AI745" i="7"/>
  <c r="L745" i="7"/>
  <c r="M745" i="7"/>
  <c r="N737" i="7"/>
  <c r="AI737" i="7"/>
  <c r="L737" i="7"/>
  <c r="M737" i="7"/>
  <c r="N729" i="7"/>
  <c r="AI729" i="7"/>
  <c r="L729" i="7"/>
  <c r="M729" i="7"/>
  <c r="N721" i="7"/>
  <c r="AI721" i="7"/>
  <c r="L721" i="7"/>
  <c r="M721" i="7"/>
  <c r="N713" i="7"/>
  <c r="AI713" i="7"/>
  <c r="L713" i="7"/>
  <c r="M713" i="7"/>
  <c r="N705" i="7"/>
  <c r="AI705" i="7"/>
  <c r="L705" i="7"/>
  <c r="M705" i="7"/>
  <c r="N697" i="7"/>
  <c r="AI697" i="7"/>
  <c r="L697" i="7"/>
  <c r="M697" i="7"/>
  <c r="N689" i="7"/>
  <c r="AI689" i="7"/>
  <c r="L689" i="7"/>
  <c r="M689" i="7"/>
  <c r="N681" i="7"/>
  <c r="AI681" i="7"/>
  <c r="L681" i="7"/>
  <c r="M681" i="7"/>
  <c r="N673" i="7"/>
  <c r="AI673" i="7"/>
  <c r="L673" i="7"/>
  <c r="M673" i="7"/>
  <c r="N665" i="7"/>
  <c r="AI665" i="7"/>
  <c r="L665" i="7"/>
  <c r="M665" i="7"/>
  <c r="M631" i="7"/>
  <c r="AI631" i="7"/>
  <c r="L631" i="7"/>
  <c r="N631" i="7"/>
  <c r="M623" i="7"/>
  <c r="AI623" i="7"/>
  <c r="L623" i="7"/>
  <c r="N623" i="7"/>
  <c r="M615" i="7"/>
  <c r="AI615" i="7"/>
  <c r="L615" i="7"/>
  <c r="N615" i="7"/>
  <c r="M607" i="7"/>
  <c r="AI607" i="7"/>
  <c r="L607" i="7"/>
  <c r="N607" i="7"/>
  <c r="M599" i="7"/>
  <c r="AI599" i="7"/>
  <c r="L599" i="7"/>
  <c r="N599" i="7"/>
  <c r="AI662" i="7"/>
  <c r="M662" i="7"/>
  <c r="N662" i="7"/>
  <c r="L662" i="7"/>
  <c r="AI654" i="7"/>
  <c r="M654" i="7"/>
  <c r="N654" i="7"/>
  <c r="L654" i="7"/>
  <c r="AI646" i="7"/>
  <c r="M646" i="7"/>
  <c r="N646" i="7"/>
  <c r="L646" i="7"/>
  <c r="AI638" i="7"/>
  <c r="M638" i="7"/>
  <c r="N638" i="7"/>
  <c r="L638" i="7"/>
  <c r="AI630" i="7"/>
  <c r="M630" i="7"/>
  <c r="L630" i="7"/>
  <c r="N630" i="7"/>
  <c r="AI622" i="7"/>
  <c r="M622" i="7"/>
  <c r="L622" i="7"/>
  <c r="N622" i="7"/>
  <c r="AI614" i="7"/>
  <c r="M614" i="7"/>
  <c r="L614" i="7"/>
  <c r="N614" i="7"/>
  <c r="AI606" i="7"/>
  <c r="M606" i="7"/>
  <c r="L606" i="7"/>
  <c r="N606" i="7"/>
  <c r="AI598" i="7"/>
  <c r="L598" i="7"/>
  <c r="M598" i="7"/>
  <c r="N598" i="7"/>
  <c r="K11" i="7"/>
  <c r="K15" i="7"/>
  <c r="K19" i="7"/>
  <c r="K23" i="7"/>
  <c r="K27" i="7"/>
  <c r="K14" i="7"/>
  <c r="K18" i="7"/>
  <c r="K22" i="7"/>
  <c r="K26" i="7"/>
  <c r="K30" i="7"/>
  <c r="K32" i="7"/>
  <c r="K34" i="7"/>
  <c r="K36" i="7"/>
  <c r="K38" i="7"/>
  <c r="K40" i="7"/>
  <c r="K42" i="7"/>
  <c r="K44" i="7"/>
  <c r="K46" i="7"/>
  <c r="K48" i="7"/>
  <c r="K50" i="7"/>
  <c r="K52" i="7"/>
  <c r="K54" i="7"/>
  <c r="K56" i="7"/>
  <c r="K58" i="7"/>
  <c r="K60" i="7"/>
  <c r="K62" i="7"/>
  <c r="K64" i="7"/>
  <c r="K66" i="7"/>
  <c r="K68" i="7"/>
  <c r="K70" i="7"/>
  <c r="K72" i="7"/>
  <c r="K74" i="7"/>
  <c r="K76" i="7"/>
  <c r="K78" i="7"/>
  <c r="K80" i="7"/>
  <c r="K82" i="7"/>
  <c r="K84" i="7"/>
  <c r="K86" i="7"/>
  <c r="K88" i="7"/>
  <c r="K90" i="7"/>
  <c r="K92" i="7"/>
  <c r="K94" i="7"/>
  <c r="K96" i="7"/>
  <c r="K98" i="7"/>
  <c r="K100" i="7"/>
  <c r="K102" i="7"/>
  <c r="K104" i="7"/>
  <c r="K106" i="7"/>
  <c r="K108" i="7"/>
  <c r="K110" i="7"/>
  <c r="K112" i="7"/>
  <c r="K114" i="7"/>
  <c r="K116" i="7"/>
  <c r="K118" i="7"/>
  <c r="K120" i="7"/>
  <c r="K122" i="7"/>
  <c r="K124" i="7"/>
  <c r="K126" i="7"/>
  <c r="K128" i="7"/>
  <c r="K130" i="7"/>
  <c r="K132" i="7"/>
  <c r="K134" i="7"/>
  <c r="K136" i="7"/>
  <c r="K138" i="7"/>
  <c r="K140" i="7"/>
  <c r="K142" i="7"/>
  <c r="K144" i="7"/>
  <c r="K146" i="7"/>
  <c r="K148" i="7"/>
  <c r="K150" i="7"/>
  <c r="K152" i="7"/>
  <c r="K154" i="7"/>
  <c r="K156" i="7"/>
  <c r="K158" i="7"/>
  <c r="K160" i="7"/>
  <c r="K162" i="7"/>
  <c r="K164" i="7"/>
  <c r="K166" i="7"/>
  <c r="K168" i="7"/>
  <c r="K170" i="7"/>
  <c r="K172" i="7"/>
  <c r="K174" i="7"/>
  <c r="K176" i="7"/>
  <c r="K178" i="7"/>
  <c r="K180" i="7"/>
  <c r="K182" i="7"/>
  <c r="K184" i="7"/>
  <c r="K186" i="7"/>
  <c r="K188" i="7"/>
  <c r="K190" i="7"/>
  <c r="K192" i="7"/>
  <c r="K194" i="7"/>
  <c r="K196" i="7"/>
  <c r="K198" i="7"/>
  <c r="K200" i="7"/>
  <c r="K202" i="7"/>
  <c r="K204" i="7"/>
  <c r="K206" i="7"/>
  <c r="K208" i="7"/>
  <c r="K210" i="7"/>
  <c r="K212" i="7"/>
  <c r="K214" i="7"/>
  <c r="K216" i="7"/>
  <c r="K218" i="7"/>
  <c r="K220" i="7"/>
  <c r="K222" i="7"/>
  <c r="K224" i="7"/>
  <c r="K226" i="7"/>
  <c r="K228" i="7"/>
  <c r="K230" i="7"/>
  <c r="K232" i="7"/>
  <c r="K234" i="7"/>
  <c r="K10" i="7"/>
  <c r="K13" i="7"/>
  <c r="K17" i="7"/>
  <c r="K21" i="7"/>
  <c r="K25" i="7"/>
  <c r="K29" i="7"/>
  <c r="K12" i="7"/>
  <c r="K16" i="7"/>
  <c r="K20" i="7"/>
  <c r="K24" i="7"/>
  <c r="K28" i="7"/>
  <c r="K31" i="7"/>
  <c r="K33" i="7"/>
  <c r="K35" i="7"/>
  <c r="K37" i="7"/>
  <c r="K39" i="7"/>
  <c r="K41" i="7"/>
  <c r="K43" i="7"/>
  <c r="K45" i="7"/>
  <c r="K47" i="7"/>
  <c r="K49" i="7"/>
  <c r="K51" i="7"/>
  <c r="K53" i="7"/>
  <c r="K55" i="7"/>
  <c r="K57" i="7"/>
  <c r="K59" i="7"/>
  <c r="K61" i="7"/>
  <c r="K63" i="7"/>
  <c r="K65" i="7"/>
  <c r="K67" i="7"/>
  <c r="K69" i="7"/>
  <c r="K71" i="7"/>
  <c r="K73" i="7"/>
  <c r="K75" i="7"/>
  <c r="K77" i="7"/>
  <c r="K79" i="7"/>
  <c r="K81" i="7"/>
  <c r="K83" i="7"/>
  <c r="K85" i="7"/>
  <c r="K87" i="7"/>
  <c r="K89" i="7"/>
  <c r="K91" i="7"/>
  <c r="K93" i="7"/>
  <c r="K95" i="7"/>
  <c r="K97" i="7"/>
  <c r="K99" i="7"/>
  <c r="K101" i="7"/>
  <c r="K103" i="7"/>
  <c r="K105" i="7"/>
  <c r="K107" i="7"/>
  <c r="K109" i="7"/>
  <c r="K111" i="7"/>
  <c r="K113" i="7"/>
  <c r="K115" i="7"/>
  <c r="K117" i="7"/>
  <c r="K119" i="7"/>
  <c r="K121" i="7"/>
  <c r="K123" i="7"/>
  <c r="K125" i="7"/>
  <c r="K127" i="7"/>
  <c r="K129" i="7"/>
  <c r="K131" i="7"/>
  <c r="K133" i="7"/>
  <c r="K135" i="7"/>
  <c r="K137" i="7"/>
  <c r="K139" i="7"/>
  <c r="K141" i="7"/>
  <c r="K143" i="7"/>
  <c r="K145" i="7"/>
  <c r="K147" i="7"/>
  <c r="K149" i="7"/>
  <c r="K151" i="7"/>
  <c r="K153" i="7"/>
  <c r="K155" i="7"/>
  <c r="K157" i="7"/>
  <c r="K159" i="7"/>
  <c r="K161" i="7"/>
  <c r="K163" i="7"/>
  <c r="K165" i="7"/>
  <c r="K167" i="7"/>
  <c r="K169" i="7"/>
  <c r="K171" i="7"/>
  <c r="K173" i="7"/>
  <c r="K175" i="7"/>
  <c r="K177" i="7"/>
  <c r="K179" i="7"/>
  <c r="K181" i="7"/>
  <c r="K183" i="7"/>
  <c r="K185" i="7"/>
  <c r="K187" i="7"/>
  <c r="K189" i="7"/>
  <c r="K191" i="7"/>
  <c r="K193" i="7"/>
  <c r="K195" i="7"/>
  <c r="K197" i="7"/>
  <c r="K199" i="7"/>
  <c r="K201" i="7"/>
  <c r="K203" i="7"/>
  <c r="K205" i="7"/>
  <c r="K207" i="7"/>
  <c r="K209" i="7"/>
  <c r="K211" i="7"/>
  <c r="K213" i="7"/>
  <c r="K215" i="7"/>
  <c r="K217" i="7"/>
  <c r="K219" i="7"/>
  <c r="K221" i="7"/>
  <c r="K223" i="7"/>
  <c r="K225" i="7"/>
  <c r="K227" i="7"/>
  <c r="K229" i="7"/>
  <c r="K231" i="7"/>
  <c r="K233" i="7"/>
  <c r="K235" i="7"/>
  <c r="K237" i="7"/>
  <c r="K239" i="7"/>
  <c r="K241" i="7"/>
  <c r="K243" i="7"/>
  <c r="K245" i="7"/>
  <c r="K247" i="7"/>
  <c r="K249" i="7"/>
  <c r="K252" i="7"/>
  <c r="K254" i="7"/>
  <c r="K256" i="7"/>
  <c r="K258" i="7"/>
  <c r="K260" i="7"/>
  <c r="K262" i="7"/>
  <c r="K264" i="7"/>
  <c r="K266" i="7"/>
  <c r="K268" i="7"/>
  <c r="K270" i="7"/>
  <c r="K272" i="7"/>
  <c r="K274" i="7"/>
  <c r="K276" i="7"/>
  <c r="K278" i="7"/>
  <c r="K280" i="7"/>
  <c r="K282" i="7"/>
  <c r="K284" i="7"/>
  <c r="K286" i="7"/>
  <c r="K288" i="7"/>
  <c r="K290" i="7"/>
  <c r="K292" i="7"/>
  <c r="K294" i="7"/>
  <c r="K296" i="7"/>
  <c r="K298" i="7"/>
  <c r="K300" i="7"/>
  <c r="K302" i="7"/>
  <c r="K304" i="7"/>
  <c r="K306" i="7"/>
  <c r="K308" i="7"/>
  <c r="K310" i="7"/>
  <c r="K312" i="7"/>
  <c r="K314" i="7"/>
  <c r="K316" i="7"/>
  <c r="K318" i="7"/>
  <c r="K320" i="7"/>
  <c r="K322" i="7"/>
  <c r="K324" i="7"/>
  <c r="K326" i="7"/>
  <c r="K328" i="7"/>
  <c r="K330" i="7"/>
  <c r="K332" i="7"/>
  <c r="K334" i="7"/>
  <c r="K336" i="7"/>
  <c r="K338" i="7"/>
  <c r="K340" i="7"/>
  <c r="K342" i="7"/>
  <c r="K344" i="7"/>
  <c r="K346" i="7"/>
  <c r="K348" i="7"/>
  <c r="K350" i="7"/>
  <c r="K352" i="7"/>
  <c r="K354" i="7"/>
  <c r="K356" i="7"/>
  <c r="K358" i="7"/>
  <c r="K360" i="7"/>
  <c r="K362" i="7"/>
  <c r="K364" i="7"/>
  <c r="K366" i="7"/>
  <c r="K368" i="7"/>
  <c r="K370" i="7"/>
  <c r="K372" i="7"/>
  <c r="K374" i="7"/>
  <c r="K376" i="7"/>
  <c r="K378" i="7"/>
  <c r="K380" i="7"/>
  <c r="K382" i="7"/>
  <c r="K384" i="7"/>
  <c r="K386" i="7"/>
  <c r="K388" i="7"/>
  <c r="K390" i="7"/>
  <c r="K392" i="7"/>
  <c r="K394" i="7"/>
  <c r="K396" i="7"/>
  <c r="K398" i="7"/>
  <c r="K400" i="7"/>
  <c r="K402" i="7"/>
  <c r="K404" i="7"/>
  <c r="K406" i="7"/>
  <c r="K408" i="7"/>
  <c r="K410" i="7"/>
  <c r="K412" i="7"/>
  <c r="K414" i="7"/>
  <c r="K416" i="7"/>
  <c r="K418" i="7"/>
  <c r="K420" i="7"/>
  <c r="K422" i="7"/>
  <c r="K424" i="7"/>
  <c r="K426" i="7"/>
  <c r="K428" i="7"/>
  <c r="K430" i="7"/>
  <c r="K432" i="7"/>
  <c r="K434" i="7"/>
  <c r="K436" i="7"/>
  <c r="K438" i="7"/>
  <c r="K440" i="7"/>
  <c r="K442" i="7"/>
  <c r="K444" i="7"/>
  <c r="K446" i="7"/>
  <c r="K448" i="7"/>
  <c r="K450" i="7"/>
  <c r="K452" i="7"/>
  <c r="K454" i="7"/>
  <c r="K456" i="7"/>
  <c r="K458" i="7"/>
  <c r="K460" i="7"/>
  <c r="K462" i="7"/>
  <c r="K464" i="7"/>
  <c r="K466" i="7"/>
  <c r="K468" i="7"/>
  <c r="K470" i="7"/>
  <c r="K472" i="7"/>
  <c r="K474" i="7"/>
  <c r="K476" i="7"/>
  <c r="K478" i="7"/>
  <c r="K480" i="7"/>
  <c r="K482" i="7"/>
  <c r="K484" i="7"/>
  <c r="K486" i="7"/>
  <c r="K488" i="7"/>
  <c r="K490" i="7"/>
  <c r="K492" i="7"/>
  <c r="K494" i="7"/>
  <c r="K496" i="7"/>
  <c r="K498" i="7"/>
  <c r="K500" i="7"/>
  <c r="K502" i="7"/>
  <c r="K504" i="7"/>
  <c r="K506" i="7"/>
  <c r="K508" i="7"/>
  <c r="K510" i="7"/>
  <c r="K512" i="7"/>
  <c r="K514" i="7"/>
  <c r="K516" i="7"/>
  <c r="K518" i="7"/>
  <c r="K520" i="7"/>
  <c r="K522" i="7"/>
  <c r="K524" i="7"/>
  <c r="K526" i="7"/>
  <c r="K528" i="7"/>
  <c r="K530" i="7"/>
  <c r="K532" i="7"/>
  <c r="K534" i="7"/>
  <c r="K536" i="7"/>
  <c r="K538" i="7"/>
  <c r="K540" i="7"/>
  <c r="K542" i="7"/>
  <c r="K544" i="7"/>
  <c r="K546" i="7"/>
  <c r="K548" i="7"/>
  <c r="K550" i="7"/>
  <c r="K552" i="7"/>
  <c r="K554" i="7"/>
  <c r="K556" i="7"/>
  <c r="K558" i="7"/>
  <c r="K560" i="7"/>
  <c r="K562" i="7"/>
  <c r="K564" i="7"/>
  <c r="K566" i="7"/>
  <c r="K568" i="7"/>
  <c r="K570" i="7"/>
  <c r="K572" i="7"/>
  <c r="K574" i="7"/>
  <c r="K576" i="7"/>
  <c r="K578" i="7"/>
  <c r="K580" i="7"/>
  <c r="K582" i="7"/>
  <c r="K584" i="7"/>
  <c r="K586" i="7"/>
  <c r="K588" i="7"/>
  <c r="K590" i="7"/>
  <c r="K236" i="7"/>
  <c r="K238" i="7"/>
  <c r="K240" i="7"/>
  <c r="K242" i="7"/>
  <c r="K244" i="7"/>
  <c r="K246" i="7"/>
  <c r="K248" i="7"/>
  <c r="K250" i="7"/>
  <c r="K251" i="7"/>
  <c r="K253" i="7"/>
  <c r="K255" i="7"/>
  <c r="K257" i="7"/>
  <c r="K259" i="7"/>
  <c r="K261" i="7"/>
  <c r="K263" i="7"/>
  <c r="K265" i="7"/>
  <c r="K267" i="7"/>
  <c r="K269" i="7"/>
  <c r="K271" i="7"/>
  <c r="K273" i="7"/>
  <c r="K275" i="7"/>
  <c r="K277" i="7"/>
  <c r="K279" i="7"/>
  <c r="K281" i="7"/>
  <c r="K283" i="7"/>
  <c r="K285" i="7"/>
  <c r="K287" i="7"/>
  <c r="K289" i="7"/>
  <c r="K291" i="7"/>
  <c r="K293" i="7"/>
  <c r="K295" i="7"/>
  <c r="K297" i="7"/>
  <c r="K299" i="7"/>
  <c r="K301" i="7"/>
  <c r="K303" i="7"/>
  <c r="K305" i="7"/>
  <c r="K307" i="7"/>
  <c r="K309" i="7"/>
  <c r="K311" i="7"/>
  <c r="K313" i="7"/>
  <c r="K315" i="7"/>
  <c r="K317" i="7"/>
  <c r="K319" i="7"/>
  <c r="K321" i="7"/>
  <c r="K323" i="7"/>
  <c r="K325" i="7"/>
  <c r="K327" i="7"/>
  <c r="K329" i="7"/>
  <c r="K331" i="7"/>
  <c r="K333" i="7"/>
  <c r="K335" i="7"/>
  <c r="K337" i="7"/>
  <c r="K339" i="7"/>
  <c r="K341" i="7"/>
  <c r="K343" i="7"/>
  <c r="K345" i="7"/>
  <c r="K347" i="7"/>
  <c r="K349" i="7"/>
  <c r="K351" i="7"/>
  <c r="K353" i="7"/>
  <c r="K355" i="7"/>
  <c r="K357" i="7"/>
  <c r="K359" i="7"/>
  <c r="K361" i="7"/>
  <c r="K363" i="7"/>
  <c r="K365" i="7"/>
  <c r="K367" i="7"/>
  <c r="K369" i="7"/>
  <c r="K371" i="7"/>
  <c r="K373" i="7"/>
  <c r="K375" i="7"/>
  <c r="K377" i="7"/>
  <c r="K379" i="7"/>
  <c r="K381" i="7"/>
  <c r="K383" i="7"/>
  <c r="K385" i="7"/>
  <c r="K387" i="7"/>
  <c r="K389" i="7"/>
  <c r="K391" i="7"/>
  <c r="K393" i="7"/>
  <c r="K395" i="7"/>
  <c r="K397" i="7"/>
  <c r="K399" i="7"/>
  <c r="K401" i="7"/>
  <c r="K403" i="7"/>
  <c r="K405" i="7"/>
  <c r="K407" i="7"/>
  <c r="K409" i="7"/>
  <c r="K411" i="7"/>
  <c r="K413" i="7"/>
  <c r="K415" i="7"/>
  <c r="K417" i="7"/>
  <c r="K419" i="7"/>
  <c r="K421" i="7"/>
  <c r="K423" i="7"/>
  <c r="K425" i="7"/>
  <c r="K427" i="7"/>
  <c r="K429" i="7"/>
  <c r="K431" i="7"/>
  <c r="K433" i="7"/>
  <c r="K435" i="7"/>
  <c r="K437" i="7"/>
  <c r="K439" i="7"/>
  <c r="K441" i="7"/>
  <c r="K443" i="7"/>
  <c r="K445" i="7"/>
  <c r="K447" i="7"/>
  <c r="K449" i="7"/>
  <c r="K451" i="7"/>
  <c r="K453" i="7"/>
  <c r="K455" i="7"/>
  <c r="K457" i="7"/>
  <c r="K459" i="7"/>
  <c r="K461" i="7"/>
  <c r="K463" i="7"/>
  <c r="K465" i="7"/>
  <c r="K467" i="7"/>
  <c r="K469" i="7"/>
  <c r="K471" i="7"/>
  <c r="K473" i="7"/>
  <c r="K475" i="7"/>
  <c r="K477" i="7"/>
  <c r="K479" i="7"/>
  <c r="K481" i="7"/>
  <c r="K483" i="7"/>
  <c r="K485" i="7"/>
  <c r="K487" i="7"/>
  <c r="K489" i="7"/>
  <c r="K491" i="7"/>
  <c r="K493" i="7"/>
  <c r="K495" i="7"/>
  <c r="K497" i="7"/>
  <c r="K499" i="7"/>
  <c r="K501" i="7"/>
  <c r="K503" i="7"/>
  <c r="K505" i="7"/>
  <c r="K507" i="7"/>
  <c r="K509" i="7"/>
  <c r="K511" i="7"/>
  <c r="K513" i="7"/>
  <c r="K515" i="7"/>
  <c r="K517" i="7"/>
  <c r="K519" i="7"/>
  <c r="K521" i="7"/>
  <c r="K523" i="7"/>
  <c r="K525" i="7"/>
  <c r="K527" i="7"/>
  <c r="K529" i="7"/>
  <c r="K531" i="7"/>
  <c r="K533" i="7"/>
  <c r="K535" i="7"/>
  <c r="K537" i="7"/>
  <c r="K539" i="7"/>
  <c r="K541" i="7"/>
  <c r="K543" i="7"/>
  <c r="K545" i="7"/>
  <c r="K547" i="7"/>
  <c r="K549" i="7"/>
  <c r="K551" i="7"/>
  <c r="K553" i="7"/>
  <c r="K555" i="7"/>
  <c r="K557" i="7"/>
  <c r="K559" i="7"/>
  <c r="K561" i="7"/>
  <c r="K563" i="7"/>
  <c r="K565" i="7"/>
  <c r="K567" i="7"/>
  <c r="K569" i="7"/>
  <c r="K571" i="7"/>
  <c r="K573" i="7"/>
  <c r="K575" i="7"/>
  <c r="K577" i="7"/>
  <c r="K579" i="7"/>
  <c r="K581" i="7"/>
  <c r="K583" i="7"/>
  <c r="K585" i="7"/>
  <c r="K587" i="7"/>
  <c r="K589" i="7"/>
  <c r="K591" i="7"/>
  <c r="L1061" i="7"/>
  <c r="M1061" i="7"/>
  <c r="N1061" i="7"/>
  <c r="AI1061" i="7"/>
  <c r="L1053" i="7"/>
  <c r="M1053" i="7"/>
  <c r="N1053" i="7"/>
  <c r="AI1053" i="7"/>
  <c r="L1045" i="7"/>
  <c r="M1045" i="7"/>
  <c r="N1045" i="7"/>
  <c r="AI1045" i="7"/>
  <c r="L1037" i="7"/>
  <c r="M1037" i="7"/>
  <c r="N1037" i="7"/>
  <c r="AI1037" i="7"/>
  <c r="L1029" i="7"/>
  <c r="M1029" i="7"/>
  <c r="N1029" i="7"/>
  <c r="AI1029" i="7"/>
  <c r="L1021" i="7"/>
  <c r="M1021" i="7"/>
  <c r="N1021" i="7"/>
  <c r="AI1021" i="7"/>
  <c r="L1013" i="7"/>
  <c r="M1013" i="7"/>
  <c r="N1013" i="7"/>
  <c r="AI1013" i="7"/>
  <c r="L1005" i="7"/>
  <c r="M1005" i="7"/>
  <c r="N1005" i="7"/>
  <c r="AI1005" i="7"/>
  <c r="L997" i="7"/>
  <c r="M997" i="7"/>
  <c r="N997" i="7"/>
  <c r="AI997" i="7"/>
  <c r="L989" i="7"/>
  <c r="M989" i="7"/>
  <c r="N989" i="7"/>
  <c r="AI989" i="7"/>
  <c r="L981" i="7"/>
  <c r="M981" i="7"/>
  <c r="N981" i="7"/>
  <c r="AI981" i="7"/>
  <c r="L973" i="7"/>
  <c r="M973" i="7"/>
  <c r="N973" i="7"/>
  <c r="AI973" i="7"/>
  <c r="L965" i="7"/>
  <c r="M965" i="7"/>
  <c r="N965" i="7"/>
  <c r="AI965" i="7"/>
  <c r="L957" i="7"/>
  <c r="M957" i="7"/>
  <c r="N957" i="7"/>
  <c r="AI957" i="7"/>
  <c r="L949" i="7"/>
  <c r="M949" i="7"/>
  <c r="N949" i="7"/>
  <c r="AI949" i="7"/>
  <c r="N1062" i="7"/>
  <c r="AI1062" i="7"/>
  <c r="L1062" i="7"/>
  <c r="M1062" i="7"/>
  <c r="N1054" i="7"/>
  <c r="AI1054" i="7"/>
  <c r="L1054" i="7"/>
  <c r="M1054" i="7"/>
  <c r="N1046" i="7"/>
  <c r="AI1046" i="7"/>
  <c r="L1046" i="7"/>
  <c r="M1046" i="7"/>
  <c r="N1038" i="7"/>
  <c r="AI1038" i="7"/>
  <c r="L1038" i="7"/>
  <c r="M1038" i="7"/>
  <c r="N1030" i="7"/>
  <c r="AI1030" i="7"/>
  <c r="L1030" i="7"/>
  <c r="M1030" i="7"/>
  <c r="N1022" i="7"/>
  <c r="AI1022" i="7"/>
  <c r="L1022" i="7"/>
  <c r="M1022" i="7"/>
  <c r="N1014" i="7"/>
  <c r="AI1014" i="7"/>
  <c r="L1014" i="7"/>
  <c r="M1014" i="7"/>
  <c r="N1006" i="7"/>
  <c r="AI1006" i="7"/>
  <c r="L1006" i="7"/>
  <c r="M1006" i="7"/>
  <c r="N998" i="7"/>
  <c r="AI998" i="7"/>
  <c r="L998" i="7"/>
  <c r="M998" i="7"/>
  <c r="N990" i="7"/>
  <c r="AI990" i="7"/>
  <c r="L990" i="7"/>
  <c r="M990" i="7"/>
  <c r="N982" i="7"/>
  <c r="AI982" i="7"/>
  <c r="L982" i="7"/>
  <c r="M982" i="7"/>
  <c r="N974" i="7"/>
  <c r="AI974" i="7"/>
  <c r="L974" i="7"/>
  <c r="M974" i="7"/>
  <c r="N966" i="7"/>
  <c r="AI966" i="7"/>
  <c r="L966" i="7"/>
  <c r="M966" i="7"/>
  <c r="N958" i="7"/>
  <c r="AI958" i="7"/>
  <c r="L958" i="7"/>
  <c r="M958" i="7"/>
  <c r="N950" i="7"/>
  <c r="AI950" i="7"/>
  <c r="L950" i="7"/>
  <c r="M950" i="7"/>
  <c r="N942" i="7"/>
  <c r="AI942" i="7"/>
  <c r="L942" i="7"/>
  <c r="M942" i="7"/>
  <c r="M934" i="7"/>
  <c r="AI934" i="7"/>
  <c r="N934" i="7"/>
  <c r="L934" i="7"/>
  <c r="M926" i="7"/>
  <c r="AI926" i="7"/>
  <c r="N926" i="7"/>
  <c r="L926" i="7"/>
  <c r="M918" i="7"/>
  <c r="AI918" i="7"/>
  <c r="N918" i="7"/>
  <c r="L918" i="7"/>
  <c r="M910" i="7"/>
  <c r="AI910" i="7"/>
  <c r="N910" i="7"/>
  <c r="L910" i="7"/>
  <c r="M902" i="7"/>
  <c r="N902" i="7"/>
  <c r="AI902" i="7"/>
  <c r="L902" i="7"/>
  <c r="L894" i="7"/>
  <c r="M894" i="7"/>
  <c r="N894" i="7"/>
  <c r="AI894" i="7"/>
  <c r="L886" i="7"/>
  <c r="M886" i="7"/>
  <c r="N886" i="7"/>
  <c r="AI886" i="7"/>
  <c r="L878" i="7"/>
  <c r="M878" i="7"/>
  <c r="N878" i="7"/>
  <c r="AI878" i="7"/>
  <c r="L870" i="7"/>
  <c r="M870" i="7"/>
  <c r="N870" i="7"/>
  <c r="AI870" i="7"/>
  <c r="L862" i="7"/>
  <c r="M862" i="7"/>
  <c r="N862" i="7"/>
  <c r="AI862" i="7"/>
  <c r="L854" i="7"/>
  <c r="M854" i="7"/>
  <c r="N854" i="7"/>
  <c r="AI854" i="7"/>
  <c r="L846" i="7"/>
  <c r="M846" i="7"/>
  <c r="N846" i="7"/>
  <c r="AI846" i="7"/>
  <c r="L838" i="7"/>
  <c r="M838" i="7"/>
  <c r="N838" i="7"/>
  <c r="AI838" i="7"/>
  <c r="L830" i="7"/>
  <c r="M830" i="7"/>
  <c r="N830" i="7"/>
  <c r="AI830" i="7"/>
  <c r="L822" i="7"/>
  <c r="M822" i="7"/>
  <c r="N822" i="7"/>
  <c r="AI822" i="7"/>
  <c r="L814" i="7"/>
  <c r="M814" i="7"/>
  <c r="N814" i="7"/>
  <c r="AI814" i="7"/>
  <c r="L806" i="7"/>
  <c r="M806" i="7"/>
  <c r="N806" i="7"/>
  <c r="AI806" i="7"/>
  <c r="L798" i="7"/>
  <c r="M798" i="7"/>
  <c r="N798" i="7"/>
  <c r="AI798" i="7"/>
  <c r="L790" i="7"/>
  <c r="M790" i="7"/>
  <c r="N790" i="7"/>
  <c r="AI790" i="7"/>
  <c r="L782" i="7"/>
  <c r="M782" i="7"/>
  <c r="N782" i="7"/>
  <c r="AI782" i="7"/>
  <c r="L774" i="7"/>
  <c r="M774" i="7"/>
  <c r="N774" i="7"/>
  <c r="AI774" i="7"/>
  <c r="L766" i="7"/>
  <c r="M766" i="7"/>
  <c r="N766" i="7"/>
  <c r="AI766" i="7"/>
  <c r="L758" i="7"/>
  <c r="M758" i="7"/>
  <c r="N758" i="7"/>
  <c r="AI758" i="7"/>
  <c r="L750" i="7"/>
  <c r="M750" i="7"/>
  <c r="N750" i="7"/>
  <c r="AI750" i="7"/>
  <c r="L742" i="7"/>
  <c r="M742" i="7"/>
  <c r="N742" i="7"/>
  <c r="AI742" i="7"/>
  <c r="L734" i="7"/>
  <c r="M734" i="7"/>
  <c r="N734" i="7"/>
  <c r="AI734" i="7"/>
  <c r="L726" i="7"/>
  <c r="M726" i="7"/>
  <c r="N726" i="7"/>
  <c r="AI726" i="7"/>
  <c r="L718" i="7"/>
  <c r="M718" i="7"/>
  <c r="N718" i="7"/>
  <c r="AI718" i="7"/>
  <c r="L710" i="7"/>
  <c r="M710" i="7"/>
  <c r="N710" i="7"/>
  <c r="AI710" i="7"/>
  <c r="L702" i="7"/>
  <c r="M702" i="7"/>
  <c r="N702" i="7"/>
  <c r="AI702" i="7"/>
  <c r="L694" i="7"/>
  <c r="M694" i="7"/>
  <c r="N694" i="7"/>
  <c r="AI694" i="7"/>
  <c r="L686" i="7"/>
  <c r="M686" i="7"/>
  <c r="N686" i="7"/>
  <c r="AI686" i="7"/>
  <c r="L678" i="7"/>
  <c r="M678" i="7"/>
  <c r="N678" i="7"/>
  <c r="AI678" i="7"/>
  <c r="L670" i="7"/>
  <c r="M670" i="7"/>
  <c r="N670" i="7"/>
  <c r="AI670" i="7"/>
  <c r="M663" i="7"/>
  <c r="L663" i="7"/>
  <c r="N663" i="7"/>
  <c r="AI663" i="7"/>
  <c r="M655" i="7"/>
  <c r="L655" i="7"/>
  <c r="N655" i="7"/>
  <c r="AI655" i="7"/>
  <c r="M647" i="7"/>
  <c r="L647" i="7"/>
  <c r="N647" i="7"/>
  <c r="AI647" i="7"/>
  <c r="M639" i="7"/>
  <c r="L639" i="7"/>
  <c r="N639" i="7"/>
  <c r="AI639" i="7"/>
  <c r="AI935" i="7"/>
  <c r="M935" i="7"/>
  <c r="L935" i="7"/>
  <c r="N935" i="7"/>
  <c r="AI927" i="7"/>
  <c r="M927" i="7"/>
  <c r="L927" i="7"/>
  <c r="N927" i="7"/>
  <c r="AI919" i="7"/>
  <c r="M919" i="7"/>
  <c r="L919" i="7"/>
  <c r="N919" i="7"/>
  <c r="AI911" i="7"/>
  <c r="M911" i="7"/>
  <c r="L911" i="7"/>
  <c r="N911" i="7"/>
  <c r="AI903" i="7"/>
  <c r="L903" i="7"/>
  <c r="M903" i="7"/>
  <c r="N903" i="7"/>
  <c r="N895" i="7"/>
  <c r="AI895" i="7"/>
  <c r="L895" i="7"/>
  <c r="M895" i="7"/>
  <c r="N887" i="7"/>
  <c r="AI887" i="7"/>
  <c r="L887" i="7"/>
  <c r="M887" i="7"/>
  <c r="N879" i="7"/>
  <c r="AI879" i="7"/>
  <c r="L879" i="7"/>
  <c r="M879" i="7"/>
  <c r="N871" i="7"/>
  <c r="AI871" i="7"/>
  <c r="L871" i="7"/>
  <c r="M871" i="7"/>
  <c r="N863" i="7"/>
  <c r="AI863" i="7"/>
  <c r="L863" i="7"/>
  <c r="M863" i="7"/>
  <c r="N855" i="7"/>
  <c r="AI855" i="7"/>
  <c r="L855" i="7"/>
  <c r="M855" i="7"/>
  <c r="N847" i="7"/>
  <c r="AI847" i="7"/>
  <c r="L847" i="7"/>
  <c r="M847" i="7"/>
  <c r="N839" i="7"/>
  <c r="AI839" i="7"/>
  <c r="L839" i="7"/>
  <c r="M839" i="7"/>
  <c r="N831" i="7"/>
  <c r="AI831" i="7"/>
  <c r="L831" i="7"/>
  <c r="M831" i="7"/>
  <c r="N823" i="7"/>
  <c r="AI823" i="7"/>
  <c r="L823" i="7"/>
  <c r="M823" i="7"/>
  <c r="N815" i="7"/>
  <c r="AI815" i="7"/>
  <c r="L815" i="7"/>
  <c r="M815" i="7"/>
  <c r="N807" i="7"/>
  <c r="AI807" i="7"/>
  <c r="L807" i="7"/>
  <c r="M807" i="7"/>
  <c r="N799" i="7"/>
  <c r="AI799" i="7"/>
  <c r="L799" i="7"/>
  <c r="M799" i="7"/>
  <c r="N791" i="7"/>
  <c r="AI791" i="7"/>
  <c r="L791" i="7"/>
  <c r="M791" i="7"/>
  <c r="N783" i="7"/>
  <c r="AI783" i="7"/>
  <c r="L783" i="7"/>
  <c r="M783" i="7"/>
  <c r="N775" i="7"/>
  <c r="AI775" i="7"/>
  <c r="L775" i="7"/>
  <c r="M775" i="7"/>
  <c r="N767" i="7"/>
  <c r="AI767" i="7"/>
  <c r="L767" i="7"/>
  <c r="M767" i="7"/>
  <c r="N759" i="7"/>
  <c r="AI759" i="7"/>
  <c r="L759" i="7"/>
  <c r="M759" i="7"/>
  <c r="N751" i="7"/>
  <c r="AI751" i="7"/>
  <c r="L751" i="7"/>
  <c r="M751" i="7"/>
  <c r="N743" i="7"/>
  <c r="AI743" i="7"/>
  <c r="L743" i="7"/>
  <c r="M743" i="7"/>
  <c r="N735" i="7"/>
  <c r="AI735" i="7"/>
  <c r="L735" i="7"/>
  <c r="M735" i="7"/>
  <c r="N727" i="7"/>
  <c r="AI727" i="7"/>
  <c r="L727" i="7"/>
  <c r="M727" i="7"/>
  <c r="N719" i="7"/>
  <c r="AI719" i="7"/>
  <c r="L719" i="7"/>
  <c r="M719" i="7"/>
  <c r="N711" i="7"/>
  <c r="AI711" i="7"/>
  <c r="L711" i="7"/>
  <c r="M711" i="7"/>
  <c r="N703" i="7"/>
  <c r="AI703" i="7"/>
  <c r="L703" i="7"/>
  <c r="M703" i="7"/>
  <c r="N695" i="7"/>
  <c r="AI695" i="7"/>
  <c r="L695" i="7"/>
  <c r="M695" i="7"/>
  <c r="N687" i="7"/>
  <c r="AI687" i="7"/>
  <c r="L687" i="7"/>
  <c r="M687" i="7"/>
  <c r="N679" i="7"/>
  <c r="AI679" i="7"/>
  <c r="L679" i="7"/>
  <c r="M679" i="7"/>
  <c r="N671" i="7"/>
  <c r="AI671" i="7"/>
  <c r="L671" i="7"/>
  <c r="M671" i="7"/>
  <c r="M637" i="7"/>
  <c r="L637" i="7"/>
  <c r="AI637" i="7"/>
  <c r="N637" i="7"/>
  <c r="M629" i="7"/>
  <c r="AI629" i="7"/>
  <c r="L629" i="7"/>
  <c r="N629" i="7"/>
  <c r="M621" i="7"/>
  <c r="AI621" i="7"/>
  <c r="L621" i="7"/>
  <c r="N621" i="7"/>
  <c r="M613" i="7"/>
  <c r="AI613" i="7"/>
  <c r="L613" i="7"/>
  <c r="N613" i="7"/>
  <c r="M605" i="7"/>
  <c r="AI605" i="7"/>
  <c r="L605" i="7"/>
  <c r="N605" i="7"/>
  <c r="M597" i="7"/>
  <c r="N597" i="7"/>
  <c r="AI597" i="7"/>
  <c r="L597" i="7"/>
  <c r="AI660" i="7"/>
  <c r="M660" i="7"/>
  <c r="N660" i="7"/>
  <c r="L660" i="7"/>
  <c r="AI652" i="7"/>
  <c r="M652" i="7"/>
  <c r="N652" i="7"/>
  <c r="L652" i="7"/>
  <c r="AI644" i="7"/>
  <c r="M644" i="7"/>
  <c r="N644" i="7"/>
  <c r="L644" i="7"/>
  <c r="AI636" i="7"/>
  <c r="M636" i="7"/>
  <c r="L636" i="7"/>
  <c r="N636" i="7"/>
  <c r="AI628" i="7"/>
  <c r="M628" i="7"/>
  <c r="L628" i="7"/>
  <c r="N628" i="7"/>
  <c r="AI620" i="7"/>
  <c r="M620" i="7"/>
  <c r="L620" i="7"/>
  <c r="N620" i="7"/>
  <c r="AI612" i="7"/>
  <c r="M612" i="7"/>
  <c r="L612" i="7"/>
  <c r="N612" i="7"/>
  <c r="AI604" i="7"/>
  <c r="M604" i="7"/>
  <c r="L604" i="7"/>
  <c r="N604" i="7"/>
  <c r="AI596" i="7"/>
  <c r="L596" i="7"/>
  <c r="M596" i="7"/>
  <c r="N596" i="7"/>
  <c r="O63" i="10"/>
  <c r="P62" i="10"/>
  <c r="Q62" i="10"/>
  <c r="L1059" i="7"/>
  <c r="M1059" i="7"/>
  <c r="N1059" i="7"/>
  <c r="AI1059" i="7"/>
  <c r="L1051" i="7"/>
  <c r="M1051" i="7"/>
  <c r="N1051" i="7"/>
  <c r="AI1051" i="7"/>
  <c r="L1043" i="7"/>
  <c r="M1043" i="7"/>
  <c r="N1043" i="7"/>
  <c r="AI1043" i="7"/>
  <c r="L1035" i="7"/>
  <c r="M1035" i="7"/>
  <c r="N1035" i="7"/>
  <c r="AI1035" i="7"/>
  <c r="L1027" i="7"/>
  <c r="M1027" i="7"/>
  <c r="N1027" i="7"/>
  <c r="AI1027" i="7"/>
  <c r="L1019" i="7"/>
  <c r="M1019" i="7"/>
  <c r="N1019" i="7"/>
  <c r="AI1019" i="7"/>
  <c r="L1011" i="7"/>
  <c r="M1011" i="7"/>
  <c r="N1011" i="7"/>
  <c r="AI1011" i="7"/>
  <c r="L1003" i="7"/>
  <c r="M1003" i="7"/>
  <c r="N1003" i="7"/>
  <c r="AI1003" i="7"/>
  <c r="L995" i="7"/>
  <c r="M995" i="7"/>
  <c r="N995" i="7"/>
  <c r="AI995" i="7"/>
  <c r="L987" i="7"/>
  <c r="M987" i="7"/>
  <c r="N987" i="7"/>
  <c r="AI987" i="7"/>
  <c r="L979" i="7"/>
  <c r="M979" i="7"/>
  <c r="N979" i="7"/>
  <c r="AI979" i="7"/>
  <c r="L971" i="7"/>
  <c r="M971" i="7"/>
  <c r="N971" i="7"/>
  <c r="AI971" i="7"/>
  <c r="L963" i="7"/>
  <c r="M963" i="7"/>
  <c r="N963" i="7"/>
  <c r="AI963" i="7"/>
  <c r="L955" i="7"/>
  <c r="M955" i="7"/>
  <c r="N955" i="7"/>
  <c r="AI955" i="7"/>
  <c r="L947" i="7"/>
  <c r="M947" i="7"/>
  <c r="N947" i="7"/>
  <c r="AI947" i="7"/>
  <c r="N1060" i="7"/>
  <c r="AI1060" i="7"/>
  <c r="L1060" i="7"/>
  <c r="M1060" i="7"/>
  <c r="N1052" i="7"/>
  <c r="AI1052" i="7"/>
  <c r="L1052" i="7"/>
  <c r="M1052" i="7"/>
  <c r="N1044" i="7"/>
  <c r="AI1044" i="7"/>
  <c r="L1044" i="7"/>
  <c r="M1044" i="7"/>
  <c r="N1036" i="7"/>
  <c r="AI1036" i="7"/>
  <c r="L1036" i="7"/>
  <c r="M1036" i="7"/>
  <c r="N1028" i="7"/>
  <c r="AI1028" i="7"/>
  <c r="L1028" i="7"/>
  <c r="M1028" i="7"/>
  <c r="N1020" i="7"/>
  <c r="AI1020" i="7"/>
  <c r="L1020" i="7"/>
  <c r="M1020" i="7"/>
  <c r="N1012" i="7"/>
  <c r="AI1012" i="7"/>
  <c r="L1012" i="7"/>
  <c r="M1012" i="7"/>
  <c r="N1004" i="7"/>
  <c r="AI1004" i="7"/>
  <c r="L1004" i="7"/>
  <c r="M1004" i="7"/>
  <c r="N996" i="7"/>
  <c r="AI996" i="7"/>
  <c r="L996" i="7"/>
  <c r="M996" i="7"/>
  <c r="N988" i="7"/>
  <c r="AI988" i="7"/>
  <c r="L988" i="7"/>
  <c r="M988" i="7"/>
  <c r="N980" i="7"/>
  <c r="AI980" i="7"/>
  <c r="L980" i="7"/>
  <c r="M980" i="7"/>
  <c r="N972" i="7"/>
  <c r="AI972" i="7"/>
  <c r="L972" i="7"/>
  <c r="M972" i="7"/>
  <c r="N964" i="7"/>
  <c r="AI964" i="7"/>
  <c r="L964" i="7"/>
  <c r="M964" i="7"/>
  <c r="N956" i="7"/>
  <c r="AI956" i="7"/>
  <c r="L956" i="7"/>
  <c r="M956" i="7"/>
  <c r="N948" i="7"/>
  <c r="AI948" i="7"/>
  <c r="L948" i="7"/>
  <c r="M948" i="7"/>
  <c r="M940" i="7"/>
  <c r="AI940" i="7"/>
  <c r="N940" i="7"/>
  <c r="L940" i="7"/>
  <c r="M932" i="7"/>
  <c r="AI932" i="7"/>
  <c r="N932" i="7"/>
  <c r="L932" i="7"/>
  <c r="M924" i="7"/>
  <c r="AI924" i="7"/>
  <c r="N924" i="7"/>
  <c r="L924" i="7"/>
  <c r="M916" i="7"/>
  <c r="AI916" i="7"/>
  <c r="N916" i="7"/>
  <c r="L916" i="7"/>
  <c r="M908" i="7"/>
  <c r="AI908" i="7"/>
  <c r="N908" i="7"/>
  <c r="L908" i="7"/>
  <c r="M900" i="7"/>
  <c r="N900" i="7"/>
  <c r="AI900" i="7"/>
  <c r="L900" i="7"/>
  <c r="L892" i="7"/>
  <c r="M892" i="7"/>
  <c r="N892" i="7"/>
  <c r="AI892" i="7"/>
  <c r="L884" i="7"/>
  <c r="M884" i="7"/>
  <c r="N884" i="7"/>
  <c r="AI884" i="7"/>
  <c r="L876" i="7"/>
  <c r="M876" i="7"/>
  <c r="N876" i="7"/>
  <c r="AI876" i="7"/>
  <c r="L868" i="7"/>
  <c r="M868" i="7"/>
  <c r="N868" i="7"/>
  <c r="AI868" i="7"/>
  <c r="L860" i="7"/>
  <c r="M860" i="7"/>
  <c r="N860" i="7"/>
  <c r="AI860" i="7"/>
  <c r="L852" i="7"/>
  <c r="M852" i="7"/>
  <c r="N852" i="7"/>
  <c r="AI852" i="7"/>
  <c r="L844" i="7"/>
  <c r="M844" i="7"/>
  <c r="N844" i="7"/>
  <c r="AI844" i="7"/>
  <c r="L836" i="7"/>
  <c r="M836" i="7"/>
  <c r="N836" i="7"/>
  <c r="AI836" i="7"/>
  <c r="L828" i="7"/>
  <c r="M828" i="7"/>
  <c r="N828" i="7"/>
  <c r="AI828" i="7"/>
  <c r="L820" i="7"/>
  <c r="M820" i="7"/>
  <c r="N820" i="7"/>
  <c r="AI820" i="7"/>
  <c r="L812" i="7"/>
  <c r="M812" i="7"/>
  <c r="N812" i="7"/>
  <c r="AI812" i="7"/>
  <c r="L804" i="7"/>
  <c r="M804" i="7"/>
  <c r="N804" i="7"/>
  <c r="AI804" i="7"/>
  <c r="L796" i="7"/>
  <c r="M796" i="7"/>
  <c r="N796" i="7"/>
  <c r="AI796" i="7"/>
  <c r="L788" i="7"/>
  <c r="M788" i="7"/>
  <c r="N788" i="7"/>
  <c r="AI788" i="7"/>
  <c r="L780" i="7"/>
  <c r="M780" i="7"/>
  <c r="N780" i="7"/>
  <c r="AI780" i="7"/>
  <c r="L772" i="7"/>
  <c r="M772" i="7"/>
  <c r="N772" i="7"/>
  <c r="AI772" i="7"/>
  <c r="L764" i="7"/>
  <c r="M764" i="7"/>
  <c r="N764" i="7"/>
  <c r="AI764" i="7"/>
  <c r="L756" i="7"/>
  <c r="M756" i="7"/>
  <c r="N756" i="7"/>
  <c r="AI756" i="7"/>
  <c r="L748" i="7"/>
  <c r="M748" i="7"/>
  <c r="N748" i="7"/>
  <c r="AI748" i="7"/>
  <c r="L740" i="7"/>
  <c r="M740" i="7"/>
  <c r="N740" i="7"/>
  <c r="AI740" i="7"/>
  <c r="L732" i="7"/>
  <c r="M732" i="7"/>
  <c r="N732" i="7"/>
  <c r="AI732" i="7"/>
  <c r="L724" i="7"/>
  <c r="M724" i="7"/>
  <c r="N724" i="7"/>
  <c r="AI724" i="7"/>
  <c r="L716" i="7"/>
  <c r="M716" i="7"/>
  <c r="N716" i="7"/>
  <c r="AI716" i="7"/>
  <c r="L708" i="7"/>
  <c r="M708" i="7"/>
  <c r="N708" i="7"/>
  <c r="AI708" i="7"/>
  <c r="L700" i="7"/>
  <c r="M700" i="7"/>
  <c r="N700" i="7"/>
  <c r="AI700" i="7"/>
  <c r="L692" i="7"/>
  <c r="M692" i="7"/>
  <c r="N692" i="7"/>
  <c r="AI692" i="7"/>
  <c r="L684" i="7"/>
  <c r="M684" i="7"/>
  <c r="N684" i="7"/>
  <c r="AI684" i="7"/>
  <c r="L676" i="7"/>
  <c r="M676" i="7"/>
  <c r="N676" i="7"/>
  <c r="AI676" i="7"/>
  <c r="L668" i="7"/>
  <c r="M668" i="7"/>
  <c r="N668" i="7"/>
  <c r="AI668" i="7"/>
  <c r="M661" i="7"/>
  <c r="L661" i="7"/>
  <c r="N661" i="7"/>
  <c r="AI661" i="7"/>
  <c r="M653" i="7"/>
  <c r="L653" i="7"/>
  <c r="N653" i="7"/>
  <c r="AI653" i="7"/>
  <c r="M645" i="7"/>
  <c r="L645" i="7"/>
  <c r="N645" i="7"/>
  <c r="AI645" i="7"/>
  <c r="AI941" i="7"/>
  <c r="L941" i="7"/>
  <c r="M941" i="7"/>
  <c r="N941" i="7"/>
  <c r="AI933" i="7"/>
  <c r="M933" i="7"/>
  <c r="L933" i="7"/>
  <c r="N933" i="7"/>
  <c r="AI925" i="7"/>
  <c r="M925" i="7"/>
  <c r="L925" i="7"/>
  <c r="N925" i="7"/>
  <c r="AI917" i="7"/>
  <c r="M917" i="7"/>
  <c r="L917" i="7"/>
  <c r="N917" i="7"/>
  <c r="AI909" i="7"/>
  <c r="M909" i="7"/>
  <c r="L909" i="7"/>
  <c r="N909" i="7"/>
  <c r="AI901" i="7"/>
  <c r="L901" i="7"/>
  <c r="M901" i="7"/>
  <c r="N901" i="7"/>
  <c r="N893" i="7"/>
  <c r="AI893" i="7"/>
  <c r="L893" i="7"/>
  <c r="M893" i="7"/>
  <c r="N885" i="7"/>
  <c r="AI885" i="7"/>
  <c r="L885" i="7"/>
  <c r="M885" i="7"/>
  <c r="N877" i="7"/>
  <c r="AI877" i="7"/>
  <c r="L877" i="7"/>
  <c r="M877" i="7"/>
  <c r="N869" i="7"/>
  <c r="AI869" i="7"/>
  <c r="L869" i="7"/>
  <c r="M869" i="7"/>
  <c r="N861" i="7"/>
  <c r="AI861" i="7"/>
  <c r="L861" i="7"/>
  <c r="M861" i="7"/>
  <c r="N853" i="7"/>
  <c r="AI853" i="7"/>
  <c r="L853" i="7"/>
  <c r="M853" i="7"/>
  <c r="N845" i="7"/>
  <c r="AI845" i="7"/>
  <c r="L845" i="7"/>
  <c r="M845" i="7"/>
  <c r="N837" i="7"/>
  <c r="AI837" i="7"/>
  <c r="L837" i="7"/>
  <c r="M837" i="7"/>
  <c r="N829" i="7"/>
  <c r="AI829" i="7"/>
  <c r="L829" i="7"/>
  <c r="M829" i="7"/>
  <c r="N821" i="7"/>
  <c r="AI821" i="7"/>
  <c r="L821" i="7"/>
  <c r="M821" i="7"/>
  <c r="N813" i="7"/>
  <c r="AI813" i="7"/>
  <c r="L813" i="7"/>
  <c r="M813" i="7"/>
  <c r="N805" i="7"/>
  <c r="AI805" i="7"/>
  <c r="L805" i="7"/>
  <c r="M805" i="7"/>
  <c r="N797" i="7"/>
  <c r="AI797" i="7"/>
  <c r="L797" i="7"/>
  <c r="M797" i="7"/>
  <c r="N789" i="7"/>
  <c r="AI789" i="7"/>
  <c r="L789" i="7"/>
  <c r="M789" i="7"/>
  <c r="N781" i="7"/>
  <c r="AI781" i="7"/>
  <c r="L781" i="7"/>
  <c r="M781" i="7"/>
  <c r="N773" i="7"/>
  <c r="AI773" i="7"/>
  <c r="L773" i="7"/>
  <c r="M773" i="7"/>
  <c r="N765" i="7"/>
  <c r="AI765" i="7"/>
  <c r="L765" i="7"/>
  <c r="M765" i="7"/>
  <c r="N757" i="7"/>
  <c r="AI757" i="7"/>
  <c r="L757" i="7"/>
  <c r="M757" i="7"/>
  <c r="N749" i="7"/>
  <c r="AI749" i="7"/>
  <c r="L749" i="7"/>
  <c r="M749" i="7"/>
  <c r="N741" i="7"/>
  <c r="AI741" i="7"/>
  <c r="L741" i="7"/>
  <c r="M741" i="7"/>
  <c r="N733" i="7"/>
  <c r="AI733" i="7"/>
  <c r="L733" i="7"/>
  <c r="M733" i="7"/>
  <c r="N725" i="7"/>
  <c r="AI725" i="7"/>
  <c r="L725" i="7"/>
  <c r="M725" i="7"/>
  <c r="N717" i="7"/>
  <c r="AI717" i="7"/>
  <c r="L717" i="7"/>
  <c r="M717" i="7"/>
  <c r="N709" i="7"/>
  <c r="AI709" i="7"/>
  <c r="L709" i="7"/>
  <c r="M709" i="7"/>
  <c r="N701" i="7"/>
  <c r="AI701" i="7"/>
  <c r="L701" i="7"/>
  <c r="M701" i="7"/>
  <c r="N693" i="7"/>
  <c r="AI693" i="7"/>
  <c r="L693" i="7"/>
  <c r="M693" i="7"/>
  <c r="N685" i="7"/>
  <c r="AI685" i="7"/>
  <c r="L685" i="7"/>
  <c r="M685" i="7"/>
  <c r="N677" i="7"/>
  <c r="AI677" i="7"/>
  <c r="L677" i="7"/>
  <c r="M677" i="7"/>
  <c r="N669" i="7"/>
  <c r="AI669" i="7"/>
  <c r="L669" i="7"/>
  <c r="M669" i="7"/>
  <c r="M635" i="7"/>
  <c r="AI635" i="7"/>
  <c r="L635" i="7"/>
  <c r="N635" i="7"/>
  <c r="M627" i="7"/>
  <c r="AI627" i="7"/>
  <c r="L627" i="7"/>
  <c r="N627" i="7"/>
  <c r="M619" i="7"/>
  <c r="AI619" i="7"/>
  <c r="L619" i="7"/>
  <c r="N619" i="7"/>
  <c r="M611" i="7"/>
  <c r="AI611" i="7"/>
  <c r="L611" i="7"/>
  <c r="N611" i="7"/>
  <c r="M603" i="7"/>
  <c r="AI603" i="7"/>
  <c r="L603" i="7"/>
  <c r="N603" i="7"/>
  <c r="M595" i="7"/>
  <c r="N595" i="7"/>
  <c r="AI595" i="7"/>
  <c r="L595" i="7"/>
  <c r="AI658" i="7"/>
  <c r="M658" i="7"/>
  <c r="N658" i="7"/>
  <c r="L658" i="7"/>
  <c r="AI650" i="7"/>
  <c r="M650" i="7"/>
  <c r="N650" i="7"/>
  <c r="L650" i="7"/>
  <c r="AI642" i="7"/>
  <c r="M642" i="7"/>
  <c r="N642" i="7"/>
  <c r="L642" i="7"/>
  <c r="AI634" i="7"/>
  <c r="M634" i="7"/>
  <c r="L634" i="7"/>
  <c r="N634" i="7"/>
  <c r="AI626" i="7"/>
  <c r="M626" i="7"/>
  <c r="L626" i="7"/>
  <c r="N626" i="7"/>
  <c r="AI618" i="7"/>
  <c r="M618" i="7"/>
  <c r="L618" i="7"/>
  <c r="N618" i="7"/>
  <c r="AI610" i="7"/>
  <c r="M610" i="7"/>
  <c r="L610" i="7"/>
  <c r="N610" i="7"/>
  <c r="AI602" i="7"/>
  <c r="M602" i="7"/>
  <c r="L602" i="7"/>
  <c r="N602" i="7"/>
  <c r="AI594" i="7"/>
  <c r="L594" i="7"/>
  <c r="M594" i="7"/>
  <c r="N594" i="7"/>
  <c r="L1057" i="7"/>
  <c r="M1057" i="7"/>
  <c r="N1057" i="7"/>
  <c r="AI1057" i="7"/>
  <c r="L1049" i="7"/>
  <c r="M1049" i="7"/>
  <c r="N1049" i="7"/>
  <c r="AI1049" i="7"/>
  <c r="L1041" i="7"/>
  <c r="M1041" i="7"/>
  <c r="N1041" i="7"/>
  <c r="AI1041" i="7"/>
  <c r="L1033" i="7"/>
  <c r="M1033" i="7"/>
  <c r="N1033" i="7"/>
  <c r="AI1033" i="7"/>
  <c r="L1025" i="7"/>
  <c r="M1025" i="7"/>
  <c r="N1025" i="7"/>
  <c r="AI1025" i="7"/>
  <c r="L1017" i="7"/>
  <c r="M1017" i="7"/>
  <c r="N1017" i="7"/>
  <c r="AI1017" i="7"/>
  <c r="L1009" i="7"/>
  <c r="M1009" i="7"/>
  <c r="N1009" i="7"/>
  <c r="AI1009" i="7"/>
  <c r="L1001" i="7"/>
  <c r="M1001" i="7"/>
  <c r="N1001" i="7"/>
  <c r="AI1001" i="7"/>
  <c r="L993" i="7"/>
  <c r="M993" i="7"/>
  <c r="N993" i="7"/>
  <c r="AI993" i="7"/>
  <c r="L985" i="7"/>
  <c r="M985" i="7"/>
  <c r="N985" i="7"/>
  <c r="AI985" i="7"/>
  <c r="L977" i="7"/>
  <c r="M977" i="7"/>
  <c r="N977" i="7"/>
  <c r="AI977" i="7"/>
  <c r="L969" i="7"/>
  <c r="M969" i="7"/>
  <c r="N969" i="7"/>
  <c r="AI969" i="7"/>
  <c r="L961" i="7"/>
  <c r="M961" i="7"/>
  <c r="N961" i="7"/>
  <c r="AI961" i="7"/>
  <c r="L953" i="7"/>
  <c r="M953" i="7"/>
  <c r="N953" i="7"/>
  <c r="AI953" i="7"/>
  <c r="L945" i="7"/>
  <c r="M945" i="7"/>
  <c r="N945" i="7"/>
  <c r="AI945" i="7"/>
  <c r="N1058" i="7"/>
  <c r="AI1058" i="7"/>
  <c r="L1058" i="7"/>
  <c r="M1058" i="7"/>
  <c r="N1050" i="7"/>
  <c r="AI1050" i="7"/>
  <c r="L1050" i="7"/>
  <c r="M1050" i="7"/>
  <c r="N1042" i="7"/>
  <c r="AI1042" i="7"/>
  <c r="L1042" i="7"/>
  <c r="M1042" i="7"/>
  <c r="N1034" i="7"/>
  <c r="AI1034" i="7"/>
  <c r="L1034" i="7"/>
  <c r="M1034" i="7"/>
  <c r="N1026" i="7"/>
  <c r="AI1026" i="7"/>
  <c r="L1026" i="7"/>
  <c r="M1026" i="7"/>
  <c r="N1018" i="7"/>
  <c r="AI1018" i="7"/>
  <c r="L1018" i="7"/>
  <c r="M1018" i="7"/>
  <c r="N1010" i="7"/>
  <c r="AI1010" i="7"/>
  <c r="L1010" i="7"/>
  <c r="M1010" i="7"/>
  <c r="N1002" i="7"/>
  <c r="AI1002" i="7"/>
  <c r="L1002" i="7"/>
  <c r="M1002" i="7"/>
  <c r="N994" i="7"/>
  <c r="AI994" i="7"/>
  <c r="L994" i="7"/>
  <c r="M994" i="7"/>
  <c r="N986" i="7"/>
  <c r="AI986" i="7"/>
  <c r="L986" i="7"/>
  <c r="M986" i="7"/>
  <c r="N978" i="7"/>
  <c r="AI978" i="7"/>
  <c r="L978" i="7"/>
  <c r="M978" i="7"/>
  <c r="N970" i="7"/>
  <c r="AI970" i="7"/>
  <c r="L970" i="7"/>
  <c r="M970" i="7"/>
  <c r="N962" i="7"/>
  <c r="AI962" i="7"/>
  <c r="L962" i="7"/>
  <c r="M962" i="7"/>
  <c r="N954" i="7"/>
  <c r="AI954" i="7"/>
  <c r="L954" i="7"/>
  <c r="M954" i="7"/>
  <c r="N946" i="7"/>
  <c r="AI946" i="7"/>
  <c r="L946" i="7"/>
  <c r="M946" i="7"/>
  <c r="M938" i="7"/>
  <c r="AI938" i="7"/>
  <c r="N938" i="7"/>
  <c r="L938" i="7"/>
  <c r="M930" i="7"/>
  <c r="AI930" i="7"/>
  <c r="N930" i="7"/>
  <c r="L930" i="7"/>
  <c r="M922" i="7"/>
  <c r="AI922" i="7"/>
  <c r="N922" i="7"/>
  <c r="L922" i="7"/>
  <c r="M914" i="7"/>
  <c r="AI914" i="7"/>
  <c r="N914" i="7"/>
  <c r="L914" i="7"/>
  <c r="M906" i="7"/>
  <c r="N906" i="7"/>
  <c r="AI906" i="7"/>
  <c r="L906" i="7"/>
  <c r="M898" i="7"/>
  <c r="N898" i="7"/>
  <c r="AI898" i="7"/>
  <c r="L898" i="7"/>
  <c r="L890" i="7"/>
  <c r="M890" i="7"/>
  <c r="N890" i="7"/>
  <c r="AI890" i="7"/>
  <c r="L882" i="7"/>
  <c r="M882" i="7"/>
  <c r="N882" i="7"/>
  <c r="AI882" i="7"/>
  <c r="L874" i="7"/>
  <c r="M874" i="7"/>
  <c r="N874" i="7"/>
  <c r="AI874" i="7"/>
  <c r="L866" i="7"/>
  <c r="M866" i="7"/>
  <c r="N866" i="7"/>
  <c r="AI866" i="7"/>
  <c r="L858" i="7"/>
  <c r="M858" i="7"/>
  <c r="N858" i="7"/>
  <c r="AI858" i="7"/>
  <c r="L850" i="7"/>
  <c r="M850" i="7"/>
  <c r="N850" i="7"/>
  <c r="AI850" i="7"/>
  <c r="L842" i="7"/>
  <c r="M842" i="7"/>
  <c r="N842" i="7"/>
  <c r="AI842" i="7"/>
  <c r="L834" i="7"/>
  <c r="M834" i="7"/>
  <c r="N834" i="7"/>
  <c r="AI834" i="7"/>
  <c r="L826" i="7"/>
  <c r="M826" i="7"/>
  <c r="N826" i="7"/>
  <c r="AI826" i="7"/>
  <c r="L818" i="7"/>
  <c r="M818" i="7"/>
  <c r="N818" i="7"/>
  <c r="AI818" i="7"/>
  <c r="L810" i="7"/>
  <c r="M810" i="7"/>
  <c r="N810" i="7"/>
  <c r="AI810" i="7"/>
  <c r="L802" i="7"/>
  <c r="M802" i="7"/>
  <c r="N802" i="7"/>
  <c r="AI802" i="7"/>
  <c r="L794" i="7"/>
  <c r="M794" i="7"/>
  <c r="N794" i="7"/>
  <c r="AI794" i="7"/>
  <c r="L786" i="7"/>
  <c r="M786" i="7"/>
  <c r="N786" i="7"/>
  <c r="AI786" i="7"/>
  <c r="L778" i="7"/>
  <c r="M778" i="7"/>
  <c r="N778" i="7"/>
  <c r="AI778" i="7"/>
  <c r="L770" i="7"/>
  <c r="M770" i="7"/>
  <c r="N770" i="7"/>
  <c r="AI770" i="7"/>
  <c r="L762" i="7"/>
  <c r="M762" i="7"/>
  <c r="N762" i="7"/>
  <c r="AI762" i="7"/>
  <c r="L754" i="7"/>
  <c r="M754" i="7"/>
  <c r="N754" i="7"/>
  <c r="AI754" i="7"/>
  <c r="L746" i="7"/>
  <c r="M746" i="7"/>
  <c r="N746" i="7"/>
  <c r="AI746" i="7"/>
  <c r="L738" i="7"/>
  <c r="M738" i="7"/>
  <c r="N738" i="7"/>
  <c r="AI738" i="7"/>
  <c r="L730" i="7"/>
  <c r="M730" i="7"/>
  <c r="N730" i="7"/>
  <c r="AI730" i="7"/>
  <c r="L722" i="7"/>
  <c r="M722" i="7"/>
  <c r="N722" i="7"/>
  <c r="AI722" i="7"/>
  <c r="L714" i="7"/>
  <c r="M714" i="7"/>
  <c r="N714" i="7"/>
  <c r="AI714" i="7"/>
  <c r="L706" i="7"/>
  <c r="M706" i="7"/>
  <c r="N706" i="7"/>
  <c r="AI706" i="7"/>
  <c r="L698" i="7"/>
  <c r="M698" i="7"/>
  <c r="N698" i="7"/>
  <c r="AI698" i="7"/>
  <c r="L690" i="7"/>
  <c r="M690" i="7"/>
  <c r="N690" i="7"/>
  <c r="AI690" i="7"/>
  <c r="L682" i="7"/>
  <c r="M682" i="7"/>
  <c r="N682" i="7"/>
  <c r="AI682" i="7"/>
  <c r="L674" i="7"/>
  <c r="M674" i="7"/>
  <c r="N674" i="7"/>
  <c r="AI674" i="7"/>
  <c r="L666" i="7"/>
  <c r="M666" i="7"/>
  <c r="N666" i="7"/>
  <c r="AI666" i="7"/>
  <c r="M659" i="7"/>
  <c r="L659" i="7"/>
  <c r="N659" i="7"/>
  <c r="AI659" i="7"/>
  <c r="M651" i="7"/>
  <c r="L651" i="7"/>
  <c r="N651" i="7"/>
  <c r="AI651" i="7"/>
  <c r="M643" i="7"/>
  <c r="L643" i="7"/>
  <c r="N643" i="7"/>
  <c r="AI643" i="7"/>
  <c r="AI939" i="7"/>
  <c r="M939" i="7"/>
  <c r="L939" i="7"/>
  <c r="N939" i="7"/>
  <c r="AI931" i="7"/>
  <c r="M931" i="7"/>
  <c r="L931" i="7"/>
  <c r="N931" i="7"/>
  <c r="AI923" i="7"/>
  <c r="M923" i="7"/>
  <c r="L923" i="7"/>
  <c r="N923" i="7"/>
  <c r="AI915" i="7"/>
  <c r="M915" i="7"/>
  <c r="L915" i="7"/>
  <c r="N915" i="7"/>
  <c r="AI907" i="7"/>
  <c r="L907" i="7"/>
  <c r="M907" i="7"/>
  <c r="N907" i="7"/>
  <c r="AI899" i="7"/>
  <c r="L899" i="7"/>
  <c r="M899" i="7"/>
  <c r="N899" i="7"/>
  <c r="N891" i="7"/>
  <c r="AI891" i="7"/>
  <c r="L891" i="7"/>
  <c r="M891" i="7"/>
  <c r="N883" i="7"/>
  <c r="AI883" i="7"/>
  <c r="L883" i="7"/>
  <c r="M883" i="7"/>
  <c r="N875" i="7"/>
  <c r="AI875" i="7"/>
  <c r="L875" i="7"/>
  <c r="M875" i="7"/>
  <c r="N867" i="7"/>
  <c r="AI867" i="7"/>
  <c r="L867" i="7"/>
  <c r="M867" i="7"/>
  <c r="N859" i="7"/>
  <c r="AI859" i="7"/>
  <c r="L859" i="7"/>
  <c r="M859" i="7"/>
  <c r="N851" i="7"/>
  <c r="AI851" i="7"/>
  <c r="L851" i="7"/>
  <c r="M851" i="7"/>
  <c r="N843" i="7"/>
  <c r="AI843" i="7"/>
  <c r="L843" i="7"/>
  <c r="M843" i="7"/>
  <c r="N835" i="7"/>
  <c r="AI835" i="7"/>
  <c r="L835" i="7"/>
  <c r="M835" i="7"/>
  <c r="N827" i="7"/>
  <c r="AI827" i="7"/>
  <c r="L827" i="7"/>
  <c r="M827" i="7"/>
  <c r="N819" i="7"/>
  <c r="AI819" i="7"/>
  <c r="L819" i="7"/>
  <c r="M819" i="7"/>
  <c r="N811" i="7"/>
  <c r="AI811" i="7"/>
  <c r="L811" i="7"/>
  <c r="M811" i="7"/>
  <c r="N803" i="7"/>
  <c r="AI803" i="7"/>
  <c r="L803" i="7"/>
  <c r="M803" i="7"/>
  <c r="N795" i="7"/>
  <c r="AI795" i="7"/>
  <c r="L795" i="7"/>
  <c r="M795" i="7"/>
  <c r="N787" i="7"/>
  <c r="AI787" i="7"/>
  <c r="L787" i="7"/>
  <c r="M787" i="7"/>
  <c r="N779" i="7"/>
  <c r="AI779" i="7"/>
  <c r="L779" i="7"/>
  <c r="M779" i="7"/>
  <c r="N771" i="7"/>
  <c r="AI771" i="7"/>
  <c r="L771" i="7"/>
  <c r="M771" i="7"/>
  <c r="N763" i="7"/>
  <c r="AI763" i="7"/>
  <c r="L763" i="7"/>
  <c r="M763" i="7"/>
  <c r="N755" i="7"/>
  <c r="AI755" i="7"/>
  <c r="L755" i="7"/>
  <c r="M755" i="7"/>
  <c r="N747" i="7"/>
  <c r="AI747" i="7"/>
  <c r="L747" i="7"/>
  <c r="M747" i="7"/>
  <c r="N739" i="7"/>
  <c r="AI739" i="7"/>
  <c r="L739" i="7"/>
  <c r="M739" i="7"/>
  <c r="N731" i="7"/>
  <c r="AI731" i="7"/>
  <c r="L731" i="7"/>
  <c r="M731" i="7"/>
  <c r="N723" i="7"/>
  <c r="AI723" i="7"/>
  <c r="L723" i="7"/>
  <c r="M723" i="7"/>
  <c r="N715" i="7"/>
  <c r="AI715" i="7"/>
  <c r="L715" i="7"/>
  <c r="M715" i="7"/>
  <c r="N707" i="7"/>
  <c r="AI707" i="7"/>
  <c r="L707" i="7"/>
  <c r="M707" i="7"/>
  <c r="N699" i="7"/>
  <c r="AI699" i="7"/>
  <c r="L699" i="7"/>
  <c r="M699" i="7"/>
  <c r="N691" i="7"/>
  <c r="AI691" i="7"/>
  <c r="L691" i="7"/>
  <c r="M691" i="7"/>
  <c r="N683" i="7"/>
  <c r="AI683" i="7"/>
  <c r="L683" i="7"/>
  <c r="M683" i="7"/>
  <c r="N675" i="7"/>
  <c r="AI675" i="7"/>
  <c r="L675" i="7"/>
  <c r="M675" i="7"/>
  <c r="N667" i="7"/>
  <c r="AI667" i="7"/>
  <c r="L667" i="7"/>
  <c r="M667" i="7"/>
  <c r="M633" i="7"/>
  <c r="AI633" i="7"/>
  <c r="L633" i="7"/>
  <c r="N633" i="7"/>
  <c r="M625" i="7"/>
  <c r="AI625" i="7"/>
  <c r="L625" i="7"/>
  <c r="N625" i="7"/>
  <c r="M617" i="7"/>
  <c r="AI617" i="7"/>
  <c r="L617" i="7"/>
  <c r="N617" i="7"/>
  <c r="M609" i="7"/>
  <c r="AI609" i="7"/>
  <c r="L609" i="7"/>
  <c r="N609" i="7"/>
  <c r="M601" i="7"/>
  <c r="AI601" i="7"/>
  <c r="L601" i="7"/>
  <c r="N601" i="7"/>
  <c r="M593" i="7"/>
  <c r="N593" i="7"/>
  <c r="AI593" i="7"/>
  <c r="L593" i="7"/>
  <c r="AI656" i="7"/>
  <c r="M656" i="7"/>
  <c r="N656" i="7"/>
  <c r="L656" i="7"/>
  <c r="AI648" i="7"/>
  <c r="M648" i="7"/>
  <c r="N648" i="7"/>
  <c r="L648" i="7"/>
  <c r="AI640" i="7"/>
  <c r="M640" i="7"/>
  <c r="N640" i="7"/>
  <c r="L640" i="7"/>
  <c r="AI632" i="7"/>
  <c r="M632" i="7"/>
  <c r="L632" i="7"/>
  <c r="N632" i="7"/>
  <c r="AI624" i="7"/>
  <c r="M624" i="7"/>
  <c r="L624" i="7"/>
  <c r="N624" i="7"/>
  <c r="AI616" i="7"/>
  <c r="M616" i="7"/>
  <c r="L616" i="7"/>
  <c r="N616" i="7"/>
  <c r="AI608" i="7"/>
  <c r="M608" i="7"/>
  <c r="L608" i="7"/>
  <c r="N608" i="7"/>
  <c r="AI600" i="7"/>
  <c r="M600" i="7"/>
  <c r="L600" i="7"/>
  <c r="N600" i="7"/>
  <c r="AI592" i="7"/>
  <c r="L592" i="7"/>
  <c r="M592" i="7"/>
  <c r="N592" i="7"/>
  <c r="D39" i="10"/>
  <c r="I39" i="10"/>
  <c r="E39" i="10"/>
  <c r="H39" i="10"/>
  <c r="J39" i="10"/>
  <c r="A40" i="10"/>
  <c r="C39" i="10"/>
  <c r="F39" i="10"/>
  <c r="D40" i="10"/>
  <c r="I40" i="10"/>
  <c r="E40" i="10"/>
  <c r="H40" i="10"/>
  <c r="J40" i="10"/>
  <c r="A41" i="10"/>
  <c r="C40" i="10"/>
  <c r="F40" i="10"/>
  <c r="M587" i="7"/>
  <c r="N587" i="7"/>
  <c r="AI587" i="7"/>
  <c r="L587" i="7"/>
  <c r="M579" i="7"/>
  <c r="N579" i="7"/>
  <c r="AI579" i="7"/>
  <c r="L579" i="7"/>
  <c r="M571" i="7"/>
  <c r="N571" i="7"/>
  <c r="AI571" i="7"/>
  <c r="L571" i="7"/>
  <c r="M563" i="7"/>
  <c r="N563" i="7"/>
  <c r="AI563" i="7"/>
  <c r="L563" i="7"/>
  <c r="M555" i="7"/>
  <c r="N555" i="7"/>
  <c r="AI555" i="7"/>
  <c r="L555" i="7"/>
  <c r="M547" i="7"/>
  <c r="N547" i="7"/>
  <c r="AI547" i="7"/>
  <c r="L547" i="7"/>
  <c r="M539" i="7"/>
  <c r="N539" i="7"/>
  <c r="AI539" i="7"/>
  <c r="L539" i="7"/>
  <c r="M531" i="7"/>
  <c r="N531" i="7"/>
  <c r="AI531" i="7"/>
  <c r="L531" i="7"/>
  <c r="M523" i="7"/>
  <c r="N523" i="7"/>
  <c r="AI523" i="7"/>
  <c r="L523" i="7"/>
  <c r="M515" i="7"/>
  <c r="N515" i="7"/>
  <c r="AI515" i="7"/>
  <c r="L515" i="7"/>
  <c r="M507" i="7"/>
  <c r="N507" i="7"/>
  <c r="AI507" i="7"/>
  <c r="L507" i="7"/>
  <c r="M499" i="7"/>
  <c r="N499" i="7"/>
  <c r="AI499" i="7"/>
  <c r="L499" i="7"/>
  <c r="M491" i="7"/>
  <c r="N491" i="7"/>
  <c r="AI491" i="7"/>
  <c r="L491" i="7"/>
  <c r="M483" i="7"/>
  <c r="N483" i="7"/>
  <c r="AI483" i="7"/>
  <c r="L483" i="7"/>
  <c r="M475" i="7"/>
  <c r="N475" i="7"/>
  <c r="AI475" i="7"/>
  <c r="L475" i="7"/>
  <c r="M467" i="7"/>
  <c r="N467" i="7"/>
  <c r="AI467" i="7"/>
  <c r="L467" i="7"/>
  <c r="M459" i="7"/>
  <c r="N459" i="7"/>
  <c r="AI459" i="7"/>
  <c r="L459" i="7"/>
  <c r="M451" i="7"/>
  <c r="N451" i="7"/>
  <c r="AI451" i="7"/>
  <c r="L451" i="7"/>
  <c r="M443" i="7"/>
  <c r="N443" i="7"/>
  <c r="AI443" i="7"/>
  <c r="L443" i="7"/>
  <c r="M435" i="7"/>
  <c r="N435" i="7"/>
  <c r="AI435" i="7"/>
  <c r="L435" i="7"/>
  <c r="M427" i="7"/>
  <c r="N427" i="7"/>
  <c r="AI427" i="7"/>
  <c r="L427" i="7"/>
  <c r="M419" i="7"/>
  <c r="N419" i="7"/>
  <c r="AI419" i="7"/>
  <c r="L419" i="7"/>
  <c r="M411" i="7"/>
  <c r="N411" i="7"/>
  <c r="AI411" i="7"/>
  <c r="L411" i="7"/>
  <c r="M403" i="7"/>
  <c r="N403" i="7"/>
  <c r="AI403" i="7"/>
  <c r="L403" i="7"/>
  <c r="M395" i="7"/>
  <c r="N395" i="7"/>
  <c r="AI395" i="7"/>
  <c r="L395" i="7"/>
  <c r="M387" i="7"/>
  <c r="N387" i="7"/>
  <c r="AI387" i="7"/>
  <c r="L387" i="7"/>
  <c r="M379" i="7"/>
  <c r="N379" i="7"/>
  <c r="AI379" i="7"/>
  <c r="L379" i="7"/>
  <c r="M371" i="7"/>
  <c r="N371" i="7"/>
  <c r="AI371" i="7"/>
  <c r="L371" i="7"/>
  <c r="M363" i="7"/>
  <c r="N363" i="7"/>
  <c r="AI363" i="7"/>
  <c r="L363" i="7"/>
  <c r="M355" i="7"/>
  <c r="N355" i="7"/>
  <c r="AI355" i="7"/>
  <c r="L355" i="7"/>
  <c r="M347" i="7"/>
  <c r="N347" i="7"/>
  <c r="AI347" i="7"/>
  <c r="L347" i="7"/>
  <c r="M339" i="7"/>
  <c r="N339" i="7"/>
  <c r="AI339" i="7"/>
  <c r="L339" i="7"/>
  <c r="M331" i="7"/>
  <c r="N331" i="7"/>
  <c r="AI331" i="7"/>
  <c r="L331" i="7"/>
  <c r="M323" i="7"/>
  <c r="N323" i="7"/>
  <c r="AI323" i="7"/>
  <c r="L323" i="7"/>
  <c r="M315" i="7"/>
  <c r="N315" i="7"/>
  <c r="AI315" i="7"/>
  <c r="L315" i="7"/>
  <c r="M307" i="7"/>
  <c r="N307" i="7"/>
  <c r="AI307" i="7"/>
  <c r="L307" i="7"/>
  <c r="M299" i="7"/>
  <c r="N299" i="7"/>
  <c r="AI299" i="7"/>
  <c r="L299" i="7"/>
  <c r="M291" i="7"/>
  <c r="N291" i="7"/>
  <c r="AI291" i="7"/>
  <c r="L291" i="7"/>
  <c r="M283" i="7"/>
  <c r="N283" i="7"/>
  <c r="AI283" i="7"/>
  <c r="L283" i="7"/>
  <c r="M275" i="7"/>
  <c r="N275" i="7"/>
  <c r="AI275" i="7"/>
  <c r="L275" i="7"/>
  <c r="M267" i="7"/>
  <c r="N267" i="7"/>
  <c r="AI267" i="7"/>
  <c r="L267" i="7"/>
  <c r="M259" i="7"/>
  <c r="N259" i="7"/>
  <c r="AI259" i="7"/>
  <c r="L259" i="7"/>
  <c r="M251" i="7"/>
  <c r="N251" i="7"/>
  <c r="AI251" i="7"/>
  <c r="L251" i="7"/>
  <c r="M244" i="7"/>
  <c r="N244" i="7"/>
  <c r="AI244" i="7"/>
  <c r="L244" i="7"/>
  <c r="M236" i="7"/>
  <c r="N236" i="7"/>
  <c r="AI236" i="7"/>
  <c r="L236" i="7"/>
  <c r="AI584" i="7"/>
  <c r="L584" i="7"/>
  <c r="M584" i="7"/>
  <c r="N584" i="7"/>
  <c r="AI576" i="7"/>
  <c r="L576" i="7"/>
  <c r="M576" i="7"/>
  <c r="N576" i="7"/>
  <c r="AI568" i="7"/>
  <c r="L568" i="7"/>
  <c r="M568" i="7"/>
  <c r="N568" i="7"/>
  <c r="AI560" i="7"/>
  <c r="L560" i="7"/>
  <c r="M560" i="7"/>
  <c r="N560" i="7"/>
  <c r="AI552" i="7"/>
  <c r="L552" i="7"/>
  <c r="M552" i="7"/>
  <c r="N552" i="7"/>
  <c r="AI544" i="7"/>
  <c r="L544" i="7"/>
  <c r="M544" i="7"/>
  <c r="N544" i="7"/>
  <c r="AI536" i="7"/>
  <c r="L536" i="7"/>
  <c r="M536" i="7"/>
  <c r="N536" i="7"/>
  <c r="AI528" i="7"/>
  <c r="L528" i="7"/>
  <c r="M528" i="7"/>
  <c r="N528" i="7"/>
  <c r="AI520" i="7"/>
  <c r="L520" i="7"/>
  <c r="M520" i="7"/>
  <c r="N520" i="7"/>
  <c r="AI512" i="7"/>
  <c r="L512" i="7"/>
  <c r="M512" i="7"/>
  <c r="N512" i="7"/>
  <c r="AI504" i="7"/>
  <c r="L504" i="7"/>
  <c r="M504" i="7"/>
  <c r="N504" i="7"/>
  <c r="AI496" i="7"/>
  <c r="L496" i="7"/>
  <c r="M496" i="7"/>
  <c r="N496" i="7"/>
  <c r="AI488" i="7"/>
  <c r="L488" i="7"/>
  <c r="M488" i="7"/>
  <c r="N488" i="7"/>
  <c r="AI480" i="7"/>
  <c r="L480" i="7"/>
  <c r="M480" i="7"/>
  <c r="N480" i="7"/>
  <c r="AI472" i="7"/>
  <c r="L472" i="7"/>
  <c r="M472" i="7"/>
  <c r="N472" i="7"/>
  <c r="AI464" i="7"/>
  <c r="L464" i="7"/>
  <c r="M464" i="7"/>
  <c r="N464" i="7"/>
  <c r="AI456" i="7"/>
  <c r="L456" i="7"/>
  <c r="M456" i="7"/>
  <c r="N456" i="7"/>
  <c r="AI448" i="7"/>
  <c r="L448" i="7"/>
  <c r="M448" i="7"/>
  <c r="N448" i="7"/>
  <c r="AI440" i="7"/>
  <c r="L440" i="7"/>
  <c r="M440" i="7"/>
  <c r="N440" i="7"/>
  <c r="AI432" i="7"/>
  <c r="L432" i="7"/>
  <c r="M432" i="7"/>
  <c r="N432" i="7"/>
  <c r="AI424" i="7"/>
  <c r="L424" i="7"/>
  <c r="M424" i="7"/>
  <c r="N424" i="7"/>
  <c r="AI416" i="7"/>
  <c r="L416" i="7"/>
  <c r="M416" i="7"/>
  <c r="N416" i="7"/>
  <c r="AI408" i="7"/>
  <c r="L408" i="7"/>
  <c r="M408" i="7"/>
  <c r="N408" i="7"/>
  <c r="AI400" i="7"/>
  <c r="L400" i="7"/>
  <c r="M400" i="7"/>
  <c r="N400" i="7"/>
  <c r="AI392" i="7"/>
  <c r="L392" i="7"/>
  <c r="M392" i="7"/>
  <c r="N392" i="7"/>
  <c r="AI384" i="7"/>
  <c r="L384" i="7"/>
  <c r="M384" i="7"/>
  <c r="N384" i="7"/>
  <c r="AI376" i="7"/>
  <c r="L376" i="7"/>
  <c r="M376" i="7"/>
  <c r="N376" i="7"/>
  <c r="AI368" i="7"/>
  <c r="L368" i="7"/>
  <c r="M368" i="7"/>
  <c r="N368" i="7"/>
  <c r="AI360" i="7"/>
  <c r="L360" i="7"/>
  <c r="M360" i="7"/>
  <c r="N360" i="7"/>
  <c r="AI352" i="7"/>
  <c r="L352" i="7"/>
  <c r="M352" i="7"/>
  <c r="N352" i="7"/>
  <c r="AI344" i="7"/>
  <c r="L344" i="7"/>
  <c r="M344" i="7"/>
  <c r="N344" i="7"/>
  <c r="AI336" i="7"/>
  <c r="L336" i="7"/>
  <c r="M336" i="7"/>
  <c r="N336" i="7"/>
  <c r="AI328" i="7"/>
  <c r="L328" i="7"/>
  <c r="M328" i="7"/>
  <c r="N328" i="7"/>
  <c r="AI320" i="7"/>
  <c r="L320" i="7"/>
  <c r="M320" i="7"/>
  <c r="N320" i="7"/>
  <c r="AI312" i="7"/>
  <c r="L312" i="7"/>
  <c r="M312" i="7"/>
  <c r="N312" i="7"/>
  <c r="AI304" i="7"/>
  <c r="L304" i="7"/>
  <c r="M304" i="7"/>
  <c r="N304" i="7"/>
  <c r="AI296" i="7"/>
  <c r="L296" i="7"/>
  <c r="M296" i="7"/>
  <c r="N296" i="7"/>
  <c r="AI288" i="7"/>
  <c r="L288" i="7"/>
  <c r="M288" i="7"/>
  <c r="N288" i="7"/>
  <c r="AI280" i="7"/>
  <c r="L280" i="7"/>
  <c r="M280" i="7"/>
  <c r="N280" i="7"/>
  <c r="AI272" i="7"/>
  <c r="L272" i="7"/>
  <c r="M272" i="7"/>
  <c r="N272" i="7"/>
  <c r="AI264" i="7"/>
  <c r="L264" i="7"/>
  <c r="M264" i="7"/>
  <c r="N264" i="7"/>
  <c r="AI256" i="7"/>
  <c r="L256" i="7"/>
  <c r="M256" i="7"/>
  <c r="N256" i="7"/>
  <c r="AI247" i="7"/>
  <c r="N247" i="7"/>
  <c r="L247" i="7"/>
  <c r="M247" i="7"/>
  <c r="AI239" i="7"/>
  <c r="N239" i="7"/>
  <c r="L239" i="7"/>
  <c r="M239" i="7"/>
  <c r="M231" i="7"/>
  <c r="AI231" i="7"/>
  <c r="L231" i="7"/>
  <c r="N231" i="7"/>
  <c r="M223" i="7"/>
  <c r="AI223" i="7"/>
  <c r="L223" i="7"/>
  <c r="N223" i="7"/>
  <c r="M215" i="7"/>
  <c r="AI215" i="7"/>
  <c r="L215" i="7"/>
  <c r="N215" i="7"/>
  <c r="L207" i="7"/>
  <c r="M207" i="7"/>
  <c r="N207" i="7"/>
  <c r="AI207" i="7"/>
  <c r="L199" i="7"/>
  <c r="M199" i="7"/>
  <c r="N199" i="7"/>
  <c r="AI199" i="7"/>
  <c r="L191" i="7"/>
  <c r="M191" i="7"/>
  <c r="N191" i="7"/>
  <c r="AI191" i="7"/>
  <c r="L183" i="7"/>
  <c r="M183" i="7"/>
  <c r="N183" i="7"/>
  <c r="AI183" i="7"/>
  <c r="L175" i="7"/>
  <c r="M175" i="7"/>
  <c r="N175" i="7"/>
  <c r="AI175" i="7"/>
  <c r="L167" i="7"/>
  <c r="M167" i="7"/>
  <c r="N167" i="7"/>
  <c r="AI167" i="7"/>
  <c r="L159" i="7"/>
  <c r="M159" i="7"/>
  <c r="N159" i="7"/>
  <c r="AI159" i="7"/>
  <c r="L151" i="7"/>
  <c r="M151" i="7"/>
  <c r="N151" i="7"/>
  <c r="AI151" i="7"/>
  <c r="L143" i="7"/>
  <c r="M143" i="7"/>
  <c r="N143" i="7"/>
  <c r="AI143" i="7"/>
  <c r="L135" i="7"/>
  <c r="M135" i="7"/>
  <c r="N135" i="7"/>
  <c r="AI135" i="7"/>
  <c r="L127" i="7"/>
  <c r="M127" i="7"/>
  <c r="N127" i="7"/>
  <c r="AI127" i="7"/>
  <c r="L119" i="7"/>
  <c r="M119" i="7"/>
  <c r="N119" i="7"/>
  <c r="AI119" i="7"/>
  <c r="L111" i="7"/>
  <c r="M111" i="7"/>
  <c r="N111" i="7"/>
  <c r="AI111" i="7"/>
  <c r="L103" i="7"/>
  <c r="M103" i="7"/>
  <c r="N103" i="7"/>
  <c r="AI103" i="7"/>
  <c r="L95" i="7"/>
  <c r="M95" i="7"/>
  <c r="N95" i="7"/>
  <c r="AI95" i="7"/>
  <c r="L87" i="7"/>
  <c r="M87" i="7"/>
  <c r="N87" i="7"/>
  <c r="AI87" i="7"/>
  <c r="L79" i="7"/>
  <c r="M79" i="7"/>
  <c r="N79" i="7"/>
  <c r="AI79" i="7"/>
  <c r="L71" i="7"/>
  <c r="M71" i="7"/>
  <c r="N71" i="7"/>
  <c r="AI71" i="7"/>
  <c r="L63" i="7"/>
  <c r="M63" i="7"/>
  <c r="N63" i="7"/>
  <c r="AI63" i="7"/>
  <c r="L55" i="7"/>
  <c r="M55" i="7"/>
  <c r="N55" i="7"/>
  <c r="AI55" i="7"/>
  <c r="L47" i="7"/>
  <c r="M47" i="7"/>
  <c r="N47" i="7"/>
  <c r="AI47" i="7"/>
  <c r="L39" i="7"/>
  <c r="M39" i="7"/>
  <c r="N39" i="7"/>
  <c r="AI39" i="7"/>
  <c r="L31" i="7"/>
  <c r="M31" i="7"/>
  <c r="N31" i="7"/>
  <c r="AI31" i="7"/>
  <c r="L16" i="7"/>
  <c r="M16" i="7"/>
  <c r="N16" i="7"/>
  <c r="AI16" i="7"/>
  <c r="M21" i="7"/>
  <c r="N21" i="7"/>
  <c r="AI21" i="7"/>
  <c r="L21" i="7"/>
  <c r="AI234" i="7"/>
  <c r="M234" i="7"/>
  <c r="N234" i="7"/>
  <c r="L234" i="7"/>
  <c r="AI226" i="7"/>
  <c r="M226" i="7"/>
  <c r="N226" i="7"/>
  <c r="L226" i="7"/>
  <c r="AI218" i="7"/>
  <c r="M218" i="7"/>
  <c r="N218" i="7"/>
  <c r="L218" i="7"/>
  <c r="N210" i="7"/>
  <c r="AI210" i="7"/>
  <c r="L210" i="7"/>
  <c r="M210" i="7"/>
  <c r="N202" i="7"/>
  <c r="AI202" i="7"/>
  <c r="L202" i="7"/>
  <c r="M202" i="7"/>
  <c r="N194" i="7"/>
  <c r="AI194" i="7"/>
  <c r="L194" i="7"/>
  <c r="M194" i="7"/>
  <c r="N186" i="7"/>
  <c r="AI186" i="7"/>
  <c r="L186" i="7"/>
  <c r="M186" i="7"/>
  <c r="N178" i="7"/>
  <c r="AI178" i="7"/>
  <c r="L178" i="7"/>
  <c r="M178" i="7"/>
  <c r="N170" i="7"/>
  <c r="AI170" i="7"/>
  <c r="L170" i="7"/>
  <c r="M170" i="7"/>
  <c r="N162" i="7"/>
  <c r="AI162" i="7"/>
  <c r="L162" i="7"/>
  <c r="M162" i="7"/>
  <c r="N154" i="7"/>
  <c r="AI154" i="7"/>
  <c r="L154" i="7"/>
  <c r="M154" i="7"/>
  <c r="N146" i="7"/>
  <c r="AI146" i="7"/>
  <c r="L146" i="7"/>
  <c r="M146" i="7"/>
  <c r="N138" i="7"/>
  <c r="AI138" i="7"/>
  <c r="L138" i="7"/>
  <c r="M138" i="7"/>
  <c r="N130" i="7"/>
  <c r="AI130" i="7"/>
  <c r="L130" i="7"/>
  <c r="M130" i="7"/>
  <c r="N122" i="7"/>
  <c r="AI122" i="7"/>
  <c r="L122" i="7"/>
  <c r="M122" i="7"/>
  <c r="N114" i="7"/>
  <c r="AI114" i="7"/>
  <c r="L114" i="7"/>
  <c r="M114" i="7"/>
  <c r="N106" i="7"/>
  <c r="AI106" i="7"/>
  <c r="L106" i="7"/>
  <c r="M106" i="7"/>
  <c r="N98" i="7"/>
  <c r="AI98" i="7"/>
  <c r="L98" i="7"/>
  <c r="M98" i="7"/>
  <c r="N90" i="7"/>
  <c r="AI90" i="7"/>
  <c r="L90" i="7"/>
  <c r="M90" i="7"/>
  <c r="N82" i="7"/>
  <c r="AI82" i="7"/>
  <c r="L82" i="7"/>
  <c r="M82" i="7"/>
  <c r="N74" i="7"/>
  <c r="AI74" i="7"/>
  <c r="L74" i="7"/>
  <c r="M74" i="7"/>
  <c r="N66" i="7"/>
  <c r="AI66" i="7"/>
  <c r="L66" i="7"/>
  <c r="M66" i="7"/>
  <c r="N58" i="7"/>
  <c r="AI58" i="7"/>
  <c r="L58" i="7"/>
  <c r="M58" i="7"/>
  <c r="N50" i="7"/>
  <c r="AI50" i="7"/>
  <c r="L50" i="7"/>
  <c r="M50" i="7"/>
  <c r="N42" i="7"/>
  <c r="AI42" i="7"/>
  <c r="L42" i="7"/>
  <c r="M42" i="7"/>
  <c r="N34" i="7"/>
  <c r="AI34" i="7"/>
  <c r="L34" i="7"/>
  <c r="M34" i="7"/>
  <c r="N22" i="7"/>
  <c r="AI22" i="7"/>
  <c r="L22" i="7"/>
  <c r="M22" i="7"/>
  <c r="AI23" i="7"/>
  <c r="L23" i="7"/>
  <c r="M23" i="7"/>
  <c r="N23" i="7"/>
  <c r="O64" i="10"/>
  <c r="P63" i="10"/>
  <c r="Q63" i="10"/>
  <c r="M585" i="7"/>
  <c r="N585" i="7"/>
  <c r="AI585" i="7"/>
  <c r="L585" i="7"/>
  <c r="M577" i="7"/>
  <c r="N577" i="7"/>
  <c r="AI577" i="7"/>
  <c r="L577" i="7"/>
  <c r="M569" i="7"/>
  <c r="N569" i="7"/>
  <c r="AI569" i="7"/>
  <c r="L569" i="7"/>
  <c r="M561" i="7"/>
  <c r="N561" i="7"/>
  <c r="AI561" i="7"/>
  <c r="L561" i="7"/>
  <c r="M553" i="7"/>
  <c r="N553" i="7"/>
  <c r="AI553" i="7"/>
  <c r="L553" i="7"/>
  <c r="M545" i="7"/>
  <c r="N545" i="7"/>
  <c r="AI545" i="7"/>
  <c r="L545" i="7"/>
  <c r="M537" i="7"/>
  <c r="N537" i="7"/>
  <c r="AI537" i="7"/>
  <c r="L537" i="7"/>
  <c r="M529" i="7"/>
  <c r="N529" i="7"/>
  <c r="AI529" i="7"/>
  <c r="L529" i="7"/>
  <c r="M521" i="7"/>
  <c r="N521" i="7"/>
  <c r="AI521" i="7"/>
  <c r="L521" i="7"/>
  <c r="M513" i="7"/>
  <c r="N513" i="7"/>
  <c r="AI513" i="7"/>
  <c r="L513" i="7"/>
  <c r="M505" i="7"/>
  <c r="N505" i="7"/>
  <c r="AI505" i="7"/>
  <c r="L505" i="7"/>
  <c r="M497" i="7"/>
  <c r="N497" i="7"/>
  <c r="AI497" i="7"/>
  <c r="L497" i="7"/>
  <c r="M489" i="7"/>
  <c r="N489" i="7"/>
  <c r="AI489" i="7"/>
  <c r="L489" i="7"/>
  <c r="M481" i="7"/>
  <c r="N481" i="7"/>
  <c r="AI481" i="7"/>
  <c r="L481" i="7"/>
  <c r="M473" i="7"/>
  <c r="N473" i="7"/>
  <c r="AI473" i="7"/>
  <c r="L473" i="7"/>
  <c r="M465" i="7"/>
  <c r="N465" i="7"/>
  <c r="AI465" i="7"/>
  <c r="L465" i="7"/>
  <c r="M457" i="7"/>
  <c r="N457" i="7"/>
  <c r="AI457" i="7"/>
  <c r="L457" i="7"/>
  <c r="M449" i="7"/>
  <c r="N449" i="7"/>
  <c r="AI449" i="7"/>
  <c r="L449" i="7"/>
  <c r="M441" i="7"/>
  <c r="N441" i="7"/>
  <c r="AI441" i="7"/>
  <c r="L441" i="7"/>
  <c r="M433" i="7"/>
  <c r="N433" i="7"/>
  <c r="AI433" i="7"/>
  <c r="L433" i="7"/>
  <c r="M425" i="7"/>
  <c r="N425" i="7"/>
  <c r="AI425" i="7"/>
  <c r="L425" i="7"/>
  <c r="M417" i="7"/>
  <c r="N417" i="7"/>
  <c r="AI417" i="7"/>
  <c r="L417" i="7"/>
  <c r="M409" i="7"/>
  <c r="N409" i="7"/>
  <c r="AI409" i="7"/>
  <c r="L409" i="7"/>
  <c r="M401" i="7"/>
  <c r="N401" i="7"/>
  <c r="AI401" i="7"/>
  <c r="L401" i="7"/>
  <c r="M393" i="7"/>
  <c r="N393" i="7"/>
  <c r="AI393" i="7"/>
  <c r="L393" i="7"/>
  <c r="M385" i="7"/>
  <c r="N385" i="7"/>
  <c r="AI385" i="7"/>
  <c r="L385" i="7"/>
  <c r="M377" i="7"/>
  <c r="N377" i="7"/>
  <c r="AI377" i="7"/>
  <c r="L377" i="7"/>
  <c r="M369" i="7"/>
  <c r="N369" i="7"/>
  <c r="AI369" i="7"/>
  <c r="L369" i="7"/>
  <c r="M361" i="7"/>
  <c r="N361" i="7"/>
  <c r="AI361" i="7"/>
  <c r="L361" i="7"/>
  <c r="M353" i="7"/>
  <c r="N353" i="7"/>
  <c r="AI353" i="7"/>
  <c r="L353" i="7"/>
  <c r="M345" i="7"/>
  <c r="N345" i="7"/>
  <c r="AI345" i="7"/>
  <c r="L345" i="7"/>
  <c r="M337" i="7"/>
  <c r="N337" i="7"/>
  <c r="AI337" i="7"/>
  <c r="L337" i="7"/>
  <c r="M329" i="7"/>
  <c r="N329" i="7"/>
  <c r="AI329" i="7"/>
  <c r="L329" i="7"/>
  <c r="M321" i="7"/>
  <c r="N321" i="7"/>
  <c r="AI321" i="7"/>
  <c r="L321" i="7"/>
  <c r="M313" i="7"/>
  <c r="N313" i="7"/>
  <c r="AI313" i="7"/>
  <c r="L313" i="7"/>
  <c r="M305" i="7"/>
  <c r="N305" i="7"/>
  <c r="AI305" i="7"/>
  <c r="L305" i="7"/>
  <c r="M297" i="7"/>
  <c r="N297" i="7"/>
  <c r="AI297" i="7"/>
  <c r="L297" i="7"/>
  <c r="M289" i="7"/>
  <c r="N289" i="7"/>
  <c r="AI289" i="7"/>
  <c r="L289" i="7"/>
  <c r="M281" i="7"/>
  <c r="N281" i="7"/>
  <c r="AI281" i="7"/>
  <c r="L281" i="7"/>
  <c r="M273" i="7"/>
  <c r="N273" i="7"/>
  <c r="AI273" i="7"/>
  <c r="L273" i="7"/>
  <c r="M265" i="7"/>
  <c r="N265" i="7"/>
  <c r="AI265" i="7"/>
  <c r="L265" i="7"/>
  <c r="M257" i="7"/>
  <c r="N257" i="7"/>
  <c r="AI257" i="7"/>
  <c r="L257" i="7"/>
  <c r="M250" i="7"/>
  <c r="N250" i="7"/>
  <c r="AI250" i="7"/>
  <c r="L250" i="7"/>
  <c r="M242" i="7"/>
  <c r="N242" i="7"/>
  <c r="AI242" i="7"/>
  <c r="L242" i="7"/>
  <c r="AI590" i="7"/>
  <c r="L590" i="7"/>
  <c r="M590" i="7"/>
  <c r="N590" i="7"/>
  <c r="AI582" i="7"/>
  <c r="L582" i="7"/>
  <c r="M582" i="7"/>
  <c r="N582" i="7"/>
  <c r="AI574" i="7"/>
  <c r="L574" i="7"/>
  <c r="M574" i="7"/>
  <c r="N574" i="7"/>
  <c r="AI566" i="7"/>
  <c r="L566" i="7"/>
  <c r="M566" i="7"/>
  <c r="N566" i="7"/>
  <c r="AI558" i="7"/>
  <c r="L558" i="7"/>
  <c r="M558" i="7"/>
  <c r="N558" i="7"/>
  <c r="AI550" i="7"/>
  <c r="L550" i="7"/>
  <c r="M550" i="7"/>
  <c r="N550" i="7"/>
  <c r="AI542" i="7"/>
  <c r="L542" i="7"/>
  <c r="M542" i="7"/>
  <c r="N542" i="7"/>
  <c r="AI534" i="7"/>
  <c r="L534" i="7"/>
  <c r="M534" i="7"/>
  <c r="N534" i="7"/>
  <c r="AI526" i="7"/>
  <c r="L526" i="7"/>
  <c r="M526" i="7"/>
  <c r="N526" i="7"/>
  <c r="AI518" i="7"/>
  <c r="L518" i="7"/>
  <c r="M518" i="7"/>
  <c r="N518" i="7"/>
  <c r="AI510" i="7"/>
  <c r="L510" i="7"/>
  <c r="M510" i="7"/>
  <c r="N510" i="7"/>
  <c r="AI502" i="7"/>
  <c r="L502" i="7"/>
  <c r="M502" i="7"/>
  <c r="N502" i="7"/>
  <c r="AI494" i="7"/>
  <c r="L494" i="7"/>
  <c r="M494" i="7"/>
  <c r="N494" i="7"/>
  <c r="AI486" i="7"/>
  <c r="L486" i="7"/>
  <c r="M486" i="7"/>
  <c r="N486" i="7"/>
  <c r="AI478" i="7"/>
  <c r="L478" i="7"/>
  <c r="M478" i="7"/>
  <c r="N478" i="7"/>
  <c r="AI470" i="7"/>
  <c r="L470" i="7"/>
  <c r="M470" i="7"/>
  <c r="N470" i="7"/>
  <c r="AI462" i="7"/>
  <c r="L462" i="7"/>
  <c r="M462" i="7"/>
  <c r="N462" i="7"/>
  <c r="AI454" i="7"/>
  <c r="L454" i="7"/>
  <c r="M454" i="7"/>
  <c r="N454" i="7"/>
  <c r="AI446" i="7"/>
  <c r="L446" i="7"/>
  <c r="M446" i="7"/>
  <c r="N446" i="7"/>
  <c r="AI438" i="7"/>
  <c r="L438" i="7"/>
  <c r="M438" i="7"/>
  <c r="N438" i="7"/>
  <c r="AI430" i="7"/>
  <c r="L430" i="7"/>
  <c r="M430" i="7"/>
  <c r="N430" i="7"/>
  <c r="AI422" i="7"/>
  <c r="L422" i="7"/>
  <c r="M422" i="7"/>
  <c r="N422" i="7"/>
  <c r="AI414" i="7"/>
  <c r="L414" i="7"/>
  <c r="M414" i="7"/>
  <c r="N414" i="7"/>
  <c r="AI406" i="7"/>
  <c r="L406" i="7"/>
  <c r="M406" i="7"/>
  <c r="N406" i="7"/>
  <c r="AI398" i="7"/>
  <c r="L398" i="7"/>
  <c r="M398" i="7"/>
  <c r="N398" i="7"/>
  <c r="AI390" i="7"/>
  <c r="L390" i="7"/>
  <c r="M390" i="7"/>
  <c r="N390" i="7"/>
  <c r="AI382" i="7"/>
  <c r="L382" i="7"/>
  <c r="M382" i="7"/>
  <c r="N382" i="7"/>
  <c r="AI374" i="7"/>
  <c r="L374" i="7"/>
  <c r="M374" i="7"/>
  <c r="N374" i="7"/>
  <c r="AI366" i="7"/>
  <c r="L366" i="7"/>
  <c r="M366" i="7"/>
  <c r="N366" i="7"/>
  <c r="AI358" i="7"/>
  <c r="L358" i="7"/>
  <c r="M358" i="7"/>
  <c r="N358" i="7"/>
  <c r="AI350" i="7"/>
  <c r="L350" i="7"/>
  <c r="M350" i="7"/>
  <c r="N350" i="7"/>
  <c r="AI342" i="7"/>
  <c r="L342" i="7"/>
  <c r="M342" i="7"/>
  <c r="N342" i="7"/>
  <c r="AI334" i="7"/>
  <c r="L334" i="7"/>
  <c r="M334" i="7"/>
  <c r="N334" i="7"/>
  <c r="AI326" i="7"/>
  <c r="L326" i="7"/>
  <c r="M326" i="7"/>
  <c r="N326" i="7"/>
  <c r="AI318" i="7"/>
  <c r="L318" i="7"/>
  <c r="M318" i="7"/>
  <c r="N318" i="7"/>
  <c r="AI310" i="7"/>
  <c r="L310" i="7"/>
  <c r="M310" i="7"/>
  <c r="N310" i="7"/>
  <c r="AI302" i="7"/>
  <c r="L302" i="7"/>
  <c r="M302" i="7"/>
  <c r="N302" i="7"/>
  <c r="AI294" i="7"/>
  <c r="L294" i="7"/>
  <c r="M294" i="7"/>
  <c r="N294" i="7"/>
  <c r="AI286" i="7"/>
  <c r="L286" i="7"/>
  <c r="M286" i="7"/>
  <c r="N286" i="7"/>
  <c r="AI278" i="7"/>
  <c r="L278" i="7"/>
  <c r="M278" i="7"/>
  <c r="N278" i="7"/>
  <c r="AI270" i="7"/>
  <c r="L270" i="7"/>
  <c r="M270" i="7"/>
  <c r="N270" i="7"/>
  <c r="AI262" i="7"/>
  <c r="L262" i="7"/>
  <c r="M262" i="7"/>
  <c r="N262" i="7"/>
  <c r="AI254" i="7"/>
  <c r="L254" i="7"/>
  <c r="M254" i="7"/>
  <c r="N254" i="7"/>
  <c r="AI245" i="7"/>
  <c r="N245" i="7"/>
  <c r="L245" i="7"/>
  <c r="M245" i="7"/>
  <c r="AI237" i="7"/>
  <c r="N237" i="7"/>
  <c r="L237" i="7"/>
  <c r="M237" i="7"/>
  <c r="M229" i="7"/>
  <c r="AI229" i="7"/>
  <c r="L229" i="7"/>
  <c r="N229" i="7"/>
  <c r="M221" i="7"/>
  <c r="AI221" i="7"/>
  <c r="L221" i="7"/>
  <c r="N221" i="7"/>
  <c r="M213" i="7"/>
  <c r="N213" i="7"/>
  <c r="AI213" i="7"/>
  <c r="L213" i="7"/>
  <c r="L205" i="7"/>
  <c r="M205" i="7"/>
  <c r="N205" i="7"/>
  <c r="AI205" i="7"/>
  <c r="L197" i="7"/>
  <c r="M197" i="7"/>
  <c r="N197" i="7"/>
  <c r="AI197" i="7"/>
  <c r="L189" i="7"/>
  <c r="M189" i="7"/>
  <c r="N189" i="7"/>
  <c r="AI189" i="7"/>
  <c r="L181" i="7"/>
  <c r="M181" i="7"/>
  <c r="N181" i="7"/>
  <c r="AI181" i="7"/>
  <c r="L173" i="7"/>
  <c r="M173" i="7"/>
  <c r="N173" i="7"/>
  <c r="AI173" i="7"/>
  <c r="L165" i="7"/>
  <c r="M165" i="7"/>
  <c r="N165" i="7"/>
  <c r="AI165" i="7"/>
  <c r="L157" i="7"/>
  <c r="M157" i="7"/>
  <c r="N157" i="7"/>
  <c r="AI157" i="7"/>
  <c r="L149" i="7"/>
  <c r="M149" i="7"/>
  <c r="N149" i="7"/>
  <c r="AI149" i="7"/>
  <c r="L141" i="7"/>
  <c r="M141" i="7"/>
  <c r="N141" i="7"/>
  <c r="AI141" i="7"/>
  <c r="L133" i="7"/>
  <c r="M133" i="7"/>
  <c r="N133" i="7"/>
  <c r="AI133" i="7"/>
  <c r="L125" i="7"/>
  <c r="M125" i="7"/>
  <c r="N125" i="7"/>
  <c r="AI125" i="7"/>
  <c r="L117" i="7"/>
  <c r="M117" i="7"/>
  <c r="N117" i="7"/>
  <c r="AI117" i="7"/>
  <c r="L109" i="7"/>
  <c r="M109" i="7"/>
  <c r="N109" i="7"/>
  <c r="AI109" i="7"/>
  <c r="L101" i="7"/>
  <c r="M101" i="7"/>
  <c r="N101" i="7"/>
  <c r="AI101" i="7"/>
  <c r="L93" i="7"/>
  <c r="M93" i="7"/>
  <c r="N93" i="7"/>
  <c r="AI93" i="7"/>
  <c r="L85" i="7"/>
  <c r="M85" i="7"/>
  <c r="N85" i="7"/>
  <c r="AI85" i="7"/>
  <c r="L77" i="7"/>
  <c r="M77" i="7"/>
  <c r="N77" i="7"/>
  <c r="AI77" i="7"/>
  <c r="L69" i="7"/>
  <c r="M69" i="7"/>
  <c r="N69" i="7"/>
  <c r="AI69" i="7"/>
  <c r="L61" i="7"/>
  <c r="M61" i="7"/>
  <c r="N61" i="7"/>
  <c r="AI61" i="7"/>
  <c r="L53" i="7"/>
  <c r="M53" i="7"/>
  <c r="N53" i="7"/>
  <c r="AI53" i="7"/>
  <c r="L45" i="7"/>
  <c r="M45" i="7"/>
  <c r="N45" i="7"/>
  <c r="AI45" i="7"/>
  <c r="L37" i="7"/>
  <c r="M37" i="7"/>
  <c r="N37" i="7"/>
  <c r="AI37" i="7"/>
  <c r="L28" i="7"/>
  <c r="M28" i="7"/>
  <c r="N28" i="7"/>
  <c r="AI28" i="7"/>
  <c r="L12" i="7"/>
  <c r="M12" i="7"/>
  <c r="N12" i="7"/>
  <c r="AI12" i="7"/>
  <c r="M17" i="7"/>
  <c r="N17" i="7"/>
  <c r="AI17" i="7"/>
  <c r="L17" i="7"/>
  <c r="AI232" i="7"/>
  <c r="M232" i="7"/>
  <c r="N232" i="7"/>
  <c r="L232" i="7"/>
  <c r="AI224" i="7"/>
  <c r="M224" i="7"/>
  <c r="N224" i="7"/>
  <c r="L224" i="7"/>
  <c r="AI216" i="7"/>
  <c r="M216" i="7"/>
  <c r="N216" i="7"/>
  <c r="L216" i="7"/>
  <c r="N208" i="7"/>
  <c r="AI208" i="7"/>
  <c r="L208" i="7"/>
  <c r="M208" i="7"/>
  <c r="N200" i="7"/>
  <c r="AI200" i="7"/>
  <c r="L200" i="7"/>
  <c r="M200" i="7"/>
  <c r="N192" i="7"/>
  <c r="AI192" i="7"/>
  <c r="L192" i="7"/>
  <c r="M192" i="7"/>
  <c r="N184" i="7"/>
  <c r="AI184" i="7"/>
  <c r="L184" i="7"/>
  <c r="M184" i="7"/>
  <c r="N176" i="7"/>
  <c r="AI176" i="7"/>
  <c r="L176" i="7"/>
  <c r="M176" i="7"/>
  <c r="N168" i="7"/>
  <c r="AI168" i="7"/>
  <c r="L168" i="7"/>
  <c r="M168" i="7"/>
  <c r="N160" i="7"/>
  <c r="AI160" i="7"/>
  <c r="L160" i="7"/>
  <c r="M160" i="7"/>
  <c r="N152" i="7"/>
  <c r="AI152" i="7"/>
  <c r="L152" i="7"/>
  <c r="M152" i="7"/>
  <c r="N144" i="7"/>
  <c r="AI144" i="7"/>
  <c r="L144" i="7"/>
  <c r="M144" i="7"/>
  <c r="N136" i="7"/>
  <c r="AI136" i="7"/>
  <c r="L136" i="7"/>
  <c r="M136" i="7"/>
  <c r="N128" i="7"/>
  <c r="AI128" i="7"/>
  <c r="L128" i="7"/>
  <c r="M128" i="7"/>
  <c r="N120" i="7"/>
  <c r="AI120" i="7"/>
  <c r="L120" i="7"/>
  <c r="M120" i="7"/>
  <c r="N112" i="7"/>
  <c r="AI112" i="7"/>
  <c r="L112" i="7"/>
  <c r="M112" i="7"/>
  <c r="N104" i="7"/>
  <c r="AI104" i="7"/>
  <c r="L104" i="7"/>
  <c r="M104" i="7"/>
  <c r="N96" i="7"/>
  <c r="AI96" i="7"/>
  <c r="L96" i="7"/>
  <c r="M96" i="7"/>
  <c r="N88" i="7"/>
  <c r="AI88" i="7"/>
  <c r="L88" i="7"/>
  <c r="M88" i="7"/>
  <c r="N80" i="7"/>
  <c r="AI80" i="7"/>
  <c r="L80" i="7"/>
  <c r="M80" i="7"/>
  <c r="N72" i="7"/>
  <c r="AI72" i="7"/>
  <c r="L72" i="7"/>
  <c r="M72" i="7"/>
  <c r="N64" i="7"/>
  <c r="AI64" i="7"/>
  <c r="L64" i="7"/>
  <c r="M64" i="7"/>
  <c r="N56" i="7"/>
  <c r="AI56" i="7"/>
  <c r="L56" i="7"/>
  <c r="M56" i="7"/>
  <c r="N48" i="7"/>
  <c r="AI48" i="7"/>
  <c r="L48" i="7"/>
  <c r="M48" i="7"/>
  <c r="N40" i="7"/>
  <c r="AI40" i="7"/>
  <c r="L40" i="7"/>
  <c r="M40" i="7"/>
  <c r="N32" i="7"/>
  <c r="AI32" i="7"/>
  <c r="L32" i="7"/>
  <c r="M32" i="7"/>
  <c r="N18" i="7"/>
  <c r="AI18" i="7"/>
  <c r="L18" i="7"/>
  <c r="M18" i="7"/>
  <c r="AI19" i="7"/>
  <c r="L19" i="7"/>
  <c r="M19" i="7"/>
  <c r="N19" i="7"/>
  <c r="M591" i="7"/>
  <c r="N591" i="7"/>
  <c r="AI591" i="7"/>
  <c r="L591" i="7"/>
  <c r="M583" i="7"/>
  <c r="N583" i="7"/>
  <c r="AI583" i="7"/>
  <c r="L583" i="7"/>
  <c r="M575" i="7"/>
  <c r="N575" i="7"/>
  <c r="AI575" i="7"/>
  <c r="L575" i="7"/>
  <c r="M567" i="7"/>
  <c r="N567" i="7"/>
  <c r="AI567" i="7"/>
  <c r="L567" i="7"/>
  <c r="M559" i="7"/>
  <c r="N559" i="7"/>
  <c r="AI559" i="7"/>
  <c r="L559" i="7"/>
  <c r="M551" i="7"/>
  <c r="N551" i="7"/>
  <c r="AI551" i="7"/>
  <c r="L551" i="7"/>
  <c r="M543" i="7"/>
  <c r="N543" i="7"/>
  <c r="AI543" i="7"/>
  <c r="L543" i="7"/>
  <c r="M535" i="7"/>
  <c r="N535" i="7"/>
  <c r="AI535" i="7"/>
  <c r="L535" i="7"/>
  <c r="M527" i="7"/>
  <c r="N527" i="7"/>
  <c r="AI527" i="7"/>
  <c r="L527" i="7"/>
  <c r="M519" i="7"/>
  <c r="N519" i="7"/>
  <c r="AI519" i="7"/>
  <c r="L519" i="7"/>
  <c r="M511" i="7"/>
  <c r="N511" i="7"/>
  <c r="AI511" i="7"/>
  <c r="L511" i="7"/>
  <c r="M503" i="7"/>
  <c r="N503" i="7"/>
  <c r="AI503" i="7"/>
  <c r="L503" i="7"/>
  <c r="M495" i="7"/>
  <c r="N495" i="7"/>
  <c r="AI495" i="7"/>
  <c r="L495" i="7"/>
  <c r="M487" i="7"/>
  <c r="N487" i="7"/>
  <c r="AI487" i="7"/>
  <c r="L487" i="7"/>
  <c r="M479" i="7"/>
  <c r="N479" i="7"/>
  <c r="AI479" i="7"/>
  <c r="L479" i="7"/>
  <c r="M471" i="7"/>
  <c r="N471" i="7"/>
  <c r="AI471" i="7"/>
  <c r="L471" i="7"/>
  <c r="M463" i="7"/>
  <c r="N463" i="7"/>
  <c r="AI463" i="7"/>
  <c r="L463" i="7"/>
  <c r="M455" i="7"/>
  <c r="N455" i="7"/>
  <c r="AI455" i="7"/>
  <c r="L455" i="7"/>
  <c r="M447" i="7"/>
  <c r="N447" i="7"/>
  <c r="AI447" i="7"/>
  <c r="L447" i="7"/>
  <c r="M439" i="7"/>
  <c r="N439" i="7"/>
  <c r="AI439" i="7"/>
  <c r="L439" i="7"/>
  <c r="M431" i="7"/>
  <c r="N431" i="7"/>
  <c r="AI431" i="7"/>
  <c r="L431" i="7"/>
  <c r="M423" i="7"/>
  <c r="N423" i="7"/>
  <c r="AI423" i="7"/>
  <c r="L423" i="7"/>
  <c r="M415" i="7"/>
  <c r="N415" i="7"/>
  <c r="AI415" i="7"/>
  <c r="L415" i="7"/>
  <c r="M407" i="7"/>
  <c r="N407" i="7"/>
  <c r="AI407" i="7"/>
  <c r="L407" i="7"/>
  <c r="M399" i="7"/>
  <c r="N399" i="7"/>
  <c r="AI399" i="7"/>
  <c r="L399" i="7"/>
  <c r="M391" i="7"/>
  <c r="N391" i="7"/>
  <c r="AI391" i="7"/>
  <c r="L391" i="7"/>
  <c r="M383" i="7"/>
  <c r="N383" i="7"/>
  <c r="AI383" i="7"/>
  <c r="L383" i="7"/>
  <c r="M375" i="7"/>
  <c r="N375" i="7"/>
  <c r="AI375" i="7"/>
  <c r="L375" i="7"/>
  <c r="M367" i="7"/>
  <c r="N367" i="7"/>
  <c r="AI367" i="7"/>
  <c r="L367" i="7"/>
  <c r="M359" i="7"/>
  <c r="N359" i="7"/>
  <c r="AI359" i="7"/>
  <c r="L359" i="7"/>
  <c r="M351" i="7"/>
  <c r="N351" i="7"/>
  <c r="AI351" i="7"/>
  <c r="L351" i="7"/>
  <c r="M343" i="7"/>
  <c r="N343" i="7"/>
  <c r="AI343" i="7"/>
  <c r="L343" i="7"/>
  <c r="M335" i="7"/>
  <c r="N335" i="7"/>
  <c r="AI335" i="7"/>
  <c r="L335" i="7"/>
  <c r="M327" i="7"/>
  <c r="N327" i="7"/>
  <c r="AI327" i="7"/>
  <c r="L327" i="7"/>
  <c r="M319" i="7"/>
  <c r="N319" i="7"/>
  <c r="AI319" i="7"/>
  <c r="L319" i="7"/>
  <c r="M311" i="7"/>
  <c r="N311" i="7"/>
  <c r="AI311" i="7"/>
  <c r="L311" i="7"/>
  <c r="M303" i="7"/>
  <c r="N303" i="7"/>
  <c r="AI303" i="7"/>
  <c r="L303" i="7"/>
  <c r="M295" i="7"/>
  <c r="N295" i="7"/>
  <c r="AI295" i="7"/>
  <c r="L295" i="7"/>
  <c r="M287" i="7"/>
  <c r="N287" i="7"/>
  <c r="AI287" i="7"/>
  <c r="L287" i="7"/>
  <c r="M279" i="7"/>
  <c r="N279" i="7"/>
  <c r="AI279" i="7"/>
  <c r="L279" i="7"/>
  <c r="M271" i="7"/>
  <c r="N271" i="7"/>
  <c r="AI271" i="7"/>
  <c r="L271" i="7"/>
  <c r="M263" i="7"/>
  <c r="N263" i="7"/>
  <c r="AI263" i="7"/>
  <c r="L263" i="7"/>
  <c r="M255" i="7"/>
  <c r="N255" i="7"/>
  <c r="AI255" i="7"/>
  <c r="L255" i="7"/>
  <c r="M248" i="7"/>
  <c r="N248" i="7"/>
  <c r="AI248" i="7"/>
  <c r="L248" i="7"/>
  <c r="M240" i="7"/>
  <c r="N240" i="7"/>
  <c r="AI240" i="7"/>
  <c r="L240" i="7"/>
  <c r="AI588" i="7"/>
  <c r="L588" i="7"/>
  <c r="M588" i="7"/>
  <c r="N588" i="7"/>
  <c r="AI580" i="7"/>
  <c r="L580" i="7"/>
  <c r="M580" i="7"/>
  <c r="N580" i="7"/>
  <c r="AI572" i="7"/>
  <c r="L572" i="7"/>
  <c r="M572" i="7"/>
  <c r="N572" i="7"/>
  <c r="AI564" i="7"/>
  <c r="L564" i="7"/>
  <c r="M564" i="7"/>
  <c r="N564" i="7"/>
  <c r="AI556" i="7"/>
  <c r="AK8" i="7"/>
  <c r="L556" i="7"/>
  <c r="M556" i="7"/>
  <c r="N556" i="7"/>
  <c r="AI548" i="7"/>
  <c r="L548" i="7"/>
  <c r="M548" i="7"/>
  <c r="N548" i="7"/>
  <c r="AI540" i="7"/>
  <c r="L540" i="7"/>
  <c r="M540" i="7"/>
  <c r="N540" i="7"/>
  <c r="AI532" i="7"/>
  <c r="L532" i="7"/>
  <c r="M532" i="7"/>
  <c r="N532" i="7"/>
  <c r="AI524" i="7"/>
  <c r="L524" i="7"/>
  <c r="M524" i="7"/>
  <c r="N524" i="7"/>
  <c r="AI516" i="7"/>
  <c r="L516" i="7"/>
  <c r="M516" i="7"/>
  <c r="N516" i="7"/>
  <c r="AI508" i="7"/>
  <c r="L508" i="7"/>
  <c r="M508" i="7"/>
  <c r="N508" i="7"/>
  <c r="AI500" i="7"/>
  <c r="L500" i="7"/>
  <c r="M500" i="7"/>
  <c r="N500" i="7"/>
  <c r="AI492" i="7"/>
  <c r="L492" i="7"/>
  <c r="M492" i="7"/>
  <c r="N492" i="7"/>
  <c r="AI484" i="7"/>
  <c r="L484" i="7"/>
  <c r="M484" i="7"/>
  <c r="N484" i="7"/>
  <c r="AI476" i="7"/>
  <c r="L476" i="7"/>
  <c r="M476" i="7"/>
  <c r="N476" i="7"/>
  <c r="AI468" i="7"/>
  <c r="L468" i="7"/>
  <c r="M468" i="7"/>
  <c r="N468" i="7"/>
  <c r="AI460" i="7"/>
  <c r="L460" i="7"/>
  <c r="M460" i="7"/>
  <c r="N460" i="7"/>
  <c r="AI452" i="7"/>
  <c r="L452" i="7"/>
  <c r="M452" i="7"/>
  <c r="N452" i="7"/>
  <c r="AI444" i="7"/>
  <c r="L444" i="7"/>
  <c r="M444" i="7"/>
  <c r="N444" i="7"/>
  <c r="AI436" i="7"/>
  <c r="L436" i="7"/>
  <c r="M436" i="7"/>
  <c r="N436" i="7"/>
  <c r="AI428" i="7"/>
  <c r="L428" i="7"/>
  <c r="M428" i="7"/>
  <c r="N428" i="7"/>
  <c r="AI420" i="7"/>
  <c r="L420" i="7"/>
  <c r="M420" i="7"/>
  <c r="N420" i="7"/>
  <c r="AI412" i="7"/>
  <c r="L412" i="7"/>
  <c r="M412" i="7"/>
  <c r="N412" i="7"/>
  <c r="AI404" i="7"/>
  <c r="L404" i="7"/>
  <c r="M404" i="7"/>
  <c r="N404" i="7"/>
  <c r="AI396" i="7"/>
  <c r="L396" i="7"/>
  <c r="M396" i="7"/>
  <c r="N396" i="7"/>
  <c r="AI388" i="7"/>
  <c r="L388" i="7"/>
  <c r="M388" i="7"/>
  <c r="N388" i="7"/>
  <c r="AI380" i="7"/>
  <c r="L380" i="7"/>
  <c r="M380" i="7"/>
  <c r="N380" i="7"/>
  <c r="AI372" i="7"/>
  <c r="L372" i="7"/>
  <c r="M372" i="7"/>
  <c r="N372" i="7"/>
  <c r="AI364" i="7"/>
  <c r="L364" i="7"/>
  <c r="M364" i="7"/>
  <c r="N364" i="7"/>
  <c r="AI356" i="7"/>
  <c r="L356" i="7"/>
  <c r="M356" i="7"/>
  <c r="N356" i="7"/>
  <c r="AI348" i="7"/>
  <c r="L348" i="7"/>
  <c r="M348" i="7"/>
  <c r="N348" i="7"/>
  <c r="AI340" i="7"/>
  <c r="L340" i="7"/>
  <c r="M340" i="7"/>
  <c r="N340" i="7"/>
  <c r="AI332" i="7"/>
  <c r="L332" i="7"/>
  <c r="M332" i="7"/>
  <c r="N332" i="7"/>
  <c r="AI324" i="7"/>
  <c r="L324" i="7"/>
  <c r="M324" i="7"/>
  <c r="N324" i="7"/>
  <c r="AI316" i="7"/>
  <c r="L316" i="7"/>
  <c r="M316" i="7"/>
  <c r="N316" i="7"/>
  <c r="AI308" i="7"/>
  <c r="L308" i="7"/>
  <c r="M308" i="7"/>
  <c r="N308" i="7"/>
  <c r="AI300" i="7"/>
  <c r="L300" i="7"/>
  <c r="M300" i="7"/>
  <c r="N300" i="7"/>
  <c r="AI292" i="7"/>
  <c r="L292" i="7"/>
  <c r="M292" i="7"/>
  <c r="N292" i="7"/>
  <c r="AI284" i="7"/>
  <c r="L284" i="7"/>
  <c r="M284" i="7"/>
  <c r="N284" i="7"/>
  <c r="AI276" i="7"/>
  <c r="L276" i="7"/>
  <c r="M276" i="7"/>
  <c r="N276" i="7"/>
  <c r="AI268" i="7"/>
  <c r="L268" i="7"/>
  <c r="M268" i="7"/>
  <c r="N268" i="7"/>
  <c r="AI260" i="7"/>
  <c r="L260" i="7"/>
  <c r="M260" i="7"/>
  <c r="N260" i="7"/>
  <c r="AI252" i="7"/>
  <c r="L252" i="7"/>
  <c r="M252" i="7"/>
  <c r="N252" i="7"/>
  <c r="AI243" i="7"/>
  <c r="N243" i="7"/>
  <c r="L243" i="7"/>
  <c r="M243" i="7"/>
  <c r="M235" i="7"/>
  <c r="AI235" i="7"/>
  <c r="L235" i="7"/>
  <c r="N235" i="7"/>
  <c r="M227" i="7"/>
  <c r="AI227" i="7"/>
  <c r="L227" i="7"/>
  <c r="N227" i="7"/>
  <c r="M219" i="7"/>
  <c r="AI219" i="7"/>
  <c r="L219" i="7"/>
  <c r="N219" i="7"/>
  <c r="L211" i="7"/>
  <c r="M211" i="7"/>
  <c r="N211" i="7"/>
  <c r="AI211" i="7"/>
  <c r="L203" i="7"/>
  <c r="M203" i="7"/>
  <c r="N203" i="7"/>
  <c r="AI203" i="7"/>
  <c r="L195" i="7"/>
  <c r="M195" i="7"/>
  <c r="N195" i="7"/>
  <c r="AI195" i="7"/>
  <c r="L187" i="7"/>
  <c r="M187" i="7"/>
  <c r="N187" i="7"/>
  <c r="AI187" i="7"/>
  <c r="L179" i="7"/>
  <c r="M179" i="7"/>
  <c r="N179" i="7"/>
  <c r="AI179" i="7"/>
  <c r="L171" i="7"/>
  <c r="M171" i="7"/>
  <c r="N171" i="7"/>
  <c r="AI171" i="7"/>
  <c r="L163" i="7"/>
  <c r="M163" i="7"/>
  <c r="N163" i="7"/>
  <c r="AI163" i="7"/>
  <c r="L155" i="7"/>
  <c r="M155" i="7"/>
  <c r="N155" i="7"/>
  <c r="AI155" i="7"/>
  <c r="L147" i="7"/>
  <c r="M147" i="7"/>
  <c r="N147" i="7"/>
  <c r="AI147" i="7"/>
  <c r="L139" i="7"/>
  <c r="M139" i="7"/>
  <c r="N139" i="7"/>
  <c r="AI139" i="7"/>
  <c r="L131" i="7"/>
  <c r="M131" i="7"/>
  <c r="N131" i="7"/>
  <c r="AI131" i="7"/>
  <c r="L123" i="7"/>
  <c r="M123" i="7"/>
  <c r="N123" i="7"/>
  <c r="AI123" i="7"/>
  <c r="L115" i="7"/>
  <c r="M115" i="7"/>
  <c r="N115" i="7"/>
  <c r="AI115" i="7"/>
  <c r="L107" i="7"/>
  <c r="M107" i="7"/>
  <c r="N107" i="7"/>
  <c r="AI107" i="7"/>
  <c r="L99" i="7"/>
  <c r="M99" i="7"/>
  <c r="N99" i="7"/>
  <c r="AI99" i="7"/>
  <c r="L91" i="7"/>
  <c r="M91" i="7"/>
  <c r="N91" i="7"/>
  <c r="AI91" i="7"/>
  <c r="L83" i="7"/>
  <c r="M83" i="7"/>
  <c r="N83" i="7"/>
  <c r="AI83" i="7"/>
  <c r="L75" i="7"/>
  <c r="M75" i="7"/>
  <c r="N75" i="7"/>
  <c r="AI75" i="7"/>
  <c r="L67" i="7"/>
  <c r="M67" i="7"/>
  <c r="N67" i="7"/>
  <c r="AI67" i="7"/>
  <c r="L59" i="7"/>
  <c r="M59" i="7"/>
  <c r="N59" i="7"/>
  <c r="AI59" i="7"/>
  <c r="L51" i="7"/>
  <c r="M51" i="7"/>
  <c r="N51" i="7"/>
  <c r="AI51" i="7"/>
  <c r="L43" i="7"/>
  <c r="M43" i="7"/>
  <c r="N43" i="7"/>
  <c r="AI43" i="7"/>
  <c r="L35" i="7"/>
  <c r="M35" i="7"/>
  <c r="N35" i="7"/>
  <c r="AI35" i="7"/>
  <c r="L24" i="7"/>
  <c r="M24" i="7"/>
  <c r="N24" i="7"/>
  <c r="AI24" i="7"/>
  <c r="M29" i="7"/>
  <c r="N29" i="7"/>
  <c r="AI29" i="7"/>
  <c r="L29" i="7"/>
  <c r="M13" i="7"/>
  <c r="N13" i="7"/>
  <c r="AI13" i="7"/>
  <c r="L13" i="7"/>
  <c r="AI230" i="7"/>
  <c r="M230" i="7"/>
  <c r="N230" i="7"/>
  <c r="L230" i="7"/>
  <c r="AI222" i="7"/>
  <c r="M222" i="7"/>
  <c r="N222" i="7"/>
  <c r="L222" i="7"/>
  <c r="AI214" i="7"/>
  <c r="L214" i="7"/>
  <c r="M214" i="7"/>
  <c r="N214" i="7"/>
  <c r="N206" i="7"/>
  <c r="AI206" i="7"/>
  <c r="L206" i="7"/>
  <c r="M206" i="7"/>
  <c r="N198" i="7"/>
  <c r="AI198" i="7"/>
  <c r="L198" i="7"/>
  <c r="M198" i="7"/>
  <c r="N190" i="7"/>
  <c r="AI190" i="7"/>
  <c r="L190" i="7"/>
  <c r="M190" i="7"/>
  <c r="N182" i="7"/>
  <c r="AI182" i="7"/>
  <c r="L182" i="7"/>
  <c r="M182" i="7"/>
  <c r="N174" i="7"/>
  <c r="AI174" i="7"/>
  <c r="L174" i="7"/>
  <c r="M174" i="7"/>
  <c r="N166" i="7"/>
  <c r="AI166" i="7"/>
  <c r="L166" i="7"/>
  <c r="M166" i="7"/>
  <c r="N158" i="7"/>
  <c r="AI158" i="7"/>
  <c r="L158" i="7"/>
  <c r="M158" i="7"/>
  <c r="N150" i="7"/>
  <c r="AI150" i="7"/>
  <c r="L150" i="7"/>
  <c r="M150" i="7"/>
  <c r="N142" i="7"/>
  <c r="AI142" i="7"/>
  <c r="L142" i="7"/>
  <c r="M142" i="7"/>
  <c r="N134" i="7"/>
  <c r="AI134" i="7"/>
  <c r="L134" i="7"/>
  <c r="M134" i="7"/>
  <c r="N126" i="7"/>
  <c r="AI126" i="7"/>
  <c r="L126" i="7"/>
  <c r="M126" i="7"/>
  <c r="N118" i="7"/>
  <c r="AI118" i="7"/>
  <c r="L118" i="7"/>
  <c r="M118" i="7"/>
  <c r="N110" i="7"/>
  <c r="AI110" i="7"/>
  <c r="L110" i="7"/>
  <c r="M110" i="7"/>
  <c r="N102" i="7"/>
  <c r="AI102" i="7"/>
  <c r="L102" i="7"/>
  <c r="M102" i="7"/>
  <c r="N94" i="7"/>
  <c r="AI94" i="7"/>
  <c r="L94" i="7"/>
  <c r="M94" i="7"/>
  <c r="N86" i="7"/>
  <c r="AI86" i="7"/>
  <c r="L86" i="7"/>
  <c r="M86" i="7"/>
  <c r="N78" i="7"/>
  <c r="AI78" i="7"/>
  <c r="L78" i="7"/>
  <c r="M78" i="7"/>
  <c r="N70" i="7"/>
  <c r="AI70" i="7"/>
  <c r="L70" i="7"/>
  <c r="M70" i="7"/>
  <c r="N62" i="7"/>
  <c r="AI62" i="7"/>
  <c r="L62" i="7"/>
  <c r="M62" i="7"/>
  <c r="N54" i="7"/>
  <c r="AI54" i="7"/>
  <c r="L54" i="7"/>
  <c r="M54" i="7"/>
  <c r="N46" i="7"/>
  <c r="AI46" i="7"/>
  <c r="L46" i="7"/>
  <c r="M46" i="7"/>
  <c r="N38" i="7"/>
  <c r="AI38" i="7"/>
  <c r="L38" i="7"/>
  <c r="M38" i="7"/>
  <c r="N30" i="7"/>
  <c r="AI30" i="7"/>
  <c r="L30" i="7"/>
  <c r="M30" i="7"/>
  <c r="N14" i="7"/>
  <c r="AI14" i="7"/>
  <c r="L14" i="7"/>
  <c r="M14" i="7"/>
  <c r="AI15" i="7"/>
  <c r="L15" i="7"/>
  <c r="M15" i="7"/>
  <c r="N15" i="7"/>
  <c r="M589" i="7"/>
  <c r="N589" i="7"/>
  <c r="AI589" i="7"/>
  <c r="L589" i="7"/>
  <c r="M581" i="7"/>
  <c r="N581" i="7"/>
  <c r="AI581" i="7"/>
  <c r="L581" i="7"/>
  <c r="M573" i="7"/>
  <c r="N573" i="7"/>
  <c r="AI573" i="7"/>
  <c r="L573" i="7"/>
  <c r="M565" i="7"/>
  <c r="N565" i="7"/>
  <c r="AI565" i="7"/>
  <c r="L565" i="7"/>
  <c r="M557" i="7"/>
  <c r="N557" i="7"/>
  <c r="AI557" i="7"/>
  <c r="L557" i="7"/>
  <c r="M549" i="7"/>
  <c r="N549" i="7"/>
  <c r="AI549" i="7"/>
  <c r="L549" i="7"/>
  <c r="M541" i="7"/>
  <c r="N541" i="7"/>
  <c r="AI541" i="7"/>
  <c r="L541" i="7"/>
  <c r="M533" i="7"/>
  <c r="N533" i="7"/>
  <c r="AI533" i="7"/>
  <c r="L533" i="7"/>
  <c r="M525" i="7"/>
  <c r="N525" i="7"/>
  <c r="AI525" i="7"/>
  <c r="L525" i="7"/>
  <c r="M517" i="7"/>
  <c r="N517" i="7"/>
  <c r="AI517" i="7"/>
  <c r="L517" i="7"/>
  <c r="M509" i="7"/>
  <c r="N509" i="7"/>
  <c r="AI509" i="7"/>
  <c r="L509" i="7"/>
  <c r="M501" i="7"/>
  <c r="N501" i="7"/>
  <c r="AI501" i="7"/>
  <c r="L501" i="7"/>
  <c r="M493" i="7"/>
  <c r="N493" i="7"/>
  <c r="AI493" i="7"/>
  <c r="L493" i="7"/>
  <c r="M485" i="7"/>
  <c r="N485" i="7"/>
  <c r="AI485" i="7"/>
  <c r="L485" i="7"/>
  <c r="M477" i="7"/>
  <c r="N477" i="7"/>
  <c r="AI477" i="7"/>
  <c r="L477" i="7"/>
  <c r="M469" i="7"/>
  <c r="N469" i="7"/>
  <c r="AI469" i="7"/>
  <c r="L469" i="7"/>
  <c r="M461" i="7"/>
  <c r="N461" i="7"/>
  <c r="AI461" i="7"/>
  <c r="L461" i="7"/>
  <c r="M453" i="7"/>
  <c r="N453" i="7"/>
  <c r="AI453" i="7"/>
  <c r="L453" i="7"/>
  <c r="M445" i="7"/>
  <c r="N445" i="7"/>
  <c r="AI445" i="7"/>
  <c r="L445" i="7"/>
  <c r="M437" i="7"/>
  <c r="N437" i="7"/>
  <c r="AI437" i="7"/>
  <c r="L437" i="7"/>
  <c r="M429" i="7"/>
  <c r="N429" i="7"/>
  <c r="AI429" i="7"/>
  <c r="L429" i="7"/>
  <c r="M421" i="7"/>
  <c r="N421" i="7"/>
  <c r="AI421" i="7"/>
  <c r="L421" i="7"/>
  <c r="M413" i="7"/>
  <c r="N413" i="7"/>
  <c r="AI413" i="7"/>
  <c r="L413" i="7"/>
  <c r="M405" i="7"/>
  <c r="N405" i="7"/>
  <c r="AI405" i="7"/>
  <c r="L405" i="7"/>
  <c r="M397" i="7"/>
  <c r="N397" i="7"/>
  <c r="AI397" i="7"/>
  <c r="L397" i="7"/>
  <c r="M389" i="7"/>
  <c r="N389" i="7"/>
  <c r="AI389" i="7"/>
  <c r="L389" i="7"/>
  <c r="M381" i="7"/>
  <c r="N381" i="7"/>
  <c r="AI381" i="7"/>
  <c r="L381" i="7"/>
  <c r="M373" i="7"/>
  <c r="N373" i="7"/>
  <c r="AI373" i="7"/>
  <c r="L373" i="7"/>
  <c r="M365" i="7"/>
  <c r="N365" i="7"/>
  <c r="AI365" i="7"/>
  <c r="L365" i="7"/>
  <c r="M357" i="7"/>
  <c r="N357" i="7"/>
  <c r="AI357" i="7"/>
  <c r="L357" i="7"/>
  <c r="M349" i="7"/>
  <c r="N349" i="7"/>
  <c r="AI349" i="7"/>
  <c r="L349" i="7"/>
  <c r="M341" i="7"/>
  <c r="N341" i="7"/>
  <c r="AI341" i="7"/>
  <c r="L341" i="7"/>
  <c r="M333" i="7"/>
  <c r="N333" i="7"/>
  <c r="AI333" i="7"/>
  <c r="L333" i="7"/>
  <c r="M325" i="7"/>
  <c r="N325" i="7"/>
  <c r="AI325" i="7"/>
  <c r="L325" i="7"/>
  <c r="M317" i="7"/>
  <c r="N317" i="7"/>
  <c r="AI317" i="7"/>
  <c r="L317" i="7"/>
  <c r="M309" i="7"/>
  <c r="N309" i="7"/>
  <c r="AI309" i="7"/>
  <c r="L309" i="7"/>
  <c r="M301" i="7"/>
  <c r="N301" i="7"/>
  <c r="AI301" i="7"/>
  <c r="L301" i="7"/>
  <c r="M293" i="7"/>
  <c r="N293" i="7"/>
  <c r="AI293" i="7"/>
  <c r="L293" i="7"/>
  <c r="M285" i="7"/>
  <c r="N285" i="7"/>
  <c r="AI285" i="7"/>
  <c r="L285" i="7"/>
  <c r="M277" i="7"/>
  <c r="N277" i="7"/>
  <c r="AI277" i="7"/>
  <c r="L277" i="7"/>
  <c r="M269" i="7"/>
  <c r="N269" i="7"/>
  <c r="AI269" i="7"/>
  <c r="L269" i="7"/>
  <c r="M261" i="7"/>
  <c r="N261" i="7"/>
  <c r="AI261" i="7"/>
  <c r="L261" i="7"/>
  <c r="M253" i="7"/>
  <c r="N253" i="7"/>
  <c r="AI253" i="7"/>
  <c r="L253" i="7"/>
  <c r="M246" i="7"/>
  <c r="N246" i="7"/>
  <c r="AI246" i="7"/>
  <c r="L246" i="7"/>
  <c r="M238" i="7"/>
  <c r="N238" i="7"/>
  <c r="AI238" i="7"/>
  <c r="L238" i="7"/>
  <c r="AI586" i="7"/>
  <c r="L586" i="7"/>
  <c r="M586" i="7"/>
  <c r="N586" i="7"/>
  <c r="AI578" i="7"/>
  <c r="L578" i="7"/>
  <c r="M578" i="7"/>
  <c r="N578" i="7"/>
  <c r="AI570" i="7"/>
  <c r="L570" i="7"/>
  <c r="M570" i="7"/>
  <c r="N570" i="7"/>
  <c r="AI562" i="7"/>
  <c r="L562" i="7"/>
  <c r="M562" i="7"/>
  <c r="N562" i="7"/>
  <c r="AI554" i="7"/>
  <c r="L554" i="7"/>
  <c r="M554" i="7"/>
  <c r="N554" i="7"/>
  <c r="AI546" i="7"/>
  <c r="L546" i="7"/>
  <c r="M546" i="7"/>
  <c r="N546" i="7"/>
  <c r="AI538" i="7"/>
  <c r="L538" i="7"/>
  <c r="M538" i="7"/>
  <c r="N538" i="7"/>
  <c r="AI530" i="7"/>
  <c r="L530" i="7"/>
  <c r="M530" i="7"/>
  <c r="N530" i="7"/>
  <c r="AI522" i="7"/>
  <c r="L522" i="7"/>
  <c r="M522" i="7"/>
  <c r="N522" i="7"/>
  <c r="AI514" i="7"/>
  <c r="L514" i="7"/>
  <c r="M514" i="7"/>
  <c r="N514" i="7"/>
  <c r="AI506" i="7"/>
  <c r="L506" i="7"/>
  <c r="M506" i="7"/>
  <c r="N506" i="7"/>
  <c r="AI498" i="7"/>
  <c r="L498" i="7"/>
  <c r="M498" i="7"/>
  <c r="N498" i="7"/>
  <c r="AI490" i="7"/>
  <c r="L490" i="7"/>
  <c r="M490" i="7"/>
  <c r="N490" i="7"/>
  <c r="AI482" i="7"/>
  <c r="L482" i="7"/>
  <c r="M482" i="7"/>
  <c r="N482" i="7"/>
  <c r="AI474" i="7"/>
  <c r="L474" i="7"/>
  <c r="M474" i="7"/>
  <c r="N474" i="7"/>
  <c r="AI466" i="7"/>
  <c r="L466" i="7"/>
  <c r="M466" i="7"/>
  <c r="N466" i="7"/>
  <c r="AI458" i="7"/>
  <c r="L458" i="7"/>
  <c r="M458" i="7"/>
  <c r="N458" i="7"/>
  <c r="AI450" i="7"/>
  <c r="L450" i="7"/>
  <c r="M450" i="7"/>
  <c r="N450" i="7"/>
  <c r="AI442" i="7"/>
  <c r="L442" i="7"/>
  <c r="M442" i="7"/>
  <c r="N442" i="7"/>
  <c r="AI434" i="7"/>
  <c r="L434" i="7"/>
  <c r="M434" i="7"/>
  <c r="N434" i="7"/>
  <c r="AI426" i="7"/>
  <c r="L426" i="7"/>
  <c r="M426" i="7"/>
  <c r="N426" i="7"/>
  <c r="AI418" i="7"/>
  <c r="L418" i="7"/>
  <c r="M418" i="7"/>
  <c r="N418" i="7"/>
  <c r="AI410" i="7"/>
  <c r="L410" i="7"/>
  <c r="M410" i="7"/>
  <c r="N410" i="7"/>
  <c r="AI402" i="7"/>
  <c r="L402" i="7"/>
  <c r="M402" i="7"/>
  <c r="N402" i="7"/>
  <c r="AI394" i="7"/>
  <c r="L394" i="7"/>
  <c r="M394" i="7"/>
  <c r="N394" i="7"/>
  <c r="AI386" i="7"/>
  <c r="L386" i="7"/>
  <c r="M386" i="7"/>
  <c r="N386" i="7"/>
  <c r="AI378" i="7"/>
  <c r="L378" i="7"/>
  <c r="M378" i="7"/>
  <c r="N378" i="7"/>
  <c r="AI370" i="7"/>
  <c r="L370" i="7"/>
  <c r="M370" i="7"/>
  <c r="N370" i="7"/>
  <c r="AI362" i="7"/>
  <c r="L362" i="7"/>
  <c r="M362" i="7"/>
  <c r="N362" i="7"/>
  <c r="AI354" i="7"/>
  <c r="L354" i="7"/>
  <c r="M354" i="7"/>
  <c r="N354" i="7"/>
  <c r="AI346" i="7"/>
  <c r="L346" i="7"/>
  <c r="M346" i="7"/>
  <c r="N346" i="7"/>
  <c r="AI338" i="7"/>
  <c r="L338" i="7"/>
  <c r="M338" i="7"/>
  <c r="N338" i="7"/>
  <c r="AI330" i="7"/>
  <c r="L330" i="7"/>
  <c r="M330" i="7"/>
  <c r="N330" i="7"/>
  <c r="AI322" i="7"/>
  <c r="L322" i="7"/>
  <c r="M322" i="7"/>
  <c r="N322" i="7"/>
  <c r="AI314" i="7"/>
  <c r="L314" i="7"/>
  <c r="M314" i="7"/>
  <c r="N314" i="7"/>
  <c r="AI306" i="7"/>
  <c r="L306" i="7"/>
  <c r="M306" i="7"/>
  <c r="N306" i="7"/>
  <c r="AI298" i="7"/>
  <c r="L298" i="7"/>
  <c r="M298" i="7"/>
  <c r="N298" i="7"/>
  <c r="AI290" i="7"/>
  <c r="L290" i="7"/>
  <c r="M290" i="7"/>
  <c r="N290" i="7"/>
  <c r="AI282" i="7"/>
  <c r="L282" i="7"/>
  <c r="M282" i="7"/>
  <c r="N282" i="7"/>
  <c r="AI274" i="7"/>
  <c r="L274" i="7"/>
  <c r="M274" i="7"/>
  <c r="N274" i="7"/>
  <c r="AI266" i="7"/>
  <c r="L266" i="7"/>
  <c r="M266" i="7"/>
  <c r="N266" i="7"/>
  <c r="AI258" i="7"/>
  <c r="L258" i="7"/>
  <c r="M258" i="7"/>
  <c r="N258" i="7"/>
  <c r="AI249" i="7"/>
  <c r="N249" i="7"/>
  <c r="L249" i="7"/>
  <c r="M249" i="7"/>
  <c r="AI241" i="7"/>
  <c r="N241" i="7"/>
  <c r="L241" i="7"/>
  <c r="M241" i="7"/>
  <c r="M233" i="7"/>
  <c r="AI233" i="7"/>
  <c r="L233" i="7"/>
  <c r="N233" i="7"/>
  <c r="M225" i="7"/>
  <c r="AI225" i="7"/>
  <c r="L225" i="7"/>
  <c r="N225" i="7"/>
  <c r="M217" i="7"/>
  <c r="AI217" i="7"/>
  <c r="L217" i="7"/>
  <c r="N217" i="7"/>
  <c r="L209" i="7"/>
  <c r="M209" i="7"/>
  <c r="N209" i="7"/>
  <c r="AI209" i="7"/>
  <c r="L201" i="7"/>
  <c r="M201" i="7"/>
  <c r="N201" i="7"/>
  <c r="AI201" i="7"/>
  <c r="L193" i="7"/>
  <c r="M193" i="7"/>
  <c r="N193" i="7"/>
  <c r="AI193" i="7"/>
  <c r="L185" i="7"/>
  <c r="M185" i="7"/>
  <c r="N185" i="7"/>
  <c r="AI185" i="7"/>
  <c r="L177" i="7"/>
  <c r="M177" i="7"/>
  <c r="N177" i="7"/>
  <c r="AI177" i="7"/>
  <c r="L169" i="7"/>
  <c r="M169" i="7"/>
  <c r="N169" i="7"/>
  <c r="AI169" i="7"/>
  <c r="L161" i="7"/>
  <c r="M161" i="7"/>
  <c r="N161" i="7"/>
  <c r="AI161" i="7"/>
  <c r="L153" i="7"/>
  <c r="M153" i="7"/>
  <c r="N153" i="7"/>
  <c r="AI153" i="7"/>
  <c r="L145" i="7"/>
  <c r="M145" i="7"/>
  <c r="N145" i="7"/>
  <c r="AI145" i="7"/>
  <c r="L137" i="7"/>
  <c r="M137" i="7"/>
  <c r="N137" i="7"/>
  <c r="AI137" i="7"/>
  <c r="L129" i="7"/>
  <c r="M129" i="7"/>
  <c r="N129" i="7"/>
  <c r="AI129" i="7"/>
  <c r="L121" i="7"/>
  <c r="M121" i="7"/>
  <c r="N121" i="7"/>
  <c r="AI121" i="7"/>
  <c r="L113" i="7"/>
  <c r="M113" i="7"/>
  <c r="N113" i="7"/>
  <c r="AI113" i="7"/>
  <c r="L105" i="7"/>
  <c r="M105" i="7"/>
  <c r="N105" i="7"/>
  <c r="AI105" i="7"/>
  <c r="L97" i="7"/>
  <c r="M97" i="7"/>
  <c r="N97" i="7"/>
  <c r="AI97" i="7"/>
  <c r="L89" i="7"/>
  <c r="M89" i="7"/>
  <c r="N89" i="7"/>
  <c r="AI89" i="7"/>
  <c r="L81" i="7"/>
  <c r="M81" i="7"/>
  <c r="N81" i="7"/>
  <c r="AI81" i="7"/>
  <c r="L73" i="7"/>
  <c r="M73" i="7"/>
  <c r="N73" i="7"/>
  <c r="AI73" i="7"/>
  <c r="L65" i="7"/>
  <c r="M65" i="7"/>
  <c r="N65" i="7"/>
  <c r="AI65" i="7"/>
  <c r="L57" i="7"/>
  <c r="M57" i="7"/>
  <c r="N57" i="7"/>
  <c r="AI57" i="7"/>
  <c r="L49" i="7"/>
  <c r="M49" i="7"/>
  <c r="N49" i="7"/>
  <c r="AI49" i="7"/>
  <c r="L41" i="7"/>
  <c r="M41" i="7"/>
  <c r="N41" i="7"/>
  <c r="AI41" i="7"/>
  <c r="L33" i="7"/>
  <c r="M33" i="7"/>
  <c r="N33" i="7"/>
  <c r="AI33" i="7"/>
  <c r="L20" i="7"/>
  <c r="M20" i="7"/>
  <c r="N20" i="7"/>
  <c r="AI20" i="7"/>
  <c r="M25" i="7"/>
  <c r="N25" i="7"/>
  <c r="AI25" i="7"/>
  <c r="L25" i="7"/>
  <c r="M10" i="7"/>
  <c r="N10" i="7"/>
  <c r="AI10" i="7"/>
  <c r="L10" i="7"/>
  <c r="AI228" i="7"/>
  <c r="M228" i="7"/>
  <c r="N228" i="7"/>
  <c r="L228" i="7"/>
  <c r="AI220" i="7"/>
  <c r="M220" i="7"/>
  <c r="N220" i="7"/>
  <c r="L220" i="7"/>
  <c r="AI212" i="7"/>
  <c r="L212" i="7"/>
  <c r="M212" i="7"/>
  <c r="N212" i="7"/>
  <c r="N204" i="7"/>
  <c r="AI204" i="7"/>
  <c r="L204" i="7"/>
  <c r="M204" i="7"/>
  <c r="N196" i="7"/>
  <c r="AI196" i="7"/>
  <c r="L196" i="7"/>
  <c r="M196" i="7"/>
  <c r="N188" i="7"/>
  <c r="AI188" i="7"/>
  <c r="L188" i="7"/>
  <c r="M188" i="7"/>
  <c r="N180" i="7"/>
  <c r="AI180" i="7"/>
  <c r="L180" i="7"/>
  <c r="M180" i="7"/>
  <c r="N172" i="7"/>
  <c r="AI172" i="7"/>
  <c r="L172" i="7"/>
  <c r="M172" i="7"/>
  <c r="N164" i="7"/>
  <c r="AI164" i="7"/>
  <c r="L164" i="7"/>
  <c r="M164" i="7"/>
  <c r="N156" i="7"/>
  <c r="AI156" i="7"/>
  <c r="L156" i="7"/>
  <c r="M156" i="7"/>
  <c r="N148" i="7"/>
  <c r="AI148" i="7"/>
  <c r="L148" i="7"/>
  <c r="M148" i="7"/>
  <c r="N140" i="7"/>
  <c r="AI140" i="7"/>
  <c r="L140" i="7"/>
  <c r="M140" i="7"/>
  <c r="N132" i="7"/>
  <c r="AI132" i="7"/>
  <c r="L132" i="7"/>
  <c r="M132" i="7"/>
  <c r="N124" i="7"/>
  <c r="AI124" i="7"/>
  <c r="L124" i="7"/>
  <c r="M124" i="7"/>
  <c r="N116" i="7"/>
  <c r="AI116" i="7"/>
  <c r="L116" i="7"/>
  <c r="M116" i="7"/>
  <c r="N108" i="7"/>
  <c r="AI108" i="7"/>
  <c r="L108" i="7"/>
  <c r="M108" i="7"/>
  <c r="N100" i="7"/>
  <c r="AI100" i="7"/>
  <c r="L100" i="7"/>
  <c r="M100" i="7"/>
  <c r="N92" i="7"/>
  <c r="AI92" i="7"/>
  <c r="L92" i="7"/>
  <c r="M92" i="7"/>
  <c r="N84" i="7"/>
  <c r="AI84" i="7"/>
  <c r="L84" i="7"/>
  <c r="M84" i="7"/>
  <c r="N76" i="7"/>
  <c r="AI76" i="7"/>
  <c r="L76" i="7"/>
  <c r="M76" i="7"/>
  <c r="N68" i="7"/>
  <c r="AI68" i="7"/>
  <c r="L68" i="7"/>
  <c r="M68" i="7"/>
  <c r="N60" i="7"/>
  <c r="AI60" i="7"/>
  <c r="L60" i="7"/>
  <c r="M60" i="7"/>
  <c r="N52" i="7"/>
  <c r="AI52" i="7"/>
  <c r="L52" i="7"/>
  <c r="M52" i="7"/>
  <c r="N44" i="7"/>
  <c r="AI44" i="7"/>
  <c r="L44" i="7"/>
  <c r="M44" i="7"/>
  <c r="N36" i="7"/>
  <c r="AI36" i="7"/>
  <c r="L36" i="7"/>
  <c r="M36" i="7"/>
  <c r="N26" i="7"/>
  <c r="AI26" i="7"/>
  <c r="L26" i="7"/>
  <c r="M26" i="7"/>
  <c r="AI27" i="7"/>
  <c r="L27" i="7"/>
  <c r="M27" i="7"/>
  <c r="N27" i="7"/>
  <c r="AI11" i="7"/>
  <c r="L11" i="7"/>
  <c r="M11" i="7"/>
  <c r="N11" i="7"/>
  <c r="D41" i="10"/>
  <c r="I41" i="10"/>
  <c r="E41" i="10"/>
  <c r="H41" i="10"/>
  <c r="J41" i="10"/>
  <c r="A42" i="10"/>
  <c r="C41" i="10"/>
  <c r="F41" i="10"/>
  <c r="N5" i="7"/>
  <c r="M5" i="7"/>
  <c r="D4" i="12"/>
  <c r="J37" i="4"/>
  <c r="P36" i="4"/>
  <c r="D6" i="8"/>
  <c r="G6" i="8"/>
  <c r="L1060" i="9"/>
  <c r="L421" i="9"/>
  <c r="L1048" i="9"/>
  <c r="L616" i="9"/>
  <c r="L455" i="9"/>
  <c r="L776" i="9"/>
  <c r="L557" i="9"/>
  <c r="L904" i="9"/>
  <c r="L490" i="9"/>
  <c r="L931" i="9"/>
  <c r="L554" i="9"/>
  <c r="L1028" i="9"/>
  <c r="L640" i="9"/>
  <c r="L423" i="9"/>
  <c r="L744" i="9"/>
  <c r="L422" i="9"/>
  <c r="L426" i="9"/>
  <c r="L899" i="9"/>
  <c r="L501" i="9"/>
  <c r="L570" i="9"/>
  <c r="L768" i="9"/>
  <c r="L324" i="9"/>
  <c r="N324" i="9"/>
  <c r="AA324" i="9"/>
  <c r="L551" i="9"/>
  <c r="L867" i="9"/>
  <c r="L497" i="9"/>
  <c r="L872" i="9"/>
  <c r="L437" i="9"/>
  <c r="N437" i="9"/>
  <c r="AA437" i="9"/>
  <c r="L680" i="9"/>
  <c r="L550" i="9"/>
  <c r="L391" i="9"/>
  <c r="L712" i="9"/>
  <c r="L410" i="9"/>
  <c r="N410" i="9"/>
  <c r="AA410" i="9"/>
  <c r="L892" i="9"/>
  <c r="L433" i="9"/>
  <c r="N433" i="9"/>
  <c r="AA433" i="9"/>
  <c r="L648" i="9"/>
  <c r="L486" i="9"/>
  <c r="L487" i="9"/>
  <c r="L808" i="9"/>
  <c r="L936" i="9"/>
  <c r="L519" i="9"/>
  <c r="L1008" i="9"/>
  <c r="L758" i="9"/>
  <c r="M1001" i="9"/>
  <c r="M771" i="9"/>
  <c r="M823" i="9"/>
  <c r="M360" i="9"/>
  <c r="N360" i="9"/>
  <c r="AA360" i="9"/>
  <c r="M885" i="9"/>
  <c r="M372" i="9"/>
  <c r="N372" i="9"/>
  <c r="AA372" i="9"/>
  <c r="M691" i="9"/>
  <c r="M743" i="9"/>
  <c r="M634" i="9"/>
  <c r="M1041" i="9"/>
  <c r="M353" i="9"/>
  <c r="N353" i="9"/>
  <c r="AA353" i="9"/>
  <c r="M348" i="9"/>
  <c r="N348" i="9"/>
  <c r="AA348" i="9"/>
  <c r="M901" i="9"/>
  <c r="M707" i="9"/>
  <c r="M759" i="9"/>
  <c r="M1029" i="9"/>
  <c r="M344" i="9"/>
  <c r="N344" i="9"/>
  <c r="AA344" i="9"/>
  <c r="M627" i="9"/>
  <c r="M679" i="9"/>
  <c r="M731" i="9"/>
  <c r="M730" i="9"/>
  <c r="M949" i="9"/>
  <c r="M791" i="9"/>
  <c r="L577" i="9"/>
  <c r="L863" i="9"/>
  <c r="L956" i="9"/>
  <c r="L503" i="9"/>
  <c r="L816" i="9"/>
  <c r="L495" i="9"/>
  <c r="L549" i="9"/>
  <c r="L1016" i="9"/>
  <c r="L915" i="9"/>
  <c r="L458" i="9"/>
  <c r="L856" i="9"/>
  <c r="L529" i="9"/>
  <c r="L389" i="9"/>
  <c r="N389" i="9"/>
  <c r="AA389" i="9"/>
  <c r="L385" i="9"/>
  <c r="N385" i="9"/>
  <c r="AA385" i="9"/>
  <c r="L800" i="9"/>
  <c r="L479" i="9"/>
  <c r="L406" i="9"/>
  <c r="L664" i="9"/>
  <c r="L984" i="9"/>
  <c r="L1040" i="9"/>
  <c r="L378" i="9"/>
  <c r="N378" i="9"/>
  <c r="AA378" i="9"/>
  <c r="L447" i="9"/>
  <c r="L401" i="9"/>
  <c r="N401" i="9"/>
  <c r="AA401" i="9"/>
  <c r="L940" i="9"/>
  <c r="L561" i="9"/>
  <c r="L438" i="9"/>
  <c r="M1061" i="9"/>
  <c r="M376" i="9"/>
  <c r="M643" i="9"/>
  <c r="M695" i="9"/>
  <c r="M802" i="9"/>
  <c r="L774" i="9"/>
  <c r="M997" i="9"/>
  <c r="M675" i="9"/>
  <c r="M727" i="9"/>
  <c r="L694" i="9"/>
  <c r="M699" i="9"/>
  <c r="M631" i="9"/>
  <c r="M735" i="9"/>
  <c r="M734" i="9"/>
  <c r="L630" i="9"/>
  <c r="M751" i="9"/>
  <c r="M814" i="9"/>
  <c r="M905" i="9"/>
  <c r="M671" i="9"/>
  <c r="M774" i="9"/>
  <c r="M352" i="9"/>
  <c r="N352" i="9"/>
  <c r="AA352" i="9"/>
  <c r="M933" i="9"/>
  <c r="M803" i="9"/>
  <c r="M877" i="9"/>
  <c r="L583" i="9"/>
  <c r="M687" i="9"/>
  <c r="M782" i="9"/>
  <c r="M1057" i="9"/>
  <c r="M607" i="9"/>
  <c r="M742" i="9"/>
  <c r="M739" i="9"/>
  <c r="M798" i="9"/>
  <c r="L860" i="9"/>
  <c r="L543" i="9"/>
  <c r="L534" i="9"/>
  <c r="L728" i="9"/>
  <c r="L688" i="9"/>
  <c r="L972" i="9"/>
  <c r="L996" i="9"/>
  <c r="L538" i="9"/>
  <c r="L545" i="9"/>
  <c r="L471" i="9"/>
  <c r="L454" i="9"/>
  <c r="L876" i="9"/>
  <c r="L442" i="9"/>
  <c r="L672" i="9"/>
  <c r="L405" i="9"/>
  <c r="N405" i="9"/>
  <c r="AA405" i="9"/>
  <c r="L465" i="9"/>
  <c r="N465" i="9"/>
  <c r="AA465" i="9"/>
  <c r="L752" i="9"/>
  <c r="L431" i="9"/>
  <c r="L895" i="9"/>
  <c r="L851" i="9"/>
  <c r="L535" i="9"/>
  <c r="L527" i="9"/>
  <c r="M921" i="9"/>
  <c r="M623" i="9"/>
  <c r="M750" i="9"/>
  <c r="M953" i="9"/>
  <c r="M674" i="9"/>
  <c r="M819" i="9"/>
  <c r="M893" i="9"/>
  <c r="M1025" i="9"/>
  <c r="M835" i="9"/>
  <c r="M766" i="9"/>
  <c r="M815" i="9"/>
  <c r="M718" i="9"/>
  <c r="M811" i="9"/>
  <c r="M770" i="9"/>
  <c r="L710" i="9"/>
  <c r="M794" i="9"/>
  <c r="M1053" i="9"/>
  <c r="M666" i="9"/>
  <c r="M961" i="9"/>
  <c r="M778" i="9"/>
  <c r="M368" i="9"/>
  <c r="N368" i="9"/>
  <c r="AA368" i="9"/>
  <c r="M686" i="9"/>
  <c r="L790" i="9"/>
  <c r="M747" i="9"/>
  <c r="M738" i="9"/>
  <c r="M350" i="9"/>
  <c r="N350" i="9"/>
  <c r="AA350" i="9"/>
  <c r="M646" i="9"/>
  <c r="L646" i="9"/>
  <c r="M719" i="9"/>
  <c r="M843" i="9"/>
  <c r="L822" i="9"/>
  <c r="M989" i="9"/>
  <c r="M746" i="9"/>
  <c r="M654" i="9"/>
  <c r="M683" i="9"/>
  <c r="M706" i="9"/>
  <c r="M614" i="9"/>
  <c r="M869" i="9"/>
  <c r="M670" i="9"/>
  <c r="L736" i="9"/>
  <c r="L415" i="9"/>
  <c r="L533" i="9"/>
  <c r="L888" i="9"/>
  <c r="L573" i="9"/>
  <c r="L453" i="9"/>
  <c r="L847" i="9"/>
  <c r="L449" i="9"/>
  <c r="N449" i="9"/>
  <c r="AA449" i="9"/>
  <c r="L976" i="9"/>
  <c r="L511" i="9"/>
  <c r="L470" i="9"/>
  <c r="L696" i="9"/>
  <c r="L784" i="9"/>
  <c r="L463" i="9"/>
  <c r="L485" i="9"/>
  <c r="L927" i="9"/>
  <c r="L883" i="9"/>
  <c r="L394" i="9"/>
  <c r="N394" i="9"/>
  <c r="AA394" i="9"/>
  <c r="L390" i="9"/>
  <c r="L624" i="9"/>
  <c r="L911" i="9"/>
  <c r="L417" i="9"/>
  <c r="N417" i="9"/>
  <c r="AA417" i="9"/>
  <c r="L760" i="9"/>
  <c r="L407" i="9"/>
  <c r="L720" i="9"/>
  <c r="L399" i="9"/>
  <c r="N399" i="9"/>
  <c r="AA399" i="9"/>
  <c r="M763" i="9"/>
  <c r="M714" i="9"/>
  <c r="M622" i="9"/>
  <c r="L662" i="9"/>
  <c r="M619" i="9"/>
  <c r="M615" i="9"/>
  <c r="M667" i="9"/>
  <c r="M698" i="9"/>
  <c r="M638" i="9"/>
  <c r="M810" i="9"/>
  <c r="M642" i="9"/>
  <c r="M957" i="9"/>
  <c r="M807" i="9"/>
  <c r="M941" i="9"/>
  <c r="M635" i="9"/>
  <c r="M650" i="9"/>
  <c r="M977" i="9"/>
  <c r="M610" i="9"/>
  <c r="M913" i="9"/>
  <c r="M1017" i="9"/>
  <c r="M795" i="9"/>
  <c r="M762" i="9"/>
  <c r="M702" i="9"/>
  <c r="M618" i="9"/>
  <c r="M929" i="9"/>
  <c r="M1049" i="9"/>
  <c r="L726" i="9"/>
  <c r="M361" i="9"/>
  <c r="N361" i="9"/>
  <c r="AA361" i="9"/>
  <c r="M849" i="9"/>
  <c r="M981" i="9"/>
  <c r="M889" i="9"/>
  <c r="M655" i="9"/>
  <c r="L608" i="9"/>
  <c r="L1036" i="9"/>
  <c r="L964" i="9"/>
  <c r="L522" i="9"/>
  <c r="L518" i="9"/>
  <c r="L908" i="9"/>
  <c r="L506" i="9"/>
  <c r="L704" i="9"/>
  <c r="L383" i="9"/>
  <c r="L469" i="9"/>
  <c r="L1004" i="9"/>
  <c r="L656" i="9"/>
  <c r="L943" i="9"/>
  <c r="L924" i="9"/>
  <c r="L474" i="9"/>
  <c r="L481" i="9"/>
  <c r="N481" i="9"/>
  <c r="AA481" i="9"/>
  <c r="L792" i="9"/>
  <c r="L439" i="9"/>
  <c r="L502" i="9"/>
  <c r="L632" i="9"/>
  <c r="L920" i="9"/>
  <c r="L517" i="9"/>
  <c r="L879" i="9"/>
  <c r="L513" i="9"/>
  <c r="M865" i="9"/>
  <c r="M1013" i="9"/>
  <c r="M799" i="9"/>
  <c r="M710" i="9"/>
  <c r="M897" i="9"/>
  <c r="M985" i="9"/>
  <c r="M857" i="9"/>
  <c r="M682" i="9"/>
  <c r="M973" i="9"/>
  <c r="M909" i="9"/>
  <c r="M969" i="9"/>
  <c r="M755" i="9"/>
  <c r="M806" i="9"/>
  <c r="M839" i="9"/>
  <c r="M611" i="9"/>
  <c r="M663" i="9"/>
  <c r="M678" i="9"/>
  <c r="M783" i="9"/>
  <c r="M1037" i="9"/>
  <c r="L590" i="9"/>
  <c r="L708" i="9"/>
  <c r="L944" i="9"/>
  <c r="L748" i="9"/>
  <c r="L478" i="9"/>
  <c r="L451" i="9"/>
  <c r="L820" i="9"/>
  <c r="L569" i="9"/>
  <c r="L668" i="9"/>
  <c r="M827" i="9"/>
  <c r="M831" i="9"/>
  <c r="M1033" i="9"/>
  <c r="L546" i="9"/>
  <c r="L848" i="9"/>
  <c r="L652" i="9"/>
  <c r="L566" i="9"/>
  <c r="L724" i="9"/>
  <c r="L1020" i="9"/>
  <c r="L461" i="9"/>
  <c r="L742" i="9"/>
  <c r="N742" i="9"/>
  <c r="AA742" i="9"/>
  <c r="M965" i="9"/>
  <c r="L441" i="9"/>
  <c r="L562" i="9"/>
  <c r="L932" i="9"/>
  <c r="L457" i="9"/>
  <c r="L429" i="9"/>
  <c r="L968" i="9"/>
  <c r="L514" i="9"/>
  <c r="L1024" i="9"/>
  <c r="L425" i="9"/>
  <c r="N425" i="9"/>
  <c r="AA425" i="9"/>
  <c r="L491" i="9"/>
  <c r="M711" i="9"/>
  <c r="M723" i="9"/>
  <c r="L1032" i="9"/>
  <c r="L477" i="9"/>
  <c r="L521" i="9"/>
  <c r="L493" i="9"/>
  <c r="L855" i="9"/>
  <c r="L1044" i="9"/>
  <c r="L489" i="9"/>
  <c r="L523" i="9"/>
  <c r="L859" i="9"/>
  <c r="M775" i="9"/>
  <c r="M1009" i="9"/>
  <c r="M626" i="9"/>
  <c r="M928" i="9"/>
  <c r="M1044" i="9"/>
  <c r="M960" i="9"/>
  <c r="M434" i="9"/>
  <c r="M507" i="9"/>
  <c r="M450" i="9"/>
  <c r="M498" i="9"/>
  <c r="M491" i="9"/>
  <c r="M856" i="9"/>
  <c r="M908" i="9"/>
  <c r="M455" i="9"/>
  <c r="M551" i="9"/>
  <c r="L574" i="9"/>
  <c r="L499" i="9"/>
  <c r="L868" i="9"/>
  <c r="L606" i="9"/>
  <c r="L475" i="9"/>
  <c r="L907" i="9"/>
  <c r="L473" i="9"/>
  <c r="L916" i="9"/>
  <c r="L558" i="9"/>
  <c r="L427" i="9"/>
  <c r="L796" i="9"/>
  <c r="M861" i="9"/>
  <c r="M1005" i="9"/>
  <c r="M658" i="9"/>
  <c r="L903" i="9"/>
  <c r="L612" i="9"/>
  <c r="L780" i="9"/>
  <c r="L542" i="9"/>
  <c r="L483" i="9"/>
  <c r="L565" i="9"/>
  <c r="L700" i="9"/>
  <c r="M726" i="9"/>
  <c r="M651" i="9"/>
  <c r="L413" i="9"/>
  <c r="N413" i="9"/>
  <c r="AA413" i="9"/>
  <c r="L880" i="9"/>
  <c r="L684" i="9"/>
  <c r="L988" i="9"/>
  <c r="L628" i="9"/>
  <c r="L864" i="9"/>
  <c r="L466" i="9"/>
  <c r="L952" i="9"/>
  <c r="M1045" i="9"/>
  <c r="M945" i="9"/>
  <c r="M722" i="9"/>
  <c r="M715" i="9"/>
  <c r="L1052" i="9"/>
  <c r="L676" i="9"/>
  <c r="L912" i="9"/>
  <c r="L716" i="9"/>
  <c r="L660" i="9"/>
  <c r="L896" i="9"/>
  <c r="L530" i="9"/>
  <c r="L1056" i="9"/>
  <c r="M754" i="9"/>
  <c r="M779" i="9"/>
  <c r="M587" i="9"/>
  <c r="M834" i="9"/>
  <c r="M462" i="9"/>
  <c r="M964" i="9"/>
  <c r="M422" i="9"/>
  <c r="M526" i="9"/>
  <c r="M534" i="9"/>
  <c r="M483" i="9"/>
  <c r="M988" i="9"/>
  <c r="M566" i="9"/>
  <c r="M830" i="9"/>
  <c r="L846" i="9"/>
  <c r="L482" i="9"/>
  <c r="L980" i="9"/>
  <c r="L586" i="9"/>
  <c r="L434" i="9"/>
  <c r="L887" i="9"/>
  <c r="L445" i="9"/>
  <c r="N445" i="9"/>
  <c r="AA445" i="9"/>
  <c r="L553" i="9"/>
  <c r="L555" i="9"/>
  <c r="L891" i="9"/>
  <c r="M786" i="9"/>
  <c r="M1021" i="9"/>
  <c r="L740" i="9"/>
  <c r="L507" i="9"/>
  <c r="L939" i="9"/>
  <c r="L537" i="9"/>
  <c r="L450" i="9"/>
  <c r="L948" i="9"/>
  <c r="L598" i="9"/>
  <c r="L459" i="9"/>
  <c r="L824" i="9"/>
  <c r="M647" i="9"/>
  <c r="M659" i="9"/>
  <c r="M690" i="9"/>
  <c r="M993" i="9"/>
  <c r="L935" i="9"/>
  <c r="L644" i="9"/>
  <c r="L411" i="9"/>
  <c r="L812" i="9"/>
  <c r="L756" i="9"/>
  <c r="L525" i="9"/>
  <c r="L806" i="9"/>
  <c r="M630" i="9"/>
  <c r="M639" i="9"/>
  <c r="M873" i="9"/>
  <c r="L510" i="9"/>
  <c r="L467" i="9"/>
  <c r="L804" i="9"/>
  <c r="L443" i="9"/>
  <c r="L875" i="9"/>
  <c r="L414" i="9"/>
  <c r="L419" i="9"/>
  <c r="L788" i="9"/>
  <c r="L636" i="9"/>
  <c r="L614" i="9"/>
  <c r="M662" i="9"/>
  <c r="M703" i="9"/>
  <c r="M937" i="9"/>
  <c r="M475" i="9"/>
  <c r="M1000" i="9"/>
  <c r="M896" i="9"/>
  <c r="M563" i="9"/>
  <c r="M471" i="9"/>
  <c r="M844" i="9"/>
  <c r="M423" i="9"/>
  <c r="M514" i="9"/>
  <c r="M523" i="9"/>
  <c r="M992" i="9"/>
  <c r="L871" i="9"/>
  <c r="L541" i="9"/>
  <c r="L620" i="9"/>
  <c r="L692" i="9"/>
  <c r="L928" i="9"/>
  <c r="L678" i="9"/>
  <c r="M694" i="9"/>
  <c r="M767" i="9"/>
  <c r="L602" i="9"/>
  <c r="L531" i="9"/>
  <c r="L900" i="9"/>
  <c r="L498" i="9"/>
  <c r="L919" i="9"/>
  <c r="L509" i="9"/>
  <c r="L1000" i="9"/>
  <c r="L923" i="9"/>
  <c r="M925" i="9"/>
  <c r="M881" i="9"/>
  <c r="M818" i="9"/>
  <c r="L446" i="9"/>
  <c r="L435" i="9"/>
  <c r="L772" i="9"/>
  <c r="L462" i="9"/>
  <c r="L539" i="9"/>
  <c r="L992" i="9"/>
  <c r="L594" i="9"/>
  <c r="L515" i="9"/>
  <c r="L852" i="9"/>
  <c r="L430" i="9"/>
  <c r="L582" i="9"/>
  <c r="L732" i="9"/>
  <c r="M758" i="9"/>
  <c r="M853" i="9"/>
  <c r="L505" i="9"/>
  <c r="L418" i="9"/>
  <c r="L960" i="9"/>
  <c r="L526" i="9"/>
  <c r="L578" i="9"/>
  <c r="L1012" i="9"/>
  <c r="L547" i="9"/>
  <c r="L884" i="9"/>
  <c r="L494" i="9"/>
  <c r="L764" i="9"/>
  <c r="M790" i="9"/>
  <c r="M787" i="9"/>
  <c r="M917" i="9"/>
  <c r="M510" i="9"/>
  <c r="M900" i="9"/>
  <c r="M575" i="9"/>
  <c r="M880" i="9"/>
  <c r="M586" i="9"/>
  <c r="M470" i="9"/>
  <c r="M1020" i="9"/>
  <c r="M486" i="9"/>
  <c r="M451" i="9"/>
  <c r="M924" i="9"/>
  <c r="M571" i="9"/>
  <c r="M415" i="9"/>
  <c r="M550" i="9"/>
  <c r="M543" i="9"/>
  <c r="M888" i="9"/>
  <c r="M1012" i="9"/>
  <c r="M598" i="9"/>
  <c r="M852" i="9"/>
  <c r="M511" i="9"/>
  <c r="L734" i="9"/>
  <c r="L770" i="9"/>
  <c r="L571" i="9"/>
  <c r="M546" i="9"/>
  <c r="M952" i="9"/>
  <c r="M826" i="9"/>
  <c r="M948" i="9"/>
  <c r="L802" i="9"/>
  <c r="L832" i="9"/>
  <c r="L834" i="9"/>
  <c r="L599" i="9"/>
  <c r="M518" i="9"/>
  <c r="M494" i="9"/>
  <c r="M466" i="9"/>
  <c r="M578" i="9"/>
  <c r="L738" i="9"/>
  <c r="L642" i="9"/>
  <c r="L686" i="9"/>
  <c r="M454" i="9"/>
  <c r="M936" i="9"/>
  <c r="M562" i="9"/>
  <c r="L762" i="9"/>
  <c r="L828" i="9"/>
  <c r="L754" i="9"/>
  <c r="M1016" i="9"/>
  <c r="M840" i="9"/>
  <c r="M884" i="9"/>
  <c r="M591" i="9"/>
  <c r="M503" i="9"/>
  <c r="L698" i="9"/>
  <c r="L638" i="9"/>
  <c r="L814" i="9"/>
  <c r="M519" i="9"/>
  <c r="M558" i="9"/>
  <c r="M1052" i="9"/>
  <c r="M530" i="9"/>
  <c r="L670" i="9"/>
  <c r="L782" i="9"/>
  <c r="L666" i="9"/>
  <c r="L838" i="9"/>
  <c r="M459" i="9"/>
  <c r="M482" i="9"/>
  <c r="M916" i="9"/>
  <c r="M1056" i="9"/>
  <c r="M590" i="9"/>
  <c r="L786" i="9"/>
  <c r="L766" i="9"/>
  <c r="M594" i="9"/>
  <c r="M1036" i="9"/>
  <c r="M1024" i="9"/>
  <c r="M478" i="9"/>
  <c r="L722" i="9"/>
  <c r="L702" i="9"/>
  <c r="L622" i="9"/>
  <c r="M842" i="9"/>
  <c r="M547" i="9"/>
  <c r="M984" i="9"/>
  <c r="M836" i="9"/>
  <c r="M920" i="9"/>
  <c r="L658" i="9"/>
  <c r="L730" i="9"/>
  <c r="L778" i="9"/>
  <c r="M1008" i="9"/>
  <c r="M535" i="9"/>
  <c r="M487" i="9"/>
  <c r="M515" i="9"/>
  <c r="M832" i="9"/>
  <c r="M1048" i="9"/>
  <c r="L634" i="9"/>
  <c r="L746" i="9"/>
  <c r="L626" i="9"/>
  <c r="L714" i="9"/>
  <c r="M860" i="9"/>
  <c r="M583" i="9"/>
  <c r="M892" i="9"/>
  <c r="M555" i="9"/>
  <c r="M595" i="9"/>
  <c r="M542" i="9"/>
  <c r="M603" i="9"/>
  <c r="L718" i="9"/>
  <c r="L567" i="9"/>
  <c r="L650" i="9"/>
  <c r="M479" i="9"/>
  <c r="M574" i="9"/>
  <c r="L674" i="9"/>
  <c r="N674" i="9"/>
  <c r="AA674" i="9"/>
  <c r="L654" i="9"/>
  <c r="L591" i="9"/>
  <c r="M980" i="9"/>
  <c r="M864" i="9"/>
  <c r="L610" i="9"/>
  <c r="L810" i="9"/>
  <c r="N810" i="9"/>
  <c r="AA810" i="9"/>
  <c r="L690" i="9"/>
  <c r="M972" i="9"/>
  <c r="M539" i="9"/>
  <c r="L844" i="9"/>
  <c r="L706" i="9"/>
  <c r="L750" i="9"/>
  <c r="M944" i="9"/>
  <c r="M956" i="9"/>
  <c r="L682" i="9"/>
  <c r="L818" i="9"/>
  <c r="M1028" i="9"/>
  <c r="L798" i="9"/>
  <c r="L618" i="9"/>
  <c r="L794" i="9"/>
  <c r="M502" i="9"/>
  <c r="M872" i="9"/>
  <c r="M904" i="9"/>
  <c r="M868" i="9"/>
  <c r="M932" i="9"/>
  <c r="M962" i="9"/>
  <c r="M628" i="9"/>
  <c r="M822" i="9"/>
  <c r="M772" i="9"/>
  <c r="M1060" i="9"/>
  <c r="M876" i="9"/>
  <c r="M926" i="9"/>
  <c r="M621" i="9"/>
  <c r="M773" i="9"/>
  <c r="M1051" i="9"/>
  <c r="M701" i="9"/>
  <c r="M570" i="9"/>
  <c r="M490" i="9"/>
  <c r="M870" i="9"/>
  <c r="M576" i="9"/>
  <c r="M493" i="9"/>
  <c r="M808" i="9"/>
  <c r="M505" i="9"/>
  <c r="M990" i="9"/>
  <c r="M600" i="9"/>
  <c r="L563" i="9"/>
  <c r="M538" i="9"/>
  <c r="M582" i="9"/>
  <c r="M838" i="9"/>
  <c r="M673" i="9"/>
  <c r="M871" i="9"/>
  <c r="M1015" i="9"/>
  <c r="M749" i="9"/>
  <c r="M652" i="9"/>
  <c r="M721" i="9"/>
  <c r="M987" i="9"/>
  <c r="L575" i="9"/>
  <c r="M567" i="9"/>
  <c r="L826" i="9"/>
  <c r="M1040" i="9"/>
  <c r="L840" i="9"/>
  <c r="N840" i="9"/>
  <c r="AA840" i="9"/>
  <c r="M637" i="9"/>
  <c r="M609" i="9"/>
  <c r="M1063" i="9"/>
  <c r="M709" i="9"/>
  <c r="M744" i="9"/>
  <c r="M968" i="9"/>
  <c r="L842" i="9"/>
  <c r="M592" i="9"/>
  <c r="M898" i="9"/>
  <c r="M882" i="9"/>
  <c r="M500" i="9"/>
  <c r="M785" i="9"/>
  <c r="M579" i="9"/>
  <c r="M1004" i="9"/>
  <c r="M789" i="9"/>
  <c r="M536" i="9"/>
  <c r="M859" i="9"/>
  <c r="M824" i="9"/>
  <c r="M1054" i="9"/>
  <c r="M756" i="9"/>
  <c r="M935" i="9"/>
  <c r="M1010" i="9"/>
  <c r="M599" i="9"/>
  <c r="M616" i="9"/>
  <c r="M886" i="9"/>
  <c r="M602" i="9"/>
  <c r="M527" i="9"/>
  <c r="M1039" i="9"/>
  <c r="M837" i="9"/>
  <c r="M862" i="9"/>
  <c r="M512" i="9"/>
  <c r="M792" i="9"/>
  <c r="M708" i="9"/>
  <c r="M848" i="9"/>
  <c r="L579" i="9"/>
  <c r="M912" i="9"/>
  <c r="M796" i="9"/>
  <c r="M569" i="9"/>
  <c r="M564" i="9"/>
  <c r="M548" i="9"/>
  <c r="M765" i="9"/>
  <c r="M999" i="9"/>
  <c r="M499" i="9"/>
  <c r="M680" i="9"/>
  <c r="M946" i="9"/>
  <c r="M829" i="9"/>
  <c r="M813" i="9"/>
  <c r="M485" i="9"/>
  <c r="M1026" i="9"/>
  <c r="M895" i="9"/>
  <c r="M685" i="9"/>
  <c r="M974" i="9"/>
  <c r="M828" i="9"/>
  <c r="M601" i="9"/>
  <c r="M549" i="9"/>
  <c r="M533" i="9"/>
  <c r="M1035" i="9"/>
  <c r="M692" i="9"/>
  <c r="M552" i="9"/>
  <c r="M847" i="9"/>
  <c r="M716" i="9"/>
  <c r="L595" i="9"/>
  <c r="M1032" i="9"/>
  <c r="M996" i="9"/>
  <c r="M488" i="9"/>
  <c r="M664" i="9"/>
  <c r="M780" i="9"/>
  <c r="M521" i="9"/>
  <c r="M1038" i="9"/>
  <c r="L830" i="9"/>
  <c r="M559" i="9"/>
  <c r="M923" i="9"/>
  <c r="M657" i="9"/>
  <c r="M593" i="9"/>
  <c r="M820" i="9"/>
  <c r="M998" i="9"/>
  <c r="M737" i="9"/>
  <c r="M976" i="9"/>
  <c r="M495" i="9"/>
  <c r="L559" i="9"/>
  <c r="M506" i="9"/>
  <c r="L587" i="9"/>
  <c r="M522" i="9"/>
  <c r="M887" i="9"/>
  <c r="M910" i="9"/>
  <c r="M1062" i="9"/>
  <c r="M661" i="9"/>
  <c r="M959" i="9"/>
  <c r="M971" i="9"/>
  <c r="M934" i="9"/>
  <c r="L836" i="9"/>
  <c r="M531" i="9"/>
  <c r="M554" i="9"/>
  <c r="M940" i="9"/>
  <c r="M509" i="9"/>
  <c r="M907" i="9"/>
  <c r="M1023" i="9"/>
  <c r="M801" i="9"/>
  <c r="M484" i="9"/>
  <c r="M951" i="9"/>
  <c r="M645" i="9"/>
  <c r="M644" i="9"/>
  <c r="M577" i="9"/>
  <c r="M728" i="9"/>
  <c r="M1058" i="9"/>
  <c r="M525" i="9"/>
  <c r="M1007" i="9"/>
  <c r="M613" i="9"/>
  <c r="M903" i="9"/>
  <c r="M712" i="9"/>
  <c r="M760" i="9"/>
  <c r="M700" i="9"/>
  <c r="M805" i="9"/>
  <c r="M1046" i="9"/>
  <c r="M620" i="9"/>
  <c r="M804" i="9"/>
  <c r="M1047" i="9"/>
  <c r="M776" i="9"/>
  <c r="M812" i="9"/>
  <c r="M573" i="9"/>
  <c r="M914" i="9"/>
  <c r="M930" i="9"/>
  <c r="M927" i="9"/>
  <c r="M604" i="9"/>
  <c r="M991" i="9"/>
  <c r="M950" i="9"/>
  <c r="M866" i="9"/>
  <c r="M878" i="9"/>
  <c r="M740" i="9"/>
  <c r="M978" i="9"/>
  <c r="M636" i="9"/>
  <c r="M966" i="9"/>
  <c r="M1030" i="9"/>
  <c r="M958" i="9"/>
  <c r="M1014" i="9"/>
  <c r="M983" i="9"/>
  <c r="M689" i="9"/>
  <c r="M879" i="9"/>
  <c r="M741" i="9"/>
  <c r="M668" i="9"/>
  <c r="M669" i="9"/>
  <c r="M725" i="9"/>
  <c r="M942" i="9"/>
  <c r="M955" i="9"/>
  <c r="M994" i="9"/>
  <c r="M1003" i="9"/>
  <c r="M911" i="9"/>
  <c r="M676" i="9"/>
  <c r="M732" i="9"/>
  <c r="M863" i="9"/>
  <c r="M541" i="9"/>
  <c r="M629" i="9"/>
  <c r="M967" i="9"/>
  <c r="M589" i="9"/>
  <c r="M1055" i="9"/>
  <c r="M764" i="9"/>
  <c r="M625" i="9"/>
  <c r="M641" i="9"/>
  <c r="M705" i="9"/>
  <c r="M1006" i="9"/>
  <c r="M612" i="9"/>
  <c r="M553" i="9"/>
  <c r="M606" i="9"/>
  <c r="M648" i="9"/>
  <c r="M677" i="9"/>
  <c r="M982" i="9"/>
  <c r="M855" i="9"/>
  <c r="M781" i="9"/>
  <c r="M833" i="9"/>
  <c r="M561" i="9"/>
  <c r="M1022" i="9"/>
  <c r="M696" i="9"/>
  <c r="M584" i="9"/>
  <c r="M565" i="9"/>
  <c r="M748" i="9"/>
  <c r="M788" i="9"/>
  <c r="M597" i="9"/>
  <c r="M846" i="9"/>
  <c r="M733" i="9"/>
  <c r="M653" i="9"/>
  <c r="M693" i="9"/>
  <c r="M1031" i="9"/>
  <c r="M919" i="9"/>
  <c r="M975" i="9"/>
  <c r="M568" i="9"/>
  <c r="M821" i="9"/>
  <c r="M660" i="9"/>
  <c r="M753" i="9"/>
  <c r="M850" i="9"/>
  <c r="M632" i="9"/>
  <c r="M854" i="9"/>
  <c r="M797" i="9"/>
  <c r="M717" i="9"/>
  <c r="M769" i="9"/>
  <c r="M537" i="9"/>
  <c r="M875" i="9"/>
  <c r="M891" i="9"/>
  <c r="M684" i="9"/>
  <c r="M918" i="9"/>
  <c r="M724" i="9"/>
  <c r="M894" i="9"/>
  <c r="M817" i="9"/>
  <c r="M757" i="9"/>
  <c r="M580" i="9"/>
  <c r="M596" i="9"/>
  <c r="M939" i="9"/>
  <c r="M943" i="9"/>
  <c r="M1042" i="9"/>
  <c r="M1019" i="9"/>
  <c r="M557" i="9"/>
  <c r="M532" i="9"/>
  <c r="M544" i="9"/>
  <c r="M902" i="9"/>
  <c r="L691" i="9"/>
  <c r="L947" i="9"/>
  <c r="M681" i="9"/>
  <c r="L580" i="9"/>
  <c r="M938" i="9"/>
  <c r="L799" i="9"/>
  <c r="L1011" i="9"/>
  <c r="L609" i="9"/>
  <c r="L597" i="9"/>
  <c r="L1023" i="9"/>
  <c r="L978" i="9"/>
  <c r="L941" i="9"/>
  <c r="L721" i="9"/>
  <c r="L653" i="9"/>
  <c r="L870" i="9"/>
  <c r="M1027" i="9"/>
  <c r="L665" i="9"/>
  <c r="L805" i="9"/>
  <c r="M1034" i="9"/>
  <c r="L723" i="9"/>
  <c r="L894" i="9"/>
  <c r="L705" i="9"/>
  <c r="M697" i="9"/>
  <c r="L643" i="9"/>
  <c r="L938" i="9"/>
  <c r="L625" i="9"/>
  <c r="L993" i="9"/>
  <c r="L877" i="9"/>
  <c r="M588" i="9"/>
  <c r="L707" i="9"/>
  <c r="L967" i="9"/>
  <c r="L1062" i="9"/>
  <c r="L1013" i="9"/>
  <c r="L789" i="9"/>
  <c r="N789" i="9"/>
  <c r="AA789" i="9"/>
  <c r="L961" i="9"/>
  <c r="L1007" i="9"/>
  <c r="M800" i="9"/>
  <c r="L669" i="9"/>
  <c r="L970" i="9"/>
  <c r="M1050" i="9"/>
  <c r="L581" i="9"/>
  <c r="L757" i="9"/>
  <c r="L823" i="9"/>
  <c r="L661" i="9"/>
  <c r="L835" i="9"/>
  <c r="L971" i="9"/>
  <c r="L973" i="9"/>
  <c r="L631" i="9"/>
  <c r="L725" i="9"/>
  <c r="N725" i="9"/>
  <c r="AA725" i="9"/>
  <c r="M883" i="9"/>
  <c r="L1035" i="9"/>
  <c r="L1037" i="9"/>
  <c r="L689" i="9"/>
  <c r="M845" i="9"/>
  <c r="L607" i="9"/>
  <c r="L917" i="9"/>
  <c r="L845" i="9"/>
  <c r="L753" i="9"/>
  <c r="M777" i="9"/>
  <c r="L999" i="9"/>
  <c r="L937" i="9"/>
  <c r="L981" i="9"/>
  <c r="L761" i="9"/>
  <c r="L779" i="9"/>
  <c r="M713" i="9"/>
  <c r="L685" i="9"/>
  <c r="L619" i="9"/>
  <c r="L807" i="9"/>
  <c r="L898" i="9"/>
  <c r="L989" i="9"/>
  <c r="L886" i="9"/>
  <c r="M640" i="9"/>
  <c r="L853" i="9"/>
  <c r="N853" i="9"/>
  <c r="AA853" i="9"/>
  <c r="L635" i="9"/>
  <c r="M581" i="9"/>
  <c r="L1022" i="9"/>
  <c r="L985" i="9"/>
  <c r="M585" i="9"/>
  <c r="L765" i="9"/>
  <c r="L697" i="9"/>
  <c r="L709" i="9"/>
  <c r="L955" i="9"/>
  <c r="L957" i="9"/>
  <c r="L889" i="9"/>
  <c r="M736" i="9"/>
  <c r="L783" i="9"/>
  <c r="L921" i="9"/>
  <c r="M890" i="9"/>
  <c r="L564" i="9"/>
  <c r="L865" i="9"/>
  <c r="L909" i="9"/>
  <c r="L986" i="9"/>
  <c r="M899" i="9"/>
  <c r="L997" i="9"/>
  <c r="L741" i="9"/>
  <c r="L1043" i="9"/>
  <c r="L1051" i="9"/>
  <c r="N1051" i="9"/>
  <c r="AA1051" i="9"/>
  <c r="L801" i="9"/>
  <c r="L945" i="9"/>
  <c r="L596" i="9"/>
  <c r="L950" i="9"/>
  <c r="L987" i="9"/>
  <c r="L951" i="9"/>
  <c r="N951" i="9"/>
  <c r="AA951" i="9"/>
  <c r="L885" i="9"/>
  <c r="L839" i="9"/>
  <c r="L673" i="9"/>
  <c r="L785" i="9"/>
  <c r="L969" i="9"/>
  <c r="L857" i="9"/>
  <c r="M704" i="9"/>
  <c r="L687" i="9"/>
  <c r="L918" i="9"/>
  <c r="L933" i="9"/>
  <c r="N933" i="9"/>
  <c r="AA933" i="9"/>
  <c r="L593" i="9"/>
  <c r="M540" i="9"/>
  <c r="L749" i="9"/>
  <c r="L751" i="9"/>
  <c r="L1017" i="9"/>
  <c r="N1017" i="9"/>
  <c r="AA1017" i="9"/>
  <c r="L962" i="9"/>
  <c r="L651" i="9"/>
  <c r="M605" i="9"/>
  <c r="L974" i="9"/>
  <c r="L893" i="9"/>
  <c r="L679" i="9"/>
  <c r="L1061" i="9"/>
  <c r="L715" i="9"/>
  <c r="L641" i="9"/>
  <c r="L994" i="9"/>
  <c r="L617" i="9"/>
  <c r="L737" i="9"/>
  <c r="M729" i="9"/>
  <c r="L739" i="9"/>
  <c r="L1034" i="9"/>
  <c r="L600" i="9"/>
  <c r="M970" i="9"/>
  <c r="L576" i="9"/>
  <c r="L1033" i="9"/>
  <c r="L914" i="9"/>
  <c r="L910" i="9"/>
  <c r="L1030" i="9"/>
  <c r="M624" i="9"/>
  <c r="L552" i="9"/>
  <c r="N552" i="9"/>
  <c r="AA552" i="9"/>
  <c r="L979" i="9"/>
  <c r="M874" i="9"/>
  <c r="L584" i="9"/>
  <c r="L727" i="9"/>
  <c r="L882" i="9"/>
  <c r="L1027" i="9"/>
  <c r="L905" i="9"/>
  <c r="N905" i="9"/>
  <c r="AA905" i="9"/>
  <c r="M784" i="9"/>
  <c r="L671" i="9"/>
  <c r="L902" i="9"/>
  <c r="N902" i="9"/>
  <c r="AA902" i="9"/>
  <c r="L946" i="9"/>
  <c r="L913" i="9"/>
  <c r="L773" i="9"/>
  <c r="L881" i="9"/>
  <c r="L613" i="9"/>
  <c r="M931" i="9"/>
  <c r="L942" i="9"/>
  <c r="L589" i="9"/>
  <c r="L949" i="9"/>
  <c r="L657" i="9"/>
  <c r="M617" i="9"/>
  <c r="L1006" i="9"/>
  <c r="L1018" i="9"/>
  <c r="L585" i="9"/>
  <c r="N585" i="9"/>
  <c r="AA585" i="9"/>
  <c r="L1055" i="9"/>
  <c r="M816" i="9"/>
  <c r="L849" i="9"/>
  <c r="L861" i="9"/>
  <c r="L975" i="9"/>
  <c r="L627" i="9"/>
  <c r="N627" i="9"/>
  <c r="AA627" i="9"/>
  <c r="L922" i="9"/>
  <c r="M752" i="9"/>
  <c r="L869" i="9"/>
  <c r="N869" i="9"/>
  <c r="AA869" i="9"/>
  <c r="L777" i="9"/>
  <c r="L1039" i="9"/>
  <c r="M947" i="9"/>
  <c r="L681" i="9"/>
  <c r="N681" i="9"/>
  <c r="AA681" i="9"/>
  <c r="L821" i="9"/>
  <c r="M672" i="9"/>
  <c r="L831" i="9"/>
  <c r="L731" i="9"/>
  <c r="L663" i="9"/>
  <c r="M906" i="9"/>
  <c r="L633" i="9"/>
  <c r="L695" i="9"/>
  <c r="L841" i="9"/>
  <c r="L906" i="9"/>
  <c r="L873" i="9"/>
  <c r="M809" i="9"/>
  <c r="L1026" i="9"/>
  <c r="L1047" i="9"/>
  <c r="L1014" i="9"/>
  <c r="N1014" i="9"/>
  <c r="AA1014" i="9"/>
  <c r="M768" i="9"/>
  <c r="L990" i="9"/>
  <c r="L874" i="9"/>
  <c r="L733" i="9"/>
  <c r="N733" i="9"/>
  <c r="AA733" i="9"/>
  <c r="L560" i="9"/>
  <c r="M665" i="9"/>
  <c r="L701" i="9"/>
  <c r="L926" i="9"/>
  <c r="M1043" i="9"/>
  <c r="L1025" i="9"/>
  <c r="L1063" i="9"/>
  <c r="L829" i="9"/>
  <c r="L1050" i="9"/>
  <c r="L655" i="9"/>
  <c r="L1031" i="9"/>
  <c r="N1031" i="9"/>
  <c r="AA1031" i="9"/>
  <c r="L811" i="9"/>
  <c r="L1058" i="9"/>
  <c r="L954" i="9"/>
  <c r="L843" i="9"/>
  <c r="L965" i="9"/>
  <c r="L719" i="9"/>
  <c r="L854" i="9"/>
  <c r="L601" i="9"/>
  <c r="N601" i="9"/>
  <c r="AA601" i="9"/>
  <c r="L797" i="9"/>
  <c r="M572" i="9"/>
  <c r="M841" i="9"/>
  <c r="L604" i="9"/>
  <c r="L637" i="9"/>
  <c r="M633" i="9"/>
  <c r="L649" i="9"/>
  <c r="L819" i="9"/>
  <c r="L1049" i="9"/>
  <c r="L817" i="9"/>
  <c r="L615" i="9"/>
  <c r="L1009" i="9"/>
  <c r="L647" i="9"/>
  <c r="M995" i="9"/>
  <c r="L1021" i="9"/>
  <c r="M656" i="9"/>
  <c r="L983" i="9"/>
  <c r="M1011" i="9"/>
  <c r="L667" i="9"/>
  <c r="L959" i="9"/>
  <c r="L683" i="9"/>
  <c r="L645" i="9"/>
  <c r="L1003" i="9"/>
  <c r="M963" i="9"/>
  <c r="L735" i="9"/>
  <c r="L1001" i="9"/>
  <c r="N1001" i="9"/>
  <c r="AA1001" i="9"/>
  <c r="L1045" i="9"/>
  <c r="L568" i="9"/>
  <c r="L998" i="9"/>
  <c r="L803" i="9"/>
  <c r="L1059" i="9"/>
  <c r="L991" i="9"/>
  <c r="M867" i="9"/>
  <c r="L639" i="9"/>
  <c r="L1057" i="9"/>
  <c r="M825" i="9"/>
  <c r="L771" i="9"/>
  <c r="L703" i="9"/>
  <c r="L1042" i="9"/>
  <c r="L837" i="9"/>
  <c r="L791" i="9"/>
  <c r="L825" i="9"/>
  <c r="L878" i="9"/>
  <c r="L925" i="9"/>
  <c r="L850" i="9"/>
  <c r="L1019" i="9"/>
  <c r="L1015" i="9"/>
  <c r="L953" i="9"/>
  <c r="M954" i="9"/>
  <c r="L769" i="9"/>
  <c r="M922" i="9"/>
  <c r="L862" i="9"/>
  <c r="L1002" i="9"/>
  <c r="M851" i="9"/>
  <c r="L592" i="9"/>
  <c r="L827" i="9"/>
  <c r="L930" i="9"/>
  <c r="L659" i="9"/>
  <c r="L713" i="9"/>
  <c r="L605" i="9"/>
  <c r="L1029" i="9"/>
  <c r="L623" i="9"/>
  <c r="L743" i="9"/>
  <c r="M1018" i="9"/>
  <c r="L711" i="9"/>
  <c r="M986" i="9"/>
  <c r="L1054" i="9"/>
  <c r="M915" i="9"/>
  <c r="L588" i="9"/>
  <c r="L775" i="9"/>
  <c r="L866" i="9"/>
  <c r="L897" i="9"/>
  <c r="L629" i="9"/>
  <c r="M608" i="9"/>
  <c r="L611" i="9"/>
  <c r="L795" i="9"/>
  <c r="M858" i="9"/>
  <c r="L809" i="9"/>
  <c r="N809" i="9"/>
  <c r="AA809" i="9"/>
  <c r="L1046" i="9"/>
  <c r="M793" i="9"/>
  <c r="L675" i="9"/>
  <c r="L1005" i="9"/>
  <c r="N1005" i="9"/>
  <c r="AA1005" i="9"/>
  <c r="L763" i="9"/>
  <c r="L934" i="9"/>
  <c r="M1002" i="9"/>
  <c r="L729" i="9"/>
  <c r="L966" i="9"/>
  <c r="M688" i="9"/>
  <c r="L977" i="9"/>
  <c r="M649" i="9"/>
  <c r="L901" i="9"/>
  <c r="L745" i="9"/>
  <c r="L982" i="9"/>
  <c r="L833" i="9"/>
  <c r="L1053" i="9"/>
  <c r="L813" i="9"/>
  <c r="L815" i="9"/>
  <c r="L693" i="9"/>
  <c r="L759" i="9"/>
  <c r="L1038" i="9"/>
  <c r="M745" i="9"/>
  <c r="L717" i="9"/>
  <c r="L890" i="9"/>
  <c r="N890" i="9"/>
  <c r="AA890" i="9"/>
  <c r="L995" i="9"/>
  <c r="L958" i="9"/>
  <c r="L963" i="9"/>
  <c r="L699" i="9"/>
  <c r="M761" i="9"/>
  <c r="M720" i="9"/>
  <c r="L781" i="9"/>
  <c r="L755" i="9"/>
  <c r="M560" i="9"/>
  <c r="M1059" i="9"/>
  <c r="L621" i="9"/>
  <c r="L929" i="9"/>
  <c r="L787" i="9"/>
  <c r="N787" i="9"/>
  <c r="AA787" i="9"/>
  <c r="L677" i="9"/>
  <c r="L747" i="9"/>
  <c r="L572" i="9"/>
  <c r="M979" i="9"/>
  <c r="L1010" i="9"/>
  <c r="L793" i="9"/>
  <c r="L1041" i="9"/>
  <c r="N1041" i="9"/>
  <c r="AA1041" i="9"/>
  <c r="L858" i="9"/>
  <c r="L603" i="9"/>
  <c r="L767" i="9"/>
  <c r="P64" i="10"/>
  <c r="Q64" i="10"/>
  <c r="L5" i="7"/>
  <c r="AJ8" i="7"/>
  <c r="N987" i="9"/>
  <c r="AA987" i="9"/>
  <c r="AF987" i="9"/>
  <c r="N691" i="9"/>
  <c r="AA691" i="9"/>
  <c r="AF691" i="9"/>
  <c r="N934" i="9"/>
  <c r="AA934" i="9"/>
  <c r="AF934" i="9"/>
  <c r="N975" i="9"/>
  <c r="AA975" i="9"/>
  <c r="AF975" i="9"/>
  <c r="N861" i="9"/>
  <c r="AA861" i="9"/>
  <c r="AE861" i="9"/>
  <c r="N1029" i="9"/>
  <c r="AA1029" i="9"/>
  <c r="AF1029" i="9"/>
  <c r="N781" i="9"/>
  <c r="AA781" i="9"/>
  <c r="AF781" i="9"/>
  <c r="N729" i="9"/>
  <c r="AA729" i="9"/>
  <c r="AE729" i="9"/>
  <c r="N623" i="9"/>
  <c r="AA623" i="9"/>
  <c r="AE623" i="9"/>
  <c r="N973" i="9"/>
  <c r="AA973" i="9"/>
  <c r="AE973" i="9"/>
  <c r="N654" i="9"/>
  <c r="AA654" i="9"/>
  <c r="AE654" i="9"/>
  <c r="N965" i="9"/>
  <c r="AA965" i="9"/>
  <c r="AF965" i="9"/>
  <c r="N997" i="9"/>
  <c r="AA997" i="9"/>
  <c r="AF997" i="9"/>
  <c r="N605" i="9"/>
  <c r="AA605" i="9"/>
  <c r="AE605" i="9"/>
  <c r="N925" i="9"/>
  <c r="AA925" i="9"/>
  <c r="AE925" i="9"/>
  <c r="N1009" i="9"/>
  <c r="AA1009" i="9"/>
  <c r="AE1009" i="9"/>
  <c r="N857" i="9"/>
  <c r="AA857" i="9"/>
  <c r="AF857" i="9"/>
  <c r="N526" i="9"/>
  <c r="AA526" i="9"/>
  <c r="AE526" i="9"/>
  <c r="N862" i="9"/>
  <c r="AA862" i="9"/>
  <c r="AF862" i="9"/>
  <c r="N950" i="9"/>
  <c r="AA950" i="9"/>
  <c r="AE950" i="9"/>
  <c r="N615" i="9"/>
  <c r="AA615" i="9"/>
  <c r="AF615" i="9"/>
  <c r="N1027" i="9"/>
  <c r="AA1027" i="9"/>
  <c r="AE1027" i="9"/>
  <c r="N1030" i="9"/>
  <c r="AA1030" i="9"/>
  <c r="AE1030" i="9"/>
  <c r="N941" i="9"/>
  <c r="AA941" i="9"/>
  <c r="AE941" i="9"/>
  <c r="N621" i="9"/>
  <c r="AA621" i="9"/>
  <c r="AE621" i="9"/>
  <c r="N695" i="9"/>
  <c r="AA695" i="9"/>
  <c r="AE695" i="9"/>
  <c r="N785" i="9"/>
  <c r="AA785" i="9"/>
  <c r="AF785" i="9"/>
  <c r="N945" i="9"/>
  <c r="AA945" i="9"/>
  <c r="AE945" i="9"/>
  <c r="N619" i="9"/>
  <c r="AA619" i="9"/>
  <c r="AF619" i="9"/>
  <c r="N993" i="9"/>
  <c r="AA993" i="9"/>
  <c r="AE993" i="9"/>
  <c r="N686" i="9"/>
  <c r="AA686" i="9"/>
  <c r="AF686" i="9"/>
  <c r="N770" i="9"/>
  <c r="AA770" i="9"/>
  <c r="AE770" i="9"/>
  <c r="N811" i="9"/>
  <c r="AA811" i="9"/>
  <c r="AE811" i="9"/>
  <c r="N926" i="9"/>
  <c r="AA926" i="9"/>
  <c r="AE926" i="9"/>
  <c r="N685" i="9"/>
  <c r="AA685" i="9"/>
  <c r="AE685" i="9"/>
  <c r="N706" i="9"/>
  <c r="AA706" i="9"/>
  <c r="AE706" i="9"/>
  <c r="N718" i="9"/>
  <c r="AA718" i="9"/>
  <c r="AE718" i="9"/>
  <c r="N953" i="9"/>
  <c r="AA953" i="9"/>
  <c r="AE953" i="9"/>
  <c r="N994" i="9"/>
  <c r="AA994" i="9"/>
  <c r="AF994" i="9"/>
  <c r="N705" i="9"/>
  <c r="AA705" i="9"/>
  <c r="AF705" i="9"/>
  <c r="N1026" i="9"/>
  <c r="AA1026" i="9"/>
  <c r="AE1026" i="9"/>
  <c r="N757" i="9"/>
  <c r="AA757" i="9"/>
  <c r="AD757" i="9"/>
  <c r="N1033" i="9"/>
  <c r="AA1033" i="9"/>
  <c r="AD1033" i="9"/>
  <c r="N721" i="9"/>
  <c r="AA721" i="9"/>
  <c r="AE721" i="9"/>
  <c r="M36" i="4"/>
  <c r="P37" i="4"/>
  <c r="M37" i="4"/>
  <c r="N771" i="9"/>
  <c r="AA771" i="9"/>
  <c r="AE771" i="9"/>
  <c r="N938" i="9"/>
  <c r="AA938" i="9"/>
  <c r="AF938" i="9"/>
  <c r="N596" i="9"/>
  <c r="AA596" i="9"/>
  <c r="AF596" i="9"/>
  <c r="N711" i="9"/>
  <c r="AA711" i="9"/>
  <c r="AE711" i="9"/>
  <c r="N791" i="9"/>
  <c r="AA791" i="9"/>
  <c r="AE791" i="9"/>
  <c r="N913" i="9"/>
  <c r="AA913" i="9"/>
  <c r="AE913" i="9"/>
  <c r="N635" i="9"/>
  <c r="AA635" i="9"/>
  <c r="AE635" i="9"/>
  <c r="N989" i="9"/>
  <c r="AA989" i="9"/>
  <c r="AE989" i="9"/>
  <c r="N799" i="9"/>
  <c r="AA799" i="9"/>
  <c r="AF799" i="9"/>
  <c r="N794" i="9"/>
  <c r="AA794" i="9"/>
  <c r="AD794" i="9"/>
  <c r="N734" i="9"/>
  <c r="AA734" i="9"/>
  <c r="AD734" i="9"/>
  <c r="N893" i="9"/>
  <c r="AA893" i="9"/>
  <c r="AD893" i="9"/>
  <c r="N607" i="9"/>
  <c r="AA607" i="9"/>
  <c r="AE607" i="9"/>
  <c r="N815" i="9"/>
  <c r="AA815" i="9"/>
  <c r="AD815" i="9"/>
  <c r="N735" i="9"/>
  <c r="AA735" i="9"/>
  <c r="AD735" i="9"/>
  <c r="N683" i="9"/>
  <c r="AA683" i="9"/>
  <c r="AD683" i="9"/>
  <c r="N1049" i="9"/>
  <c r="AA1049" i="9"/>
  <c r="AE1049" i="9"/>
  <c r="N727" i="9"/>
  <c r="AA727" i="9"/>
  <c r="AE727" i="9"/>
  <c r="N707" i="9"/>
  <c r="AA707" i="9"/>
  <c r="AE707" i="9"/>
  <c r="N949" i="9"/>
  <c r="AA949" i="9"/>
  <c r="AD949" i="9"/>
  <c r="N1061" i="9"/>
  <c r="AA1061" i="9"/>
  <c r="AE1061" i="9"/>
  <c r="N1010" i="9"/>
  <c r="AA1010" i="9"/>
  <c r="AD1010" i="9"/>
  <c r="N873" i="9"/>
  <c r="AA873" i="9"/>
  <c r="AE873" i="9"/>
  <c r="N715" i="9"/>
  <c r="AA715" i="9"/>
  <c r="AF715" i="9"/>
  <c r="N844" i="9"/>
  <c r="AA844" i="9"/>
  <c r="AD844" i="9"/>
  <c r="D11" i="8"/>
  <c r="N961" i="9"/>
  <c r="AA961" i="9"/>
  <c r="AF961" i="9"/>
  <c r="N610" i="9"/>
  <c r="AA610" i="9"/>
  <c r="AD610" i="9"/>
  <c r="N702" i="9"/>
  <c r="AA702" i="9"/>
  <c r="AE702" i="9"/>
  <c r="N642" i="9"/>
  <c r="AA642" i="9"/>
  <c r="AE642" i="9"/>
  <c r="N767" i="9"/>
  <c r="AA767" i="9"/>
  <c r="AE767" i="9"/>
  <c r="N775" i="9"/>
  <c r="AA775" i="9"/>
  <c r="AE775" i="9"/>
  <c r="N639" i="9"/>
  <c r="AA639" i="9"/>
  <c r="AD639" i="9"/>
  <c r="N909" i="9"/>
  <c r="AA909" i="9"/>
  <c r="AE909" i="9"/>
  <c r="N958" i="9"/>
  <c r="AA958" i="9"/>
  <c r="AF958" i="9"/>
  <c r="N982" i="9"/>
  <c r="AA982" i="9"/>
  <c r="AD982" i="9"/>
  <c r="N588" i="9"/>
  <c r="AA588" i="9"/>
  <c r="AF588" i="9"/>
  <c r="N930" i="9"/>
  <c r="AA930" i="9"/>
  <c r="AE930" i="9"/>
  <c r="N829" i="9"/>
  <c r="AA829" i="9"/>
  <c r="AF829" i="9"/>
  <c r="N593" i="9"/>
  <c r="AA593" i="9"/>
  <c r="AD593" i="9"/>
  <c r="N801" i="9"/>
  <c r="AA801" i="9"/>
  <c r="AD801" i="9"/>
  <c r="N906" i="9"/>
  <c r="AA906" i="9"/>
  <c r="AE906" i="9"/>
  <c r="N717" i="9"/>
  <c r="AA717" i="9"/>
  <c r="AF717" i="9"/>
  <c r="N693" i="9"/>
  <c r="AA693" i="9"/>
  <c r="AF693" i="9"/>
  <c r="N833" i="9"/>
  <c r="AA833" i="9"/>
  <c r="AF833" i="9"/>
  <c r="N645" i="9"/>
  <c r="AA645" i="9"/>
  <c r="AE645" i="9"/>
  <c r="N1058" i="9"/>
  <c r="AA1058" i="9"/>
  <c r="AE1058" i="9"/>
  <c r="N773" i="9"/>
  <c r="AA773" i="9"/>
  <c r="AE773" i="9"/>
  <c r="N962" i="9"/>
  <c r="AA962" i="9"/>
  <c r="AD962" i="9"/>
  <c r="N603" i="9"/>
  <c r="AA603" i="9"/>
  <c r="AD603" i="9"/>
  <c r="N647" i="9"/>
  <c r="AA647" i="9"/>
  <c r="AF647" i="9"/>
  <c r="N831" i="9"/>
  <c r="AA831" i="9"/>
  <c r="AE831" i="9"/>
  <c r="N783" i="9"/>
  <c r="AA783" i="9"/>
  <c r="AE783" i="9"/>
  <c r="N981" i="9"/>
  <c r="AA981" i="9"/>
  <c r="AD981" i="9"/>
  <c r="N750" i="9"/>
  <c r="AA750" i="9"/>
  <c r="AF750" i="9"/>
  <c r="N670" i="9"/>
  <c r="AA670" i="9"/>
  <c r="AF670" i="9"/>
  <c r="N839" i="9"/>
  <c r="AA839" i="9"/>
  <c r="AD839" i="9"/>
  <c r="N985" i="9"/>
  <c r="AA985" i="9"/>
  <c r="AD985" i="9"/>
  <c r="N1013" i="9"/>
  <c r="AA1013" i="9"/>
  <c r="AD1013" i="9"/>
  <c r="N714" i="9"/>
  <c r="AA714" i="9"/>
  <c r="AE714" i="9"/>
  <c r="N814" i="9"/>
  <c r="AA814" i="9"/>
  <c r="AD814" i="9"/>
  <c r="N802" i="9"/>
  <c r="AA802" i="9"/>
  <c r="AE802" i="9"/>
  <c r="N677" i="9"/>
  <c r="AA677" i="9"/>
  <c r="AE677" i="9"/>
  <c r="N637" i="9"/>
  <c r="AA637" i="9"/>
  <c r="AF637" i="9"/>
  <c r="N673" i="9"/>
  <c r="AA673" i="9"/>
  <c r="AF673" i="9"/>
  <c r="N1038" i="9"/>
  <c r="AA1038" i="9"/>
  <c r="AF1038" i="9"/>
  <c r="N837" i="9"/>
  <c r="AA837" i="9"/>
  <c r="AF837" i="9"/>
  <c r="N991" i="9"/>
  <c r="AA991" i="9"/>
  <c r="AE991" i="9"/>
  <c r="N946" i="9"/>
  <c r="AA946" i="9"/>
  <c r="AF946" i="9"/>
  <c r="N587" i="9"/>
  <c r="AA587" i="9"/>
  <c r="AE587" i="9"/>
  <c r="N675" i="9"/>
  <c r="AA675" i="9"/>
  <c r="AE675" i="9"/>
  <c r="N629" i="9"/>
  <c r="AA629" i="9"/>
  <c r="AF629" i="9"/>
  <c r="N998" i="9"/>
  <c r="AA998" i="9"/>
  <c r="AD998" i="9"/>
  <c r="N983" i="9"/>
  <c r="AA983" i="9"/>
  <c r="AD983" i="9"/>
  <c r="N797" i="9"/>
  <c r="AA797" i="9"/>
  <c r="AD797" i="9"/>
  <c r="N600" i="9"/>
  <c r="AA600" i="9"/>
  <c r="AF600" i="9"/>
  <c r="N974" i="9"/>
  <c r="AA974" i="9"/>
  <c r="AF974" i="9"/>
  <c r="N865" i="9"/>
  <c r="AA865" i="9"/>
  <c r="AF865" i="9"/>
  <c r="N634" i="9"/>
  <c r="AA634" i="9"/>
  <c r="AE634" i="9"/>
  <c r="N730" i="9"/>
  <c r="AA730" i="9"/>
  <c r="AF730" i="9"/>
  <c r="N977" i="9"/>
  <c r="AA977" i="9"/>
  <c r="AE977" i="9"/>
  <c r="N795" i="9"/>
  <c r="AA795" i="9"/>
  <c r="AD795" i="9"/>
  <c r="N897" i="9"/>
  <c r="AA897" i="9"/>
  <c r="AE897" i="9"/>
  <c r="N827" i="9"/>
  <c r="AA827" i="9"/>
  <c r="AD827" i="9"/>
  <c r="N959" i="9"/>
  <c r="AA959" i="9"/>
  <c r="AE959" i="9"/>
  <c r="N819" i="9"/>
  <c r="AA819" i="9"/>
  <c r="AE819" i="9"/>
  <c r="N604" i="9"/>
  <c r="AA604" i="9"/>
  <c r="AF604" i="9"/>
  <c r="N843" i="9"/>
  <c r="AA843" i="9"/>
  <c r="AF843" i="9"/>
  <c r="N1039" i="9"/>
  <c r="AA1039" i="9"/>
  <c r="AE1039" i="9"/>
  <c r="N849" i="9"/>
  <c r="AA849" i="9"/>
  <c r="AE849" i="9"/>
  <c r="N613" i="9"/>
  <c r="AA613" i="9"/>
  <c r="AE613" i="9"/>
  <c r="N751" i="9"/>
  <c r="AA751" i="9"/>
  <c r="AE751" i="9"/>
  <c r="N709" i="9"/>
  <c r="AA709" i="9"/>
  <c r="AD709" i="9"/>
  <c r="N929" i="9"/>
  <c r="AA929" i="9"/>
  <c r="AE929" i="9"/>
  <c r="N901" i="9"/>
  <c r="AA901" i="9"/>
  <c r="AF901" i="9"/>
  <c r="N966" i="9"/>
  <c r="AA966" i="9"/>
  <c r="AF966" i="9"/>
  <c r="N763" i="9"/>
  <c r="AA763" i="9"/>
  <c r="AD763" i="9"/>
  <c r="N592" i="9"/>
  <c r="AA592" i="9"/>
  <c r="AF592" i="9"/>
  <c r="N878" i="9"/>
  <c r="AA878" i="9"/>
  <c r="AF878" i="9"/>
  <c r="N1042" i="9"/>
  <c r="AA1042" i="9"/>
  <c r="AE1042" i="9"/>
  <c r="N1057" i="9"/>
  <c r="AA1057" i="9"/>
  <c r="AF1057" i="9"/>
  <c r="N749" i="9"/>
  <c r="AA749" i="9"/>
  <c r="AE749" i="9"/>
  <c r="N885" i="9"/>
  <c r="AA885" i="9"/>
  <c r="AE885" i="9"/>
  <c r="N807" i="9"/>
  <c r="AA807" i="9"/>
  <c r="AE807" i="9"/>
  <c r="N779" i="9"/>
  <c r="AA779" i="9"/>
  <c r="AD779" i="9"/>
  <c r="N631" i="9"/>
  <c r="AA631" i="9"/>
  <c r="AE631" i="9"/>
  <c r="N877" i="9"/>
  <c r="AA877" i="9"/>
  <c r="AF877" i="9"/>
  <c r="N798" i="9"/>
  <c r="AA798" i="9"/>
  <c r="AD798" i="9"/>
  <c r="N766" i="9"/>
  <c r="AA766" i="9"/>
  <c r="AD766" i="9"/>
  <c r="N666" i="9"/>
  <c r="AA666" i="9"/>
  <c r="AD666" i="9"/>
  <c r="N638" i="9"/>
  <c r="AA638" i="9"/>
  <c r="AF638" i="9"/>
  <c r="N572" i="9"/>
  <c r="AA572" i="9"/>
  <c r="AD572" i="9"/>
  <c r="N1006" i="9"/>
  <c r="AA1006" i="9"/>
  <c r="AF1006" i="9"/>
  <c r="N955" i="9"/>
  <c r="AA955" i="9"/>
  <c r="AE955" i="9"/>
  <c r="N753" i="9"/>
  <c r="AA753" i="9"/>
  <c r="AE753" i="9"/>
  <c r="N836" i="9"/>
  <c r="AA836" i="9"/>
  <c r="AE836" i="9"/>
  <c r="N818" i="9"/>
  <c r="AA818" i="9"/>
  <c r="AE818" i="9"/>
  <c r="N678" i="9"/>
  <c r="AA678" i="9"/>
  <c r="AF678" i="9"/>
  <c r="N806" i="9"/>
  <c r="AA806" i="9"/>
  <c r="AE806" i="9"/>
  <c r="N995" i="9"/>
  <c r="AA995" i="9"/>
  <c r="AE995" i="9"/>
  <c r="N1034" i="9"/>
  <c r="AA1034" i="9"/>
  <c r="AF1034" i="9"/>
  <c r="N826" i="9"/>
  <c r="AA826" i="9"/>
  <c r="AD826" i="9"/>
  <c r="N928" i="9"/>
  <c r="AA928" i="9"/>
  <c r="AF928" i="9"/>
  <c r="N777" i="9"/>
  <c r="AA777" i="9"/>
  <c r="AE777" i="9"/>
  <c r="N697" i="9"/>
  <c r="AA697" i="9"/>
  <c r="AF697" i="9"/>
  <c r="N507" i="9"/>
  <c r="AA507" i="9"/>
  <c r="AE507" i="9"/>
  <c r="N701" i="9"/>
  <c r="AA701" i="9"/>
  <c r="AE701" i="9"/>
  <c r="N564" i="9"/>
  <c r="AA564" i="9"/>
  <c r="AE564" i="9"/>
  <c r="N937" i="9"/>
  <c r="AA937" i="9"/>
  <c r="AE937" i="9"/>
  <c r="N690" i="9"/>
  <c r="AA690" i="9"/>
  <c r="AE690" i="9"/>
  <c r="N754" i="9"/>
  <c r="AA754" i="9"/>
  <c r="AE754" i="9"/>
  <c r="N858" i="9"/>
  <c r="AA858" i="9"/>
  <c r="AE858" i="9"/>
  <c r="N813" i="9"/>
  <c r="AA813" i="9"/>
  <c r="AD813" i="9"/>
  <c r="N595" i="9"/>
  <c r="AA595" i="9"/>
  <c r="AE595" i="9"/>
  <c r="N682" i="9"/>
  <c r="AA682" i="9"/>
  <c r="AF682" i="9"/>
  <c r="N755" i="9"/>
  <c r="AA755" i="9"/>
  <c r="AE755" i="9"/>
  <c r="N699" i="9"/>
  <c r="AA699" i="9"/>
  <c r="AD699" i="9"/>
  <c r="N759" i="9"/>
  <c r="AA759" i="9"/>
  <c r="AE759" i="9"/>
  <c r="N1053" i="9"/>
  <c r="AA1053" i="9"/>
  <c r="AF1053" i="9"/>
  <c r="N1046" i="9"/>
  <c r="AA1046" i="9"/>
  <c r="AF1046" i="9"/>
  <c r="N611" i="9"/>
  <c r="AA611" i="9"/>
  <c r="AD611" i="9"/>
  <c r="N866" i="9"/>
  <c r="AA866" i="9"/>
  <c r="AF866" i="9"/>
  <c r="N1054" i="9"/>
  <c r="AA1054" i="9"/>
  <c r="AF1054" i="9"/>
  <c r="N743" i="9"/>
  <c r="AA743" i="9"/>
  <c r="AE743" i="9"/>
  <c r="N713" i="9"/>
  <c r="AA713" i="9"/>
  <c r="AF713" i="9"/>
  <c r="N1015" i="9"/>
  <c r="AA1015" i="9"/>
  <c r="AD1015" i="9"/>
  <c r="N1045" i="9"/>
  <c r="AA1045" i="9"/>
  <c r="AE1045" i="9"/>
  <c r="N1003" i="9"/>
  <c r="AA1003" i="9"/>
  <c r="AE1003" i="9"/>
  <c r="N667" i="9"/>
  <c r="AA667" i="9"/>
  <c r="AE667" i="9"/>
  <c r="N1021" i="9"/>
  <c r="AA1021" i="9"/>
  <c r="AF1021" i="9"/>
  <c r="N854" i="9"/>
  <c r="AA854" i="9"/>
  <c r="AE854" i="9"/>
  <c r="N655" i="9"/>
  <c r="AA655" i="9"/>
  <c r="AD655" i="9"/>
  <c r="N1025" i="9"/>
  <c r="AA1025" i="9"/>
  <c r="AE1025" i="9"/>
  <c r="N990" i="9"/>
  <c r="AA990" i="9"/>
  <c r="AD990" i="9"/>
  <c r="N663" i="9"/>
  <c r="AA663" i="9"/>
  <c r="AE663" i="9"/>
  <c r="N821" i="9"/>
  <c r="AA821" i="9"/>
  <c r="AE821" i="9"/>
  <c r="N589" i="9"/>
  <c r="AA589" i="9"/>
  <c r="AF589" i="9"/>
  <c r="N881" i="9"/>
  <c r="AA881" i="9"/>
  <c r="AF881" i="9"/>
  <c r="N576" i="9"/>
  <c r="AA576" i="9"/>
  <c r="AE576" i="9"/>
  <c r="N739" i="9"/>
  <c r="AA739" i="9"/>
  <c r="AE739" i="9"/>
  <c r="N679" i="9"/>
  <c r="AA679" i="9"/>
  <c r="AF679" i="9"/>
  <c r="N651" i="9"/>
  <c r="AA651" i="9"/>
  <c r="AF651" i="9"/>
  <c r="N918" i="9"/>
  <c r="AA918" i="9"/>
  <c r="AD918" i="9"/>
  <c r="N969" i="9"/>
  <c r="AA969" i="9"/>
  <c r="AD969" i="9"/>
  <c r="N889" i="9"/>
  <c r="AA889" i="9"/>
  <c r="AE889" i="9"/>
  <c r="N1022" i="9"/>
  <c r="AA1022" i="9"/>
  <c r="AD1022" i="9"/>
  <c r="N999" i="9"/>
  <c r="AA999" i="9"/>
  <c r="AE999" i="9"/>
  <c r="N917" i="9"/>
  <c r="AA917" i="9"/>
  <c r="AE917" i="9"/>
  <c r="N1037" i="9"/>
  <c r="AA1037" i="9"/>
  <c r="AF1037" i="9"/>
  <c r="N661" i="9"/>
  <c r="AA661" i="9"/>
  <c r="AE661" i="9"/>
  <c r="N1007" i="9"/>
  <c r="AA1007" i="9"/>
  <c r="AD1007" i="9"/>
  <c r="N1062" i="9"/>
  <c r="AA1062" i="9"/>
  <c r="AE1062" i="9"/>
  <c r="N643" i="9"/>
  <c r="AA643" i="9"/>
  <c r="AE643" i="9"/>
  <c r="N723" i="9"/>
  <c r="AA723" i="9"/>
  <c r="AE723" i="9"/>
  <c r="N609" i="9"/>
  <c r="AA609" i="9"/>
  <c r="AD609" i="9"/>
  <c r="N563" i="9"/>
  <c r="AA563" i="9"/>
  <c r="AE563" i="9"/>
  <c r="N626" i="9"/>
  <c r="AA626" i="9"/>
  <c r="AE626" i="9"/>
  <c r="N960" i="9"/>
  <c r="AA960" i="9"/>
  <c r="AE960" i="9"/>
  <c r="N498" i="9"/>
  <c r="AA498" i="9"/>
  <c r="AD498" i="9"/>
  <c r="N1063" i="9"/>
  <c r="AA1063" i="9"/>
  <c r="AE1063" i="9"/>
  <c r="N835" i="9"/>
  <c r="AA835" i="9"/>
  <c r="AE835" i="9"/>
  <c r="N830" i="9"/>
  <c r="AA830" i="9"/>
  <c r="AF830" i="9"/>
  <c r="N618" i="9"/>
  <c r="AA618" i="9"/>
  <c r="AE618" i="9"/>
  <c r="N738" i="9"/>
  <c r="AA738" i="9"/>
  <c r="AE738" i="9"/>
  <c r="N793" i="9"/>
  <c r="AA793" i="9"/>
  <c r="AE793" i="9"/>
  <c r="N747" i="9"/>
  <c r="AA747" i="9"/>
  <c r="AE747" i="9"/>
  <c r="N963" i="9"/>
  <c r="AA963" i="9"/>
  <c r="AD963" i="9"/>
  <c r="N659" i="9"/>
  <c r="AA659" i="9"/>
  <c r="AE659" i="9"/>
  <c r="N769" i="9"/>
  <c r="AA769" i="9"/>
  <c r="AD769" i="9"/>
  <c r="N703" i="9"/>
  <c r="AA703" i="9"/>
  <c r="AE703" i="9"/>
  <c r="N803" i="9"/>
  <c r="AA803" i="9"/>
  <c r="AE803" i="9"/>
  <c r="N817" i="9"/>
  <c r="AA817" i="9"/>
  <c r="AE817" i="9"/>
  <c r="N719" i="9"/>
  <c r="AA719" i="9"/>
  <c r="AF719" i="9"/>
  <c r="N731" i="9"/>
  <c r="AA731" i="9"/>
  <c r="AE731" i="9"/>
  <c r="N1055" i="9"/>
  <c r="AA1055" i="9"/>
  <c r="AF1055" i="9"/>
  <c r="N942" i="9"/>
  <c r="AA942" i="9"/>
  <c r="AF942" i="9"/>
  <c r="N671" i="9"/>
  <c r="AA671" i="9"/>
  <c r="AF671" i="9"/>
  <c r="N882" i="9"/>
  <c r="AA882" i="9"/>
  <c r="AE882" i="9"/>
  <c r="N641" i="9"/>
  <c r="AA641" i="9"/>
  <c r="AE641" i="9"/>
  <c r="N687" i="9"/>
  <c r="AA687" i="9"/>
  <c r="AF687" i="9"/>
  <c r="N741" i="9"/>
  <c r="AA741" i="9"/>
  <c r="AE741" i="9"/>
  <c r="N921" i="9"/>
  <c r="AA921" i="9"/>
  <c r="AE921" i="9"/>
  <c r="N957" i="9"/>
  <c r="AA957" i="9"/>
  <c r="AE957" i="9"/>
  <c r="N823" i="9"/>
  <c r="AA823" i="9"/>
  <c r="AF823" i="9"/>
  <c r="N870" i="9"/>
  <c r="AA870" i="9"/>
  <c r="AF870" i="9"/>
  <c r="N978" i="9"/>
  <c r="AA978" i="9"/>
  <c r="AE978" i="9"/>
  <c r="N575" i="9"/>
  <c r="AA575" i="9"/>
  <c r="AE575" i="9"/>
  <c r="N650" i="9"/>
  <c r="AA650" i="9"/>
  <c r="AF650" i="9"/>
  <c r="N746" i="9"/>
  <c r="AA746" i="9"/>
  <c r="AE746" i="9"/>
  <c r="N778" i="9"/>
  <c r="AA778" i="9"/>
  <c r="AE778" i="9"/>
  <c r="N622" i="9"/>
  <c r="AA622" i="9"/>
  <c r="AD622" i="9"/>
  <c r="N786" i="9"/>
  <c r="AA786" i="9"/>
  <c r="AE786" i="9"/>
  <c r="N782" i="9"/>
  <c r="AA782" i="9"/>
  <c r="AE782" i="9"/>
  <c r="N698" i="9"/>
  <c r="AA698" i="9"/>
  <c r="AD698" i="9"/>
  <c r="N834" i="9"/>
  <c r="AA834" i="9"/>
  <c r="AD834" i="9"/>
  <c r="N462" i="9"/>
  <c r="AA462" i="9"/>
  <c r="AF462" i="9"/>
  <c r="N614" i="9"/>
  <c r="AA614" i="9"/>
  <c r="AE614" i="9"/>
  <c r="N434" i="9"/>
  <c r="AA434" i="9"/>
  <c r="AD434" i="9"/>
  <c r="N559" i="9"/>
  <c r="AA559" i="9"/>
  <c r="AF559" i="9"/>
  <c r="N591" i="9"/>
  <c r="AA591" i="9"/>
  <c r="AE591" i="9"/>
  <c r="N571" i="9"/>
  <c r="AA571" i="9"/>
  <c r="AF571" i="9"/>
  <c r="N491" i="9"/>
  <c r="AA491" i="9"/>
  <c r="AE491" i="9"/>
  <c r="N825" i="9"/>
  <c r="AA825" i="9"/>
  <c r="AF825" i="9"/>
  <c r="N850" i="9"/>
  <c r="AA850" i="9"/>
  <c r="AF850" i="9"/>
  <c r="N657" i="9"/>
  <c r="AA657" i="9"/>
  <c r="AE657" i="9"/>
  <c r="N914" i="9"/>
  <c r="AA914" i="9"/>
  <c r="AE914" i="9"/>
  <c r="N737" i="9"/>
  <c r="AA737" i="9"/>
  <c r="AE737" i="9"/>
  <c r="N971" i="9"/>
  <c r="AA971" i="9"/>
  <c r="AF971" i="9"/>
  <c r="N669" i="9"/>
  <c r="AA669" i="9"/>
  <c r="AE669" i="9"/>
  <c r="N625" i="9"/>
  <c r="AA625" i="9"/>
  <c r="AE625" i="9"/>
  <c r="N805" i="9"/>
  <c r="AA805" i="9"/>
  <c r="AE805" i="9"/>
  <c r="N1023" i="9"/>
  <c r="AA1023" i="9"/>
  <c r="AE1023" i="9"/>
  <c r="N842" i="9"/>
  <c r="AA842" i="9"/>
  <c r="AD842" i="9"/>
  <c r="N568" i="9"/>
  <c r="AA568" i="9"/>
  <c r="AD568" i="9"/>
  <c r="N1047" i="9"/>
  <c r="AA1047" i="9"/>
  <c r="AF1047" i="9"/>
  <c r="N584" i="9"/>
  <c r="AA584" i="9"/>
  <c r="AE584" i="9"/>
  <c r="N898" i="9"/>
  <c r="AA898" i="9"/>
  <c r="AF898" i="9"/>
  <c r="N689" i="9"/>
  <c r="AA689" i="9"/>
  <c r="AE689" i="9"/>
  <c r="N658" i="9"/>
  <c r="AA658" i="9"/>
  <c r="AE658" i="9"/>
  <c r="N722" i="9"/>
  <c r="AA722" i="9"/>
  <c r="AF722" i="9"/>
  <c r="N1019" i="9"/>
  <c r="AA1019" i="9"/>
  <c r="AF1019" i="9"/>
  <c r="N1050" i="9"/>
  <c r="AA1050" i="9"/>
  <c r="AD1050" i="9"/>
  <c r="N910" i="9"/>
  <c r="AA910" i="9"/>
  <c r="AE910" i="9"/>
  <c r="N765" i="9"/>
  <c r="AA765" i="9"/>
  <c r="AE765" i="9"/>
  <c r="N886" i="9"/>
  <c r="AA886" i="9"/>
  <c r="AE886" i="9"/>
  <c r="N1035" i="9"/>
  <c r="AA1035" i="9"/>
  <c r="AD1035" i="9"/>
  <c r="N967" i="9"/>
  <c r="AA967" i="9"/>
  <c r="AE967" i="9"/>
  <c r="N762" i="9"/>
  <c r="AA762" i="9"/>
  <c r="AD762" i="9"/>
  <c r="N450" i="9"/>
  <c r="AA450" i="9"/>
  <c r="AE450" i="9"/>
  <c r="Q12" i="7"/>
  <c r="Q16" i="7"/>
  <c r="Q20" i="7"/>
  <c r="Q24" i="7"/>
  <c r="Q28" i="7"/>
  <c r="Q31" i="7"/>
  <c r="Q33" i="7"/>
  <c r="Q35" i="7"/>
  <c r="Q37" i="7"/>
  <c r="Q39" i="7"/>
  <c r="Q41" i="7"/>
  <c r="Q43" i="7"/>
  <c r="Q45" i="7"/>
  <c r="Q47" i="7"/>
  <c r="Q49" i="7"/>
  <c r="Q51" i="7"/>
  <c r="Q53" i="7"/>
  <c r="Q55" i="7"/>
  <c r="Q57" i="7"/>
  <c r="Q59" i="7"/>
  <c r="Q61" i="7"/>
  <c r="Q63" i="7"/>
  <c r="Q65" i="7"/>
  <c r="Q67" i="7"/>
  <c r="Q69" i="7"/>
  <c r="Q71" i="7"/>
  <c r="Q73" i="7"/>
  <c r="Q75" i="7"/>
  <c r="Q77" i="7"/>
  <c r="Q79" i="7"/>
  <c r="Q81" i="7"/>
  <c r="Q83" i="7"/>
  <c r="Q85" i="7"/>
  <c r="Q87" i="7"/>
  <c r="Q89" i="7"/>
  <c r="Q91" i="7"/>
  <c r="Q93" i="7"/>
  <c r="Q95" i="7"/>
  <c r="Q97" i="7"/>
  <c r="Q99" i="7"/>
  <c r="Q101" i="7"/>
  <c r="Q103" i="7"/>
  <c r="Q105" i="7"/>
  <c r="Q107" i="7"/>
  <c r="Q109" i="7"/>
  <c r="Q111" i="7"/>
  <c r="Q113" i="7"/>
  <c r="Q115" i="7"/>
  <c r="Q117" i="7"/>
  <c r="Q119" i="7"/>
  <c r="Q121" i="7"/>
  <c r="Q123" i="7"/>
  <c r="Q125" i="7"/>
  <c r="Q127" i="7"/>
  <c r="Q129" i="7"/>
  <c r="Q131" i="7"/>
  <c r="Q133" i="7"/>
  <c r="Q135" i="7"/>
  <c r="Q137" i="7"/>
  <c r="Q139" i="7"/>
  <c r="Q141" i="7"/>
  <c r="Q143" i="7"/>
  <c r="Q145" i="7"/>
  <c r="Q147" i="7"/>
  <c r="Q149" i="7"/>
  <c r="Q151" i="7"/>
  <c r="Q153" i="7"/>
  <c r="Q155" i="7"/>
  <c r="Q157" i="7"/>
  <c r="Q159" i="7"/>
  <c r="Q161" i="7"/>
  <c r="Q163" i="7"/>
  <c r="Q165" i="7"/>
  <c r="Q167" i="7"/>
  <c r="Q169" i="7"/>
  <c r="Q171" i="7"/>
  <c r="Q173" i="7"/>
  <c r="Q175" i="7"/>
  <c r="Q177" i="7"/>
  <c r="Q179" i="7"/>
  <c r="Q181" i="7"/>
  <c r="Q183" i="7"/>
  <c r="Q185" i="7"/>
  <c r="Q187" i="7"/>
  <c r="Q189" i="7"/>
  <c r="Q191" i="7"/>
  <c r="Q193" i="7"/>
  <c r="Q195" i="7"/>
  <c r="Q197" i="7"/>
  <c r="Q199" i="7"/>
  <c r="Q201" i="7"/>
  <c r="Q203" i="7"/>
  <c r="Q205" i="7"/>
  <c r="Q207" i="7"/>
  <c r="Q209" i="7"/>
  <c r="Q211" i="7"/>
  <c r="Q11" i="7"/>
  <c r="Q15" i="7"/>
  <c r="Q19" i="7"/>
  <c r="Q23" i="7"/>
  <c r="Q27" i="7"/>
  <c r="Q14" i="7"/>
  <c r="Q18" i="7"/>
  <c r="Q22" i="7"/>
  <c r="Q26" i="7"/>
  <c r="Q30" i="7"/>
  <c r="Q32" i="7"/>
  <c r="Q34" i="7"/>
  <c r="Q36" i="7"/>
  <c r="Q38" i="7"/>
  <c r="Q40" i="7"/>
  <c r="Q42" i="7"/>
  <c r="Q44" i="7"/>
  <c r="Q46" i="7"/>
  <c r="Q48" i="7"/>
  <c r="Q50" i="7"/>
  <c r="Q52" i="7"/>
  <c r="Q54" i="7"/>
  <c r="Q56" i="7"/>
  <c r="Q58" i="7"/>
  <c r="Q60" i="7"/>
  <c r="Q62" i="7"/>
  <c r="Q64" i="7"/>
  <c r="Q66" i="7"/>
  <c r="Q68" i="7"/>
  <c r="Q70" i="7"/>
  <c r="Q72" i="7"/>
  <c r="Q74" i="7"/>
  <c r="Q76" i="7"/>
  <c r="Q78" i="7"/>
  <c r="Q80" i="7"/>
  <c r="Q82" i="7"/>
  <c r="Q84" i="7"/>
  <c r="Q86" i="7"/>
  <c r="Q88" i="7"/>
  <c r="Q90" i="7"/>
  <c r="Q92" i="7"/>
  <c r="Q94" i="7"/>
  <c r="Q96" i="7"/>
  <c r="Q98" i="7"/>
  <c r="Q100" i="7"/>
  <c r="Q102" i="7"/>
  <c r="Q104" i="7"/>
  <c r="Q106" i="7"/>
  <c r="Q108" i="7"/>
  <c r="Q110" i="7"/>
  <c r="Q112" i="7"/>
  <c r="Q114" i="7"/>
  <c r="Q116" i="7"/>
  <c r="Q118" i="7"/>
  <c r="Q120" i="7"/>
  <c r="Q122" i="7"/>
  <c r="Q124" i="7"/>
  <c r="Q126" i="7"/>
  <c r="Q128" i="7"/>
  <c r="Q130" i="7"/>
  <c r="Q132" i="7"/>
  <c r="Q134" i="7"/>
  <c r="Q136" i="7"/>
  <c r="Q138" i="7"/>
  <c r="Q140" i="7"/>
  <c r="Q142" i="7"/>
  <c r="Q144" i="7"/>
  <c r="Q146" i="7"/>
  <c r="Q148" i="7"/>
  <c r="Q150" i="7"/>
  <c r="Q152" i="7"/>
  <c r="Q154" i="7"/>
  <c r="Q156" i="7"/>
  <c r="Q158" i="7"/>
  <c r="Q160" i="7"/>
  <c r="Q162" i="7"/>
  <c r="Q164" i="7"/>
  <c r="Q166" i="7"/>
  <c r="Q168" i="7"/>
  <c r="Q170" i="7"/>
  <c r="Q172" i="7"/>
  <c r="Q174" i="7"/>
  <c r="Q176" i="7"/>
  <c r="Q178" i="7"/>
  <c r="Q180" i="7"/>
  <c r="Q182" i="7"/>
  <c r="Q184" i="7"/>
  <c r="Q186" i="7"/>
  <c r="Q188" i="7"/>
  <c r="Q190" i="7"/>
  <c r="Q192" i="7"/>
  <c r="Q194" i="7"/>
  <c r="Q196" i="7"/>
  <c r="Q198" i="7"/>
  <c r="Q200" i="7"/>
  <c r="Q202" i="7"/>
  <c r="Q204" i="7"/>
  <c r="Q206" i="7"/>
  <c r="Q208" i="7"/>
  <c r="Q210" i="7"/>
  <c r="Q212" i="7"/>
  <c r="Q214" i="7"/>
  <c r="Q10" i="7"/>
  <c r="Q13" i="7"/>
  <c r="Q17" i="7"/>
  <c r="Q21" i="7"/>
  <c r="Q25" i="7"/>
  <c r="Q29" i="7"/>
  <c r="Q216" i="7"/>
  <c r="Q218" i="7"/>
  <c r="Q220" i="7"/>
  <c r="Q222" i="7"/>
  <c r="Q224" i="7"/>
  <c r="Q226" i="7"/>
  <c r="Q228" i="7"/>
  <c r="Q230" i="7"/>
  <c r="Q232" i="7"/>
  <c r="Q234" i="7"/>
  <c r="Q237" i="7"/>
  <c r="Q239" i="7"/>
  <c r="Q241" i="7"/>
  <c r="Q243" i="7"/>
  <c r="Q245" i="7"/>
  <c r="Q247" i="7"/>
  <c r="Q249" i="7"/>
  <c r="Q252" i="7"/>
  <c r="Q254" i="7"/>
  <c r="Q256" i="7"/>
  <c r="Q258" i="7"/>
  <c r="Q260" i="7"/>
  <c r="Q262" i="7"/>
  <c r="Q264" i="7"/>
  <c r="Q266" i="7"/>
  <c r="Q268" i="7"/>
  <c r="Q270" i="7"/>
  <c r="Q272" i="7"/>
  <c r="Q274" i="7"/>
  <c r="Q276" i="7"/>
  <c r="Q278" i="7"/>
  <c r="Q280" i="7"/>
  <c r="Q282" i="7"/>
  <c r="Q284" i="7"/>
  <c r="Q286" i="7"/>
  <c r="Q288" i="7"/>
  <c r="Q290" i="7"/>
  <c r="Q292" i="7"/>
  <c r="Q294" i="7"/>
  <c r="Q296" i="7"/>
  <c r="Q298" i="7"/>
  <c r="Q300" i="7"/>
  <c r="Q302" i="7"/>
  <c r="Q304" i="7"/>
  <c r="Q306" i="7"/>
  <c r="Q308" i="7"/>
  <c r="Q310" i="7"/>
  <c r="Q312" i="7"/>
  <c r="Q314" i="7"/>
  <c r="Q316" i="7"/>
  <c r="Q318" i="7"/>
  <c r="Q320" i="7"/>
  <c r="Q322" i="7"/>
  <c r="Q324" i="7"/>
  <c r="Q326" i="7"/>
  <c r="Q328" i="7"/>
  <c r="Q330" i="7"/>
  <c r="Q332" i="7"/>
  <c r="Q334" i="7"/>
  <c r="Q336" i="7"/>
  <c r="Q338" i="7"/>
  <c r="Q340" i="7"/>
  <c r="Q342" i="7"/>
  <c r="Q344" i="7"/>
  <c r="Q346" i="7"/>
  <c r="Q348" i="7"/>
  <c r="Q350" i="7"/>
  <c r="Q352" i="7"/>
  <c r="Q354" i="7"/>
  <c r="Q356" i="7"/>
  <c r="Q358" i="7"/>
  <c r="Q360" i="7"/>
  <c r="Q362" i="7"/>
  <c r="Q364" i="7"/>
  <c r="Q366" i="7"/>
  <c r="Q368" i="7"/>
  <c r="Q370" i="7"/>
  <c r="Q372" i="7"/>
  <c r="Q374" i="7"/>
  <c r="Q376" i="7"/>
  <c r="Q378" i="7"/>
  <c r="Q380" i="7"/>
  <c r="Q382" i="7"/>
  <c r="Q384" i="7"/>
  <c r="Q386" i="7"/>
  <c r="Q388" i="7"/>
  <c r="Q390" i="7"/>
  <c r="Q392" i="7"/>
  <c r="Q394" i="7"/>
  <c r="Q396" i="7"/>
  <c r="Q398" i="7"/>
  <c r="Q400" i="7"/>
  <c r="Q402" i="7"/>
  <c r="Q404" i="7"/>
  <c r="Q406" i="7"/>
  <c r="Q408" i="7"/>
  <c r="Q410" i="7"/>
  <c r="Q412" i="7"/>
  <c r="Q414" i="7"/>
  <c r="Q416" i="7"/>
  <c r="Q418" i="7"/>
  <c r="Q420" i="7"/>
  <c r="Q422" i="7"/>
  <c r="Q424" i="7"/>
  <c r="Q426" i="7"/>
  <c r="Q428" i="7"/>
  <c r="Q430" i="7"/>
  <c r="Q432" i="7"/>
  <c r="Q434" i="7"/>
  <c r="Q436" i="7"/>
  <c r="Q438" i="7"/>
  <c r="Q440" i="7"/>
  <c r="Q442" i="7"/>
  <c r="Q444" i="7"/>
  <c r="Q446" i="7"/>
  <c r="Q448" i="7"/>
  <c r="Q450" i="7"/>
  <c r="Q452" i="7"/>
  <c r="Q454" i="7"/>
  <c r="Q456" i="7"/>
  <c r="Q458" i="7"/>
  <c r="Q460" i="7"/>
  <c r="Q462" i="7"/>
  <c r="Q464" i="7"/>
  <c r="Q466" i="7"/>
  <c r="Q468" i="7"/>
  <c r="Q470" i="7"/>
  <c r="Q472" i="7"/>
  <c r="Q474" i="7"/>
  <c r="Q476" i="7"/>
  <c r="Q478" i="7"/>
  <c r="Q480" i="7"/>
  <c r="Q482" i="7"/>
  <c r="Q484" i="7"/>
  <c r="Q486" i="7"/>
  <c r="Q488" i="7"/>
  <c r="Q490" i="7"/>
  <c r="Q492" i="7"/>
  <c r="Q494" i="7"/>
  <c r="Q496" i="7"/>
  <c r="Q498" i="7"/>
  <c r="Q500" i="7"/>
  <c r="Q502" i="7"/>
  <c r="Q504" i="7"/>
  <c r="Q506" i="7"/>
  <c r="Q508" i="7"/>
  <c r="Q510" i="7"/>
  <c r="Q512" i="7"/>
  <c r="Q514" i="7"/>
  <c r="Q516" i="7"/>
  <c r="Q518" i="7"/>
  <c r="Q520" i="7"/>
  <c r="Q522" i="7"/>
  <c r="Q524" i="7"/>
  <c r="Q526" i="7"/>
  <c r="Q528" i="7"/>
  <c r="Q530" i="7"/>
  <c r="Q532" i="7"/>
  <c r="Q534" i="7"/>
  <c r="Q536" i="7"/>
  <c r="Q538" i="7"/>
  <c r="Q540" i="7"/>
  <c r="Q542" i="7"/>
  <c r="Q544" i="7"/>
  <c r="Q546" i="7"/>
  <c r="Q548" i="7"/>
  <c r="Q550" i="7"/>
  <c r="Q552" i="7"/>
  <c r="Q554" i="7"/>
  <c r="Q556" i="7"/>
  <c r="Q558" i="7"/>
  <c r="Q560" i="7"/>
  <c r="Q562" i="7"/>
  <c r="Q564" i="7"/>
  <c r="Q566" i="7"/>
  <c r="Q568" i="7"/>
  <c r="Q570" i="7"/>
  <c r="Q572" i="7"/>
  <c r="Q574" i="7"/>
  <c r="Q576" i="7"/>
  <c r="Q578" i="7"/>
  <c r="Q580" i="7"/>
  <c r="Q582" i="7"/>
  <c r="Q584" i="7"/>
  <c r="Q586" i="7"/>
  <c r="Q588" i="7"/>
  <c r="Q590" i="7"/>
  <c r="Q592" i="7"/>
  <c r="Q594" i="7"/>
  <c r="Q596" i="7"/>
  <c r="Q598" i="7"/>
  <c r="Q213" i="7"/>
  <c r="Q236" i="7"/>
  <c r="Q238" i="7"/>
  <c r="Q240" i="7"/>
  <c r="Q242" i="7"/>
  <c r="Q244" i="7"/>
  <c r="Q246" i="7"/>
  <c r="Q248" i="7"/>
  <c r="Q250" i="7"/>
  <c r="Q215" i="7"/>
  <c r="Q223" i="7"/>
  <c r="Q231" i="7"/>
  <c r="Q251" i="7"/>
  <c r="Q259" i="7"/>
  <c r="Q267" i="7"/>
  <c r="Q599" i="7"/>
  <c r="Q601" i="7"/>
  <c r="Q603" i="7"/>
  <c r="Q605" i="7"/>
  <c r="Q607" i="7"/>
  <c r="Q609" i="7"/>
  <c r="Q611" i="7"/>
  <c r="Q613" i="7"/>
  <c r="Q615" i="7"/>
  <c r="Q617" i="7"/>
  <c r="Q619" i="7"/>
  <c r="Q621" i="7"/>
  <c r="Q623" i="7"/>
  <c r="Q625" i="7"/>
  <c r="Q627" i="7"/>
  <c r="Q629" i="7"/>
  <c r="Q631" i="7"/>
  <c r="Q633" i="7"/>
  <c r="Q635" i="7"/>
  <c r="Q637" i="7"/>
  <c r="Q664" i="7"/>
  <c r="Q666" i="7"/>
  <c r="Q668" i="7"/>
  <c r="Q670" i="7"/>
  <c r="Q672" i="7"/>
  <c r="Q674" i="7"/>
  <c r="Q676" i="7"/>
  <c r="Q678" i="7"/>
  <c r="Q680" i="7"/>
  <c r="Q682" i="7"/>
  <c r="Q684" i="7"/>
  <c r="Q686" i="7"/>
  <c r="Q688" i="7"/>
  <c r="Q690" i="7"/>
  <c r="Q692" i="7"/>
  <c r="Q694" i="7"/>
  <c r="Q696" i="7"/>
  <c r="Q698" i="7"/>
  <c r="Q700" i="7"/>
  <c r="Q702" i="7"/>
  <c r="Q704" i="7"/>
  <c r="Q706" i="7"/>
  <c r="Q708" i="7"/>
  <c r="Q710" i="7"/>
  <c r="Q712" i="7"/>
  <c r="Q714" i="7"/>
  <c r="Q716" i="7"/>
  <c r="Q718" i="7"/>
  <c r="Q720" i="7"/>
  <c r="Q722" i="7"/>
  <c r="Q724" i="7"/>
  <c r="Q726" i="7"/>
  <c r="Q728" i="7"/>
  <c r="Q730" i="7"/>
  <c r="Q732" i="7"/>
  <c r="Q734" i="7"/>
  <c r="Q736" i="7"/>
  <c r="Q738" i="7"/>
  <c r="Q740" i="7"/>
  <c r="Q742" i="7"/>
  <c r="Q744" i="7"/>
  <c r="Q746" i="7"/>
  <c r="Q748" i="7"/>
  <c r="Q750" i="7"/>
  <c r="Q752" i="7"/>
  <c r="Q754" i="7"/>
  <c r="Q756" i="7"/>
  <c r="Q758" i="7"/>
  <c r="Q760" i="7"/>
  <c r="Q762" i="7"/>
  <c r="Q764" i="7"/>
  <c r="Q766" i="7"/>
  <c r="Q768" i="7"/>
  <c r="Q770" i="7"/>
  <c r="Q772" i="7"/>
  <c r="Q774" i="7"/>
  <c r="Q776" i="7"/>
  <c r="Q778" i="7"/>
  <c r="Q780" i="7"/>
  <c r="Q782" i="7"/>
  <c r="Q784" i="7"/>
  <c r="Q786" i="7"/>
  <c r="Q788" i="7"/>
  <c r="Q790" i="7"/>
  <c r="Q792" i="7"/>
  <c r="Q794" i="7"/>
  <c r="Q796" i="7"/>
  <c r="Q798" i="7"/>
  <c r="Q800" i="7"/>
  <c r="Q802" i="7"/>
  <c r="Q804" i="7"/>
  <c r="Q806" i="7"/>
  <c r="Q808" i="7"/>
  <c r="Q810" i="7"/>
  <c r="Q812" i="7"/>
  <c r="Q814" i="7"/>
  <c r="Q816" i="7"/>
  <c r="Q818" i="7"/>
  <c r="Q820" i="7"/>
  <c r="Q822" i="7"/>
  <c r="Q824" i="7"/>
  <c r="Q826" i="7"/>
  <c r="Q828" i="7"/>
  <c r="Q830" i="7"/>
  <c r="Q832" i="7"/>
  <c r="Q834" i="7"/>
  <c r="Q836" i="7"/>
  <c r="Q838" i="7"/>
  <c r="Q840" i="7"/>
  <c r="Q842" i="7"/>
  <c r="Q844" i="7"/>
  <c r="Q846" i="7"/>
  <c r="Q848" i="7"/>
  <c r="Q850" i="7"/>
  <c r="Q852" i="7"/>
  <c r="Q854" i="7"/>
  <c r="Q856" i="7"/>
  <c r="Q858" i="7"/>
  <c r="Q860" i="7"/>
  <c r="Q862" i="7"/>
  <c r="Q864" i="7"/>
  <c r="Q866" i="7"/>
  <c r="Q868" i="7"/>
  <c r="Q870" i="7"/>
  <c r="Q872" i="7"/>
  <c r="Q874" i="7"/>
  <c r="Q876" i="7"/>
  <c r="Q878" i="7"/>
  <c r="Q880" i="7"/>
  <c r="Q882" i="7"/>
  <c r="Q884" i="7"/>
  <c r="Q886" i="7"/>
  <c r="Q888" i="7"/>
  <c r="Q890" i="7"/>
  <c r="Q892" i="7"/>
  <c r="Q894" i="7"/>
  <c r="Q217" i="7"/>
  <c r="Q225" i="7"/>
  <c r="Q233" i="7"/>
  <c r="Q253" i="7"/>
  <c r="Q261" i="7"/>
  <c r="Q269" i="7"/>
  <c r="Q219" i="7"/>
  <c r="Q227" i="7"/>
  <c r="Q235" i="7"/>
  <c r="Q255" i="7"/>
  <c r="Q263" i="7"/>
  <c r="Q271" i="7"/>
  <c r="Q600" i="7"/>
  <c r="Q602" i="7"/>
  <c r="Q604" i="7"/>
  <c r="Q606" i="7"/>
  <c r="Q608" i="7"/>
  <c r="Q610" i="7"/>
  <c r="Q612" i="7"/>
  <c r="Q614" i="7"/>
  <c r="Q616" i="7"/>
  <c r="Q618" i="7"/>
  <c r="Q620" i="7"/>
  <c r="Q622" i="7"/>
  <c r="Q624" i="7"/>
  <c r="Q626" i="7"/>
  <c r="Q628" i="7"/>
  <c r="Q630" i="7"/>
  <c r="Q632" i="7"/>
  <c r="Q634" i="7"/>
  <c r="Q636" i="7"/>
  <c r="Q638" i="7"/>
  <c r="Q640" i="7"/>
  <c r="Q642" i="7"/>
  <c r="Q644" i="7"/>
  <c r="Q646" i="7"/>
  <c r="Q648" i="7"/>
  <c r="Q650" i="7"/>
  <c r="Q652" i="7"/>
  <c r="Q654" i="7"/>
  <c r="Q656" i="7"/>
  <c r="Q658" i="7"/>
  <c r="Q660" i="7"/>
  <c r="Q662" i="7"/>
  <c r="Q665" i="7"/>
  <c r="Q667" i="7"/>
  <c r="Q669" i="7"/>
  <c r="Q671" i="7"/>
  <c r="Q673" i="7"/>
  <c r="Q675" i="7"/>
  <c r="Q677" i="7"/>
  <c r="Q679" i="7"/>
  <c r="Q681" i="7"/>
  <c r="Q683" i="7"/>
  <c r="Q685" i="7"/>
  <c r="Q687" i="7"/>
  <c r="Q689" i="7"/>
  <c r="Q691" i="7"/>
  <c r="Q693" i="7"/>
  <c r="Q695" i="7"/>
  <c r="Q697" i="7"/>
  <c r="Q699" i="7"/>
  <c r="Q701" i="7"/>
  <c r="Q703" i="7"/>
  <c r="Q705" i="7"/>
  <c r="Q707" i="7"/>
  <c r="Q709" i="7"/>
  <c r="Q711" i="7"/>
  <c r="Q713" i="7"/>
  <c r="Q715" i="7"/>
  <c r="Q717" i="7"/>
  <c r="Q719" i="7"/>
  <c r="Q721" i="7"/>
  <c r="Q723" i="7"/>
  <c r="Q725" i="7"/>
  <c r="Q727" i="7"/>
  <c r="Q729" i="7"/>
  <c r="Q731" i="7"/>
  <c r="Q733" i="7"/>
  <c r="Q735" i="7"/>
  <c r="Q737" i="7"/>
  <c r="Q739" i="7"/>
  <c r="Q741" i="7"/>
  <c r="Q743" i="7"/>
  <c r="Q745" i="7"/>
  <c r="Q747" i="7"/>
  <c r="Q749" i="7"/>
  <c r="Q751" i="7"/>
  <c r="Q753" i="7"/>
  <c r="Q755" i="7"/>
  <c r="Q757" i="7"/>
  <c r="Q759" i="7"/>
  <c r="Q761" i="7"/>
  <c r="Q763" i="7"/>
  <c r="Q765" i="7"/>
  <c r="Q767" i="7"/>
  <c r="Q769" i="7"/>
  <c r="Q771" i="7"/>
  <c r="Q773" i="7"/>
  <c r="Q775" i="7"/>
  <c r="Q777" i="7"/>
  <c r="Q779" i="7"/>
  <c r="Q781" i="7"/>
  <c r="Q783" i="7"/>
  <c r="Q785" i="7"/>
  <c r="Q787" i="7"/>
  <c r="Q789" i="7"/>
  <c r="Q791" i="7"/>
  <c r="Q793" i="7"/>
  <c r="Q795" i="7"/>
  <c r="Q797" i="7"/>
  <c r="Q799" i="7"/>
  <c r="Q801" i="7"/>
  <c r="Q803" i="7"/>
  <c r="Q805" i="7"/>
  <c r="Q807" i="7"/>
  <c r="Q809" i="7"/>
  <c r="Q811" i="7"/>
  <c r="Q813" i="7"/>
  <c r="Q815" i="7"/>
  <c r="Q817" i="7"/>
  <c r="Q819" i="7"/>
  <c r="Q821" i="7"/>
  <c r="Q823" i="7"/>
  <c r="Q825" i="7"/>
  <c r="Q827" i="7"/>
  <c r="Q829" i="7"/>
  <c r="Q831" i="7"/>
  <c r="Q833" i="7"/>
  <c r="Q835" i="7"/>
  <c r="Q837" i="7"/>
  <c r="Q839" i="7"/>
  <c r="Q841" i="7"/>
  <c r="Q843" i="7"/>
  <c r="Q845" i="7"/>
  <c r="Q847" i="7"/>
  <c r="Q849" i="7"/>
  <c r="Q851" i="7"/>
  <c r="Q853" i="7"/>
  <c r="Q855" i="7"/>
  <c r="Q857" i="7"/>
  <c r="Q859" i="7"/>
  <c r="Q861" i="7"/>
  <c r="Q863" i="7"/>
  <c r="Q865" i="7"/>
  <c r="Q867" i="7"/>
  <c r="Q869" i="7"/>
  <c r="Q871" i="7"/>
  <c r="Q873" i="7"/>
  <c r="Q875" i="7"/>
  <c r="Q877" i="7"/>
  <c r="Q879" i="7"/>
  <c r="Q881" i="7"/>
  <c r="Q883" i="7"/>
  <c r="Q885" i="7"/>
  <c r="Q887" i="7"/>
  <c r="Q889" i="7"/>
  <c r="Q891" i="7"/>
  <c r="Q893" i="7"/>
  <c r="Q895" i="7"/>
  <c r="Q897" i="7"/>
  <c r="Q899" i="7"/>
  <c r="Q901" i="7"/>
  <c r="Q903" i="7"/>
  <c r="Q905" i="7"/>
  <c r="Q907" i="7"/>
  <c r="Q221" i="7"/>
  <c r="Q229" i="7"/>
  <c r="Q257" i="7"/>
  <c r="Q265" i="7"/>
  <c r="Q273" i="7"/>
  <c r="Q275" i="7"/>
  <c r="Q277" i="7"/>
  <c r="Q279" i="7"/>
  <c r="Q281" i="7"/>
  <c r="Q283" i="7"/>
  <c r="Q285" i="7"/>
  <c r="Q287" i="7"/>
  <c r="Q289" i="7"/>
  <c r="Q291" i="7"/>
  <c r="Q293" i="7"/>
  <c r="Q295" i="7"/>
  <c r="Q297" i="7"/>
  <c r="Q299" i="7"/>
  <c r="Q301" i="7"/>
  <c r="Q303" i="7"/>
  <c r="Q305" i="7"/>
  <c r="Q307" i="7"/>
  <c r="Q309" i="7"/>
  <c r="Q311" i="7"/>
  <c r="Q313" i="7"/>
  <c r="Q315" i="7"/>
  <c r="Q317" i="7"/>
  <c r="Q319" i="7"/>
  <c r="Q321" i="7"/>
  <c r="Q323" i="7"/>
  <c r="Q325" i="7"/>
  <c r="Q327" i="7"/>
  <c r="Q329" i="7"/>
  <c r="Q331" i="7"/>
  <c r="Q333" i="7"/>
  <c r="Q335" i="7"/>
  <c r="Q337" i="7"/>
  <c r="Q339" i="7"/>
  <c r="Q341" i="7"/>
  <c r="Q343" i="7"/>
  <c r="Q345" i="7"/>
  <c r="Q347" i="7"/>
  <c r="Q349" i="7"/>
  <c r="Q351" i="7"/>
  <c r="Q353" i="7"/>
  <c r="Q355" i="7"/>
  <c r="Q357" i="7"/>
  <c r="Q359" i="7"/>
  <c r="Q361" i="7"/>
  <c r="Q363" i="7"/>
  <c r="Q365" i="7"/>
  <c r="Q367" i="7"/>
  <c r="Q369" i="7"/>
  <c r="Q371" i="7"/>
  <c r="Q373" i="7"/>
  <c r="Q375" i="7"/>
  <c r="Q377" i="7"/>
  <c r="Q379" i="7"/>
  <c r="Q381" i="7"/>
  <c r="Q383" i="7"/>
  <c r="Q385" i="7"/>
  <c r="Q387" i="7"/>
  <c r="Q389" i="7"/>
  <c r="Q391" i="7"/>
  <c r="Q393" i="7"/>
  <c r="Q395" i="7"/>
  <c r="Q397" i="7"/>
  <c r="Q399" i="7"/>
  <c r="Q401" i="7"/>
  <c r="Q403" i="7"/>
  <c r="Q405" i="7"/>
  <c r="Q407" i="7"/>
  <c r="Q409" i="7"/>
  <c r="Q411" i="7"/>
  <c r="Q413" i="7"/>
  <c r="Q415" i="7"/>
  <c r="Q417" i="7"/>
  <c r="Q419" i="7"/>
  <c r="Q421" i="7"/>
  <c r="Q423" i="7"/>
  <c r="Q425" i="7"/>
  <c r="Q427" i="7"/>
  <c r="Q429" i="7"/>
  <c r="Q431" i="7"/>
  <c r="Q433" i="7"/>
  <c r="Q435" i="7"/>
  <c r="Q437" i="7"/>
  <c r="Q439" i="7"/>
  <c r="Q441" i="7"/>
  <c r="Q443" i="7"/>
  <c r="Q445" i="7"/>
  <c r="Q447" i="7"/>
  <c r="Q449" i="7"/>
  <c r="Q451" i="7"/>
  <c r="Q453" i="7"/>
  <c r="Q455" i="7"/>
  <c r="Q457" i="7"/>
  <c r="Q459" i="7"/>
  <c r="Q461" i="7"/>
  <c r="Q463" i="7"/>
  <c r="Q465" i="7"/>
  <c r="Q467" i="7"/>
  <c r="Q469" i="7"/>
  <c r="Q471" i="7"/>
  <c r="Q473" i="7"/>
  <c r="Q475" i="7"/>
  <c r="Q477" i="7"/>
  <c r="Q479" i="7"/>
  <c r="Q481" i="7"/>
  <c r="Q483" i="7"/>
  <c r="Q485" i="7"/>
  <c r="Q487" i="7"/>
  <c r="Q489" i="7"/>
  <c r="Q491" i="7"/>
  <c r="Q493" i="7"/>
  <c r="Q495" i="7"/>
  <c r="Q497" i="7"/>
  <c r="Q499" i="7"/>
  <c r="Q501" i="7"/>
  <c r="Q503" i="7"/>
  <c r="Q505" i="7"/>
  <c r="Q507" i="7"/>
  <c r="Q509" i="7"/>
  <c r="Q511" i="7"/>
  <c r="Q513" i="7"/>
  <c r="Q515" i="7"/>
  <c r="Q517" i="7"/>
  <c r="Q519" i="7"/>
  <c r="Q521" i="7"/>
  <c r="Q523" i="7"/>
  <c r="Q525" i="7"/>
  <c r="Q527" i="7"/>
  <c r="Q529" i="7"/>
  <c r="Q531" i="7"/>
  <c r="Q533" i="7"/>
  <c r="Q535" i="7"/>
  <c r="Q537" i="7"/>
  <c r="Q539" i="7"/>
  <c r="Q541" i="7"/>
  <c r="Q543" i="7"/>
  <c r="Q545" i="7"/>
  <c r="Q547" i="7"/>
  <c r="Q549" i="7"/>
  <c r="Q551" i="7"/>
  <c r="Q553" i="7"/>
  <c r="Q555" i="7"/>
  <c r="Q557" i="7"/>
  <c r="Q559" i="7"/>
  <c r="Q561" i="7"/>
  <c r="Q563" i="7"/>
  <c r="Q565" i="7"/>
  <c r="Q567" i="7"/>
  <c r="Q569" i="7"/>
  <c r="Q571" i="7"/>
  <c r="Q573" i="7"/>
  <c r="Q575" i="7"/>
  <c r="Q577" i="7"/>
  <c r="Q579" i="7"/>
  <c r="Q581" i="7"/>
  <c r="Q583" i="7"/>
  <c r="Q585" i="7"/>
  <c r="Q587" i="7"/>
  <c r="Q589" i="7"/>
  <c r="Q591" i="7"/>
  <c r="Q593" i="7"/>
  <c r="Q595" i="7"/>
  <c r="Q597" i="7"/>
  <c r="Q639" i="7"/>
  <c r="Q641" i="7"/>
  <c r="Q643" i="7"/>
  <c r="Q645" i="7"/>
  <c r="Q647" i="7"/>
  <c r="Q649" i="7"/>
  <c r="Q651" i="7"/>
  <c r="Q653" i="7"/>
  <c r="Q655" i="7"/>
  <c r="Q657" i="7"/>
  <c r="Q659" i="7"/>
  <c r="Q661" i="7"/>
  <c r="Q663" i="7"/>
  <c r="Q896" i="7"/>
  <c r="Q898" i="7"/>
  <c r="Q900" i="7"/>
  <c r="Q902" i="7"/>
  <c r="Q904" i="7"/>
  <c r="Q906" i="7"/>
  <c r="Q941" i="7"/>
  <c r="Q943" i="7"/>
  <c r="Q945" i="7"/>
  <c r="Q947" i="7"/>
  <c r="Q949" i="7"/>
  <c r="Q951" i="7"/>
  <c r="Q953" i="7"/>
  <c r="Q955" i="7"/>
  <c r="Q957" i="7"/>
  <c r="Q959" i="7"/>
  <c r="Q961" i="7"/>
  <c r="Q963" i="7"/>
  <c r="Q965" i="7"/>
  <c r="Q967" i="7"/>
  <c r="Q969" i="7"/>
  <c r="Q971" i="7"/>
  <c r="Q973" i="7"/>
  <c r="Q975" i="7"/>
  <c r="Q977" i="7"/>
  <c r="Q979" i="7"/>
  <c r="Q981" i="7"/>
  <c r="Q983" i="7"/>
  <c r="Q985" i="7"/>
  <c r="Q987" i="7"/>
  <c r="Q989" i="7"/>
  <c r="Q991" i="7"/>
  <c r="Q993" i="7"/>
  <c r="Q995" i="7"/>
  <c r="Q997" i="7"/>
  <c r="Q999" i="7"/>
  <c r="Q1001" i="7"/>
  <c r="Q1003" i="7"/>
  <c r="Q1005" i="7"/>
  <c r="Q1007" i="7"/>
  <c r="Q1009" i="7"/>
  <c r="Q1011" i="7"/>
  <c r="Q1013" i="7"/>
  <c r="Q1015" i="7"/>
  <c r="Q1017" i="7"/>
  <c r="Q1019" i="7"/>
  <c r="Q1021" i="7"/>
  <c r="Q1023" i="7"/>
  <c r="Q1025" i="7"/>
  <c r="Q1027" i="7"/>
  <c r="Q1029" i="7"/>
  <c r="Q1031" i="7"/>
  <c r="Q1033" i="7"/>
  <c r="Q1035" i="7"/>
  <c r="Q1037" i="7"/>
  <c r="Q1039" i="7"/>
  <c r="Q1041" i="7"/>
  <c r="Q1043" i="7"/>
  <c r="Q1045" i="7"/>
  <c r="Q1047" i="7"/>
  <c r="Q1049" i="7"/>
  <c r="Q1051" i="7"/>
  <c r="Q1053" i="7"/>
  <c r="Q1055" i="7"/>
  <c r="Q1057" i="7"/>
  <c r="Q1059" i="7"/>
  <c r="Q1061" i="7"/>
  <c r="Q1063" i="7"/>
  <c r="Q908" i="7"/>
  <c r="Q910" i="7"/>
  <c r="Q912" i="7"/>
  <c r="Q914" i="7"/>
  <c r="Q916" i="7"/>
  <c r="Q918" i="7"/>
  <c r="Q920" i="7"/>
  <c r="Q922" i="7"/>
  <c r="Q924" i="7"/>
  <c r="Q926" i="7"/>
  <c r="Q928" i="7"/>
  <c r="Q930" i="7"/>
  <c r="Q932" i="7"/>
  <c r="Q934" i="7"/>
  <c r="Q936" i="7"/>
  <c r="Q938" i="7"/>
  <c r="Q940" i="7"/>
  <c r="Q942" i="7"/>
  <c r="Q944" i="7"/>
  <c r="Q946" i="7"/>
  <c r="Q948" i="7"/>
  <c r="Q950" i="7"/>
  <c r="Q952" i="7"/>
  <c r="Q954" i="7"/>
  <c r="Q956" i="7"/>
  <c r="Q958" i="7"/>
  <c r="Q960" i="7"/>
  <c r="Q962" i="7"/>
  <c r="Q964" i="7"/>
  <c r="Q966" i="7"/>
  <c r="Q968" i="7"/>
  <c r="Q970" i="7"/>
  <c r="Q972" i="7"/>
  <c r="Q974" i="7"/>
  <c r="Q976" i="7"/>
  <c r="Q978" i="7"/>
  <c r="Q980" i="7"/>
  <c r="Q982" i="7"/>
  <c r="Q984" i="7"/>
  <c r="Q986" i="7"/>
  <c r="Q988" i="7"/>
  <c r="Q990" i="7"/>
  <c r="Q992" i="7"/>
  <c r="Q994" i="7"/>
  <c r="Q996" i="7"/>
  <c r="Q998" i="7"/>
  <c r="Q1000" i="7"/>
  <c r="Q1002" i="7"/>
  <c r="Q1004" i="7"/>
  <c r="Q1006" i="7"/>
  <c r="Q1008" i="7"/>
  <c r="Q1010" i="7"/>
  <c r="Q1012" i="7"/>
  <c r="Q1014" i="7"/>
  <c r="Q1016" i="7"/>
  <c r="Q1018" i="7"/>
  <c r="Q1020" i="7"/>
  <c r="Q1022" i="7"/>
  <c r="Q1024" i="7"/>
  <c r="Q1026" i="7"/>
  <c r="Q1028" i="7"/>
  <c r="Q1030" i="7"/>
  <c r="Q1032" i="7"/>
  <c r="Q1034" i="7"/>
  <c r="Q1036" i="7"/>
  <c r="Q1038" i="7"/>
  <c r="Q1040" i="7"/>
  <c r="Q1042" i="7"/>
  <c r="Q1044" i="7"/>
  <c r="Q1046" i="7"/>
  <c r="Q1048" i="7"/>
  <c r="Q1050" i="7"/>
  <c r="Q1052" i="7"/>
  <c r="Q1054" i="7"/>
  <c r="Q1056" i="7"/>
  <c r="Q1058" i="7"/>
  <c r="Q1060" i="7"/>
  <c r="Q1062" i="7"/>
  <c r="Q909" i="7"/>
  <c r="Q911" i="7"/>
  <c r="Q913" i="7"/>
  <c r="Q915" i="7"/>
  <c r="Q917" i="7"/>
  <c r="Q919" i="7"/>
  <c r="Q921" i="7"/>
  <c r="Q923" i="7"/>
  <c r="Q925" i="7"/>
  <c r="Q927" i="7"/>
  <c r="Q929" i="7"/>
  <c r="Q931" i="7"/>
  <c r="Q933" i="7"/>
  <c r="Q935" i="7"/>
  <c r="Q937" i="7"/>
  <c r="Q939" i="7"/>
  <c r="M366" i="9"/>
  <c r="N366" i="9"/>
  <c r="AA366" i="9"/>
  <c r="M337" i="9"/>
  <c r="N337" i="9"/>
  <c r="AA337" i="9"/>
  <c r="M358" i="9"/>
  <c r="N358" i="9"/>
  <c r="AA358" i="9"/>
  <c r="M364" i="9"/>
  <c r="N364" i="9"/>
  <c r="AA364" i="9"/>
  <c r="M329" i="9"/>
  <c r="N329" i="9"/>
  <c r="AA329" i="9"/>
  <c r="M305" i="9"/>
  <c r="N305" i="9"/>
  <c r="AA305" i="9"/>
  <c r="M321" i="9"/>
  <c r="N321" i="9"/>
  <c r="AA321" i="9"/>
  <c r="M374" i="9"/>
  <c r="N374" i="9"/>
  <c r="AA374" i="9"/>
  <c r="M309" i="9"/>
  <c r="N309" i="9"/>
  <c r="AA309" i="9"/>
  <c r="M346" i="9"/>
  <c r="N346" i="9"/>
  <c r="AA346" i="9"/>
  <c r="M313" i="9"/>
  <c r="N313" i="9"/>
  <c r="AA313" i="9"/>
  <c r="M345" i="9"/>
  <c r="N345" i="9"/>
  <c r="AA345" i="9"/>
  <c r="M362" i="9"/>
  <c r="N362" i="9"/>
  <c r="AA362" i="9"/>
  <c r="M365" i="9"/>
  <c r="N365" i="9"/>
  <c r="AA365" i="9"/>
  <c r="M341" i="9"/>
  <c r="N341" i="9"/>
  <c r="AA341" i="9"/>
  <c r="M379" i="9"/>
  <c r="M386" i="9"/>
  <c r="M370" i="9"/>
  <c r="N370" i="9"/>
  <c r="AA370" i="9"/>
  <c r="M349" i="9"/>
  <c r="N349" i="9"/>
  <c r="AA349" i="9"/>
  <c r="M357" i="9"/>
  <c r="N357" i="9"/>
  <c r="AA357" i="9"/>
  <c r="M383" i="9"/>
  <c r="N383" i="9"/>
  <c r="AA383" i="9"/>
  <c r="M395" i="9"/>
  <c r="M356" i="9"/>
  <c r="N356" i="9"/>
  <c r="AA356" i="9"/>
  <c r="M354" i="9"/>
  <c r="N354" i="9"/>
  <c r="AA354" i="9"/>
  <c r="M406" i="9"/>
  <c r="N406" i="9"/>
  <c r="AA406" i="9"/>
  <c r="M398" i="9"/>
  <c r="M430" i="9"/>
  <c r="N430" i="9"/>
  <c r="AA430" i="9"/>
  <c r="M402" i="9"/>
  <c r="M447" i="9"/>
  <c r="N447" i="9"/>
  <c r="AA447" i="9"/>
  <c r="M419" i="9"/>
  <c r="N419" i="9"/>
  <c r="AA419" i="9"/>
  <c r="M382" i="9"/>
  <c r="M443" i="9"/>
  <c r="N443" i="9"/>
  <c r="AA443" i="9"/>
  <c r="M387" i="9"/>
  <c r="M414" i="9"/>
  <c r="N414" i="9"/>
  <c r="AA414" i="9"/>
  <c r="M446" i="9"/>
  <c r="N446" i="9"/>
  <c r="AA446" i="9"/>
  <c r="M438" i="9"/>
  <c r="N438" i="9"/>
  <c r="AA438" i="9"/>
  <c r="M439" i="9"/>
  <c r="N439" i="9"/>
  <c r="AA439" i="9"/>
  <c r="M391" i="9"/>
  <c r="N391" i="9"/>
  <c r="AA391" i="9"/>
  <c r="M407" i="9"/>
  <c r="N407" i="9"/>
  <c r="AA407" i="9"/>
  <c r="M411" i="9"/>
  <c r="N411" i="9"/>
  <c r="AA411" i="9"/>
  <c r="M418" i="9"/>
  <c r="N418" i="9"/>
  <c r="AA418" i="9"/>
  <c r="M427" i="9"/>
  <c r="N427" i="9"/>
  <c r="AA427" i="9"/>
  <c r="M390" i="9"/>
  <c r="N390" i="9"/>
  <c r="AA390" i="9"/>
  <c r="M469" i="9"/>
  <c r="N469" i="9"/>
  <c r="AA469" i="9"/>
  <c r="M458" i="9"/>
  <c r="N458" i="9"/>
  <c r="AA458" i="9"/>
  <c r="M429" i="9"/>
  <c r="N429" i="9"/>
  <c r="AA429" i="9"/>
  <c r="M420" i="9"/>
  <c r="N420" i="9"/>
  <c r="AA420" i="9"/>
  <c r="M472" i="9"/>
  <c r="N472" i="9"/>
  <c r="AA472" i="9"/>
  <c r="M474" i="9"/>
  <c r="N474" i="9"/>
  <c r="AA474" i="9"/>
  <c r="M421" i="9"/>
  <c r="N421" i="9"/>
  <c r="AA421" i="9"/>
  <c r="M426" i="9"/>
  <c r="N426" i="9"/>
  <c r="AA426" i="9"/>
  <c r="M467" i="9"/>
  <c r="N467" i="9"/>
  <c r="AA467" i="9"/>
  <c r="M436" i="9"/>
  <c r="N436" i="9"/>
  <c r="AA436" i="9"/>
  <c r="M463" i="9"/>
  <c r="N463" i="9"/>
  <c r="AA463" i="9"/>
  <c r="M435" i="9"/>
  <c r="N435" i="9"/>
  <c r="AA435" i="9"/>
  <c r="M441" i="9"/>
  <c r="N441" i="9"/>
  <c r="AA441" i="9"/>
  <c r="M442" i="9"/>
  <c r="N442" i="9"/>
  <c r="AA442" i="9"/>
  <c r="M457" i="9"/>
  <c r="N457" i="9"/>
  <c r="AA457" i="9"/>
  <c r="M431" i="9"/>
  <c r="N431" i="9"/>
  <c r="AA431" i="9"/>
  <c r="M461" i="9"/>
  <c r="N461" i="9"/>
  <c r="AA461" i="9"/>
  <c r="M520" i="9"/>
  <c r="M452" i="9"/>
  <c r="N452" i="9"/>
  <c r="AA452" i="9"/>
  <c r="M504" i="9"/>
  <c r="M501" i="9"/>
  <c r="N501" i="9"/>
  <c r="AA501" i="9"/>
  <c r="M453" i="9"/>
  <c r="N453" i="9"/>
  <c r="AA453" i="9"/>
  <c r="M480" i="9"/>
  <c r="N480" i="9"/>
  <c r="AA480" i="9"/>
  <c r="M516" i="9"/>
  <c r="M473" i="9"/>
  <c r="N473" i="9"/>
  <c r="AA473" i="9"/>
  <c r="M468" i="9"/>
  <c r="N468" i="9"/>
  <c r="AA468" i="9"/>
  <c r="M517" i="9"/>
  <c r="N517" i="9"/>
  <c r="AA517" i="9"/>
  <c r="M489" i="9"/>
  <c r="N489" i="9"/>
  <c r="AA489" i="9"/>
  <c r="M456" i="9"/>
  <c r="N456" i="9"/>
  <c r="AA456" i="9"/>
  <c r="M477" i="9"/>
  <c r="N477" i="9"/>
  <c r="AA477" i="9"/>
  <c r="M529" i="9"/>
  <c r="N529" i="9"/>
  <c r="AA529" i="9"/>
  <c r="M545" i="9"/>
  <c r="N545" i="9"/>
  <c r="AA545" i="9"/>
  <c r="M524" i="9"/>
  <c r="M496" i="9"/>
  <c r="M513" i="9"/>
  <c r="N513" i="9"/>
  <c r="AA513" i="9"/>
  <c r="M528" i="9"/>
  <c r="M556" i="9"/>
  <c r="M492" i="9"/>
  <c r="M508" i="9"/>
  <c r="M497" i="9"/>
  <c r="N497" i="9"/>
  <c r="AA497" i="9"/>
  <c r="AE787" i="9"/>
  <c r="AF787" i="9"/>
  <c r="AD787" i="9"/>
  <c r="N745" i="9"/>
  <c r="AA745" i="9"/>
  <c r="AE934" i="9"/>
  <c r="AD934" i="9"/>
  <c r="AE601" i="9"/>
  <c r="AD601" i="9"/>
  <c r="AF601" i="9"/>
  <c r="AE1031" i="9"/>
  <c r="AD1031" i="9"/>
  <c r="AF1031" i="9"/>
  <c r="N874" i="9"/>
  <c r="AA874" i="9"/>
  <c r="N922" i="9"/>
  <c r="AA922" i="9"/>
  <c r="N1018" i="9"/>
  <c r="AA1018" i="9"/>
  <c r="AE905" i="9"/>
  <c r="AD905" i="9"/>
  <c r="AF905" i="9"/>
  <c r="N617" i="9"/>
  <c r="AA617" i="9"/>
  <c r="AE933" i="9"/>
  <c r="AD933" i="9"/>
  <c r="AF933" i="9"/>
  <c r="AE1051" i="9"/>
  <c r="AF1051" i="9"/>
  <c r="AD1051" i="9"/>
  <c r="AE853" i="9"/>
  <c r="AD853" i="9"/>
  <c r="AF853" i="9"/>
  <c r="N845" i="9"/>
  <c r="AA845" i="9"/>
  <c r="AE725" i="9"/>
  <c r="AD725" i="9"/>
  <c r="AF725" i="9"/>
  <c r="N581" i="9"/>
  <c r="AA581" i="9"/>
  <c r="N894" i="9"/>
  <c r="AA894" i="9"/>
  <c r="N665" i="9"/>
  <c r="AA665" i="9"/>
  <c r="N597" i="9"/>
  <c r="AA597" i="9"/>
  <c r="AD691" i="9"/>
  <c r="N838" i="9"/>
  <c r="AA838" i="9"/>
  <c r="N884" i="9"/>
  <c r="AA884" i="9"/>
  <c r="N992" i="9"/>
  <c r="AA992" i="9"/>
  <c r="N919" i="9"/>
  <c r="AA919" i="9"/>
  <c r="N602" i="9"/>
  <c r="AA602" i="9"/>
  <c r="N871" i="9"/>
  <c r="AA871" i="9"/>
  <c r="N788" i="9"/>
  <c r="AA788" i="9"/>
  <c r="N525" i="9"/>
  <c r="AA525" i="9"/>
  <c r="N644" i="9"/>
  <c r="AA644" i="9"/>
  <c r="N598" i="9"/>
  <c r="AA598" i="9"/>
  <c r="N939" i="9"/>
  <c r="AA939" i="9"/>
  <c r="AE445" i="9"/>
  <c r="AD445" i="9"/>
  <c r="AF445" i="9"/>
  <c r="N980" i="9"/>
  <c r="AA980" i="9"/>
  <c r="N1056" i="9"/>
  <c r="AA1056" i="9"/>
  <c r="N716" i="9"/>
  <c r="AA716" i="9"/>
  <c r="N952" i="9"/>
  <c r="AA952" i="9"/>
  <c r="N988" i="9"/>
  <c r="AA988" i="9"/>
  <c r="N483" i="9"/>
  <c r="AA483" i="9"/>
  <c r="N903" i="9"/>
  <c r="AA903" i="9"/>
  <c r="N796" i="9"/>
  <c r="AA796" i="9"/>
  <c r="N868" i="9"/>
  <c r="AA868" i="9"/>
  <c r="N521" i="9"/>
  <c r="AA521" i="9"/>
  <c r="N514" i="9"/>
  <c r="AA514" i="9"/>
  <c r="N932" i="9"/>
  <c r="AA932" i="9"/>
  <c r="AE742" i="9"/>
  <c r="AD742" i="9"/>
  <c r="AF742" i="9"/>
  <c r="N566" i="9"/>
  <c r="AA566" i="9"/>
  <c r="N569" i="9"/>
  <c r="AA569" i="9"/>
  <c r="N748" i="9"/>
  <c r="AA748" i="9"/>
  <c r="N879" i="9"/>
  <c r="AA879" i="9"/>
  <c r="N502" i="9"/>
  <c r="AA502" i="9"/>
  <c r="N1004" i="9"/>
  <c r="AA1004" i="9"/>
  <c r="N506" i="9"/>
  <c r="AA506" i="9"/>
  <c r="N964" i="9"/>
  <c r="AA964" i="9"/>
  <c r="N726" i="9"/>
  <c r="AA726" i="9"/>
  <c r="N720" i="9"/>
  <c r="AA720" i="9"/>
  <c r="N911" i="9"/>
  <c r="AA911" i="9"/>
  <c r="N883" i="9"/>
  <c r="AA883" i="9"/>
  <c r="N784" i="9"/>
  <c r="AA784" i="9"/>
  <c r="N976" i="9"/>
  <c r="AA976" i="9"/>
  <c r="N573" i="9"/>
  <c r="AA573" i="9"/>
  <c r="N736" i="9"/>
  <c r="AA736" i="9"/>
  <c r="N646" i="9"/>
  <c r="AA646" i="9"/>
  <c r="N527" i="9"/>
  <c r="AA527" i="9"/>
  <c r="N672" i="9"/>
  <c r="AA672" i="9"/>
  <c r="N471" i="9"/>
  <c r="AA471" i="9"/>
  <c r="N972" i="9"/>
  <c r="AA972" i="9"/>
  <c r="N543" i="9"/>
  <c r="AA543" i="9"/>
  <c r="N694" i="9"/>
  <c r="AA694" i="9"/>
  <c r="N774" i="9"/>
  <c r="AA774" i="9"/>
  <c r="N940" i="9"/>
  <c r="AA940" i="9"/>
  <c r="N1040" i="9"/>
  <c r="AA1040" i="9"/>
  <c r="N479" i="9"/>
  <c r="AA479" i="9"/>
  <c r="N1016" i="9"/>
  <c r="AA1016" i="9"/>
  <c r="N503" i="9"/>
  <c r="AA503" i="9"/>
  <c r="AE353" i="9"/>
  <c r="AD353" i="9"/>
  <c r="AF353" i="9"/>
  <c r="N1008" i="9"/>
  <c r="AA1008" i="9"/>
  <c r="N487" i="9"/>
  <c r="AA487" i="9"/>
  <c r="N892" i="9"/>
  <c r="AA892" i="9"/>
  <c r="N550" i="9"/>
  <c r="AA550" i="9"/>
  <c r="N768" i="9"/>
  <c r="AA768" i="9"/>
  <c r="N640" i="9"/>
  <c r="AA640" i="9"/>
  <c r="N490" i="9"/>
  <c r="AA490" i="9"/>
  <c r="N455" i="9"/>
  <c r="AA455" i="9"/>
  <c r="N1060" i="9"/>
  <c r="AA1060" i="9"/>
  <c r="D42" i="10"/>
  <c r="I42" i="10"/>
  <c r="E42" i="10"/>
  <c r="H42" i="10"/>
  <c r="J42" i="10"/>
  <c r="A43" i="10"/>
  <c r="C42" i="10"/>
  <c r="F42" i="10"/>
  <c r="L276" i="9"/>
  <c r="N276" i="9"/>
  <c r="L308" i="9"/>
  <c r="N308" i="9"/>
  <c r="AA308" i="9"/>
  <c r="L292" i="9"/>
  <c r="N292" i="9"/>
  <c r="AA292" i="9"/>
  <c r="L332" i="9"/>
  <c r="N332" i="9"/>
  <c r="AA332" i="9"/>
  <c r="L312" i="9"/>
  <c r="N312" i="9"/>
  <c r="AA312" i="9"/>
  <c r="L304" i="9"/>
  <c r="N304" i="9"/>
  <c r="AA304" i="9"/>
  <c r="L316" i="9"/>
  <c r="N316" i="9"/>
  <c r="AA316" i="9"/>
  <c r="L314" i="9"/>
  <c r="N314" i="9"/>
  <c r="AA314" i="9"/>
  <c r="L328" i="9"/>
  <c r="N328" i="9"/>
  <c r="AA328" i="9"/>
  <c r="L320" i="9"/>
  <c r="N320" i="9"/>
  <c r="AA320" i="9"/>
  <c r="L330" i="9"/>
  <c r="N330" i="9"/>
  <c r="AA330" i="9"/>
  <c r="L381" i="9"/>
  <c r="N381" i="9"/>
  <c r="AA381" i="9"/>
  <c r="L386" i="9"/>
  <c r="L379" i="9"/>
  <c r="L382" i="9"/>
  <c r="L403" i="9"/>
  <c r="N403" i="9"/>
  <c r="AA403" i="9"/>
  <c r="L398" i="9"/>
  <c r="L387" i="9"/>
  <c r="L397" i="9"/>
  <c r="N397" i="9"/>
  <c r="AA397" i="9"/>
  <c r="L393" i="9"/>
  <c r="N393" i="9"/>
  <c r="AA393" i="9"/>
  <c r="L402" i="9"/>
  <c r="L409" i="9"/>
  <c r="N409" i="9"/>
  <c r="AA409" i="9"/>
  <c r="L395" i="9"/>
  <c r="L376" i="9"/>
  <c r="N376" i="9"/>
  <c r="AA376" i="9"/>
  <c r="L488" i="9"/>
  <c r="N488" i="9"/>
  <c r="AA488" i="9"/>
  <c r="L504" i="9"/>
  <c r="L556" i="9"/>
  <c r="L532" i="9"/>
  <c r="N532" i="9"/>
  <c r="AA532" i="9"/>
  <c r="L500" i="9"/>
  <c r="N500" i="9"/>
  <c r="AA500" i="9"/>
  <c r="L520" i="9"/>
  <c r="L524" i="9"/>
  <c r="L508" i="9"/>
  <c r="L496" i="9"/>
  <c r="L548" i="9"/>
  <c r="N548" i="9"/>
  <c r="AA548" i="9"/>
  <c r="L516" i="9"/>
  <c r="L528" i="9"/>
  <c r="L492" i="9"/>
  <c r="L536" i="9"/>
  <c r="N536" i="9"/>
  <c r="AA536" i="9"/>
  <c r="L544" i="9"/>
  <c r="N544" i="9"/>
  <c r="AA544" i="9"/>
  <c r="L540" i="9"/>
  <c r="N540" i="9"/>
  <c r="AA540" i="9"/>
  <c r="L512" i="9"/>
  <c r="N512" i="9"/>
  <c r="AA512" i="9"/>
  <c r="L484" i="9"/>
  <c r="N484" i="9"/>
  <c r="AA484" i="9"/>
  <c r="AE1041" i="9"/>
  <c r="AF1041" i="9"/>
  <c r="AD1041" i="9"/>
  <c r="AE890" i="9"/>
  <c r="AF890" i="9"/>
  <c r="AD890" i="9"/>
  <c r="N1059" i="9"/>
  <c r="AA1059" i="9"/>
  <c r="N649" i="9"/>
  <c r="AA649" i="9"/>
  <c r="N954" i="9"/>
  <c r="AA954" i="9"/>
  <c r="N841" i="9"/>
  <c r="AA841" i="9"/>
  <c r="AE627" i="9"/>
  <c r="AF627" i="9"/>
  <c r="AD627" i="9"/>
  <c r="AE902" i="9"/>
  <c r="AD902" i="9"/>
  <c r="AF902" i="9"/>
  <c r="N1043" i="9"/>
  <c r="AA1043" i="9"/>
  <c r="N986" i="9"/>
  <c r="AA986" i="9"/>
  <c r="N580" i="9"/>
  <c r="AA580" i="9"/>
  <c r="AE810" i="9"/>
  <c r="AD810" i="9"/>
  <c r="AF810" i="9"/>
  <c r="N828" i="9"/>
  <c r="AA828" i="9"/>
  <c r="N599" i="9"/>
  <c r="AA599" i="9"/>
  <c r="N547" i="9"/>
  <c r="AA547" i="9"/>
  <c r="N852" i="9"/>
  <c r="AA852" i="9"/>
  <c r="N539" i="9"/>
  <c r="AA539" i="9"/>
  <c r="N923" i="9"/>
  <c r="AA923" i="9"/>
  <c r="N692" i="9"/>
  <c r="AA692" i="9"/>
  <c r="N804" i="9"/>
  <c r="AA804" i="9"/>
  <c r="N756" i="9"/>
  <c r="AA756" i="9"/>
  <c r="N935" i="9"/>
  <c r="AA935" i="9"/>
  <c r="N948" i="9"/>
  <c r="AA948" i="9"/>
  <c r="N891" i="9"/>
  <c r="AA891" i="9"/>
  <c r="N887" i="9"/>
  <c r="AA887" i="9"/>
  <c r="N482" i="9"/>
  <c r="AA482" i="9"/>
  <c r="N530" i="9"/>
  <c r="AA530" i="9"/>
  <c r="N912" i="9"/>
  <c r="AA912" i="9"/>
  <c r="N466" i="9"/>
  <c r="AA466" i="9"/>
  <c r="N684" i="9"/>
  <c r="AA684" i="9"/>
  <c r="N542" i="9"/>
  <c r="AA542" i="9"/>
  <c r="N907" i="9"/>
  <c r="AA907" i="9"/>
  <c r="N499" i="9"/>
  <c r="AA499" i="9"/>
  <c r="N1044" i="9"/>
  <c r="AA1044" i="9"/>
  <c r="N968" i="9"/>
  <c r="AA968" i="9"/>
  <c r="N562" i="9"/>
  <c r="AA562" i="9"/>
  <c r="N652" i="9"/>
  <c r="AA652" i="9"/>
  <c r="N820" i="9"/>
  <c r="AA820" i="9"/>
  <c r="N944" i="9"/>
  <c r="AA944" i="9"/>
  <c r="N924" i="9"/>
  <c r="AA924" i="9"/>
  <c r="N908" i="9"/>
  <c r="AA908" i="9"/>
  <c r="N1036" i="9"/>
  <c r="AA1036" i="9"/>
  <c r="N624" i="9"/>
  <c r="AA624" i="9"/>
  <c r="N927" i="9"/>
  <c r="AA927" i="9"/>
  <c r="N696" i="9"/>
  <c r="AA696" i="9"/>
  <c r="AE449" i="9"/>
  <c r="AD449" i="9"/>
  <c r="AF449" i="9"/>
  <c r="N888" i="9"/>
  <c r="AA888" i="9"/>
  <c r="N822" i="9"/>
  <c r="AA822" i="9"/>
  <c r="N790" i="9"/>
  <c r="AA790" i="9"/>
  <c r="N710" i="9"/>
  <c r="AA710" i="9"/>
  <c r="N535" i="9"/>
  <c r="AA535" i="9"/>
  <c r="N752" i="9"/>
  <c r="AA752" i="9"/>
  <c r="N688" i="9"/>
  <c r="AA688" i="9"/>
  <c r="N860" i="9"/>
  <c r="AA860" i="9"/>
  <c r="N583" i="9"/>
  <c r="AA583" i="9"/>
  <c r="AE352" i="9"/>
  <c r="AD352" i="9"/>
  <c r="AF352" i="9"/>
  <c r="AE401" i="9"/>
  <c r="AD401" i="9"/>
  <c r="AF401" i="9"/>
  <c r="N984" i="9"/>
  <c r="AA984" i="9"/>
  <c r="N800" i="9"/>
  <c r="AA800" i="9"/>
  <c r="N856" i="9"/>
  <c r="AA856" i="9"/>
  <c r="N549" i="9"/>
  <c r="AA549" i="9"/>
  <c r="N956" i="9"/>
  <c r="AA956" i="9"/>
  <c r="AE372" i="9"/>
  <c r="AD372" i="9"/>
  <c r="AF372" i="9"/>
  <c r="N519" i="9"/>
  <c r="AA519" i="9"/>
  <c r="N486" i="9"/>
  <c r="AA486" i="9"/>
  <c r="AE410" i="9"/>
  <c r="AD410" i="9"/>
  <c r="AF410" i="9"/>
  <c r="N680" i="9"/>
  <c r="AA680" i="9"/>
  <c r="N867" i="9"/>
  <c r="AA867" i="9"/>
  <c r="N570" i="9"/>
  <c r="AA570" i="9"/>
  <c r="N422" i="9"/>
  <c r="AA422" i="9"/>
  <c r="N1028" i="9"/>
  <c r="AA1028" i="9"/>
  <c r="N904" i="9"/>
  <c r="AA904" i="9"/>
  <c r="N616" i="9"/>
  <c r="AA616" i="9"/>
  <c r="R10" i="7"/>
  <c r="R13" i="7"/>
  <c r="R17" i="7"/>
  <c r="R21" i="7"/>
  <c r="R25" i="7"/>
  <c r="R29" i="7"/>
  <c r="R12" i="7"/>
  <c r="R16" i="7"/>
  <c r="R20" i="7"/>
  <c r="R24" i="7"/>
  <c r="R28" i="7"/>
  <c r="R31" i="7"/>
  <c r="R33" i="7"/>
  <c r="R35" i="7"/>
  <c r="R37" i="7"/>
  <c r="R39" i="7"/>
  <c r="R41" i="7"/>
  <c r="R43" i="7"/>
  <c r="R45" i="7"/>
  <c r="R47" i="7"/>
  <c r="R49" i="7"/>
  <c r="R51" i="7"/>
  <c r="R53" i="7"/>
  <c r="R55" i="7"/>
  <c r="R57" i="7"/>
  <c r="R59" i="7"/>
  <c r="R61" i="7"/>
  <c r="R63" i="7"/>
  <c r="R65" i="7"/>
  <c r="R67" i="7"/>
  <c r="R69" i="7"/>
  <c r="R71" i="7"/>
  <c r="R73" i="7"/>
  <c r="R75" i="7"/>
  <c r="R77" i="7"/>
  <c r="R79" i="7"/>
  <c r="R81" i="7"/>
  <c r="R83" i="7"/>
  <c r="R85" i="7"/>
  <c r="R87" i="7"/>
  <c r="R89" i="7"/>
  <c r="R91" i="7"/>
  <c r="R93" i="7"/>
  <c r="R95" i="7"/>
  <c r="R97" i="7"/>
  <c r="R99" i="7"/>
  <c r="R101" i="7"/>
  <c r="R103" i="7"/>
  <c r="R105" i="7"/>
  <c r="R107" i="7"/>
  <c r="R109" i="7"/>
  <c r="R111" i="7"/>
  <c r="R113" i="7"/>
  <c r="R115" i="7"/>
  <c r="R117" i="7"/>
  <c r="R119" i="7"/>
  <c r="R121" i="7"/>
  <c r="R123" i="7"/>
  <c r="R125" i="7"/>
  <c r="R127" i="7"/>
  <c r="R129" i="7"/>
  <c r="R131" i="7"/>
  <c r="R133" i="7"/>
  <c r="R135" i="7"/>
  <c r="R137" i="7"/>
  <c r="R139" i="7"/>
  <c r="R141" i="7"/>
  <c r="R143" i="7"/>
  <c r="R145" i="7"/>
  <c r="R147" i="7"/>
  <c r="R149" i="7"/>
  <c r="R151" i="7"/>
  <c r="R153" i="7"/>
  <c r="R155" i="7"/>
  <c r="R157" i="7"/>
  <c r="R159" i="7"/>
  <c r="R161" i="7"/>
  <c r="R163" i="7"/>
  <c r="R165" i="7"/>
  <c r="R167" i="7"/>
  <c r="R169" i="7"/>
  <c r="R171" i="7"/>
  <c r="R173" i="7"/>
  <c r="R175" i="7"/>
  <c r="R177" i="7"/>
  <c r="R179" i="7"/>
  <c r="R181" i="7"/>
  <c r="R183" i="7"/>
  <c r="R185" i="7"/>
  <c r="R187" i="7"/>
  <c r="R189" i="7"/>
  <c r="R191" i="7"/>
  <c r="R193" i="7"/>
  <c r="R195" i="7"/>
  <c r="R197" i="7"/>
  <c r="R199" i="7"/>
  <c r="R201" i="7"/>
  <c r="R203" i="7"/>
  <c r="R205" i="7"/>
  <c r="R207" i="7"/>
  <c r="R209" i="7"/>
  <c r="R211" i="7"/>
  <c r="R213" i="7"/>
  <c r="R215" i="7"/>
  <c r="R217" i="7"/>
  <c r="R219" i="7"/>
  <c r="R221" i="7"/>
  <c r="R223" i="7"/>
  <c r="R225" i="7"/>
  <c r="R227" i="7"/>
  <c r="R229" i="7"/>
  <c r="R231" i="7"/>
  <c r="R233" i="7"/>
  <c r="R235" i="7"/>
  <c r="R11" i="7"/>
  <c r="R15" i="7"/>
  <c r="R19" i="7"/>
  <c r="R23" i="7"/>
  <c r="R27" i="7"/>
  <c r="R14" i="7"/>
  <c r="R18" i="7"/>
  <c r="R22" i="7"/>
  <c r="R26" i="7"/>
  <c r="R30" i="7"/>
  <c r="R32" i="7"/>
  <c r="R34" i="7"/>
  <c r="R36" i="7"/>
  <c r="R38" i="7"/>
  <c r="R40" i="7"/>
  <c r="R42" i="7"/>
  <c r="R44" i="7"/>
  <c r="R46" i="7"/>
  <c r="R48" i="7"/>
  <c r="R50" i="7"/>
  <c r="R52" i="7"/>
  <c r="R54" i="7"/>
  <c r="R56" i="7"/>
  <c r="R58" i="7"/>
  <c r="R60" i="7"/>
  <c r="R62" i="7"/>
  <c r="R64" i="7"/>
  <c r="R66" i="7"/>
  <c r="R68" i="7"/>
  <c r="R70" i="7"/>
  <c r="R72" i="7"/>
  <c r="R74" i="7"/>
  <c r="R76" i="7"/>
  <c r="R78" i="7"/>
  <c r="R80" i="7"/>
  <c r="R82" i="7"/>
  <c r="R84" i="7"/>
  <c r="R86" i="7"/>
  <c r="R88" i="7"/>
  <c r="R90" i="7"/>
  <c r="R92" i="7"/>
  <c r="R94" i="7"/>
  <c r="R96" i="7"/>
  <c r="R98" i="7"/>
  <c r="R100" i="7"/>
  <c r="R102" i="7"/>
  <c r="R104" i="7"/>
  <c r="R106" i="7"/>
  <c r="R108" i="7"/>
  <c r="R110" i="7"/>
  <c r="R112" i="7"/>
  <c r="R114" i="7"/>
  <c r="R116" i="7"/>
  <c r="R118" i="7"/>
  <c r="R120" i="7"/>
  <c r="R122" i="7"/>
  <c r="R124" i="7"/>
  <c r="R126" i="7"/>
  <c r="R128" i="7"/>
  <c r="R130" i="7"/>
  <c r="R132" i="7"/>
  <c r="R134" i="7"/>
  <c r="R136" i="7"/>
  <c r="R138" i="7"/>
  <c r="R140" i="7"/>
  <c r="R142" i="7"/>
  <c r="R144" i="7"/>
  <c r="R146" i="7"/>
  <c r="R148" i="7"/>
  <c r="R150" i="7"/>
  <c r="R152" i="7"/>
  <c r="R154" i="7"/>
  <c r="R156" i="7"/>
  <c r="R158" i="7"/>
  <c r="R160" i="7"/>
  <c r="R162" i="7"/>
  <c r="R164" i="7"/>
  <c r="R166" i="7"/>
  <c r="R168" i="7"/>
  <c r="R170" i="7"/>
  <c r="R172" i="7"/>
  <c r="R174" i="7"/>
  <c r="R176" i="7"/>
  <c r="R178" i="7"/>
  <c r="R180" i="7"/>
  <c r="R182" i="7"/>
  <c r="R184" i="7"/>
  <c r="R186" i="7"/>
  <c r="R188" i="7"/>
  <c r="R190" i="7"/>
  <c r="R192" i="7"/>
  <c r="R194" i="7"/>
  <c r="R196" i="7"/>
  <c r="R198" i="7"/>
  <c r="R200" i="7"/>
  <c r="R202" i="7"/>
  <c r="R204" i="7"/>
  <c r="R206" i="7"/>
  <c r="R208" i="7"/>
  <c r="R210" i="7"/>
  <c r="R212" i="7"/>
  <c r="R214" i="7"/>
  <c r="R216" i="7"/>
  <c r="R218" i="7"/>
  <c r="R220" i="7"/>
  <c r="R222" i="7"/>
  <c r="R224" i="7"/>
  <c r="R226" i="7"/>
  <c r="R228" i="7"/>
  <c r="R230" i="7"/>
  <c r="R232" i="7"/>
  <c r="R234" i="7"/>
  <c r="R236" i="7"/>
  <c r="R238" i="7"/>
  <c r="R240" i="7"/>
  <c r="R242" i="7"/>
  <c r="R244" i="7"/>
  <c r="R246" i="7"/>
  <c r="R248" i="7"/>
  <c r="R250" i="7"/>
  <c r="R251" i="7"/>
  <c r="R253" i="7"/>
  <c r="R255" i="7"/>
  <c r="R257" i="7"/>
  <c r="R259" i="7"/>
  <c r="R261" i="7"/>
  <c r="R263" i="7"/>
  <c r="R265" i="7"/>
  <c r="R267" i="7"/>
  <c r="R269" i="7"/>
  <c r="R271" i="7"/>
  <c r="R273" i="7"/>
  <c r="R275" i="7"/>
  <c r="R277" i="7"/>
  <c r="R279" i="7"/>
  <c r="R281" i="7"/>
  <c r="R283" i="7"/>
  <c r="R285" i="7"/>
  <c r="R287" i="7"/>
  <c r="R289" i="7"/>
  <c r="R291" i="7"/>
  <c r="R293" i="7"/>
  <c r="R295" i="7"/>
  <c r="R297" i="7"/>
  <c r="R299" i="7"/>
  <c r="R301" i="7"/>
  <c r="R303" i="7"/>
  <c r="R305" i="7"/>
  <c r="R307" i="7"/>
  <c r="R309" i="7"/>
  <c r="R311" i="7"/>
  <c r="R313" i="7"/>
  <c r="R315" i="7"/>
  <c r="R317" i="7"/>
  <c r="R319" i="7"/>
  <c r="R321" i="7"/>
  <c r="R323" i="7"/>
  <c r="R325" i="7"/>
  <c r="R327" i="7"/>
  <c r="R329" i="7"/>
  <c r="R331" i="7"/>
  <c r="R333" i="7"/>
  <c r="R335" i="7"/>
  <c r="R337" i="7"/>
  <c r="R339" i="7"/>
  <c r="R341" i="7"/>
  <c r="R343" i="7"/>
  <c r="R345" i="7"/>
  <c r="R347" i="7"/>
  <c r="R349" i="7"/>
  <c r="R351" i="7"/>
  <c r="R353" i="7"/>
  <c r="R355" i="7"/>
  <c r="R357" i="7"/>
  <c r="R359" i="7"/>
  <c r="R361" i="7"/>
  <c r="R363" i="7"/>
  <c r="R365" i="7"/>
  <c r="R367" i="7"/>
  <c r="R369" i="7"/>
  <c r="R371" i="7"/>
  <c r="R373" i="7"/>
  <c r="R375" i="7"/>
  <c r="R377" i="7"/>
  <c r="R379" i="7"/>
  <c r="R381" i="7"/>
  <c r="R383" i="7"/>
  <c r="R385" i="7"/>
  <c r="R387" i="7"/>
  <c r="R389" i="7"/>
  <c r="R391" i="7"/>
  <c r="R393" i="7"/>
  <c r="R395" i="7"/>
  <c r="R397" i="7"/>
  <c r="R399" i="7"/>
  <c r="R401" i="7"/>
  <c r="R403" i="7"/>
  <c r="R405" i="7"/>
  <c r="R407" i="7"/>
  <c r="R409" i="7"/>
  <c r="R411" i="7"/>
  <c r="R413" i="7"/>
  <c r="R415" i="7"/>
  <c r="R417" i="7"/>
  <c r="R419" i="7"/>
  <c r="R421" i="7"/>
  <c r="R423" i="7"/>
  <c r="R425" i="7"/>
  <c r="R427" i="7"/>
  <c r="R429" i="7"/>
  <c r="R431" i="7"/>
  <c r="R433" i="7"/>
  <c r="R435" i="7"/>
  <c r="R437" i="7"/>
  <c r="R439" i="7"/>
  <c r="R441" i="7"/>
  <c r="R443" i="7"/>
  <c r="R445" i="7"/>
  <c r="R447" i="7"/>
  <c r="R449" i="7"/>
  <c r="R451" i="7"/>
  <c r="R453" i="7"/>
  <c r="R455" i="7"/>
  <c r="R457" i="7"/>
  <c r="R459" i="7"/>
  <c r="R461" i="7"/>
  <c r="R463" i="7"/>
  <c r="R465" i="7"/>
  <c r="R467" i="7"/>
  <c r="R469" i="7"/>
  <c r="R471" i="7"/>
  <c r="R473" i="7"/>
  <c r="R475" i="7"/>
  <c r="R477" i="7"/>
  <c r="R479" i="7"/>
  <c r="R481" i="7"/>
  <c r="R483" i="7"/>
  <c r="R485" i="7"/>
  <c r="R487" i="7"/>
  <c r="R489" i="7"/>
  <c r="R491" i="7"/>
  <c r="R493" i="7"/>
  <c r="R495" i="7"/>
  <c r="R497" i="7"/>
  <c r="R499" i="7"/>
  <c r="R501" i="7"/>
  <c r="R503" i="7"/>
  <c r="R505" i="7"/>
  <c r="R507" i="7"/>
  <c r="R509" i="7"/>
  <c r="R511" i="7"/>
  <c r="R513" i="7"/>
  <c r="R515" i="7"/>
  <c r="R517" i="7"/>
  <c r="R519" i="7"/>
  <c r="R521" i="7"/>
  <c r="R523" i="7"/>
  <c r="R525" i="7"/>
  <c r="R527" i="7"/>
  <c r="R529" i="7"/>
  <c r="R531" i="7"/>
  <c r="R533" i="7"/>
  <c r="R535" i="7"/>
  <c r="R537" i="7"/>
  <c r="R539" i="7"/>
  <c r="R541" i="7"/>
  <c r="R543" i="7"/>
  <c r="R545" i="7"/>
  <c r="R547" i="7"/>
  <c r="R549" i="7"/>
  <c r="R551" i="7"/>
  <c r="R553" i="7"/>
  <c r="R555" i="7"/>
  <c r="R557" i="7"/>
  <c r="R559" i="7"/>
  <c r="R561" i="7"/>
  <c r="R563" i="7"/>
  <c r="R565" i="7"/>
  <c r="R567" i="7"/>
  <c r="R569" i="7"/>
  <c r="R571" i="7"/>
  <c r="R573" i="7"/>
  <c r="R575" i="7"/>
  <c r="R577" i="7"/>
  <c r="R579" i="7"/>
  <c r="R581" i="7"/>
  <c r="R583" i="7"/>
  <c r="R585" i="7"/>
  <c r="R587" i="7"/>
  <c r="R589" i="7"/>
  <c r="R591" i="7"/>
  <c r="R593" i="7"/>
  <c r="R595" i="7"/>
  <c r="R597" i="7"/>
  <c r="R599" i="7"/>
  <c r="R601" i="7"/>
  <c r="R603" i="7"/>
  <c r="R605" i="7"/>
  <c r="R607" i="7"/>
  <c r="R609" i="7"/>
  <c r="R611" i="7"/>
  <c r="R613" i="7"/>
  <c r="R615" i="7"/>
  <c r="R617" i="7"/>
  <c r="R619" i="7"/>
  <c r="R621" i="7"/>
  <c r="R623" i="7"/>
  <c r="R625" i="7"/>
  <c r="R627" i="7"/>
  <c r="R629" i="7"/>
  <c r="R631" i="7"/>
  <c r="R633" i="7"/>
  <c r="R635" i="7"/>
  <c r="R637" i="7"/>
  <c r="R639" i="7"/>
  <c r="R641" i="7"/>
  <c r="R643" i="7"/>
  <c r="R645" i="7"/>
  <c r="R647" i="7"/>
  <c r="R649" i="7"/>
  <c r="R651" i="7"/>
  <c r="R653" i="7"/>
  <c r="R655" i="7"/>
  <c r="R657" i="7"/>
  <c r="R659" i="7"/>
  <c r="R661" i="7"/>
  <c r="R663" i="7"/>
  <c r="R237" i="7"/>
  <c r="R239" i="7"/>
  <c r="R241" i="7"/>
  <c r="R243" i="7"/>
  <c r="R245" i="7"/>
  <c r="R247" i="7"/>
  <c r="R249" i="7"/>
  <c r="R252" i="7"/>
  <c r="R254" i="7"/>
  <c r="R256" i="7"/>
  <c r="R258" i="7"/>
  <c r="R260" i="7"/>
  <c r="R262" i="7"/>
  <c r="R264" i="7"/>
  <c r="R266" i="7"/>
  <c r="R268" i="7"/>
  <c r="R270" i="7"/>
  <c r="R272" i="7"/>
  <c r="R274" i="7"/>
  <c r="R276" i="7"/>
  <c r="R278" i="7"/>
  <c r="R280" i="7"/>
  <c r="R282" i="7"/>
  <c r="R284" i="7"/>
  <c r="R286" i="7"/>
  <c r="R288" i="7"/>
  <c r="R290" i="7"/>
  <c r="R292" i="7"/>
  <c r="R294" i="7"/>
  <c r="R296" i="7"/>
  <c r="R298" i="7"/>
  <c r="R300" i="7"/>
  <c r="R302" i="7"/>
  <c r="R304" i="7"/>
  <c r="R306" i="7"/>
  <c r="R308" i="7"/>
  <c r="R310" i="7"/>
  <c r="R312" i="7"/>
  <c r="R314" i="7"/>
  <c r="R316" i="7"/>
  <c r="R318" i="7"/>
  <c r="R320" i="7"/>
  <c r="R322" i="7"/>
  <c r="R324" i="7"/>
  <c r="R326" i="7"/>
  <c r="R328" i="7"/>
  <c r="R330" i="7"/>
  <c r="R332" i="7"/>
  <c r="R334" i="7"/>
  <c r="R336" i="7"/>
  <c r="R338" i="7"/>
  <c r="R340" i="7"/>
  <c r="R342" i="7"/>
  <c r="R344" i="7"/>
  <c r="R346" i="7"/>
  <c r="R348" i="7"/>
  <c r="R350" i="7"/>
  <c r="R352" i="7"/>
  <c r="R354" i="7"/>
  <c r="R356" i="7"/>
  <c r="R358" i="7"/>
  <c r="R360" i="7"/>
  <c r="R362" i="7"/>
  <c r="R364" i="7"/>
  <c r="R366" i="7"/>
  <c r="R368" i="7"/>
  <c r="R370" i="7"/>
  <c r="R372" i="7"/>
  <c r="R374" i="7"/>
  <c r="R376" i="7"/>
  <c r="R378" i="7"/>
  <c r="R380" i="7"/>
  <c r="R382" i="7"/>
  <c r="R384" i="7"/>
  <c r="R386" i="7"/>
  <c r="R388" i="7"/>
  <c r="R390" i="7"/>
  <c r="R392" i="7"/>
  <c r="R394" i="7"/>
  <c r="R396" i="7"/>
  <c r="R398" i="7"/>
  <c r="R400" i="7"/>
  <c r="R402" i="7"/>
  <c r="R404" i="7"/>
  <c r="R406" i="7"/>
  <c r="R408" i="7"/>
  <c r="R410" i="7"/>
  <c r="R412" i="7"/>
  <c r="R414" i="7"/>
  <c r="R416" i="7"/>
  <c r="R418" i="7"/>
  <c r="R420" i="7"/>
  <c r="R422" i="7"/>
  <c r="R424" i="7"/>
  <c r="R426" i="7"/>
  <c r="R428" i="7"/>
  <c r="R430" i="7"/>
  <c r="R432" i="7"/>
  <c r="R434" i="7"/>
  <c r="R436" i="7"/>
  <c r="R438" i="7"/>
  <c r="R440" i="7"/>
  <c r="R442" i="7"/>
  <c r="R444" i="7"/>
  <c r="R446" i="7"/>
  <c r="R448" i="7"/>
  <c r="R450" i="7"/>
  <c r="R452" i="7"/>
  <c r="R454" i="7"/>
  <c r="R456" i="7"/>
  <c r="R458" i="7"/>
  <c r="R460" i="7"/>
  <c r="R462" i="7"/>
  <c r="R464" i="7"/>
  <c r="R466" i="7"/>
  <c r="R468" i="7"/>
  <c r="R470" i="7"/>
  <c r="R472" i="7"/>
  <c r="R474" i="7"/>
  <c r="R476" i="7"/>
  <c r="R478" i="7"/>
  <c r="R480" i="7"/>
  <c r="R482" i="7"/>
  <c r="R484" i="7"/>
  <c r="R486" i="7"/>
  <c r="R488" i="7"/>
  <c r="R490" i="7"/>
  <c r="R492" i="7"/>
  <c r="R494" i="7"/>
  <c r="R496" i="7"/>
  <c r="R498" i="7"/>
  <c r="R500" i="7"/>
  <c r="R502" i="7"/>
  <c r="R504" i="7"/>
  <c r="R506" i="7"/>
  <c r="R508" i="7"/>
  <c r="R510" i="7"/>
  <c r="R512" i="7"/>
  <c r="R514" i="7"/>
  <c r="R516" i="7"/>
  <c r="R518" i="7"/>
  <c r="R520" i="7"/>
  <c r="R522" i="7"/>
  <c r="R524" i="7"/>
  <c r="R526" i="7"/>
  <c r="R528" i="7"/>
  <c r="R530" i="7"/>
  <c r="R532" i="7"/>
  <c r="R534" i="7"/>
  <c r="R536" i="7"/>
  <c r="R538" i="7"/>
  <c r="R540" i="7"/>
  <c r="R542" i="7"/>
  <c r="R544" i="7"/>
  <c r="R546" i="7"/>
  <c r="R548" i="7"/>
  <c r="R550" i="7"/>
  <c r="R552" i="7"/>
  <c r="R554" i="7"/>
  <c r="R556" i="7"/>
  <c r="R558" i="7"/>
  <c r="R560" i="7"/>
  <c r="R562" i="7"/>
  <c r="R564" i="7"/>
  <c r="R566" i="7"/>
  <c r="R568" i="7"/>
  <c r="R570" i="7"/>
  <c r="R572" i="7"/>
  <c r="R574" i="7"/>
  <c r="R576" i="7"/>
  <c r="R578" i="7"/>
  <c r="R580" i="7"/>
  <c r="R582" i="7"/>
  <c r="R584" i="7"/>
  <c r="R586" i="7"/>
  <c r="R588" i="7"/>
  <c r="R590" i="7"/>
  <c r="R592" i="7"/>
  <c r="R594" i="7"/>
  <c r="R596" i="7"/>
  <c r="R598" i="7"/>
  <c r="R600" i="7"/>
  <c r="R602" i="7"/>
  <c r="R604" i="7"/>
  <c r="R606" i="7"/>
  <c r="R608" i="7"/>
  <c r="R610" i="7"/>
  <c r="R612" i="7"/>
  <c r="R614" i="7"/>
  <c r="R616" i="7"/>
  <c r="R618" i="7"/>
  <c r="R620" i="7"/>
  <c r="R622" i="7"/>
  <c r="R624" i="7"/>
  <c r="R626" i="7"/>
  <c r="R628" i="7"/>
  <c r="R630" i="7"/>
  <c r="R632" i="7"/>
  <c r="R634" i="7"/>
  <c r="R636" i="7"/>
  <c r="R664" i="7"/>
  <c r="R666" i="7"/>
  <c r="R668" i="7"/>
  <c r="R670" i="7"/>
  <c r="R672" i="7"/>
  <c r="R674" i="7"/>
  <c r="R676" i="7"/>
  <c r="R678" i="7"/>
  <c r="R680" i="7"/>
  <c r="R682" i="7"/>
  <c r="R684" i="7"/>
  <c r="R686" i="7"/>
  <c r="R688" i="7"/>
  <c r="R690" i="7"/>
  <c r="R692" i="7"/>
  <c r="R694" i="7"/>
  <c r="R696" i="7"/>
  <c r="R698" i="7"/>
  <c r="R700" i="7"/>
  <c r="R702" i="7"/>
  <c r="R704" i="7"/>
  <c r="R706" i="7"/>
  <c r="R708" i="7"/>
  <c r="R710" i="7"/>
  <c r="R712" i="7"/>
  <c r="R714" i="7"/>
  <c r="R716" i="7"/>
  <c r="R718" i="7"/>
  <c r="R720" i="7"/>
  <c r="R722" i="7"/>
  <c r="R724" i="7"/>
  <c r="R726" i="7"/>
  <c r="R728" i="7"/>
  <c r="R730" i="7"/>
  <c r="R732" i="7"/>
  <c r="R734" i="7"/>
  <c r="R736" i="7"/>
  <c r="R738" i="7"/>
  <c r="R740" i="7"/>
  <c r="R742" i="7"/>
  <c r="R744" i="7"/>
  <c r="R746" i="7"/>
  <c r="R748" i="7"/>
  <c r="R750" i="7"/>
  <c r="R752" i="7"/>
  <c r="R754" i="7"/>
  <c r="R756" i="7"/>
  <c r="R758" i="7"/>
  <c r="R760" i="7"/>
  <c r="R762" i="7"/>
  <c r="R764" i="7"/>
  <c r="R766" i="7"/>
  <c r="R768" i="7"/>
  <c r="R770" i="7"/>
  <c r="R772" i="7"/>
  <c r="R774" i="7"/>
  <c r="R776" i="7"/>
  <c r="R778" i="7"/>
  <c r="R780" i="7"/>
  <c r="R782" i="7"/>
  <c r="R784" i="7"/>
  <c r="R786" i="7"/>
  <c r="R788" i="7"/>
  <c r="R790" i="7"/>
  <c r="R792" i="7"/>
  <c r="R794" i="7"/>
  <c r="R796" i="7"/>
  <c r="R798" i="7"/>
  <c r="R800" i="7"/>
  <c r="R802" i="7"/>
  <c r="R804" i="7"/>
  <c r="R806" i="7"/>
  <c r="R808" i="7"/>
  <c r="R810" i="7"/>
  <c r="R812" i="7"/>
  <c r="R814" i="7"/>
  <c r="R816" i="7"/>
  <c r="R818" i="7"/>
  <c r="R820" i="7"/>
  <c r="R822" i="7"/>
  <c r="R824" i="7"/>
  <c r="R826" i="7"/>
  <c r="R828" i="7"/>
  <c r="R830" i="7"/>
  <c r="R832" i="7"/>
  <c r="R834" i="7"/>
  <c r="R836" i="7"/>
  <c r="R838" i="7"/>
  <c r="R840" i="7"/>
  <c r="R842" i="7"/>
  <c r="R844" i="7"/>
  <c r="R846" i="7"/>
  <c r="R848" i="7"/>
  <c r="R850" i="7"/>
  <c r="R852" i="7"/>
  <c r="R854" i="7"/>
  <c r="R856" i="7"/>
  <c r="R858" i="7"/>
  <c r="R860" i="7"/>
  <c r="R862" i="7"/>
  <c r="R864" i="7"/>
  <c r="R866" i="7"/>
  <c r="R868" i="7"/>
  <c r="R870" i="7"/>
  <c r="R872" i="7"/>
  <c r="R874" i="7"/>
  <c r="R876" i="7"/>
  <c r="R878" i="7"/>
  <c r="R880" i="7"/>
  <c r="R882" i="7"/>
  <c r="R884" i="7"/>
  <c r="R886" i="7"/>
  <c r="R888" i="7"/>
  <c r="R890" i="7"/>
  <c r="R892" i="7"/>
  <c r="R894" i="7"/>
  <c r="R896" i="7"/>
  <c r="R898" i="7"/>
  <c r="R900" i="7"/>
  <c r="R902" i="7"/>
  <c r="R904" i="7"/>
  <c r="R906" i="7"/>
  <c r="R908" i="7"/>
  <c r="R910" i="7"/>
  <c r="R912" i="7"/>
  <c r="R914" i="7"/>
  <c r="R916" i="7"/>
  <c r="R918" i="7"/>
  <c r="R920" i="7"/>
  <c r="R922" i="7"/>
  <c r="R924" i="7"/>
  <c r="R926" i="7"/>
  <c r="R928" i="7"/>
  <c r="R930" i="7"/>
  <c r="R932" i="7"/>
  <c r="R934" i="7"/>
  <c r="R936" i="7"/>
  <c r="R938" i="7"/>
  <c r="R940" i="7"/>
  <c r="R638" i="7"/>
  <c r="R640" i="7"/>
  <c r="R642" i="7"/>
  <c r="R644" i="7"/>
  <c r="R646" i="7"/>
  <c r="R648" i="7"/>
  <c r="R650" i="7"/>
  <c r="R652" i="7"/>
  <c r="R654" i="7"/>
  <c r="R656" i="7"/>
  <c r="R658" i="7"/>
  <c r="R660" i="7"/>
  <c r="R662" i="7"/>
  <c r="R665" i="7"/>
  <c r="R667" i="7"/>
  <c r="R669" i="7"/>
  <c r="R671" i="7"/>
  <c r="R673" i="7"/>
  <c r="R675" i="7"/>
  <c r="R677" i="7"/>
  <c r="R679" i="7"/>
  <c r="R681" i="7"/>
  <c r="R683" i="7"/>
  <c r="R685" i="7"/>
  <c r="R687" i="7"/>
  <c r="R689" i="7"/>
  <c r="R691" i="7"/>
  <c r="R693" i="7"/>
  <c r="R695" i="7"/>
  <c r="R697" i="7"/>
  <c r="R699" i="7"/>
  <c r="R701" i="7"/>
  <c r="R703" i="7"/>
  <c r="R705" i="7"/>
  <c r="R707" i="7"/>
  <c r="R709" i="7"/>
  <c r="R711" i="7"/>
  <c r="R713" i="7"/>
  <c r="R715" i="7"/>
  <c r="R717" i="7"/>
  <c r="R719" i="7"/>
  <c r="R721" i="7"/>
  <c r="R723" i="7"/>
  <c r="R725" i="7"/>
  <c r="R727" i="7"/>
  <c r="R729" i="7"/>
  <c r="R731" i="7"/>
  <c r="R733" i="7"/>
  <c r="R735" i="7"/>
  <c r="R737" i="7"/>
  <c r="R739" i="7"/>
  <c r="R741" i="7"/>
  <c r="R743" i="7"/>
  <c r="R745" i="7"/>
  <c r="R747" i="7"/>
  <c r="R749" i="7"/>
  <c r="R751" i="7"/>
  <c r="R753" i="7"/>
  <c r="R755" i="7"/>
  <c r="R757" i="7"/>
  <c r="R759" i="7"/>
  <c r="R761" i="7"/>
  <c r="R763" i="7"/>
  <c r="R765" i="7"/>
  <c r="R767" i="7"/>
  <c r="R769" i="7"/>
  <c r="R771" i="7"/>
  <c r="R773" i="7"/>
  <c r="R775" i="7"/>
  <c r="R777" i="7"/>
  <c r="R779" i="7"/>
  <c r="R781" i="7"/>
  <c r="R783" i="7"/>
  <c r="R785" i="7"/>
  <c r="R787" i="7"/>
  <c r="R789" i="7"/>
  <c r="R791" i="7"/>
  <c r="R793" i="7"/>
  <c r="R795" i="7"/>
  <c r="R797" i="7"/>
  <c r="R799" i="7"/>
  <c r="R801" i="7"/>
  <c r="R803" i="7"/>
  <c r="R805" i="7"/>
  <c r="R807" i="7"/>
  <c r="R809" i="7"/>
  <c r="R811" i="7"/>
  <c r="R813" i="7"/>
  <c r="R815" i="7"/>
  <c r="R817" i="7"/>
  <c r="R819" i="7"/>
  <c r="R821" i="7"/>
  <c r="R823" i="7"/>
  <c r="R825" i="7"/>
  <c r="R827" i="7"/>
  <c r="R829" i="7"/>
  <c r="R831" i="7"/>
  <c r="R833" i="7"/>
  <c r="R835" i="7"/>
  <c r="R837" i="7"/>
  <c r="R839" i="7"/>
  <c r="R841" i="7"/>
  <c r="R843" i="7"/>
  <c r="R845" i="7"/>
  <c r="R847" i="7"/>
  <c r="R849" i="7"/>
  <c r="R851" i="7"/>
  <c r="R853" i="7"/>
  <c r="R855" i="7"/>
  <c r="R857" i="7"/>
  <c r="R859" i="7"/>
  <c r="R861" i="7"/>
  <c r="R863" i="7"/>
  <c r="R865" i="7"/>
  <c r="R867" i="7"/>
  <c r="R869" i="7"/>
  <c r="R871" i="7"/>
  <c r="R873" i="7"/>
  <c r="R875" i="7"/>
  <c r="R877" i="7"/>
  <c r="R879" i="7"/>
  <c r="R881" i="7"/>
  <c r="R883" i="7"/>
  <c r="R885" i="7"/>
  <c r="R887" i="7"/>
  <c r="R889" i="7"/>
  <c r="R891" i="7"/>
  <c r="R893" i="7"/>
  <c r="R895" i="7"/>
  <c r="R897" i="7"/>
  <c r="R899" i="7"/>
  <c r="R901" i="7"/>
  <c r="R903" i="7"/>
  <c r="R905" i="7"/>
  <c r="R907" i="7"/>
  <c r="R909" i="7"/>
  <c r="R911" i="7"/>
  <c r="R913" i="7"/>
  <c r="R915" i="7"/>
  <c r="R917" i="7"/>
  <c r="R919" i="7"/>
  <c r="R921" i="7"/>
  <c r="R923" i="7"/>
  <c r="R925" i="7"/>
  <c r="R927" i="7"/>
  <c r="R929" i="7"/>
  <c r="R931" i="7"/>
  <c r="R933" i="7"/>
  <c r="R935" i="7"/>
  <c r="R937" i="7"/>
  <c r="R939" i="7"/>
  <c r="R941" i="7"/>
  <c r="R943" i="7"/>
  <c r="R945" i="7"/>
  <c r="R947" i="7"/>
  <c r="R949" i="7"/>
  <c r="R951" i="7"/>
  <c r="R953" i="7"/>
  <c r="R955" i="7"/>
  <c r="R957" i="7"/>
  <c r="R959" i="7"/>
  <c r="R961" i="7"/>
  <c r="R963" i="7"/>
  <c r="R965" i="7"/>
  <c r="R967" i="7"/>
  <c r="R969" i="7"/>
  <c r="R971" i="7"/>
  <c r="R973" i="7"/>
  <c r="R975" i="7"/>
  <c r="R977" i="7"/>
  <c r="R979" i="7"/>
  <c r="R981" i="7"/>
  <c r="R983" i="7"/>
  <c r="R985" i="7"/>
  <c r="R987" i="7"/>
  <c r="R989" i="7"/>
  <c r="R991" i="7"/>
  <c r="R993" i="7"/>
  <c r="R995" i="7"/>
  <c r="R997" i="7"/>
  <c r="R999" i="7"/>
  <c r="R1001" i="7"/>
  <c r="R1003" i="7"/>
  <c r="R1005" i="7"/>
  <c r="R1007" i="7"/>
  <c r="R1009" i="7"/>
  <c r="R1011" i="7"/>
  <c r="R1013" i="7"/>
  <c r="R1015" i="7"/>
  <c r="R1017" i="7"/>
  <c r="R1019" i="7"/>
  <c r="R1021" i="7"/>
  <c r="R1023" i="7"/>
  <c r="R1025" i="7"/>
  <c r="R1027" i="7"/>
  <c r="R1029" i="7"/>
  <c r="R1031" i="7"/>
  <c r="R1033" i="7"/>
  <c r="R1035" i="7"/>
  <c r="R1037" i="7"/>
  <c r="R1039" i="7"/>
  <c r="R1041" i="7"/>
  <c r="R1043" i="7"/>
  <c r="R1045" i="7"/>
  <c r="R1047" i="7"/>
  <c r="R1049" i="7"/>
  <c r="R1051" i="7"/>
  <c r="R1053" i="7"/>
  <c r="R1055" i="7"/>
  <c r="R1057" i="7"/>
  <c r="R1059" i="7"/>
  <c r="R1061" i="7"/>
  <c r="R1063" i="7"/>
  <c r="R942" i="7"/>
  <c r="R944" i="7"/>
  <c r="R946" i="7"/>
  <c r="R948" i="7"/>
  <c r="R950" i="7"/>
  <c r="R952" i="7"/>
  <c r="R954" i="7"/>
  <c r="R956" i="7"/>
  <c r="R958" i="7"/>
  <c r="R960" i="7"/>
  <c r="R962" i="7"/>
  <c r="R964" i="7"/>
  <c r="R966" i="7"/>
  <c r="R968" i="7"/>
  <c r="R970" i="7"/>
  <c r="R972" i="7"/>
  <c r="R974" i="7"/>
  <c r="R976" i="7"/>
  <c r="R978" i="7"/>
  <c r="R980" i="7"/>
  <c r="R982" i="7"/>
  <c r="R984" i="7"/>
  <c r="R986" i="7"/>
  <c r="R988" i="7"/>
  <c r="R990" i="7"/>
  <c r="R992" i="7"/>
  <c r="R994" i="7"/>
  <c r="R996" i="7"/>
  <c r="R998" i="7"/>
  <c r="R1000" i="7"/>
  <c r="R1002" i="7"/>
  <c r="R1004" i="7"/>
  <c r="R1006" i="7"/>
  <c r="R1008" i="7"/>
  <c r="R1010" i="7"/>
  <c r="R1012" i="7"/>
  <c r="R1014" i="7"/>
  <c r="R1016" i="7"/>
  <c r="R1018" i="7"/>
  <c r="R1020" i="7"/>
  <c r="R1022" i="7"/>
  <c r="R1024" i="7"/>
  <c r="R1026" i="7"/>
  <c r="R1028" i="7"/>
  <c r="R1030" i="7"/>
  <c r="R1032" i="7"/>
  <c r="R1034" i="7"/>
  <c r="R1036" i="7"/>
  <c r="R1038" i="7"/>
  <c r="R1040" i="7"/>
  <c r="R1042" i="7"/>
  <c r="R1044" i="7"/>
  <c r="R1046" i="7"/>
  <c r="R1048" i="7"/>
  <c r="R1050" i="7"/>
  <c r="R1052" i="7"/>
  <c r="R1054" i="7"/>
  <c r="R1056" i="7"/>
  <c r="R1058" i="7"/>
  <c r="R1060" i="7"/>
  <c r="R1062" i="7"/>
  <c r="AE809" i="9"/>
  <c r="AD809" i="9"/>
  <c r="AF809" i="9"/>
  <c r="AE1001" i="9"/>
  <c r="AD1001" i="9"/>
  <c r="AF1001" i="9"/>
  <c r="N560" i="9"/>
  <c r="AA560" i="9"/>
  <c r="AE681" i="9"/>
  <c r="AD681" i="9"/>
  <c r="AF681" i="9"/>
  <c r="AE869" i="9"/>
  <c r="AD869" i="9"/>
  <c r="AF869" i="9"/>
  <c r="N979" i="9"/>
  <c r="AA979" i="9"/>
  <c r="AE951" i="9"/>
  <c r="AF951" i="9"/>
  <c r="AD951" i="9"/>
  <c r="N761" i="9"/>
  <c r="AA761" i="9"/>
  <c r="N970" i="9"/>
  <c r="AA970" i="9"/>
  <c r="N1011" i="9"/>
  <c r="AA1011" i="9"/>
  <c r="AE840" i="9"/>
  <c r="AD840" i="9"/>
  <c r="AF840" i="9"/>
  <c r="N764" i="9"/>
  <c r="AA764" i="9"/>
  <c r="N1012" i="9"/>
  <c r="AA1012" i="9"/>
  <c r="N732" i="9"/>
  <c r="AA732" i="9"/>
  <c r="N515" i="9"/>
  <c r="AA515" i="9"/>
  <c r="N1000" i="9"/>
  <c r="AA1000" i="9"/>
  <c r="N900" i="9"/>
  <c r="AA900" i="9"/>
  <c r="N620" i="9"/>
  <c r="AA620" i="9"/>
  <c r="N812" i="9"/>
  <c r="AA812" i="9"/>
  <c r="N824" i="9"/>
  <c r="AA824" i="9"/>
  <c r="N740" i="9"/>
  <c r="AA740" i="9"/>
  <c r="N555" i="9"/>
  <c r="AA555" i="9"/>
  <c r="N846" i="9"/>
  <c r="AA846" i="9"/>
  <c r="N896" i="9"/>
  <c r="AA896" i="9"/>
  <c r="N676" i="9"/>
  <c r="AA676" i="9"/>
  <c r="N864" i="9"/>
  <c r="AA864" i="9"/>
  <c r="N880" i="9"/>
  <c r="AA880" i="9"/>
  <c r="N700" i="9"/>
  <c r="AA700" i="9"/>
  <c r="N780" i="9"/>
  <c r="AA780" i="9"/>
  <c r="N558" i="9"/>
  <c r="AA558" i="9"/>
  <c r="N475" i="9"/>
  <c r="AA475" i="9"/>
  <c r="N574" i="9"/>
  <c r="AA574" i="9"/>
  <c r="N859" i="9"/>
  <c r="AA859" i="9"/>
  <c r="N855" i="9"/>
  <c r="AA855" i="9"/>
  <c r="N1032" i="9"/>
  <c r="AA1032" i="9"/>
  <c r="AE425" i="9"/>
  <c r="AD425" i="9"/>
  <c r="AF425" i="9"/>
  <c r="N1020" i="9"/>
  <c r="AA1020" i="9"/>
  <c r="N848" i="9"/>
  <c r="AA848" i="9"/>
  <c r="N451" i="9"/>
  <c r="AA451" i="9"/>
  <c r="N708" i="9"/>
  <c r="AA708" i="9"/>
  <c r="N920" i="9"/>
  <c r="AA920" i="9"/>
  <c r="N792" i="9"/>
  <c r="AA792" i="9"/>
  <c r="N943" i="9"/>
  <c r="AA943" i="9"/>
  <c r="N518" i="9"/>
  <c r="AA518" i="9"/>
  <c r="N608" i="9"/>
  <c r="AA608" i="9"/>
  <c r="N760" i="9"/>
  <c r="AA760" i="9"/>
  <c r="N485" i="9"/>
  <c r="AA485" i="9"/>
  <c r="N470" i="9"/>
  <c r="AA470" i="9"/>
  <c r="N847" i="9"/>
  <c r="AA847" i="9"/>
  <c r="N533" i="9"/>
  <c r="AA533" i="9"/>
  <c r="AE350" i="9"/>
  <c r="AD350" i="9"/>
  <c r="AF350" i="9"/>
  <c r="N851" i="9"/>
  <c r="AA851" i="9"/>
  <c r="AE465" i="9"/>
  <c r="AD465" i="9"/>
  <c r="AF465" i="9"/>
  <c r="N876" i="9"/>
  <c r="AA876" i="9"/>
  <c r="N538" i="9"/>
  <c r="AA538" i="9"/>
  <c r="N728" i="9"/>
  <c r="AA728" i="9"/>
  <c r="N664" i="9"/>
  <c r="AA664" i="9"/>
  <c r="AE385" i="9"/>
  <c r="AF385" i="9"/>
  <c r="AD385" i="9"/>
  <c r="N495" i="9"/>
  <c r="AA495" i="9"/>
  <c r="N863" i="9"/>
  <c r="AA863" i="9"/>
  <c r="AE344" i="9"/>
  <c r="AD344" i="9"/>
  <c r="AF344" i="9"/>
  <c r="N936" i="9"/>
  <c r="AA936" i="9"/>
  <c r="N648" i="9"/>
  <c r="AA648" i="9"/>
  <c r="N712" i="9"/>
  <c r="AA712" i="9"/>
  <c r="AE437" i="9"/>
  <c r="AD437" i="9"/>
  <c r="AF437" i="9"/>
  <c r="N551" i="9"/>
  <c r="AA551" i="9"/>
  <c r="N744" i="9"/>
  <c r="AA744" i="9"/>
  <c r="N554" i="9"/>
  <c r="AA554" i="9"/>
  <c r="N557" i="9"/>
  <c r="AA557" i="9"/>
  <c r="N1048" i="9"/>
  <c r="AA1048" i="9"/>
  <c r="S14" i="7"/>
  <c r="S18" i="7"/>
  <c r="S22" i="7"/>
  <c r="S26" i="7"/>
  <c r="S30" i="7"/>
  <c r="S32" i="7"/>
  <c r="S34" i="7"/>
  <c r="S36" i="7"/>
  <c r="S38" i="7"/>
  <c r="S40" i="7"/>
  <c r="S42" i="7"/>
  <c r="S44" i="7"/>
  <c r="S46" i="7"/>
  <c r="S48" i="7"/>
  <c r="S50" i="7"/>
  <c r="S52" i="7"/>
  <c r="S54" i="7"/>
  <c r="S56" i="7"/>
  <c r="S58" i="7"/>
  <c r="S60" i="7"/>
  <c r="S62" i="7"/>
  <c r="S64" i="7"/>
  <c r="S66" i="7"/>
  <c r="S68" i="7"/>
  <c r="S70" i="7"/>
  <c r="S72" i="7"/>
  <c r="S74" i="7"/>
  <c r="S76" i="7"/>
  <c r="S78" i="7"/>
  <c r="S80" i="7"/>
  <c r="S82" i="7"/>
  <c r="S84" i="7"/>
  <c r="S86" i="7"/>
  <c r="S88" i="7"/>
  <c r="S90" i="7"/>
  <c r="S92" i="7"/>
  <c r="S94" i="7"/>
  <c r="S96" i="7"/>
  <c r="S98" i="7"/>
  <c r="S100" i="7"/>
  <c r="S102" i="7"/>
  <c r="S104" i="7"/>
  <c r="S106" i="7"/>
  <c r="S108" i="7"/>
  <c r="S110" i="7"/>
  <c r="S112" i="7"/>
  <c r="S114" i="7"/>
  <c r="S116" i="7"/>
  <c r="S118" i="7"/>
  <c r="S120" i="7"/>
  <c r="S122" i="7"/>
  <c r="S124" i="7"/>
  <c r="S126" i="7"/>
  <c r="S128" i="7"/>
  <c r="S130" i="7"/>
  <c r="S132" i="7"/>
  <c r="S134" i="7"/>
  <c r="S136" i="7"/>
  <c r="S138" i="7"/>
  <c r="S140" i="7"/>
  <c r="S142" i="7"/>
  <c r="S144" i="7"/>
  <c r="S146" i="7"/>
  <c r="S148" i="7"/>
  <c r="S150" i="7"/>
  <c r="S152" i="7"/>
  <c r="S154" i="7"/>
  <c r="S156" i="7"/>
  <c r="S158" i="7"/>
  <c r="S160" i="7"/>
  <c r="S162" i="7"/>
  <c r="S164" i="7"/>
  <c r="S166" i="7"/>
  <c r="S168" i="7"/>
  <c r="S170" i="7"/>
  <c r="S172" i="7"/>
  <c r="S174" i="7"/>
  <c r="S176" i="7"/>
  <c r="S178" i="7"/>
  <c r="S180" i="7"/>
  <c r="S182" i="7"/>
  <c r="S184" i="7"/>
  <c r="S186" i="7"/>
  <c r="S188" i="7"/>
  <c r="S190" i="7"/>
  <c r="S192" i="7"/>
  <c r="S194" i="7"/>
  <c r="S196" i="7"/>
  <c r="S198" i="7"/>
  <c r="S200" i="7"/>
  <c r="S202" i="7"/>
  <c r="S204" i="7"/>
  <c r="S206" i="7"/>
  <c r="S208" i="7"/>
  <c r="S210" i="7"/>
  <c r="S10" i="7"/>
  <c r="S13" i="7"/>
  <c r="S17" i="7"/>
  <c r="S21" i="7"/>
  <c r="S25" i="7"/>
  <c r="S29" i="7"/>
  <c r="S12" i="7"/>
  <c r="S16" i="7"/>
  <c r="S20" i="7"/>
  <c r="S24" i="7"/>
  <c r="S28" i="7"/>
  <c r="S31" i="7"/>
  <c r="S33" i="7"/>
  <c r="S35" i="7"/>
  <c r="S37" i="7"/>
  <c r="S39" i="7"/>
  <c r="S41" i="7"/>
  <c r="S43" i="7"/>
  <c r="S45" i="7"/>
  <c r="S47" i="7"/>
  <c r="S49" i="7"/>
  <c r="S51" i="7"/>
  <c r="S53" i="7"/>
  <c r="S55" i="7"/>
  <c r="S57" i="7"/>
  <c r="S59" i="7"/>
  <c r="S61" i="7"/>
  <c r="S63" i="7"/>
  <c r="S65" i="7"/>
  <c r="S67" i="7"/>
  <c r="S69" i="7"/>
  <c r="S71" i="7"/>
  <c r="S73" i="7"/>
  <c r="S75" i="7"/>
  <c r="S77" i="7"/>
  <c r="S79" i="7"/>
  <c r="S81" i="7"/>
  <c r="S83" i="7"/>
  <c r="S85" i="7"/>
  <c r="S87" i="7"/>
  <c r="S89" i="7"/>
  <c r="S91" i="7"/>
  <c r="S93" i="7"/>
  <c r="S95" i="7"/>
  <c r="S97" i="7"/>
  <c r="S99" i="7"/>
  <c r="S101" i="7"/>
  <c r="S103" i="7"/>
  <c r="S105" i="7"/>
  <c r="S107" i="7"/>
  <c r="S109" i="7"/>
  <c r="S111" i="7"/>
  <c r="S113" i="7"/>
  <c r="S115" i="7"/>
  <c r="S117" i="7"/>
  <c r="S119" i="7"/>
  <c r="S121" i="7"/>
  <c r="S123" i="7"/>
  <c r="S125" i="7"/>
  <c r="S127" i="7"/>
  <c r="S129" i="7"/>
  <c r="S131" i="7"/>
  <c r="S133" i="7"/>
  <c r="S135" i="7"/>
  <c r="S137" i="7"/>
  <c r="S139" i="7"/>
  <c r="S141" i="7"/>
  <c r="S143" i="7"/>
  <c r="S145" i="7"/>
  <c r="S147" i="7"/>
  <c r="S149" i="7"/>
  <c r="S151" i="7"/>
  <c r="S153" i="7"/>
  <c r="S155" i="7"/>
  <c r="S157" i="7"/>
  <c r="S159" i="7"/>
  <c r="S161" i="7"/>
  <c r="S163" i="7"/>
  <c r="S165" i="7"/>
  <c r="S167" i="7"/>
  <c r="S169" i="7"/>
  <c r="S171" i="7"/>
  <c r="S173" i="7"/>
  <c r="S175" i="7"/>
  <c r="S177" i="7"/>
  <c r="S179" i="7"/>
  <c r="S181" i="7"/>
  <c r="S183" i="7"/>
  <c r="S185" i="7"/>
  <c r="S187" i="7"/>
  <c r="S189" i="7"/>
  <c r="S191" i="7"/>
  <c r="S193" i="7"/>
  <c r="S195" i="7"/>
  <c r="S197" i="7"/>
  <c r="S199" i="7"/>
  <c r="S201" i="7"/>
  <c r="S203" i="7"/>
  <c r="S205" i="7"/>
  <c r="S207" i="7"/>
  <c r="S209" i="7"/>
  <c r="S211" i="7"/>
  <c r="S213" i="7"/>
  <c r="S11" i="7"/>
  <c r="S15" i="7"/>
  <c r="S19" i="7"/>
  <c r="S23" i="7"/>
  <c r="S27" i="7"/>
  <c r="S215" i="7"/>
  <c r="S217" i="7"/>
  <c r="S219" i="7"/>
  <c r="S221" i="7"/>
  <c r="S223" i="7"/>
  <c r="S225" i="7"/>
  <c r="S227" i="7"/>
  <c r="S229" i="7"/>
  <c r="S231" i="7"/>
  <c r="S233" i="7"/>
  <c r="S235" i="7"/>
  <c r="S251" i="7"/>
  <c r="S253" i="7"/>
  <c r="S255" i="7"/>
  <c r="S257" i="7"/>
  <c r="S259" i="7"/>
  <c r="S261" i="7"/>
  <c r="S263" i="7"/>
  <c r="S265" i="7"/>
  <c r="S267" i="7"/>
  <c r="S269" i="7"/>
  <c r="S271" i="7"/>
  <c r="S273" i="7"/>
  <c r="S275" i="7"/>
  <c r="S277" i="7"/>
  <c r="S279" i="7"/>
  <c r="S281" i="7"/>
  <c r="S283" i="7"/>
  <c r="S285" i="7"/>
  <c r="S287" i="7"/>
  <c r="S289" i="7"/>
  <c r="S291" i="7"/>
  <c r="S293" i="7"/>
  <c r="S295" i="7"/>
  <c r="S297" i="7"/>
  <c r="S299" i="7"/>
  <c r="S301" i="7"/>
  <c r="S303" i="7"/>
  <c r="S305" i="7"/>
  <c r="S307" i="7"/>
  <c r="S309" i="7"/>
  <c r="S311" i="7"/>
  <c r="S313" i="7"/>
  <c r="S315" i="7"/>
  <c r="S317" i="7"/>
  <c r="S319" i="7"/>
  <c r="S321" i="7"/>
  <c r="S323" i="7"/>
  <c r="S325" i="7"/>
  <c r="S327" i="7"/>
  <c r="S329" i="7"/>
  <c r="S331" i="7"/>
  <c r="S333" i="7"/>
  <c r="S335" i="7"/>
  <c r="S337" i="7"/>
  <c r="S339" i="7"/>
  <c r="S341" i="7"/>
  <c r="S343" i="7"/>
  <c r="S345" i="7"/>
  <c r="S347" i="7"/>
  <c r="S349" i="7"/>
  <c r="S351" i="7"/>
  <c r="S353" i="7"/>
  <c r="S355" i="7"/>
  <c r="S357" i="7"/>
  <c r="S359" i="7"/>
  <c r="S361" i="7"/>
  <c r="S363" i="7"/>
  <c r="S365" i="7"/>
  <c r="S367" i="7"/>
  <c r="S369" i="7"/>
  <c r="S371" i="7"/>
  <c r="S373" i="7"/>
  <c r="S375" i="7"/>
  <c r="S377" i="7"/>
  <c r="S379" i="7"/>
  <c r="S381" i="7"/>
  <c r="S383" i="7"/>
  <c r="S385" i="7"/>
  <c r="S387" i="7"/>
  <c r="S389" i="7"/>
  <c r="S391" i="7"/>
  <c r="S393" i="7"/>
  <c r="S395" i="7"/>
  <c r="S397" i="7"/>
  <c r="S399" i="7"/>
  <c r="S401" i="7"/>
  <c r="S403" i="7"/>
  <c r="S405" i="7"/>
  <c r="S407" i="7"/>
  <c r="S409" i="7"/>
  <c r="S411" i="7"/>
  <c r="S413" i="7"/>
  <c r="S415" i="7"/>
  <c r="S417" i="7"/>
  <c r="S419" i="7"/>
  <c r="S421" i="7"/>
  <c r="S423" i="7"/>
  <c r="S425" i="7"/>
  <c r="S427" i="7"/>
  <c r="S429" i="7"/>
  <c r="S431" i="7"/>
  <c r="S433" i="7"/>
  <c r="S435" i="7"/>
  <c r="S437" i="7"/>
  <c r="S439" i="7"/>
  <c r="S441" i="7"/>
  <c r="S443" i="7"/>
  <c r="S445" i="7"/>
  <c r="S447" i="7"/>
  <c r="S449" i="7"/>
  <c r="S451" i="7"/>
  <c r="S453" i="7"/>
  <c r="S455" i="7"/>
  <c r="S457" i="7"/>
  <c r="S459" i="7"/>
  <c r="S461" i="7"/>
  <c r="S463" i="7"/>
  <c r="S465" i="7"/>
  <c r="S467" i="7"/>
  <c r="S469" i="7"/>
  <c r="S471" i="7"/>
  <c r="S473" i="7"/>
  <c r="S475" i="7"/>
  <c r="S477" i="7"/>
  <c r="S479" i="7"/>
  <c r="S481" i="7"/>
  <c r="S483" i="7"/>
  <c r="S485" i="7"/>
  <c r="S487" i="7"/>
  <c r="S489" i="7"/>
  <c r="S491" i="7"/>
  <c r="S493" i="7"/>
  <c r="S495" i="7"/>
  <c r="S497" i="7"/>
  <c r="S499" i="7"/>
  <c r="S501" i="7"/>
  <c r="S503" i="7"/>
  <c r="S505" i="7"/>
  <c r="S507" i="7"/>
  <c r="S509" i="7"/>
  <c r="S511" i="7"/>
  <c r="S513" i="7"/>
  <c r="S515" i="7"/>
  <c r="S517" i="7"/>
  <c r="S519" i="7"/>
  <c r="S521" i="7"/>
  <c r="S523" i="7"/>
  <c r="S525" i="7"/>
  <c r="S527" i="7"/>
  <c r="S529" i="7"/>
  <c r="S531" i="7"/>
  <c r="S533" i="7"/>
  <c r="S535" i="7"/>
  <c r="S537" i="7"/>
  <c r="S539" i="7"/>
  <c r="S541" i="7"/>
  <c r="S543" i="7"/>
  <c r="S545" i="7"/>
  <c r="S547" i="7"/>
  <c r="S549" i="7"/>
  <c r="S551" i="7"/>
  <c r="S553" i="7"/>
  <c r="S555" i="7"/>
  <c r="S557" i="7"/>
  <c r="S559" i="7"/>
  <c r="S561" i="7"/>
  <c r="S563" i="7"/>
  <c r="S565" i="7"/>
  <c r="S567" i="7"/>
  <c r="S569" i="7"/>
  <c r="S571" i="7"/>
  <c r="S573" i="7"/>
  <c r="S575" i="7"/>
  <c r="S577" i="7"/>
  <c r="S579" i="7"/>
  <c r="S581" i="7"/>
  <c r="S583" i="7"/>
  <c r="S585" i="7"/>
  <c r="S587" i="7"/>
  <c r="S589" i="7"/>
  <c r="S591" i="7"/>
  <c r="S593" i="7"/>
  <c r="S595" i="7"/>
  <c r="S597" i="7"/>
  <c r="S212" i="7"/>
  <c r="S214" i="7"/>
  <c r="S216" i="7"/>
  <c r="S218" i="7"/>
  <c r="S220" i="7"/>
  <c r="S222" i="7"/>
  <c r="S224" i="7"/>
  <c r="S226" i="7"/>
  <c r="S228" i="7"/>
  <c r="S230" i="7"/>
  <c r="S232" i="7"/>
  <c r="S234" i="7"/>
  <c r="S238" i="7"/>
  <c r="S239" i="7"/>
  <c r="S246" i="7"/>
  <c r="S247" i="7"/>
  <c r="S252" i="7"/>
  <c r="S260" i="7"/>
  <c r="S268" i="7"/>
  <c r="S638" i="7"/>
  <c r="S639" i="7"/>
  <c r="S640" i="7"/>
  <c r="S641" i="7"/>
  <c r="S642" i="7"/>
  <c r="S643" i="7"/>
  <c r="S644" i="7"/>
  <c r="S645" i="7"/>
  <c r="S646" i="7"/>
  <c r="S647" i="7"/>
  <c r="S648" i="7"/>
  <c r="S649" i="7"/>
  <c r="S650" i="7"/>
  <c r="S651" i="7"/>
  <c r="S652" i="7"/>
  <c r="S653" i="7"/>
  <c r="S654" i="7"/>
  <c r="S655" i="7"/>
  <c r="S656" i="7"/>
  <c r="S657" i="7"/>
  <c r="S658" i="7"/>
  <c r="S659" i="7"/>
  <c r="S660" i="7"/>
  <c r="S661" i="7"/>
  <c r="S662" i="7"/>
  <c r="S663" i="7"/>
  <c r="S665" i="7"/>
  <c r="S667" i="7"/>
  <c r="S669" i="7"/>
  <c r="S671" i="7"/>
  <c r="S673" i="7"/>
  <c r="S675" i="7"/>
  <c r="S677" i="7"/>
  <c r="S679" i="7"/>
  <c r="S681" i="7"/>
  <c r="S683" i="7"/>
  <c r="S685" i="7"/>
  <c r="S687" i="7"/>
  <c r="S689" i="7"/>
  <c r="S691" i="7"/>
  <c r="S693" i="7"/>
  <c r="S695" i="7"/>
  <c r="S697" i="7"/>
  <c r="S699" i="7"/>
  <c r="S701" i="7"/>
  <c r="S703" i="7"/>
  <c r="S705" i="7"/>
  <c r="S707" i="7"/>
  <c r="S709" i="7"/>
  <c r="S711" i="7"/>
  <c r="S713" i="7"/>
  <c r="S715" i="7"/>
  <c r="S717" i="7"/>
  <c r="S719" i="7"/>
  <c r="S721" i="7"/>
  <c r="S723" i="7"/>
  <c r="S725" i="7"/>
  <c r="S727" i="7"/>
  <c r="S729" i="7"/>
  <c r="S731" i="7"/>
  <c r="S733" i="7"/>
  <c r="S735" i="7"/>
  <c r="S737" i="7"/>
  <c r="S739" i="7"/>
  <c r="S741" i="7"/>
  <c r="S743" i="7"/>
  <c r="S745" i="7"/>
  <c r="S747" i="7"/>
  <c r="S749" i="7"/>
  <c r="S751" i="7"/>
  <c r="S753" i="7"/>
  <c r="S755" i="7"/>
  <c r="S757" i="7"/>
  <c r="S759" i="7"/>
  <c r="S761" i="7"/>
  <c r="S763" i="7"/>
  <c r="S765" i="7"/>
  <c r="S767" i="7"/>
  <c r="S769" i="7"/>
  <c r="S771" i="7"/>
  <c r="S773" i="7"/>
  <c r="S775" i="7"/>
  <c r="S777" i="7"/>
  <c r="S779" i="7"/>
  <c r="S781" i="7"/>
  <c r="S783" i="7"/>
  <c r="S785" i="7"/>
  <c r="S787" i="7"/>
  <c r="S789" i="7"/>
  <c r="S791" i="7"/>
  <c r="S793" i="7"/>
  <c r="S795" i="7"/>
  <c r="S797" i="7"/>
  <c r="S799" i="7"/>
  <c r="S801" i="7"/>
  <c r="S803" i="7"/>
  <c r="S805" i="7"/>
  <c r="S807" i="7"/>
  <c r="S809" i="7"/>
  <c r="S811" i="7"/>
  <c r="S813" i="7"/>
  <c r="S815" i="7"/>
  <c r="S817" i="7"/>
  <c r="S819" i="7"/>
  <c r="S821" i="7"/>
  <c r="S823" i="7"/>
  <c r="S825" i="7"/>
  <c r="S827" i="7"/>
  <c r="S829" i="7"/>
  <c r="S831" i="7"/>
  <c r="S833" i="7"/>
  <c r="S835" i="7"/>
  <c r="S837" i="7"/>
  <c r="S839" i="7"/>
  <c r="S841" i="7"/>
  <c r="S843" i="7"/>
  <c r="S845" i="7"/>
  <c r="S847" i="7"/>
  <c r="S849" i="7"/>
  <c r="S851" i="7"/>
  <c r="S853" i="7"/>
  <c r="S855" i="7"/>
  <c r="S857" i="7"/>
  <c r="S859" i="7"/>
  <c r="S861" i="7"/>
  <c r="S863" i="7"/>
  <c r="S865" i="7"/>
  <c r="S867" i="7"/>
  <c r="S869" i="7"/>
  <c r="S871" i="7"/>
  <c r="S873" i="7"/>
  <c r="S875" i="7"/>
  <c r="S877" i="7"/>
  <c r="S879" i="7"/>
  <c r="S881" i="7"/>
  <c r="S883" i="7"/>
  <c r="S885" i="7"/>
  <c r="S887" i="7"/>
  <c r="S889" i="7"/>
  <c r="S891" i="7"/>
  <c r="S893" i="7"/>
  <c r="S895" i="7"/>
  <c r="S236" i="7"/>
  <c r="S237" i="7"/>
  <c r="S244" i="7"/>
  <c r="S245" i="7"/>
  <c r="S254" i="7"/>
  <c r="S262" i="7"/>
  <c r="S270" i="7"/>
  <c r="S599" i="7"/>
  <c r="S601" i="7"/>
  <c r="S603" i="7"/>
  <c r="S605" i="7"/>
  <c r="S607" i="7"/>
  <c r="S609" i="7"/>
  <c r="S611" i="7"/>
  <c r="S613" i="7"/>
  <c r="S615" i="7"/>
  <c r="S617" i="7"/>
  <c r="S619" i="7"/>
  <c r="S621" i="7"/>
  <c r="S623" i="7"/>
  <c r="S625" i="7"/>
  <c r="S627" i="7"/>
  <c r="S629" i="7"/>
  <c r="S631" i="7"/>
  <c r="S633" i="7"/>
  <c r="S635" i="7"/>
  <c r="S637" i="7"/>
  <c r="S242" i="7"/>
  <c r="S243" i="7"/>
  <c r="S250" i="7"/>
  <c r="S256" i="7"/>
  <c r="S264" i="7"/>
  <c r="S272" i="7"/>
  <c r="S664" i="7"/>
  <c r="S666" i="7"/>
  <c r="S668" i="7"/>
  <c r="S670" i="7"/>
  <c r="S672" i="7"/>
  <c r="S674" i="7"/>
  <c r="S676" i="7"/>
  <c r="S678" i="7"/>
  <c r="S680" i="7"/>
  <c r="S682" i="7"/>
  <c r="S684" i="7"/>
  <c r="S686" i="7"/>
  <c r="S688" i="7"/>
  <c r="S690" i="7"/>
  <c r="S692" i="7"/>
  <c r="S694" i="7"/>
  <c r="S696" i="7"/>
  <c r="S698" i="7"/>
  <c r="S700" i="7"/>
  <c r="S702" i="7"/>
  <c r="S704" i="7"/>
  <c r="S706" i="7"/>
  <c r="S708" i="7"/>
  <c r="S710" i="7"/>
  <c r="S712" i="7"/>
  <c r="S714" i="7"/>
  <c r="S716" i="7"/>
  <c r="S718" i="7"/>
  <c r="S720" i="7"/>
  <c r="S722" i="7"/>
  <c r="S724" i="7"/>
  <c r="S726" i="7"/>
  <c r="S728" i="7"/>
  <c r="S730" i="7"/>
  <c r="S732" i="7"/>
  <c r="S734" i="7"/>
  <c r="S736" i="7"/>
  <c r="S738" i="7"/>
  <c r="S740" i="7"/>
  <c r="S742" i="7"/>
  <c r="S744" i="7"/>
  <c r="S746" i="7"/>
  <c r="S748" i="7"/>
  <c r="S750" i="7"/>
  <c r="S752" i="7"/>
  <c r="S754" i="7"/>
  <c r="S756" i="7"/>
  <c r="S758" i="7"/>
  <c r="S760" i="7"/>
  <c r="S762" i="7"/>
  <c r="S764" i="7"/>
  <c r="S766" i="7"/>
  <c r="S768" i="7"/>
  <c r="S770" i="7"/>
  <c r="S772" i="7"/>
  <c r="S774" i="7"/>
  <c r="S776" i="7"/>
  <c r="S778" i="7"/>
  <c r="S780" i="7"/>
  <c r="S782" i="7"/>
  <c r="S784" i="7"/>
  <c r="S786" i="7"/>
  <c r="S788" i="7"/>
  <c r="S790" i="7"/>
  <c r="S792" i="7"/>
  <c r="S794" i="7"/>
  <c r="S796" i="7"/>
  <c r="S798" i="7"/>
  <c r="S800" i="7"/>
  <c r="S802" i="7"/>
  <c r="S804" i="7"/>
  <c r="S806" i="7"/>
  <c r="S808" i="7"/>
  <c r="S810" i="7"/>
  <c r="S812" i="7"/>
  <c r="S814" i="7"/>
  <c r="S816" i="7"/>
  <c r="S818" i="7"/>
  <c r="S820" i="7"/>
  <c r="S822" i="7"/>
  <c r="S824" i="7"/>
  <c r="S826" i="7"/>
  <c r="S828" i="7"/>
  <c r="S830" i="7"/>
  <c r="S832" i="7"/>
  <c r="S834" i="7"/>
  <c r="S836" i="7"/>
  <c r="S838" i="7"/>
  <c r="S840" i="7"/>
  <c r="S842" i="7"/>
  <c r="S844" i="7"/>
  <c r="S846" i="7"/>
  <c r="S848" i="7"/>
  <c r="S850" i="7"/>
  <c r="S852" i="7"/>
  <c r="S854" i="7"/>
  <c r="S856" i="7"/>
  <c r="S858" i="7"/>
  <c r="S860" i="7"/>
  <c r="S862" i="7"/>
  <c r="S864" i="7"/>
  <c r="S866" i="7"/>
  <c r="S868" i="7"/>
  <c r="S870" i="7"/>
  <c r="S872" i="7"/>
  <c r="S874" i="7"/>
  <c r="S876" i="7"/>
  <c r="S878" i="7"/>
  <c r="S880" i="7"/>
  <c r="S882" i="7"/>
  <c r="S884" i="7"/>
  <c r="S886" i="7"/>
  <c r="S888" i="7"/>
  <c r="S890" i="7"/>
  <c r="S892" i="7"/>
  <c r="S894" i="7"/>
  <c r="S896" i="7"/>
  <c r="S898" i="7"/>
  <c r="S900" i="7"/>
  <c r="S902" i="7"/>
  <c r="S904" i="7"/>
  <c r="S906" i="7"/>
  <c r="S240" i="7"/>
  <c r="S241" i="7"/>
  <c r="S248" i="7"/>
  <c r="S249" i="7"/>
  <c r="S258" i="7"/>
  <c r="S266" i="7"/>
  <c r="S274" i="7"/>
  <c r="S276" i="7"/>
  <c r="S278" i="7"/>
  <c r="S280" i="7"/>
  <c r="S282" i="7"/>
  <c r="S284" i="7"/>
  <c r="S286" i="7"/>
  <c r="S288" i="7"/>
  <c r="S290" i="7"/>
  <c r="S292" i="7"/>
  <c r="S294" i="7"/>
  <c r="S296" i="7"/>
  <c r="S298" i="7"/>
  <c r="S300" i="7"/>
  <c r="S302" i="7"/>
  <c r="S304" i="7"/>
  <c r="S306" i="7"/>
  <c r="S308" i="7"/>
  <c r="S310" i="7"/>
  <c r="S312" i="7"/>
  <c r="S314" i="7"/>
  <c r="S316" i="7"/>
  <c r="S318" i="7"/>
  <c r="S320" i="7"/>
  <c r="S322" i="7"/>
  <c r="S324" i="7"/>
  <c r="S326" i="7"/>
  <c r="S328" i="7"/>
  <c r="S330" i="7"/>
  <c r="S332" i="7"/>
  <c r="S334" i="7"/>
  <c r="S336" i="7"/>
  <c r="S338" i="7"/>
  <c r="S340" i="7"/>
  <c r="S342" i="7"/>
  <c r="S344" i="7"/>
  <c r="S346" i="7"/>
  <c r="S348" i="7"/>
  <c r="S350" i="7"/>
  <c r="S352" i="7"/>
  <c r="S354" i="7"/>
  <c r="S356" i="7"/>
  <c r="S358" i="7"/>
  <c r="S360" i="7"/>
  <c r="S362" i="7"/>
  <c r="S364" i="7"/>
  <c r="S366" i="7"/>
  <c r="S368" i="7"/>
  <c r="S370" i="7"/>
  <c r="S372" i="7"/>
  <c r="S374" i="7"/>
  <c r="S376" i="7"/>
  <c r="S378" i="7"/>
  <c r="S380" i="7"/>
  <c r="S382" i="7"/>
  <c r="S384" i="7"/>
  <c r="S386" i="7"/>
  <c r="S388" i="7"/>
  <c r="S390" i="7"/>
  <c r="S392" i="7"/>
  <c r="S394" i="7"/>
  <c r="S396" i="7"/>
  <c r="S398" i="7"/>
  <c r="S400" i="7"/>
  <c r="S402" i="7"/>
  <c r="S404" i="7"/>
  <c r="S406" i="7"/>
  <c r="S408" i="7"/>
  <c r="S410" i="7"/>
  <c r="S412" i="7"/>
  <c r="S414" i="7"/>
  <c r="S416" i="7"/>
  <c r="S418" i="7"/>
  <c r="S420" i="7"/>
  <c r="S422" i="7"/>
  <c r="S424" i="7"/>
  <c r="S426" i="7"/>
  <c r="S428" i="7"/>
  <c r="S430" i="7"/>
  <c r="S432" i="7"/>
  <c r="S434" i="7"/>
  <c r="S436" i="7"/>
  <c r="S438" i="7"/>
  <c r="S440" i="7"/>
  <c r="S442" i="7"/>
  <c r="S444" i="7"/>
  <c r="S446" i="7"/>
  <c r="S448" i="7"/>
  <c r="S450" i="7"/>
  <c r="S452" i="7"/>
  <c r="S454" i="7"/>
  <c r="S456" i="7"/>
  <c r="S458" i="7"/>
  <c r="S460" i="7"/>
  <c r="S462" i="7"/>
  <c r="S464" i="7"/>
  <c r="S466" i="7"/>
  <c r="S468" i="7"/>
  <c r="S470" i="7"/>
  <c r="S472" i="7"/>
  <c r="S474" i="7"/>
  <c r="S476" i="7"/>
  <c r="S478" i="7"/>
  <c r="S480" i="7"/>
  <c r="S482" i="7"/>
  <c r="S484" i="7"/>
  <c r="S486" i="7"/>
  <c r="S488" i="7"/>
  <c r="S490" i="7"/>
  <c r="S492" i="7"/>
  <c r="S494" i="7"/>
  <c r="S496" i="7"/>
  <c r="S498" i="7"/>
  <c r="S500" i="7"/>
  <c r="S502" i="7"/>
  <c r="S504" i="7"/>
  <c r="S506" i="7"/>
  <c r="S508" i="7"/>
  <c r="S510" i="7"/>
  <c r="S512" i="7"/>
  <c r="S514" i="7"/>
  <c r="S516" i="7"/>
  <c r="S518" i="7"/>
  <c r="S520" i="7"/>
  <c r="S522" i="7"/>
  <c r="S524" i="7"/>
  <c r="S526" i="7"/>
  <c r="S528" i="7"/>
  <c r="S530" i="7"/>
  <c r="S532" i="7"/>
  <c r="S534" i="7"/>
  <c r="S536" i="7"/>
  <c r="S538" i="7"/>
  <c r="S540" i="7"/>
  <c r="S542" i="7"/>
  <c r="S544" i="7"/>
  <c r="S546" i="7"/>
  <c r="S548" i="7"/>
  <c r="S550" i="7"/>
  <c r="S552" i="7"/>
  <c r="S554" i="7"/>
  <c r="S556" i="7"/>
  <c r="S558" i="7"/>
  <c r="S560" i="7"/>
  <c r="S562" i="7"/>
  <c r="S564" i="7"/>
  <c r="S566" i="7"/>
  <c r="S568" i="7"/>
  <c r="S570" i="7"/>
  <c r="S572" i="7"/>
  <c r="S574" i="7"/>
  <c r="S576" i="7"/>
  <c r="S578" i="7"/>
  <c r="S580" i="7"/>
  <c r="S582" i="7"/>
  <c r="S584" i="7"/>
  <c r="S586" i="7"/>
  <c r="S588" i="7"/>
  <c r="S590" i="7"/>
  <c r="S592" i="7"/>
  <c r="S594" i="7"/>
  <c r="S596" i="7"/>
  <c r="S598" i="7"/>
  <c r="S600" i="7"/>
  <c r="S602" i="7"/>
  <c r="S604" i="7"/>
  <c r="S606" i="7"/>
  <c r="S608" i="7"/>
  <c r="S610" i="7"/>
  <c r="S612" i="7"/>
  <c r="S614" i="7"/>
  <c r="S616" i="7"/>
  <c r="S618" i="7"/>
  <c r="S620" i="7"/>
  <c r="S622" i="7"/>
  <c r="S624" i="7"/>
  <c r="S626" i="7"/>
  <c r="S628" i="7"/>
  <c r="S630" i="7"/>
  <c r="S632" i="7"/>
  <c r="S634" i="7"/>
  <c r="S636" i="7"/>
  <c r="S897" i="7"/>
  <c r="S899" i="7"/>
  <c r="S901" i="7"/>
  <c r="S903" i="7"/>
  <c r="S905" i="7"/>
  <c r="S907" i="7"/>
  <c r="S909" i="7"/>
  <c r="S911" i="7"/>
  <c r="S913" i="7"/>
  <c r="S915" i="7"/>
  <c r="S917" i="7"/>
  <c r="S919" i="7"/>
  <c r="S921" i="7"/>
  <c r="S923" i="7"/>
  <c r="S925" i="7"/>
  <c r="S927" i="7"/>
  <c r="S929" i="7"/>
  <c r="S931" i="7"/>
  <c r="S933" i="7"/>
  <c r="S935" i="7"/>
  <c r="S937" i="7"/>
  <c r="S939" i="7"/>
  <c r="S942" i="7"/>
  <c r="S944" i="7"/>
  <c r="S946" i="7"/>
  <c r="S948" i="7"/>
  <c r="S950" i="7"/>
  <c r="S952" i="7"/>
  <c r="S954" i="7"/>
  <c r="S956" i="7"/>
  <c r="S958" i="7"/>
  <c r="S960" i="7"/>
  <c r="S962" i="7"/>
  <c r="S964" i="7"/>
  <c r="S966" i="7"/>
  <c r="S968" i="7"/>
  <c r="S970" i="7"/>
  <c r="S972" i="7"/>
  <c r="S974" i="7"/>
  <c r="S976" i="7"/>
  <c r="S978" i="7"/>
  <c r="S980" i="7"/>
  <c r="S982" i="7"/>
  <c r="S984" i="7"/>
  <c r="S986" i="7"/>
  <c r="S988" i="7"/>
  <c r="S990" i="7"/>
  <c r="S992" i="7"/>
  <c r="S994" i="7"/>
  <c r="S996" i="7"/>
  <c r="S998" i="7"/>
  <c r="S1000" i="7"/>
  <c r="S1002" i="7"/>
  <c r="S1004" i="7"/>
  <c r="S1006" i="7"/>
  <c r="S1008" i="7"/>
  <c r="S1010" i="7"/>
  <c r="S1012" i="7"/>
  <c r="S1014" i="7"/>
  <c r="S1016" i="7"/>
  <c r="S1018" i="7"/>
  <c r="S1020" i="7"/>
  <c r="S1022" i="7"/>
  <c r="S1024" i="7"/>
  <c r="S1026" i="7"/>
  <c r="S1028" i="7"/>
  <c r="S1030" i="7"/>
  <c r="S1032" i="7"/>
  <c r="S1034" i="7"/>
  <c r="S1036" i="7"/>
  <c r="S1038" i="7"/>
  <c r="S1040" i="7"/>
  <c r="S1042" i="7"/>
  <c r="S1044" i="7"/>
  <c r="S1046" i="7"/>
  <c r="S1048" i="7"/>
  <c r="S1050" i="7"/>
  <c r="S1052" i="7"/>
  <c r="S1054" i="7"/>
  <c r="S1056" i="7"/>
  <c r="S1058" i="7"/>
  <c r="S1060" i="7"/>
  <c r="S1062" i="7"/>
  <c r="S908" i="7"/>
  <c r="S910" i="7"/>
  <c r="S912" i="7"/>
  <c r="S914" i="7"/>
  <c r="S916" i="7"/>
  <c r="S918" i="7"/>
  <c r="S920" i="7"/>
  <c r="S922" i="7"/>
  <c r="S924" i="7"/>
  <c r="S926" i="7"/>
  <c r="S928" i="7"/>
  <c r="S930" i="7"/>
  <c r="S932" i="7"/>
  <c r="S934" i="7"/>
  <c r="S936" i="7"/>
  <c r="S938" i="7"/>
  <c r="S940" i="7"/>
  <c r="S941" i="7"/>
  <c r="S943" i="7"/>
  <c r="S945" i="7"/>
  <c r="S947" i="7"/>
  <c r="S949" i="7"/>
  <c r="S951" i="7"/>
  <c r="S953" i="7"/>
  <c r="S955" i="7"/>
  <c r="S957" i="7"/>
  <c r="S959" i="7"/>
  <c r="S961" i="7"/>
  <c r="S963" i="7"/>
  <c r="S965" i="7"/>
  <c r="S967" i="7"/>
  <c r="S969" i="7"/>
  <c r="S971" i="7"/>
  <c r="S973" i="7"/>
  <c r="S975" i="7"/>
  <c r="S977" i="7"/>
  <c r="S979" i="7"/>
  <c r="S981" i="7"/>
  <c r="S983" i="7"/>
  <c r="S985" i="7"/>
  <c r="S987" i="7"/>
  <c r="S989" i="7"/>
  <c r="S991" i="7"/>
  <c r="S993" i="7"/>
  <c r="S995" i="7"/>
  <c r="S997" i="7"/>
  <c r="S999" i="7"/>
  <c r="S1001" i="7"/>
  <c r="S1003" i="7"/>
  <c r="S1005" i="7"/>
  <c r="S1007" i="7"/>
  <c r="S1009" i="7"/>
  <c r="S1011" i="7"/>
  <c r="S1013" i="7"/>
  <c r="S1015" i="7"/>
  <c r="S1017" i="7"/>
  <c r="S1019" i="7"/>
  <c r="S1021" i="7"/>
  <c r="S1023" i="7"/>
  <c r="S1025" i="7"/>
  <c r="S1027" i="7"/>
  <c r="S1029" i="7"/>
  <c r="S1031" i="7"/>
  <c r="S1033" i="7"/>
  <c r="S1035" i="7"/>
  <c r="S1037" i="7"/>
  <c r="S1039" i="7"/>
  <c r="S1041" i="7"/>
  <c r="S1043" i="7"/>
  <c r="S1045" i="7"/>
  <c r="S1047" i="7"/>
  <c r="S1049" i="7"/>
  <c r="S1051" i="7"/>
  <c r="S1053" i="7"/>
  <c r="S1055" i="7"/>
  <c r="S1057" i="7"/>
  <c r="S1059" i="7"/>
  <c r="S1061" i="7"/>
  <c r="S1063" i="7"/>
  <c r="AE1005" i="9"/>
  <c r="AD1005" i="9"/>
  <c r="AF1005" i="9"/>
  <c r="N1002" i="9"/>
  <c r="AA1002" i="9"/>
  <c r="AE733" i="9"/>
  <c r="AD733" i="9"/>
  <c r="AF733" i="9"/>
  <c r="AE1014" i="9"/>
  <c r="AD1014" i="9"/>
  <c r="AF1014" i="9"/>
  <c r="N633" i="9"/>
  <c r="AA633" i="9"/>
  <c r="AE585" i="9"/>
  <c r="AD585" i="9"/>
  <c r="AF585" i="9"/>
  <c r="AE552" i="9"/>
  <c r="AD552" i="9"/>
  <c r="AF552" i="9"/>
  <c r="AE1017" i="9"/>
  <c r="AD1017" i="9"/>
  <c r="AF1017" i="9"/>
  <c r="AD987" i="9"/>
  <c r="AE789" i="9"/>
  <c r="AD789" i="9"/>
  <c r="AF789" i="9"/>
  <c r="N653" i="9"/>
  <c r="AA653" i="9"/>
  <c r="N947" i="9"/>
  <c r="AA947" i="9"/>
  <c r="N579" i="9"/>
  <c r="AA579" i="9"/>
  <c r="AE674" i="9"/>
  <c r="AF674" i="9"/>
  <c r="AD674" i="9"/>
  <c r="N567" i="9"/>
  <c r="AA567" i="9"/>
  <c r="N832" i="9"/>
  <c r="AA832" i="9"/>
  <c r="N494" i="9"/>
  <c r="AA494" i="9"/>
  <c r="N578" i="9"/>
  <c r="AA578" i="9"/>
  <c r="N505" i="9"/>
  <c r="AA505" i="9"/>
  <c r="N582" i="9"/>
  <c r="AA582" i="9"/>
  <c r="N594" i="9"/>
  <c r="AA594" i="9"/>
  <c r="N772" i="9"/>
  <c r="AA772" i="9"/>
  <c r="N509" i="9"/>
  <c r="AA509" i="9"/>
  <c r="N531" i="9"/>
  <c r="AA531" i="9"/>
  <c r="N541" i="9"/>
  <c r="AA541" i="9"/>
  <c r="N636" i="9"/>
  <c r="AA636" i="9"/>
  <c r="N875" i="9"/>
  <c r="AA875" i="9"/>
  <c r="N510" i="9"/>
  <c r="AA510" i="9"/>
  <c r="N459" i="9"/>
  <c r="AA459" i="9"/>
  <c r="N537" i="9"/>
  <c r="AA537" i="9"/>
  <c r="N553" i="9"/>
  <c r="AA553" i="9"/>
  <c r="N586" i="9"/>
  <c r="AA586" i="9"/>
  <c r="N660" i="9"/>
  <c r="AA660" i="9"/>
  <c r="N1052" i="9"/>
  <c r="AA1052" i="9"/>
  <c r="N628" i="9"/>
  <c r="AA628" i="9"/>
  <c r="AE413" i="9"/>
  <c r="AD413" i="9"/>
  <c r="AF413" i="9"/>
  <c r="N565" i="9"/>
  <c r="AA565" i="9"/>
  <c r="N612" i="9"/>
  <c r="AA612" i="9"/>
  <c r="N916" i="9"/>
  <c r="AA916" i="9"/>
  <c r="N606" i="9"/>
  <c r="AA606" i="9"/>
  <c r="N523" i="9"/>
  <c r="AA523" i="9"/>
  <c r="N493" i="9"/>
  <c r="AA493" i="9"/>
  <c r="N1024" i="9"/>
  <c r="AA1024" i="9"/>
  <c r="N724" i="9"/>
  <c r="AA724" i="9"/>
  <c r="N546" i="9"/>
  <c r="AA546" i="9"/>
  <c r="N668" i="9"/>
  <c r="AA668" i="9"/>
  <c r="N478" i="9"/>
  <c r="AA478" i="9"/>
  <c r="N590" i="9"/>
  <c r="AA590" i="9"/>
  <c r="N632" i="9"/>
  <c r="AA632" i="9"/>
  <c r="AE481" i="9"/>
  <c r="AD481" i="9"/>
  <c r="AF481" i="9"/>
  <c r="N656" i="9"/>
  <c r="AA656" i="9"/>
  <c r="N704" i="9"/>
  <c r="AA704" i="9"/>
  <c r="N522" i="9"/>
  <c r="AA522" i="9"/>
  <c r="AE361" i="9"/>
  <c r="AD361" i="9"/>
  <c r="AF361" i="9"/>
  <c r="N662" i="9"/>
  <c r="AA662" i="9"/>
  <c r="AE399" i="9"/>
  <c r="AD399" i="9"/>
  <c r="AF399" i="9"/>
  <c r="AE417" i="9"/>
  <c r="AD417" i="9"/>
  <c r="AF417" i="9"/>
  <c r="AE394" i="9"/>
  <c r="AF394" i="9"/>
  <c r="AD394" i="9"/>
  <c r="N511" i="9"/>
  <c r="AA511" i="9"/>
  <c r="N415" i="9"/>
  <c r="AA415" i="9"/>
  <c r="AE368" i="9"/>
  <c r="AD368" i="9"/>
  <c r="AF368" i="9"/>
  <c r="N895" i="9"/>
  <c r="AA895" i="9"/>
  <c r="AE405" i="9"/>
  <c r="AD405" i="9"/>
  <c r="AF405" i="9"/>
  <c r="N454" i="9"/>
  <c r="AA454" i="9"/>
  <c r="N996" i="9"/>
  <c r="AA996" i="9"/>
  <c r="N534" i="9"/>
  <c r="AA534" i="9"/>
  <c r="N630" i="9"/>
  <c r="AA630" i="9"/>
  <c r="N561" i="9"/>
  <c r="AA561" i="9"/>
  <c r="AE378" i="9"/>
  <c r="AD378" i="9"/>
  <c r="AF378" i="9"/>
  <c r="AE389" i="9"/>
  <c r="AF389" i="9"/>
  <c r="AD389" i="9"/>
  <c r="N915" i="9"/>
  <c r="AA915" i="9"/>
  <c r="N816" i="9"/>
  <c r="AA816" i="9"/>
  <c r="N577" i="9"/>
  <c r="AA577" i="9"/>
  <c r="AE348" i="9"/>
  <c r="AD348" i="9"/>
  <c r="AF348" i="9"/>
  <c r="AE360" i="9"/>
  <c r="AD360" i="9"/>
  <c r="AF360" i="9"/>
  <c r="N758" i="9"/>
  <c r="AA758" i="9"/>
  <c r="N808" i="9"/>
  <c r="AA808" i="9"/>
  <c r="AE433" i="9"/>
  <c r="AD433" i="9"/>
  <c r="AF433" i="9"/>
  <c r="N872" i="9"/>
  <c r="AA872" i="9"/>
  <c r="AE324" i="9"/>
  <c r="AD324" i="9"/>
  <c r="AF324" i="9"/>
  <c r="N899" i="9"/>
  <c r="AA899" i="9"/>
  <c r="N423" i="9"/>
  <c r="AA423" i="9"/>
  <c r="N931" i="9"/>
  <c r="AA931" i="9"/>
  <c r="N776" i="9"/>
  <c r="AA776" i="9"/>
  <c r="AE987" i="9"/>
  <c r="AE691" i="9"/>
  <c r="C20" i="8"/>
  <c r="D35" i="29"/>
  <c r="AE862" i="9"/>
  <c r="AD605" i="9"/>
  <c r="AD857" i="9"/>
  <c r="AD861" i="9"/>
  <c r="AD811" i="9"/>
  <c r="AD975" i="9"/>
  <c r="AE975" i="9"/>
  <c r="AD862" i="9"/>
  <c r="AD621" i="9"/>
  <c r="AD623" i="9"/>
  <c r="AD941" i="9"/>
  <c r="AD1029" i="9"/>
  <c r="AD993" i="9"/>
  <c r="AD1027" i="9"/>
  <c r="AD953" i="9"/>
  <c r="AF861" i="9"/>
  <c r="AD770" i="9"/>
  <c r="AD781" i="9"/>
  <c r="AE1029" i="9"/>
  <c r="AD994" i="9"/>
  <c r="AD526" i="9"/>
  <c r="AD686" i="9"/>
  <c r="AD1030" i="9"/>
  <c r="AE781" i="9"/>
  <c r="AD925" i="9"/>
  <c r="AD785" i="9"/>
  <c r="AD973" i="9"/>
  <c r="AD695" i="9"/>
  <c r="AD705" i="9"/>
  <c r="AD729" i="9"/>
  <c r="AD1009" i="9"/>
  <c r="AD926" i="9"/>
  <c r="AD654" i="9"/>
  <c r="AD685" i="9"/>
  <c r="AD945" i="9"/>
  <c r="AD706" i="9"/>
  <c r="AD615" i="9"/>
  <c r="AD950" i="9"/>
  <c r="AD718" i="9"/>
  <c r="AD997" i="9"/>
  <c r="AD965" i="9"/>
  <c r="AD619" i="9"/>
  <c r="AF526" i="9"/>
  <c r="AE857" i="9"/>
  <c r="AE686" i="9"/>
  <c r="AF925" i="9"/>
  <c r="AE994" i="9"/>
  <c r="AF1030" i="9"/>
  <c r="AF621" i="9"/>
  <c r="AF623" i="9"/>
  <c r="AE705" i="9"/>
  <c r="AE785" i="9"/>
  <c r="AF950" i="9"/>
  <c r="AF685" i="9"/>
  <c r="AE965" i="9"/>
  <c r="AF945" i="9"/>
  <c r="AF926" i="9"/>
  <c r="AF654" i="9"/>
  <c r="AF973" i="9"/>
  <c r="AF706" i="9"/>
  <c r="AF993" i="9"/>
  <c r="AF770" i="9"/>
  <c r="AF729" i="9"/>
  <c r="AF941" i="9"/>
  <c r="AF1009" i="9"/>
  <c r="AE619" i="9"/>
  <c r="AE997" i="9"/>
  <c r="AF1027" i="9"/>
  <c r="AF605" i="9"/>
  <c r="AF695" i="9"/>
  <c r="AF953" i="9"/>
  <c r="AE615" i="9"/>
  <c r="AF718" i="9"/>
  <c r="AF811" i="9"/>
  <c r="AD1026" i="9"/>
  <c r="AF1026" i="9"/>
  <c r="AE1033" i="9"/>
  <c r="AF1033" i="9"/>
  <c r="AF757" i="9"/>
  <c r="AE757" i="9"/>
  <c r="AE735" i="9"/>
  <c r="AE1010" i="9"/>
  <c r="AD771" i="9"/>
  <c r="AD721" i="9"/>
  <c r="AF771" i="9"/>
  <c r="AF721" i="9"/>
  <c r="AD958" i="9"/>
  <c r="AE961" i="9"/>
  <c r="AD938" i="9"/>
  <c r="AE938" i="9"/>
  <c r="AD596" i="9"/>
  <c r="AF734" i="9"/>
  <c r="AE949" i="9"/>
  <c r="AF707" i="9"/>
  <c r="AF989" i="9"/>
  <c r="AE998" i="9"/>
  <c r="AF711" i="9"/>
  <c r="AD707" i="9"/>
  <c r="AD989" i="9"/>
  <c r="AF735" i="9"/>
  <c r="AD711" i="9"/>
  <c r="AE709" i="9"/>
  <c r="AF1010" i="9"/>
  <c r="AD799" i="9"/>
  <c r="AE893" i="9"/>
  <c r="AF929" i="9"/>
  <c r="AF642" i="9"/>
  <c r="AF683" i="9"/>
  <c r="AF603" i="9"/>
  <c r="AF909" i="9"/>
  <c r="AE683" i="9"/>
  <c r="AF791" i="9"/>
  <c r="AF666" i="9"/>
  <c r="AE799" i="9"/>
  <c r="AD873" i="9"/>
  <c r="AD791" i="9"/>
  <c r="AF893" i="9"/>
  <c r="AD571" i="9"/>
  <c r="AF949" i="9"/>
  <c r="AF873" i="9"/>
  <c r="AE981" i="9"/>
  <c r="AD719" i="9"/>
  <c r="AE794" i="9"/>
  <c r="AD715" i="9"/>
  <c r="AE715" i="9"/>
  <c r="AD913" i="9"/>
  <c r="AD1049" i="9"/>
  <c r="AF607" i="9"/>
  <c r="AE1022" i="9"/>
  <c r="AF794" i="9"/>
  <c r="AF1049" i="9"/>
  <c r="AD607" i="9"/>
  <c r="AF913" i="9"/>
  <c r="AE596" i="9"/>
  <c r="AF635" i="9"/>
  <c r="AE844" i="9"/>
  <c r="AF1061" i="9"/>
  <c r="AD1061" i="9"/>
  <c r="AE734" i="9"/>
  <c r="AD635" i="9"/>
  <c r="AF727" i="9"/>
  <c r="AE815" i="9"/>
  <c r="AD727" i="9"/>
  <c r="AF815" i="9"/>
  <c r="AD878" i="9"/>
  <c r="AD881" i="9"/>
  <c r="AE990" i="9"/>
  <c r="N402" i="9"/>
  <c r="AA402" i="9"/>
  <c r="AD402" i="9"/>
  <c r="AF634" i="9"/>
  <c r="AE829" i="9"/>
  <c r="AD830" i="9"/>
  <c r="AF844" i="9"/>
  <c r="AD750" i="9"/>
  <c r="AE958" i="9"/>
  <c r="AE698" i="9"/>
  <c r="AD717" i="9"/>
  <c r="AF767" i="9"/>
  <c r="AF491" i="9"/>
  <c r="AF960" i="9"/>
  <c r="AE1015" i="9"/>
  <c r="AE1013" i="9"/>
  <c r="AD604" i="9"/>
  <c r="AD837" i="9"/>
  <c r="AF806" i="9"/>
  <c r="AD829" i="9"/>
  <c r="AD778" i="9"/>
  <c r="AF978" i="9"/>
  <c r="AD961" i="9"/>
  <c r="AD767" i="9"/>
  <c r="AD638" i="9"/>
  <c r="AF723" i="9"/>
  <c r="AF885" i="9"/>
  <c r="AD1021" i="9"/>
  <c r="AE866" i="9"/>
  <c r="AF753" i="9"/>
  <c r="AE797" i="9"/>
  <c r="AD647" i="9"/>
  <c r="AE434" i="9"/>
  <c r="AE1050" i="9"/>
  <c r="AD877" i="9"/>
  <c r="AD651" i="9"/>
  <c r="AD901" i="9"/>
  <c r="AD928" i="9"/>
  <c r="AD690" i="9"/>
  <c r="AF595" i="9"/>
  <c r="AF805" i="9"/>
  <c r="AF834" i="9"/>
  <c r="AD1053" i="9"/>
  <c r="AF751" i="9"/>
  <c r="AD843" i="9"/>
  <c r="AE609" i="9"/>
  <c r="AE1054" i="9"/>
  <c r="AF737" i="9"/>
  <c r="AD637" i="9"/>
  <c r="AE622" i="9"/>
  <c r="AF773" i="9"/>
  <c r="AD803" i="9"/>
  <c r="AF498" i="9"/>
  <c r="AF663" i="9"/>
  <c r="AE572" i="9"/>
  <c r="AF754" i="9"/>
  <c r="AD670" i="9"/>
  <c r="AF593" i="9"/>
  <c r="AD600" i="9"/>
  <c r="AD629" i="9"/>
  <c r="AD693" i="9"/>
  <c r="AE610" i="9"/>
  <c r="AD559" i="9"/>
  <c r="AD1055" i="9"/>
  <c r="AD825" i="9"/>
  <c r="AE798" i="9"/>
  <c r="AE1007" i="9"/>
  <c r="AD966" i="9"/>
  <c r="AE827" i="9"/>
  <c r="AD995" i="9"/>
  <c r="AD836" i="9"/>
  <c r="AD730" i="9"/>
  <c r="AE982" i="9"/>
  <c r="AE963" i="9"/>
  <c r="AF910" i="9"/>
  <c r="AF807" i="9"/>
  <c r="AE918" i="9"/>
  <c r="AF714" i="9"/>
  <c r="AE682" i="9"/>
  <c r="AE801" i="9"/>
  <c r="AE673" i="9"/>
  <c r="AE650" i="9"/>
  <c r="AE763" i="9"/>
  <c r="AD971" i="9"/>
  <c r="AE588" i="9"/>
  <c r="AE462" i="9"/>
  <c r="AD702" i="9"/>
  <c r="AD722" i="9"/>
  <c r="AE670" i="9"/>
  <c r="AE730" i="9"/>
  <c r="AF836" i="9"/>
  <c r="AD805" i="9"/>
  <c r="AE593" i="9"/>
  <c r="AD737" i="9"/>
  <c r="AE600" i="9"/>
  <c r="AF831" i="9"/>
  <c r="AE637" i="9"/>
  <c r="AE629" i="9"/>
  <c r="AE693" i="9"/>
  <c r="AE834" i="9"/>
  <c r="AF575" i="9"/>
  <c r="AE559" i="9"/>
  <c r="AD957" i="9"/>
  <c r="AD641" i="9"/>
  <c r="AD910" i="9"/>
  <c r="AD773" i="9"/>
  <c r="AE1055" i="9"/>
  <c r="AF803" i="9"/>
  <c r="AE825" i="9"/>
  <c r="AD775" i="9"/>
  <c r="AE498" i="9"/>
  <c r="AF999" i="9"/>
  <c r="AD807" i="9"/>
  <c r="AF576" i="9"/>
  <c r="AF777" i="9"/>
  <c r="AD663" i="9"/>
  <c r="AF854" i="9"/>
  <c r="AF1045" i="9"/>
  <c r="AF1042" i="9"/>
  <c r="AE966" i="9"/>
  <c r="AE1053" i="9"/>
  <c r="AD754" i="9"/>
  <c r="AD658" i="9"/>
  <c r="AD714" i="9"/>
  <c r="AF618" i="9"/>
  <c r="AD751" i="9"/>
  <c r="AF701" i="9"/>
  <c r="AE843" i="9"/>
  <c r="AF991" i="9"/>
  <c r="AF995" i="9"/>
  <c r="AD831" i="9"/>
  <c r="AF982" i="9"/>
  <c r="AF963" i="9"/>
  <c r="AF622" i="9"/>
  <c r="AF610" i="9"/>
  <c r="AD575" i="9"/>
  <c r="AF957" i="9"/>
  <c r="AF641" i="9"/>
  <c r="AF775" i="9"/>
  <c r="AF798" i="9"/>
  <c r="AF609" i="9"/>
  <c r="AF1007" i="9"/>
  <c r="AD999" i="9"/>
  <c r="AF918" i="9"/>
  <c r="AD576" i="9"/>
  <c r="AD777" i="9"/>
  <c r="AD854" i="9"/>
  <c r="AD1045" i="9"/>
  <c r="AD1042" i="9"/>
  <c r="AD1054" i="9"/>
  <c r="AF572" i="9"/>
  <c r="AF658" i="9"/>
  <c r="AD682" i="9"/>
  <c r="AD618" i="9"/>
  <c r="AD1047" i="9"/>
  <c r="AD701" i="9"/>
  <c r="AD991" i="9"/>
  <c r="AF827" i="9"/>
  <c r="AE1047" i="9"/>
  <c r="AD909" i="9"/>
  <c r="AF645" i="9"/>
  <c r="AD1019" i="9"/>
  <c r="AD592" i="9"/>
  <c r="AD1038" i="9"/>
  <c r="AD642" i="9"/>
  <c r="AF930" i="9"/>
  <c r="AE603" i="9"/>
  <c r="AF981" i="9"/>
  <c r="AD865" i="9"/>
  <c r="AF983" i="9"/>
  <c r="AD930" i="9"/>
  <c r="AF614" i="9"/>
  <c r="AD645" i="9"/>
  <c r="AE769" i="9"/>
  <c r="AF631" i="9"/>
  <c r="AD679" i="9"/>
  <c r="AF1025" i="9"/>
  <c r="AE713" i="9"/>
  <c r="AE985" i="9"/>
  <c r="AD906" i="9"/>
  <c r="AD678" i="9"/>
  <c r="AE842" i="9"/>
  <c r="AE870" i="9"/>
  <c r="AF741" i="9"/>
  <c r="AD671" i="9"/>
  <c r="AD1037" i="9"/>
  <c r="AF889" i="9"/>
  <c r="AD589" i="9"/>
  <c r="AE611" i="9"/>
  <c r="AE699" i="9"/>
  <c r="AF702" i="9"/>
  <c r="AD1023" i="9"/>
  <c r="AF801" i="9"/>
  <c r="AD974" i="9"/>
  <c r="AD850" i="9"/>
  <c r="AD588" i="9"/>
  <c r="AE639" i="9"/>
  <c r="AF739" i="9"/>
  <c r="AE655" i="9"/>
  <c r="AD1046" i="9"/>
  <c r="AE839" i="9"/>
  <c r="AF959" i="9"/>
  <c r="AD687" i="9"/>
  <c r="AE942" i="9"/>
  <c r="AF639" i="9"/>
  <c r="AD659" i="9"/>
  <c r="AE766" i="9"/>
  <c r="AF917" i="9"/>
  <c r="AE779" i="9"/>
  <c r="AD821" i="9"/>
  <c r="AF1003" i="9"/>
  <c r="AE1034" i="9"/>
  <c r="AF584" i="9"/>
  <c r="AE946" i="9"/>
  <c r="AF762" i="9"/>
  <c r="AD823" i="9"/>
  <c r="AE962" i="9"/>
  <c r="AD833" i="9"/>
  <c r="AD697" i="9"/>
  <c r="AF969" i="9"/>
  <c r="AD1006" i="9"/>
  <c r="AD1057" i="9"/>
  <c r="AF814" i="9"/>
  <c r="AF858" i="9"/>
  <c r="AF802" i="9"/>
  <c r="AD835" i="9"/>
  <c r="AF906" i="9"/>
  <c r="AD802" i="9"/>
  <c r="AE898" i="9"/>
  <c r="AF985" i="9"/>
  <c r="N528" i="9"/>
  <c r="AA528" i="9"/>
  <c r="AD528" i="9"/>
  <c r="AF819" i="9"/>
  <c r="AE795" i="9"/>
  <c r="AD967" i="9"/>
  <c r="AF967" i="9"/>
  <c r="N492" i="9"/>
  <c r="AA492" i="9"/>
  <c r="AE492" i="9"/>
  <c r="N496" i="9"/>
  <c r="AA496" i="9"/>
  <c r="AE496" i="9"/>
  <c r="N386" i="9"/>
  <c r="AA386" i="9"/>
  <c r="AD386" i="9"/>
  <c r="AD806" i="9"/>
  <c r="AD634" i="9"/>
  <c r="AE750" i="9"/>
  <c r="AD753" i="9"/>
  <c r="AE647" i="9"/>
  <c r="AF675" i="9"/>
  <c r="AF677" i="9"/>
  <c r="AF778" i="9"/>
  <c r="AD978" i="9"/>
  <c r="AF921" i="9"/>
  <c r="AF882" i="9"/>
  <c r="AF731" i="9"/>
  <c r="AF1058" i="9"/>
  <c r="AF703" i="9"/>
  <c r="AE717" i="9"/>
  <c r="AF747" i="9"/>
  <c r="AD960" i="9"/>
  <c r="AE638" i="9"/>
  <c r="AD723" i="9"/>
  <c r="AE877" i="9"/>
  <c r="AF661" i="9"/>
  <c r="AD885" i="9"/>
  <c r="AE651" i="9"/>
  <c r="AE881" i="9"/>
  <c r="AE1021" i="9"/>
  <c r="AE878" i="9"/>
  <c r="AE901" i="9"/>
  <c r="AF759" i="9"/>
  <c r="AE928" i="9"/>
  <c r="AF690" i="9"/>
  <c r="AD595" i="9"/>
  <c r="AE830" i="9"/>
  <c r="AD613" i="9"/>
  <c r="AE604" i="9"/>
  <c r="AE837" i="9"/>
  <c r="AF897" i="9"/>
  <c r="AF797" i="9"/>
  <c r="AD675" i="9"/>
  <c r="AD677" i="9"/>
  <c r="AF434" i="9"/>
  <c r="AF698" i="9"/>
  <c r="AE1035" i="9"/>
  <c r="AD921" i="9"/>
  <c r="AD882" i="9"/>
  <c r="AD731" i="9"/>
  <c r="AD1058" i="9"/>
  <c r="AD703" i="9"/>
  <c r="AD747" i="9"/>
  <c r="AD661" i="9"/>
  <c r="AF1022" i="9"/>
  <c r="AF990" i="9"/>
  <c r="AF1015" i="9"/>
  <c r="AD866" i="9"/>
  <c r="AD759" i="9"/>
  <c r="N524" i="9"/>
  <c r="AA524" i="9"/>
  <c r="AF524" i="9"/>
  <c r="N556" i="9"/>
  <c r="AA556" i="9"/>
  <c r="AF556" i="9"/>
  <c r="AF1013" i="9"/>
  <c r="AF689" i="9"/>
  <c r="AF613" i="9"/>
  <c r="AD897" i="9"/>
  <c r="AF568" i="9"/>
  <c r="AD818" i="9"/>
  <c r="AF1023" i="9"/>
  <c r="AE971" i="9"/>
  <c r="AD783" i="9"/>
  <c r="AE974" i="9"/>
  <c r="AE850" i="9"/>
  <c r="AF977" i="9"/>
  <c r="AE762" i="9"/>
  <c r="AD786" i="9"/>
  <c r="AE823" i="9"/>
  <c r="AF765" i="9"/>
  <c r="AE687" i="9"/>
  <c r="AF817" i="9"/>
  <c r="AF659" i="9"/>
  <c r="AE833" i="9"/>
  <c r="AF591" i="9"/>
  <c r="AD563" i="9"/>
  <c r="AD1062" i="9"/>
  <c r="AD917" i="9"/>
  <c r="AE697" i="9"/>
  <c r="AE969" i="9"/>
  <c r="AD739" i="9"/>
  <c r="AE1006" i="9"/>
  <c r="AF821" i="9"/>
  <c r="AD1003" i="9"/>
  <c r="AE1057" i="9"/>
  <c r="AF743" i="9"/>
  <c r="AE1046" i="9"/>
  <c r="AD755" i="9"/>
  <c r="AF738" i="9"/>
  <c r="AE814" i="9"/>
  <c r="AE722" i="9"/>
  <c r="AD564" i="9"/>
  <c r="AD584" i="9"/>
  <c r="AF1039" i="9"/>
  <c r="AF1063" i="9"/>
  <c r="AD959" i="9"/>
  <c r="AD858" i="9"/>
  <c r="AF818" i="9"/>
  <c r="AF783" i="9"/>
  <c r="AD673" i="9"/>
  <c r="AF998" i="9"/>
  <c r="AD977" i="9"/>
  <c r="AD462" i="9"/>
  <c r="AF786" i="9"/>
  <c r="AD650" i="9"/>
  <c r="AD765" i="9"/>
  <c r="AF962" i="9"/>
  <c r="AD942" i="9"/>
  <c r="AD817" i="9"/>
  <c r="AF766" i="9"/>
  <c r="AD591" i="9"/>
  <c r="AF563" i="9"/>
  <c r="AF1062" i="9"/>
  <c r="AF779" i="9"/>
  <c r="AF655" i="9"/>
  <c r="AD743" i="9"/>
  <c r="AF763" i="9"/>
  <c r="AF755" i="9"/>
  <c r="AD738" i="9"/>
  <c r="AF709" i="9"/>
  <c r="AF564" i="9"/>
  <c r="AF839" i="9"/>
  <c r="AD1034" i="9"/>
  <c r="AD946" i="9"/>
  <c r="AD1039" i="9"/>
  <c r="AD1063" i="9"/>
  <c r="N520" i="9"/>
  <c r="AA520" i="9"/>
  <c r="AE520" i="9"/>
  <c r="N387" i="9"/>
  <c r="AA387" i="9"/>
  <c r="AD387" i="9"/>
  <c r="N395" i="9"/>
  <c r="AA395" i="9"/>
  <c r="AF395" i="9"/>
  <c r="AE678" i="9"/>
  <c r="AD669" i="9"/>
  <c r="AD955" i="9"/>
  <c r="AE865" i="9"/>
  <c r="AF657" i="9"/>
  <c r="AE983" i="9"/>
  <c r="AF793" i="9"/>
  <c r="AD450" i="9"/>
  <c r="AD614" i="9"/>
  <c r="AD782" i="9"/>
  <c r="AD746" i="9"/>
  <c r="AD886" i="9"/>
  <c r="AD741" i="9"/>
  <c r="AE671" i="9"/>
  <c r="AE719" i="9"/>
  <c r="AE1019" i="9"/>
  <c r="AF507" i="9"/>
  <c r="AE571" i="9"/>
  <c r="AE666" i="9"/>
  <c r="AF626" i="9"/>
  <c r="AD643" i="9"/>
  <c r="AD631" i="9"/>
  <c r="AE1037" i="9"/>
  <c r="AD889" i="9"/>
  <c r="AF749" i="9"/>
  <c r="AE679" i="9"/>
  <c r="AE589" i="9"/>
  <c r="AD1025" i="9"/>
  <c r="AD667" i="9"/>
  <c r="AE592" i="9"/>
  <c r="AD929" i="9"/>
  <c r="AF826" i="9"/>
  <c r="AF587" i="9"/>
  <c r="AF849" i="9"/>
  <c r="AD819" i="9"/>
  <c r="AF813" i="9"/>
  <c r="AE1038" i="9"/>
  <c r="AF842" i="9"/>
  <c r="AF669" i="9"/>
  <c r="AF955" i="9"/>
  <c r="AD657" i="9"/>
  <c r="AD793" i="9"/>
  <c r="AF450" i="9"/>
  <c r="AF782" i="9"/>
  <c r="AF746" i="9"/>
  <c r="AD870" i="9"/>
  <c r="AF886" i="9"/>
  <c r="AF769" i="9"/>
  <c r="AD507" i="9"/>
  <c r="AD626" i="9"/>
  <c r="AF643" i="9"/>
  <c r="AD749" i="9"/>
  <c r="AF667" i="9"/>
  <c r="AD713" i="9"/>
  <c r="AF611" i="9"/>
  <c r="AF699" i="9"/>
  <c r="AE826" i="9"/>
  <c r="AD587" i="9"/>
  <c r="AD937" i="9"/>
  <c r="AD849" i="9"/>
  <c r="AF795" i="9"/>
  <c r="AE813" i="9"/>
  <c r="AD898" i="9"/>
  <c r="N379" i="9"/>
  <c r="AA379" i="9"/>
  <c r="AE379" i="9"/>
  <c r="AF835" i="9"/>
  <c r="AF937" i="9"/>
  <c r="N398" i="9"/>
  <c r="AA398" i="9"/>
  <c r="AE398" i="9"/>
  <c r="AF625" i="9"/>
  <c r="AD914" i="9"/>
  <c r="AD491" i="9"/>
  <c r="N516" i="9"/>
  <c r="AA516" i="9"/>
  <c r="AE516" i="9"/>
  <c r="N382" i="9"/>
  <c r="AA382" i="9"/>
  <c r="AF382" i="9"/>
  <c r="AD689" i="9"/>
  <c r="AE568" i="9"/>
  <c r="AD625" i="9"/>
  <c r="AF914" i="9"/>
  <c r="AF1035" i="9"/>
  <c r="AF1050" i="9"/>
  <c r="N504" i="9"/>
  <c r="N508" i="9"/>
  <c r="AA508" i="9"/>
  <c r="AF508" i="9"/>
  <c r="AE391" i="9"/>
  <c r="AD391" i="9"/>
  <c r="AF391" i="9"/>
  <c r="AE534" i="9"/>
  <c r="AF534" i="9"/>
  <c r="AD534" i="9"/>
  <c r="AE511" i="9"/>
  <c r="AD511" i="9"/>
  <c r="AF511" i="9"/>
  <c r="AE704" i="9"/>
  <c r="AD704" i="9"/>
  <c r="AF704" i="9"/>
  <c r="AE478" i="9"/>
  <c r="AD478" i="9"/>
  <c r="AF478" i="9"/>
  <c r="AE457" i="9"/>
  <c r="AF457" i="9"/>
  <c r="AD457" i="9"/>
  <c r="AE606" i="9"/>
  <c r="AD606" i="9"/>
  <c r="AF606" i="9"/>
  <c r="AE1052" i="9"/>
  <c r="AD1052" i="9"/>
  <c r="AF1052" i="9"/>
  <c r="AE537" i="9"/>
  <c r="AD537" i="9"/>
  <c r="AF537" i="9"/>
  <c r="AE636" i="9"/>
  <c r="AD636" i="9"/>
  <c r="AF636" i="9"/>
  <c r="AE594" i="9"/>
  <c r="AD594" i="9"/>
  <c r="AF594" i="9"/>
  <c r="AE494" i="9"/>
  <c r="AD494" i="9"/>
  <c r="AF494" i="9"/>
  <c r="AE832" i="9"/>
  <c r="AF832" i="9"/>
  <c r="AD832" i="9"/>
  <c r="AE567" i="9"/>
  <c r="AD567" i="9"/>
  <c r="AF567" i="9"/>
  <c r="AE579" i="9"/>
  <c r="AD579" i="9"/>
  <c r="AF579" i="9"/>
  <c r="AE947" i="9"/>
  <c r="AD947" i="9"/>
  <c r="AF947" i="9"/>
  <c r="AE557" i="9"/>
  <c r="AF557" i="9"/>
  <c r="AD557" i="9"/>
  <c r="AE551" i="9"/>
  <c r="AD551" i="9"/>
  <c r="AF551" i="9"/>
  <c r="AE712" i="9"/>
  <c r="AD712" i="9"/>
  <c r="AF712" i="9"/>
  <c r="AE458" i="9"/>
  <c r="AD458" i="9"/>
  <c r="AF458" i="9"/>
  <c r="AE664" i="9"/>
  <c r="AF664" i="9"/>
  <c r="AD664" i="9"/>
  <c r="AE538" i="9"/>
  <c r="AD538" i="9"/>
  <c r="AF538" i="9"/>
  <c r="AE485" i="9"/>
  <c r="AD485" i="9"/>
  <c r="AF485" i="9"/>
  <c r="AE518" i="9"/>
  <c r="AD518" i="9"/>
  <c r="AF518" i="9"/>
  <c r="AE920" i="9"/>
  <c r="AF920" i="9"/>
  <c r="AD920" i="9"/>
  <c r="AE1020" i="9"/>
  <c r="AD1020" i="9"/>
  <c r="AF1020" i="9"/>
  <c r="AE859" i="9"/>
  <c r="AD859" i="9"/>
  <c r="AF859" i="9"/>
  <c r="AE780" i="9"/>
  <c r="AD780" i="9"/>
  <c r="AF780" i="9"/>
  <c r="AE676" i="9"/>
  <c r="AD676" i="9"/>
  <c r="AF676" i="9"/>
  <c r="AE812" i="9"/>
  <c r="AD812" i="9"/>
  <c r="AF812" i="9"/>
  <c r="AE1000" i="9"/>
  <c r="AD1000" i="9"/>
  <c r="AF1000" i="9"/>
  <c r="AE515" i="9"/>
  <c r="AD515" i="9"/>
  <c r="AF515" i="9"/>
  <c r="AE764" i="9"/>
  <c r="AD764" i="9"/>
  <c r="AF764" i="9"/>
  <c r="AE979" i="9"/>
  <c r="AF979" i="9"/>
  <c r="AD979" i="9"/>
  <c r="AE1028" i="9"/>
  <c r="AD1028" i="9"/>
  <c r="AF1028" i="9"/>
  <c r="AE680" i="9"/>
  <c r="AD680" i="9"/>
  <c r="AF680" i="9"/>
  <c r="AE486" i="9"/>
  <c r="AD486" i="9"/>
  <c r="AF486" i="9"/>
  <c r="AE800" i="9"/>
  <c r="AD800" i="9"/>
  <c r="AF800" i="9"/>
  <c r="AE583" i="9"/>
  <c r="AD583" i="9"/>
  <c r="AF583" i="9"/>
  <c r="AE442" i="9"/>
  <c r="AF442" i="9"/>
  <c r="AD442" i="9"/>
  <c r="AE790" i="9"/>
  <c r="AD790" i="9"/>
  <c r="AF790" i="9"/>
  <c r="AE624" i="9"/>
  <c r="AD624" i="9"/>
  <c r="AF624" i="9"/>
  <c r="AE469" i="9"/>
  <c r="AD469" i="9"/>
  <c r="AF469" i="9"/>
  <c r="AE944" i="9"/>
  <c r="AD944" i="9"/>
  <c r="AF944" i="9"/>
  <c r="AE562" i="9"/>
  <c r="AD562" i="9"/>
  <c r="AF562" i="9"/>
  <c r="AE907" i="9"/>
  <c r="AD907" i="9"/>
  <c r="AF907" i="9"/>
  <c r="AE466" i="9"/>
  <c r="AF466" i="9"/>
  <c r="AD466" i="9"/>
  <c r="AE887" i="9"/>
  <c r="AD887" i="9"/>
  <c r="AF887" i="9"/>
  <c r="AE804" i="9"/>
  <c r="AD804" i="9"/>
  <c r="AF804" i="9"/>
  <c r="AE539" i="9"/>
  <c r="AD539" i="9"/>
  <c r="AF539" i="9"/>
  <c r="AE841" i="9"/>
  <c r="AF841" i="9"/>
  <c r="AD841" i="9"/>
  <c r="AE484" i="9"/>
  <c r="AF484" i="9"/>
  <c r="AD484" i="9"/>
  <c r="AE536" i="9"/>
  <c r="AF536" i="9"/>
  <c r="AD536" i="9"/>
  <c r="AE548" i="9"/>
  <c r="AD548" i="9"/>
  <c r="AF548" i="9"/>
  <c r="AE409" i="9"/>
  <c r="AD409" i="9"/>
  <c r="AF409" i="9"/>
  <c r="AE320" i="9"/>
  <c r="AD320" i="9"/>
  <c r="AF320" i="9"/>
  <c r="AE304" i="9"/>
  <c r="AD304" i="9"/>
  <c r="AF304" i="9"/>
  <c r="AE308" i="9"/>
  <c r="AD308" i="9"/>
  <c r="AF308" i="9"/>
  <c r="AE455" i="9"/>
  <c r="AD455" i="9"/>
  <c r="AF455" i="9"/>
  <c r="AE768" i="9"/>
  <c r="AD768" i="9"/>
  <c r="AF768" i="9"/>
  <c r="AE487" i="9"/>
  <c r="AF487" i="9"/>
  <c r="AD487" i="9"/>
  <c r="AE479" i="9"/>
  <c r="AD479" i="9"/>
  <c r="AF479" i="9"/>
  <c r="AE694" i="9"/>
  <c r="AD694" i="9"/>
  <c r="AF694" i="9"/>
  <c r="AE672" i="9"/>
  <c r="AD672" i="9"/>
  <c r="AF672" i="9"/>
  <c r="AE736" i="9"/>
  <c r="AF736" i="9"/>
  <c r="AD736" i="9"/>
  <c r="AE883" i="9"/>
  <c r="AD883" i="9"/>
  <c r="AF883" i="9"/>
  <c r="AE964" i="9"/>
  <c r="AD964" i="9"/>
  <c r="AF964" i="9"/>
  <c r="AE502" i="9"/>
  <c r="AD502" i="9"/>
  <c r="AF502" i="9"/>
  <c r="AE566" i="9"/>
  <c r="AF566" i="9"/>
  <c r="AD566" i="9"/>
  <c r="AE932" i="9"/>
  <c r="AD932" i="9"/>
  <c r="AF932" i="9"/>
  <c r="AE868" i="9"/>
  <c r="AF868" i="9"/>
  <c r="AD868" i="9"/>
  <c r="AE483" i="9"/>
  <c r="AD483" i="9"/>
  <c r="AF483" i="9"/>
  <c r="AE1056" i="9"/>
  <c r="AD1056" i="9"/>
  <c r="AF1056" i="9"/>
  <c r="AE525" i="9"/>
  <c r="AD525" i="9"/>
  <c r="AF525" i="9"/>
  <c r="AE919" i="9"/>
  <c r="AF919" i="9"/>
  <c r="AD919" i="9"/>
  <c r="AE838" i="9"/>
  <c r="AF838" i="9"/>
  <c r="AD838" i="9"/>
  <c r="AE597" i="9"/>
  <c r="AF597" i="9"/>
  <c r="AD597" i="9"/>
  <c r="AE665" i="9"/>
  <c r="AF665" i="9"/>
  <c r="AD665" i="9"/>
  <c r="AE581" i="9"/>
  <c r="AD581" i="9"/>
  <c r="AF581" i="9"/>
  <c r="AE1018" i="9"/>
  <c r="AF1018" i="9"/>
  <c r="AD1018" i="9"/>
  <c r="AE922" i="9"/>
  <c r="AD922" i="9"/>
  <c r="AF922" i="9"/>
  <c r="AE480" i="9"/>
  <c r="AD480" i="9"/>
  <c r="AF480" i="9"/>
  <c r="AE452" i="9"/>
  <c r="AF452" i="9"/>
  <c r="AD452" i="9"/>
  <c r="AE370" i="9"/>
  <c r="AD370" i="9"/>
  <c r="AF370" i="9"/>
  <c r="AE365" i="9"/>
  <c r="AD365" i="9"/>
  <c r="AF365" i="9"/>
  <c r="AE346" i="9"/>
  <c r="AD346" i="9"/>
  <c r="AF346" i="9"/>
  <c r="AE305" i="9"/>
  <c r="AD305" i="9"/>
  <c r="AF305" i="9"/>
  <c r="AE337" i="9"/>
  <c r="AF337" i="9"/>
  <c r="AD337" i="9"/>
  <c r="AE463" i="9"/>
  <c r="AD463" i="9"/>
  <c r="AF463" i="9"/>
  <c r="AE656" i="9"/>
  <c r="AD656" i="9"/>
  <c r="AF656" i="9"/>
  <c r="AE632" i="9"/>
  <c r="AF632" i="9"/>
  <c r="AD632" i="9"/>
  <c r="AE668" i="9"/>
  <c r="AD668" i="9"/>
  <c r="AF668" i="9"/>
  <c r="AE1024" i="9"/>
  <c r="AD1024" i="9"/>
  <c r="AF1024" i="9"/>
  <c r="AE916" i="9"/>
  <c r="AD916" i="9"/>
  <c r="AF916" i="9"/>
  <c r="AE660" i="9"/>
  <c r="AD660" i="9"/>
  <c r="AF660" i="9"/>
  <c r="AE459" i="9"/>
  <c r="AD459" i="9"/>
  <c r="AF459" i="9"/>
  <c r="AE541" i="9"/>
  <c r="AD541" i="9"/>
  <c r="AF541" i="9"/>
  <c r="AE531" i="9"/>
  <c r="AD531" i="9"/>
  <c r="AF531" i="9"/>
  <c r="AE582" i="9"/>
  <c r="AF582" i="9"/>
  <c r="AD582" i="9"/>
  <c r="AE1002" i="9"/>
  <c r="AF1002" i="9"/>
  <c r="AD1002" i="9"/>
  <c r="AE554" i="9"/>
  <c r="AD554" i="9"/>
  <c r="AF554" i="9"/>
  <c r="AE648" i="9"/>
  <c r="AD648" i="9"/>
  <c r="AF648" i="9"/>
  <c r="AE447" i="9"/>
  <c r="AD447" i="9"/>
  <c r="AF447" i="9"/>
  <c r="AE876" i="9"/>
  <c r="AD876" i="9"/>
  <c r="AF876" i="9"/>
  <c r="AE851" i="9"/>
  <c r="AD851" i="9"/>
  <c r="AF851" i="9"/>
  <c r="AE533" i="9"/>
  <c r="AD533" i="9"/>
  <c r="AF533" i="9"/>
  <c r="AE390" i="9"/>
  <c r="AD390" i="9"/>
  <c r="AF390" i="9"/>
  <c r="AE383" i="9"/>
  <c r="AD383" i="9"/>
  <c r="AF383" i="9"/>
  <c r="AE708" i="9"/>
  <c r="AF708" i="9"/>
  <c r="AD708" i="9"/>
  <c r="AE441" i="9"/>
  <c r="AF441" i="9"/>
  <c r="AD441" i="9"/>
  <c r="AE574" i="9"/>
  <c r="AD574" i="9"/>
  <c r="AF574" i="9"/>
  <c r="AE700" i="9"/>
  <c r="AD700" i="9"/>
  <c r="AF700" i="9"/>
  <c r="AE896" i="9"/>
  <c r="AD896" i="9"/>
  <c r="AF896" i="9"/>
  <c r="AE467" i="9"/>
  <c r="AF467" i="9"/>
  <c r="AD467" i="9"/>
  <c r="AE732" i="9"/>
  <c r="AD732" i="9"/>
  <c r="AF732" i="9"/>
  <c r="AE1011" i="9"/>
  <c r="AF1011" i="9"/>
  <c r="AD1011" i="9"/>
  <c r="AE970" i="9"/>
  <c r="AD970" i="9"/>
  <c r="AF970" i="9"/>
  <c r="AE422" i="9"/>
  <c r="AD422" i="9"/>
  <c r="AF422" i="9"/>
  <c r="AE519" i="9"/>
  <c r="AD519" i="9"/>
  <c r="AF519" i="9"/>
  <c r="AE956" i="9"/>
  <c r="AF956" i="9"/>
  <c r="AD956" i="9"/>
  <c r="AE984" i="9"/>
  <c r="AD984" i="9"/>
  <c r="AF984" i="9"/>
  <c r="AE860" i="9"/>
  <c r="AD860" i="9"/>
  <c r="AF860" i="9"/>
  <c r="AE752" i="9"/>
  <c r="AD752" i="9"/>
  <c r="AF752" i="9"/>
  <c r="AE822" i="9"/>
  <c r="AD822" i="9"/>
  <c r="AF822" i="9"/>
  <c r="AE407" i="9"/>
  <c r="AD407" i="9"/>
  <c r="AF407" i="9"/>
  <c r="AE924" i="9"/>
  <c r="AF924" i="9"/>
  <c r="AD924" i="9"/>
  <c r="AE820" i="9"/>
  <c r="AD820" i="9"/>
  <c r="AF820" i="9"/>
  <c r="AE968" i="9"/>
  <c r="AD968" i="9"/>
  <c r="AF968" i="9"/>
  <c r="AE477" i="9"/>
  <c r="AF477" i="9"/>
  <c r="AD477" i="9"/>
  <c r="AE427" i="9"/>
  <c r="AD427" i="9"/>
  <c r="AF427" i="9"/>
  <c r="AE912" i="9"/>
  <c r="AD912" i="9"/>
  <c r="AF912" i="9"/>
  <c r="AE891" i="9"/>
  <c r="AD891" i="9"/>
  <c r="AF891" i="9"/>
  <c r="AE948" i="9"/>
  <c r="AF948" i="9"/>
  <c r="AD948" i="9"/>
  <c r="AE419" i="9"/>
  <c r="AD419" i="9"/>
  <c r="AF419" i="9"/>
  <c r="AE852" i="9"/>
  <c r="AD852" i="9"/>
  <c r="AF852" i="9"/>
  <c r="AE547" i="9"/>
  <c r="AD547" i="9"/>
  <c r="AF547" i="9"/>
  <c r="AE599" i="9"/>
  <c r="AD599" i="9"/>
  <c r="AF599" i="9"/>
  <c r="AE954" i="9"/>
  <c r="AD954" i="9"/>
  <c r="AF954" i="9"/>
  <c r="AE649" i="9"/>
  <c r="AD649" i="9"/>
  <c r="AF649" i="9"/>
  <c r="AE1059" i="9"/>
  <c r="AD1059" i="9"/>
  <c r="AF1059" i="9"/>
  <c r="AE512" i="9"/>
  <c r="AD512" i="9"/>
  <c r="AF512" i="9"/>
  <c r="AE500" i="9"/>
  <c r="AD500" i="9"/>
  <c r="AF500" i="9"/>
  <c r="AE488" i="9"/>
  <c r="AF488" i="9"/>
  <c r="AD488" i="9"/>
  <c r="AE328" i="9"/>
  <c r="AF328" i="9"/>
  <c r="AD328" i="9"/>
  <c r="AE312" i="9"/>
  <c r="AD312" i="9"/>
  <c r="AF312" i="9"/>
  <c r="AA276" i="9"/>
  <c r="O280" i="9"/>
  <c r="O296" i="9"/>
  <c r="O312" i="9"/>
  <c r="O328" i="9"/>
  <c r="O279" i="9"/>
  <c r="O295" i="9"/>
  <c r="O311" i="9"/>
  <c r="O327" i="9"/>
  <c r="O343" i="9"/>
  <c r="O359" i="9"/>
  <c r="O375" i="9"/>
  <c r="O278" i="9"/>
  <c r="O294" i="9"/>
  <c r="O310" i="9"/>
  <c r="O326" i="9"/>
  <c r="O342" i="9"/>
  <c r="O277" i="9"/>
  <c r="O293" i="9"/>
  <c r="O309" i="9"/>
  <c r="O325" i="9"/>
  <c r="O341" i="9"/>
  <c r="O357" i="9"/>
  <c r="O373" i="9"/>
  <c r="O348" i="9"/>
  <c r="O356" i="9"/>
  <c r="O364" i="9"/>
  <c r="O372" i="9"/>
  <c r="O284" i="9"/>
  <c r="O300" i="9"/>
  <c r="O316" i="9"/>
  <c r="O332" i="9"/>
  <c r="O283" i="9"/>
  <c r="O299" i="9"/>
  <c r="O315" i="9"/>
  <c r="O331" i="9"/>
  <c r="O347" i="9"/>
  <c r="O363" i="9"/>
  <c r="O282" i="9"/>
  <c r="O298" i="9"/>
  <c r="O314" i="9"/>
  <c r="O330" i="9"/>
  <c r="O281" i="9"/>
  <c r="O297" i="9"/>
  <c r="O313" i="9"/>
  <c r="O329" i="9"/>
  <c r="O345" i="9"/>
  <c r="O361" i="9"/>
  <c r="O377" i="9"/>
  <c r="O350" i="9"/>
  <c r="O358" i="9"/>
  <c r="O366" i="9"/>
  <c r="O374" i="9"/>
  <c r="O288" i="9"/>
  <c r="O304" i="9"/>
  <c r="O320" i="9"/>
  <c r="O287" i="9"/>
  <c r="O303" i="9"/>
  <c r="O319" i="9"/>
  <c r="O335" i="9"/>
  <c r="O351" i="9"/>
  <c r="O367" i="9"/>
  <c r="O286" i="9"/>
  <c r="O302" i="9"/>
  <c r="O318" i="9"/>
  <c r="O334" i="9"/>
  <c r="O285" i="9"/>
  <c r="O301" i="9"/>
  <c r="O317" i="9"/>
  <c r="O333" i="9"/>
  <c r="O349" i="9"/>
  <c r="O365" i="9"/>
  <c r="O378" i="9"/>
  <c r="O336" i="9"/>
  <c r="O344" i="9"/>
  <c r="O352" i="9"/>
  <c r="O360" i="9"/>
  <c r="O368" i="9"/>
  <c r="O376" i="9"/>
  <c r="O276" i="9"/>
  <c r="O292" i="9"/>
  <c r="O308" i="9"/>
  <c r="O324" i="9"/>
  <c r="O291" i="9"/>
  <c r="O307" i="9"/>
  <c r="O323" i="9"/>
  <c r="O339" i="9"/>
  <c r="O355" i="9"/>
  <c r="O371" i="9"/>
  <c r="O290" i="9"/>
  <c r="O306" i="9"/>
  <c r="O322" i="9"/>
  <c r="O338" i="9"/>
  <c r="O289" i="9"/>
  <c r="O305" i="9"/>
  <c r="O321" i="9"/>
  <c r="O337" i="9"/>
  <c r="O353" i="9"/>
  <c r="O369" i="9"/>
  <c r="O340" i="9"/>
  <c r="O346" i="9"/>
  <c r="O354" i="9"/>
  <c r="O362" i="9"/>
  <c r="O370" i="9"/>
  <c r="AE490" i="9"/>
  <c r="AD490" i="9"/>
  <c r="AF490" i="9"/>
  <c r="AE497" i="9"/>
  <c r="AD497" i="9"/>
  <c r="AF497" i="9"/>
  <c r="AE1008" i="9"/>
  <c r="AD1008" i="9"/>
  <c r="AF1008" i="9"/>
  <c r="AE503" i="9"/>
  <c r="AD503" i="9"/>
  <c r="AF503" i="9"/>
  <c r="AE1040" i="9"/>
  <c r="AD1040" i="9"/>
  <c r="AF1040" i="9"/>
  <c r="AE543" i="9"/>
  <c r="AD543" i="9"/>
  <c r="AF543" i="9"/>
  <c r="AE431" i="9"/>
  <c r="AF431" i="9"/>
  <c r="AD431" i="9"/>
  <c r="AE573" i="9"/>
  <c r="AD573" i="9"/>
  <c r="AF573" i="9"/>
  <c r="AE911" i="9"/>
  <c r="AD911" i="9"/>
  <c r="AF911" i="9"/>
  <c r="AE506" i="9"/>
  <c r="AD506" i="9"/>
  <c r="AF506" i="9"/>
  <c r="AE879" i="9"/>
  <c r="AD879" i="9"/>
  <c r="AF879" i="9"/>
  <c r="AE514" i="9"/>
  <c r="AD514" i="9"/>
  <c r="AF514" i="9"/>
  <c r="AE473" i="9"/>
  <c r="AD473" i="9"/>
  <c r="AF473" i="9"/>
  <c r="AE988" i="9"/>
  <c r="AD988" i="9"/>
  <c r="AF988" i="9"/>
  <c r="AE980" i="9"/>
  <c r="AD980" i="9"/>
  <c r="AF980" i="9"/>
  <c r="AE939" i="9"/>
  <c r="AF939" i="9"/>
  <c r="AD939" i="9"/>
  <c r="AE443" i="9"/>
  <c r="AD443" i="9"/>
  <c r="AF443" i="9"/>
  <c r="AE435" i="9"/>
  <c r="AF435" i="9"/>
  <c r="AD435" i="9"/>
  <c r="AE894" i="9"/>
  <c r="AF894" i="9"/>
  <c r="AD894" i="9"/>
  <c r="AE468" i="9"/>
  <c r="AD468" i="9"/>
  <c r="AF468" i="9"/>
  <c r="AE436" i="9"/>
  <c r="AF436" i="9"/>
  <c r="AD436" i="9"/>
  <c r="AE362" i="9"/>
  <c r="AF362" i="9"/>
  <c r="AD362" i="9"/>
  <c r="AE309" i="9"/>
  <c r="AD309" i="9"/>
  <c r="AF309" i="9"/>
  <c r="AE329" i="9"/>
  <c r="AD329" i="9"/>
  <c r="AF329" i="9"/>
  <c r="AE366" i="9"/>
  <c r="AD366" i="9"/>
  <c r="AF366" i="9"/>
  <c r="AE776" i="9"/>
  <c r="AD776" i="9"/>
  <c r="AF776" i="9"/>
  <c r="AE808" i="9"/>
  <c r="AD808" i="9"/>
  <c r="AF808" i="9"/>
  <c r="AE577" i="9"/>
  <c r="AD577" i="9"/>
  <c r="AF577" i="9"/>
  <c r="AE758" i="9"/>
  <c r="AD758" i="9"/>
  <c r="AF758" i="9"/>
  <c r="AE816" i="9"/>
  <c r="AF816" i="9"/>
  <c r="AD816" i="9"/>
  <c r="AE423" i="9"/>
  <c r="AD423" i="9"/>
  <c r="AF423" i="9"/>
  <c r="AE915" i="9"/>
  <c r="AD915" i="9"/>
  <c r="AF915" i="9"/>
  <c r="AE406" i="9"/>
  <c r="AD406" i="9"/>
  <c r="AF406" i="9"/>
  <c r="AE561" i="9"/>
  <c r="AF561" i="9"/>
  <c r="AD561" i="9"/>
  <c r="AE454" i="9"/>
  <c r="AD454" i="9"/>
  <c r="AF454" i="9"/>
  <c r="AE895" i="9"/>
  <c r="AD895" i="9"/>
  <c r="AF895" i="9"/>
  <c r="AE415" i="9"/>
  <c r="AD415" i="9"/>
  <c r="AF415" i="9"/>
  <c r="AE513" i="9"/>
  <c r="AF513" i="9"/>
  <c r="AD513" i="9"/>
  <c r="AE546" i="9"/>
  <c r="AD546" i="9"/>
  <c r="AF546" i="9"/>
  <c r="AE493" i="9"/>
  <c r="AD493" i="9"/>
  <c r="AF493" i="9"/>
  <c r="AE612" i="9"/>
  <c r="AD612" i="9"/>
  <c r="AF612" i="9"/>
  <c r="AE586" i="9"/>
  <c r="AD586" i="9"/>
  <c r="AF586" i="9"/>
  <c r="AE411" i="9"/>
  <c r="AD411" i="9"/>
  <c r="AF411" i="9"/>
  <c r="AE510" i="9"/>
  <c r="AD510" i="9"/>
  <c r="AF510" i="9"/>
  <c r="AE509" i="9"/>
  <c r="AD509" i="9"/>
  <c r="AF509" i="9"/>
  <c r="AE505" i="9"/>
  <c r="AD505" i="9"/>
  <c r="AF505" i="9"/>
  <c r="AE633" i="9"/>
  <c r="AD633" i="9"/>
  <c r="AF633" i="9"/>
  <c r="AE744" i="9"/>
  <c r="AF744" i="9"/>
  <c r="AD744" i="9"/>
  <c r="AE936" i="9"/>
  <c r="AF936" i="9"/>
  <c r="AD936" i="9"/>
  <c r="AE863" i="9"/>
  <c r="AD863" i="9"/>
  <c r="AF863" i="9"/>
  <c r="AE438" i="9"/>
  <c r="AF438" i="9"/>
  <c r="AD438" i="9"/>
  <c r="AE847" i="9"/>
  <c r="AD847" i="9"/>
  <c r="AF847" i="9"/>
  <c r="AE760" i="9"/>
  <c r="AF760" i="9"/>
  <c r="AD760" i="9"/>
  <c r="AE943" i="9"/>
  <c r="AF943" i="9"/>
  <c r="AD943" i="9"/>
  <c r="AE451" i="9"/>
  <c r="AD451" i="9"/>
  <c r="AF451" i="9"/>
  <c r="AE429" i="9"/>
  <c r="AD429" i="9"/>
  <c r="AF429" i="9"/>
  <c r="AE1032" i="9"/>
  <c r="AF1032" i="9"/>
  <c r="AD1032" i="9"/>
  <c r="AE475" i="9"/>
  <c r="AD475" i="9"/>
  <c r="AF475" i="9"/>
  <c r="AE880" i="9"/>
  <c r="AD880" i="9"/>
  <c r="AF880" i="9"/>
  <c r="AE846" i="9"/>
  <c r="AD846" i="9"/>
  <c r="AF846" i="9"/>
  <c r="AE555" i="9"/>
  <c r="AD555" i="9"/>
  <c r="AF555" i="9"/>
  <c r="AE414" i="9"/>
  <c r="AF414" i="9"/>
  <c r="AD414" i="9"/>
  <c r="AE620" i="9"/>
  <c r="AD620" i="9"/>
  <c r="AF620" i="9"/>
  <c r="AE418" i="9"/>
  <c r="AD418" i="9"/>
  <c r="AF418" i="9"/>
  <c r="AE761" i="9"/>
  <c r="AD761" i="9"/>
  <c r="AF761" i="9"/>
  <c r="AE616" i="9"/>
  <c r="AD616" i="9"/>
  <c r="AF616" i="9"/>
  <c r="AE570" i="9"/>
  <c r="AF570" i="9"/>
  <c r="AD570" i="9"/>
  <c r="AE549" i="9"/>
  <c r="AD549" i="9"/>
  <c r="AF549" i="9"/>
  <c r="AE688" i="9"/>
  <c r="AF688" i="9"/>
  <c r="AD688" i="9"/>
  <c r="AE535" i="9"/>
  <c r="AD535" i="9"/>
  <c r="AF535" i="9"/>
  <c r="AE888" i="9"/>
  <c r="AD888" i="9"/>
  <c r="AF888" i="9"/>
  <c r="AE696" i="9"/>
  <c r="AD696" i="9"/>
  <c r="AF696" i="9"/>
  <c r="AE1036" i="9"/>
  <c r="AD1036" i="9"/>
  <c r="AF1036" i="9"/>
  <c r="AE439" i="9"/>
  <c r="AD439" i="9"/>
  <c r="AF439" i="9"/>
  <c r="AE652" i="9"/>
  <c r="AD652" i="9"/>
  <c r="AF652" i="9"/>
  <c r="AE1044" i="9"/>
  <c r="AD1044" i="9"/>
  <c r="AF1044" i="9"/>
  <c r="AE542" i="9"/>
  <c r="AF542" i="9"/>
  <c r="AD542" i="9"/>
  <c r="AE530" i="9"/>
  <c r="AD530" i="9"/>
  <c r="AF530" i="9"/>
  <c r="AE935" i="9"/>
  <c r="AD935" i="9"/>
  <c r="AF935" i="9"/>
  <c r="AE692" i="9"/>
  <c r="AD692" i="9"/>
  <c r="AF692" i="9"/>
  <c r="AE923" i="9"/>
  <c r="AD923" i="9"/>
  <c r="AF923" i="9"/>
  <c r="AE828" i="9"/>
  <c r="AF828" i="9"/>
  <c r="AD828" i="9"/>
  <c r="AE580" i="9"/>
  <c r="AD580" i="9"/>
  <c r="AF580" i="9"/>
  <c r="AE986" i="9"/>
  <c r="AD986" i="9"/>
  <c r="AF986" i="9"/>
  <c r="AE540" i="9"/>
  <c r="AF540" i="9"/>
  <c r="AD540" i="9"/>
  <c r="AE532" i="9"/>
  <c r="AD532" i="9"/>
  <c r="AF532" i="9"/>
  <c r="AE376" i="9"/>
  <c r="AD376" i="9"/>
  <c r="AF376" i="9"/>
  <c r="AE393" i="9"/>
  <c r="AD393" i="9"/>
  <c r="AF393" i="9"/>
  <c r="AE403" i="9"/>
  <c r="AD403" i="9"/>
  <c r="AF403" i="9"/>
  <c r="AE381" i="9"/>
  <c r="AD381" i="9"/>
  <c r="AF381" i="9"/>
  <c r="AE314" i="9"/>
  <c r="AF314" i="9"/>
  <c r="AD314" i="9"/>
  <c r="AE332" i="9"/>
  <c r="AD332" i="9"/>
  <c r="AF332" i="9"/>
  <c r="AE640" i="9"/>
  <c r="AF640" i="9"/>
  <c r="AD640" i="9"/>
  <c r="AE550" i="9"/>
  <c r="AF550" i="9"/>
  <c r="AD550" i="9"/>
  <c r="AE1016" i="9"/>
  <c r="AD1016" i="9"/>
  <c r="AF1016" i="9"/>
  <c r="AE940" i="9"/>
  <c r="AF940" i="9"/>
  <c r="AD940" i="9"/>
  <c r="AE972" i="9"/>
  <c r="AD972" i="9"/>
  <c r="AF972" i="9"/>
  <c r="AE527" i="9"/>
  <c r="AD527" i="9"/>
  <c r="AF527" i="9"/>
  <c r="AE976" i="9"/>
  <c r="AF976" i="9"/>
  <c r="AD976" i="9"/>
  <c r="AE720" i="9"/>
  <c r="AF720" i="9"/>
  <c r="AD720" i="9"/>
  <c r="AE1004" i="9"/>
  <c r="AD1004" i="9"/>
  <c r="AF1004" i="9"/>
  <c r="AE748" i="9"/>
  <c r="AD748" i="9"/>
  <c r="AF748" i="9"/>
  <c r="AE521" i="9"/>
  <c r="AD521" i="9"/>
  <c r="AF521" i="9"/>
  <c r="AE796" i="9"/>
  <c r="AD796" i="9"/>
  <c r="AF796" i="9"/>
  <c r="AE952" i="9"/>
  <c r="AF952" i="9"/>
  <c r="AD952" i="9"/>
  <c r="AE598" i="9"/>
  <c r="AD598" i="9"/>
  <c r="AF598" i="9"/>
  <c r="AE788" i="9"/>
  <c r="AD788" i="9"/>
  <c r="AF788" i="9"/>
  <c r="AE992" i="9"/>
  <c r="AF992" i="9"/>
  <c r="AD992" i="9"/>
  <c r="AE845" i="9"/>
  <c r="AD845" i="9"/>
  <c r="AF845" i="9"/>
  <c r="AE617" i="9"/>
  <c r="AF617" i="9"/>
  <c r="AD617" i="9"/>
  <c r="AE874" i="9"/>
  <c r="AD874" i="9"/>
  <c r="AF874" i="9"/>
  <c r="AE456" i="9"/>
  <c r="AD456" i="9"/>
  <c r="AF456" i="9"/>
  <c r="AE472" i="9"/>
  <c r="AD472" i="9"/>
  <c r="AF472" i="9"/>
  <c r="AE354" i="9"/>
  <c r="AD354" i="9"/>
  <c r="AF354" i="9"/>
  <c r="AE357" i="9"/>
  <c r="AD357" i="9"/>
  <c r="AF357" i="9"/>
  <c r="AE345" i="9"/>
  <c r="AD345" i="9"/>
  <c r="AF345" i="9"/>
  <c r="AE374" i="9"/>
  <c r="AD374" i="9"/>
  <c r="AF374" i="9"/>
  <c r="AE364" i="9"/>
  <c r="AD364" i="9"/>
  <c r="AF364" i="9"/>
  <c r="C4" i="12"/>
  <c r="J38" i="4"/>
  <c r="M38" i="4"/>
  <c r="AE931" i="9"/>
  <c r="AD931" i="9"/>
  <c r="AF931" i="9"/>
  <c r="AE996" i="9"/>
  <c r="AF996" i="9"/>
  <c r="AD996" i="9"/>
  <c r="AE421" i="9"/>
  <c r="AF421" i="9"/>
  <c r="AD421" i="9"/>
  <c r="AE899" i="9"/>
  <c r="AF899" i="9"/>
  <c r="AD899" i="9"/>
  <c r="AE872" i="9"/>
  <c r="AD872" i="9"/>
  <c r="AF872" i="9"/>
  <c r="AE630" i="9"/>
  <c r="AD630" i="9"/>
  <c r="AF630" i="9"/>
  <c r="AE453" i="9"/>
  <c r="AD453" i="9"/>
  <c r="AF453" i="9"/>
  <c r="AE662" i="9"/>
  <c r="AF662" i="9"/>
  <c r="AD662" i="9"/>
  <c r="AE522" i="9"/>
  <c r="AF522" i="9"/>
  <c r="AD522" i="9"/>
  <c r="AE590" i="9"/>
  <c r="AD590" i="9"/>
  <c r="AF590" i="9"/>
  <c r="AE724" i="9"/>
  <c r="AF724" i="9"/>
  <c r="AD724" i="9"/>
  <c r="AE523" i="9"/>
  <c r="AF523" i="9"/>
  <c r="AD523" i="9"/>
  <c r="AE565" i="9"/>
  <c r="AF565" i="9"/>
  <c r="AD565" i="9"/>
  <c r="AE628" i="9"/>
  <c r="AF628" i="9"/>
  <c r="AD628" i="9"/>
  <c r="AE553" i="9"/>
  <c r="AD553" i="9"/>
  <c r="AF553" i="9"/>
  <c r="AE875" i="9"/>
  <c r="AD875" i="9"/>
  <c r="AF875" i="9"/>
  <c r="AE772" i="9"/>
  <c r="AD772" i="9"/>
  <c r="AF772" i="9"/>
  <c r="AE578" i="9"/>
  <c r="AF578" i="9"/>
  <c r="AD578" i="9"/>
  <c r="AE653" i="9"/>
  <c r="AD653" i="9"/>
  <c r="AF653" i="9"/>
  <c r="AE1048" i="9"/>
  <c r="AF1048" i="9"/>
  <c r="AD1048" i="9"/>
  <c r="AE501" i="9"/>
  <c r="AD501" i="9"/>
  <c r="AF501" i="9"/>
  <c r="AE495" i="9"/>
  <c r="AD495" i="9"/>
  <c r="AF495" i="9"/>
  <c r="AE728" i="9"/>
  <c r="AD728" i="9"/>
  <c r="AF728" i="9"/>
  <c r="AE470" i="9"/>
  <c r="AD470" i="9"/>
  <c r="AF470" i="9"/>
  <c r="AE608" i="9"/>
  <c r="AD608" i="9"/>
  <c r="AF608" i="9"/>
  <c r="AE792" i="9"/>
  <c r="AF792" i="9"/>
  <c r="AD792" i="9"/>
  <c r="AE848" i="9"/>
  <c r="AD848" i="9"/>
  <c r="AF848" i="9"/>
  <c r="AE855" i="9"/>
  <c r="AD855" i="9"/>
  <c r="AF855" i="9"/>
  <c r="AE558" i="9"/>
  <c r="AF558" i="9"/>
  <c r="AD558" i="9"/>
  <c r="AE864" i="9"/>
  <c r="AD864" i="9"/>
  <c r="AF864" i="9"/>
  <c r="AE740" i="9"/>
  <c r="AD740" i="9"/>
  <c r="AF740" i="9"/>
  <c r="AE824" i="9"/>
  <c r="AD824" i="9"/>
  <c r="AF824" i="9"/>
  <c r="AE900" i="9"/>
  <c r="AD900" i="9"/>
  <c r="AF900" i="9"/>
  <c r="AE1012" i="9"/>
  <c r="AD1012" i="9"/>
  <c r="AF1012" i="9"/>
  <c r="AE560" i="9"/>
  <c r="AD560" i="9"/>
  <c r="AF560" i="9"/>
  <c r="AE904" i="9"/>
  <c r="AF904" i="9"/>
  <c r="AD904" i="9"/>
  <c r="AE867" i="9"/>
  <c r="AD867" i="9"/>
  <c r="AF867" i="9"/>
  <c r="AE856" i="9"/>
  <c r="AD856" i="9"/>
  <c r="AF856" i="9"/>
  <c r="AE545" i="9"/>
  <c r="AD545" i="9"/>
  <c r="AF545" i="9"/>
  <c r="AE710" i="9"/>
  <c r="AD710" i="9"/>
  <c r="AF710" i="9"/>
  <c r="AE927" i="9"/>
  <c r="AD927" i="9"/>
  <c r="AF927" i="9"/>
  <c r="AE908" i="9"/>
  <c r="AD908" i="9"/>
  <c r="AF908" i="9"/>
  <c r="AE517" i="9"/>
  <c r="AD517" i="9"/>
  <c r="AF517" i="9"/>
  <c r="AE461" i="9"/>
  <c r="AD461" i="9"/>
  <c r="AF461" i="9"/>
  <c r="AE499" i="9"/>
  <c r="AD499" i="9"/>
  <c r="AF499" i="9"/>
  <c r="AE684" i="9"/>
  <c r="AD684" i="9"/>
  <c r="AF684" i="9"/>
  <c r="AE482" i="9"/>
  <c r="AD482" i="9"/>
  <c r="AF482" i="9"/>
  <c r="AE756" i="9"/>
  <c r="AF756" i="9"/>
  <c r="AD756" i="9"/>
  <c r="AE446" i="9"/>
  <c r="AD446" i="9"/>
  <c r="AF446" i="9"/>
  <c r="AE1043" i="9"/>
  <c r="AD1043" i="9"/>
  <c r="AF1043" i="9"/>
  <c r="AE544" i="9"/>
  <c r="AF544" i="9"/>
  <c r="AD544" i="9"/>
  <c r="AE397" i="9"/>
  <c r="AD397" i="9"/>
  <c r="AF397" i="9"/>
  <c r="AE330" i="9"/>
  <c r="AD330" i="9"/>
  <c r="AF330" i="9"/>
  <c r="AE316" i="9"/>
  <c r="AD316" i="9"/>
  <c r="AF316" i="9"/>
  <c r="AE292" i="9"/>
  <c r="AD292" i="9"/>
  <c r="AF292" i="9"/>
  <c r="D43" i="10"/>
  <c r="I43" i="10"/>
  <c r="E43" i="10"/>
  <c r="H43" i="10"/>
  <c r="J43" i="10"/>
  <c r="A44" i="10"/>
  <c r="C43" i="10"/>
  <c r="F43" i="10"/>
  <c r="AE1060" i="9"/>
  <c r="AD1060" i="9"/>
  <c r="AF1060" i="9"/>
  <c r="AE426" i="9"/>
  <c r="AD426" i="9"/>
  <c r="AF426" i="9"/>
  <c r="AE892" i="9"/>
  <c r="AD892" i="9"/>
  <c r="AF892" i="9"/>
  <c r="AE529" i="9"/>
  <c r="AD529" i="9"/>
  <c r="AF529" i="9"/>
  <c r="AE774" i="9"/>
  <c r="AD774" i="9"/>
  <c r="AF774" i="9"/>
  <c r="AE471" i="9"/>
  <c r="AD471" i="9"/>
  <c r="AF471" i="9"/>
  <c r="AE646" i="9"/>
  <c r="AD646" i="9"/>
  <c r="AF646" i="9"/>
  <c r="AE784" i="9"/>
  <c r="AF784" i="9"/>
  <c r="AD784" i="9"/>
  <c r="AE726" i="9"/>
  <c r="AF726" i="9"/>
  <c r="AD726" i="9"/>
  <c r="AE474" i="9"/>
  <c r="AD474" i="9"/>
  <c r="AF474" i="9"/>
  <c r="AE569" i="9"/>
  <c r="AF569" i="9"/>
  <c r="AD569" i="9"/>
  <c r="AE489" i="9"/>
  <c r="AD489" i="9"/>
  <c r="AF489" i="9"/>
  <c r="AE903" i="9"/>
  <c r="AD903" i="9"/>
  <c r="AF903" i="9"/>
  <c r="AE716" i="9"/>
  <c r="AD716" i="9"/>
  <c r="AF716" i="9"/>
  <c r="AE644" i="9"/>
  <c r="AD644" i="9"/>
  <c r="AF644" i="9"/>
  <c r="AE871" i="9"/>
  <c r="AD871" i="9"/>
  <c r="AF871" i="9"/>
  <c r="AE602" i="9"/>
  <c r="AD602" i="9"/>
  <c r="AF602" i="9"/>
  <c r="AE430" i="9"/>
  <c r="AF430" i="9"/>
  <c r="AD430" i="9"/>
  <c r="AE884" i="9"/>
  <c r="AD884" i="9"/>
  <c r="AF884" i="9"/>
  <c r="AE745" i="9"/>
  <c r="AF745" i="9"/>
  <c r="AD745" i="9"/>
  <c r="AE420" i="9"/>
  <c r="AD420" i="9"/>
  <c r="AF420" i="9"/>
  <c r="AE356" i="9"/>
  <c r="AD356" i="9"/>
  <c r="AF356" i="9"/>
  <c r="AE349" i="9"/>
  <c r="AF349" i="9"/>
  <c r="AD349" i="9"/>
  <c r="AE341" i="9"/>
  <c r="AF341" i="9"/>
  <c r="AD341" i="9"/>
  <c r="AE313" i="9"/>
  <c r="AD313" i="9"/>
  <c r="AF313" i="9"/>
  <c r="AE321" i="9"/>
  <c r="AD321" i="9"/>
  <c r="AF321" i="9"/>
  <c r="AE358" i="9"/>
  <c r="AD358" i="9"/>
  <c r="AF358" i="9"/>
  <c r="AE387" i="9"/>
  <c r="P38" i="4"/>
  <c r="AD382" i="9"/>
  <c r="AE402" i="9"/>
  <c r="AD524" i="9"/>
  <c r="AE395" i="9"/>
  <c r="AD556" i="9"/>
  <c r="AE386" i="9"/>
  <c r="AE556" i="9"/>
  <c r="AD508" i="9"/>
  <c r="AF402" i="9"/>
  <c r="AE508" i="9"/>
  <c r="AE524" i="9"/>
  <c r="O379" i="9"/>
  <c r="AH379" i="9"/>
  <c r="AD395" i="9"/>
  <c r="AE382" i="9"/>
  <c r="O384" i="9"/>
  <c r="AH384" i="9"/>
  <c r="AF528" i="9"/>
  <c r="AE528" i="9"/>
  <c r="O894" i="9"/>
  <c r="P894" i="9"/>
  <c r="O398" i="9"/>
  <c r="O394" i="9"/>
  <c r="AH394" i="9"/>
  <c r="O505" i="9"/>
  <c r="AH505" i="9"/>
  <c r="O448" i="9"/>
  <c r="AH448" i="9"/>
  <c r="O389" i="9"/>
  <c r="O479" i="9"/>
  <c r="P479" i="9"/>
  <c r="AF492" i="9"/>
  <c r="AD492" i="9"/>
  <c r="AF387" i="9"/>
  <c r="AF496" i="9"/>
  <c r="AD496" i="9"/>
  <c r="AF386" i="9"/>
  <c r="O397" i="9"/>
  <c r="AH397" i="9"/>
  <c r="O1032" i="9"/>
  <c r="P1032" i="9"/>
  <c r="O626" i="9"/>
  <c r="AH626" i="9"/>
  <c r="O936" i="9"/>
  <c r="P936" i="9"/>
  <c r="O619" i="9"/>
  <c r="AH619" i="9"/>
  <c r="AD520" i="9"/>
  <c r="O1038" i="9"/>
  <c r="AH1038" i="9"/>
  <c r="AF520" i="9"/>
  <c r="O916" i="9"/>
  <c r="P916" i="9"/>
  <c r="O419" i="9"/>
  <c r="AH419" i="9"/>
  <c r="O461" i="9"/>
  <c r="AH461" i="9"/>
  <c r="O856" i="9"/>
  <c r="P856" i="9"/>
  <c r="O895" i="9"/>
  <c r="P895" i="9"/>
  <c r="O555" i="9"/>
  <c r="AH555" i="9"/>
  <c r="O441" i="9"/>
  <c r="P441" i="9"/>
  <c r="O781" i="9"/>
  <c r="P781" i="9"/>
  <c r="O417" i="9"/>
  <c r="P417" i="9"/>
  <c r="O945" i="9"/>
  <c r="AH945" i="9"/>
  <c r="O641" i="9"/>
  <c r="P641" i="9"/>
  <c r="O443" i="9"/>
  <c r="P443" i="9"/>
  <c r="O503" i="9"/>
  <c r="AH503" i="9"/>
  <c r="O458" i="9"/>
  <c r="P458" i="9"/>
  <c r="O476" i="9"/>
  <c r="P476" i="9"/>
  <c r="O502" i="9"/>
  <c r="P502" i="9"/>
  <c r="O415" i="9"/>
  <c r="AH415" i="9"/>
  <c r="AF398" i="9"/>
  <c r="O484" i="9"/>
  <c r="P484" i="9"/>
  <c r="O877" i="9"/>
  <c r="AH877" i="9"/>
  <c r="O439" i="9"/>
  <c r="O453" i="9"/>
  <c r="AH453" i="9"/>
  <c r="O412" i="9"/>
  <c r="AH412" i="9"/>
  <c r="O438" i="9"/>
  <c r="P438" i="9"/>
  <c r="O472" i="9"/>
  <c r="AH472" i="9"/>
  <c r="O466" i="9"/>
  <c r="P466" i="9"/>
  <c r="AD398" i="9"/>
  <c r="O420" i="9"/>
  <c r="AH420" i="9"/>
  <c r="O462" i="9"/>
  <c r="P462" i="9"/>
  <c r="O842" i="9"/>
  <c r="P842" i="9"/>
  <c r="O483" i="9"/>
  <c r="P483" i="9"/>
  <c r="O481" i="9"/>
  <c r="P481" i="9"/>
  <c r="O408" i="9"/>
  <c r="P408" i="9"/>
  <c r="O402" i="9"/>
  <c r="AH402" i="9"/>
  <c r="D12" i="8"/>
  <c r="C21" i="8"/>
  <c r="D36" i="29"/>
  <c r="AF516" i="9"/>
  <c r="O1000" i="9"/>
  <c r="AH1000" i="9"/>
  <c r="O920" i="9"/>
  <c r="P920" i="9"/>
  <c r="O1057" i="9"/>
  <c r="AH1057" i="9"/>
  <c r="O929" i="9"/>
  <c r="AH929" i="9"/>
  <c r="O1022" i="9"/>
  <c r="O836" i="9"/>
  <c r="P836" i="9"/>
  <c r="O833" i="9"/>
  <c r="AH833" i="9"/>
  <c r="O818" i="9"/>
  <c r="AH818" i="9"/>
  <c r="O811" i="9"/>
  <c r="AH811" i="9"/>
  <c r="O788" i="9"/>
  <c r="AH788" i="9"/>
  <c r="O491" i="9"/>
  <c r="P491" i="9"/>
  <c r="O427" i="9"/>
  <c r="P427" i="9"/>
  <c r="O596" i="9"/>
  <c r="P596" i="9"/>
  <c r="O468" i="9"/>
  <c r="AH468" i="9"/>
  <c r="O404" i="9"/>
  <c r="AH404" i="9"/>
  <c r="O489" i="9"/>
  <c r="P489" i="9"/>
  <c r="O425" i="9"/>
  <c r="O542" i="9"/>
  <c r="AH542" i="9"/>
  <c r="O446" i="9"/>
  <c r="AH446" i="9"/>
  <c r="O382" i="9"/>
  <c r="P382" i="9"/>
  <c r="O852" i="9"/>
  <c r="AH852" i="9"/>
  <c r="O1034" i="9"/>
  <c r="AH1034" i="9"/>
  <c r="O1035" i="9"/>
  <c r="AH1035" i="9"/>
  <c r="O701" i="9"/>
  <c r="P701" i="9"/>
  <c r="O487" i="9"/>
  <c r="P487" i="9"/>
  <c r="O423" i="9"/>
  <c r="AH423" i="9"/>
  <c r="O496" i="9"/>
  <c r="P496" i="9"/>
  <c r="O432" i="9"/>
  <c r="P432" i="9"/>
  <c r="O501" i="9"/>
  <c r="P501" i="9"/>
  <c r="O437" i="9"/>
  <c r="P437" i="9"/>
  <c r="O442" i="9"/>
  <c r="AH442" i="9"/>
  <c r="O960" i="9"/>
  <c r="P960" i="9"/>
  <c r="O467" i="9"/>
  <c r="O403" i="9"/>
  <c r="P403" i="9"/>
  <c r="O460" i="9"/>
  <c r="AH460" i="9"/>
  <c r="O396" i="9"/>
  <c r="AH396" i="9"/>
  <c r="O465" i="9"/>
  <c r="AH465" i="9"/>
  <c r="O401" i="9"/>
  <c r="P401" i="9"/>
  <c r="O486" i="9"/>
  <c r="AH486" i="9"/>
  <c r="O422" i="9"/>
  <c r="AH422" i="9"/>
  <c r="O898" i="9"/>
  <c r="O463" i="9"/>
  <c r="P463" i="9"/>
  <c r="O399" i="9"/>
  <c r="P399" i="9"/>
  <c r="O456" i="9"/>
  <c r="AH456" i="9"/>
  <c r="O392" i="9"/>
  <c r="O445" i="9"/>
  <c r="P445" i="9"/>
  <c r="O381" i="9"/>
  <c r="P381" i="9"/>
  <c r="O450" i="9"/>
  <c r="P450" i="9"/>
  <c r="O386" i="9"/>
  <c r="P386" i="9"/>
  <c r="AF379" i="9"/>
  <c r="AD516" i="9"/>
  <c r="O984" i="9"/>
  <c r="P984" i="9"/>
  <c r="O904" i="9"/>
  <c r="O1009" i="9"/>
  <c r="AH1009" i="9"/>
  <c r="O881" i="9"/>
  <c r="AH881" i="9"/>
  <c r="O974" i="9"/>
  <c r="P974" i="9"/>
  <c r="O1023" i="9"/>
  <c r="P1023" i="9"/>
  <c r="O769" i="9"/>
  <c r="P769" i="9"/>
  <c r="O754" i="9"/>
  <c r="AH754" i="9"/>
  <c r="O747" i="9"/>
  <c r="P747" i="9"/>
  <c r="O724" i="9"/>
  <c r="AH724" i="9"/>
  <c r="O475" i="9"/>
  <c r="P475" i="9"/>
  <c r="O411" i="9"/>
  <c r="P411" i="9"/>
  <c r="O532" i="9"/>
  <c r="AH532" i="9"/>
  <c r="O452" i="9"/>
  <c r="AH452" i="9"/>
  <c r="O388" i="9"/>
  <c r="AH388" i="9"/>
  <c r="O473" i="9"/>
  <c r="P473" i="9"/>
  <c r="O409" i="9"/>
  <c r="P409" i="9"/>
  <c r="O494" i="9"/>
  <c r="P494" i="9"/>
  <c r="O430" i="9"/>
  <c r="P430" i="9"/>
  <c r="O1044" i="9"/>
  <c r="P1044" i="9"/>
  <c r="O1005" i="9"/>
  <c r="AH1005" i="9"/>
  <c r="O970" i="9"/>
  <c r="P970" i="9"/>
  <c r="O955" i="9"/>
  <c r="AH955" i="9"/>
  <c r="O702" i="9"/>
  <c r="P702" i="9"/>
  <c r="O471" i="9"/>
  <c r="P471" i="9"/>
  <c r="O407" i="9"/>
  <c r="O480" i="9"/>
  <c r="AH480" i="9"/>
  <c r="O416" i="9"/>
  <c r="AH416" i="9"/>
  <c r="O485" i="9"/>
  <c r="P485" i="9"/>
  <c r="O421" i="9"/>
  <c r="O490" i="9"/>
  <c r="P490" i="9"/>
  <c r="O426" i="9"/>
  <c r="AH426" i="9"/>
  <c r="O633" i="9"/>
  <c r="P633" i="9"/>
  <c r="O451" i="9"/>
  <c r="P451" i="9"/>
  <c r="O387" i="9"/>
  <c r="P387" i="9"/>
  <c r="O444" i="9"/>
  <c r="AH444" i="9"/>
  <c r="O380" i="9"/>
  <c r="AH380" i="9"/>
  <c r="O449" i="9"/>
  <c r="AH449" i="9"/>
  <c r="O385" i="9"/>
  <c r="P385" i="9"/>
  <c r="O470" i="9"/>
  <c r="P470" i="9"/>
  <c r="O406" i="9"/>
  <c r="P406" i="9"/>
  <c r="O623" i="9"/>
  <c r="O447" i="9"/>
  <c r="P447" i="9"/>
  <c r="O383" i="9"/>
  <c r="P383" i="9"/>
  <c r="O440" i="9"/>
  <c r="AH440" i="9"/>
  <c r="O493" i="9"/>
  <c r="P493" i="9"/>
  <c r="O429" i="9"/>
  <c r="P429" i="9"/>
  <c r="O498" i="9"/>
  <c r="P498" i="9"/>
  <c r="O434" i="9"/>
  <c r="AH434" i="9"/>
  <c r="AD379" i="9"/>
  <c r="O1048" i="9"/>
  <c r="P1048" i="9"/>
  <c r="O968" i="9"/>
  <c r="AH968" i="9"/>
  <c r="O872" i="9"/>
  <c r="P872" i="9"/>
  <c r="O993" i="9"/>
  <c r="O865" i="9"/>
  <c r="AH865" i="9"/>
  <c r="O958" i="9"/>
  <c r="P958" i="9"/>
  <c r="O959" i="9"/>
  <c r="P959" i="9"/>
  <c r="O705" i="9"/>
  <c r="AH705" i="9"/>
  <c r="O690" i="9"/>
  <c r="AH690" i="9"/>
  <c r="O683" i="9"/>
  <c r="P683" i="9"/>
  <c r="O660" i="9"/>
  <c r="P660" i="9"/>
  <c r="O459" i="9"/>
  <c r="P459" i="9"/>
  <c r="O395" i="9"/>
  <c r="AH395" i="9"/>
  <c r="O500" i="9"/>
  <c r="AH500" i="9"/>
  <c r="O436" i="9"/>
  <c r="AH436" i="9"/>
  <c r="O569" i="9"/>
  <c r="P569" i="9"/>
  <c r="O457" i="9"/>
  <c r="P457" i="9"/>
  <c r="O393" i="9"/>
  <c r="P393" i="9"/>
  <c r="O478" i="9"/>
  <c r="P478" i="9"/>
  <c r="O414" i="9"/>
  <c r="P414" i="9"/>
  <c r="O980" i="9"/>
  <c r="AH980" i="9"/>
  <c r="O941" i="9"/>
  <c r="AH941" i="9"/>
  <c r="O906" i="9"/>
  <c r="P906" i="9"/>
  <c r="O875" i="9"/>
  <c r="O720" i="9"/>
  <c r="AH720" i="9"/>
  <c r="O455" i="9"/>
  <c r="AH455" i="9"/>
  <c r="O391" i="9"/>
  <c r="AH391" i="9"/>
  <c r="O464" i="9"/>
  <c r="AH464" i="9"/>
  <c r="O400" i="9"/>
  <c r="AH400" i="9"/>
  <c r="O469" i="9"/>
  <c r="P469" i="9"/>
  <c r="O405" i="9"/>
  <c r="P405" i="9"/>
  <c r="O474" i="9"/>
  <c r="AH474" i="9"/>
  <c r="O410" i="9"/>
  <c r="P410" i="9"/>
  <c r="O499" i="9"/>
  <c r="AH499" i="9"/>
  <c r="O435" i="9"/>
  <c r="P435" i="9"/>
  <c r="O492" i="9"/>
  <c r="P492" i="9"/>
  <c r="O428" i="9"/>
  <c r="AH428" i="9"/>
  <c r="O497" i="9"/>
  <c r="AH497" i="9"/>
  <c r="O433" i="9"/>
  <c r="P433" i="9"/>
  <c r="O598" i="9"/>
  <c r="P598" i="9"/>
  <c r="O454" i="9"/>
  <c r="P454" i="9"/>
  <c r="O390" i="9"/>
  <c r="AH390" i="9"/>
  <c r="O495" i="9"/>
  <c r="P495" i="9"/>
  <c r="O431" i="9"/>
  <c r="P431" i="9"/>
  <c r="O488" i="9"/>
  <c r="P488" i="9"/>
  <c r="O424" i="9"/>
  <c r="AH424" i="9"/>
  <c r="O477" i="9"/>
  <c r="P477" i="9"/>
  <c r="O413" i="9"/>
  <c r="AH413" i="9"/>
  <c r="O482" i="9"/>
  <c r="P482" i="9"/>
  <c r="O418" i="9"/>
  <c r="AH418" i="9"/>
  <c r="O630" i="9"/>
  <c r="AH630" i="9"/>
  <c r="O1016" i="9"/>
  <c r="P1016" i="9"/>
  <c r="O952" i="9"/>
  <c r="P952" i="9"/>
  <c r="O888" i="9"/>
  <c r="P888" i="9"/>
  <c r="O1041" i="9"/>
  <c r="AH1041" i="9"/>
  <c r="O977" i="9"/>
  <c r="O913" i="9"/>
  <c r="AH913" i="9"/>
  <c r="O849" i="9"/>
  <c r="P849" i="9"/>
  <c r="O1006" i="9"/>
  <c r="P1006" i="9"/>
  <c r="O942" i="9"/>
  <c r="AH942" i="9"/>
  <c r="O878" i="9"/>
  <c r="P878" i="9"/>
  <c r="O828" i="9"/>
  <c r="P828" i="9"/>
  <c r="O1007" i="9"/>
  <c r="P1007" i="9"/>
  <c r="O943" i="9"/>
  <c r="O879" i="9"/>
  <c r="P879" i="9"/>
  <c r="O817" i="9"/>
  <c r="P817" i="9"/>
  <c r="O753" i="9"/>
  <c r="P753" i="9"/>
  <c r="O689" i="9"/>
  <c r="P689" i="9"/>
  <c r="O625" i="9"/>
  <c r="P625" i="9"/>
  <c r="O802" i="9"/>
  <c r="P802" i="9"/>
  <c r="O738" i="9"/>
  <c r="AH738" i="9"/>
  <c r="O674" i="9"/>
  <c r="O610" i="9"/>
  <c r="AH610" i="9"/>
  <c r="O795" i="9"/>
  <c r="P795" i="9"/>
  <c r="O731" i="9"/>
  <c r="P731" i="9"/>
  <c r="O667" i="9"/>
  <c r="AH667" i="9"/>
  <c r="O591" i="9"/>
  <c r="P591" i="9"/>
  <c r="O772" i="9"/>
  <c r="P772" i="9"/>
  <c r="O708" i="9"/>
  <c r="P708" i="9"/>
  <c r="O644" i="9"/>
  <c r="O539" i="9"/>
  <c r="P539" i="9"/>
  <c r="O580" i="9"/>
  <c r="AH580" i="9"/>
  <c r="O516" i="9"/>
  <c r="AH516" i="9"/>
  <c r="O553" i="9"/>
  <c r="P553" i="9"/>
  <c r="O590" i="9"/>
  <c r="P590" i="9"/>
  <c r="O526" i="9"/>
  <c r="P526" i="9"/>
  <c r="O1028" i="9"/>
  <c r="P1028" i="9"/>
  <c r="O964" i="9"/>
  <c r="O900" i="9"/>
  <c r="AH900" i="9"/>
  <c r="O1053" i="9"/>
  <c r="AH1053" i="9"/>
  <c r="O989" i="9"/>
  <c r="AH989" i="9"/>
  <c r="O925" i="9"/>
  <c r="AH925" i="9"/>
  <c r="O861" i="9"/>
  <c r="P861" i="9"/>
  <c r="O1018" i="9"/>
  <c r="P1018" i="9"/>
  <c r="O954" i="9"/>
  <c r="P954" i="9"/>
  <c r="O890" i="9"/>
  <c r="O834" i="9"/>
  <c r="AH834" i="9"/>
  <c r="O1019" i="9"/>
  <c r="P1019" i="9"/>
  <c r="O939" i="9"/>
  <c r="P939" i="9"/>
  <c r="O845" i="9"/>
  <c r="O765" i="9"/>
  <c r="P765" i="9"/>
  <c r="O653" i="9"/>
  <c r="P653" i="9"/>
  <c r="O622" i="9"/>
  <c r="AH622" i="9"/>
  <c r="O551" i="9"/>
  <c r="O921" i="9"/>
  <c r="AH921" i="9"/>
  <c r="O618" i="9"/>
  <c r="P618" i="9"/>
  <c r="O899" i="9"/>
  <c r="P899" i="9"/>
  <c r="O559" i="9"/>
  <c r="AH559" i="9"/>
  <c r="O546" i="9"/>
  <c r="P546" i="9"/>
  <c r="O1025" i="9"/>
  <c r="AH1025" i="9"/>
  <c r="O961" i="9"/>
  <c r="AH961" i="9"/>
  <c r="O897" i="9"/>
  <c r="AH897" i="9"/>
  <c r="O1054" i="9"/>
  <c r="P1054" i="9"/>
  <c r="O990" i="9"/>
  <c r="AH990" i="9"/>
  <c r="O926" i="9"/>
  <c r="P926" i="9"/>
  <c r="O862" i="9"/>
  <c r="O1055" i="9"/>
  <c r="P1055" i="9"/>
  <c r="O991" i="9"/>
  <c r="P991" i="9"/>
  <c r="O927" i="9"/>
  <c r="P927" i="9"/>
  <c r="O863" i="9"/>
  <c r="AH863" i="9"/>
  <c r="O801" i="9"/>
  <c r="P801" i="9"/>
  <c r="O737" i="9"/>
  <c r="AH737" i="9"/>
  <c r="O673" i="9"/>
  <c r="P673" i="9"/>
  <c r="O609" i="9"/>
  <c r="AH609" i="9"/>
  <c r="O786" i="9"/>
  <c r="AH786" i="9"/>
  <c r="O722" i="9"/>
  <c r="AH722" i="9"/>
  <c r="O658" i="9"/>
  <c r="AH658" i="9"/>
  <c r="O843" i="9"/>
  <c r="AH843" i="9"/>
  <c r="O779" i="9"/>
  <c r="P779" i="9"/>
  <c r="O715" i="9"/>
  <c r="AH715" i="9"/>
  <c r="O651" i="9"/>
  <c r="P651" i="9"/>
  <c r="O820" i="9"/>
  <c r="O756" i="9"/>
  <c r="AH756" i="9"/>
  <c r="O692" i="9"/>
  <c r="P692" i="9"/>
  <c r="O628" i="9"/>
  <c r="P628" i="9"/>
  <c r="O523" i="9"/>
  <c r="AH523" i="9"/>
  <c r="O564" i="9"/>
  <c r="P564" i="9"/>
  <c r="O601" i="9"/>
  <c r="AH601" i="9"/>
  <c r="O537" i="9"/>
  <c r="P537" i="9"/>
  <c r="O574" i="9"/>
  <c r="AH574" i="9"/>
  <c r="O510" i="9"/>
  <c r="P510" i="9"/>
  <c r="O1012" i="9"/>
  <c r="P1012" i="9"/>
  <c r="O948" i="9"/>
  <c r="P948" i="9"/>
  <c r="O884" i="9"/>
  <c r="P884" i="9"/>
  <c r="O1037" i="9"/>
  <c r="AH1037" i="9"/>
  <c r="O973" i="9"/>
  <c r="AH973" i="9"/>
  <c r="O909" i="9"/>
  <c r="AH909" i="9"/>
  <c r="O846" i="9"/>
  <c r="P846" i="9"/>
  <c r="O1002" i="9"/>
  <c r="P1002" i="9"/>
  <c r="O938" i="9"/>
  <c r="P938" i="9"/>
  <c r="O874" i="9"/>
  <c r="P874" i="9"/>
  <c r="O826" i="9"/>
  <c r="O1003" i="9"/>
  <c r="P1003" i="9"/>
  <c r="O907" i="9"/>
  <c r="P907" i="9"/>
  <c r="O829" i="9"/>
  <c r="AH829" i="9"/>
  <c r="O749" i="9"/>
  <c r="P749" i="9"/>
  <c r="O579" i="9"/>
  <c r="P579" i="9"/>
  <c r="O743" i="9"/>
  <c r="P743" i="9"/>
  <c r="O886" i="9"/>
  <c r="P886" i="9"/>
  <c r="O611" i="9"/>
  <c r="AH611" i="9"/>
  <c r="O972" i="9"/>
  <c r="AH972" i="9"/>
  <c r="O645" i="9"/>
  <c r="AH645" i="9"/>
  <c r="O910" i="9"/>
  <c r="P910" i="9"/>
  <c r="O844" i="9"/>
  <c r="AH844" i="9"/>
  <c r="O1039" i="9"/>
  <c r="AH1039" i="9"/>
  <c r="O975" i="9"/>
  <c r="P975" i="9"/>
  <c r="O911" i="9"/>
  <c r="P911" i="9"/>
  <c r="O847" i="9"/>
  <c r="P847" i="9"/>
  <c r="O785" i="9"/>
  <c r="P785" i="9"/>
  <c r="O721" i="9"/>
  <c r="AH721" i="9"/>
  <c r="O657" i="9"/>
  <c r="P657" i="9"/>
  <c r="O587" i="9"/>
  <c r="AH587" i="9"/>
  <c r="O770" i="9"/>
  <c r="AH770" i="9"/>
  <c r="O706" i="9"/>
  <c r="P706" i="9"/>
  <c r="O642" i="9"/>
  <c r="AH642" i="9"/>
  <c r="O827" i="9"/>
  <c r="AH827" i="9"/>
  <c r="O763" i="9"/>
  <c r="P763" i="9"/>
  <c r="O699" i="9"/>
  <c r="P699" i="9"/>
  <c r="O635" i="9"/>
  <c r="P635" i="9"/>
  <c r="O804" i="9"/>
  <c r="AH804" i="9"/>
  <c r="O740" i="9"/>
  <c r="P740" i="9"/>
  <c r="O676" i="9"/>
  <c r="AH676" i="9"/>
  <c r="O612" i="9"/>
  <c r="P612" i="9"/>
  <c r="O507" i="9"/>
  <c r="P507" i="9"/>
  <c r="O548" i="9"/>
  <c r="AH548" i="9"/>
  <c r="O585" i="9"/>
  <c r="P585" i="9"/>
  <c r="O521" i="9"/>
  <c r="P521" i="9"/>
  <c r="O558" i="9"/>
  <c r="AH558" i="9"/>
  <c r="O1060" i="9"/>
  <c r="P1060" i="9"/>
  <c r="O996" i="9"/>
  <c r="P996" i="9"/>
  <c r="O932" i="9"/>
  <c r="P932" i="9"/>
  <c r="O868" i="9"/>
  <c r="AH868" i="9"/>
  <c r="O1021" i="9"/>
  <c r="AH1021" i="9"/>
  <c r="O957" i="9"/>
  <c r="AH957" i="9"/>
  <c r="O893" i="9"/>
  <c r="AH893" i="9"/>
  <c r="O1050" i="9"/>
  <c r="P1050" i="9"/>
  <c r="O986" i="9"/>
  <c r="P986" i="9"/>
  <c r="O922" i="9"/>
  <c r="P922" i="9"/>
  <c r="O858" i="9"/>
  <c r="P858" i="9"/>
  <c r="O1051" i="9"/>
  <c r="AH1051" i="9"/>
  <c r="O971" i="9"/>
  <c r="P971" i="9"/>
  <c r="O891" i="9"/>
  <c r="P891" i="9"/>
  <c r="O813" i="9"/>
  <c r="P813" i="9"/>
  <c r="O717" i="9"/>
  <c r="AH717" i="9"/>
  <c r="O766" i="9"/>
  <c r="P766" i="9"/>
  <c r="O615" i="9"/>
  <c r="P615" i="9"/>
  <c r="O528" i="9"/>
  <c r="AH528" i="9"/>
  <c r="O887" i="9"/>
  <c r="AH887" i="9"/>
  <c r="O547" i="9"/>
  <c r="P547" i="9"/>
  <c r="O933" i="9"/>
  <c r="P933" i="9"/>
  <c r="AA504" i="9"/>
  <c r="O562" i="9"/>
  <c r="O525" i="9"/>
  <c r="P525" i="9"/>
  <c r="O589" i="9"/>
  <c r="P589" i="9"/>
  <c r="O552" i="9"/>
  <c r="AH552" i="9"/>
  <c r="O511" i="9"/>
  <c r="P511" i="9"/>
  <c r="O616" i="9"/>
  <c r="P616" i="9"/>
  <c r="O680" i="9"/>
  <c r="P680" i="9"/>
  <c r="O744" i="9"/>
  <c r="P744" i="9"/>
  <c r="O808" i="9"/>
  <c r="O639" i="9"/>
  <c r="AH639" i="9"/>
  <c r="O703" i="9"/>
  <c r="AH703" i="9"/>
  <c r="O767" i="9"/>
  <c r="P767" i="9"/>
  <c r="O831" i="9"/>
  <c r="O646" i="9"/>
  <c r="AH646" i="9"/>
  <c r="O710" i="9"/>
  <c r="P710" i="9"/>
  <c r="O774" i="9"/>
  <c r="AH774" i="9"/>
  <c r="O595" i="9"/>
  <c r="AH595" i="9"/>
  <c r="O661" i="9"/>
  <c r="P661" i="9"/>
  <c r="O725" i="9"/>
  <c r="P725" i="9"/>
  <c r="O789" i="9"/>
  <c r="P789" i="9"/>
  <c r="O851" i="9"/>
  <c r="AH851" i="9"/>
  <c r="O915" i="9"/>
  <c r="P915" i="9"/>
  <c r="O979" i="9"/>
  <c r="P979" i="9"/>
  <c r="O1043" i="9"/>
  <c r="AH1043" i="9"/>
  <c r="O850" i="9"/>
  <c r="AH850" i="9"/>
  <c r="O914" i="9"/>
  <c r="AH914" i="9"/>
  <c r="O978" i="9"/>
  <c r="AH978" i="9"/>
  <c r="O1042" i="9"/>
  <c r="P1042" i="9"/>
  <c r="O885" i="9"/>
  <c r="O949" i="9"/>
  <c r="AH949" i="9"/>
  <c r="O1013" i="9"/>
  <c r="AH1013" i="9"/>
  <c r="O860" i="9"/>
  <c r="P860" i="9"/>
  <c r="O924" i="9"/>
  <c r="O988" i="9"/>
  <c r="AH988" i="9"/>
  <c r="O1052" i="9"/>
  <c r="AH1052" i="9"/>
  <c r="O550" i="9"/>
  <c r="P550" i="9"/>
  <c r="O513" i="9"/>
  <c r="AH513" i="9"/>
  <c r="O577" i="9"/>
  <c r="P577" i="9"/>
  <c r="O540" i="9"/>
  <c r="AH540" i="9"/>
  <c r="O604" i="9"/>
  <c r="AH604" i="9"/>
  <c r="O575" i="9"/>
  <c r="O668" i="9"/>
  <c r="P668" i="9"/>
  <c r="O732" i="9"/>
  <c r="AH732" i="9"/>
  <c r="O796" i="9"/>
  <c r="P796" i="9"/>
  <c r="O627" i="9"/>
  <c r="AH627" i="9"/>
  <c r="O691" i="9"/>
  <c r="P691" i="9"/>
  <c r="O755" i="9"/>
  <c r="P755" i="9"/>
  <c r="O819" i="9"/>
  <c r="P819" i="9"/>
  <c r="O634" i="9"/>
  <c r="O698" i="9"/>
  <c r="P698" i="9"/>
  <c r="O762" i="9"/>
  <c r="AH762" i="9"/>
  <c r="O563" i="9"/>
  <c r="AH563" i="9"/>
  <c r="O649" i="9"/>
  <c r="AH649" i="9"/>
  <c r="O713" i="9"/>
  <c r="P713" i="9"/>
  <c r="O777" i="9"/>
  <c r="P777" i="9"/>
  <c r="O841" i="9"/>
  <c r="AH841" i="9"/>
  <c r="O903" i="9"/>
  <c r="O967" i="9"/>
  <c r="AH967" i="9"/>
  <c r="O1031" i="9"/>
  <c r="P1031" i="9"/>
  <c r="O840" i="9"/>
  <c r="P840" i="9"/>
  <c r="O902" i="9"/>
  <c r="AH902" i="9"/>
  <c r="O966" i="9"/>
  <c r="P966" i="9"/>
  <c r="O1030" i="9"/>
  <c r="AH1030" i="9"/>
  <c r="O873" i="9"/>
  <c r="AH873" i="9"/>
  <c r="O937" i="9"/>
  <c r="O1001" i="9"/>
  <c r="AH1001" i="9"/>
  <c r="O848" i="9"/>
  <c r="AH848" i="9"/>
  <c r="O912" i="9"/>
  <c r="AH912" i="9"/>
  <c r="O976" i="9"/>
  <c r="O1040" i="9"/>
  <c r="P1040" i="9"/>
  <c r="O554" i="9"/>
  <c r="AH554" i="9"/>
  <c r="O517" i="9"/>
  <c r="P517" i="9"/>
  <c r="O581" i="9"/>
  <c r="AH581" i="9"/>
  <c r="O544" i="9"/>
  <c r="AH544" i="9"/>
  <c r="O608" i="9"/>
  <c r="AH608" i="9"/>
  <c r="O672" i="9"/>
  <c r="P672" i="9"/>
  <c r="O736" i="9"/>
  <c r="AH736" i="9"/>
  <c r="O800" i="9"/>
  <c r="P800" i="9"/>
  <c r="O631" i="9"/>
  <c r="AH631" i="9"/>
  <c r="O695" i="9"/>
  <c r="P695" i="9"/>
  <c r="O759" i="9"/>
  <c r="AH759" i="9"/>
  <c r="O823" i="9"/>
  <c r="P823" i="9"/>
  <c r="O638" i="9"/>
  <c r="P638" i="9"/>
  <c r="O514" i="9"/>
  <c r="P514" i="9"/>
  <c r="O578" i="9"/>
  <c r="P578" i="9"/>
  <c r="O541" i="9"/>
  <c r="P541" i="9"/>
  <c r="O605" i="9"/>
  <c r="P605" i="9"/>
  <c r="O504" i="9"/>
  <c r="AH504" i="9"/>
  <c r="O568" i="9"/>
  <c r="AH568" i="9"/>
  <c r="O527" i="9"/>
  <c r="AH527" i="9"/>
  <c r="O632" i="9"/>
  <c r="P632" i="9"/>
  <c r="O696" i="9"/>
  <c r="AH696" i="9"/>
  <c r="O760" i="9"/>
  <c r="P760" i="9"/>
  <c r="O824" i="9"/>
  <c r="AH824" i="9"/>
  <c r="O655" i="9"/>
  <c r="P655" i="9"/>
  <c r="O719" i="9"/>
  <c r="AH719" i="9"/>
  <c r="O783" i="9"/>
  <c r="P783" i="9"/>
  <c r="O567" i="9"/>
  <c r="AH567" i="9"/>
  <c r="O662" i="9"/>
  <c r="P662" i="9"/>
  <c r="O726" i="9"/>
  <c r="P726" i="9"/>
  <c r="O790" i="9"/>
  <c r="AH790" i="9"/>
  <c r="O613" i="9"/>
  <c r="P613" i="9"/>
  <c r="O677" i="9"/>
  <c r="AH677" i="9"/>
  <c r="O741" i="9"/>
  <c r="AH741" i="9"/>
  <c r="O805" i="9"/>
  <c r="P805" i="9"/>
  <c r="O867" i="9"/>
  <c r="P867" i="9"/>
  <c r="O931" i="9"/>
  <c r="AH931" i="9"/>
  <c r="O995" i="9"/>
  <c r="AH995" i="9"/>
  <c r="O1059" i="9"/>
  <c r="P1059" i="9"/>
  <c r="O866" i="9"/>
  <c r="P866" i="9"/>
  <c r="O930" i="9"/>
  <c r="P930" i="9"/>
  <c r="O994" i="9"/>
  <c r="AH994" i="9"/>
  <c r="O1058" i="9"/>
  <c r="P1058" i="9"/>
  <c r="O901" i="9"/>
  <c r="AH901" i="9"/>
  <c r="O965" i="9"/>
  <c r="AH965" i="9"/>
  <c r="O1029" i="9"/>
  <c r="P1029" i="9"/>
  <c r="O876" i="9"/>
  <c r="P876" i="9"/>
  <c r="O940" i="9"/>
  <c r="AH940" i="9"/>
  <c r="O1004" i="9"/>
  <c r="AH1004" i="9"/>
  <c r="O566" i="9"/>
  <c r="AH566" i="9"/>
  <c r="O529" i="9"/>
  <c r="P529" i="9"/>
  <c r="O593" i="9"/>
  <c r="AH593" i="9"/>
  <c r="O556" i="9"/>
  <c r="P556" i="9"/>
  <c r="O515" i="9"/>
  <c r="AH515" i="9"/>
  <c r="O620" i="9"/>
  <c r="P620" i="9"/>
  <c r="O684" i="9"/>
  <c r="P684" i="9"/>
  <c r="O748" i="9"/>
  <c r="P748" i="9"/>
  <c r="O812" i="9"/>
  <c r="P812" i="9"/>
  <c r="O643" i="9"/>
  <c r="P643" i="9"/>
  <c r="O707" i="9"/>
  <c r="AH707" i="9"/>
  <c r="O771" i="9"/>
  <c r="AH771" i="9"/>
  <c r="O835" i="9"/>
  <c r="AH835" i="9"/>
  <c r="O650" i="9"/>
  <c r="AH650" i="9"/>
  <c r="O714" i="9"/>
  <c r="P714" i="9"/>
  <c r="O778" i="9"/>
  <c r="AH778" i="9"/>
  <c r="O599" i="9"/>
  <c r="AH599" i="9"/>
  <c r="O665" i="9"/>
  <c r="P665" i="9"/>
  <c r="O729" i="9"/>
  <c r="P729" i="9"/>
  <c r="O793" i="9"/>
  <c r="P793" i="9"/>
  <c r="O855" i="9"/>
  <c r="AH855" i="9"/>
  <c r="O919" i="9"/>
  <c r="P919" i="9"/>
  <c r="O983" i="9"/>
  <c r="P983" i="9"/>
  <c r="O1047" i="9"/>
  <c r="P1047" i="9"/>
  <c r="O854" i="9"/>
  <c r="P854" i="9"/>
  <c r="O918" i="9"/>
  <c r="P918" i="9"/>
  <c r="O982" i="9"/>
  <c r="AH982" i="9"/>
  <c r="O1046" i="9"/>
  <c r="P1046" i="9"/>
  <c r="O889" i="9"/>
  <c r="P889" i="9"/>
  <c r="O953" i="9"/>
  <c r="AH953" i="9"/>
  <c r="O1017" i="9"/>
  <c r="P1017" i="9"/>
  <c r="O864" i="9"/>
  <c r="P864" i="9"/>
  <c r="O928" i="9"/>
  <c r="P928" i="9"/>
  <c r="O992" i="9"/>
  <c r="P992" i="9"/>
  <c r="O1056" i="9"/>
  <c r="P1056" i="9"/>
  <c r="O506" i="9"/>
  <c r="P506" i="9"/>
  <c r="O570" i="9"/>
  <c r="AH570" i="9"/>
  <c r="O533" i="9"/>
  <c r="P533" i="9"/>
  <c r="O597" i="9"/>
  <c r="AH597" i="9"/>
  <c r="O560" i="9"/>
  <c r="AH560" i="9"/>
  <c r="O519" i="9"/>
  <c r="P519" i="9"/>
  <c r="O624" i="9"/>
  <c r="P624" i="9"/>
  <c r="O688" i="9"/>
  <c r="AH688" i="9"/>
  <c r="O752" i="9"/>
  <c r="P752" i="9"/>
  <c r="O816" i="9"/>
  <c r="P816" i="9"/>
  <c r="O647" i="9"/>
  <c r="P647" i="9"/>
  <c r="O711" i="9"/>
  <c r="AH711" i="9"/>
  <c r="O775" i="9"/>
  <c r="P775" i="9"/>
  <c r="O839" i="9"/>
  <c r="AH839" i="9"/>
  <c r="O530" i="9"/>
  <c r="P530" i="9"/>
  <c r="O594" i="9"/>
  <c r="AH594" i="9"/>
  <c r="O557" i="9"/>
  <c r="AH557" i="9"/>
  <c r="O520" i="9"/>
  <c r="P520" i="9"/>
  <c r="O584" i="9"/>
  <c r="AH584" i="9"/>
  <c r="O543" i="9"/>
  <c r="AH543" i="9"/>
  <c r="O648" i="9"/>
  <c r="P648" i="9"/>
  <c r="O712" i="9"/>
  <c r="AH712" i="9"/>
  <c r="O776" i="9"/>
  <c r="P776" i="9"/>
  <c r="O607" i="9"/>
  <c r="AH607" i="9"/>
  <c r="O671" i="9"/>
  <c r="AH671" i="9"/>
  <c r="O735" i="9"/>
  <c r="P735" i="9"/>
  <c r="O799" i="9"/>
  <c r="P799" i="9"/>
  <c r="O614" i="9"/>
  <c r="AH614" i="9"/>
  <c r="O678" i="9"/>
  <c r="AH678" i="9"/>
  <c r="O742" i="9"/>
  <c r="P742" i="9"/>
  <c r="O806" i="9"/>
  <c r="P806" i="9"/>
  <c r="O629" i="9"/>
  <c r="AH629" i="9"/>
  <c r="O693" i="9"/>
  <c r="P693" i="9"/>
  <c r="O757" i="9"/>
  <c r="P757" i="9"/>
  <c r="O821" i="9"/>
  <c r="AH821" i="9"/>
  <c r="O883" i="9"/>
  <c r="AH883" i="9"/>
  <c r="O947" i="9"/>
  <c r="P947" i="9"/>
  <c r="O1011" i="9"/>
  <c r="P1011" i="9"/>
  <c r="O830" i="9"/>
  <c r="AH830" i="9"/>
  <c r="O882" i="9"/>
  <c r="AH882" i="9"/>
  <c r="O946" i="9"/>
  <c r="AH946" i="9"/>
  <c r="O1010" i="9"/>
  <c r="P1010" i="9"/>
  <c r="O853" i="9"/>
  <c r="AH853" i="9"/>
  <c r="O917" i="9"/>
  <c r="AH917" i="9"/>
  <c r="O981" i="9"/>
  <c r="P981" i="9"/>
  <c r="O1045" i="9"/>
  <c r="AH1045" i="9"/>
  <c r="O892" i="9"/>
  <c r="P892" i="9"/>
  <c r="O956" i="9"/>
  <c r="P956" i="9"/>
  <c r="O1020" i="9"/>
  <c r="P1020" i="9"/>
  <c r="O518" i="9"/>
  <c r="P518" i="9"/>
  <c r="O582" i="9"/>
  <c r="P582" i="9"/>
  <c r="O545" i="9"/>
  <c r="P545" i="9"/>
  <c r="O508" i="9"/>
  <c r="P508" i="9"/>
  <c r="O572" i="9"/>
  <c r="AH572" i="9"/>
  <c r="O531" i="9"/>
  <c r="P531" i="9"/>
  <c r="O636" i="9"/>
  <c r="P636" i="9"/>
  <c r="O700" i="9"/>
  <c r="P700" i="9"/>
  <c r="O764" i="9"/>
  <c r="P764" i="9"/>
  <c r="O571" i="9"/>
  <c r="P571" i="9"/>
  <c r="O659" i="9"/>
  <c r="P659" i="9"/>
  <c r="O723" i="9"/>
  <c r="P723" i="9"/>
  <c r="O787" i="9"/>
  <c r="P787" i="9"/>
  <c r="O602" i="9"/>
  <c r="P602" i="9"/>
  <c r="O666" i="9"/>
  <c r="AH666" i="9"/>
  <c r="O730" i="9"/>
  <c r="AH730" i="9"/>
  <c r="O794" i="9"/>
  <c r="AH794" i="9"/>
  <c r="O617" i="9"/>
  <c r="P617" i="9"/>
  <c r="O681" i="9"/>
  <c r="P681" i="9"/>
  <c r="O745" i="9"/>
  <c r="P745" i="9"/>
  <c r="O809" i="9"/>
  <c r="P809" i="9"/>
  <c r="O871" i="9"/>
  <c r="P871" i="9"/>
  <c r="O935" i="9"/>
  <c r="P935" i="9"/>
  <c r="O999" i="9"/>
  <c r="AH999" i="9"/>
  <c r="O1063" i="9"/>
  <c r="P1063" i="9"/>
  <c r="O870" i="9"/>
  <c r="P870" i="9"/>
  <c r="O934" i="9"/>
  <c r="AH934" i="9"/>
  <c r="O998" i="9"/>
  <c r="AH998" i="9"/>
  <c r="O1062" i="9"/>
  <c r="P1062" i="9"/>
  <c r="O905" i="9"/>
  <c r="AH905" i="9"/>
  <c r="O969" i="9"/>
  <c r="AH969" i="9"/>
  <c r="O1033" i="9"/>
  <c r="AH1033" i="9"/>
  <c r="O880" i="9"/>
  <c r="AH880" i="9"/>
  <c r="O944" i="9"/>
  <c r="P944" i="9"/>
  <c r="O1008" i="9"/>
  <c r="AH1008" i="9"/>
  <c r="O522" i="9"/>
  <c r="P522" i="9"/>
  <c r="O586" i="9"/>
  <c r="AH586" i="9"/>
  <c r="O549" i="9"/>
  <c r="P549" i="9"/>
  <c r="O512" i="9"/>
  <c r="P512" i="9"/>
  <c r="O576" i="9"/>
  <c r="P576" i="9"/>
  <c r="O637" i="9"/>
  <c r="P637" i="9"/>
  <c r="O814" i="9"/>
  <c r="AH814" i="9"/>
  <c r="O750" i="9"/>
  <c r="AH750" i="9"/>
  <c r="O686" i="9"/>
  <c r="AH686" i="9"/>
  <c r="O606" i="9"/>
  <c r="AH606" i="9"/>
  <c r="O727" i="9"/>
  <c r="P727" i="9"/>
  <c r="O583" i="9"/>
  <c r="P583" i="9"/>
  <c r="O704" i="9"/>
  <c r="AH704" i="9"/>
  <c r="O535" i="9"/>
  <c r="P535" i="9"/>
  <c r="O565" i="9"/>
  <c r="P565" i="9"/>
  <c r="O896" i="9"/>
  <c r="P896" i="9"/>
  <c r="O857" i="9"/>
  <c r="AH857" i="9"/>
  <c r="O832" i="9"/>
  <c r="P832" i="9"/>
  <c r="O825" i="9"/>
  <c r="AH825" i="9"/>
  <c r="O810" i="9"/>
  <c r="AH810" i="9"/>
  <c r="O803" i="9"/>
  <c r="AH803" i="9"/>
  <c r="O780" i="9"/>
  <c r="P780" i="9"/>
  <c r="O588" i="9"/>
  <c r="AH588" i="9"/>
  <c r="O534" i="9"/>
  <c r="P534" i="9"/>
  <c r="O908" i="9"/>
  <c r="AH908" i="9"/>
  <c r="O869" i="9"/>
  <c r="P869" i="9"/>
  <c r="O838" i="9"/>
  <c r="P838" i="9"/>
  <c r="O837" i="9"/>
  <c r="AH837" i="9"/>
  <c r="O822" i="9"/>
  <c r="P822" i="9"/>
  <c r="O815" i="9"/>
  <c r="P815" i="9"/>
  <c r="O792" i="9"/>
  <c r="P792" i="9"/>
  <c r="O600" i="9"/>
  <c r="AH600" i="9"/>
  <c r="O685" i="9"/>
  <c r="AH685" i="9"/>
  <c r="O621" i="9"/>
  <c r="P621" i="9"/>
  <c r="O798" i="9"/>
  <c r="AH798" i="9"/>
  <c r="O734" i="9"/>
  <c r="P734" i="9"/>
  <c r="O670" i="9"/>
  <c r="P670" i="9"/>
  <c r="O807" i="9"/>
  <c r="P807" i="9"/>
  <c r="O679" i="9"/>
  <c r="P679" i="9"/>
  <c r="O784" i="9"/>
  <c r="P784" i="9"/>
  <c r="O656" i="9"/>
  <c r="P656" i="9"/>
  <c r="O1049" i="9"/>
  <c r="P1049" i="9"/>
  <c r="O1014" i="9"/>
  <c r="P1014" i="9"/>
  <c r="O1015" i="9"/>
  <c r="P1015" i="9"/>
  <c r="O761" i="9"/>
  <c r="P761" i="9"/>
  <c r="O746" i="9"/>
  <c r="AH746" i="9"/>
  <c r="O739" i="9"/>
  <c r="P739" i="9"/>
  <c r="O716" i="9"/>
  <c r="P716" i="9"/>
  <c r="O524" i="9"/>
  <c r="AH524" i="9"/>
  <c r="O1061" i="9"/>
  <c r="AH1061" i="9"/>
  <c r="O1026" i="9"/>
  <c r="P1026" i="9"/>
  <c r="O1027" i="9"/>
  <c r="P1027" i="9"/>
  <c r="O773" i="9"/>
  <c r="AH773" i="9"/>
  <c r="O758" i="9"/>
  <c r="AH758" i="9"/>
  <c r="O751" i="9"/>
  <c r="P751" i="9"/>
  <c r="O728" i="9"/>
  <c r="P728" i="9"/>
  <c r="O536" i="9"/>
  <c r="AH536" i="9"/>
  <c r="O573" i="9"/>
  <c r="P573" i="9"/>
  <c r="O987" i="9"/>
  <c r="P987" i="9"/>
  <c r="O923" i="9"/>
  <c r="AH923" i="9"/>
  <c r="O859" i="9"/>
  <c r="P859" i="9"/>
  <c r="O797" i="9"/>
  <c r="P797" i="9"/>
  <c r="O733" i="9"/>
  <c r="P733" i="9"/>
  <c r="O669" i="9"/>
  <c r="P669" i="9"/>
  <c r="O603" i="9"/>
  <c r="AH603" i="9"/>
  <c r="O782" i="9"/>
  <c r="AH782" i="9"/>
  <c r="O718" i="9"/>
  <c r="AH718" i="9"/>
  <c r="O654" i="9"/>
  <c r="P654" i="9"/>
  <c r="O791" i="9"/>
  <c r="P791" i="9"/>
  <c r="O663" i="9"/>
  <c r="AH663" i="9"/>
  <c r="O768" i="9"/>
  <c r="P768" i="9"/>
  <c r="O640" i="9"/>
  <c r="P640" i="9"/>
  <c r="O592" i="9"/>
  <c r="AH592" i="9"/>
  <c r="O538" i="9"/>
  <c r="P538" i="9"/>
  <c r="O1024" i="9"/>
  <c r="P1024" i="9"/>
  <c r="O985" i="9"/>
  <c r="P985" i="9"/>
  <c r="O950" i="9"/>
  <c r="P950" i="9"/>
  <c r="O951" i="9"/>
  <c r="P951" i="9"/>
  <c r="O697" i="9"/>
  <c r="P697" i="9"/>
  <c r="O682" i="9"/>
  <c r="P682" i="9"/>
  <c r="O675" i="9"/>
  <c r="P675" i="9"/>
  <c r="O652" i="9"/>
  <c r="P652" i="9"/>
  <c r="O561" i="9"/>
  <c r="P561" i="9"/>
  <c r="O1036" i="9"/>
  <c r="AH1036" i="9"/>
  <c r="O997" i="9"/>
  <c r="P997" i="9"/>
  <c r="O962" i="9"/>
  <c r="AH962" i="9"/>
  <c r="O963" i="9"/>
  <c r="P963" i="9"/>
  <c r="O709" i="9"/>
  <c r="P709" i="9"/>
  <c r="O694" i="9"/>
  <c r="AH694" i="9"/>
  <c r="O687" i="9"/>
  <c r="AH687" i="9"/>
  <c r="O664" i="9"/>
  <c r="P664" i="9"/>
  <c r="O509" i="9"/>
  <c r="P509" i="9"/>
  <c r="P370" i="9"/>
  <c r="AH370" i="9"/>
  <c r="P340" i="9"/>
  <c r="AH340" i="9"/>
  <c r="AH353" i="9"/>
  <c r="P353" i="9"/>
  <c r="P289" i="9"/>
  <c r="AH289" i="9"/>
  <c r="AH290" i="9"/>
  <c r="P290" i="9"/>
  <c r="P323" i="9"/>
  <c r="AH323" i="9"/>
  <c r="P308" i="9"/>
  <c r="AH308" i="9"/>
  <c r="P376" i="9"/>
  <c r="AH376" i="9"/>
  <c r="P344" i="9"/>
  <c r="AH344" i="9"/>
  <c r="AH365" i="9"/>
  <c r="P365" i="9"/>
  <c r="P301" i="9"/>
  <c r="AH301" i="9"/>
  <c r="AH302" i="9"/>
  <c r="P302" i="9"/>
  <c r="P335" i="9"/>
  <c r="AH335" i="9"/>
  <c r="P320" i="9"/>
  <c r="AH320" i="9"/>
  <c r="P374" i="9"/>
  <c r="AH374" i="9"/>
  <c r="AH361" i="9"/>
  <c r="P361" i="9"/>
  <c r="P297" i="9"/>
  <c r="AH297" i="9"/>
  <c r="AH298" i="9"/>
  <c r="P298" i="9"/>
  <c r="P331" i="9"/>
  <c r="AH331" i="9"/>
  <c r="P332" i="9"/>
  <c r="AH332" i="9"/>
  <c r="P348" i="9"/>
  <c r="AH348" i="9"/>
  <c r="AH373" i="9"/>
  <c r="P373" i="9"/>
  <c r="P309" i="9"/>
  <c r="AH309" i="9"/>
  <c r="AH326" i="9"/>
  <c r="P326" i="9"/>
  <c r="AH375" i="9"/>
  <c r="P375" i="9"/>
  <c r="P311" i="9"/>
  <c r="AH311" i="9"/>
  <c r="P312" i="9"/>
  <c r="AH312" i="9"/>
  <c r="D44" i="10"/>
  <c r="I44" i="10"/>
  <c r="E44" i="10"/>
  <c r="H44" i="10"/>
  <c r="J44" i="10"/>
  <c r="A45" i="10"/>
  <c r="C44" i="10"/>
  <c r="F44" i="10"/>
  <c r="P362" i="9"/>
  <c r="AH362" i="9"/>
  <c r="AH337" i="9"/>
  <c r="P337" i="9"/>
  <c r="P338" i="9"/>
  <c r="AH338" i="9"/>
  <c r="AH371" i="9"/>
  <c r="P371" i="9"/>
  <c r="P307" i="9"/>
  <c r="AH307" i="9"/>
  <c r="P292" i="9"/>
  <c r="AH292" i="9"/>
  <c r="P368" i="9"/>
  <c r="AH368" i="9"/>
  <c r="P336" i="9"/>
  <c r="AH336" i="9"/>
  <c r="AH349" i="9"/>
  <c r="P349" i="9"/>
  <c r="P285" i="9"/>
  <c r="AH285" i="9"/>
  <c r="AH286" i="9"/>
  <c r="P286" i="9"/>
  <c r="P319" i="9"/>
  <c r="AH319" i="9"/>
  <c r="P304" i="9"/>
  <c r="AH304" i="9"/>
  <c r="P366" i="9"/>
  <c r="AH366" i="9"/>
  <c r="AH345" i="9"/>
  <c r="P345" i="9"/>
  <c r="P281" i="9"/>
  <c r="AH281" i="9"/>
  <c r="AH282" i="9"/>
  <c r="P282" i="9"/>
  <c r="P315" i="9"/>
  <c r="AH315" i="9"/>
  <c r="P316" i="9"/>
  <c r="AH316" i="9"/>
  <c r="P372" i="9"/>
  <c r="AH372" i="9"/>
  <c r="AH357" i="9"/>
  <c r="P357" i="9"/>
  <c r="P293" i="9"/>
  <c r="AH293" i="9"/>
  <c r="AH310" i="9"/>
  <c r="P310" i="9"/>
  <c r="AH359" i="9"/>
  <c r="P359" i="9"/>
  <c r="P295" i="9"/>
  <c r="AH295" i="9"/>
  <c r="P296" i="9"/>
  <c r="AH296" i="9"/>
  <c r="P354" i="9"/>
  <c r="AH354" i="9"/>
  <c r="P321" i="9"/>
  <c r="AH321" i="9"/>
  <c r="AH322" i="9"/>
  <c r="P322" i="9"/>
  <c r="AH355" i="9"/>
  <c r="P355" i="9"/>
  <c r="P291" i="9"/>
  <c r="AH291" i="9"/>
  <c r="P276" i="9"/>
  <c r="AH276" i="9"/>
  <c r="P360" i="9"/>
  <c r="AH360" i="9"/>
  <c r="AH333" i="9"/>
  <c r="P333" i="9"/>
  <c r="P334" i="9"/>
  <c r="AH334" i="9"/>
  <c r="AH367" i="9"/>
  <c r="P367" i="9"/>
  <c r="P303" i="9"/>
  <c r="AH303" i="9"/>
  <c r="P288" i="9"/>
  <c r="AH288" i="9"/>
  <c r="P358" i="9"/>
  <c r="AH358" i="9"/>
  <c r="P329" i="9"/>
  <c r="AH329" i="9"/>
  <c r="AH330" i="9"/>
  <c r="P330" i="9"/>
  <c r="AH363" i="9"/>
  <c r="P363" i="9"/>
  <c r="P299" i="9"/>
  <c r="AH299" i="9"/>
  <c r="P300" i="9"/>
  <c r="AH300" i="9"/>
  <c r="P364" i="9"/>
  <c r="AH364" i="9"/>
  <c r="AH341" i="9"/>
  <c r="P341" i="9"/>
  <c r="P277" i="9"/>
  <c r="AH277" i="9"/>
  <c r="AH294" i="9"/>
  <c r="P294" i="9"/>
  <c r="AH343" i="9"/>
  <c r="P343" i="9"/>
  <c r="P279" i="9"/>
  <c r="AH279" i="9"/>
  <c r="P280" i="9"/>
  <c r="AH280" i="9"/>
  <c r="P346" i="9"/>
  <c r="AH346" i="9"/>
  <c r="AH369" i="9"/>
  <c r="P369" i="9"/>
  <c r="P305" i="9"/>
  <c r="AH305" i="9"/>
  <c r="AH306" i="9"/>
  <c r="P306" i="9"/>
  <c r="P339" i="9"/>
  <c r="AH339" i="9"/>
  <c r="P324" i="9"/>
  <c r="AH324" i="9"/>
  <c r="P352" i="9"/>
  <c r="AH352" i="9"/>
  <c r="P378" i="9"/>
  <c r="AH378" i="9"/>
  <c r="P317" i="9"/>
  <c r="AH317" i="9"/>
  <c r="AH318" i="9"/>
  <c r="P318" i="9"/>
  <c r="AH351" i="9"/>
  <c r="P351" i="9"/>
  <c r="P287" i="9"/>
  <c r="AH287" i="9"/>
  <c r="P350" i="9"/>
  <c r="AH350" i="9"/>
  <c r="AH377" i="9"/>
  <c r="P377" i="9"/>
  <c r="P313" i="9"/>
  <c r="AH313" i="9"/>
  <c r="AH314" i="9"/>
  <c r="P314" i="9"/>
  <c r="AH347" i="9"/>
  <c r="P347" i="9"/>
  <c r="P283" i="9"/>
  <c r="AH283" i="9"/>
  <c r="P284" i="9"/>
  <c r="AH284" i="9"/>
  <c r="P356" i="9"/>
  <c r="AH356" i="9"/>
  <c r="P325" i="9"/>
  <c r="AH325" i="9"/>
  <c r="P342" i="9"/>
  <c r="AH342" i="9"/>
  <c r="AH278" i="9"/>
  <c r="P278" i="9"/>
  <c r="P327" i="9"/>
  <c r="AH327" i="9"/>
  <c r="P328" i="9"/>
  <c r="AH328" i="9"/>
  <c r="AE276" i="9"/>
  <c r="AD276" i="9"/>
  <c r="AF276" i="9"/>
  <c r="P968" i="9"/>
  <c r="P444" i="9"/>
  <c r="P811" i="9"/>
  <c r="P499" i="9"/>
  <c r="AH802" i="9"/>
  <c r="AH702" i="9"/>
  <c r="AH484" i="9"/>
  <c r="P424" i="9"/>
  <c r="P397" i="9"/>
  <c r="P384" i="9"/>
  <c r="P942" i="9"/>
  <c r="P724" i="9"/>
  <c r="P1038" i="9"/>
  <c r="AH473" i="9"/>
  <c r="AH692" i="9"/>
  <c r="P416" i="9"/>
  <c r="AH1012" i="9"/>
  <c r="P601" i="9"/>
  <c r="P737" i="9"/>
  <c r="AH922" i="9"/>
  <c r="AH381" i="9"/>
  <c r="P412" i="9"/>
  <c r="P505" i="9"/>
  <c r="AH683" i="9"/>
  <c r="AH399" i="9"/>
  <c r="AH498" i="9"/>
  <c r="AH496" i="9"/>
  <c r="AH1019" i="9"/>
  <c r="AH991" i="9"/>
  <c r="P497" i="9"/>
  <c r="AH483" i="9"/>
  <c r="AH476" i="9"/>
  <c r="P1035" i="9"/>
  <c r="AH641" i="9"/>
  <c r="P721" i="9"/>
  <c r="P418" i="9"/>
  <c r="P645" i="9"/>
  <c r="P460" i="9"/>
  <c r="AH618" i="9"/>
  <c r="AH849" i="9"/>
  <c r="AH1044" i="9"/>
  <c r="AH710" i="9"/>
  <c r="P442" i="9"/>
  <c r="P881" i="9"/>
  <c r="P500" i="9"/>
  <c r="P990" i="9"/>
  <c r="P715" i="9"/>
  <c r="P1053" i="9"/>
  <c r="AH526" i="9"/>
  <c r="AH772" i="9"/>
  <c r="AH828" i="9"/>
  <c r="AH888" i="9"/>
  <c r="AH653" i="9"/>
  <c r="P626" i="9"/>
  <c r="AH958" i="9"/>
  <c r="AH469" i="9"/>
  <c r="P455" i="9"/>
  <c r="AH393" i="9"/>
  <c r="AH706" i="9"/>
  <c r="P390" i="9"/>
  <c r="P446" i="9"/>
  <c r="P722" i="9"/>
  <c r="P1025" i="9"/>
  <c r="AH470" i="9"/>
  <c r="P461" i="9"/>
  <c r="AH383" i="9"/>
  <c r="P486" i="9"/>
  <c r="P426" i="9"/>
  <c r="AH996" i="9"/>
  <c r="AH938" i="9"/>
  <c r="AH933" i="9"/>
  <c r="AH1018" i="9"/>
  <c r="P580" i="9"/>
  <c r="AH411" i="9"/>
  <c r="AH795" i="9"/>
  <c r="AH817" i="9"/>
  <c r="P941" i="9"/>
  <c r="AH441" i="9"/>
  <c r="P404" i="9"/>
  <c r="AH491" i="9"/>
  <c r="P754" i="9"/>
  <c r="P833" i="9"/>
  <c r="P1057" i="9"/>
  <c r="AH975" i="9"/>
  <c r="P676" i="9"/>
  <c r="P973" i="9"/>
  <c r="AH743" i="9"/>
  <c r="AH680" i="9"/>
  <c r="AH907" i="9"/>
  <c r="P503" i="9"/>
  <c r="AH492" i="9"/>
  <c r="AH1050" i="9"/>
  <c r="AH501" i="9"/>
  <c r="AH569" i="9"/>
  <c r="P619" i="9"/>
  <c r="AH974" i="9"/>
  <c r="AH507" i="9"/>
  <c r="AH847" i="9"/>
  <c r="P420" i="9"/>
  <c r="AH927" i="9"/>
  <c r="AH450" i="9"/>
  <c r="P448" i="9"/>
  <c r="AH651" i="9"/>
  <c r="AH406" i="9"/>
  <c r="AH489" i="9"/>
  <c r="AH781" i="9"/>
  <c r="AH906" i="9"/>
  <c r="AH660" i="9"/>
  <c r="P622" i="9"/>
  <c r="P516" i="9"/>
  <c r="P428" i="9"/>
  <c r="P379" i="9"/>
  <c r="AH920" i="9"/>
  <c r="AH553" i="9"/>
  <c r="P413" i="9"/>
  <c r="P609" i="9"/>
  <c r="P559" i="9"/>
  <c r="AH598" i="9"/>
  <c r="P667" i="9"/>
  <c r="P449" i="9"/>
  <c r="AH458" i="9"/>
  <c r="P542" i="9"/>
  <c r="AH479" i="9"/>
  <c r="P453" i="9"/>
  <c r="P972" i="9"/>
  <c r="P900" i="9"/>
  <c r="P756" i="9"/>
  <c r="P402" i="9"/>
  <c r="AH482" i="9"/>
  <c r="P1034" i="9"/>
  <c r="P788" i="9"/>
  <c r="AH779" i="9"/>
  <c r="P555" i="9"/>
  <c r="P394" i="9"/>
  <c r="AH488" i="9"/>
  <c r="AH577" i="9"/>
  <c r="P945" i="9"/>
  <c r="AH861" i="9"/>
  <c r="AH591" i="9"/>
  <c r="P865" i="9"/>
  <c r="AH466" i="9"/>
  <c r="P395" i="9"/>
  <c r="P419" i="9"/>
  <c r="AH616" i="9"/>
  <c r="P914" i="9"/>
  <c r="AH698" i="9"/>
  <c r="AH463" i="9"/>
  <c r="AH1048" i="9"/>
  <c r="AH454" i="9"/>
  <c r="AH564" i="9"/>
  <c r="AH437" i="9"/>
  <c r="P423" i="9"/>
  <c r="AH765" i="9"/>
  <c r="P834" i="9"/>
  <c r="AH539" i="9"/>
  <c r="P988" i="9"/>
  <c r="AH490" i="9"/>
  <c r="AH766" i="9"/>
  <c r="AH842" i="9"/>
  <c r="P468" i="9"/>
  <c r="AH836" i="9"/>
  <c r="AH1032" i="9"/>
  <c r="AH401" i="9"/>
  <c r="P1039" i="9"/>
  <c r="P1009" i="9"/>
  <c r="AH403" i="9"/>
  <c r="P786" i="9"/>
  <c r="P720" i="9"/>
  <c r="P955" i="9"/>
  <c r="P639" i="9"/>
  <c r="AH971" i="9"/>
  <c r="P980" i="9"/>
  <c r="AH769" i="9"/>
  <c r="P1051" i="9"/>
  <c r="P887" i="9"/>
  <c r="P574" i="9"/>
  <c r="P627" i="9"/>
  <c r="AH511" i="9"/>
  <c r="AH699" i="9"/>
  <c r="AH725" i="9"/>
  <c r="AH777" i="9"/>
  <c r="P703" i="9"/>
  <c r="P540" i="9"/>
  <c r="P957" i="9"/>
  <c r="AH585" i="9"/>
  <c r="AH891" i="9"/>
  <c r="AH589" i="9"/>
  <c r="AH387" i="9"/>
  <c r="AH986" i="9"/>
  <c r="P548" i="9"/>
  <c r="AH801" i="9"/>
  <c r="AH547" i="9"/>
  <c r="P400" i="9"/>
  <c r="AH590" i="9"/>
  <c r="P388" i="9"/>
  <c r="P610" i="9"/>
  <c r="AH625" i="9"/>
  <c r="AH879" i="9"/>
  <c r="AH878" i="9"/>
  <c r="AH447" i="9"/>
  <c r="AH915" i="9"/>
  <c r="P949" i="9"/>
  <c r="AH385" i="9"/>
  <c r="AH579" i="9"/>
  <c r="P1021" i="9"/>
  <c r="AH430" i="9"/>
  <c r="AH457" i="9"/>
  <c r="AH740" i="9"/>
  <c r="P770" i="9"/>
  <c r="AH785" i="9"/>
  <c r="AH429" i="9"/>
  <c r="AH1002" i="9"/>
  <c r="AH510" i="9"/>
  <c r="AH1055" i="9"/>
  <c r="P921" i="9"/>
  <c r="AH410" i="9"/>
  <c r="AH661" i="9"/>
  <c r="AH668" i="9"/>
  <c r="P967" i="9"/>
  <c r="P480" i="9"/>
  <c r="P690" i="9"/>
  <c r="AH1060" i="9"/>
  <c r="AH763" i="9"/>
  <c r="AH1003" i="9"/>
  <c r="P1037" i="9"/>
  <c r="AH1054" i="9"/>
  <c r="AH546" i="9"/>
  <c r="AH445" i="9"/>
  <c r="AH475" i="9"/>
  <c r="P913" i="9"/>
  <c r="AH952" i="9"/>
  <c r="AH525" i="9"/>
  <c r="P646" i="9"/>
  <c r="AH966" i="9"/>
  <c r="AH502" i="9"/>
  <c r="P391" i="9"/>
  <c r="AH521" i="9"/>
  <c r="P658" i="9"/>
  <c r="AH926" i="9"/>
  <c r="P532" i="9"/>
  <c r="AH959" i="9"/>
  <c r="AH481" i="9"/>
  <c r="AH874" i="9"/>
  <c r="AH872" i="9"/>
  <c r="AH477" i="9"/>
  <c r="P456" i="9"/>
  <c r="AH485" i="9"/>
  <c r="AH948" i="9"/>
  <c r="P961" i="9"/>
  <c r="AH495" i="9"/>
  <c r="P434" i="9"/>
  <c r="P818" i="9"/>
  <c r="AH673" i="9"/>
  <c r="AH478" i="9"/>
  <c r="P567" i="9"/>
  <c r="AH628" i="9"/>
  <c r="P909" i="9"/>
  <c r="P528" i="9"/>
  <c r="AH695" i="9"/>
  <c r="P1043" i="9"/>
  <c r="P885" i="9"/>
  <c r="AH885" i="9"/>
  <c r="AH845" i="9"/>
  <c r="P845" i="9"/>
  <c r="P875" i="9"/>
  <c r="AH875" i="9"/>
  <c r="P467" i="9"/>
  <c r="AH467" i="9"/>
  <c r="P425" i="9"/>
  <c r="AH425" i="9"/>
  <c r="P439" i="9"/>
  <c r="AH439" i="9"/>
  <c r="P804" i="9"/>
  <c r="P844" i="9"/>
  <c r="AH493" i="9"/>
  <c r="AH884" i="9"/>
  <c r="AH459" i="9"/>
  <c r="P843" i="9"/>
  <c r="P897" i="9"/>
  <c r="AH408" i="9"/>
  <c r="AH431" i="9"/>
  <c r="P611" i="9"/>
  <c r="AH487" i="9"/>
  <c r="P925" i="9"/>
  <c r="AH462" i="9"/>
  <c r="AH689" i="9"/>
  <c r="AH1016" i="9"/>
  <c r="P902" i="9"/>
  <c r="AH970" i="9"/>
  <c r="AH1023" i="9"/>
  <c r="AH903" i="9"/>
  <c r="P903" i="9"/>
  <c r="AH575" i="9"/>
  <c r="P575" i="9"/>
  <c r="P808" i="9"/>
  <c r="AH808" i="9"/>
  <c r="P826" i="9"/>
  <c r="AH826" i="9"/>
  <c r="P551" i="9"/>
  <c r="AH551" i="9"/>
  <c r="AH674" i="9"/>
  <c r="P674" i="9"/>
  <c r="P904" i="9"/>
  <c r="AH904" i="9"/>
  <c r="AH386" i="9"/>
  <c r="P465" i="9"/>
  <c r="AH451" i="9"/>
  <c r="P868" i="9"/>
  <c r="P568" i="9"/>
  <c r="AH494" i="9"/>
  <c r="P827" i="9"/>
  <c r="P415" i="9"/>
  <c r="AH749" i="9"/>
  <c r="P523" i="9"/>
  <c r="P863" i="9"/>
  <c r="P1000" i="9"/>
  <c r="P472" i="9"/>
  <c r="P649" i="9"/>
  <c r="P717" i="9"/>
  <c r="P852" i="9"/>
  <c r="AH414" i="9"/>
  <c r="P705" i="9"/>
  <c r="P937" i="9"/>
  <c r="AH937" i="9"/>
  <c r="P634" i="9"/>
  <c r="AH634" i="9"/>
  <c r="AH924" i="9"/>
  <c r="P924" i="9"/>
  <c r="P831" i="9"/>
  <c r="AH831" i="9"/>
  <c r="P562" i="9"/>
  <c r="AH562" i="9"/>
  <c r="P820" i="9"/>
  <c r="AH820" i="9"/>
  <c r="P890" i="9"/>
  <c r="AH890" i="9"/>
  <c r="P644" i="9"/>
  <c r="AH644" i="9"/>
  <c r="P943" i="9"/>
  <c r="AH943" i="9"/>
  <c r="P623" i="9"/>
  <c r="AH623" i="9"/>
  <c r="P421" i="9"/>
  <c r="AH421" i="9"/>
  <c r="AH392" i="9"/>
  <c r="P392" i="9"/>
  <c r="P558" i="9"/>
  <c r="P587" i="9"/>
  <c r="AH417" i="9"/>
  <c r="AH846" i="9"/>
  <c r="P474" i="9"/>
  <c r="P464" i="9"/>
  <c r="P452" i="9"/>
  <c r="P595" i="9"/>
  <c r="P851" i="9"/>
  <c r="P850" i="9"/>
  <c r="AH916" i="9"/>
  <c r="AH596" i="9"/>
  <c r="AH895" i="9"/>
  <c r="AH976" i="9"/>
  <c r="P976" i="9"/>
  <c r="P862" i="9"/>
  <c r="AH862" i="9"/>
  <c r="P964" i="9"/>
  <c r="AH964" i="9"/>
  <c r="AH977" i="9"/>
  <c r="P977" i="9"/>
  <c r="AH993" i="9"/>
  <c r="P993" i="9"/>
  <c r="P407" i="9"/>
  <c r="AH407" i="9"/>
  <c r="P898" i="9"/>
  <c r="AH898" i="9"/>
  <c r="P1022" i="9"/>
  <c r="AH1022" i="9"/>
  <c r="P389" i="9"/>
  <c r="AH389" i="9"/>
  <c r="P398" i="9"/>
  <c r="AH398" i="9"/>
  <c r="P931" i="9"/>
  <c r="AH793" i="9"/>
  <c r="AH638" i="9"/>
  <c r="AH752" i="9"/>
  <c r="AH615" i="9"/>
  <c r="AH979" i="9"/>
  <c r="P1052" i="9"/>
  <c r="P554" i="9"/>
  <c r="P732" i="9"/>
  <c r="P762" i="9"/>
  <c r="AH405" i="9"/>
  <c r="P552" i="9"/>
  <c r="AH789" i="9"/>
  <c r="AH438" i="9"/>
  <c r="AH432" i="9"/>
  <c r="AH858" i="9"/>
  <c r="P893" i="9"/>
  <c r="AH932" i="9"/>
  <c r="AH443" i="9"/>
  <c r="AH612" i="9"/>
  <c r="AH635" i="9"/>
  <c r="P642" i="9"/>
  <c r="AH657" i="9"/>
  <c r="AH911" i="9"/>
  <c r="AH910" i="9"/>
  <c r="AH856" i="9"/>
  <c r="AH984" i="9"/>
  <c r="P380" i="9"/>
  <c r="AH471" i="9"/>
  <c r="AH813" i="9"/>
  <c r="AH939" i="9"/>
  <c r="AH382" i="9"/>
  <c r="AH409" i="9"/>
  <c r="AH537" i="9"/>
  <c r="P436" i="9"/>
  <c r="AH936" i="9"/>
  <c r="P630" i="9"/>
  <c r="AH899" i="9"/>
  <c r="AH433" i="9"/>
  <c r="P396" i="9"/>
  <c r="AH633" i="9"/>
  <c r="AH886" i="9"/>
  <c r="AH960" i="9"/>
  <c r="AH701" i="9"/>
  <c r="P829" i="9"/>
  <c r="AH954" i="9"/>
  <c r="P989" i="9"/>
  <c r="AH1028" i="9"/>
  <c r="AH708" i="9"/>
  <c r="AH731" i="9"/>
  <c r="P738" i="9"/>
  <c r="AH753" i="9"/>
  <c r="AH1007" i="9"/>
  <c r="AH1006" i="9"/>
  <c r="P1041" i="9"/>
  <c r="P422" i="9"/>
  <c r="AH435" i="9"/>
  <c r="AH819" i="9"/>
  <c r="P563" i="9"/>
  <c r="P877" i="9"/>
  <c r="P1005" i="9"/>
  <c r="AH427" i="9"/>
  <c r="AH747" i="9"/>
  <c r="AH894" i="9"/>
  <c r="P929" i="9"/>
  <c r="P873" i="9"/>
  <c r="P440" i="9"/>
  <c r="P696" i="9"/>
  <c r="AH744" i="9"/>
  <c r="P774" i="9"/>
  <c r="P604" i="9"/>
  <c r="AH517" i="9"/>
  <c r="P953" i="9"/>
  <c r="AH620" i="9"/>
  <c r="P824" i="9"/>
  <c r="AH613" i="9"/>
  <c r="P544" i="9"/>
  <c r="P912" i="9"/>
  <c r="AH1031" i="9"/>
  <c r="AH605" i="9"/>
  <c r="P608" i="9"/>
  <c r="P650" i="9"/>
  <c r="P1004" i="9"/>
  <c r="AH983" i="9"/>
  <c r="P688" i="9"/>
  <c r="AH726" i="9"/>
  <c r="P995" i="9"/>
  <c r="AH1029" i="9"/>
  <c r="AH632" i="9"/>
  <c r="AH655" i="9"/>
  <c r="AH662" i="9"/>
  <c r="P677" i="9"/>
  <c r="AH930" i="9"/>
  <c r="AH1047" i="9"/>
  <c r="P978" i="9"/>
  <c r="P1013" i="9"/>
  <c r="AH755" i="9"/>
  <c r="P1030" i="9"/>
  <c r="P848" i="9"/>
  <c r="P631" i="9"/>
  <c r="P778" i="9"/>
  <c r="AH1046" i="9"/>
  <c r="AH556" i="9"/>
  <c r="P771" i="9"/>
  <c r="P940" i="9"/>
  <c r="AH1017" i="9"/>
  <c r="AH691" i="9"/>
  <c r="AH713" i="9"/>
  <c r="P1001" i="9"/>
  <c r="AH867" i="9"/>
  <c r="P982" i="9"/>
  <c r="P901" i="9"/>
  <c r="AH684" i="9"/>
  <c r="AH800" i="9"/>
  <c r="P946" i="9"/>
  <c r="P666" i="9"/>
  <c r="P607" i="9"/>
  <c r="P597" i="9"/>
  <c r="AH956" i="9"/>
  <c r="AH512" i="9"/>
  <c r="P883" i="9"/>
  <c r="AH583" i="9"/>
  <c r="AH896" i="9"/>
  <c r="P934" i="9"/>
  <c r="P837" i="9"/>
  <c r="P857" i="9"/>
  <c r="P704" i="9"/>
  <c r="P999" i="9"/>
  <c r="P527" i="9"/>
  <c r="P593" i="9"/>
  <c r="P707" i="9"/>
  <c r="AH714" i="9"/>
  <c r="P711" i="9"/>
  <c r="P594" i="9"/>
  <c r="P543" i="9"/>
  <c r="P629" i="9"/>
  <c r="P917" i="9"/>
  <c r="AH545" i="9"/>
  <c r="AH659" i="9"/>
  <c r="AH534" i="9"/>
  <c r="AH541" i="9"/>
  <c r="AH866" i="9"/>
  <c r="AH729" i="9"/>
  <c r="AH1056" i="9"/>
  <c r="P614" i="9"/>
  <c r="P882" i="9"/>
  <c r="AH681" i="9"/>
  <c r="P1008" i="9"/>
  <c r="P600" i="9"/>
  <c r="P750" i="9"/>
  <c r="AH1040" i="9"/>
  <c r="AH823" i="9"/>
  <c r="AH636" i="9"/>
  <c r="AH935" i="9"/>
  <c r="P810" i="9"/>
  <c r="AH784" i="9"/>
  <c r="AH812" i="9"/>
  <c r="AH889" i="9"/>
  <c r="AH1015" i="9"/>
  <c r="AH734" i="9"/>
  <c r="P969" i="9"/>
  <c r="P678" i="9"/>
  <c r="AH576" i="9"/>
  <c r="AH748" i="9"/>
  <c r="AH864" i="9"/>
  <c r="P560" i="9"/>
  <c r="P671" i="9"/>
  <c r="AH1020" i="9"/>
  <c r="P1033" i="9"/>
  <c r="P965" i="9"/>
  <c r="AH506" i="9"/>
  <c r="P685" i="9"/>
  <c r="P557" i="9"/>
  <c r="AH981" i="9"/>
  <c r="AH508" i="9"/>
  <c r="P998" i="9"/>
  <c r="AH670" i="9"/>
  <c r="P686" i="9"/>
  <c r="P855" i="9"/>
  <c r="P712" i="9"/>
  <c r="AH735" i="9"/>
  <c r="AH742" i="9"/>
  <c r="AH787" i="9"/>
  <c r="AH860" i="9"/>
  <c r="AH796" i="9"/>
  <c r="AH840" i="9"/>
  <c r="AH854" i="9"/>
  <c r="P1045" i="9"/>
  <c r="P586" i="9"/>
  <c r="AH514" i="9"/>
  <c r="P504" i="9"/>
  <c r="P719" i="9"/>
  <c r="P741" i="9"/>
  <c r="P994" i="9"/>
  <c r="P566" i="9"/>
  <c r="P515" i="9"/>
  <c r="P835" i="9"/>
  <c r="P599" i="9"/>
  <c r="AH928" i="9"/>
  <c r="AH519" i="9"/>
  <c r="AH816" i="9"/>
  <c r="AH1011" i="9"/>
  <c r="AH809" i="9"/>
  <c r="AH767" i="9"/>
  <c r="AH1042" i="9"/>
  <c r="AH550" i="9"/>
  <c r="P841" i="9"/>
  <c r="AH672" i="9"/>
  <c r="P839" i="9"/>
  <c r="AH1062" i="9"/>
  <c r="P570" i="9"/>
  <c r="AH520" i="9"/>
  <c r="AH757" i="9"/>
  <c r="AH518" i="9"/>
  <c r="AH815" i="9"/>
  <c r="AH533" i="9"/>
  <c r="AH1027" i="9"/>
  <c r="P923" i="9"/>
  <c r="AH728" i="9"/>
  <c r="AH716" i="9"/>
  <c r="AH654" i="9"/>
  <c r="AH775" i="9"/>
  <c r="AH693" i="9"/>
  <c r="AH700" i="9"/>
  <c r="AH723" i="9"/>
  <c r="AH822" i="9"/>
  <c r="AH648" i="9"/>
  <c r="AH947" i="9"/>
  <c r="P730" i="9"/>
  <c r="AH745" i="9"/>
  <c r="AH522" i="9"/>
  <c r="P908" i="9"/>
  <c r="P803" i="9"/>
  <c r="P524" i="9"/>
  <c r="AH992" i="9"/>
  <c r="AH919" i="9"/>
  <c r="AH665" i="9"/>
  <c r="AH776" i="9"/>
  <c r="AH806" i="9"/>
  <c r="AH643" i="9"/>
  <c r="AH918" i="9"/>
  <c r="AH799" i="9"/>
  <c r="AH669" i="9"/>
  <c r="AH997" i="9"/>
  <c r="P773" i="9"/>
  <c r="P880" i="9"/>
  <c r="AH1010" i="9"/>
  <c r="AH1063" i="9"/>
  <c r="P572" i="9"/>
  <c r="AH764" i="9"/>
  <c r="P794" i="9"/>
  <c r="AH640" i="9"/>
  <c r="P592" i="9"/>
  <c r="AH578" i="9"/>
  <c r="AH760" i="9"/>
  <c r="AH783" i="9"/>
  <c r="P790" i="9"/>
  <c r="AH805" i="9"/>
  <c r="AH1059" i="9"/>
  <c r="AH1058" i="9"/>
  <c r="AH876" i="9"/>
  <c r="AH529" i="9"/>
  <c r="AH624" i="9"/>
  <c r="AH647" i="9"/>
  <c r="AH530" i="9"/>
  <c r="P584" i="9"/>
  <c r="P830" i="9"/>
  <c r="AH1014" i="9"/>
  <c r="P513" i="9"/>
  <c r="P581" i="9"/>
  <c r="P736" i="9"/>
  <c r="P759" i="9"/>
  <c r="AH987" i="9"/>
  <c r="P821" i="9"/>
  <c r="AH582" i="9"/>
  <c r="AH549" i="9"/>
  <c r="AH739" i="9"/>
  <c r="AH792" i="9"/>
  <c r="AH682" i="9"/>
  <c r="AH985" i="9"/>
  <c r="P1036" i="9"/>
  <c r="P603" i="9"/>
  <c r="AH859" i="9"/>
  <c r="AH791" i="9"/>
  <c r="P536" i="9"/>
  <c r="P694" i="9"/>
  <c r="AH675" i="9"/>
  <c r="AH761" i="9"/>
  <c r="AH950" i="9"/>
  <c r="AH656" i="9"/>
  <c r="P718" i="9"/>
  <c r="AH963" i="9"/>
  <c r="AH679" i="9"/>
  <c r="AH733" i="9"/>
  <c r="P814" i="9"/>
  <c r="AH727" i="9"/>
  <c r="AH838" i="9"/>
  <c r="P588" i="9"/>
  <c r="AH869" i="9"/>
  <c r="AH1049" i="9"/>
  <c r="AH807" i="9"/>
  <c r="AH637" i="9"/>
  <c r="P663" i="9"/>
  <c r="P606" i="9"/>
  <c r="AH573" i="9"/>
  <c r="AH780" i="9"/>
  <c r="AH797" i="9"/>
  <c r="AH509" i="9"/>
  <c r="AH709" i="9"/>
  <c r="AH535" i="9"/>
  <c r="P782" i="9"/>
  <c r="P1061" i="9"/>
  <c r="P746" i="9"/>
  <c r="P962" i="9"/>
  <c r="AH832" i="9"/>
  <c r="AH621" i="9"/>
  <c r="P758" i="9"/>
  <c r="P687" i="9"/>
  <c r="AH951" i="9"/>
  <c r="AH664" i="9"/>
  <c r="AH561" i="9"/>
  <c r="AH652" i="9"/>
  <c r="AH538" i="9"/>
  <c r="P853" i="9"/>
  <c r="AH892" i="9"/>
  <c r="AH531" i="9"/>
  <c r="AH571" i="9"/>
  <c r="AH602" i="9"/>
  <c r="AH617" i="9"/>
  <c r="AH871" i="9"/>
  <c r="AH870" i="9"/>
  <c r="P905" i="9"/>
  <c r="AH944" i="9"/>
  <c r="AH768" i="9"/>
  <c r="P798" i="9"/>
  <c r="AH751" i="9"/>
  <c r="AH1026" i="9"/>
  <c r="AH697" i="9"/>
  <c r="P825" i="9"/>
  <c r="AH1024" i="9"/>
  <c r="AH565" i="9"/>
  <c r="AF504" i="9"/>
  <c r="AE504" i="9"/>
  <c r="AD504" i="9"/>
  <c r="D45" i="10"/>
  <c r="I45" i="10"/>
  <c r="E45" i="10"/>
  <c r="H45" i="10"/>
  <c r="J45" i="10"/>
  <c r="A46" i="10"/>
  <c r="C45" i="10"/>
  <c r="F45" i="10"/>
  <c r="AJ8" i="9"/>
  <c r="D23" i="12"/>
  <c r="AH8" i="9"/>
  <c r="J72" i="4"/>
  <c r="P75" i="4"/>
  <c r="P5" i="9"/>
  <c r="AI8" i="9"/>
  <c r="J74" i="4"/>
  <c r="M74" i="4"/>
  <c r="D46" i="10"/>
  <c r="I46" i="10"/>
  <c r="E46" i="10"/>
  <c r="H46" i="10"/>
  <c r="J46" i="10"/>
  <c r="A47" i="10"/>
  <c r="C46" i="10"/>
  <c r="F46" i="10"/>
  <c r="D12" i="11"/>
  <c r="C21" i="11"/>
  <c r="D46" i="29"/>
  <c r="P74" i="4"/>
  <c r="D10" i="11"/>
  <c r="M75" i="4"/>
  <c r="M76" i="4"/>
  <c r="P76" i="4"/>
  <c r="J73" i="4"/>
  <c r="P72" i="4"/>
  <c r="D6" i="11"/>
  <c r="G6" i="11"/>
  <c r="AF4" i="9"/>
  <c r="B23" i="12"/>
  <c r="AE4" i="9"/>
  <c r="C23" i="12"/>
  <c r="D47" i="10"/>
  <c r="I47" i="10"/>
  <c r="E47" i="10"/>
  <c r="H47" i="10"/>
  <c r="J47" i="10"/>
  <c r="A48" i="10"/>
  <c r="C47" i="10"/>
  <c r="F47" i="10"/>
  <c r="C16" i="11"/>
  <c r="C15" i="11"/>
  <c r="D11" i="11"/>
  <c r="M72" i="4"/>
  <c r="P73" i="4"/>
  <c r="M73" i="4"/>
  <c r="C27" i="12"/>
  <c r="C25" i="12"/>
  <c r="D48" i="10"/>
  <c r="I48" i="10"/>
  <c r="E48" i="10"/>
  <c r="H48" i="10"/>
  <c r="J48" i="10"/>
  <c r="A49" i="10"/>
  <c r="C48" i="10"/>
  <c r="F48" i="10"/>
  <c r="C37" i="12"/>
  <c r="H75" i="4"/>
  <c r="C13" i="11"/>
  <c r="C18" i="11"/>
  <c r="D43" i="29"/>
  <c r="C20" i="11"/>
  <c r="D45" i="29"/>
  <c r="C38" i="12"/>
  <c r="H77" i="4"/>
  <c r="D49" i="10"/>
  <c r="I49" i="10"/>
  <c r="E49" i="10"/>
  <c r="H49" i="10"/>
  <c r="J49" i="10"/>
  <c r="A50" i="10"/>
  <c r="C49" i="10"/>
  <c r="F49" i="10"/>
  <c r="D50" i="10"/>
  <c r="I50" i="10"/>
  <c r="E50" i="10"/>
  <c r="H50" i="10"/>
  <c r="J50" i="10"/>
  <c r="A51" i="10"/>
  <c r="C50" i="10"/>
  <c r="F50" i="10"/>
  <c r="D51" i="10"/>
  <c r="I51" i="10"/>
  <c r="E51" i="10"/>
  <c r="H51" i="10"/>
  <c r="J51" i="10"/>
  <c r="A52" i="10"/>
  <c r="C51" i="10"/>
  <c r="F51" i="10"/>
  <c r="D52" i="10"/>
  <c r="I52" i="10"/>
  <c r="E52" i="10"/>
  <c r="H52" i="10"/>
  <c r="J52" i="10"/>
  <c r="A53" i="10"/>
  <c r="C52" i="10"/>
  <c r="F52" i="10"/>
  <c r="D53" i="10"/>
  <c r="I53" i="10"/>
  <c r="E53" i="10"/>
  <c r="H53" i="10"/>
  <c r="J53" i="10"/>
  <c r="A54" i="10"/>
  <c r="C53" i="10"/>
  <c r="F53" i="10"/>
  <c r="D54" i="10"/>
  <c r="I54" i="10"/>
  <c r="E54" i="10"/>
  <c r="H54" i="10"/>
  <c r="J54" i="10"/>
  <c r="A55" i="10"/>
  <c r="C54" i="10"/>
  <c r="F54" i="10"/>
  <c r="D55" i="10"/>
  <c r="I55" i="10"/>
  <c r="E55" i="10"/>
  <c r="H55" i="10"/>
  <c r="J55" i="10"/>
  <c r="A56" i="10"/>
  <c r="C55" i="10"/>
  <c r="F55" i="10"/>
  <c r="D56" i="10"/>
  <c r="I56" i="10"/>
  <c r="E56" i="10"/>
  <c r="H56" i="10"/>
  <c r="J56" i="10"/>
  <c r="A57" i="10"/>
  <c r="C56" i="10"/>
  <c r="F56" i="10"/>
  <c r="D57" i="10"/>
  <c r="I57" i="10"/>
  <c r="E57" i="10"/>
  <c r="H57" i="10"/>
  <c r="J57" i="10"/>
  <c r="A58" i="10"/>
  <c r="C57" i="10"/>
  <c r="F57" i="10"/>
  <c r="D58" i="10"/>
  <c r="I58" i="10"/>
  <c r="E58" i="10"/>
  <c r="H58" i="10"/>
  <c r="J58" i="10"/>
  <c r="A59" i="10"/>
  <c r="C58" i="10"/>
  <c r="F58" i="10"/>
  <c r="D59" i="10"/>
  <c r="I59" i="10"/>
  <c r="E59" i="10"/>
  <c r="H59" i="10"/>
  <c r="J59" i="10"/>
  <c r="A60" i="10"/>
  <c r="C59" i="10"/>
  <c r="F59" i="10"/>
  <c r="D60" i="10"/>
  <c r="I60" i="10"/>
  <c r="E60" i="10"/>
  <c r="H60" i="10"/>
  <c r="J60" i="10"/>
  <c r="A61" i="10"/>
  <c r="C60" i="10"/>
  <c r="F60" i="10"/>
  <c r="D61" i="10"/>
  <c r="I61" i="10"/>
  <c r="E61" i="10"/>
  <c r="H61" i="10"/>
  <c r="J61" i="10"/>
  <c r="A62" i="10"/>
  <c r="C61" i="10"/>
  <c r="F61" i="10"/>
  <c r="D62" i="10"/>
  <c r="I62" i="10"/>
  <c r="E62" i="10"/>
  <c r="H62" i="10"/>
  <c r="J62" i="10"/>
  <c r="A63" i="10"/>
  <c r="C62" i="10"/>
  <c r="F62" i="10"/>
  <c r="D63" i="10"/>
  <c r="I63" i="10"/>
  <c r="E63" i="10"/>
  <c r="H63" i="10"/>
  <c r="J63" i="10"/>
  <c r="A64" i="10"/>
  <c r="C63" i="10"/>
  <c r="F63" i="10"/>
  <c r="D64" i="10"/>
  <c r="I64" i="10"/>
  <c r="E64" i="10"/>
  <c r="H64" i="10"/>
  <c r="J64" i="10"/>
  <c r="A65" i="10"/>
  <c r="C64" i="10"/>
  <c r="F64" i="10"/>
  <c r="D65" i="10"/>
  <c r="I65" i="10"/>
  <c r="E65" i="10"/>
  <c r="H65" i="10"/>
  <c r="J65" i="10"/>
  <c r="A66" i="10"/>
  <c r="C65" i="10"/>
  <c r="F65" i="10"/>
  <c r="C66" i="10"/>
  <c r="F66" i="10"/>
  <c r="D66" i="10"/>
  <c r="I66" i="10"/>
  <c r="A67" i="10"/>
  <c r="E66" i="10"/>
  <c r="H66" i="10"/>
  <c r="J66" i="10"/>
  <c r="A68" i="10"/>
  <c r="C67" i="10"/>
  <c r="F67" i="10"/>
  <c r="E67" i="10"/>
  <c r="H67" i="10"/>
  <c r="J67" i="10"/>
  <c r="I67" i="10"/>
  <c r="D67" i="10"/>
  <c r="E68" i="10"/>
  <c r="H68" i="10"/>
  <c r="J68" i="10"/>
  <c r="A69" i="10"/>
  <c r="C68" i="10"/>
  <c r="F68" i="10"/>
  <c r="D68" i="10"/>
  <c r="I68" i="10"/>
  <c r="D69" i="10"/>
  <c r="I69" i="10"/>
  <c r="E69" i="10"/>
  <c r="H69" i="10"/>
  <c r="J69" i="10"/>
  <c r="A70" i="10"/>
  <c r="C69" i="10"/>
  <c r="F69" i="10"/>
  <c r="C70" i="10"/>
  <c r="F70" i="10"/>
  <c r="D70" i="10"/>
  <c r="I70" i="10"/>
  <c r="E70" i="10"/>
  <c r="H70" i="10"/>
  <c r="J70" i="10"/>
  <c r="A71" i="10"/>
  <c r="A72" i="10"/>
  <c r="C71" i="10"/>
  <c r="F71" i="10"/>
  <c r="I71" i="10"/>
  <c r="D71" i="10"/>
  <c r="E71" i="10"/>
  <c r="H71" i="10"/>
  <c r="J71" i="10"/>
  <c r="E72" i="10"/>
  <c r="H72" i="10"/>
  <c r="J72" i="10"/>
  <c r="D72" i="10"/>
  <c r="A73" i="10"/>
  <c r="C72" i="10"/>
  <c r="F72" i="10"/>
  <c r="I72" i="10"/>
  <c r="D73" i="10"/>
  <c r="I73" i="10"/>
  <c r="C73" i="10"/>
  <c r="F73" i="10"/>
  <c r="E73" i="10"/>
  <c r="H73" i="10"/>
  <c r="J73" i="10"/>
  <c r="A74" i="10"/>
  <c r="C74" i="10"/>
  <c r="F74" i="10"/>
  <c r="I74" i="10"/>
  <c r="E74" i="10"/>
  <c r="H74" i="10"/>
  <c r="J74" i="10"/>
  <c r="A75" i="10"/>
  <c r="D74" i="10"/>
  <c r="A76" i="10"/>
  <c r="C75" i="10"/>
  <c r="F75" i="10"/>
  <c r="I75" i="10"/>
  <c r="E75" i="10"/>
  <c r="H75" i="10"/>
  <c r="J75" i="10"/>
  <c r="D75" i="10"/>
  <c r="E76" i="10"/>
  <c r="H76" i="10"/>
  <c r="J76" i="10"/>
  <c r="D76" i="10"/>
  <c r="A77" i="10"/>
  <c r="C76" i="10"/>
  <c r="F76" i="10"/>
  <c r="I76" i="10"/>
  <c r="D77" i="10"/>
  <c r="I77" i="10"/>
  <c r="C77" i="10"/>
  <c r="F77" i="10"/>
  <c r="E77" i="10"/>
  <c r="H77" i="10"/>
  <c r="J77" i="10"/>
  <c r="A78" i="10"/>
  <c r="C78" i="10"/>
  <c r="F78" i="10"/>
  <c r="I78" i="10"/>
  <c r="E78" i="10"/>
  <c r="H78" i="10"/>
  <c r="J78" i="10"/>
  <c r="A79" i="10"/>
  <c r="D78" i="10"/>
  <c r="A80" i="10"/>
  <c r="C79" i="10"/>
  <c r="F79" i="10"/>
  <c r="I79" i="10"/>
  <c r="E79" i="10"/>
  <c r="H79" i="10"/>
  <c r="J79" i="10"/>
  <c r="D79" i="10"/>
  <c r="E80" i="10"/>
  <c r="H80" i="10"/>
  <c r="J80" i="10"/>
  <c r="D80" i="10"/>
  <c r="A81" i="10"/>
  <c r="C80" i="10"/>
  <c r="F80" i="10"/>
  <c r="I80" i="10"/>
  <c r="D81" i="10"/>
  <c r="I81" i="10"/>
  <c r="C81" i="10"/>
  <c r="F81" i="10"/>
  <c r="E81" i="10"/>
  <c r="H81" i="10"/>
  <c r="J81" i="10"/>
  <c r="A82" i="10"/>
  <c r="C82" i="10"/>
  <c r="F82" i="10"/>
  <c r="I82" i="10"/>
  <c r="E82" i="10"/>
  <c r="H82" i="10"/>
  <c r="J82" i="10"/>
  <c r="A83" i="10"/>
  <c r="D82" i="10"/>
  <c r="A84" i="10"/>
  <c r="C83" i="10"/>
  <c r="F83" i="10"/>
  <c r="I83" i="10"/>
  <c r="E83" i="10"/>
  <c r="H83" i="10"/>
  <c r="J83" i="10"/>
  <c r="D83" i="10"/>
  <c r="E84" i="10"/>
  <c r="H84" i="10"/>
  <c r="J84" i="10"/>
  <c r="D84" i="10"/>
  <c r="A85" i="10"/>
  <c r="C84" i="10"/>
  <c r="F84" i="10"/>
  <c r="I84" i="10"/>
  <c r="D85" i="10"/>
  <c r="A86" i="10"/>
  <c r="C85" i="10"/>
  <c r="F85" i="10"/>
  <c r="I85" i="10"/>
  <c r="E85" i="10"/>
  <c r="H85" i="10"/>
  <c r="J85" i="10"/>
  <c r="E86" i="10"/>
  <c r="H86" i="10"/>
  <c r="J86" i="10"/>
  <c r="C86" i="10"/>
  <c r="F86" i="10"/>
  <c r="A87" i="10"/>
  <c r="D86" i="10"/>
  <c r="I86" i="10"/>
  <c r="D87" i="10"/>
  <c r="I87" i="10"/>
  <c r="A88" i="10"/>
  <c r="C87" i="10"/>
  <c r="F87" i="10"/>
  <c r="E87" i="10"/>
  <c r="H87" i="10"/>
  <c r="J87" i="10"/>
  <c r="C88" i="10"/>
  <c r="F88" i="10"/>
  <c r="E88" i="10"/>
  <c r="H88" i="10"/>
  <c r="J88" i="10"/>
  <c r="I88" i="10"/>
  <c r="A89" i="10"/>
  <c r="D88" i="10"/>
  <c r="D89" i="10"/>
  <c r="I89" i="10"/>
  <c r="C89" i="10"/>
  <c r="F89" i="10"/>
  <c r="A90" i="10"/>
  <c r="E89" i="10"/>
  <c r="H89" i="10"/>
  <c r="J89" i="10"/>
  <c r="C90" i="10"/>
  <c r="F90" i="10"/>
  <c r="I90" i="10"/>
  <c r="D90" i="10"/>
  <c r="E90" i="10"/>
  <c r="H90" i="10"/>
  <c r="J90" i="10"/>
  <c r="A91" i="10"/>
  <c r="A92" i="10"/>
  <c r="C91" i="10"/>
  <c r="F91" i="10"/>
  <c r="I91" i="10"/>
  <c r="D91" i="10"/>
  <c r="E91" i="10"/>
  <c r="H91" i="10"/>
  <c r="J91" i="10"/>
  <c r="E92" i="10"/>
  <c r="H92" i="10"/>
  <c r="J92" i="10"/>
  <c r="C92" i="10"/>
  <c r="F92" i="10"/>
  <c r="I92" i="10"/>
  <c r="D92" i="10"/>
  <c r="A93" i="10"/>
  <c r="D93" i="10"/>
  <c r="I93" i="10"/>
  <c r="E93" i="10"/>
  <c r="H93" i="10"/>
  <c r="J93" i="10"/>
  <c r="A94" i="10"/>
  <c r="C93" i="10"/>
  <c r="F93" i="10"/>
  <c r="C94" i="10"/>
  <c r="F94" i="10"/>
  <c r="I94" i="10"/>
  <c r="D94" i="10"/>
  <c r="E94" i="10"/>
  <c r="H94" i="10"/>
  <c r="J94" i="10"/>
  <c r="A95" i="10"/>
  <c r="A96" i="10"/>
  <c r="C95" i="10"/>
  <c r="F95" i="10"/>
  <c r="I95" i="10"/>
  <c r="D95" i="10"/>
  <c r="E95" i="10"/>
  <c r="H95" i="10"/>
  <c r="J95" i="10"/>
  <c r="E96" i="10"/>
  <c r="H96" i="10"/>
  <c r="J96" i="10"/>
  <c r="C96" i="10"/>
  <c r="F96" i="10"/>
  <c r="I96" i="10"/>
  <c r="D96" i="10"/>
  <c r="A97" i="10"/>
  <c r="C97" i="10"/>
  <c r="F97" i="10"/>
  <c r="D97" i="10"/>
  <c r="I97" i="10"/>
  <c r="E97" i="10"/>
  <c r="H97" i="10"/>
  <c r="J97" i="10"/>
  <c r="A98" i="10"/>
  <c r="A99" i="10"/>
  <c r="C98" i="10"/>
  <c r="F98" i="10"/>
  <c r="D98" i="10"/>
  <c r="I98" i="10"/>
  <c r="E98" i="10"/>
  <c r="H98" i="10"/>
  <c r="J98" i="10"/>
  <c r="E99" i="10"/>
  <c r="H99" i="10"/>
  <c r="J99" i="10"/>
  <c r="A100" i="10"/>
  <c r="C99" i="10"/>
  <c r="F99" i="10"/>
  <c r="I99" i="10"/>
  <c r="D99" i="10"/>
  <c r="D100" i="10"/>
  <c r="I100" i="10"/>
  <c r="E100" i="10"/>
  <c r="H100" i="10"/>
  <c r="J100" i="10"/>
  <c r="A101" i="10"/>
  <c r="C100" i="10"/>
  <c r="F100" i="10"/>
  <c r="C101" i="10"/>
  <c r="F101" i="10"/>
  <c r="D101" i="10"/>
  <c r="I101" i="10"/>
  <c r="E101" i="10"/>
  <c r="H101" i="10"/>
  <c r="J101" i="10"/>
  <c r="A102" i="10"/>
  <c r="A103" i="10"/>
  <c r="C102" i="10"/>
  <c r="F102" i="10"/>
  <c r="D102" i="10"/>
  <c r="I102" i="10"/>
  <c r="E102" i="10"/>
  <c r="H102" i="10"/>
  <c r="J102" i="10"/>
  <c r="E103" i="10"/>
  <c r="H103" i="10"/>
  <c r="J103" i="10"/>
  <c r="A104" i="10"/>
  <c r="C103" i="10"/>
  <c r="F103" i="10"/>
  <c r="I103" i="10"/>
  <c r="D103" i="10"/>
  <c r="D104" i="10"/>
  <c r="I104" i="10"/>
  <c r="E104" i="10"/>
  <c r="H104" i="10"/>
  <c r="J104" i="10"/>
  <c r="A105" i="10"/>
  <c r="C104" i="10"/>
  <c r="F104" i="10"/>
  <c r="C105" i="10"/>
  <c r="F105" i="10"/>
  <c r="D105" i="10"/>
  <c r="I105" i="10"/>
  <c r="E105" i="10"/>
  <c r="H105" i="10"/>
  <c r="J105" i="10"/>
  <c r="A106" i="10"/>
  <c r="A107" i="10"/>
  <c r="C106" i="10"/>
  <c r="F106" i="10"/>
  <c r="D106" i="10"/>
  <c r="I106" i="10"/>
  <c r="E106" i="10"/>
  <c r="H106" i="10"/>
  <c r="J106" i="10"/>
  <c r="E107" i="10"/>
  <c r="H107" i="10"/>
  <c r="J107" i="10"/>
  <c r="A108" i="10"/>
  <c r="C107" i="10"/>
  <c r="F107" i="10"/>
  <c r="I107" i="10"/>
  <c r="D107" i="10"/>
  <c r="D108" i="10"/>
  <c r="I108" i="10"/>
  <c r="E108" i="10"/>
  <c r="H108" i="10"/>
  <c r="J108" i="10"/>
  <c r="A109" i="10"/>
  <c r="C108" i="10"/>
  <c r="F108" i="10"/>
  <c r="C109" i="10"/>
  <c r="F109" i="10"/>
  <c r="D109" i="10"/>
  <c r="I109" i="10"/>
  <c r="E109" i="10"/>
  <c r="H109" i="10"/>
  <c r="J109" i="10"/>
  <c r="A110" i="10"/>
  <c r="A111" i="10"/>
  <c r="C110" i="10"/>
  <c r="F110" i="10"/>
  <c r="D110" i="10"/>
  <c r="I110" i="10"/>
  <c r="E110" i="10"/>
  <c r="H110" i="10"/>
  <c r="J110" i="10"/>
  <c r="E111" i="10"/>
  <c r="H111" i="10"/>
  <c r="J111" i="10"/>
  <c r="A112" i="10"/>
  <c r="C111" i="10"/>
  <c r="F111" i="10"/>
  <c r="I111" i="10"/>
  <c r="D111" i="10"/>
  <c r="D112" i="10"/>
  <c r="I112" i="10"/>
  <c r="E112" i="10"/>
  <c r="H112" i="10"/>
  <c r="J112" i="10"/>
  <c r="A113" i="10"/>
  <c r="C112" i="10"/>
  <c r="F112" i="10"/>
  <c r="C113" i="10"/>
  <c r="F113" i="10"/>
  <c r="D113" i="10"/>
  <c r="I113" i="10"/>
  <c r="E113" i="10"/>
  <c r="H113" i="10"/>
  <c r="J113" i="10"/>
  <c r="A114" i="10"/>
  <c r="A115" i="10"/>
  <c r="C114" i="10"/>
  <c r="F114" i="10"/>
  <c r="D114" i="10"/>
  <c r="I114" i="10"/>
  <c r="E114" i="10"/>
  <c r="H114" i="10"/>
  <c r="J114" i="10"/>
  <c r="E115" i="10"/>
  <c r="H115" i="10"/>
  <c r="J115" i="10"/>
  <c r="A116" i="10"/>
  <c r="C115" i="10"/>
  <c r="F115" i="10"/>
  <c r="I115" i="10"/>
  <c r="D115" i="10"/>
  <c r="D116" i="10"/>
  <c r="I116" i="10"/>
  <c r="E116" i="10"/>
  <c r="H116" i="10"/>
  <c r="J116" i="10"/>
  <c r="A117" i="10"/>
  <c r="C116" i="10"/>
  <c r="F116" i="10"/>
  <c r="C117" i="10"/>
  <c r="F117" i="10"/>
  <c r="D117" i="10"/>
  <c r="I117" i="10"/>
  <c r="E117" i="10"/>
  <c r="H117" i="10"/>
  <c r="J117" i="10"/>
  <c r="A118" i="10"/>
  <c r="A119" i="10"/>
  <c r="C118" i="10"/>
  <c r="F118" i="10"/>
  <c r="D118" i="10"/>
  <c r="I118" i="10"/>
  <c r="E118" i="10"/>
  <c r="H118" i="10"/>
  <c r="J118" i="10"/>
  <c r="E119" i="10"/>
  <c r="H119" i="10"/>
  <c r="J119" i="10"/>
  <c r="A120" i="10"/>
  <c r="C119" i="10"/>
  <c r="F119" i="10"/>
  <c r="I119" i="10"/>
  <c r="D119" i="10"/>
  <c r="D120" i="10"/>
  <c r="I120" i="10"/>
  <c r="E120" i="10"/>
  <c r="H120" i="10"/>
  <c r="J120" i="10"/>
  <c r="A121" i="10"/>
  <c r="C120" i="10"/>
  <c r="F120" i="10"/>
  <c r="C121" i="10"/>
  <c r="F121" i="10"/>
  <c r="D121" i="10"/>
  <c r="I121" i="10"/>
  <c r="E121" i="10"/>
  <c r="H121" i="10"/>
  <c r="J121" i="10"/>
  <c r="A122" i="10"/>
  <c r="A123" i="10"/>
  <c r="C122" i="10"/>
  <c r="F122" i="10"/>
  <c r="D122" i="10"/>
  <c r="I122" i="10"/>
  <c r="E122" i="10"/>
  <c r="H122" i="10"/>
  <c r="J122" i="10"/>
  <c r="E123" i="10"/>
  <c r="H123" i="10"/>
  <c r="J123" i="10"/>
  <c r="A124" i="10"/>
  <c r="C123" i="10"/>
  <c r="F123" i="10"/>
  <c r="I123" i="10"/>
  <c r="D123" i="10"/>
  <c r="D124" i="10"/>
  <c r="I124" i="10"/>
  <c r="E124" i="10"/>
  <c r="H124" i="10"/>
  <c r="J124" i="10"/>
  <c r="A125" i="10"/>
  <c r="C124" i="10"/>
  <c r="F124" i="10"/>
  <c r="C125" i="10"/>
  <c r="F125" i="10"/>
  <c r="D125" i="10"/>
  <c r="I125" i="10"/>
  <c r="E125" i="10"/>
  <c r="H125" i="10"/>
  <c r="J125" i="10"/>
  <c r="A126" i="10"/>
  <c r="A127" i="10"/>
  <c r="C126" i="10"/>
  <c r="F126" i="10"/>
  <c r="D126" i="10"/>
  <c r="I126" i="10"/>
  <c r="E126" i="10"/>
  <c r="H126" i="10"/>
  <c r="J126" i="10"/>
  <c r="E127" i="10"/>
  <c r="H127" i="10"/>
  <c r="J127" i="10"/>
  <c r="A128" i="10"/>
  <c r="C127" i="10"/>
  <c r="F127" i="10"/>
  <c r="I127" i="10"/>
  <c r="D127" i="10"/>
  <c r="D128" i="10"/>
  <c r="I128" i="10"/>
  <c r="E128" i="10"/>
  <c r="H128" i="10"/>
  <c r="J128" i="10"/>
  <c r="A129" i="10"/>
  <c r="C128" i="10"/>
  <c r="F128" i="10"/>
  <c r="C129" i="10"/>
  <c r="F129" i="10"/>
  <c r="D129" i="10"/>
  <c r="I129" i="10"/>
  <c r="E129" i="10"/>
  <c r="H129" i="10"/>
  <c r="J129" i="10"/>
  <c r="A130" i="10"/>
  <c r="A131" i="10"/>
  <c r="C130" i="10"/>
  <c r="F130" i="10"/>
  <c r="D130" i="10"/>
  <c r="I130" i="10"/>
  <c r="E130" i="10"/>
  <c r="H130" i="10"/>
  <c r="J130" i="10"/>
  <c r="E131" i="10"/>
  <c r="H131" i="10"/>
  <c r="J131" i="10"/>
  <c r="A132" i="10"/>
  <c r="C131" i="10"/>
  <c r="F131" i="10"/>
  <c r="I131" i="10"/>
  <c r="D131" i="10"/>
  <c r="D132" i="10"/>
  <c r="I132" i="10"/>
  <c r="E132" i="10"/>
  <c r="H132" i="10"/>
  <c r="J132" i="10"/>
  <c r="A133" i="10"/>
  <c r="C132" i="10"/>
  <c r="F132" i="10"/>
  <c r="C133" i="10"/>
  <c r="F133" i="10"/>
  <c r="D133" i="10"/>
  <c r="I133" i="10"/>
  <c r="E133" i="10"/>
  <c r="H133" i="10"/>
  <c r="J133" i="10"/>
  <c r="A134" i="10"/>
  <c r="A135" i="10"/>
  <c r="C134" i="10"/>
  <c r="F134" i="10"/>
  <c r="D134" i="10"/>
  <c r="I134" i="10"/>
  <c r="E134" i="10"/>
  <c r="H134" i="10"/>
  <c r="J134" i="10"/>
  <c r="E135" i="10"/>
  <c r="H135" i="10"/>
  <c r="J135" i="10"/>
  <c r="A136" i="10"/>
  <c r="C135" i="10"/>
  <c r="F135" i="10"/>
  <c r="I135" i="10"/>
  <c r="D135" i="10"/>
  <c r="D136" i="10"/>
  <c r="I136" i="10"/>
  <c r="E136" i="10"/>
  <c r="H136" i="10"/>
  <c r="J136" i="10"/>
  <c r="A137" i="10"/>
  <c r="C136" i="10"/>
  <c r="F136" i="10"/>
  <c r="C137" i="10"/>
  <c r="F137" i="10"/>
  <c r="D137" i="10"/>
  <c r="I137" i="10"/>
  <c r="E137" i="10"/>
  <c r="H137" i="10"/>
  <c r="J137" i="10"/>
  <c r="A138" i="10"/>
  <c r="A139" i="10"/>
  <c r="C138" i="10"/>
  <c r="F138" i="10"/>
  <c r="D138" i="10"/>
  <c r="I138" i="10"/>
  <c r="E138" i="10"/>
  <c r="H138" i="10"/>
  <c r="J138" i="10"/>
  <c r="E139" i="10"/>
  <c r="H139" i="10"/>
  <c r="J139" i="10"/>
  <c r="A140" i="10"/>
  <c r="C139" i="10"/>
  <c r="F139" i="10"/>
  <c r="I139" i="10"/>
  <c r="D139" i="10"/>
  <c r="D140" i="10"/>
  <c r="I140" i="10"/>
  <c r="E140" i="10"/>
  <c r="H140" i="10"/>
  <c r="J140" i="10"/>
  <c r="A141" i="10"/>
  <c r="C140" i="10"/>
  <c r="F140" i="10"/>
  <c r="C141" i="10"/>
  <c r="F141" i="10"/>
  <c r="D141" i="10"/>
  <c r="I141" i="10"/>
  <c r="E141" i="10"/>
  <c r="H141" i="10"/>
  <c r="J141" i="10"/>
  <c r="A142" i="10"/>
  <c r="A143" i="10"/>
  <c r="C142" i="10"/>
  <c r="F142" i="10"/>
  <c r="D142" i="10"/>
  <c r="I142" i="10"/>
  <c r="E142" i="10"/>
  <c r="H142" i="10"/>
  <c r="J142" i="10"/>
  <c r="E143" i="10"/>
  <c r="H143" i="10"/>
  <c r="J143" i="10"/>
  <c r="A144" i="10"/>
  <c r="C143" i="10"/>
  <c r="F143" i="10"/>
  <c r="I143" i="10"/>
  <c r="D143" i="10"/>
  <c r="D144" i="10"/>
  <c r="I144" i="10"/>
  <c r="E144" i="10"/>
  <c r="H144" i="10"/>
  <c r="J144" i="10"/>
  <c r="A145" i="10"/>
  <c r="C144" i="10"/>
  <c r="F144" i="10"/>
  <c r="C145" i="10"/>
  <c r="F145" i="10"/>
  <c r="D145" i="10"/>
  <c r="I145" i="10"/>
  <c r="E145" i="10"/>
  <c r="H145" i="10"/>
  <c r="J145" i="10"/>
  <c r="A146" i="10"/>
  <c r="A147" i="10"/>
  <c r="C146" i="10"/>
  <c r="F146" i="10"/>
  <c r="D146" i="10"/>
  <c r="I146" i="10"/>
  <c r="E146" i="10"/>
  <c r="H146" i="10"/>
  <c r="J146" i="10"/>
  <c r="E147" i="10"/>
  <c r="H147" i="10"/>
  <c r="J147" i="10"/>
  <c r="A148" i="10"/>
  <c r="C147" i="10"/>
  <c r="F147" i="10"/>
  <c r="I147" i="10"/>
  <c r="D147" i="10"/>
  <c r="D148" i="10"/>
  <c r="I148" i="10"/>
  <c r="A149" i="10"/>
  <c r="C148" i="10"/>
  <c r="F148" i="10"/>
  <c r="E148" i="10"/>
  <c r="H148" i="10"/>
  <c r="J148" i="10"/>
  <c r="C149" i="10"/>
  <c r="F149" i="10"/>
  <c r="E149" i="10"/>
  <c r="H149" i="10"/>
  <c r="J149" i="10"/>
  <c r="I149" i="10"/>
  <c r="A150" i="10"/>
  <c r="D149" i="10"/>
  <c r="A151" i="10"/>
  <c r="D150" i="10"/>
  <c r="I150" i="10"/>
  <c r="C150" i="10"/>
  <c r="F150" i="10"/>
  <c r="E150" i="10"/>
  <c r="H150" i="10"/>
  <c r="J150" i="10"/>
  <c r="E151" i="10"/>
  <c r="H151" i="10"/>
  <c r="J151" i="10"/>
  <c r="C151" i="10"/>
  <c r="F151" i="10"/>
  <c r="A152" i="10"/>
  <c r="D151" i="10"/>
  <c r="I151" i="10"/>
  <c r="D152" i="10"/>
  <c r="A153" i="10"/>
  <c r="I152" i="10"/>
  <c r="C152" i="10"/>
  <c r="F152" i="10"/>
  <c r="E152" i="10"/>
  <c r="H152" i="10"/>
  <c r="J152" i="10"/>
  <c r="E153" i="10"/>
  <c r="H153" i="10"/>
  <c r="J153" i="10"/>
  <c r="C153" i="10"/>
  <c r="F153" i="10"/>
  <c r="I153" i="10"/>
  <c r="D153" i="10"/>
  <c r="A154" i="10"/>
  <c r="D154" i="10"/>
  <c r="I154" i="10"/>
  <c r="E154" i="10"/>
  <c r="H154" i="10"/>
  <c r="J154" i="10"/>
  <c r="A155" i="10"/>
  <c r="C154" i="10"/>
  <c r="F154" i="10"/>
  <c r="C155" i="10"/>
  <c r="F155" i="10"/>
  <c r="I155" i="10"/>
  <c r="D155" i="10"/>
  <c r="E155" i="10"/>
  <c r="H155" i="10"/>
  <c r="J155" i="10"/>
  <c r="A156" i="10"/>
  <c r="A157" i="10"/>
  <c r="C156" i="10"/>
  <c r="F156" i="10"/>
  <c r="I156" i="10"/>
  <c r="D156" i="10"/>
  <c r="E156" i="10"/>
  <c r="H156" i="10"/>
  <c r="J156" i="10"/>
  <c r="E157" i="10"/>
  <c r="H157" i="10"/>
  <c r="J157" i="10"/>
  <c r="C157" i="10"/>
  <c r="F157" i="10"/>
  <c r="I157" i="10"/>
  <c r="D157" i="10"/>
  <c r="A158" i="10"/>
  <c r="D158" i="10"/>
  <c r="I158" i="10"/>
  <c r="E158" i="10"/>
  <c r="H158" i="10"/>
  <c r="J158" i="10"/>
  <c r="A159" i="10"/>
  <c r="C158" i="10"/>
  <c r="F158" i="10"/>
  <c r="C159" i="10"/>
  <c r="F159" i="10"/>
  <c r="A160" i="10"/>
  <c r="D159" i="10"/>
  <c r="I159" i="10"/>
  <c r="E159" i="10"/>
  <c r="H159" i="10"/>
  <c r="J159" i="10"/>
  <c r="E160" i="10"/>
  <c r="H160" i="10"/>
  <c r="J160" i="10"/>
  <c r="A161" i="10"/>
  <c r="C160" i="10"/>
  <c r="F160" i="10"/>
  <c r="I160" i="10"/>
  <c r="D160" i="10"/>
  <c r="D161" i="10"/>
  <c r="I161" i="10"/>
  <c r="E161" i="10"/>
  <c r="H161" i="10"/>
  <c r="J161" i="10"/>
  <c r="A162" i="10"/>
  <c r="C161" i="10"/>
  <c r="F161" i="10"/>
  <c r="C162" i="10"/>
  <c r="F162" i="10"/>
  <c r="D162" i="10"/>
  <c r="I162" i="10"/>
  <c r="E162" i="10"/>
  <c r="H162" i="10"/>
  <c r="J162" i="10"/>
  <c r="A163" i="10"/>
  <c r="A164" i="10"/>
  <c r="C163" i="10"/>
  <c r="F163" i="10"/>
  <c r="D163" i="10"/>
  <c r="I163" i="10"/>
  <c r="E163" i="10"/>
  <c r="H163" i="10"/>
  <c r="J163" i="10"/>
  <c r="E164" i="10"/>
  <c r="H164" i="10"/>
  <c r="J164" i="10"/>
  <c r="A165" i="10"/>
  <c r="C164" i="10"/>
  <c r="F164" i="10"/>
  <c r="I164" i="10"/>
  <c r="D164" i="10"/>
  <c r="D165" i="10"/>
  <c r="I165" i="10"/>
  <c r="E165" i="10"/>
  <c r="H165" i="10"/>
  <c r="J165" i="10"/>
  <c r="A166" i="10"/>
  <c r="C165" i="10"/>
  <c r="F165" i="10"/>
  <c r="C166" i="10"/>
  <c r="F166" i="10"/>
  <c r="D166" i="10"/>
  <c r="I166" i="10"/>
  <c r="E166" i="10"/>
  <c r="H166" i="10"/>
  <c r="J166" i="10"/>
  <c r="A167" i="10"/>
  <c r="A168" i="10"/>
  <c r="C167" i="10"/>
  <c r="F167" i="10"/>
  <c r="D167" i="10"/>
  <c r="I167" i="10"/>
  <c r="E167" i="10"/>
  <c r="H167" i="10"/>
  <c r="J167" i="10"/>
  <c r="E168" i="10"/>
  <c r="H168" i="10"/>
  <c r="J168" i="10"/>
  <c r="A169" i="10"/>
  <c r="C168" i="10"/>
  <c r="F168" i="10"/>
  <c r="I168" i="10"/>
  <c r="D168" i="10"/>
  <c r="D169" i="10"/>
  <c r="I169" i="10"/>
  <c r="E169" i="10"/>
  <c r="H169" i="10"/>
  <c r="J169" i="10"/>
  <c r="A170" i="10"/>
  <c r="C169" i="10"/>
  <c r="F169" i="10"/>
  <c r="C170" i="10"/>
  <c r="F170" i="10"/>
  <c r="D170" i="10"/>
  <c r="I170" i="10"/>
  <c r="E170" i="10"/>
  <c r="H170" i="10"/>
  <c r="J170" i="10"/>
  <c r="A171" i="10"/>
  <c r="A172" i="10"/>
  <c r="C171" i="10"/>
  <c r="F171" i="10"/>
  <c r="D171" i="10"/>
  <c r="I171" i="10"/>
  <c r="E171" i="10"/>
  <c r="H171" i="10"/>
  <c r="J171" i="10"/>
  <c r="E172" i="10"/>
  <c r="H172" i="10"/>
  <c r="J172" i="10"/>
  <c r="A173" i="10"/>
  <c r="C172" i="10"/>
  <c r="F172" i="10"/>
  <c r="I172" i="10"/>
  <c r="D172" i="10"/>
  <c r="D173" i="10"/>
  <c r="I173" i="10"/>
  <c r="E173" i="10"/>
  <c r="H173" i="10"/>
  <c r="J173" i="10"/>
  <c r="A174" i="10"/>
  <c r="C173" i="10"/>
  <c r="F173" i="10"/>
  <c r="C174" i="10"/>
  <c r="F174" i="10"/>
  <c r="D174" i="10"/>
  <c r="I174" i="10"/>
  <c r="E174" i="10"/>
  <c r="H174" i="10"/>
  <c r="J174" i="10"/>
  <c r="A175" i="10"/>
  <c r="A176" i="10"/>
  <c r="C175" i="10"/>
  <c r="F175" i="10"/>
  <c r="D175" i="10"/>
  <c r="I175" i="10"/>
  <c r="E175" i="10"/>
  <c r="H175" i="10"/>
  <c r="J175" i="10"/>
  <c r="E176" i="10"/>
  <c r="H176" i="10"/>
  <c r="J176" i="10"/>
  <c r="A177" i="10"/>
  <c r="C176" i="10"/>
  <c r="F176" i="10"/>
  <c r="I176" i="10"/>
  <c r="D176" i="10"/>
  <c r="D177" i="10"/>
  <c r="I177" i="10"/>
  <c r="E177" i="10"/>
  <c r="H177" i="10"/>
  <c r="J177" i="10"/>
  <c r="A178" i="10"/>
  <c r="C177" i="10"/>
  <c r="F177" i="10"/>
  <c r="C178" i="10"/>
  <c r="F178" i="10"/>
  <c r="D178" i="10"/>
  <c r="I178" i="10"/>
  <c r="E178" i="10"/>
  <c r="H178" i="10"/>
  <c r="J178" i="10"/>
  <c r="A179" i="10"/>
  <c r="A180" i="10"/>
  <c r="C179" i="10"/>
  <c r="F179" i="10"/>
  <c r="D179" i="10"/>
  <c r="I179" i="10"/>
  <c r="E179" i="10"/>
  <c r="H179" i="10"/>
  <c r="J179" i="10"/>
  <c r="E180" i="10"/>
  <c r="H180" i="10"/>
  <c r="J180" i="10"/>
  <c r="A181" i="10"/>
  <c r="C180" i="10"/>
  <c r="F180" i="10"/>
  <c r="I180" i="10"/>
  <c r="D180" i="10"/>
  <c r="D181" i="10"/>
  <c r="I181" i="10"/>
  <c r="E181" i="10"/>
  <c r="H181" i="10"/>
  <c r="J181" i="10"/>
  <c r="A182" i="10"/>
  <c r="C181" i="10"/>
  <c r="F181" i="10"/>
  <c r="C182" i="10"/>
  <c r="F182" i="10"/>
  <c r="D182" i="10"/>
  <c r="I182" i="10"/>
  <c r="E182" i="10"/>
  <c r="H182" i="10"/>
  <c r="J182" i="10"/>
  <c r="A183" i="10"/>
  <c r="A184" i="10"/>
  <c r="C183" i="10"/>
  <c r="F183" i="10"/>
  <c r="D183" i="10"/>
  <c r="I183" i="10"/>
  <c r="E183" i="10"/>
  <c r="H183" i="10"/>
  <c r="J183" i="10"/>
  <c r="E184" i="10"/>
  <c r="H184" i="10"/>
  <c r="J184" i="10"/>
  <c r="A185" i="10"/>
  <c r="C184" i="10"/>
  <c r="F184" i="10"/>
  <c r="I184" i="10"/>
  <c r="D184" i="10"/>
  <c r="D185" i="10"/>
  <c r="I185" i="10"/>
  <c r="E185" i="10"/>
  <c r="H185" i="10"/>
  <c r="J185" i="10"/>
  <c r="A186" i="10"/>
  <c r="C185" i="10"/>
  <c r="F185" i="10"/>
  <c r="C186" i="10"/>
  <c r="F186" i="10"/>
  <c r="D186" i="10"/>
  <c r="I186" i="10"/>
  <c r="E186" i="10"/>
  <c r="H186" i="10"/>
  <c r="J186" i="10"/>
  <c r="A187" i="10"/>
  <c r="A188" i="10"/>
  <c r="C187" i="10"/>
  <c r="F187" i="10"/>
  <c r="D187" i="10"/>
  <c r="I187" i="10"/>
  <c r="E187" i="10"/>
  <c r="H187" i="10"/>
  <c r="J187" i="10"/>
  <c r="E188" i="10"/>
  <c r="H188" i="10"/>
  <c r="J188" i="10"/>
  <c r="A189" i="10"/>
  <c r="C188" i="10"/>
  <c r="F188" i="10"/>
  <c r="I188" i="10"/>
  <c r="D188" i="10"/>
  <c r="D189" i="10"/>
  <c r="I189" i="10"/>
  <c r="E189" i="10"/>
  <c r="H189" i="10"/>
  <c r="J189" i="10"/>
  <c r="A190" i="10"/>
  <c r="C189" i="10"/>
  <c r="F189" i="10"/>
  <c r="C190" i="10"/>
  <c r="F190" i="10"/>
  <c r="D190" i="10"/>
  <c r="I190" i="10"/>
  <c r="E190" i="10"/>
  <c r="H190" i="10"/>
  <c r="J190" i="10"/>
  <c r="A191" i="10"/>
  <c r="A192" i="10"/>
  <c r="C191" i="10"/>
  <c r="F191" i="10"/>
  <c r="D191" i="10"/>
  <c r="I191" i="10"/>
  <c r="E191" i="10"/>
  <c r="H191" i="10"/>
  <c r="J191" i="10"/>
  <c r="E192" i="10"/>
  <c r="H192" i="10"/>
  <c r="J192" i="10"/>
  <c r="A193" i="10"/>
  <c r="C192" i="10"/>
  <c r="F192" i="10"/>
  <c r="I192" i="10"/>
  <c r="D192" i="10"/>
  <c r="D193" i="10"/>
  <c r="I193" i="10"/>
  <c r="E193" i="10"/>
  <c r="H193" i="10"/>
  <c r="J193" i="10"/>
  <c r="A194" i="10"/>
  <c r="C193" i="10"/>
  <c r="F193" i="10"/>
  <c r="C194" i="10"/>
  <c r="F194" i="10"/>
  <c r="D194" i="10"/>
  <c r="I194" i="10"/>
  <c r="E194" i="10"/>
  <c r="H194" i="10"/>
  <c r="J194" i="10"/>
  <c r="A195" i="10"/>
  <c r="A196" i="10"/>
  <c r="C195" i="10"/>
  <c r="F195" i="10"/>
  <c r="D195" i="10"/>
  <c r="I195" i="10"/>
  <c r="E195" i="10"/>
  <c r="H195" i="10"/>
  <c r="J195" i="10"/>
  <c r="E196" i="10"/>
  <c r="H196" i="10"/>
  <c r="J196" i="10"/>
  <c r="A197" i="10"/>
  <c r="C196" i="10"/>
  <c r="F196" i="10"/>
  <c r="I196" i="10"/>
  <c r="D196" i="10"/>
  <c r="D197" i="10"/>
  <c r="I197" i="10"/>
  <c r="E197" i="10"/>
  <c r="H197" i="10"/>
  <c r="J197" i="10"/>
  <c r="A198" i="10"/>
  <c r="C197" i="10"/>
  <c r="F197" i="10"/>
  <c r="C198" i="10"/>
  <c r="F198" i="10"/>
  <c r="D198" i="10"/>
  <c r="I198" i="10"/>
  <c r="E198" i="10"/>
  <c r="H198" i="10"/>
  <c r="J198" i="10"/>
  <c r="A199" i="10"/>
  <c r="A200" i="10"/>
  <c r="C199" i="10"/>
  <c r="F199" i="10"/>
  <c r="D199" i="10"/>
  <c r="I199" i="10"/>
  <c r="E199" i="10"/>
  <c r="H199" i="10"/>
  <c r="J199" i="10"/>
  <c r="E200" i="10"/>
  <c r="H200" i="10"/>
  <c r="J200" i="10"/>
  <c r="A201" i="10"/>
  <c r="C200" i="10"/>
  <c r="F200" i="10"/>
  <c r="I200" i="10"/>
  <c r="D200" i="10"/>
  <c r="D201" i="10"/>
  <c r="I201" i="10"/>
  <c r="E201" i="10"/>
  <c r="H201" i="10"/>
  <c r="J201" i="10"/>
  <c r="A202" i="10"/>
  <c r="C201" i="10"/>
  <c r="F201" i="10"/>
  <c r="C202" i="10"/>
  <c r="F202" i="10"/>
  <c r="D202" i="10"/>
  <c r="I202" i="10"/>
  <c r="E202" i="10"/>
  <c r="H202" i="10"/>
  <c r="J202" i="10"/>
  <c r="A203" i="10"/>
  <c r="A204" i="10"/>
  <c r="C203" i="10"/>
  <c r="F203" i="10"/>
  <c r="D203" i="10"/>
  <c r="I203" i="10"/>
  <c r="E203" i="10"/>
  <c r="H203" i="10"/>
  <c r="J203" i="10"/>
  <c r="E204" i="10"/>
  <c r="H204" i="10"/>
  <c r="J204" i="10"/>
  <c r="A205" i="10"/>
  <c r="C204" i="10"/>
  <c r="F204" i="10"/>
  <c r="I204" i="10"/>
  <c r="D204" i="10"/>
  <c r="D205" i="10"/>
  <c r="I205" i="10"/>
  <c r="E205" i="10"/>
  <c r="H205" i="10"/>
  <c r="J205" i="10"/>
  <c r="A206" i="10"/>
  <c r="C205" i="10"/>
  <c r="F205" i="10"/>
  <c r="C206" i="10"/>
  <c r="F206" i="10"/>
  <c r="D206" i="10"/>
  <c r="I206" i="10"/>
  <c r="E206" i="10"/>
  <c r="H206" i="10"/>
  <c r="J206" i="10"/>
  <c r="A207" i="10"/>
  <c r="A208" i="10"/>
  <c r="C207" i="10"/>
  <c r="F207" i="10"/>
  <c r="D207" i="10"/>
  <c r="I207" i="10"/>
  <c r="E207" i="10"/>
  <c r="H207" i="10"/>
  <c r="J207" i="10"/>
  <c r="E208" i="10"/>
  <c r="H208" i="10"/>
  <c r="J208" i="10"/>
  <c r="A209" i="10"/>
  <c r="C208" i="10"/>
  <c r="F208" i="10"/>
  <c r="I208" i="10"/>
  <c r="D208" i="10"/>
  <c r="D209" i="10"/>
  <c r="I209" i="10"/>
  <c r="E209" i="10"/>
  <c r="H209" i="10"/>
  <c r="J209" i="10"/>
  <c r="A210" i="10"/>
  <c r="C209" i="10"/>
  <c r="F209" i="10"/>
  <c r="C210" i="10"/>
  <c r="F210" i="10"/>
  <c r="D210" i="10"/>
  <c r="I210" i="10"/>
  <c r="E210" i="10"/>
  <c r="H210" i="10"/>
  <c r="J210" i="10"/>
  <c r="A211" i="10"/>
  <c r="A212" i="10"/>
  <c r="C211" i="10"/>
  <c r="F211" i="10"/>
  <c r="D211" i="10"/>
  <c r="I211" i="10"/>
  <c r="E211" i="10"/>
  <c r="H211" i="10"/>
  <c r="J211" i="10"/>
  <c r="E212" i="10"/>
  <c r="H212" i="10"/>
  <c r="J212" i="10"/>
  <c r="A213" i="10"/>
  <c r="C212" i="10"/>
  <c r="F212" i="10"/>
  <c r="I212" i="10"/>
  <c r="D212" i="10"/>
  <c r="D213" i="10"/>
  <c r="I213" i="10"/>
  <c r="E213" i="10"/>
  <c r="H213" i="10"/>
  <c r="J213" i="10"/>
  <c r="A214" i="10"/>
  <c r="C213" i="10"/>
  <c r="F213" i="10"/>
  <c r="C214" i="10"/>
  <c r="F214" i="10"/>
  <c r="D214" i="10"/>
  <c r="I214" i="10"/>
  <c r="E214" i="10"/>
  <c r="H214" i="10"/>
  <c r="J214" i="10"/>
  <c r="A215" i="10"/>
  <c r="C215" i="10"/>
  <c r="F215" i="10"/>
  <c r="D215" i="10"/>
  <c r="I215" i="10"/>
  <c r="E215" i="10"/>
  <c r="H215" i="10"/>
  <c r="J215" i="10"/>
  <c r="A216" i="10"/>
  <c r="A217" i="10"/>
  <c r="C216" i="10"/>
  <c r="F216" i="10"/>
  <c r="D216" i="10"/>
  <c r="E216" i="10"/>
  <c r="H216" i="10"/>
  <c r="J216" i="10"/>
  <c r="I216" i="10"/>
  <c r="E217" i="10"/>
  <c r="H217" i="10"/>
  <c r="J217" i="10"/>
  <c r="A218" i="10"/>
  <c r="I217" i="10"/>
  <c r="C217" i="10"/>
  <c r="F217" i="10"/>
  <c r="D217" i="10"/>
  <c r="D218" i="10"/>
  <c r="I218" i="10"/>
  <c r="E218" i="10"/>
  <c r="H218" i="10"/>
  <c r="J218" i="10"/>
  <c r="A219" i="10"/>
  <c r="C218" i="10"/>
  <c r="F218" i="10"/>
  <c r="D219" i="10"/>
  <c r="I219" i="10"/>
  <c r="E219" i="10"/>
  <c r="H219" i="10"/>
  <c r="J219" i="10"/>
  <c r="A220" i="10"/>
  <c r="C219" i="10"/>
  <c r="F219" i="10"/>
  <c r="C220" i="10"/>
  <c r="F220" i="10"/>
  <c r="I220" i="10"/>
  <c r="D220" i="10"/>
  <c r="E220" i="10"/>
  <c r="H220" i="10"/>
  <c r="J220" i="10"/>
  <c r="A221" i="10"/>
  <c r="A222" i="10"/>
  <c r="C221" i="10"/>
  <c r="F221" i="10"/>
  <c r="I221" i="10"/>
  <c r="D221" i="10"/>
  <c r="E221" i="10"/>
  <c r="H221" i="10"/>
  <c r="J221" i="10"/>
  <c r="E222" i="10"/>
  <c r="H222" i="10"/>
  <c r="J222" i="10"/>
  <c r="C222" i="10"/>
  <c r="F222" i="10"/>
  <c r="I222" i="10"/>
  <c r="D222" i="10"/>
  <c r="A223" i="10"/>
  <c r="D223" i="10"/>
  <c r="I223" i="10"/>
  <c r="E223" i="10"/>
  <c r="H223" i="10"/>
  <c r="J223" i="10"/>
  <c r="A224" i="10"/>
  <c r="C223" i="10"/>
  <c r="F223" i="10"/>
  <c r="C224" i="10"/>
  <c r="F224" i="10"/>
  <c r="A225" i="10"/>
  <c r="D224" i="10"/>
  <c r="I224" i="10"/>
  <c r="E224" i="10"/>
  <c r="H224" i="10"/>
  <c r="J224" i="10"/>
  <c r="E225" i="10"/>
  <c r="H225" i="10"/>
  <c r="J225" i="10"/>
  <c r="A226" i="10"/>
  <c r="C225" i="10"/>
  <c r="F225" i="10"/>
  <c r="D225" i="10"/>
  <c r="I225" i="10"/>
  <c r="D226" i="10"/>
  <c r="I226" i="10"/>
  <c r="E226" i="10"/>
  <c r="H226" i="10"/>
  <c r="J226" i="10"/>
  <c r="A227" i="10"/>
  <c r="C226" i="10"/>
  <c r="F226" i="10"/>
  <c r="C227" i="10"/>
  <c r="F227" i="10"/>
  <c r="D227" i="10"/>
  <c r="I227" i="10"/>
  <c r="E227" i="10"/>
  <c r="H227" i="10"/>
  <c r="J227" i="10"/>
  <c r="A228" i="10"/>
  <c r="A229" i="10"/>
  <c r="C228" i="10"/>
  <c r="F228" i="10"/>
  <c r="D228" i="10"/>
  <c r="I228" i="10"/>
  <c r="E228" i="10"/>
  <c r="H228" i="10"/>
  <c r="J228" i="10"/>
  <c r="E229" i="10"/>
  <c r="H229" i="10"/>
  <c r="J229" i="10"/>
  <c r="A230" i="10"/>
  <c r="C229" i="10"/>
  <c r="F229" i="10"/>
  <c r="D229" i="10"/>
  <c r="I229" i="10"/>
  <c r="D230" i="10"/>
  <c r="I230" i="10"/>
  <c r="E230" i="10"/>
  <c r="H230" i="10"/>
  <c r="J230" i="10"/>
  <c r="A231" i="10"/>
  <c r="C230" i="10"/>
  <c r="F230" i="10"/>
  <c r="C231" i="10"/>
  <c r="F231" i="10"/>
  <c r="D231" i="10"/>
  <c r="I231" i="10"/>
  <c r="E231" i="10"/>
  <c r="H231" i="10"/>
  <c r="J231" i="10"/>
  <c r="A232" i="10"/>
  <c r="A233" i="10"/>
  <c r="C232" i="10"/>
  <c r="F232" i="10"/>
  <c r="D232" i="10"/>
  <c r="I232" i="10"/>
  <c r="E232" i="10"/>
  <c r="H232" i="10"/>
  <c r="J232" i="10"/>
  <c r="E233" i="10"/>
  <c r="H233" i="10"/>
  <c r="J233" i="10"/>
  <c r="A234" i="10"/>
  <c r="C233" i="10"/>
  <c r="F233" i="10"/>
  <c r="D233" i="10"/>
  <c r="I233" i="10"/>
  <c r="D234" i="10"/>
  <c r="I234" i="10"/>
  <c r="E234" i="10"/>
  <c r="H234" i="10"/>
  <c r="J234" i="10"/>
  <c r="A235" i="10"/>
  <c r="C234" i="10"/>
  <c r="F234" i="10"/>
  <c r="C235" i="10"/>
  <c r="F235" i="10"/>
  <c r="D235" i="10"/>
  <c r="I235" i="10"/>
  <c r="E235" i="10"/>
  <c r="H235" i="10"/>
  <c r="J235" i="10"/>
  <c r="A236" i="10"/>
  <c r="A237" i="10"/>
  <c r="C236" i="10"/>
  <c r="F236" i="10"/>
  <c r="D236" i="10"/>
  <c r="I236" i="10"/>
  <c r="E236" i="10"/>
  <c r="H236" i="10"/>
  <c r="J236" i="10"/>
  <c r="E237" i="10"/>
  <c r="H237" i="10"/>
  <c r="J237" i="10"/>
  <c r="A238" i="10"/>
  <c r="C237" i="10"/>
  <c r="F237" i="10"/>
  <c r="D237" i="10"/>
  <c r="I237" i="10"/>
  <c r="D238" i="10"/>
  <c r="I238" i="10"/>
  <c r="E238" i="10"/>
  <c r="H238" i="10"/>
  <c r="J238" i="10"/>
  <c r="A239" i="10"/>
  <c r="C238" i="10"/>
  <c r="F238" i="10"/>
  <c r="C239" i="10"/>
  <c r="F239" i="10"/>
  <c r="D239" i="10"/>
  <c r="I239" i="10"/>
  <c r="E239" i="10"/>
  <c r="H239" i="10"/>
  <c r="J239" i="10"/>
  <c r="A240" i="10"/>
  <c r="A241" i="10"/>
  <c r="C240" i="10"/>
  <c r="F240" i="10"/>
  <c r="D240" i="10"/>
  <c r="I240" i="10"/>
  <c r="E240" i="10"/>
  <c r="H240" i="10"/>
  <c r="J240" i="10"/>
  <c r="E241" i="10"/>
  <c r="H241" i="10"/>
  <c r="J241" i="10"/>
  <c r="A242" i="10"/>
  <c r="C241" i="10"/>
  <c r="F241" i="10"/>
  <c r="D241" i="10"/>
  <c r="I241" i="10"/>
  <c r="D242" i="10"/>
  <c r="I242" i="10"/>
  <c r="E242" i="10"/>
  <c r="H242" i="10"/>
  <c r="J242" i="10"/>
  <c r="A243" i="10"/>
  <c r="C242" i="10"/>
  <c r="F242" i="10"/>
  <c r="C243" i="10"/>
  <c r="F243" i="10"/>
  <c r="D243" i="10"/>
  <c r="I243" i="10"/>
  <c r="E243" i="10"/>
  <c r="H243" i="10"/>
  <c r="J243" i="10"/>
  <c r="A244" i="10"/>
  <c r="A245" i="10"/>
  <c r="C244" i="10"/>
  <c r="F244" i="10"/>
  <c r="D244" i="10"/>
  <c r="I244" i="10"/>
  <c r="E244" i="10"/>
  <c r="H244" i="10"/>
  <c r="J244" i="10"/>
  <c r="E245" i="10"/>
  <c r="H245" i="10"/>
  <c r="J245" i="10"/>
  <c r="A246" i="10"/>
  <c r="C245" i="10"/>
  <c r="F245" i="10"/>
  <c r="D245" i="10"/>
  <c r="I245" i="10"/>
  <c r="D246" i="10"/>
  <c r="I246" i="10"/>
  <c r="E246" i="10"/>
  <c r="H246" i="10"/>
  <c r="J246" i="10"/>
  <c r="A247" i="10"/>
  <c r="C246" i="10"/>
  <c r="F246" i="10"/>
  <c r="C247" i="10"/>
  <c r="F247" i="10"/>
  <c r="D247" i="10"/>
  <c r="I247" i="10"/>
  <c r="E247" i="10"/>
  <c r="H247" i="10"/>
  <c r="J247" i="10"/>
  <c r="A248" i="10"/>
  <c r="A249" i="10"/>
  <c r="C248" i="10"/>
  <c r="F248" i="10"/>
  <c r="D248" i="10"/>
  <c r="I248" i="10"/>
  <c r="E248" i="10"/>
  <c r="H248" i="10"/>
  <c r="J248" i="10"/>
  <c r="E249" i="10"/>
  <c r="H249" i="10"/>
  <c r="J249" i="10"/>
  <c r="A250" i="10"/>
  <c r="C249" i="10"/>
  <c r="F249" i="10"/>
  <c r="D249" i="10"/>
  <c r="I249" i="10"/>
  <c r="D250" i="10"/>
  <c r="I250" i="10"/>
  <c r="E250" i="10"/>
  <c r="H250" i="10"/>
  <c r="J250" i="10"/>
  <c r="A251" i="10"/>
  <c r="C250" i="10"/>
  <c r="F250" i="10"/>
  <c r="C251" i="10"/>
  <c r="F251" i="10"/>
  <c r="D251" i="10"/>
  <c r="I251" i="10"/>
  <c r="E251" i="10"/>
  <c r="H251" i="10"/>
  <c r="J251" i="10"/>
  <c r="A252" i="10"/>
  <c r="A253" i="10"/>
  <c r="C252" i="10"/>
  <c r="F252" i="10"/>
  <c r="D252" i="10"/>
  <c r="I252" i="10"/>
  <c r="E252" i="10"/>
  <c r="H252" i="10"/>
  <c r="J252" i="10"/>
  <c r="E253" i="10"/>
  <c r="H253" i="10"/>
  <c r="J253" i="10"/>
  <c r="A254" i="10"/>
  <c r="C253" i="10"/>
  <c r="F253" i="10"/>
  <c r="D253" i="10"/>
  <c r="I253" i="10"/>
  <c r="D254" i="10"/>
  <c r="I254" i="10"/>
  <c r="E254" i="10"/>
  <c r="H254" i="10"/>
  <c r="J254" i="10"/>
  <c r="A255" i="10"/>
  <c r="C254" i="10"/>
  <c r="F254" i="10"/>
  <c r="C255" i="10"/>
  <c r="F255" i="10"/>
  <c r="D255" i="10"/>
  <c r="I255" i="10"/>
  <c r="E255" i="10"/>
  <c r="H255" i="10"/>
  <c r="J255" i="10"/>
  <c r="A256" i="10"/>
  <c r="A257" i="10"/>
  <c r="C256" i="10"/>
  <c r="F256" i="10"/>
  <c r="D256" i="10"/>
  <c r="I256" i="10"/>
  <c r="E256" i="10"/>
  <c r="H256" i="10"/>
  <c r="J256" i="10"/>
  <c r="E257" i="10"/>
  <c r="H257" i="10"/>
  <c r="J257" i="10"/>
  <c r="A258" i="10"/>
  <c r="C257" i="10"/>
  <c r="F257" i="10"/>
  <c r="D257" i="10"/>
  <c r="I257" i="10"/>
  <c r="D258" i="10"/>
  <c r="I258" i="10"/>
  <c r="E258" i="10"/>
  <c r="H258" i="10"/>
  <c r="J258" i="10"/>
  <c r="A259" i="10"/>
  <c r="C258" i="10"/>
  <c r="F258" i="10"/>
  <c r="C259" i="10"/>
  <c r="F259" i="10"/>
  <c r="D259" i="10"/>
  <c r="I259" i="10"/>
  <c r="E259" i="10"/>
  <c r="H259" i="10"/>
  <c r="J259" i="10"/>
  <c r="A260" i="10"/>
  <c r="A261" i="10"/>
  <c r="C260" i="10"/>
  <c r="F260" i="10"/>
  <c r="D260" i="10"/>
  <c r="I260" i="10"/>
  <c r="E260" i="10"/>
  <c r="H260" i="10"/>
  <c r="J260" i="10"/>
  <c r="E261" i="10"/>
  <c r="H261" i="10"/>
  <c r="J261" i="10"/>
  <c r="A262" i="10"/>
  <c r="C261" i="10"/>
  <c r="F261" i="10"/>
  <c r="D261" i="10"/>
  <c r="I261" i="10"/>
  <c r="D262" i="10"/>
  <c r="I262" i="10"/>
  <c r="E262" i="10"/>
  <c r="H262" i="10"/>
  <c r="J262" i="10"/>
  <c r="A263" i="10"/>
  <c r="C262" i="10"/>
  <c r="F262" i="10"/>
  <c r="C263" i="10"/>
  <c r="F263" i="10"/>
  <c r="D263" i="10"/>
  <c r="I263" i="10"/>
  <c r="E263" i="10"/>
  <c r="H263" i="10"/>
  <c r="J263" i="10"/>
  <c r="A264" i="10"/>
  <c r="A265" i="10"/>
  <c r="C264" i="10"/>
  <c r="F264" i="10"/>
  <c r="D264" i="10"/>
  <c r="I264" i="10"/>
  <c r="E264" i="10"/>
  <c r="H264" i="10"/>
  <c r="J264" i="10"/>
  <c r="E265" i="10"/>
  <c r="H265" i="10"/>
  <c r="J265" i="10"/>
  <c r="A266" i="10"/>
  <c r="C265" i="10"/>
  <c r="F265" i="10"/>
  <c r="D265" i="10"/>
  <c r="I265" i="10"/>
  <c r="D266" i="10"/>
  <c r="I266" i="10"/>
  <c r="E266" i="10"/>
  <c r="H266" i="10"/>
  <c r="J266" i="10"/>
  <c r="A267" i="10"/>
  <c r="C266" i="10"/>
  <c r="F266" i="10"/>
  <c r="C267" i="10"/>
  <c r="F267" i="10"/>
  <c r="D267" i="10"/>
  <c r="I267" i="10"/>
  <c r="E267" i="10"/>
  <c r="H267" i="10"/>
  <c r="J267" i="10"/>
  <c r="A268" i="10"/>
  <c r="A269" i="10"/>
  <c r="C268" i="10"/>
  <c r="F268" i="10"/>
  <c r="D268" i="10"/>
  <c r="I268" i="10"/>
  <c r="E268" i="10"/>
  <c r="H268" i="10"/>
  <c r="J268" i="10"/>
  <c r="E269" i="10"/>
  <c r="H269" i="10"/>
  <c r="J269" i="10"/>
  <c r="A270" i="10"/>
  <c r="C269" i="10"/>
  <c r="F269" i="10"/>
  <c r="D269" i="10"/>
  <c r="I269" i="10"/>
  <c r="D270" i="10"/>
  <c r="I270" i="10"/>
  <c r="E270" i="10"/>
  <c r="H270" i="10"/>
  <c r="J270" i="10"/>
  <c r="A271" i="10"/>
  <c r="C270" i="10"/>
  <c r="F270" i="10"/>
  <c r="C271" i="10"/>
  <c r="F271" i="10"/>
  <c r="D271" i="10"/>
  <c r="I271" i="10"/>
  <c r="E271" i="10"/>
  <c r="H271" i="10"/>
  <c r="J271" i="10"/>
  <c r="A272" i="10"/>
  <c r="A273" i="10"/>
  <c r="C272" i="10"/>
  <c r="F272" i="10"/>
  <c r="D272" i="10"/>
  <c r="I272" i="10"/>
  <c r="E272" i="10"/>
  <c r="H272" i="10"/>
  <c r="J272" i="10"/>
  <c r="E273" i="10"/>
  <c r="H273" i="10"/>
  <c r="J273" i="10"/>
  <c r="A274" i="10"/>
  <c r="C273" i="10"/>
  <c r="F273" i="10"/>
  <c r="D273" i="10"/>
  <c r="I273" i="10"/>
  <c r="D274" i="10"/>
  <c r="I274" i="10"/>
  <c r="E274" i="10"/>
  <c r="H274" i="10"/>
  <c r="J274" i="10"/>
  <c r="A275" i="10"/>
  <c r="C274" i="10"/>
  <c r="F274" i="10"/>
  <c r="C275" i="10"/>
  <c r="F275" i="10"/>
  <c r="D275" i="10"/>
  <c r="I275" i="10"/>
  <c r="E275" i="10"/>
  <c r="H275" i="10"/>
  <c r="J275" i="10"/>
  <c r="A276" i="10"/>
  <c r="A277" i="10"/>
  <c r="C276" i="10"/>
  <c r="F276" i="10"/>
  <c r="D276" i="10"/>
  <c r="I276" i="10"/>
  <c r="E276" i="10"/>
  <c r="H276" i="10"/>
  <c r="J276" i="10"/>
  <c r="E277" i="10"/>
  <c r="H277" i="10"/>
  <c r="J277" i="10"/>
  <c r="A278" i="10"/>
  <c r="C277" i="10"/>
  <c r="F277" i="10"/>
  <c r="D277" i="10"/>
  <c r="I277" i="10"/>
  <c r="D278" i="10"/>
  <c r="I278" i="10"/>
  <c r="E278" i="10"/>
  <c r="H278" i="10"/>
  <c r="J278" i="10"/>
  <c r="A279" i="10"/>
  <c r="C278" i="10"/>
  <c r="F278" i="10"/>
  <c r="C279" i="10"/>
  <c r="F279" i="10"/>
  <c r="D279" i="10"/>
  <c r="I279" i="10"/>
  <c r="E279" i="10"/>
  <c r="H279" i="10"/>
  <c r="J279" i="10"/>
  <c r="A280" i="10"/>
  <c r="A281" i="10"/>
  <c r="C280" i="10"/>
  <c r="F280" i="10"/>
  <c r="D280" i="10"/>
  <c r="I280" i="10"/>
  <c r="E280" i="10"/>
  <c r="H280" i="10"/>
  <c r="J280" i="10"/>
  <c r="E281" i="10"/>
  <c r="H281" i="10"/>
  <c r="J281" i="10"/>
  <c r="A282" i="10"/>
  <c r="C281" i="10"/>
  <c r="F281" i="10"/>
  <c r="D281" i="10"/>
  <c r="I281" i="10"/>
  <c r="D282" i="10"/>
  <c r="I282" i="10"/>
  <c r="E282" i="10"/>
  <c r="H282" i="10"/>
  <c r="J282" i="10"/>
  <c r="A283" i="10"/>
  <c r="C282" i="10"/>
  <c r="F282" i="10"/>
  <c r="C283" i="10"/>
  <c r="F283" i="10"/>
  <c r="D283" i="10"/>
  <c r="I283" i="10"/>
  <c r="E283" i="10"/>
  <c r="H283" i="10"/>
  <c r="J283" i="10"/>
  <c r="A284" i="10"/>
  <c r="A285" i="10"/>
  <c r="C284" i="10"/>
  <c r="F284" i="10"/>
  <c r="D284" i="10"/>
  <c r="I284" i="10"/>
  <c r="E284" i="10"/>
  <c r="H284" i="10"/>
  <c r="J284" i="10"/>
  <c r="E285" i="10"/>
  <c r="H285" i="10"/>
  <c r="J285" i="10"/>
  <c r="A286" i="10"/>
  <c r="C285" i="10"/>
  <c r="F285" i="10"/>
  <c r="D285" i="10"/>
  <c r="I285" i="10"/>
  <c r="D286" i="10"/>
  <c r="I286" i="10"/>
  <c r="E286" i="10"/>
  <c r="H286" i="10"/>
  <c r="J286" i="10"/>
  <c r="A287" i="10"/>
  <c r="C286" i="10"/>
  <c r="F286" i="10"/>
  <c r="C287" i="10"/>
  <c r="F287" i="10"/>
  <c r="D287" i="10"/>
  <c r="I287" i="10"/>
  <c r="E287" i="10"/>
  <c r="H287" i="10"/>
  <c r="J287" i="10"/>
  <c r="A288" i="10"/>
  <c r="A289" i="10"/>
  <c r="C288" i="10"/>
  <c r="F288" i="10"/>
  <c r="D288" i="10"/>
  <c r="I288" i="10"/>
  <c r="E288" i="10"/>
  <c r="H288" i="10"/>
  <c r="J288" i="10"/>
  <c r="E289" i="10"/>
  <c r="H289" i="10"/>
  <c r="J289" i="10"/>
  <c r="A290" i="10"/>
  <c r="C289" i="10"/>
  <c r="F289" i="10"/>
  <c r="D289" i="10"/>
  <c r="I289" i="10"/>
  <c r="D290" i="10"/>
  <c r="I290" i="10"/>
  <c r="E290" i="10"/>
  <c r="H290" i="10"/>
  <c r="J290" i="10"/>
  <c r="A291" i="10"/>
  <c r="C290" i="10"/>
  <c r="F290" i="10"/>
  <c r="C291" i="10"/>
  <c r="F291" i="10"/>
  <c r="D291" i="10"/>
  <c r="I291" i="10"/>
  <c r="E291" i="10"/>
  <c r="H291" i="10"/>
  <c r="J291" i="10"/>
  <c r="A292" i="10"/>
  <c r="A293" i="10"/>
  <c r="C292" i="10"/>
  <c r="F292" i="10"/>
  <c r="D292" i="10"/>
  <c r="I292" i="10"/>
  <c r="E292" i="10"/>
  <c r="H292" i="10"/>
  <c r="J292" i="10"/>
  <c r="E293" i="10"/>
  <c r="H293" i="10"/>
  <c r="J293" i="10"/>
  <c r="A294" i="10"/>
  <c r="C293" i="10"/>
  <c r="F293" i="10"/>
  <c r="D293" i="10"/>
  <c r="I293" i="10"/>
  <c r="D294" i="10"/>
  <c r="I294" i="10"/>
  <c r="E294" i="10"/>
  <c r="H294" i="10"/>
  <c r="J294" i="10"/>
  <c r="A295" i="10"/>
  <c r="C294" i="10"/>
  <c r="F294" i="10"/>
  <c r="C295" i="10"/>
  <c r="F295" i="10"/>
  <c r="D295" i="10"/>
  <c r="I295" i="10"/>
  <c r="E295" i="10"/>
  <c r="H295" i="10"/>
  <c r="J295" i="10"/>
  <c r="A296" i="10"/>
  <c r="A297" i="10"/>
  <c r="C296" i="10"/>
  <c r="F296" i="10"/>
  <c r="D296" i="10"/>
  <c r="I296" i="10"/>
  <c r="E296" i="10"/>
  <c r="H296" i="10"/>
  <c r="J296" i="10"/>
  <c r="E297" i="10"/>
  <c r="H297" i="10"/>
  <c r="J297" i="10"/>
  <c r="A298" i="10"/>
  <c r="C297" i="10"/>
  <c r="F297" i="10"/>
  <c r="D297" i="10"/>
  <c r="I297" i="10"/>
  <c r="D298" i="10"/>
  <c r="I298" i="10"/>
  <c r="E298" i="10"/>
  <c r="H298" i="10"/>
  <c r="J298" i="10"/>
  <c r="A299" i="10"/>
  <c r="C298" i="10"/>
  <c r="F298" i="10"/>
  <c r="C299" i="10"/>
  <c r="F299" i="10"/>
  <c r="D299" i="10"/>
  <c r="I299" i="10"/>
  <c r="E299" i="10"/>
  <c r="H299" i="10"/>
  <c r="J299" i="10"/>
  <c r="A300" i="10"/>
  <c r="A301" i="10"/>
  <c r="C300" i="10"/>
  <c r="F300" i="10"/>
  <c r="D300" i="10"/>
  <c r="I300" i="10"/>
  <c r="E300" i="10"/>
  <c r="H300" i="10"/>
  <c r="J300" i="10"/>
  <c r="E301" i="10"/>
  <c r="H301" i="10"/>
  <c r="J301" i="10"/>
  <c r="A302" i="10"/>
  <c r="C301" i="10"/>
  <c r="F301" i="10"/>
  <c r="D301" i="10"/>
  <c r="I301" i="10"/>
  <c r="D302" i="10"/>
  <c r="I302" i="10"/>
  <c r="E302" i="10"/>
  <c r="H302" i="10"/>
  <c r="J302" i="10"/>
  <c r="A303" i="10"/>
  <c r="C302" i="10"/>
  <c r="F302" i="10"/>
  <c r="C303" i="10"/>
  <c r="F303" i="10"/>
  <c r="D303" i="10"/>
  <c r="I303" i="10"/>
  <c r="E303" i="10"/>
  <c r="H303" i="10"/>
  <c r="J303" i="10"/>
  <c r="A304" i="10"/>
  <c r="A305" i="10"/>
  <c r="C304" i="10"/>
  <c r="F304" i="10"/>
  <c r="D304" i="10"/>
  <c r="I304" i="10"/>
  <c r="E304" i="10"/>
  <c r="H304" i="10"/>
  <c r="J304" i="10"/>
  <c r="E305" i="10"/>
  <c r="H305" i="10"/>
  <c r="J305" i="10"/>
  <c r="A306" i="10"/>
  <c r="C305" i="10"/>
  <c r="F305" i="10"/>
  <c r="D305" i="10"/>
  <c r="I305" i="10"/>
  <c r="D306" i="10"/>
  <c r="I306" i="10"/>
  <c r="E306" i="10"/>
  <c r="H306" i="10"/>
  <c r="J306" i="10"/>
  <c r="A307" i="10"/>
  <c r="C306" i="10"/>
  <c r="F306" i="10"/>
  <c r="C307" i="10"/>
  <c r="F307" i="10"/>
  <c r="D307" i="10"/>
  <c r="I307" i="10"/>
  <c r="E307" i="10"/>
  <c r="H307" i="10"/>
  <c r="J307" i="10"/>
  <c r="A308" i="10"/>
  <c r="A309" i="10"/>
  <c r="C308" i="10"/>
  <c r="F308" i="10"/>
  <c r="D308" i="10"/>
  <c r="I308" i="10"/>
  <c r="E308" i="10"/>
  <c r="H308" i="10"/>
  <c r="J308" i="10"/>
  <c r="E309" i="10"/>
  <c r="H309" i="10"/>
  <c r="J309" i="10"/>
  <c r="A310" i="10"/>
  <c r="C309" i="10"/>
  <c r="F309" i="10"/>
  <c r="D309" i="10"/>
  <c r="I309" i="10"/>
  <c r="D310" i="10"/>
  <c r="I310" i="10"/>
  <c r="E310" i="10"/>
  <c r="H310" i="10"/>
  <c r="J310" i="10"/>
  <c r="A311" i="10"/>
  <c r="C310" i="10"/>
  <c r="F310" i="10"/>
  <c r="C311" i="10"/>
  <c r="F311" i="10"/>
  <c r="D311" i="10"/>
  <c r="I311" i="10"/>
  <c r="E311" i="10"/>
  <c r="H311" i="10"/>
  <c r="J311" i="10"/>
  <c r="A312" i="10"/>
  <c r="A313" i="10"/>
  <c r="C312" i="10"/>
  <c r="F312" i="10"/>
  <c r="D312" i="10"/>
  <c r="I312" i="10"/>
  <c r="E312" i="10"/>
  <c r="H312" i="10"/>
  <c r="J312" i="10"/>
  <c r="E313" i="10"/>
  <c r="H313" i="10"/>
  <c r="J313" i="10"/>
  <c r="A314" i="10"/>
  <c r="C313" i="10"/>
  <c r="F313" i="10"/>
  <c r="D313" i="10"/>
  <c r="I313" i="10"/>
  <c r="D314" i="10"/>
  <c r="I314" i="10"/>
  <c r="E314" i="10"/>
  <c r="H314" i="10"/>
  <c r="J314" i="10"/>
  <c r="A315" i="10"/>
  <c r="C314" i="10"/>
  <c r="F314" i="10"/>
  <c r="C315" i="10"/>
  <c r="F315" i="10"/>
  <c r="D315" i="10"/>
  <c r="I315" i="10"/>
  <c r="E315" i="10"/>
  <c r="H315" i="10"/>
  <c r="J315" i="10"/>
  <c r="A316" i="10"/>
  <c r="A317" i="10"/>
  <c r="C316" i="10"/>
  <c r="F316" i="10"/>
  <c r="D316" i="10"/>
  <c r="I316" i="10"/>
  <c r="E316" i="10"/>
  <c r="H316" i="10"/>
  <c r="J316" i="10"/>
  <c r="E317" i="10"/>
  <c r="H317" i="10"/>
  <c r="J317" i="10"/>
  <c r="A318" i="10"/>
  <c r="C317" i="10"/>
  <c r="F317" i="10"/>
  <c r="D317" i="10"/>
  <c r="I317" i="10"/>
  <c r="D318" i="10"/>
  <c r="I318" i="10"/>
  <c r="E318" i="10"/>
  <c r="H318" i="10"/>
  <c r="J318" i="10"/>
  <c r="A319" i="10"/>
  <c r="C318" i="10"/>
  <c r="F318" i="10"/>
  <c r="C319" i="10"/>
  <c r="F319" i="10"/>
  <c r="D319" i="10"/>
  <c r="I319" i="10"/>
  <c r="E319" i="10"/>
  <c r="H319" i="10"/>
  <c r="J319" i="10"/>
  <c r="A320" i="10"/>
  <c r="A321" i="10"/>
  <c r="C320" i="10"/>
  <c r="F320" i="10"/>
  <c r="D320" i="10"/>
  <c r="I320" i="10"/>
  <c r="E320" i="10"/>
  <c r="H320" i="10"/>
  <c r="J320" i="10"/>
  <c r="E321" i="10"/>
  <c r="H321" i="10"/>
  <c r="J321" i="10"/>
  <c r="A322" i="10"/>
  <c r="C321" i="10"/>
  <c r="F321" i="10"/>
  <c r="D321" i="10"/>
  <c r="I321" i="10"/>
  <c r="D322" i="10"/>
  <c r="I322" i="10"/>
  <c r="E322" i="10"/>
  <c r="H322" i="10"/>
  <c r="J322" i="10"/>
  <c r="A323" i="10"/>
  <c r="C322" i="10"/>
  <c r="F322" i="10"/>
  <c r="C323" i="10"/>
  <c r="F323" i="10"/>
  <c r="D323" i="10"/>
  <c r="I323" i="10"/>
  <c r="E323" i="10"/>
  <c r="H323" i="10"/>
  <c r="J323" i="10"/>
  <c r="A324" i="10"/>
  <c r="A325" i="10"/>
  <c r="C324" i="10"/>
  <c r="F324" i="10"/>
  <c r="D324" i="10"/>
  <c r="I324" i="10"/>
  <c r="E324" i="10"/>
  <c r="H324" i="10"/>
  <c r="J324" i="10"/>
  <c r="E325" i="10"/>
  <c r="H325" i="10"/>
  <c r="J325" i="10"/>
  <c r="A326" i="10"/>
  <c r="C325" i="10"/>
  <c r="F325" i="10"/>
  <c r="D325" i="10"/>
  <c r="I325" i="10"/>
  <c r="D326" i="10"/>
  <c r="I326" i="10"/>
  <c r="E326" i="10"/>
  <c r="H326" i="10"/>
  <c r="J326" i="10"/>
  <c r="A327" i="10"/>
  <c r="C326" i="10"/>
  <c r="F326" i="10"/>
  <c r="C327" i="10"/>
  <c r="F327" i="10"/>
  <c r="D327" i="10"/>
  <c r="I327" i="10"/>
  <c r="E327" i="10"/>
  <c r="H327" i="10"/>
  <c r="J327" i="10"/>
  <c r="A328" i="10"/>
  <c r="A329" i="10"/>
  <c r="C328" i="10"/>
  <c r="F328" i="10"/>
  <c r="D328" i="10"/>
  <c r="I328" i="10"/>
  <c r="E328" i="10"/>
  <c r="H328" i="10"/>
  <c r="J328" i="10"/>
  <c r="E329" i="10"/>
  <c r="H329" i="10"/>
  <c r="J329" i="10"/>
  <c r="A330" i="10"/>
  <c r="C329" i="10"/>
  <c r="F329" i="10"/>
  <c r="D329" i="10"/>
  <c r="I329" i="10"/>
  <c r="D330" i="10"/>
  <c r="I330" i="10"/>
  <c r="E330" i="10"/>
  <c r="H330" i="10"/>
  <c r="J330" i="10"/>
  <c r="A331" i="10"/>
  <c r="C330" i="10"/>
  <c r="F330" i="10"/>
  <c r="C331" i="10"/>
  <c r="F331" i="10"/>
  <c r="D331" i="10"/>
  <c r="I331" i="10"/>
  <c r="E331" i="10"/>
  <c r="H331" i="10"/>
  <c r="J331" i="10"/>
  <c r="A332" i="10"/>
  <c r="A333" i="10"/>
  <c r="C332" i="10"/>
  <c r="F332" i="10"/>
  <c r="D332" i="10"/>
  <c r="I332" i="10"/>
  <c r="E332" i="10"/>
  <c r="H332" i="10"/>
  <c r="J332" i="10"/>
  <c r="E333" i="10"/>
  <c r="H333" i="10"/>
  <c r="J333" i="10"/>
  <c r="A334" i="10"/>
  <c r="C333" i="10"/>
  <c r="F333" i="10"/>
  <c r="D333" i="10"/>
  <c r="I333" i="10"/>
  <c r="D334" i="10"/>
  <c r="I334" i="10"/>
  <c r="E334" i="10"/>
  <c r="H334" i="10"/>
  <c r="J334" i="10"/>
  <c r="A335" i="10"/>
  <c r="C334" i="10"/>
  <c r="F334" i="10"/>
  <c r="C335" i="10"/>
  <c r="F335" i="10"/>
  <c r="D335" i="10"/>
  <c r="I335" i="10"/>
  <c r="E335" i="10"/>
  <c r="H335" i="10"/>
  <c r="J335" i="10"/>
  <c r="A336" i="10"/>
  <c r="A337" i="10"/>
  <c r="C336" i="10"/>
  <c r="F336" i="10"/>
  <c r="D336" i="10"/>
  <c r="I336" i="10"/>
  <c r="E336" i="10"/>
  <c r="H336" i="10"/>
  <c r="J336" i="10"/>
  <c r="E337" i="10"/>
  <c r="H337" i="10"/>
  <c r="J337" i="10"/>
  <c r="A338" i="10"/>
  <c r="C337" i="10"/>
  <c r="F337" i="10"/>
  <c r="D337" i="10"/>
  <c r="I337" i="10"/>
  <c r="D338" i="10"/>
  <c r="I338" i="10"/>
  <c r="E338" i="10"/>
  <c r="H338" i="10"/>
  <c r="J338" i="10"/>
  <c r="A339" i="10"/>
  <c r="C338" i="10"/>
  <c r="F338" i="10"/>
  <c r="C339" i="10"/>
  <c r="F339" i="10"/>
  <c r="D339" i="10"/>
  <c r="I339" i="10"/>
  <c r="E339" i="10"/>
  <c r="H339" i="10"/>
  <c r="J339" i="10"/>
  <c r="A340" i="10"/>
  <c r="A341" i="10"/>
  <c r="C340" i="10"/>
  <c r="F340" i="10"/>
  <c r="D340" i="10"/>
  <c r="I340" i="10"/>
  <c r="E340" i="10"/>
  <c r="H340" i="10"/>
  <c r="J340" i="10"/>
  <c r="E341" i="10"/>
  <c r="H341" i="10"/>
  <c r="J341" i="10"/>
  <c r="A342" i="10"/>
  <c r="C341" i="10"/>
  <c r="F341" i="10"/>
  <c r="D341" i="10"/>
  <c r="I341" i="10"/>
  <c r="D342" i="10"/>
  <c r="I342" i="10"/>
  <c r="E342" i="10"/>
  <c r="H342" i="10"/>
  <c r="J342" i="10"/>
  <c r="A343" i="10"/>
  <c r="C342" i="10"/>
  <c r="F342" i="10"/>
  <c r="C343" i="10"/>
  <c r="F343" i="10"/>
  <c r="E343" i="10"/>
  <c r="H343" i="10"/>
  <c r="J343" i="10"/>
  <c r="D343" i="10"/>
  <c r="I343" i="10"/>
  <c r="A344" i="10"/>
  <c r="A345" i="10"/>
  <c r="D344" i="10"/>
  <c r="I344" i="10"/>
  <c r="C344" i="10"/>
  <c r="F344" i="10"/>
  <c r="E344" i="10"/>
  <c r="H344" i="10"/>
  <c r="J344" i="10"/>
  <c r="E345" i="10"/>
  <c r="H345" i="10"/>
  <c r="J345" i="10"/>
  <c r="C345" i="10"/>
  <c r="F345" i="10"/>
  <c r="I345" i="10"/>
  <c r="A346" i="10"/>
  <c r="D345" i="10"/>
  <c r="D346" i="10"/>
  <c r="I346" i="10"/>
  <c r="A347" i="10"/>
  <c r="E346" i="10"/>
  <c r="H346" i="10"/>
  <c r="J346" i="10"/>
  <c r="C346" i="10"/>
  <c r="F346" i="10"/>
  <c r="C347" i="10"/>
  <c r="F347" i="10"/>
  <c r="E347" i="10"/>
  <c r="H347" i="10"/>
  <c r="J347" i="10"/>
  <c r="D347" i="10"/>
  <c r="I347" i="10"/>
  <c r="A348" i="10"/>
  <c r="A349" i="10"/>
  <c r="D348" i="10"/>
  <c r="I348" i="10"/>
  <c r="C348" i="10"/>
  <c r="F348" i="10"/>
  <c r="E348" i="10"/>
  <c r="H348" i="10"/>
  <c r="J348" i="10"/>
  <c r="E349" i="10"/>
  <c r="H349" i="10"/>
  <c r="J349" i="10"/>
  <c r="C349" i="10"/>
  <c r="F349" i="10"/>
  <c r="I349" i="10"/>
  <c r="A350" i="10"/>
  <c r="D349" i="10"/>
  <c r="D350" i="10"/>
  <c r="I350" i="10"/>
  <c r="A351" i="10"/>
  <c r="E350" i="10"/>
  <c r="H350" i="10"/>
  <c r="J350" i="10"/>
  <c r="C350" i="10"/>
  <c r="F350" i="10"/>
  <c r="C351" i="10"/>
  <c r="F351" i="10"/>
  <c r="E351" i="10"/>
  <c r="H351" i="10"/>
  <c r="J351" i="10"/>
  <c r="D351" i="10"/>
  <c r="I351" i="10"/>
  <c r="A352" i="10"/>
  <c r="A353" i="10"/>
  <c r="D352" i="10"/>
  <c r="I352" i="10"/>
  <c r="C352" i="10"/>
  <c r="F352" i="10"/>
  <c r="E352" i="10"/>
  <c r="H352" i="10"/>
  <c r="J352" i="10"/>
  <c r="E353" i="10"/>
  <c r="H353" i="10"/>
  <c r="J353" i="10"/>
  <c r="C353" i="10"/>
  <c r="F353" i="10"/>
  <c r="I353" i="10"/>
  <c r="A354" i="10"/>
  <c r="D353" i="10"/>
  <c r="D354" i="10"/>
  <c r="I354" i="10"/>
  <c r="A355" i="10"/>
  <c r="E354" i="10"/>
  <c r="H354" i="10"/>
  <c r="J354" i="10"/>
  <c r="C354" i="10"/>
  <c r="F354" i="10"/>
  <c r="C355" i="10"/>
  <c r="F355" i="10"/>
  <c r="E355" i="10"/>
  <c r="H355" i="10"/>
  <c r="J355" i="10"/>
  <c r="D355" i="10"/>
  <c r="I355" i="10"/>
  <c r="A356" i="10"/>
  <c r="A357" i="10"/>
  <c r="D356" i="10"/>
  <c r="I356" i="10"/>
  <c r="C356" i="10"/>
  <c r="F356" i="10"/>
  <c r="E356" i="10"/>
  <c r="H356" i="10"/>
  <c r="J356" i="10"/>
  <c r="E357" i="10"/>
  <c r="H357" i="10"/>
  <c r="J357" i="10"/>
  <c r="C357" i="10"/>
  <c r="F357" i="10"/>
  <c r="I357" i="10"/>
  <c r="D357" i="10"/>
  <c r="A358" i="10"/>
  <c r="A359" i="10"/>
  <c r="C358" i="10"/>
  <c r="F358" i="10"/>
  <c r="I358" i="10"/>
  <c r="D358" i="10"/>
  <c r="E358" i="10"/>
  <c r="H358" i="10"/>
  <c r="J358" i="10"/>
  <c r="E359" i="10"/>
  <c r="H359" i="10"/>
  <c r="J359" i="10"/>
  <c r="D359" i="10"/>
  <c r="A360" i="10"/>
  <c r="I359" i="10"/>
  <c r="C359" i="10"/>
  <c r="F359" i="10"/>
  <c r="D360" i="10"/>
  <c r="I360" i="10"/>
  <c r="C360" i="10"/>
  <c r="F360" i="10"/>
  <c r="E360" i="10"/>
  <c r="H360" i="10"/>
  <c r="J360" i="10"/>
  <c r="A361" i="10"/>
  <c r="C361" i="10"/>
  <c r="F361" i="10"/>
  <c r="I361" i="10"/>
  <c r="D361" i="10"/>
  <c r="E361" i="10"/>
  <c r="H361" i="10"/>
  <c r="J361" i="10"/>
  <c r="A362" i="10"/>
  <c r="A363" i="10"/>
  <c r="C362" i="10"/>
  <c r="F362" i="10"/>
  <c r="I362" i="10"/>
  <c r="D362" i="10"/>
  <c r="E362" i="10"/>
  <c r="H362" i="10"/>
  <c r="J362" i="10"/>
  <c r="E363" i="10"/>
  <c r="H363" i="10"/>
  <c r="J363" i="10"/>
  <c r="D363" i="10"/>
  <c r="A364" i="10"/>
  <c r="C363" i="10"/>
  <c r="F363" i="10"/>
  <c r="I363" i="10"/>
  <c r="D364" i="10"/>
  <c r="I364" i="10"/>
  <c r="C364" i="10"/>
  <c r="F364" i="10"/>
  <c r="E364" i="10"/>
  <c r="H364" i="10"/>
  <c r="J364" i="10"/>
  <c r="A365" i="10"/>
  <c r="C365" i="10"/>
  <c r="F365" i="10"/>
  <c r="I365" i="10"/>
  <c r="D365" i="10"/>
  <c r="E365" i="10"/>
  <c r="H365" i="10"/>
  <c r="J365" i="10"/>
  <c r="A366" i="10"/>
  <c r="A367" i="10"/>
  <c r="C366" i="10"/>
  <c r="F366" i="10"/>
  <c r="I366" i="10"/>
  <c r="D366" i="10"/>
  <c r="E366" i="10"/>
  <c r="H366" i="10"/>
  <c r="J366" i="10"/>
  <c r="E367" i="10"/>
  <c r="H367" i="10"/>
  <c r="J367" i="10"/>
  <c r="D367" i="10"/>
  <c r="A368" i="10"/>
  <c r="I367" i="10"/>
  <c r="C367" i="10"/>
  <c r="F367" i="10"/>
  <c r="D368" i="10"/>
  <c r="I368" i="10"/>
  <c r="C368" i="10"/>
  <c r="F368" i="10"/>
  <c r="E368" i="10"/>
  <c r="H368" i="10"/>
  <c r="J368" i="10"/>
  <c r="A369" i="10"/>
  <c r="C369" i="10"/>
  <c r="F369" i="10"/>
  <c r="I369" i="10"/>
  <c r="D369" i="10"/>
  <c r="E369" i="10"/>
  <c r="H369" i="10"/>
  <c r="J369" i="10"/>
  <c r="A370" i="10"/>
  <c r="A371" i="10"/>
  <c r="C370" i="10"/>
  <c r="F370" i="10"/>
  <c r="I370" i="10"/>
  <c r="D370" i="10"/>
  <c r="E370" i="10"/>
  <c r="H370" i="10"/>
  <c r="J370" i="10"/>
  <c r="E371" i="10"/>
  <c r="H371" i="10"/>
  <c r="J371" i="10"/>
  <c r="D371" i="10"/>
  <c r="A372" i="10"/>
  <c r="C371" i="10"/>
  <c r="F371" i="10"/>
  <c r="I371" i="10"/>
  <c r="D372" i="10"/>
  <c r="I372" i="10"/>
  <c r="C372" i="10"/>
  <c r="F372" i="10"/>
  <c r="E372" i="10"/>
  <c r="H372" i="10"/>
  <c r="J372" i="10"/>
  <c r="A373" i="10"/>
  <c r="C373" i="10"/>
  <c r="F373" i="10"/>
  <c r="D373" i="10"/>
  <c r="I373" i="10"/>
  <c r="E373" i="10"/>
  <c r="H373" i="10"/>
  <c r="J373" i="10"/>
  <c r="A374" i="10"/>
  <c r="A375" i="10"/>
  <c r="C374" i="10"/>
  <c r="F374" i="10"/>
  <c r="D374" i="10"/>
  <c r="I374" i="10"/>
  <c r="E374" i="10"/>
  <c r="H374" i="10"/>
  <c r="J374" i="10"/>
  <c r="E375" i="10"/>
  <c r="H375" i="10"/>
  <c r="J375" i="10"/>
  <c r="A376" i="10"/>
  <c r="C375" i="10"/>
  <c r="F375" i="10"/>
  <c r="D375" i="10"/>
  <c r="I375" i="10"/>
  <c r="D376" i="10"/>
  <c r="I376" i="10"/>
  <c r="E376" i="10"/>
  <c r="H376" i="10"/>
  <c r="J376" i="10"/>
  <c r="A377" i="10"/>
  <c r="C376" i="10"/>
  <c r="F376" i="10"/>
  <c r="C377" i="10"/>
  <c r="F377" i="10"/>
  <c r="D377" i="10"/>
  <c r="I377" i="10"/>
  <c r="E377" i="10"/>
  <c r="H377" i="10"/>
  <c r="J377" i="10"/>
  <c r="A378" i="10"/>
  <c r="A379" i="10"/>
  <c r="C378" i="10"/>
  <c r="F378" i="10"/>
  <c r="D378" i="10"/>
  <c r="I378" i="10"/>
  <c r="E378" i="10"/>
  <c r="H378" i="10"/>
  <c r="J378" i="10"/>
  <c r="E379" i="10"/>
  <c r="H379" i="10"/>
  <c r="J379" i="10"/>
  <c r="A380" i="10"/>
  <c r="C379" i="10"/>
  <c r="F379" i="10"/>
  <c r="D379" i="10"/>
  <c r="I379" i="10"/>
  <c r="D380" i="10"/>
  <c r="I380" i="10"/>
  <c r="E380" i="10"/>
  <c r="H380" i="10"/>
  <c r="J380" i="10"/>
  <c r="A381" i="10"/>
  <c r="C380" i="10"/>
  <c r="F380" i="10"/>
  <c r="C381" i="10"/>
  <c r="F381" i="10"/>
  <c r="D381" i="10"/>
  <c r="I381" i="10"/>
  <c r="E381" i="10"/>
  <c r="H381" i="10"/>
  <c r="J381" i="10"/>
  <c r="A382" i="10"/>
  <c r="A383" i="10"/>
  <c r="C382" i="10"/>
  <c r="F382" i="10"/>
  <c r="D382" i="10"/>
  <c r="I382" i="10"/>
  <c r="E382" i="10"/>
  <c r="H382" i="10"/>
  <c r="J382" i="10"/>
  <c r="E383" i="10"/>
  <c r="H383" i="10"/>
  <c r="J383" i="10"/>
  <c r="A384" i="10"/>
  <c r="C383" i="10"/>
  <c r="F383" i="10"/>
  <c r="D383" i="10"/>
  <c r="I383" i="10"/>
  <c r="D384" i="10"/>
  <c r="I384" i="10"/>
  <c r="E384" i="10"/>
  <c r="H384" i="10"/>
  <c r="J384" i="10"/>
  <c r="A385" i="10"/>
  <c r="C384" i="10"/>
  <c r="F384" i="10"/>
  <c r="C385" i="10"/>
  <c r="F385" i="10"/>
  <c r="D385" i="10"/>
  <c r="I385" i="10"/>
  <c r="E385" i="10"/>
  <c r="H385" i="10"/>
  <c r="J385" i="10"/>
  <c r="A386" i="10"/>
  <c r="A387" i="10"/>
  <c r="C386" i="10"/>
  <c r="F386" i="10"/>
  <c r="D386" i="10"/>
  <c r="I386" i="10"/>
  <c r="E386" i="10"/>
  <c r="H386" i="10"/>
  <c r="J386" i="10"/>
  <c r="E387" i="10"/>
  <c r="H387" i="10"/>
  <c r="J387" i="10"/>
  <c r="A388" i="10"/>
  <c r="C387" i="10"/>
  <c r="F387" i="10"/>
  <c r="D387" i="10"/>
  <c r="I387" i="10"/>
  <c r="D388" i="10"/>
  <c r="I388" i="10"/>
  <c r="E388" i="10"/>
  <c r="H388" i="10"/>
  <c r="J388" i="10"/>
  <c r="A389" i="10"/>
  <c r="C388" i="10"/>
  <c r="F388" i="10"/>
  <c r="C389" i="10"/>
  <c r="F389" i="10"/>
  <c r="D389" i="10"/>
  <c r="I389" i="10"/>
  <c r="E389" i="10"/>
  <c r="H389" i="10"/>
  <c r="J389" i="10"/>
  <c r="A390" i="10"/>
  <c r="A391" i="10"/>
  <c r="C390" i="10"/>
  <c r="F390" i="10"/>
  <c r="D390" i="10"/>
  <c r="I390" i="10"/>
  <c r="E390" i="10"/>
  <c r="H390" i="10"/>
  <c r="J390" i="10"/>
  <c r="E391" i="10"/>
  <c r="H391" i="10"/>
  <c r="J391" i="10"/>
  <c r="A392" i="10"/>
  <c r="C391" i="10"/>
  <c r="F391" i="10"/>
  <c r="D391" i="10"/>
  <c r="I391" i="10"/>
  <c r="D392" i="10"/>
  <c r="I392" i="10"/>
  <c r="E392" i="10"/>
  <c r="H392" i="10"/>
  <c r="J392" i="10"/>
  <c r="A393" i="10"/>
  <c r="C392" i="10"/>
  <c r="F392" i="10"/>
  <c r="C393" i="10"/>
  <c r="F393" i="10"/>
  <c r="D393" i="10"/>
  <c r="I393" i="10"/>
  <c r="E393" i="10"/>
  <c r="H393" i="10"/>
  <c r="J393" i="10"/>
  <c r="A394" i="10"/>
  <c r="A395" i="10"/>
  <c r="C394" i="10"/>
  <c r="F394" i="10"/>
  <c r="D394" i="10"/>
  <c r="I394" i="10"/>
  <c r="E394" i="10"/>
  <c r="H394" i="10"/>
  <c r="J394" i="10"/>
  <c r="E395" i="10"/>
  <c r="H395" i="10"/>
  <c r="J395" i="10"/>
  <c r="A396" i="10"/>
  <c r="C395" i="10"/>
  <c r="F395" i="10"/>
  <c r="D395" i="10"/>
  <c r="I395" i="10"/>
  <c r="D396" i="10"/>
  <c r="I396" i="10"/>
  <c r="E396" i="10"/>
  <c r="H396" i="10"/>
  <c r="J396" i="10"/>
  <c r="A397" i="10"/>
  <c r="C396" i="10"/>
  <c r="F396" i="10"/>
  <c r="C397" i="10"/>
  <c r="F397" i="10"/>
  <c r="D397" i="10"/>
  <c r="I397" i="10"/>
  <c r="E397" i="10"/>
  <c r="H397" i="10"/>
  <c r="J397" i="10"/>
  <c r="A398" i="10"/>
  <c r="A399" i="10"/>
  <c r="C398" i="10"/>
  <c r="F398" i="10"/>
  <c r="D398" i="10"/>
  <c r="I398" i="10"/>
  <c r="E398" i="10"/>
  <c r="H398" i="10"/>
  <c r="J398" i="10"/>
  <c r="E399" i="10"/>
  <c r="H399" i="10"/>
  <c r="J399" i="10"/>
  <c r="A400" i="10"/>
  <c r="C399" i="10"/>
  <c r="F399" i="10"/>
  <c r="D399" i="10"/>
  <c r="I399" i="10"/>
  <c r="D400" i="10"/>
  <c r="I400" i="10"/>
  <c r="E400" i="10"/>
  <c r="H400" i="10"/>
  <c r="J400" i="10"/>
  <c r="A401" i="10"/>
  <c r="C400" i="10"/>
  <c r="F400" i="10"/>
  <c r="C401" i="10"/>
  <c r="F401" i="10"/>
  <c r="D401" i="10"/>
  <c r="I401" i="10"/>
  <c r="E401" i="10"/>
  <c r="H401" i="10"/>
  <c r="J401" i="10"/>
  <c r="A402" i="10"/>
  <c r="A403" i="10"/>
  <c r="C402" i="10"/>
  <c r="F402" i="10"/>
  <c r="D402" i="10"/>
  <c r="I402" i="10"/>
  <c r="E402" i="10"/>
  <c r="H402" i="10"/>
  <c r="J402" i="10"/>
  <c r="E403" i="10"/>
  <c r="H403" i="10"/>
  <c r="J403" i="10"/>
  <c r="A404" i="10"/>
  <c r="C403" i="10"/>
  <c r="F403" i="10"/>
  <c r="D403" i="10"/>
  <c r="I403" i="10"/>
  <c r="D404" i="10"/>
  <c r="I404" i="10"/>
  <c r="E404" i="10"/>
  <c r="H404" i="10"/>
  <c r="J404" i="10"/>
  <c r="A405" i="10"/>
  <c r="C404" i="10"/>
  <c r="F404" i="10"/>
  <c r="C405" i="10"/>
  <c r="F405" i="10"/>
  <c r="D405" i="10"/>
  <c r="I405" i="10"/>
  <c r="E405" i="10"/>
  <c r="H405" i="10"/>
  <c r="J405" i="10"/>
  <c r="A406" i="10"/>
  <c r="A407" i="10"/>
  <c r="C406" i="10"/>
  <c r="F406" i="10"/>
  <c r="D406" i="10"/>
  <c r="I406" i="10"/>
  <c r="E406" i="10"/>
  <c r="H406" i="10"/>
  <c r="J406" i="10"/>
  <c r="E407" i="10"/>
  <c r="H407" i="10"/>
  <c r="J407" i="10"/>
  <c r="A408" i="10"/>
  <c r="C407" i="10"/>
  <c r="F407" i="10"/>
  <c r="D407" i="10"/>
  <c r="I407" i="10"/>
  <c r="D408" i="10"/>
  <c r="I408" i="10"/>
  <c r="E408" i="10"/>
  <c r="H408" i="10"/>
  <c r="J408" i="10"/>
  <c r="A409" i="10"/>
  <c r="C408" i="10"/>
  <c r="F408" i="10"/>
  <c r="C409" i="10"/>
  <c r="F409" i="10"/>
  <c r="D409" i="10"/>
  <c r="I409" i="10"/>
  <c r="E409" i="10"/>
  <c r="H409" i="10"/>
  <c r="J409" i="10"/>
  <c r="A410" i="10"/>
  <c r="A411" i="10"/>
  <c r="C410" i="10"/>
  <c r="F410" i="10"/>
  <c r="D410" i="10"/>
  <c r="I410" i="10"/>
  <c r="E410" i="10"/>
  <c r="H410" i="10"/>
  <c r="J410" i="10"/>
  <c r="E411" i="10"/>
  <c r="H411" i="10"/>
  <c r="J411" i="10"/>
  <c r="A412" i="10"/>
  <c r="C411" i="10"/>
  <c r="F411" i="10"/>
  <c r="D411" i="10"/>
  <c r="I411" i="10"/>
  <c r="D412" i="10"/>
  <c r="I412" i="10"/>
  <c r="E412" i="10"/>
  <c r="H412" i="10"/>
  <c r="J412" i="10"/>
  <c r="A413" i="10"/>
  <c r="C412" i="10"/>
  <c r="F412" i="10"/>
  <c r="C413" i="10"/>
  <c r="F413" i="10"/>
  <c r="D413" i="10"/>
  <c r="I413" i="10"/>
  <c r="E413" i="10"/>
  <c r="H413" i="10"/>
  <c r="J413" i="10"/>
  <c r="A414" i="10"/>
  <c r="A415" i="10"/>
  <c r="C414" i="10"/>
  <c r="F414" i="10"/>
  <c r="D414" i="10"/>
  <c r="I414" i="10"/>
  <c r="E414" i="10"/>
  <c r="H414" i="10"/>
  <c r="J414" i="10"/>
  <c r="E415" i="10"/>
  <c r="H415" i="10"/>
  <c r="J415" i="10"/>
  <c r="A416" i="10"/>
  <c r="C415" i="10"/>
  <c r="F415" i="10"/>
  <c r="D415" i="10"/>
  <c r="I415" i="10"/>
  <c r="D416" i="10"/>
  <c r="I416" i="10"/>
  <c r="E416" i="10"/>
  <c r="H416" i="10"/>
  <c r="J416" i="10"/>
  <c r="A417" i="10"/>
  <c r="C416" i="10"/>
  <c r="F416" i="10"/>
  <c r="C417" i="10"/>
  <c r="F417" i="10"/>
  <c r="D417" i="10"/>
  <c r="I417" i="10"/>
  <c r="E417" i="10"/>
  <c r="H417" i="10"/>
  <c r="J417" i="10"/>
  <c r="A418" i="10"/>
  <c r="A419" i="10"/>
  <c r="C418" i="10"/>
  <c r="F418" i="10"/>
  <c r="D418" i="10"/>
  <c r="I418" i="10"/>
  <c r="E418" i="10"/>
  <c r="H418" i="10"/>
  <c r="J418" i="10"/>
  <c r="E419" i="10"/>
  <c r="H419" i="10"/>
  <c r="J419" i="10"/>
  <c r="A420" i="10"/>
  <c r="C419" i="10"/>
  <c r="F419" i="10"/>
  <c r="D419" i="10"/>
  <c r="I419" i="10"/>
  <c r="D420" i="10"/>
  <c r="I420" i="10"/>
  <c r="E420" i="10"/>
  <c r="H420" i="10"/>
  <c r="J420" i="10"/>
  <c r="A421" i="10"/>
  <c r="C420" i="10"/>
  <c r="F420" i="10"/>
  <c r="C421" i="10"/>
  <c r="F421" i="10"/>
  <c r="D421" i="10"/>
  <c r="I421" i="10"/>
  <c r="E421" i="10"/>
  <c r="H421" i="10"/>
  <c r="J421" i="10"/>
  <c r="A422" i="10"/>
  <c r="A423" i="10"/>
  <c r="C422" i="10"/>
  <c r="F422" i="10"/>
  <c r="D422" i="10"/>
  <c r="I422" i="10"/>
  <c r="E422" i="10"/>
  <c r="H422" i="10"/>
  <c r="J422" i="10"/>
  <c r="E423" i="10"/>
  <c r="H423" i="10"/>
  <c r="J423" i="10"/>
  <c r="A424" i="10"/>
  <c r="C423" i="10"/>
  <c r="F423" i="10"/>
  <c r="D423" i="10"/>
  <c r="I423" i="10"/>
  <c r="D424" i="10"/>
  <c r="I424" i="10"/>
  <c r="E424" i="10"/>
  <c r="H424" i="10"/>
  <c r="J424" i="10"/>
  <c r="A425" i="10"/>
  <c r="C424" i="10"/>
  <c r="F424" i="10"/>
  <c r="C425" i="10"/>
  <c r="F425" i="10"/>
  <c r="D425" i="10"/>
  <c r="I425" i="10"/>
  <c r="E425" i="10"/>
  <c r="H425" i="10"/>
  <c r="J425" i="10"/>
  <c r="A426" i="10"/>
  <c r="A427" i="10"/>
  <c r="C426" i="10"/>
  <c r="F426" i="10"/>
  <c r="D426" i="10"/>
  <c r="I426" i="10"/>
  <c r="E426" i="10"/>
  <c r="H426" i="10"/>
  <c r="J426" i="10"/>
  <c r="E427" i="10"/>
  <c r="H427" i="10"/>
  <c r="J427" i="10"/>
  <c r="A428" i="10"/>
  <c r="C427" i="10"/>
  <c r="F427" i="10"/>
  <c r="D427" i="10"/>
  <c r="I427" i="10"/>
  <c r="D428" i="10"/>
  <c r="I428" i="10"/>
  <c r="E428" i="10"/>
  <c r="H428" i="10"/>
  <c r="J428" i="10"/>
  <c r="A429" i="10"/>
  <c r="C428" i="10"/>
  <c r="F428" i="10"/>
  <c r="C429" i="10"/>
  <c r="F429" i="10"/>
  <c r="D429" i="10"/>
  <c r="I429" i="10"/>
  <c r="E429" i="10"/>
  <c r="H429" i="10"/>
  <c r="J429" i="10"/>
  <c r="A430" i="10"/>
  <c r="A431" i="10"/>
  <c r="C430" i="10"/>
  <c r="F430" i="10"/>
  <c r="D430" i="10"/>
  <c r="I430" i="10"/>
  <c r="E430" i="10"/>
  <c r="H430" i="10"/>
  <c r="J430" i="10"/>
  <c r="E431" i="10"/>
  <c r="H431" i="10"/>
  <c r="J431" i="10"/>
  <c r="A432" i="10"/>
  <c r="C431" i="10"/>
  <c r="F431" i="10"/>
  <c r="D431" i="10"/>
  <c r="I431" i="10"/>
  <c r="D432" i="10"/>
  <c r="I432" i="10"/>
  <c r="E432" i="10"/>
  <c r="H432" i="10"/>
  <c r="J432" i="10"/>
  <c r="A433" i="10"/>
  <c r="C432" i="10"/>
  <c r="F432" i="10"/>
  <c r="C433" i="10"/>
  <c r="F433" i="10"/>
  <c r="D433" i="10"/>
  <c r="I433" i="10"/>
  <c r="E433" i="10"/>
  <c r="H433" i="10"/>
  <c r="J433" i="10"/>
  <c r="A434" i="10"/>
  <c r="A435" i="10"/>
  <c r="C434" i="10"/>
  <c r="F434" i="10"/>
  <c r="D434" i="10"/>
  <c r="I434" i="10"/>
  <c r="E434" i="10"/>
  <c r="H434" i="10"/>
  <c r="J434" i="10"/>
  <c r="E435" i="10"/>
  <c r="H435" i="10"/>
  <c r="J435" i="10"/>
  <c r="A436" i="10"/>
  <c r="C435" i="10"/>
  <c r="F435" i="10"/>
  <c r="D435" i="10"/>
  <c r="I435" i="10"/>
  <c r="D436" i="10"/>
  <c r="I436" i="10"/>
  <c r="E436" i="10"/>
  <c r="H436" i="10"/>
  <c r="J436" i="10"/>
  <c r="A437" i="10"/>
  <c r="C436" i="10"/>
  <c r="F436" i="10"/>
  <c r="C437" i="10"/>
  <c r="F437" i="10"/>
  <c r="D437" i="10"/>
  <c r="I437" i="10"/>
  <c r="E437" i="10"/>
  <c r="H437" i="10"/>
  <c r="J437" i="10"/>
  <c r="A438" i="10"/>
  <c r="A439" i="10"/>
  <c r="C438" i="10"/>
  <c r="F438" i="10"/>
  <c r="D438" i="10"/>
  <c r="I438" i="10"/>
  <c r="E438" i="10"/>
  <c r="H438" i="10"/>
  <c r="J438" i="10"/>
  <c r="E439" i="10"/>
  <c r="H439" i="10"/>
  <c r="J439" i="10"/>
  <c r="A440" i="10"/>
  <c r="C439" i="10"/>
  <c r="F439" i="10"/>
  <c r="D439" i="10"/>
  <c r="I439" i="10"/>
  <c r="D440" i="10"/>
  <c r="I440" i="10"/>
  <c r="E440" i="10"/>
  <c r="H440" i="10"/>
  <c r="J440" i="10"/>
  <c r="A441" i="10"/>
  <c r="C440" i="10"/>
  <c r="F440" i="10"/>
  <c r="C441" i="10"/>
  <c r="F441" i="10"/>
  <c r="D441" i="10"/>
  <c r="I441" i="10"/>
  <c r="E441" i="10"/>
  <c r="H441" i="10"/>
  <c r="J441" i="10"/>
  <c r="A442" i="10"/>
  <c r="A443" i="10"/>
  <c r="C442" i="10"/>
  <c r="F442" i="10"/>
  <c r="D442" i="10"/>
  <c r="I442" i="10"/>
  <c r="E442" i="10"/>
  <c r="H442" i="10"/>
  <c r="J442" i="10"/>
  <c r="E443" i="10"/>
  <c r="H443" i="10"/>
  <c r="J443" i="10"/>
  <c r="A444" i="10"/>
  <c r="C443" i="10"/>
  <c r="F443" i="10"/>
  <c r="D443" i="10"/>
  <c r="I443" i="10"/>
  <c r="D444" i="10"/>
  <c r="I444" i="10"/>
  <c r="E444" i="10"/>
  <c r="H444" i="10"/>
  <c r="J444" i="10"/>
  <c r="A445" i="10"/>
  <c r="C444" i="10"/>
  <c r="F444" i="10"/>
  <c r="C445" i="10"/>
  <c r="F445" i="10"/>
  <c r="D445" i="10"/>
  <c r="I445" i="10"/>
  <c r="E445" i="10"/>
  <c r="H445" i="10"/>
  <c r="J445" i="10"/>
  <c r="A446" i="10"/>
  <c r="A447" i="10"/>
  <c r="C446" i="10"/>
  <c r="F446" i="10"/>
  <c r="D446" i="10"/>
  <c r="I446" i="10"/>
  <c r="E446" i="10"/>
  <c r="H446" i="10"/>
  <c r="J446" i="10"/>
  <c r="E447" i="10"/>
  <c r="H447" i="10"/>
  <c r="J447" i="10"/>
  <c r="A448" i="10"/>
  <c r="C447" i="10"/>
  <c r="F447" i="10"/>
  <c r="D447" i="10"/>
  <c r="I447" i="10"/>
  <c r="D448" i="10"/>
  <c r="I448" i="10"/>
  <c r="E448" i="10"/>
  <c r="H448" i="10"/>
  <c r="J448" i="10"/>
  <c r="A449" i="10"/>
  <c r="C448" i="10"/>
  <c r="F448" i="10"/>
  <c r="C449" i="10"/>
  <c r="F449" i="10"/>
  <c r="D449" i="10"/>
  <c r="I449" i="10"/>
  <c r="E449" i="10"/>
  <c r="H449" i="10"/>
  <c r="J449" i="10"/>
  <c r="A450" i="10"/>
  <c r="A451" i="10"/>
  <c r="C450" i="10"/>
  <c r="F450" i="10"/>
  <c r="D450" i="10"/>
  <c r="I450" i="10"/>
  <c r="E450" i="10"/>
  <c r="H450" i="10"/>
  <c r="J450" i="10"/>
  <c r="E451" i="10"/>
  <c r="H451" i="10"/>
  <c r="J451" i="10"/>
  <c r="A452" i="10"/>
  <c r="C451" i="10"/>
  <c r="F451" i="10"/>
  <c r="D451" i="10"/>
  <c r="I451" i="10"/>
  <c r="D452" i="10"/>
  <c r="I452" i="10"/>
  <c r="E452" i="10"/>
  <c r="H452" i="10"/>
  <c r="J452" i="10"/>
  <c r="A453" i="10"/>
  <c r="C452" i="10"/>
  <c r="F452" i="10"/>
  <c r="C453" i="10"/>
  <c r="F453" i="10"/>
  <c r="D453" i="10"/>
  <c r="I453" i="10"/>
  <c r="A454" i="10"/>
  <c r="E453" i="10"/>
  <c r="H453" i="10"/>
  <c r="J453" i="10"/>
  <c r="A455" i="10"/>
  <c r="C454" i="10"/>
  <c r="F454" i="10"/>
  <c r="E454" i="10"/>
  <c r="H454" i="10"/>
  <c r="J454" i="10"/>
  <c r="I454" i="10"/>
  <c r="D454" i="10"/>
  <c r="E455" i="10"/>
  <c r="H455" i="10"/>
  <c r="J455" i="10"/>
  <c r="A456" i="10"/>
  <c r="C455" i="10"/>
  <c r="F455" i="10"/>
  <c r="D455" i="10"/>
  <c r="I455" i="10"/>
  <c r="D456" i="10"/>
  <c r="I456" i="10"/>
  <c r="E456" i="10"/>
  <c r="H456" i="10"/>
  <c r="J456" i="10"/>
  <c r="A457" i="10"/>
  <c r="C456" i="10"/>
  <c r="F456" i="10"/>
  <c r="C457" i="10"/>
  <c r="F457" i="10"/>
  <c r="D457" i="10"/>
  <c r="I457" i="10"/>
  <c r="A458" i="10"/>
  <c r="E457" i="10"/>
  <c r="H457" i="10"/>
  <c r="J457" i="10"/>
  <c r="A459" i="10"/>
  <c r="C458" i="10"/>
  <c r="F458" i="10"/>
  <c r="E458" i="10"/>
  <c r="H458" i="10"/>
  <c r="J458" i="10"/>
  <c r="I458" i="10"/>
  <c r="D458" i="10"/>
  <c r="E459" i="10"/>
  <c r="H459" i="10"/>
  <c r="J459" i="10"/>
  <c r="A460" i="10"/>
  <c r="C459" i="10"/>
  <c r="F459" i="10"/>
  <c r="D459" i="10"/>
  <c r="I459" i="10"/>
  <c r="D460" i="10"/>
  <c r="I460" i="10"/>
  <c r="E460" i="10"/>
  <c r="H460" i="10"/>
  <c r="J460" i="10"/>
  <c r="A461" i="10"/>
  <c r="C460" i="10"/>
  <c r="F460" i="10"/>
  <c r="C461" i="10"/>
  <c r="F461" i="10"/>
  <c r="D461" i="10"/>
  <c r="I461" i="10"/>
  <c r="A462" i="10"/>
  <c r="E461" i="10"/>
  <c r="H461" i="10"/>
  <c r="J461" i="10"/>
  <c r="A463" i="10"/>
  <c r="C462" i="10"/>
  <c r="F462" i="10"/>
  <c r="E462" i="10"/>
  <c r="H462" i="10"/>
  <c r="J462" i="10"/>
  <c r="I462" i="10"/>
  <c r="D462" i="10"/>
  <c r="E463" i="10"/>
  <c r="H463" i="10"/>
  <c r="J463" i="10"/>
  <c r="A464" i="10"/>
  <c r="C463" i="10"/>
  <c r="F463" i="10"/>
  <c r="D463" i="10"/>
  <c r="I463" i="10"/>
  <c r="D464" i="10"/>
  <c r="I464" i="10"/>
  <c r="E464" i="10"/>
  <c r="H464" i="10"/>
  <c r="J464" i="10"/>
  <c r="A465" i="10"/>
  <c r="C464" i="10"/>
  <c r="F464" i="10"/>
  <c r="C465" i="10"/>
  <c r="F465" i="10"/>
  <c r="D465" i="10"/>
  <c r="I465" i="10"/>
  <c r="A466" i="10"/>
  <c r="E465" i="10"/>
  <c r="H465" i="10"/>
  <c r="J465" i="10"/>
  <c r="A467" i="10"/>
  <c r="C466" i="10"/>
  <c r="F466" i="10"/>
  <c r="E466" i="10"/>
  <c r="H466" i="10"/>
  <c r="J466" i="10"/>
  <c r="I466" i="10"/>
  <c r="D466" i="10"/>
  <c r="E467" i="10"/>
  <c r="H467" i="10"/>
  <c r="J467" i="10"/>
  <c r="A468" i="10"/>
  <c r="C467" i="10"/>
  <c r="F467" i="10"/>
  <c r="D467" i="10"/>
  <c r="I467" i="10"/>
  <c r="D468" i="10"/>
  <c r="I468" i="10"/>
  <c r="E468" i="10"/>
  <c r="H468" i="10"/>
  <c r="J468" i="10"/>
  <c r="A469" i="10"/>
  <c r="C468" i="10"/>
  <c r="F468" i="10"/>
  <c r="C469" i="10"/>
  <c r="F469" i="10"/>
  <c r="D469" i="10"/>
  <c r="I469" i="10"/>
  <c r="A470" i="10"/>
  <c r="E469" i="10"/>
  <c r="H469" i="10"/>
  <c r="J469" i="10"/>
  <c r="A471" i="10"/>
  <c r="C470" i="10"/>
  <c r="F470" i="10"/>
  <c r="E470" i="10"/>
  <c r="H470" i="10"/>
  <c r="J470" i="10"/>
  <c r="I470" i="10"/>
  <c r="D470" i="10"/>
  <c r="E471" i="10"/>
  <c r="H471" i="10"/>
  <c r="J471" i="10"/>
  <c r="A472" i="10"/>
  <c r="C471" i="10"/>
  <c r="F471" i="10"/>
  <c r="D471" i="10"/>
  <c r="I471" i="10"/>
  <c r="D472" i="10"/>
  <c r="I472" i="10"/>
  <c r="E472" i="10"/>
  <c r="H472" i="10"/>
  <c r="J472" i="10"/>
  <c r="A473" i="10"/>
  <c r="C472" i="10"/>
  <c r="F472" i="10"/>
  <c r="C473" i="10"/>
  <c r="F473" i="10"/>
  <c r="D473" i="10"/>
  <c r="I473" i="10"/>
  <c r="A474" i="10"/>
  <c r="E473" i="10"/>
  <c r="H473" i="10"/>
  <c r="J473" i="10"/>
  <c r="A475" i="10"/>
  <c r="C474" i="10"/>
  <c r="F474" i="10"/>
  <c r="E474" i="10"/>
  <c r="H474" i="10"/>
  <c r="J474" i="10"/>
  <c r="I474" i="10"/>
  <c r="D474" i="10"/>
  <c r="E475" i="10"/>
  <c r="H475" i="10"/>
  <c r="J475" i="10"/>
  <c r="A476" i="10"/>
  <c r="C475" i="10"/>
  <c r="F475" i="10"/>
  <c r="D475" i="10"/>
  <c r="I475" i="10"/>
  <c r="D476" i="10"/>
  <c r="I476" i="10"/>
  <c r="E476" i="10"/>
  <c r="H476" i="10"/>
  <c r="J476" i="10"/>
  <c r="A477" i="10"/>
  <c r="C476" i="10"/>
  <c r="F476" i="10"/>
  <c r="C477" i="10"/>
  <c r="F477" i="10"/>
  <c r="D477" i="10"/>
  <c r="I477" i="10"/>
  <c r="A478" i="10"/>
  <c r="E477" i="10"/>
  <c r="H477" i="10"/>
  <c r="J477" i="10"/>
  <c r="A479" i="10"/>
  <c r="C478" i="10"/>
  <c r="F478" i="10"/>
  <c r="E478" i="10"/>
  <c r="H478" i="10"/>
  <c r="J478" i="10"/>
  <c r="I478" i="10"/>
  <c r="D478" i="10"/>
  <c r="E479" i="10"/>
  <c r="H479" i="10"/>
  <c r="J479" i="10"/>
  <c r="A480" i="10"/>
  <c r="C479" i="10"/>
  <c r="F479" i="10"/>
  <c r="D479" i="10"/>
  <c r="I479" i="10"/>
  <c r="D480" i="10"/>
  <c r="I480" i="10"/>
  <c r="E480" i="10"/>
  <c r="H480" i="10"/>
  <c r="J480" i="10"/>
  <c r="A481" i="10"/>
  <c r="C480" i="10"/>
  <c r="F480" i="10"/>
  <c r="C481" i="10"/>
  <c r="F481" i="10"/>
  <c r="D481" i="10"/>
  <c r="I481" i="10"/>
  <c r="A482" i="10"/>
  <c r="E481" i="10"/>
  <c r="H481" i="10"/>
  <c r="J481" i="10"/>
  <c r="C482" i="10"/>
  <c r="F482" i="10"/>
  <c r="E482" i="10"/>
  <c r="H482" i="10"/>
  <c r="J482" i="10"/>
  <c r="I482" i="10"/>
  <c r="D482" i="10"/>
  <c r="A483" i="10"/>
  <c r="A484" i="10"/>
  <c r="C483" i="10"/>
  <c r="F483" i="10"/>
  <c r="D483" i="10"/>
  <c r="I483" i="10"/>
  <c r="E483" i="10"/>
  <c r="H483" i="10"/>
  <c r="J483" i="10"/>
  <c r="E484" i="10"/>
  <c r="H484" i="10"/>
  <c r="J484" i="10"/>
  <c r="A485" i="10"/>
  <c r="C484" i="10"/>
  <c r="F484" i="10"/>
  <c r="D484" i="10"/>
  <c r="I484" i="10"/>
  <c r="D485" i="10"/>
  <c r="I485" i="10"/>
  <c r="E485" i="10"/>
  <c r="H485" i="10"/>
  <c r="J485" i="10"/>
  <c r="A486" i="10"/>
  <c r="C485" i="10"/>
  <c r="F485" i="10"/>
  <c r="C486" i="10"/>
  <c r="F486" i="10"/>
  <c r="D486" i="10"/>
  <c r="I486" i="10"/>
  <c r="E486" i="10"/>
  <c r="H486" i="10"/>
  <c r="J486" i="10"/>
  <c r="A487" i="10"/>
  <c r="A488" i="10"/>
  <c r="C487" i="10"/>
  <c r="F487" i="10"/>
  <c r="D487" i="10"/>
  <c r="I487" i="10"/>
  <c r="E487" i="10"/>
  <c r="H487" i="10"/>
  <c r="J487" i="10"/>
  <c r="E488" i="10"/>
  <c r="H488" i="10"/>
  <c r="J488" i="10"/>
  <c r="A489" i="10"/>
  <c r="C488" i="10"/>
  <c r="F488" i="10"/>
  <c r="D488" i="10"/>
  <c r="I488" i="10"/>
  <c r="D489" i="10"/>
  <c r="I489" i="10"/>
  <c r="E489" i="10"/>
  <c r="H489" i="10"/>
  <c r="J489" i="10"/>
  <c r="A490" i="10"/>
  <c r="C489" i="10"/>
  <c r="F489" i="10"/>
  <c r="C490" i="10"/>
  <c r="F490" i="10"/>
  <c r="D490" i="10"/>
  <c r="I490" i="10"/>
  <c r="E490" i="10"/>
  <c r="H490" i="10"/>
  <c r="J490" i="10"/>
  <c r="A491" i="10"/>
  <c r="A492" i="10"/>
  <c r="C491" i="10"/>
  <c r="F491" i="10"/>
  <c r="D491" i="10"/>
  <c r="I491" i="10"/>
  <c r="E491" i="10"/>
  <c r="H491" i="10"/>
  <c r="J491" i="10"/>
  <c r="E492" i="10"/>
  <c r="H492" i="10"/>
  <c r="J492" i="10"/>
  <c r="A493" i="10"/>
  <c r="C492" i="10"/>
  <c r="F492" i="10"/>
  <c r="D492" i="10"/>
  <c r="I492" i="10"/>
  <c r="D493" i="10"/>
  <c r="I493" i="10"/>
  <c r="E493" i="10"/>
  <c r="H493" i="10"/>
  <c r="J493" i="10"/>
  <c r="A494" i="10"/>
  <c r="C493" i="10"/>
  <c r="F493" i="10"/>
  <c r="C494" i="10"/>
  <c r="F494" i="10"/>
  <c r="D494" i="10"/>
  <c r="I494" i="10"/>
  <c r="E494" i="10"/>
  <c r="H494" i="10"/>
  <c r="J494" i="10"/>
  <c r="A495" i="10"/>
  <c r="A496" i="10"/>
  <c r="C495" i="10"/>
  <c r="F495" i="10"/>
  <c r="D495" i="10"/>
  <c r="I495" i="10"/>
  <c r="E495" i="10"/>
  <c r="H495" i="10"/>
  <c r="J495" i="10"/>
  <c r="E496" i="10"/>
  <c r="H496" i="10"/>
  <c r="J496" i="10"/>
  <c r="A497" i="10"/>
  <c r="C496" i="10"/>
  <c r="F496" i="10"/>
  <c r="D496" i="10"/>
  <c r="I496" i="10"/>
  <c r="D497" i="10"/>
  <c r="I497" i="10"/>
  <c r="E497" i="10"/>
  <c r="H497" i="10"/>
  <c r="J497" i="10"/>
  <c r="A498" i="10"/>
  <c r="C497" i="10"/>
  <c r="F497" i="10"/>
  <c r="C498" i="10"/>
  <c r="F498" i="10"/>
  <c r="D498" i="10"/>
  <c r="I498" i="10"/>
  <c r="E498" i="10"/>
  <c r="H498" i="10"/>
  <c r="J498" i="10"/>
  <c r="A499" i="10"/>
  <c r="A500" i="10"/>
  <c r="C499" i="10"/>
  <c r="F499" i="10"/>
  <c r="D499" i="10"/>
  <c r="I499" i="10"/>
  <c r="E499" i="10"/>
  <c r="H499" i="10"/>
  <c r="J499" i="10"/>
  <c r="E500" i="10"/>
  <c r="H500" i="10"/>
  <c r="J500" i="10"/>
  <c r="A501" i="10"/>
  <c r="C500" i="10"/>
  <c r="F500" i="10"/>
  <c r="D500" i="10"/>
  <c r="I500" i="10"/>
  <c r="D501" i="10"/>
  <c r="I501" i="10"/>
  <c r="E501" i="10"/>
  <c r="H501" i="10"/>
  <c r="J501" i="10"/>
  <c r="A502" i="10"/>
  <c r="C501" i="10"/>
  <c r="F501" i="10"/>
  <c r="C502" i="10"/>
  <c r="F502" i="10"/>
  <c r="D502" i="10"/>
  <c r="I502" i="10"/>
  <c r="E502" i="10"/>
  <c r="H502" i="10"/>
  <c r="J502" i="10"/>
  <c r="A503" i="10"/>
  <c r="A504" i="10"/>
  <c r="C503" i="10"/>
  <c r="F503" i="10"/>
  <c r="D503" i="10"/>
  <c r="I503" i="10"/>
  <c r="E503" i="10"/>
  <c r="H503" i="10"/>
  <c r="J503" i="10"/>
  <c r="E504" i="10"/>
  <c r="H504" i="10"/>
  <c r="J504" i="10"/>
  <c r="A505" i="10"/>
  <c r="C504" i="10"/>
  <c r="F504" i="10"/>
  <c r="D504" i="10"/>
  <c r="I504" i="10"/>
  <c r="D505" i="10"/>
  <c r="I505" i="10"/>
  <c r="E505" i="10"/>
  <c r="H505" i="10"/>
  <c r="J505" i="10"/>
  <c r="A506" i="10"/>
  <c r="C505" i="10"/>
  <c r="F505" i="10"/>
  <c r="C506" i="10"/>
  <c r="F506" i="10"/>
  <c r="D506" i="10"/>
  <c r="I506" i="10"/>
  <c r="E506" i="10"/>
  <c r="H506" i="10"/>
  <c r="J506" i="10"/>
  <c r="A507" i="10"/>
  <c r="A508" i="10"/>
  <c r="C507" i="10"/>
  <c r="F507" i="10"/>
  <c r="D507" i="10"/>
  <c r="I507" i="10"/>
  <c r="E507" i="10"/>
  <c r="H507" i="10"/>
  <c r="J507" i="10"/>
  <c r="E508" i="10"/>
  <c r="H508" i="10"/>
  <c r="J508" i="10"/>
  <c r="A509" i="10"/>
  <c r="C508" i="10"/>
  <c r="F508" i="10"/>
  <c r="D508" i="10"/>
  <c r="I508" i="10"/>
  <c r="D509" i="10"/>
  <c r="I509" i="10"/>
  <c r="E509" i="10"/>
  <c r="H509" i="10"/>
  <c r="J509" i="10"/>
  <c r="A510" i="10"/>
  <c r="C509" i="10"/>
  <c r="F509" i="10"/>
  <c r="C510" i="10"/>
  <c r="F510" i="10"/>
  <c r="D510" i="10"/>
  <c r="I510" i="10"/>
  <c r="E510" i="10"/>
  <c r="H510" i="10"/>
  <c r="J510" i="10"/>
  <c r="A511" i="10"/>
  <c r="A512" i="10"/>
  <c r="C511" i="10"/>
  <c r="F511" i="10"/>
  <c r="D511" i="10"/>
  <c r="I511" i="10"/>
  <c r="E511" i="10"/>
  <c r="H511" i="10"/>
  <c r="J511" i="10"/>
  <c r="E512" i="10"/>
  <c r="H512" i="10"/>
  <c r="J512" i="10"/>
  <c r="A513" i="10"/>
  <c r="C512" i="10"/>
  <c r="F512" i="10"/>
  <c r="D512" i="10"/>
  <c r="I512" i="10"/>
  <c r="D513" i="10"/>
  <c r="I513" i="10"/>
  <c r="E513" i="10"/>
  <c r="H513" i="10"/>
  <c r="J513" i="10"/>
  <c r="A514" i="10"/>
  <c r="C513" i="10"/>
  <c r="F513" i="10"/>
  <c r="C514" i="10"/>
  <c r="F514" i="10"/>
  <c r="D514" i="10"/>
  <c r="I514" i="10"/>
  <c r="E514" i="10"/>
  <c r="H514" i="10"/>
  <c r="J514" i="10"/>
  <c r="A515" i="10"/>
  <c r="A516" i="10"/>
  <c r="C515" i="10"/>
  <c r="F515" i="10"/>
  <c r="D515" i="10"/>
  <c r="I515" i="10"/>
  <c r="E515" i="10"/>
  <c r="H515" i="10"/>
  <c r="J515" i="10"/>
  <c r="E516" i="10"/>
  <c r="H516" i="10"/>
  <c r="J516" i="10"/>
  <c r="A517" i="10"/>
  <c r="C516" i="10"/>
  <c r="F516" i="10"/>
  <c r="D516" i="10"/>
  <c r="I516" i="10"/>
  <c r="D517" i="10"/>
  <c r="I517" i="10"/>
  <c r="E517" i="10"/>
  <c r="H517" i="10"/>
  <c r="J517" i="10"/>
  <c r="A518" i="10"/>
  <c r="C517" i="10"/>
  <c r="F517" i="10"/>
  <c r="C518" i="10"/>
  <c r="F518" i="10"/>
  <c r="D518" i="10"/>
  <c r="I518" i="10"/>
  <c r="E518" i="10"/>
  <c r="H518" i="10"/>
  <c r="J518" i="10"/>
  <c r="A519" i="10"/>
  <c r="A520" i="10"/>
  <c r="C519" i="10"/>
  <c r="F519" i="10"/>
  <c r="D519" i="10"/>
  <c r="I519" i="10"/>
  <c r="E519" i="10"/>
  <c r="H519" i="10"/>
  <c r="J519" i="10"/>
  <c r="E520" i="10"/>
  <c r="H520" i="10"/>
  <c r="J520" i="10"/>
  <c r="A521" i="10"/>
  <c r="C520" i="10"/>
  <c r="F520" i="10"/>
  <c r="D520" i="10"/>
  <c r="I520" i="10"/>
  <c r="D521" i="10"/>
  <c r="I521" i="10"/>
  <c r="E521" i="10"/>
  <c r="H521" i="10"/>
  <c r="J521" i="10"/>
  <c r="A522" i="10"/>
  <c r="C521" i="10"/>
  <c r="F521" i="10"/>
  <c r="C522" i="10"/>
  <c r="F522" i="10"/>
  <c r="D522" i="10"/>
  <c r="I522" i="10"/>
  <c r="E522" i="10"/>
  <c r="H522" i="10"/>
  <c r="J522" i="10"/>
  <c r="A523" i="10"/>
  <c r="A524" i="10"/>
  <c r="C523" i="10"/>
  <c r="F523" i="10"/>
  <c r="D523" i="10"/>
  <c r="I523" i="10"/>
  <c r="E523" i="10"/>
  <c r="H523" i="10"/>
  <c r="J523" i="10"/>
  <c r="E524" i="10"/>
  <c r="H524" i="10"/>
  <c r="J524" i="10"/>
  <c r="A525" i="10"/>
  <c r="C524" i="10"/>
  <c r="F524" i="10"/>
  <c r="D524" i="10"/>
  <c r="I524" i="10"/>
  <c r="D525" i="10"/>
  <c r="I525" i="10"/>
  <c r="E525" i="10"/>
  <c r="H525" i="10"/>
  <c r="J525" i="10"/>
  <c r="A526" i="10"/>
  <c r="C525" i="10"/>
  <c r="F525" i="10"/>
  <c r="C526" i="10"/>
  <c r="F526" i="10"/>
  <c r="D526" i="10"/>
  <c r="I526" i="10"/>
  <c r="E526" i="10"/>
  <c r="H526" i="10"/>
  <c r="J526" i="10"/>
  <c r="A527" i="10"/>
  <c r="A528" i="10"/>
  <c r="C527" i="10"/>
  <c r="F527" i="10"/>
  <c r="D527" i="10"/>
  <c r="I527" i="10"/>
  <c r="E527" i="10"/>
  <c r="H527" i="10"/>
  <c r="J527" i="10"/>
  <c r="E528" i="10"/>
  <c r="H528" i="10"/>
  <c r="J528" i="10"/>
  <c r="A529" i="10"/>
  <c r="C528" i="10"/>
  <c r="F528" i="10"/>
  <c r="D528" i="10"/>
  <c r="I528" i="10"/>
  <c r="D529" i="10"/>
  <c r="I529" i="10"/>
  <c r="E529" i="10"/>
  <c r="H529" i="10"/>
  <c r="J529" i="10"/>
  <c r="A530" i="10"/>
  <c r="C529" i="10"/>
  <c r="F529" i="10"/>
  <c r="C530" i="10"/>
  <c r="F530" i="10"/>
  <c r="D530" i="10"/>
  <c r="I530" i="10"/>
  <c r="E530" i="10"/>
  <c r="H530" i="10"/>
  <c r="J530" i="10"/>
  <c r="A531" i="10"/>
  <c r="A532" i="10"/>
  <c r="C531" i="10"/>
  <c r="F531" i="10"/>
  <c r="D531" i="10"/>
  <c r="I531" i="10"/>
  <c r="E531" i="10"/>
  <c r="H531" i="10"/>
  <c r="J531" i="10"/>
  <c r="E532" i="10"/>
  <c r="H532" i="10"/>
  <c r="J532" i="10"/>
  <c r="A533" i="10"/>
  <c r="C532" i="10"/>
  <c r="F532" i="10"/>
  <c r="D532" i="10"/>
  <c r="I532" i="10"/>
  <c r="D533" i="10"/>
  <c r="I533" i="10"/>
  <c r="E533" i="10"/>
  <c r="H533" i="10"/>
  <c r="J533" i="10"/>
  <c r="A534" i="10"/>
  <c r="C533" i="10"/>
  <c r="F533" i="10"/>
  <c r="C534" i="10"/>
  <c r="F534" i="10"/>
  <c r="D534" i="10"/>
  <c r="I534" i="10"/>
  <c r="E534" i="10"/>
  <c r="H534" i="10"/>
  <c r="J534" i="10"/>
  <c r="A535" i="10"/>
  <c r="A536" i="10"/>
  <c r="C535" i="10"/>
  <c r="F535" i="10"/>
  <c r="D535" i="10"/>
  <c r="I535" i="10"/>
  <c r="E535" i="10"/>
  <c r="H535" i="10"/>
  <c r="J535" i="10"/>
  <c r="E536" i="10"/>
  <c r="H536" i="10"/>
  <c r="J536" i="10"/>
  <c r="A537" i="10"/>
  <c r="C536" i="10"/>
  <c r="F536" i="10"/>
  <c r="D536" i="10"/>
  <c r="I536" i="10"/>
  <c r="D537" i="10"/>
  <c r="I537" i="10"/>
  <c r="E537" i="10"/>
  <c r="H537" i="10"/>
  <c r="J537" i="10"/>
  <c r="A538" i="10"/>
  <c r="C537" i="10"/>
  <c r="F537" i="10"/>
  <c r="C538" i="10"/>
  <c r="F538" i="10"/>
  <c r="D538" i="10"/>
  <c r="I538" i="10"/>
  <c r="E538" i="10"/>
  <c r="H538" i="10"/>
  <c r="J538" i="10"/>
  <c r="A539" i="10"/>
  <c r="A540" i="10"/>
  <c r="C539" i="10"/>
  <c r="F539" i="10"/>
  <c r="D539" i="10"/>
  <c r="I539" i="10"/>
  <c r="E539" i="10"/>
  <c r="H539" i="10"/>
  <c r="J539" i="10"/>
  <c r="E540" i="10"/>
  <c r="H540" i="10"/>
  <c r="J540" i="10"/>
  <c r="A541" i="10"/>
  <c r="C540" i="10"/>
  <c r="F540" i="10"/>
  <c r="D540" i="10"/>
  <c r="I540" i="10"/>
  <c r="D541" i="10"/>
  <c r="I541" i="10"/>
  <c r="E541" i="10"/>
  <c r="H541" i="10"/>
  <c r="J541" i="10"/>
  <c r="A542" i="10"/>
  <c r="C541" i="10"/>
  <c r="F541" i="10"/>
  <c r="C542" i="10"/>
  <c r="F542" i="10"/>
  <c r="D542" i="10"/>
  <c r="I542" i="10"/>
  <c r="E542" i="10"/>
  <c r="H542" i="10"/>
  <c r="J542" i="10"/>
  <c r="A543" i="10"/>
  <c r="A544" i="10"/>
  <c r="C543" i="10"/>
  <c r="F543" i="10"/>
  <c r="D543" i="10"/>
  <c r="I543" i="10"/>
  <c r="E543" i="10"/>
  <c r="H543" i="10"/>
  <c r="J543" i="10"/>
  <c r="E544" i="10"/>
  <c r="H544" i="10"/>
  <c r="J544" i="10"/>
  <c r="A545" i="10"/>
  <c r="C544" i="10"/>
  <c r="F544" i="10"/>
  <c r="D544" i="10"/>
  <c r="I544" i="10"/>
  <c r="D545" i="10"/>
  <c r="I545" i="10"/>
  <c r="E545" i="10"/>
  <c r="H545" i="10"/>
  <c r="J545" i="10"/>
  <c r="A546" i="10"/>
  <c r="C545" i="10"/>
  <c r="F545" i="10"/>
  <c r="C546" i="10"/>
  <c r="F546" i="10"/>
  <c r="D546" i="10"/>
  <c r="I546" i="10"/>
  <c r="E546" i="10"/>
  <c r="H546" i="10"/>
  <c r="J546" i="10"/>
  <c r="A547" i="10"/>
  <c r="A548" i="10"/>
  <c r="C547" i="10"/>
  <c r="F547" i="10"/>
  <c r="D547" i="10"/>
  <c r="I547" i="10"/>
  <c r="E547" i="10"/>
  <c r="H547" i="10"/>
  <c r="J547" i="10"/>
  <c r="E548" i="10"/>
  <c r="H548" i="10"/>
  <c r="J548" i="10"/>
  <c r="A549" i="10"/>
  <c r="C548" i="10"/>
  <c r="F548" i="10"/>
  <c r="D548" i="10"/>
  <c r="I548" i="10"/>
  <c r="D549" i="10"/>
  <c r="I549" i="10"/>
  <c r="E549" i="10"/>
  <c r="H549" i="10"/>
  <c r="J549" i="10"/>
  <c r="A550" i="10"/>
  <c r="C549" i="10"/>
  <c r="F549" i="10"/>
  <c r="C550" i="10"/>
  <c r="F550" i="10"/>
  <c r="D550" i="10"/>
  <c r="I550" i="10"/>
  <c r="E550" i="10"/>
  <c r="H550" i="10"/>
  <c r="J550" i="10"/>
  <c r="A551" i="10"/>
  <c r="A552" i="10"/>
  <c r="C551" i="10"/>
  <c r="F551" i="10"/>
  <c r="D551" i="10"/>
  <c r="I551" i="10"/>
  <c r="E551" i="10"/>
  <c r="H551" i="10"/>
  <c r="J551" i="10"/>
  <c r="E552" i="10"/>
  <c r="H552" i="10"/>
  <c r="J552" i="10"/>
  <c r="A553" i="10"/>
  <c r="C552" i="10"/>
  <c r="F552" i="10"/>
  <c r="D552" i="10"/>
  <c r="I552" i="10"/>
  <c r="D553" i="10"/>
  <c r="I553" i="10"/>
  <c r="E553" i="10"/>
  <c r="H553" i="10"/>
  <c r="J553" i="10"/>
  <c r="A554" i="10"/>
  <c r="C553" i="10"/>
  <c r="F553" i="10"/>
  <c r="C554" i="10"/>
  <c r="F554" i="10"/>
  <c r="D554" i="10"/>
  <c r="I554" i="10"/>
  <c r="E554" i="10"/>
  <c r="H554" i="10"/>
  <c r="J554" i="10"/>
  <c r="A555" i="10"/>
  <c r="A556" i="10"/>
  <c r="C555" i="10"/>
  <c r="F555" i="10"/>
  <c r="D555" i="10"/>
  <c r="I555" i="10"/>
  <c r="E555" i="10"/>
  <c r="H555" i="10"/>
  <c r="J555" i="10"/>
  <c r="E556" i="10"/>
  <c r="H556" i="10"/>
  <c r="J556" i="10"/>
  <c r="A557" i="10"/>
  <c r="C556" i="10"/>
  <c r="F556" i="10"/>
  <c r="D556" i="10"/>
  <c r="I556" i="10"/>
  <c r="D557" i="10"/>
  <c r="I557" i="10"/>
  <c r="E557" i="10"/>
  <c r="H557" i="10"/>
  <c r="J557" i="10"/>
  <c r="A558" i="10"/>
  <c r="C557" i="10"/>
  <c r="F557" i="10"/>
  <c r="C558" i="10"/>
  <c r="F558" i="10"/>
  <c r="D558" i="10"/>
  <c r="I558" i="10"/>
  <c r="E558" i="10"/>
  <c r="H558" i="10"/>
  <c r="J558" i="10"/>
  <c r="A559" i="10"/>
  <c r="A560" i="10"/>
  <c r="C559" i="10"/>
  <c r="F559" i="10"/>
  <c r="D559" i="10"/>
  <c r="I559" i="10"/>
  <c r="E559" i="10"/>
  <c r="H559" i="10"/>
  <c r="J559" i="10"/>
  <c r="E560" i="10"/>
  <c r="H560" i="10"/>
  <c r="J560" i="10"/>
  <c r="A561" i="10"/>
  <c r="C560" i="10"/>
  <c r="F560" i="10"/>
  <c r="D560" i="10"/>
  <c r="I560" i="10"/>
  <c r="D561" i="10"/>
  <c r="I561" i="10"/>
  <c r="E561" i="10"/>
  <c r="H561" i="10"/>
  <c r="J561" i="10"/>
  <c r="A562" i="10"/>
  <c r="C561" i="10"/>
  <c r="F561" i="10"/>
  <c r="C562" i="10"/>
  <c r="F562" i="10"/>
  <c r="D562" i="10"/>
  <c r="I562" i="10"/>
  <c r="E562" i="10"/>
  <c r="H562" i="10"/>
  <c r="J562" i="10"/>
  <c r="A563" i="10"/>
  <c r="A564" i="10"/>
  <c r="C563" i="10"/>
  <c r="F563" i="10"/>
  <c r="D563" i="10"/>
  <c r="I563" i="10"/>
  <c r="E563" i="10"/>
  <c r="H563" i="10"/>
  <c r="J563" i="10"/>
  <c r="E564" i="10"/>
  <c r="H564" i="10"/>
  <c r="J564" i="10"/>
  <c r="A565" i="10"/>
  <c r="C564" i="10"/>
  <c r="F564" i="10"/>
  <c r="D564" i="10"/>
  <c r="I564" i="10"/>
  <c r="D565" i="10"/>
  <c r="I565" i="10"/>
  <c r="E565" i="10"/>
  <c r="H565" i="10"/>
  <c r="J565" i="10"/>
  <c r="A566" i="10"/>
  <c r="C565" i="10"/>
  <c r="F565" i="10"/>
  <c r="C566" i="10"/>
  <c r="F566" i="10"/>
  <c r="D566" i="10"/>
  <c r="I566" i="10"/>
  <c r="E566" i="10"/>
  <c r="H566" i="10"/>
  <c r="J566" i="10"/>
  <c r="A567" i="10"/>
  <c r="A568" i="10"/>
  <c r="C567" i="10"/>
  <c r="F567" i="10"/>
  <c r="D567" i="10"/>
  <c r="I567" i="10"/>
  <c r="E567" i="10"/>
  <c r="H567" i="10"/>
  <c r="J567" i="10"/>
  <c r="E568" i="10"/>
  <c r="H568" i="10"/>
  <c r="J568" i="10"/>
  <c r="A569" i="10"/>
  <c r="C568" i="10"/>
  <c r="F568" i="10"/>
  <c r="D568" i="10"/>
  <c r="I568" i="10"/>
  <c r="D569" i="10"/>
  <c r="I569" i="10"/>
  <c r="E569" i="10"/>
  <c r="H569" i="10"/>
  <c r="J569" i="10"/>
  <c r="A570" i="10"/>
  <c r="C569" i="10"/>
  <c r="F569" i="10"/>
  <c r="C570" i="10"/>
  <c r="F570" i="10"/>
  <c r="D570" i="10"/>
  <c r="I570" i="10"/>
  <c r="E570" i="10"/>
  <c r="H570" i="10"/>
  <c r="J570" i="10"/>
  <c r="A571" i="10"/>
  <c r="A572" i="10"/>
  <c r="C571" i="10"/>
  <c r="F571" i="10"/>
  <c r="D571" i="10"/>
  <c r="I571" i="10"/>
  <c r="E571" i="10"/>
  <c r="H571" i="10"/>
  <c r="J571" i="10"/>
  <c r="E572" i="10"/>
  <c r="H572" i="10"/>
  <c r="J572" i="10"/>
  <c r="A573" i="10"/>
  <c r="C572" i="10"/>
  <c r="F572" i="10"/>
  <c r="D572" i="10"/>
  <c r="I572" i="10"/>
  <c r="D573" i="10"/>
  <c r="I573" i="10"/>
  <c r="E573" i="10"/>
  <c r="H573" i="10"/>
  <c r="J573" i="10"/>
  <c r="A574" i="10"/>
  <c r="C573" i="10"/>
  <c r="F573" i="10"/>
  <c r="C574" i="10"/>
  <c r="F574" i="10"/>
  <c r="D574" i="10"/>
  <c r="I574" i="10"/>
  <c r="E574" i="10"/>
  <c r="H574" i="10"/>
  <c r="J574" i="10"/>
  <c r="A575" i="10"/>
  <c r="A576" i="10"/>
  <c r="C575" i="10"/>
  <c r="F575" i="10"/>
  <c r="D575" i="10"/>
  <c r="I575" i="10"/>
  <c r="E575" i="10"/>
  <c r="H575" i="10"/>
  <c r="J575" i="10"/>
  <c r="E576" i="10"/>
  <c r="H576" i="10"/>
  <c r="J576" i="10"/>
  <c r="A577" i="10"/>
  <c r="C576" i="10"/>
  <c r="F576" i="10"/>
  <c r="D576" i="10"/>
  <c r="I576" i="10"/>
  <c r="D577" i="10"/>
  <c r="I577" i="10"/>
  <c r="E577" i="10"/>
  <c r="H577" i="10"/>
  <c r="J577" i="10"/>
  <c r="A578" i="10"/>
  <c r="C577" i="10"/>
  <c r="F577" i="10"/>
  <c r="C578" i="10"/>
  <c r="F578" i="10"/>
  <c r="D578" i="10"/>
  <c r="I578" i="10"/>
  <c r="E578" i="10"/>
  <c r="H578" i="10"/>
  <c r="J578" i="10"/>
  <c r="A579" i="10"/>
  <c r="A580" i="10"/>
  <c r="C579" i="10"/>
  <c r="F579" i="10"/>
  <c r="D579" i="10"/>
  <c r="I579" i="10"/>
  <c r="E579" i="10"/>
  <c r="H579" i="10"/>
  <c r="J579" i="10"/>
  <c r="E580" i="10"/>
  <c r="H580" i="10"/>
  <c r="J580" i="10"/>
  <c r="A581" i="10"/>
  <c r="C580" i="10"/>
  <c r="F580" i="10"/>
  <c r="D580" i="10"/>
  <c r="I580" i="10"/>
  <c r="D581" i="10"/>
  <c r="I581" i="10"/>
  <c r="E581" i="10"/>
  <c r="H581" i="10"/>
  <c r="J581" i="10"/>
  <c r="A582" i="10"/>
  <c r="C581" i="10"/>
  <c r="F581" i="10"/>
  <c r="C582" i="10"/>
  <c r="F582" i="10"/>
  <c r="D582" i="10"/>
  <c r="I582" i="10"/>
  <c r="E582" i="10"/>
  <c r="H582" i="10"/>
  <c r="J582" i="10"/>
  <c r="A583" i="10"/>
  <c r="A584" i="10"/>
  <c r="C583" i="10"/>
  <c r="F583" i="10"/>
  <c r="D583" i="10"/>
  <c r="I583" i="10"/>
  <c r="E583" i="10"/>
  <c r="H583" i="10"/>
  <c r="J583" i="10"/>
  <c r="E584" i="10"/>
  <c r="H584" i="10"/>
  <c r="J584" i="10"/>
  <c r="A585" i="10"/>
  <c r="C584" i="10"/>
  <c r="F584" i="10"/>
  <c r="D584" i="10"/>
  <c r="I584" i="10"/>
  <c r="D585" i="10"/>
  <c r="I585" i="10"/>
  <c r="E585" i="10"/>
  <c r="H585" i="10"/>
  <c r="J585" i="10"/>
  <c r="A586" i="10"/>
  <c r="C585" i="10"/>
  <c r="F585" i="10"/>
  <c r="C586" i="10"/>
  <c r="F586" i="10"/>
  <c r="D586" i="10"/>
  <c r="I586" i="10"/>
  <c r="E586" i="10"/>
  <c r="H586" i="10"/>
  <c r="J586" i="10"/>
  <c r="A587" i="10"/>
  <c r="A588" i="10"/>
  <c r="C587" i="10"/>
  <c r="F587" i="10"/>
  <c r="D587" i="10"/>
  <c r="I587" i="10"/>
  <c r="E587" i="10"/>
  <c r="H587" i="10"/>
  <c r="J587" i="10"/>
  <c r="E588" i="10"/>
  <c r="H588" i="10"/>
  <c r="J588" i="10"/>
  <c r="A589" i="10"/>
  <c r="C588" i="10"/>
  <c r="F588" i="10"/>
  <c r="D588" i="10"/>
  <c r="I588" i="10"/>
  <c r="D589" i="10"/>
  <c r="I589" i="10"/>
  <c r="E589" i="10"/>
  <c r="H589" i="10"/>
  <c r="J589" i="10"/>
  <c r="A590" i="10"/>
  <c r="C589" i="10"/>
  <c r="F589" i="10"/>
  <c r="C590" i="10"/>
  <c r="F590" i="10"/>
  <c r="D590" i="10"/>
  <c r="I590" i="10"/>
  <c r="E590" i="10"/>
  <c r="H590" i="10"/>
  <c r="J590" i="10"/>
  <c r="A591" i="10"/>
  <c r="A592" i="10"/>
  <c r="C591" i="10"/>
  <c r="F591" i="10"/>
  <c r="D591" i="10"/>
  <c r="I591" i="10"/>
  <c r="E591" i="10"/>
  <c r="H591" i="10"/>
  <c r="J591" i="10"/>
  <c r="E592" i="10"/>
  <c r="H592" i="10"/>
  <c r="J592" i="10"/>
  <c r="A593" i="10"/>
  <c r="C592" i="10"/>
  <c r="F592" i="10"/>
  <c r="D592" i="10"/>
  <c r="I592" i="10"/>
  <c r="D593" i="10"/>
  <c r="I593" i="10"/>
  <c r="E593" i="10"/>
  <c r="H593" i="10"/>
  <c r="J593" i="10"/>
  <c r="A594" i="10"/>
  <c r="C593" i="10"/>
  <c r="F593" i="10"/>
  <c r="C594" i="10"/>
  <c r="F594" i="10"/>
  <c r="D594" i="10"/>
  <c r="I594" i="10"/>
  <c r="E594" i="10"/>
  <c r="H594" i="10"/>
  <c r="J594" i="10"/>
  <c r="A595" i="10"/>
  <c r="A596" i="10"/>
  <c r="C595" i="10"/>
  <c r="F595" i="10"/>
  <c r="D595" i="10"/>
  <c r="I595" i="10"/>
  <c r="E595" i="10"/>
  <c r="H595" i="10"/>
  <c r="J595" i="10"/>
  <c r="E596" i="10"/>
  <c r="H596" i="10"/>
  <c r="J596" i="10"/>
  <c r="A597" i="10"/>
  <c r="C596" i="10"/>
  <c r="F596" i="10"/>
  <c r="D596" i="10"/>
  <c r="I596" i="10"/>
  <c r="D597" i="10"/>
  <c r="I597" i="10"/>
  <c r="E597" i="10"/>
  <c r="H597" i="10"/>
  <c r="J597" i="10"/>
  <c r="A598" i="10"/>
  <c r="C597" i="10"/>
  <c r="F597" i="10"/>
  <c r="C598" i="10"/>
  <c r="F598" i="10"/>
  <c r="D598" i="10"/>
  <c r="I598" i="10"/>
  <c r="E598" i="10"/>
  <c r="H598" i="10"/>
  <c r="J598" i="10"/>
  <c r="A599" i="10"/>
  <c r="A600" i="10"/>
  <c r="C599" i="10"/>
  <c r="F599" i="10"/>
  <c r="I599" i="10"/>
  <c r="D599" i="10"/>
  <c r="E599" i="10"/>
  <c r="H599" i="10"/>
  <c r="J599" i="10"/>
  <c r="E600" i="10"/>
  <c r="H600" i="10"/>
  <c r="J600" i="10"/>
  <c r="A601" i="10"/>
  <c r="D600" i="10"/>
  <c r="I600" i="10"/>
  <c r="C600" i="10"/>
  <c r="F600" i="10"/>
  <c r="D601" i="10"/>
  <c r="I601" i="10"/>
  <c r="E601" i="10"/>
  <c r="H601" i="10"/>
  <c r="J601" i="10"/>
  <c r="C601" i="10"/>
  <c r="F601" i="10"/>
  <c r="A602" i="10"/>
  <c r="C602" i="10"/>
  <c r="F602" i="10"/>
  <c r="D602" i="10"/>
  <c r="I602" i="10"/>
  <c r="A603" i="10"/>
  <c r="E602" i="10"/>
  <c r="H602" i="10"/>
  <c r="J602" i="10"/>
  <c r="A604" i="10"/>
  <c r="C603" i="10"/>
  <c r="F603" i="10"/>
  <c r="I603" i="10"/>
  <c r="D603" i="10"/>
  <c r="E603" i="10"/>
  <c r="H603" i="10"/>
  <c r="J603" i="10"/>
  <c r="E604" i="10"/>
  <c r="H604" i="10"/>
  <c r="J604" i="10"/>
  <c r="A605" i="10"/>
  <c r="D604" i="10"/>
  <c r="I604" i="10"/>
  <c r="C604" i="10"/>
  <c r="F604" i="10"/>
  <c r="D605" i="10"/>
  <c r="I605" i="10"/>
  <c r="E605" i="10"/>
  <c r="H605" i="10"/>
  <c r="J605" i="10"/>
  <c r="C605" i="10"/>
  <c r="F605" i="10"/>
  <c r="A606" i="10"/>
  <c r="C606" i="10"/>
  <c r="F606" i="10"/>
  <c r="D606" i="10"/>
  <c r="I606" i="10"/>
  <c r="A607" i="10"/>
  <c r="E606" i="10"/>
  <c r="H606" i="10"/>
  <c r="J606" i="10"/>
  <c r="A608" i="10"/>
  <c r="C607" i="10"/>
  <c r="F607" i="10"/>
  <c r="I607" i="10"/>
  <c r="D607" i="10"/>
  <c r="E607" i="10"/>
  <c r="H607" i="10"/>
  <c r="J607" i="10"/>
  <c r="E608" i="10"/>
  <c r="H608" i="10"/>
  <c r="J608" i="10"/>
  <c r="A609" i="10"/>
  <c r="D608" i="10"/>
  <c r="I608" i="10"/>
  <c r="C608" i="10"/>
  <c r="F608" i="10"/>
  <c r="D609" i="10"/>
  <c r="I609" i="10"/>
  <c r="E609" i="10"/>
  <c r="H609" i="10"/>
  <c r="J609" i="10"/>
  <c r="C609" i="10"/>
  <c r="F609" i="10"/>
  <c r="A610" i="10"/>
  <c r="C610" i="10"/>
  <c r="F610" i="10"/>
  <c r="D610" i="10"/>
  <c r="I610" i="10"/>
  <c r="A611" i="10"/>
  <c r="E610" i="10"/>
  <c r="H610" i="10"/>
  <c r="J610" i="10"/>
  <c r="E611" i="10"/>
  <c r="H611" i="10"/>
  <c r="J611" i="10"/>
  <c r="A612" i="10"/>
  <c r="C611" i="10"/>
  <c r="F611" i="10"/>
  <c r="D611" i="10"/>
  <c r="I611" i="10"/>
  <c r="D612" i="10"/>
  <c r="I612" i="10"/>
  <c r="E612" i="10"/>
  <c r="H612" i="10"/>
  <c r="J612" i="10"/>
  <c r="A613" i="10"/>
  <c r="C612" i="10"/>
  <c r="F612" i="10"/>
  <c r="C613" i="10"/>
  <c r="F613" i="10"/>
  <c r="D613" i="10"/>
  <c r="I613" i="10"/>
  <c r="E613" i="10"/>
  <c r="H613" i="10"/>
  <c r="J613" i="10"/>
  <c r="A614" i="10"/>
  <c r="A615" i="10"/>
  <c r="C614" i="10"/>
  <c r="F614" i="10"/>
  <c r="D614" i="10"/>
  <c r="I614" i="10"/>
  <c r="E614" i="10"/>
  <c r="H614" i="10"/>
  <c r="J614" i="10"/>
  <c r="E615" i="10"/>
  <c r="H615" i="10"/>
  <c r="J615" i="10"/>
  <c r="A616" i="10"/>
  <c r="C615" i="10"/>
  <c r="F615" i="10"/>
  <c r="D615" i="10"/>
  <c r="I615" i="10"/>
  <c r="D616" i="10"/>
  <c r="I616" i="10"/>
  <c r="E616" i="10"/>
  <c r="H616" i="10"/>
  <c r="J616" i="10"/>
  <c r="A617" i="10"/>
  <c r="C616" i="10"/>
  <c r="F616" i="10"/>
  <c r="C617" i="10"/>
  <c r="F617" i="10"/>
  <c r="D617" i="10"/>
  <c r="I617" i="10"/>
  <c r="E617" i="10"/>
  <c r="H617" i="10"/>
  <c r="J617" i="10"/>
  <c r="A618" i="10"/>
  <c r="A619" i="10"/>
  <c r="C618" i="10"/>
  <c r="F618" i="10"/>
  <c r="D618" i="10"/>
  <c r="I618" i="10"/>
  <c r="E618" i="10"/>
  <c r="H618" i="10"/>
  <c r="J618" i="10"/>
  <c r="E619" i="10"/>
  <c r="H619" i="10"/>
  <c r="J619" i="10"/>
  <c r="A620" i="10"/>
  <c r="C619" i="10"/>
  <c r="F619" i="10"/>
  <c r="D619" i="10"/>
  <c r="I619" i="10"/>
  <c r="D620" i="10"/>
  <c r="I620" i="10"/>
  <c r="E620" i="10"/>
  <c r="H620" i="10"/>
  <c r="J620" i="10"/>
  <c r="A621" i="10"/>
  <c r="C620" i="10"/>
  <c r="F620" i="10"/>
  <c r="C621" i="10"/>
  <c r="F621" i="10"/>
  <c r="D621" i="10"/>
  <c r="I621" i="10"/>
  <c r="E621" i="10"/>
  <c r="H621" i="10"/>
  <c r="J621" i="10"/>
  <c r="A622" i="10"/>
  <c r="A623" i="10"/>
  <c r="C622" i="10"/>
  <c r="F622" i="10"/>
  <c r="D622" i="10"/>
  <c r="I622" i="10"/>
  <c r="E622" i="10"/>
  <c r="H622" i="10"/>
  <c r="J622" i="10"/>
  <c r="E623" i="10"/>
  <c r="H623" i="10"/>
  <c r="J623" i="10"/>
  <c r="A624" i="10"/>
  <c r="C623" i="10"/>
  <c r="F623" i="10"/>
  <c r="D623" i="10"/>
  <c r="I623" i="10"/>
  <c r="D624" i="10"/>
  <c r="I624" i="10"/>
  <c r="E624" i="10"/>
  <c r="H624" i="10"/>
  <c r="J624" i="10"/>
  <c r="A625" i="10"/>
  <c r="C624" i="10"/>
  <c r="F624" i="10"/>
  <c r="C625" i="10"/>
  <c r="F625" i="10"/>
  <c r="D625" i="10"/>
  <c r="I625" i="10"/>
  <c r="E625" i="10"/>
  <c r="H625" i="10"/>
  <c r="J625" i="10"/>
  <c r="A626" i="10"/>
  <c r="A627" i="10"/>
  <c r="C626" i="10"/>
  <c r="F626" i="10"/>
  <c r="D626" i="10"/>
  <c r="I626" i="10"/>
  <c r="E626" i="10"/>
  <c r="H626" i="10"/>
  <c r="J626" i="10"/>
  <c r="E627" i="10"/>
  <c r="H627" i="10"/>
  <c r="J627" i="10"/>
  <c r="A628" i="10"/>
  <c r="C627" i="10"/>
  <c r="F627" i="10"/>
  <c r="D627" i="10"/>
  <c r="I627" i="10"/>
  <c r="D628" i="10"/>
  <c r="I628" i="10"/>
  <c r="E628" i="10"/>
  <c r="H628" i="10"/>
  <c r="J628" i="10"/>
  <c r="A629" i="10"/>
  <c r="C628" i="10"/>
  <c r="F628" i="10"/>
  <c r="C629" i="10"/>
  <c r="F629" i="10"/>
  <c r="D629" i="10"/>
  <c r="I629" i="10"/>
  <c r="E629" i="10"/>
  <c r="H629" i="10"/>
  <c r="J629" i="10"/>
  <c r="A630" i="10"/>
  <c r="A631" i="10"/>
  <c r="C630" i="10"/>
  <c r="F630" i="10"/>
  <c r="D630" i="10"/>
  <c r="I630" i="10"/>
  <c r="E630" i="10"/>
  <c r="H630" i="10"/>
  <c r="J630" i="10"/>
  <c r="E631" i="10"/>
  <c r="H631" i="10"/>
  <c r="J631" i="10"/>
  <c r="A632" i="10"/>
  <c r="C631" i="10"/>
  <c r="F631" i="10"/>
  <c r="D631" i="10"/>
  <c r="I631" i="10"/>
  <c r="D632" i="10"/>
  <c r="I632" i="10"/>
  <c r="E632" i="10"/>
  <c r="H632" i="10"/>
  <c r="J632" i="10"/>
  <c r="A633" i="10"/>
  <c r="C632" i="10"/>
  <c r="F632" i="10"/>
  <c r="C633" i="10"/>
  <c r="F633" i="10"/>
  <c r="D633" i="10"/>
  <c r="I633" i="10"/>
  <c r="E633" i="10"/>
  <c r="H633" i="10"/>
  <c r="J633" i="10"/>
  <c r="A634" i="10"/>
  <c r="A635" i="10"/>
  <c r="C634" i="10"/>
  <c r="F634" i="10"/>
  <c r="D634" i="10"/>
  <c r="I634" i="10"/>
  <c r="E634" i="10"/>
  <c r="H634" i="10"/>
  <c r="J634" i="10"/>
  <c r="E635" i="10"/>
  <c r="H635" i="10"/>
  <c r="J635" i="10"/>
  <c r="A636" i="10"/>
  <c r="C635" i="10"/>
  <c r="F635" i="10"/>
  <c r="D635" i="10"/>
  <c r="I635" i="10"/>
  <c r="D636" i="10"/>
  <c r="I636" i="10"/>
  <c r="E636" i="10"/>
  <c r="H636" i="10"/>
  <c r="J636" i="10"/>
  <c r="A637" i="10"/>
  <c r="C636" i="10"/>
  <c r="F636" i="10"/>
  <c r="C637" i="10"/>
  <c r="F637" i="10"/>
  <c r="D637" i="10"/>
  <c r="I637" i="10"/>
  <c r="E637" i="10"/>
  <c r="H637" i="10"/>
  <c r="J637" i="10"/>
  <c r="A638" i="10"/>
  <c r="A639" i="10"/>
  <c r="C638" i="10"/>
  <c r="F638" i="10"/>
  <c r="D638" i="10"/>
  <c r="I638" i="10"/>
  <c r="E638" i="10"/>
  <c r="H638" i="10"/>
  <c r="J638" i="10"/>
  <c r="E639" i="10"/>
  <c r="H639" i="10"/>
  <c r="J639" i="10"/>
  <c r="A640" i="10"/>
  <c r="C639" i="10"/>
  <c r="F639" i="10"/>
  <c r="D639" i="10"/>
  <c r="I639" i="10"/>
  <c r="D640" i="10"/>
  <c r="I640" i="10"/>
  <c r="E640" i="10"/>
  <c r="H640" i="10"/>
  <c r="J640" i="10"/>
  <c r="A641" i="10"/>
  <c r="C640" i="10"/>
  <c r="F640" i="10"/>
  <c r="C641" i="10"/>
  <c r="F641" i="10"/>
  <c r="D641" i="10"/>
  <c r="I641" i="10"/>
  <c r="E641" i="10"/>
  <c r="H641" i="10"/>
  <c r="J641" i="10"/>
  <c r="A642" i="10"/>
  <c r="A643" i="10"/>
  <c r="C642" i="10"/>
  <c r="F642" i="10"/>
  <c r="D642" i="10"/>
  <c r="I642" i="10"/>
  <c r="E642" i="10"/>
  <c r="H642" i="10"/>
  <c r="J642" i="10"/>
  <c r="E643" i="10"/>
  <c r="H643" i="10"/>
  <c r="J643" i="10"/>
  <c r="A644" i="10"/>
  <c r="C643" i="10"/>
  <c r="F643" i="10"/>
  <c r="D643" i="10"/>
  <c r="I643" i="10"/>
  <c r="D644" i="10"/>
  <c r="I644" i="10"/>
  <c r="E644" i="10"/>
  <c r="H644" i="10"/>
  <c r="J644" i="10"/>
  <c r="A645" i="10"/>
  <c r="C644" i="10"/>
  <c r="F644" i="10"/>
  <c r="C645" i="10"/>
  <c r="F645" i="10"/>
  <c r="D645" i="10"/>
  <c r="I645" i="10"/>
  <c r="E645" i="10"/>
  <c r="H645" i="10"/>
  <c r="J645" i="10"/>
  <c r="A646" i="10"/>
  <c r="A647" i="10"/>
  <c r="C646" i="10"/>
  <c r="F646" i="10"/>
  <c r="D646" i="10"/>
  <c r="I646" i="10"/>
  <c r="E646" i="10"/>
  <c r="H646" i="10"/>
  <c r="J646" i="10"/>
  <c r="E647" i="10"/>
  <c r="H647" i="10"/>
  <c r="J647" i="10"/>
  <c r="A648" i="10"/>
  <c r="C647" i="10"/>
  <c r="F647" i="10"/>
  <c r="D647" i="10"/>
  <c r="I647" i="10"/>
  <c r="D648" i="10"/>
  <c r="I648" i="10"/>
  <c r="E648" i="10"/>
  <c r="H648" i="10"/>
  <c r="J648" i="10"/>
  <c r="A649" i="10"/>
  <c r="C648" i="10"/>
  <c r="F648" i="10"/>
  <c r="C649" i="10"/>
  <c r="F649" i="10"/>
  <c r="D649" i="10"/>
  <c r="I649" i="10"/>
  <c r="E649" i="10"/>
  <c r="H649" i="10"/>
  <c r="J649" i="10"/>
  <c r="A650" i="10"/>
  <c r="A651" i="10"/>
  <c r="C650" i="10"/>
  <c r="F650" i="10"/>
  <c r="D650" i="10"/>
  <c r="I650" i="10"/>
  <c r="E650" i="10"/>
  <c r="H650" i="10"/>
  <c r="J650" i="10"/>
  <c r="E651" i="10"/>
  <c r="H651" i="10"/>
  <c r="J651" i="10"/>
  <c r="A652" i="10"/>
  <c r="C651" i="10"/>
  <c r="F651" i="10"/>
  <c r="D651" i="10"/>
  <c r="I651" i="10"/>
  <c r="D652" i="10"/>
  <c r="I652" i="10"/>
  <c r="E652" i="10"/>
  <c r="H652" i="10"/>
  <c r="J652" i="10"/>
  <c r="A653" i="10"/>
  <c r="C652" i="10"/>
  <c r="F652" i="10"/>
  <c r="C653" i="10"/>
  <c r="F653" i="10"/>
  <c r="D653" i="10"/>
  <c r="I653" i="10"/>
  <c r="E653" i="10"/>
  <c r="H653" i="10"/>
  <c r="J653" i="10"/>
  <c r="A654" i="10"/>
  <c r="A655" i="10"/>
  <c r="C654" i="10"/>
  <c r="F654" i="10"/>
  <c r="D654" i="10"/>
  <c r="I654" i="10"/>
  <c r="E654" i="10"/>
  <c r="H654" i="10"/>
  <c r="J654" i="10"/>
  <c r="E655" i="10"/>
  <c r="H655" i="10"/>
  <c r="J655" i="10"/>
  <c r="A656" i="10"/>
  <c r="C655" i="10"/>
  <c r="F655" i="10"/>
  <c r="D655" i="10"/>
  <c r="I655" i="10"/>
  <c r="D656" i="10"/>
  <c r="I656" i="10"/>
  <c r="E656" i="10"/>
  <c r="H656" i="10"/>
  <c r="J656" i="10"/>
  <c r="A657" i="10"/>
  <c r="C656" i="10"/>
  <c r="F656" i="10"/>
  <c r="C657" i="10"/>
  <c r="F657" i="10"/>
  <c r="D657" i="10"/>
  <c r="I657" i="10"/>
  <c r="E657" i="10"/>
  <c r="H657" i="10"/>
  <c r="J657" i="10"/>
  <c r="A658" i="10"/>
  <c r="A659" i="10"/>
  <c r="C658" i="10"/>
  <c r="F658" i="10"/>
  <c r="D658" i="10"/>
  <c r="I658" i="10"/>
  <c r="E658" i="10"/>
  <c r="H658" i="10"/>
  <c r="J658" i="10"/>
  <c r="E659" i="10"/>
  <c r="H659" i="10"/>
  <c r="J659" i="10"/>
  <c r="A660" i="10"/>
  <c r="C659" i="10"/>
  <c r="F659" i="10"/>
  <c r="D659" i="10"/>
  <c r="I659" i="10"/>
  <c r="D660" i="10"/>
  <c r="I660" i="10"/>
  <c r="E660" i="10"/>
  <c r="H660" i="10"/>
  <c r="J660" i="10"/>
  <c r="A661" i="10"/>
  <c r="C660" i="10"/>
  <c r="F660" i="10"/>
  <c r="C661" i="10"/>
  <c r="F661" i="10"/>
  <c r="D661" i="10"/>
  <c r="I661" i="10"/>
  <c r="E661" i="10"/>
  <c r="H661" i="10"/>
  <c r="J661" i="10"/>
  <c r="A662" i="10"/>
  <c r="A663" i="10"/>
  <c r="C662" i="10"/>
  <c r="F662" i="10"/>
  <c r="D662" i="10"/>
  <c r="I662" i="10"/>
  <c r="E662" i="10"/>
  <c r="H662" i="10"/>
  <c r="J662" i="10"/>
  <c r="E663" i="10"/>
  <c r="H663" i="10"/>
  <c r="J663" i="10"/>
  <c r="A664" i="10"/>
  <c r="C663" i="10"/>
  <c r="F663" i="10"/>
  <c r="D663" i="10"/>
  <c r="I663" i="10"/>
  <c r="D664" i="10"/>
  <c r="I664" i="10"/>
  <c r="E664" i="10"/>
  <c r="H664" i="10"/>
  <c r="J664" i="10"/>
  <c r="A665" i="10"/>
  <c r="C664" i="10"/>
  <c r="F664" i="10"/>
  <c r="C665" i="10"/>
  <c r="F665" i="10"/>
  <c r="D665" i="10"/>
  <c r="I665" i="10"/>
  <c r="E665" i="10"/>
  <c r="H665" i="10"/>
  <c r="J665" i="10"/>
  <c r="A666" i="10"/>
  <c r="A667" i="10"/>
  <c r="C666" i="10"/>
  <c r="F666" i="10"/>
  <c r="D666" i="10"/>
  <c r="I666" i="10"/>
  <c r="E666" i="10"/>
  <c r="H666" i="10"/>
  <c r="J666" i="10"/>
  <c r="E667" i="10"/>
  <c r="H667" i="10"/>
  <c r="J667" i="10"/>
  <c r="A668" i="10"/>
  <c r="C667" i="10"/>
  <c r="F667" i="10"/>
  <c r="D667" i="10"/>
  <c r="I667" i="10"/>
  <c r="D668" i="10"/>
  <c r="I668" i="10"/>
  <c r="E668" i="10"/>
  <c r="H668" i="10"/>
  <c r="J668" i="10"/>
  <c r="A669" i="10"/>
  <c r="C668" i="10"/>
  <c r="F668" i="10"/>
  <c r="C669" i="10"/>
  <c r="F669" i="10"/>
  <c r="D669" i="10"/>
  <c r="I669" i="10"/>
  <c r="E669" i="10"/>
  <c r="H669" i="10"/>
  <c r="J669" i="10"/>
  <c r="A670" i="10"/>
  <c r="A671" i="10"/>
  <c r="C670" i="10"/>
  <c r="F670" i="10"/>
  <c r="D670" i="10"/>
  <c r="I670" i="10"/>
  <c r="E670" i="10"/>
  <c r="H670" i="10"/>
  <c r="J670" i="10"/>
  <c r="E671" i="10"/>
  <c r="H671" i="10"/>
  <c r="J671" i="10"/>
  <c r="A672" i="10"/>
  <c r="C671" i="10"/>
  <c r="F671" i="10"/>
  <c r="D671" i="10"/>
  <c r="I671" i="10"/>
  <c r="D672" i="10"/>
  <c r="I672" i="10"/>
  <c r="E672" i="10"/>
  <c r="H672" i="10"/>
  <c r="J672" i="10"/>
  <c r="A673" i="10"/>
  <c r="C672" i="10"/>
  <c r="F672" i="10"/>
  <c r="C673" i="10"/>
  <c r="F673" i="10"/>
  <c r="D673" i="10"/>
  <c r="I673" i="10"/>
  <c r="E673" i="10"/>
  <c r="H673" i="10"/>
  <c r="J673" i="10"/>
  <c r="A674" i="10"/>
  <c r="A675" i="10"/>
  <c r="C674" i="10"/>
  <c r="F674" i="10"/>
  <c r="D674" i="10"/>
  <c r="I674" i="10"/>
  <c r="E674" i="10"/>
  <c r="H674" i="10"/>
  <c r="J674" i="10"/>
  <c r="E675" i="10"/>
  <c r="H675" i="10"/>
  <c r="J675" i="10"/>
  <c r="A676" i="10"/>
  <c r="C675" i="10"/>
  <c r="F675" i="10"/>
  <c r="D675" i="10"/>
  <c r="I675" i="10"/>
  <c r="D676" i="10"/>
  <c r="I676" i="10"/>
  <c r="E676" i="10"/>
  <c r="H676" i="10"/>
  <c r="J676" i="10"/>
  <c r="A677" i="10"/>
  <c r="C676" i="10"/>
  <c r="F676" i="10"/>
  <c r="C677" i="10"/>
  <c r="F677" i="10"/>
  <c r="D677" i="10"/>
  <c r="I677" i="10"/>
  <c r="E677" i="10"/>
  <c r="H677" i="10"/>
  <c r="J677" i="10"/>
  <c r="A678" i="10"/>
  <c r="A679" i="10"/>
  <c r="C678" i="10"/>
  <c r="F678" i="10"/>
  <c r="D678" i="10"/>
  <c r="I678" i="10"/>
  <c r="E678" i="10"/>
  <c r="H678" i="10"/>
  <c r="J678" i="10"/>
  <c r="E679" i="10"/>
  <c r="H679" i="10"/>
  <c r="J679" i="10"/>
  <c r="A680" i="10"/>
  <c r="C679" i="10"/>
  <c r="F679" i="10"/>
  <c r="D679" i="10"/>
  <c r="I679" i="10"/>
  <c r="D680" i="10"/>
  <c r="I680" i="10"/>
  <c r="E680" i="10"/>
  <c r="H680" i="10"/>
  <c r="J680" i="10"/>
  <c r="A681" i="10"/>
  <c r="C680" i="10"/>
  <c r="F680" i="10"/>
  <c r="C681" i="10"/>
  <c r="F681" i="10"/>
  <c r="D681" i="10"/>
  <c r="I681" i="10"/>
  <c r="E681" i="10"/>
  <c r="H681" i="10"/>
  <c r="J681" i="10"/>
  <c r="A682" i="10"/>
  <c r="A683" i="10"/>
  <c r="C682" i="10"/>
  <c r="F682" i="10"/>
  <c r="D682" i="10"/>
  <c r="I682" i="10"/>
  <c r="E682" i="10"/>
  <c r="H682" i="10"/>
  <c r="J682" i="10"/>
  <c r="E683" i="10"/>
  <c r="H683" i="10"/>
  <c r="J683" i="10"/>
  <c r="A684" i="10"/>
  <c r="C683" i="10"/>
  <c r="F683" i="10"/>
  <c r="D683" i="10"/>
  <c r="I683" i="10"/>
  <c r="D684" i="10"/>
  <c r="I684" i="10"/>
  <c r="E684" i="10"/>
  <c r="H684" i="10"/>
  <c r="J684" i="10"/>
  <c r="A685" i="10"/>
  <c r="C684" i="10"/>
  <c r="F684" i="10"/>
  <c r="C685" i="10"/>
  <c r="F685" i="10"/>
  <c r="D685" i="10"/>
  <c r="I685" i="10"/>
  <c r="E685" i="10"/>
  <c r="H685" i="10"/>
  <c r="J685" i="10"/>
  <c r="A686" i="10"/>
  <c r="A687" i="10"/>
  <c r="C686" i="10"/>
  <c r="F686" i="10"/>
  <c r="D686" i="10"/>
  <c r="I686" i="10"/>
  <c r="E686" i="10"/>
  <c r="H686" i="10"/>
  <c r="J686" i="10"/>
  <c r="E687" i="10"/>
  <c r="H687" i="10"/>
  <c r="J687" i="10"/>
  <c r="A688" i="10"/>
  <c r="C687" i="10"/>
  <c r="F687" i="10"/>
  <c r="D687" i="10"/>
  <c r="I687" i="10"/>
  <c r="D688" i="10"/>
  <c r="I688" i="10"/>
  <c r="E688" i="10"/>
  <c r="H688" i="10"/>
  <c r="J688" i="10"/>
  <c r="A689" i="10"/>
  <c r="C688" i="10"/>
  <c r="F688" i="10"/>
  <c r="C689" i="10"/>
  <c r="F689" i="10"/>
  <c r="D689" i="10"/>
  <c r="I689" i="10"/>
  <c r="E689" i="10"/>
  <c r="H689" i="10"/>
  <c r="J689" i="10"/>
  <c r="A690" i="10"/>
  <c r="A691" i="10"/>
  <c r="C690" i="10"/>
  <c r="F690" i="10"/>
  <c r="D690" i="10"/>
  <c r="I690" i="10"/>
  <c r="E690" i="10"/>
  <c r="H690" i="10"/>
  <c r="J690" i="10"/>
  <c r="E691" i="10"/>
  <c r="H691" i="10"/>
  <c r="J691" i="10"/>
  <c r="A692" i="10"/>
  <c r="C691" i="10"/>
  <c r="F691" i="10"/>
  <c r="D691" i="10"/>
  <c r="I691" i="10"/>
  <c r="D692" i="10"/>
  <c r="I692" i="10"/>
  <c r="E692" i="10"/>
  <c r="H692" i="10"/>
  <c r="J692" i="10"/>
  <c r="A693" i="10"/>
  <c r="C692" i="10"/>
  <c r="F692" i="10"/>
  <c r="C693" i="10"/>
  <c r="F693" i="10"/>
  <c r="D693" i="10"/>
  <c r="I693" i="10"/>
  <c r="E693" i="10"/>
  <c r="H693" i="10"/>
  <c r="J693" i="10"/>
  <c r="A694" i="10"/>
  <c r="A695" i="10"/>
  <c r="C694" i="10"/>
  <c r="F694" i="10"/>
  <c r="D694" i="10"/>
  <c r="I694" i="10"/>
  <c r="E694" i="10"/>
  <c r="H694" i="10"/>
  <c r="J694" i="10"/>
  <c r="E695" i="10"/>
  <c r="H695" i="10"/>
  <c r="J695" i="10"/>
  <c r="A696" i="10"/>
  <c r="C695" i="10"/>
  <c r="F695" i="10"/>
  <c r="D695" i="10"/>
  <c r="I695" i="10"/>
  <c r="D696" i="10"/>
  <c r="I696" i="10"/>
  <c r="E696" i="10"/>
  <c r="H696" i="10"/>
  <c r="J696" i="10"/>
  <c r="A697" i="10"/>
  <c r="C696" i="10"/>
  <c r="F696" i="10"/>
  <c r="C697" i="10"/>
  <c r="F697" i="10"/>
  <c r="D697" i="10"/>
  <c r="I697" i="10"/>
  <c r="E697" i="10"/>
  <c r="H697" i="10"/>
  <c r="J697" i="10"/>
  <c r="A698" i="10"/>
  <c r="A699" i="10"/>
  <c r="C698" i="10"/>
  <c r="F698" i="10"/>
  <c r="D698" i="10"/>
  <c r="I698" i="10"/>
  <c r="E698" i="10"/>
  <c r="H698" i="10"/>
  <c r="J698" i="10"/>
  <c r="E699" i="10"/>
  <c r="H699" i="10"/>
  <c r="J699" i="10"/>
  <c r="A700" i="10"/>
  <c r="C699" i="10"/>
  <c r="F699" i="10"/>
  <c r="D699" i="10"/>
  <c r="I699" i="10"/>
  <c r="D700" i="10"/>
  <c r="I700" i="10"/>
  <c r="E700" i="10"/>
  <c r="H700" i="10"/>
  <c r="J700" i="10"/>
  <c r="A701" i="10"/>
  <c r="C700" i="10"/>
  <c r="F700" i="10"/>
  <c r="C701" i="10"/>
  <c r="F701" i="10"/>
  <c r="D701" i="10"/>
  <c r="I701" i="10"/>
  <c r="E701" i="10"/>
  <c r="H701" i="10"/>
  <c r="J701" i="10"/>
  <c r="A702" i="10"/>
  <c r="A703" i="10"/>
  <c r="C702" i="10"/>
  <c r="F702" i="10"/>
  <c r="D702" i="10"/>
  <c r="I702" i="10"/>
  <c r="E702" i="10"/>
  <c r="H702" i="10"/>
  <c r="J702" i="10"/>
  <c r="E703" i="10"/>
  <c r="H703" i="10"/>
  <c r="J703" i="10"/>
  <c r="A704" i="10"/>
  <c r="C703" i="10"/>
  <c r="F703" i="10"/>
  <c r="D703" i="10"/>
  <c r="I703" i="10"/>
  <c r="D704" i="10"/>
  <c r="I704" i="10"/>
  <c r="E704" i="10"/>
  <c r="H704" i="10"/>
  <c r="J704" i="10"/>
  <c r="A705" i="10"/>
  <c r="C704" i="10"/>
  <c r="F704" i="10"/>
  <c r="C705" i="10"/>
  <c r="F705" i="10"/>
  <c r="D705" i="10"/>
  <c r="I705" i="10"/>
  <c r="E705" i="10"/>
  <c r="H705" i="10"/>
  <c r="J705" i="10"/>
  <c r="A706" i="10"/>
  <c r="A707" i="10"/>
  <c r="C706" i="10"/>
  <c r="F706" i="10"/>
  <c r="D706" i="10"/>
  <c r="I706" i="10"/>
  <c r="E706" i="10"/>
  <c r="H706" i="10"/>
  <c r="J706" i="10"/>
  <c r="E707" i="10"/>
  <c r="H707" i="10"/>
  <c r="J707" i="10"/>
  <c r="A708" i="10"/>
  <c r="C707" i="10"/>
  <c r="F707" i="10"/>
  <c r="D707" i="10"/>
  <c r="I707" i="10"/>
  <c r="D708" i="10"/>
  <c r="I708" i="10"/>
  <c r="E708" i="10"/>
  <c r="H708" i="10"/>
  <c r="J708" i="10"/>
  <c r="A709" i="10"/>
  <c r="C708" i="10"/>
  <c r="F708" i="10"/>
  <c r="C709" i="10"/>
  <c r="F709" i="10"/>
  <c r="D709" i="10"/>
  <c r="I709" i="10"/>
  <c r="E709" i="10"/>
  <c r="H709" i="10"/>
  <c r="J709" i="10"/>
  <c r="A710" i="10"/>
  <c r="A711" i="10"/>
  <c r="C710" i="10"/>
  <c r="F710" i="10"/>
  <c r="D710" i="10"/>
  <c r="I710" i="10"/>
  <c r="E710" i="10"/>
  <c r="H710" i="10"/>
  <c r="J710" i="10"/>
  <c r="E711" i="10"/>
  <c r="H711" i="10"/>
  <c r="J711" i="10"/>
  <c r="A712" i="10"/>
  <c r="C711" i="10"/>
  <c r="F711" i="10"/>
  <c r="D711" i="10"/>
  <c r="I711" i="10"/>
  <c r="D712" i="10"/>
  <c r="I712" i="10"/>
  <c r="E712" i="10"/>
  <c r="H712" i="10"/>
  <c r="J712" i="10"/>
  <c r="A713" i="10"/>
  <c r="C712" i="10"/>
  <c r="F712" i="10"/>
  <c r="C713" i="10"/>
  <c r="F713" i="10"/>
  <c r="D713" i="10"/>
  <c r="I713" i="10"/>
  <c r="E713" i="10"/>
  <c r="H713" i="10"/>
  <c r="J713" i="10"/>
  <c r="A714" i="10"/>
  <c r="A715" i="10"/>
  <c r="C714" i="10"/>
  <c r="F714" i="10"/>
  <c r="D714" i="10"/>
  <c r="I714" i="10"/>
  <c r="E714" i="10"/>
  <c r="H714" i="10"/>
  <c r="J714" i="10"/>
  <c r="E715" i="10"/>
  <c r="H715" i="10"/>
  <c r="J715" i="10"/>
  <c r="A716" i="10"/>
  <c r="C715" i="10"/>
  <c r="F715" i="10"/>
  <c r="D715" i="10"/>
  <c r="I715" i="10"/>
  <c r="D716" i="10"/>
  <c r="I716" i="10"/>
  <c r="E716" i="10"/>
  <c r="H716" i="10"/>
  <c r="J716" i="10"/>
  <c r="A717" i="10"/>
  <c r="C716" i="10"/>
  <c r="F716" i="10"/>
  <c r="C717" i="10"/>
  <c r="F717" i="10"/>
  <c r="D717" i="10"/>
  <c r="I717" i="10"/>
  <c r="E717" i="10"/>
  <c r="H717" i="10"/>
  <c r="J717" i="10"/>
  <c r="A718" i="10"/>
  <c r="A719" i="10"/>
  <c r="C718" i="10"/>
  <c r="F718" i="10"/>
  <c r="D718" i="10"/>
  <c r="I718" i="10"/>
  <c r="E718" i="10"/>
  <c r="H718" i="10"/>
  <c r="J718" i="10"/>
  <c r="E719" i="10"/>
  <c r="H719" i="10"/>
  <c r="J719" i="10"/>
  <c r="A720" i="10"/>
  <c r="C719" i="10"/>
  <c r="F719" i="10"/>
  <c r="D719" i="10"/>
  <c r="I719" i="10"/>
  <c r="D720" i="10"/>
  <c r="I720" i="10"/>
  <c r="E720" i="10"/>
  <c r="H720" i="10"/>
  <c r="J720" i="10"/>
  <c r="A721" i="10"/>
  <c r="C720" i="10"/>
  <c r="F720" i="10"/>
  <c r="C721" i="10"/>
  <c r="F721" i="10"/>
  <c r="D721" i="10"/>
  <c r="I721" i="10"/>
  <c r="E721" i="10"/>
  <c r="H721" i="10"/>
  <c r="J721" i="10"/>
  <c r="A722" i="10"/>
  <c r="A723" i="10"/>
  <c r="C722" i="10"/>
  <c r="F722" i="10"/>
  <c r="D722" i="10"/>
  <c r="I722" i="10"/>
  <c r="E722" i="10"/>
  <c r="H722" i="10"/>
  <c r="J722" i="10"/>
  <c r="E723" i="10"/>
  <c r="H723" i="10"/>
  <c r="J723" i="10"/>
  <c r="A724" i="10"/>
  <c r="C723" i="10"/>
  <c r="F723" i="10"/>
  <c r="D723" i="10"/>
  <c r="I723" i="10"/>
  <c r="D724" i="10"/>
  <c r="I724" i="10"/>
  <c r="E724" i="10"/>
  <c r="H724" i="10"/>
  <c r="J724" i="10"/>
  <c r="A725" i="10"/>
  <c r="C724" i="10"/>
  <c r="F724" i="10"/>
  <c r="C725" i="10"/>
  <c r="F725" i="10"/>
  <c r="D725" i="10"/>
  <c r="I725" i="10"/>
  <c r="E725" i="10"/>
  <c r="H725" i="10"/>
  <c r="J725" i="10"/>
  <c r="A726" i="10"/>
  <c r="A727" i="10"/>
  <c r="C726" i="10"/>
  <c r="F726" i="10"/>
  <c r="D726" i="10"/>
  <c r="I726" i="10"/>
  <c r="E726" i="10"/>
  <c r="H726" i="10"/>
  <c r="J726" i="10"/>
  <c r="E727" i="10"/>
  <c r="H727" i="10"/>
  <c r="J727" i="10"/>
  <c r="A728" i="10"/>
  <c r="C727" i="10"/>
  <c r="F727" i="10"/>
  <c r="D727" i="10"/>
  <c r="I727" i="10"/>
  <c r="D728" i="10"/>
  <c r="I728" i="10"/>
  <c r="E728" i="10"/>
  <c r="H728" i="10"/>
  <c r="J728" i="10"/>
  <c r="A729" i="10"/>
  <c r="C728" i="10"/>
  <c r="F728" i="10"/>
  <c r="C729" i="10"/>
  <c r="F729" i="10"/>
  <c r="D729" i="10"/>
  <c r="I729" i="10"/>
  <c r="E729" i="10"/>
  <c r="H729" i="10"/>
  <c r="J729" i="10"/>
  <c r="A730" i="10"/>
  <c r="A731" i="10"/>
  <c r="C730" i="10"/>
  <c r="F730" i="10"/>
  <c r="D730" i="10"/>
  <c r="I730" i="10"/>
  <c r="E730" i="10"/>
  <c r="H730" i="10"/>
  <c r="J730" i="10"/>
  <c r="E731" i="10"/>
  <c r="H731" i="10"/>
  <c r="J731" i="10"/>
  <c r="A732" i="10"/>
  <c r="C731" i="10"/>
  <c r="F731" i="10"/>
  <c r="D731" i="10"/>
  <c r="I731" i="10"/>
  <c r="D732" i="10"/>
  <c r="I732" i="10"/>
  <c r="E732" i="10"/>
  <c r="H732" i="10"/>
  <c r="J732" i="10"/>
  <c r="A733" i="10"/>
  <c r="C732" i="10"/>
  <c r="F732" i="10"/>
  <c r="C733" i="10"/>
  <c r="F733" i="10"/>
  <c r="D733" i="10"/>
  <c r="I733" i="10"/>
  <c r="E733" i="10"/>
  <c r="H733" i="10"/>
  <c r="J733" i="10"/>
  <c r="A734" i="10"/>
  <c r="A735" i="10"/>
  <c r="C734" i="10"/>
  <c r="F734" i="10"/>
  <c r="D734" i="10"/>
  <c r="I734" i="10"/>
  <c r="E734" i="10"/>
  <c r="H734" i="10"/>
  <c r="J734" i="10"/>
  <c r="E735" i="10"/>
  <c r="H735" i="10"/>
  <c r="J735" i="10"/>
  <c r="A736" i="10"/>
  <c r="C735" i="10"/>
  <c r="F735" i="10"/>
  <c r="D735" i="10"/>
  <c r="I735" i="10"/>
  <c r="D736" i="10"/>
  <c r="I736" i="10"/>
  <c r="E736" i="10"/>
  <c r="H736" i="10"/>
  <c r="J736" i="10"/>
  <c r="A737" i="10"/>
  <c r="C736" i="10"/>
  <c r="F736" i="10"/>
  <c r="C737" i="10"/>
  <c r="F737" i="10"/>
  <c r="D737" i="10"/>
  <c r="I737" i="10"/>
  <c r="E737" i="10"/>
  <c r="H737" i="10"/>
  <c r="J737" i="10"/>
  <c r="A738" i="10"/>
  <c r="A739" i="10"/>
  <c r="C738" i="10"/>
  <c r="F738" i="10"/>
  <c r="D738" i="10"/>
  <c r="I738" i="10"/>
  <c r="E738" i="10"/>
  <c r="H738" i="10"/>
  <c r="J738" i="10"/>
  <c r="E739" i="10"/>
  <c r="H739" i="10"/>
  <c r="J739" i="10"/>
  <c r="A740" i="10"/>
  <c r="C739" i="10"/>
  <c r="F739" i="10"/>
  <c r="D739" i="10"/>
  <c r="I739" i="10"/>
  <c r="D740" i="10"/>
  <c r="I740" i="10"/>
  <c r="E740" i="10"/>
  <c r="H740" i="10"/>
  <c r="J740" i="10"/>
  <c r="A741" i="10"/>
  <c r="C740" i="10"/>
  <c r="F740" i="10"/>
  <c r="C741" i="10"/>
  <c r="F741" i="10"/>
  <c r="D741" i="10"/>
  <c r="I741" i="10"/>
  <c r="E741" i="10"/>
  <c r="H741" i="10"/>
  <c r="J741" i="10"/>
  <c r="A742" i="10"/>
  <c r="A743" i="10"/>
  <c r="C742" i="10"/>
  <c r="F742" i="10"/>
  <c r="D742" i="10"/>
  <c r="I742" i="10"/>
  <c r="E742" i="10"/>
  <c r="H742" i="10"/>
  <c r="J742" i="10"/>
  <c r="E743" i="10"/>
  <c r="H743" i="10"/>
  <c r="J743" i="10"/>
  <c r="A744" i="10"/>
  <c r="C743" i="10"/>
  <c r="F743" i="10"/>
  <c r="D743" i="10"/>
  <c r="I743" i="10"/>
  <c r="D744" i="10"/>
  <c r="I744" i="10"/>
  <c r="E744" i="10"/>
  <c r="H744" i="10"/>
  <c r="J744" i="10"/>
  <c r="A745" i="10"/>
  <c r="C744" i="10"/>
  <c r="F744" i="10"/>
  <c r="C745" i="10"/>
  <c r="F745" i="10"/>
  <c r="D745" i="10"/>
  <c r="I745" i="10"/>
  <c r="E745" i="10"/>
  <c r="H745" i="10"/>
  <c r="J745" i="10"/>
  <c r="A746" i="10"/>
  <c r="A747" i="10"/>
  <c r="C746" i="10"/>
  <c r="F746" i="10"/>
  <c r="D746" i="10"/>
  <c r="I746" i="10"/>
  <c r="E746" i="10"/>
  <c r="H746" i="10"/>
  <c r="J746" i="10"/>
  <c r="E747" i="10"/>
  <c r="H747" i="10"/>
  <c r="J747" i="10"/>
  <c r="A748" i="10"/>
  <c r="C747" i="10"/>
  <c r="F747" i="10"/>
  <c r="D747" i="10"/>
  <c r="I747" i="10"/>
  <c r="D748" i="10"/>
  <c r="I748" i="10"/>
  <c r="E748" i="10"/>
  <c r="H748" i="10"/>
  <c r="J748" i="10"/>
  <c r="A749" i="10"/>
  <c r="C748" i="10"/>
  <c r="F748" i="10"/>
  <c r="C749" i="10"/>
  <c r="F749" i="10"/>
  <c r="D749" i="10"/>
  <c r="I749" i="10"/>
  <c r="E749" i="10"/>
  <c r="H749" i="10"/>
  <c r="J749" i="10"/>
  <c r="A750" i="10"/>
  <c r="A751" i="10"/>
  <c r="C750" i="10"/>
  <c r="F750" i="10"/>
  <c r="D750" i="10"/>
  <c r="I750" i="10"/>
  <c r="E750" i="10"/>
  <c r="H750" i="10"/>
  <c r="J750" i="10"/>
  <c r="E751" i="10"/>
  <c r="H751" i="10"/>
  <c r="J751" i="10"/>
  <c r="A752" i="10"/>
  <c r="C751" i="10"/>
  <c r="F751" i="10"/>
  <c r="D751" i="10"/>
  <c r="I751" i="10"/>
  <c r="D752" i="10"/>
  <c r="I752" i="10"/>
  <c r="E752" i="10"/>
  <c r="H752" i="10"/>
  <c r="J752" i="10"/>
  <c r="A753" i="10"/>
  <c r="C752" i="10"/>
  <c r="F752" i="10"/>
  <c r="C753" i="10"/>
  <c r="F753" i="10"/>
  <c r="D753" i="10"/>
  <c r="I753" i="10"/>
  <c r="E753" i="10"/>
  <c r="H753" i="10"/>
  <c r="J753" i="10"/>
  <c r="A754" i="10"/>
  <c r="A755" i="10"/>
  <c r="C754" i="10"/>
  <c r="F754" i="10"/>
  <c r="D754" i="10"/>
  <c r="I754" i="10"/>
  <c r="E754" i="10"/>
  <c r="H754" i="10"/>
  <c r="J754" i="10"/>
  <c r="E755" i="10"/>
  <c r="H755" i="10"/>
  <c r="J755" i="10"/>
  <c r="A756" i="10"/>
  <c r="C755" i="10"/>
  <c r="F755" i="10"/>
  <c r="D755" i="10"/>
  <c r="I755" i="10"/>
  <c r="D756" i="10"/>
  <c r="I756" i="10"/>
  <c r="E756" i="10"/>
  <c r="H756" i="10"/>
  <c r="J756" i="10"/>
  <c r="A757" i="10"/>
  <c r="C756" i="10"/>
  <c r="F756" i="10"/>
  <c r="C757" i="10"/>
  <c r="F757" i="10"/>
  <c r="D757" i="10"/>
  <c r="I757" i="10"/>
  <c r="E757" i="10"/>
  <c r="H757" i="10"/>
  <c r="J757" i="10"/>
  <c r="A758" i="10"/>
  <c r="A759" i="10"/>
  <c r="C758" i="10"/>
  <c r="F758" i="10"/>
  <c r="D758" i="10"/>
  <c r="I758" i="10"/>
  <c r="E758" i="10"/>
  <c r="H758" i="10"/>
  <c r="J758" i="10"/>
  <c r="E759" i="10"/>
  <c r="H759" i="10"/>
  <c r="J759" i="10"/>
  <c r="A760" i="10"/>
  <c r="C759" i="10"/>
  <c r="F759" i="10"/>
  <c r="D759" i="10"/>
  <c r="I759" i="10"/>
  <c r="D760" i="10"/>
  <c r="I760" i="10"/>
  <c r="E760" i="10"/>
  <c r="H760" i="10"/>
  <c r="J760" i="10"/>
  <c r="A761" i="10"/>
  <c r="C760" i="10"/>
  <c r="F760" i="10"/>
  <c r="C761" i="10"/>
  <c r="F761" i="10"/>
  <c r="D761" i="10"/>
  <c r="I761" i="10"/>
  <c r="E761" i="10"/>
  <c r="H761" i="10"/>
  <c r="J761" i="10"/>
  <c r="A762" i="10"/>
  <c r="A763" i="10"/>
  <c r="C762" i="10"/>
  <c r="F762" i="10"/>
  <c r="D762" i="10"/>
  <c r="I762" i="10"/>
  <c r="E762" i="10"/>
  <c r="H762" i="10"/>
  <c r="J762" i="10"/>
  <c r="E763" i="10"/>
  <c r="H763" i="10"/>
  <c r="J763" i="10"/>
  <c r="A764" i="10"/>
  <c r="C763" i="10"/>
  <c r="F763" i="10"/>
  <c r="D763" i="10"/>
  <c r="I763" i="10"/>
  <c r="D764" i="10"/>
  <c r="I764" i="10"/>
  <c r="E764" i="10"/>
  <c r="H764" i="10"/>
  <c r="J764" i="10"/>
  <c r="A765" i="10"/>
  <c r="C764" i="10"/>
  <c r="F764" i="10"/>
  <c r="C765" i="10"/>
  <c r="F765" i="10"/>
  <c r="D765" i="10"/>
  <c r="I765" i="10"/>
  <c r="E765" i="10"/>
  <c r="H765" i="10"/>
  <c r="J765" i="10"/>
  <c r="A766" i="10"/>
  <c r="A767" i="10"/>
  <c r="C766" i="10"/>
  <c r="F766" i="10"/>
  <c r="D766" i="10"/>
  <c r="I766" i="10"/>
  <c r="E766" i="10"/>
  <c r="H766" i="10"/>
  <c r="J766" i="10"/>
  <c r="E767" i="10"/>
  <c r="H767" i="10"/>
  <c r="J767" i="10"/>
  <c r="A768" i="10"/>
  <c r="C767" i="10"/>
  <c r="F767" i="10"/>
  <c r="D767" i="10"/>
  <c r="I767" i="10"/>
  <c r="D768" i="10"/>
  <c r="I768" i="10"/>
  <c r="E768" i="10"/>
  <c r="H768" i="10"/>
  <c r="J768" i="10"/>
  <c r="A769" i="10"/>
  <c r="C768" i="10"/>
  <c r="F768" i="10"/>
  <c r="C769" i="10"/>
  <c r="F769" i="10"/>
  <c r="D769" i="10"/>
  <c r="I769" i="10"/>
  <c r="E769" i="10"/>
  <c r="H769" i="10"/>
  <c r="J769" i="10"/>
  <c r="A770" i="10"/>
  <c r="A771" i="10"/>
  <c r="C770" i="10"/>
  <c r="F770" i="10"/>
  <c r="D770" i="10"/>
  <c r="I770" i="10"/>
  <c r="E770" i="10"/>
  <c r="H770" i="10"/>
  <c r="J770" i="10"/>
  <c r="E771" i="10"/>
  <c r="H771" i="10"/>
  <c r="J771" i="10"/>
  <c r="A772" i="10"/>
  <c r="C771" i="10"/>
  <c r="F771" i="10"/>
  <c r="D771" i="10"/>
  <c r="I771" i="10"/>
  <c r="D772" i="10"/>
  <c r="I772" i="10"/>
  <c r="E772" i="10"/>
  <c r="H772" i="10"/>
  <c r="J772" i="10"/>
  <c r="A773" i="10"/>
  <c r="C772" i="10"/>
  <c r="F772" i="10"/>
  <c r="C773" i="10"/>
  <c r="F773" i="10"/>
  <c r="D773" i="10"/>
  <c r="I773" i="10"/>
  <c r="E773" i="10"/>
  <c r="H773" i="10"/>
  <c r="J773" i="10"/>
  <c r="A774" i="10"/>
  <c r="A775" i="10"/>
  <c r="C774" i="10"/>
  <c r="F774" i="10"/>
  <c r="D774" i="10"/>
  <c r="I774" i="10"/>
  <c r="E774" i="10"/>
  <c r="H774" i="10"/>
  <c r="J774" i="10"/>
  <c r="E775" i="10"/>
  <c r="H775" i="10"/>
  <c r="J775" i="10"/>
  <c r="A776" i="10"/>
  <c r="C775" i="10"/>
  <c r="F775" i="10"/>
  <c r="D775" i="10"/>
  <c r="I775" i="10"/>
  <c r="D776" i="10"/>
  <c r="I776" i="10"/>
  <c r="E776" i="10"/>
  <c r="H776" i="10"/>
  <c r="J776" i="10"/>
  <c r="A777" i="10"/>
  <c r="C776" i="10"/>
  <c r="F776" i="10"/>
  <c r="C777" i="10"/>
  <c r="F777" i="10"/>
  <c r="D777" i="10"/>
  <c r="I777" i="10"/>
  <c r="E777" i="10"/>
  <c r="H777" i="10"/>
  <c r="J777" i="10"/>
  <c r="A778" i="10"/>
  <c r="A779" i="10"/>
  <c r="C778" i="10"/>
  <c r="F778" i="10"/>
  <c r="D778" i="10"/>
  <c r="I778" i="10"/>
  <c r="E778" i="10"/>
  <c r="H778" i="10"/>
  <c r="J778" i="10"/>
  <c r="E779" i="10"/>
  <c r="H779" i="10"/>
  <c r="J779" i="10"/>
  <c r="A780" i="10"/>
  <c r="C779" i="10"/>
  <c r="F779" i="10"/>
  <c r="D779" i="10"/>
  <c r="I779" i="10"/>
  <c r="D780" i="10"/>
  <c r="I780" i="10"/>
  <c r="E780" i="10"/>
  <c r="H780" i="10"/>
  <c r="J780" i="10"/>
  <c r="A781" i="10"/>
  <c r="C780" i="10"/>
  <c r="F780" i="10"/>
  <c r="C781" i="10"/>
  <c r="F781" i="10"/>
  <c r="D781" i="10"/>
  <c r="I781" i="10"/>
  <c r="E781" i="10"/>
  <c r="H781" i="10"/>
  <c r="J781" i="10"/>
  <c r="A782" i="10"/>
  <c r="A783" i="10"/>
  <c r="C782" i="10"/>
  <c r="F782" i="10"/>
  <c r="D782" i="10"/>
  <c r="I782" i="10"/>
  <c r="E782" i="10"/>
  <c r="H782" i="10"/>
  <c r="J782" i="10"/>
  <c r="E783" i="10"/>
  <c r="H783" i="10"/>
  <c r="J783" i="10"/>
  <c r="A784" i="10"/>
  <c r="C783" i="10"/>
  <c r="F783" i="10"/>
  <c r="D783" i="10"/>
  <c r="I783" i="10"/>
  <c r="D784" i="10"/>
  <c r="I784" i="10"/>
  <c r="E784" i="10"/>
  <c r="H784" i="10"/>
  <c r="J784" i="10"/>
  <c r="A785" i="10"/>
  <c r="C784" i="10"/>
  <c r="F784" i="10"/>
  <c r="C785" i="10"/>
  <c r="F785" i="10"/>
  <c r="D785" i="10"/>
  <c r="I785" i="10"/>
  <c r="E785" i="10"/>
  <c r="H785" i="10"/>
  <c r="J785" i="10"/>
  <c r="A786" i="10"/>
  <c r="A787" i="10"/>
  <c r="C786" i="10"/>
  <c r="F786" i="10"/>
  <c r="D786" i="10"/>
  <c r="I786" i="10"/>
  <c r="E786" i="10"/>
  <c r="H786" i="10"/>
  <c r="J786" i="10"/>
  <c r="E787" i="10"/>
  <c r="H787" i="10"/>
  <c r="J787" i="10"/>
  <c r="A788" i="10"/>
  <c r="C787" i="10"/>
  <c r="F787" i="10"/>
  <c r="D787" i="10"/>
  <c r="I787" i="10"/>
  <c r="D788" i="10"/>
  <c r="I788" i="10"/>
  <c r="E788" i="10"/>
  <c r="H788" i="10"/>
  <c r="J788" i="10"/>
  <c r="A789" i="10"/>
  <c r="C788" i="10"/>
  <c r="F788" i="10"/>
  <c r="C789" i="10"/>
  <c r="F789" i="10"/>
  <c r="D789" i="10"/>
  <c r="I789" i="10"/>
  <c r="E789" i="10"/>
  <c r="H789" i="10"/>
  <c r="J789" i="10"/>
  <c r="A790" i="10"/>
  <c r="A791" i="10"/>
  <c r="C790" i="10"/>
  <c r="F790" i="10"/>
  <c r="D790" i="10"/>
  <c r="I790" i="10"/>
  <c r="E790" i="10"/>
  <c r="H790" i="10"/>
  <c r="J790" i="10"/>
  <c r="E791" i="10"/>
  <c r="H791" i="10"/>
  <c r="J791" i="10"/>
  <c r="A792" i="10"/>
  <c r="C791" i="10"/>
  <c r="F791" i="10"/>
  <c r="D791" i="10"/>
  <c r="I791" i="10"/>
  <c r="D792" i="10"/>
  <c r="I792" i="10"/>
  <c r="E792" i="10"/>
  <c r="H792" i="10"/>
  <c r="J792" i="10"/>
  <c r="A793" i="10"/>
  <c r="C792" i="10"/>
  <c r="F792" i="10"/>
  <c r="C793" i="10"/>
  <c r="F793" i="10"/>
  <c r="D793" i="10"/>
  <c r="I793" i="10"/>
  <c r="E793" i="10"/>
  <c r="H793" i="10"/>
  <c r="J793" i="10"/>
  <c r="A794" i="10"/>
  <c r="A795" i="10"/>
  <c r="C794" i="10"/>
  <c r="F794" i="10"/>
  <c r="D794" i="10"/>
  <c r="I794" i="10"/>
  <c r="E794" i="10"/>
  <c r="H794" i="10"/>
  <c r="J794" i="10"/>
  <c r="E795" i="10"/>
  <c r="H795" i="10"/>
  <c r="J795" i="10"/>
  <c r="A796" i="10"/>
  <c r="C795" i="10"/>
  <c r="F795" i="10"/>
  <c r="D795" i="10"/>
  <c r="I795" i="10"/>
  <c r="D796" i="10"/>
  <c r="I796" i="10"/>
  <c r="E796" i="10"/>
  <c r="H796" i="10"/>
  <c r="J796" i="10"/>
  <c r="A797" i="10"/>
  <c r="C796" i="10"/>
  <c r="F796" i="10"/>
  <c r="C797" i="10"/>
  <c r="F797" i="10"/>
  <c r="D797" i="10"/>
  <c r="I797" i="10"/>
  <c r="E797" i="10"/>
  <c r="H797" i="10"/>
  <c r="J797" i="10"/>
  <c r="A798" i="10"/>
  <c r="A799" i="10"/>
  <c r="C798" i="10"/>
  <c r="F798" i="10"/>
  <c r="D798" i="10"/>
  <c r="I798" i="10"/>
  <c r="E798" i="10"/>
  <c r="H798" i="10"/>
  <c r="J798" i="10"/>
  <c r="E799" i="10"/>
  <c r="H799" i="10"/>
  <c r="J799" i="10"/>
  <c r="A800" i="10"/>
  <c r="C799" i="10"/>
  <c r="F799" i="10"/>
  <c r="D799" i="10"/>
  <c r="I799" i="10"/>
  <c r="D800" i="10"/>
  <c r="I800" i="10"/>
  <c r="E800" i="10"/>
  <c r="H800" i="10"/>
  <c r="J800" i="10"/>
  <c r="A801" i="10"/>
  <c r="C800" i="10"/>
  <c r="F800" i="10"/>
  <c r="C801" i="10"/>
  <c r="F801" i="10"/>
  <c r="D801" i="10"/>
  <c r="I801" i="10"/>
  <c r="E801" i="10"/>
  <c r="H801" i="10"/>
  <c r="J801" i="10"/>
  <c r="A802" i="10"/>
  <c r="A803" i="10"/>
  <c r="C802" i="10"/>
  <c r="F802" i="10"/>
  <c r="D802" i="10"/>
  <c r="I802" i="10"/>
  <c r="E802" i="10"/>
  <c r="H802" i="10"/>
  <c r="J802" i="10"/>
  <c r="E803" i="10"/>
  <c r="H803" i="10"/>
  <c r="J803" i="10"/>
  <c r="A804" i="10"/>
  <c r="C803" i="10"/>
  <c r="F803" i="10"/>
  <c r="D803" i="10"/>
  <c r="I803" i="10"/>
  <c r="D804" i="10"/>
  <c r="I804" i="10"/>
  <c r="E804" i="10"/>
  <c r="H804" i="10"/>
  <c r="J804" i="10"/>
  <c r="A805" i="10"/>
  <c r="C804" i="10"/>
  <c r="F804" i="10"/>
  <c r="C805" i="10"/>
  <c r="F805" i="10"/>
  <c r="D805" i="10"/>
  <c r="I805" i="10"/>
  <c r="E805" i="10"/>
  <c r="H805" i="10"/>
  <c r="J805" i="10"/>
  <c r="A806" i="10"/>
  <c r="A807" i="10"/>
  <c r="C806" i="10"/>
  <c r="F806" i="10"/>
  <c r="D806" i="10"/>
  <c r="I806" i="10"/>
  <c r="E806" i="10"/>
  <c r="H806" i="10"/>
  <c r="J806" i="10"/>
  <c r="E807" i="10"/>
  <c r="H807" i="10"/>
  <c r="J807" i="10"/>
  <c r="A808" i="10"/>
  <c r="C807" i="10"/>
  <c r="F807" i="10"/>
  <c r="D807" i="10"/>
  <c r="I807" i="10"/>
  <c r="D808" i="10"/>
  <c r="I808" i="10"/>
  <c r="E808" i="10"/>
  <c r="H808" i="10"/>
  <c r="J808" i="10"/>
  <c r="A809" i="10"/>
  <c r="C808" i="10"/>
  <c r="F808" i="10"/>
  <c r="C809" i="10"/>
  <c r="F809" i="10"/>
  <c r="D809" i="10"/>
  <c r="I809" i="10"/>
  <c r="E809" i="10"/>
  <c r="H809" i="10"/>
  <c r="J809" i="10"/>
  <c r="A810" i="10"/>
  <c r="A811" i="10"/>
  <c r="C810" i="10"/>
  <c r="F810" i="10"/>
  <c r="D810" i="10"/>
  <c r="I810" i="10"/>
  <c r="E810" i="10"/>
  <c r="H810" i="10"/>
  <c r="J810" i="10"/>
  <c r="E811" i="10"/>
  <c r="H811" i="10"/>
  <c r="J811" i="10"/>
  <c r="A812" i="10"/>
  <c r="C811" i="10"/>
  <c r="F811" i="10"/>
  <c r="D811" i="10"/>
  <c r="I811" i="10"/>
  <c r="D812" i="10"/>
  <c r="I812" i="10"/>
  <c r="E812" i="10"/>
  <c r="H812" i="10"/>
  <c r="J812" i="10"/>
  <c r="A813" i="10"/>
  <c r="C812" i="10"/>
  <c r="F812" i="10"/>
  <c r="C813" i="10"/>
  <c r="F813" i="10"/>
  <c r="D813" i="10"/>
  <c r="I813" i="10"/>
  <c r="E813" i="10"/>
  <c r="H813" i="10"/>
  <c r="J813" i="10"/>
  <c r="A814" i="10"/>
  <c r="A815" i="10"/>
  <c r="C814" i="10"/>
  <c r="F814" i="10"/>
  <c r="D814" i="10"/>
  <c r="I814" i="10"/>
  <c r="E814" i="10"/>
  <c r="H814" i="10"/>
  <c r="J814" i="10"/>
  <c r="E815" i="10"/>
  <c r="H815" i="10"/>
  <c r="J815" i="10"/>
  <c r="A816" i="10"/>
  <c r="C815" i="10"/>
  <c r="F815" i="10"/>
  <c r="D815" i="10"/>
  <c r="I815" i="10"/>
  <c r="D816" i="10"/>
  <c r="I816" i="10"/>
  <c r="E816" i="10"/>
  <c r="H816" i="10"/>
  <c r="J816" i="10"/>
  <c r="A817" i="10"/>
  <c r="C816" i="10"/>
  <c r="F816" i="10"/>
  <c r="C817" i="10"/>
  <c r="F817" i="10"/>
  <c r="D817" i="10"/>
  <c r="I817" i="10"/>
  <c r="E817" i="10"/>
  <c r="H817" i="10"/>
  <c r="J817" i="10"/>
  <c r="A818" i="10"/>
  <c r="A819" i="10"/>
  <c r="C818" i="10"/>
  <c r="F818" i="10"/>
  <c r="D818" i="10"/>
  <c r="I818" i="10"/>
  <c r="E818" i="10"/>
  <c r="H818" i="10"/>
  <c r="J818" i="10"/>
  <c r="E819" i="10"/>
  <c r="H819" i="10"/>
  <c r="J819" i="10"/>
  <c r="A820" i="10"/>
  <c r="C819" i="10"/>
  <c r="F819" i="10"/>
  <c r="D819" i="10"/>
  <c r="I819" i="10"/>
  <c r="D820" i="10"/>
  <c r="I820" i="10"/>
  <c r="E820" i="10"/>
  <c r="H820" i="10"/>
  <c r="J820" i="10"/>
  <c r="A821" i="10"/>
  <c r="C820" i="10"/>
  <c r="F820" i="10"/>
  <c r="C821" i="10"/>
  <c r="F821" i="10"/>
  <c r="D821" i="10"/>
  <c r="I821" i="10"/>
  <c r="E821" i="10"/>
  <c r="H821" i="10"/>
  <c r="J821" i="10"/>
  <c r="A822" i="10"/>
  <c r="A823" i="10"/>
  <c r="C822" i="10"/>
  <c r="F822" i="10"/>
  <c r="D822" i="10"/>
  <c r="I822" i="10"/>
  <c r="E822" i="10"/>
  <c r="H822" i="10"/>
  <c r="J822" i="10"/>
  <c r="E823" i="10"/>
  <c r="H823" i="10"/>
  <c r="J823" i="10"/>
  <c r="A824" i="10"/>
  <c r="C823" i="10"/>
  <c r="F823" i="10"/>
  <c r="D823" i="10"/>
  <c r="I823" i="10"/>
  <c r="D824" i="10"/>
  <c r="I824" i="10"/>
  <c r="E824" i="10"/>
  <c r="H824" i="10"/>
  <c r="J824" i="10"/>
  <c r="A825" i="10"/>
  <c r="C824" i="10"/>
  <c r="F824" i="10"/>
  <c r="C825" i="10"/>
  <c r="F825" i="10"/>
  <c r="D825" i="10"/>
  <c r="I825" i="10"/>
  <c r="E825" i="10"/>
  <c r="H825" i="10"/>
  <c r="J825" i="10"/>
  <c r="A826" i="10"/>
  <c r="A827" i="10"/>
  <c r="C826" i="10"/>
  <c r="F826" i="10"/>
  <c r="D826" i="10"/>
  <c r="I826" i="10"/>
  <c r="E826" i="10"/>
  <c r="H826" i="10"/>
  <c r="J826" i="10"/>
  <c r="E827" i="10"/>
  <c r="H827" i="10"/>
  <c r="J827" i="10"/>
  <c r="A828" i="10"/>
  <c r="C827" i="10"/>
  <c r="F827" i="10"/>
  <c r="D827" i="10"/>
  <c r="I827" i="10"/>
  <c r="D828" i="10"/>
  <c r="I828" i="10"/>
  <c r="E828" i="10"/>
  <c r="H828" i="10"/>
  <c r="J828" i="10"/>
  <c r="A829" i="10"/>
  <c r="C828" i="10"/>
  <c r="F828" i="10"/>
  <c r="C829" i="10"/>
  <c r="F829" i="10"/>
  <c r="D829" i="10"/>
  <c r="I829" i="10"/>
  <c r="E829" i="10"/>
  <c r="H829" i="10"/>
  <c r="J829" i="10"/>
  <c r="A830" i="10"/>
  <c r="A831" i="10"/>
  <c r="C830" i="10"/>
  <c r="F830" i="10"/>
  <c r="D830" i="10"/>
  <c r="I830" i="10"/>
  <c r="E830" i="10"/>
  <c r="H830" i="10"/>
  <c r="J830" i="10"/>
  <c r="E831" i="10"/>
  <c r="H831" i="10"/>
  <c r="J831" i="10"/>
  <c r="A832" i="10"/>
  <c r="C831" i="10"/>
  <c r="F831" i="10"/>
  <c r="D831" i="10"/>
  <c r="I831" i="10"/>
  <c r="D832" i="10"/>
  <c r="I832" i="10"/>
  <c r="E832" i="10"/>
  <c r="H832" i="10"/>
  <c r="J832" i="10"/>
  <c r="A833" i="10"/>
  <c r="C832" i="10"/>
  <c r="F832" i="10"/>
  <c r="C833" i="10"/>
  <c r="F833" i="10"/>
  <c r="D833" i="10"/>
  <c r="I833" i="10"/>
  <c r="E833" i="10"/>
  <c r="H833" i="10"/>
  <c r="J833" i="10"/>
  <c r="A834" i="10"/>
  <c r="A835" i="10"/>
  <c r="C834" i="10"/>
  <c r="F834" i="10"/>
  <c r="D834" i="10"/>
  <c r="I834" i="10"/>
  <c r="E834" i="10"/>
  <c r="H834" i="10"/>
  <c r="J834" i="10"/>
  <c r="E835" i="10"/>
  <c r="H835" i="10"/>
  <c r="J835" i="10"/>
  <c r="A836" i="10"/>
  <c r="C835" i="10"/>
  <c r="F835" i="10"/>
  <c r="D835" i="10"/>
  <c r="I835" i="10"/>
  <c r="D836" i="10"/>
  <c r="I836" i="10"/>
  <c r="E836" i="10"/>
  <c r="H836" i="10"/>
  <c r="J836" i="10"/>
  <c r="A837" i="10"/>
  <c r="C836" i="10"/>
  <c r="F836" i="10"/>
  <c r="C837" i="10"/>
  <c r="F837" i="10"/>
  <c r="D837" i="10"/>
  <c r="I837" i="10"/>
  <c r="E837" i="10"/>
  <c r="H837" i="10"/>
  <c r="J837" i="10"/>
  <c r="A838" i="10"/>
  <c r="A839" i="10"/>
  <c r="C838" i="10"/>
  <c r="F838" i="10"/>
  <c r="D838" i="10"/>
  <c r="I838" i="10"/>
  <c r="E838" i="10"/>
  <c r="H838" i="10"/>
  <c r="J838" i="10"/>
  <c r="E839" i="10"/>
  <c r="H839" i="10"/>
  <c r="J839" i="10"/>
  <c r="A840" i="10"/>
  <c r="C839" i="10"/>
  <c r="F839" i="10"/>
  <c r="D839" i="10"/>
  <c r="I839" i="10"/>
  <c r="D840" i="10"/>
  <c r="I840" i="10"/>
  <c r="E840" i="10"/>
  <c r="H840" i="10"/>
  <c r="J840" i="10"/>
  <c r="A841" i="10"/>
  <c r="C840" i="10"/>
  <c r="F840" i="10"/>
  <c r="C841" i="10"/>
  <c r="F841" i="10"/>
  <c r="D841" i="10"/>
  <c r="I841" i="10"/>
  <c r="E841" i="10"/>
  <c r="H841" i="10"/>
  <c r="J841" i="10"/>
  <c r="A842" i="10"/>
  <c r="A843" i="10"/>
  <c r="C842" i="10"/>
  <c r="F842" i="10"/>
  <c r="D842" i="10"/>
  <c r="I842" i="10"/>
  <c r="E842" i="10"/>
  <c r="H842" i="10"/>
  <c r="J842" i="10"/>
  <c r="E843" i="10"/>
  <c r="H843" i="10"/>
  <c r="J843" i="10"/>
  <c r="A844" i="10"/>
  <c r="C843" i="10"/>
  <c r="F843" i="10"/>
  <c r="D843" i="10"/>
  <c r="I843" i="10"/>
  <c r="D844" i="10"/>
  <c r="I844" i="10"/>
  <c r="E844" i="10"/>
  <c r="H844" i="10"/>
  <c r="J844" i="10"/>
  <c r="A845" i="10"/>
  <c r="C844" i="10"/>
  <c r="F844" i="10"/>
  <c r="C845" i="10"/>
  <c r="F845" i="10"/>
  <c r="D845" i="10"/>
  <c r="I845" i="10"/>
  <c r="E845" i="10"/>
  <c r="H845" i="10"/>
  <c r="J845" i="10"/>
  <c r="A846" i="10"/>
  <c r="A847" i="10"/>
  <c r="C846" i="10"/>
  <c r="F846" i="10"/>
  <c r="D846" i="10"/>
  <c r="I846" i="10"/>
  <c r="E846" i="10"/>
  <c r="H846" i="10"/>
  <c r="J846" i="10"/>
  <c r="E847" i="10"/>
  <c r="H847" i="10"/>
  <c r="J847" i="10"/>
  <c r="A848" i="10"/>
  <c r="C847" i="10"/>
  <c r="F847" i="10"/>
  <c r="D847" i="10"/>
  <c r="I847" i="10"/>
  <c r="D848" i="10"/>
  <c r="I848" i="10"/>
  <c r="E848" i="10"/>
  <c r="H848" i="10"/>
  <c r="J848" i="10"/>
  <c r="A849" i="10"/>
  <c r="C848" i="10"/>
  <c r="F848" i="10"/>
  <c r="C849" i="10"/>
  <c r="F849" i="10"/>
  <c r="D849" i="10"/>
  <c r="I849" i="10"/>
  <c r="E849" i="10"/>
  <c r="H849" i="10"/>
  <c r="J849" i="10"/>
  <c r="A850" i="10"/>
  <c r="A851" i="10"/>
  <c r="C850" i="10"/>
  <c r="F850" i="10"/>
  <c r="D850" i="10"/>
  <c r="I850" i="10"/>
  <c r="E850" i="10"/>
  <c r="H850" i="10"/>
  <c r="J850" i="10"/>
  <c r="E851" i="10"/>
  <c r="H851" i="10"/>
  <c r="J851" i="10"/>
  <c r="A852" i="10"/>
  <c r="C851" i="10"/>
  <c r="F851" i="10"/>
  <c r="D851" i="10"/>
  <c r="I851" i="10"/>
  <c r="D852" i="10"/>
  <c r="I852" i="10"/>
  <c r="E852" i="10"/>
  <c r="H852" i="10"/>
  <c r="J852" i="10"/>
  <c r="A853" i="10"/>
  <c r="C852" i="10"/>
  <c r="F852" i="10"/>
  <c r="C853" i="10"/>
  <c r="F853" i="10"/>
  <c r="D853" i="10"/>
  <c r="I853" i="10"/>
  <c r="E853" i="10"/>
  <c r="H853" i="10"/>
  <c r="J853" i="10"/>
  <c r="A854" i="10"/>
  <c r="A855" i="10"/>
  <c r="C854" i="10"/>
  <c r="F854" i="10"/>
  <c r="D854" i="10"/>
  <c r="I854" i="10"/>
  <c r="E854" i="10"/>
  <c r="H854" i="10"/>
  <c r="J854" i="10"/>
  <c r="E855" i="10"/>
  <c r="H855" i="10"/>
  <c r="J855" i="10"/>
  <c r="A856" i="10"/>
  <c r="C855" i="10"/>
  <c r="F855" i="10"/>
  <c r="D855" i="10"/>
  <c r="I855" i="10"/>
  <c r="D856" i="10"/>
  <c r="I856" i="10"/>
  <c r="E856" i="10"/>
  <c r="H856" i="10"/>
  <c r="J856" i="10"/>
  <c r="A857" i="10"/>
  <c r="C856" i="10"/>
  <c r="F856" i="10"/>
  <c r="C857" i="10"/>
  <c r="F857" i="10"/>
  <c r="D857" i="10"/>
  <c r="I857" i="10"/>
  <c r="E857" i="10"/>
  <c r="H857" i="10"/>
  <c r="J857" i="10"/>
  <c r="A858" i="10"/>
  <c r="A859" i="10"/>
  <c r="C858" i="10"/>
  <c r="F858" i="10"/>
  <c r="D858" i="10"/>
  <c r="I858" i="10"/>
  <c r="E858" i="10"/>
  <c r="H858" i="10"/>
  <c r="J858" i="10"/>
  <c r="E859" i="10"/>
  <c r="H859" i="10"/>
  <c r="J859" i="10"/>
  <c r="A860" i="10"/>
  <c r="C859" i="10"/>
  <c r="F859" i="10"/>
  <c r="D859" i="10"/>
  <c r="I859" i="10"/>
  <c r="D860" i="10"/>
  <c r="I860" i="10"/>
  <c r="E860" i="10"/>
  <c r="H860" i="10"/>
  <c r="J860" i="10"/>
  <c r="A861" i="10"/>
  <c r="C860" i="10"/>
  <c r="F860" i="10"/>
  <c r="C861" i="10"/>
  <c r="F861" i="10"/>
  <c r="D861" i="10"/>
  <c r="I861" i="10"/>
  <c r="E861" i="10"/>
  <c r="H861" i="10"/>
  <c r="J861" i="10"/>
  <c r="A862" i="10"/>
  <c r="A863" i="10"/>
  <c r="C862" i="10"/>
  <c r="F862" i="10"/>
  <c r="D862" i="10"/>
  <c r="I862" i="10"/>
  <c r="E862" i="10"/>
  <c r="H862" i="10"/>
  <c r="J862" i="10"/>
  <c r="E863" i="10"/>
  <c r="H863" i="10"/>
  <c r="J863" i="10"/>
  <c r="A864" i="10"/>
  <c r="C863" i="10"/>
  <c r="F863" i="10"/>
  <c r="D863" i="10"/>
  <c r="I863" i="10"/>
  <c r="E864" i="10"/>
  <c r="H864" i="10"/>
  <c r="J864" i="10"/>
  <c r="A865" i="10"/>
  <c r="D864" i="10"/>
  <c r="I864" i="10"/>
  <c r="C864" i="10"/>
  <c r="F864" i="10"/>
  <c r="D865" i="10"/>
  <c r="I865" i="10"/>
  <c r="E865" i="10"/>
  <c r="H865" i="10"/>
  <c r="J865" i="10"/>
  <c r="C865" i="10"/>
  <c r="F865" i="10"/>
  <c r="A866" i="10"/>
  <c r="C866" i="10"/>
  <c r="F866" i="10"/>
  <c r="D866" i="10"/>
  <c r="I866" i="10"/>
  <c r="A867" i="10"/>
  <c r="E866" i="10"/>
  <c r="H866" i="10"/>
  <c r="J866" i="10"/>
  <c r="A868" i="10"/>
  <c r="C867" i="10"/>
  <c r="F867" i="10"/>
  <c r="I867" i="10"/>
  <c r="D867" i="10"/>
  <c r="E867" i="10"/>
  <c r="H867" i="10"/>
  <c r="J867" i="10"/>
  <c r="E868" i="10"/>
  <c r="H868" i="10"/>
  <c r="J868" i="10"/>
  <c r="A869" i="10"/>
  <c r="D868" i="10"/>
  <c r="I868" i="10"/>
  <c r="C868" i="10"/>
  <c r="F868" i="10"/>
  <c r="D869" i="10"/>
  <c r="I869" i="10"/>
  <c r="E869" i="10"/>
  <c r="H869" i="10"/>
  <c r="J869" i="10"/>
  <c r="C869" i="10"/>
  <c r="F869" i="10"/>
  <c r="A870" i="10"/>
  <c r="C870" i="10"/>
  <c r="F870" i="10"/>
  <c r="D870" i="10"/>
  <c r="I870" i="10"/>
  <c r="A871" i="10"/>
  <c r="E870" i="10"/>
  <c r="H870" i="10"/>
  <c r="J870" i="10"/>
  <c r="A872" i="10"/>
  <c r="C871" i="10"/>
  <c r="F871" i="10"/>
  <c r="I871" i="10"/>
  <c r="D871" i="10"/>
  <c r="E871" i="10"/>
  <c r="H871" i="10"/>
  <c r="J871" i="10"/>
  <c r="E872" i="10"/>
  <c r="H872" i="10"/>
  <c r="J872" i="10"/>
  <c r="A873" i="10"/>
  <c r="D872" i="10"/>
  <c r="I872" i="10"/>
  <c r="C872" i="10"/>
  <c r="F872" i="10"/>
  <c r="D873" i="10"/>
  <c r="I873" i="10"/>
  <c r="E873" i="10"/>
  <c r="H873" i="10"/>
  <c r="J873" i="10"/>
  <c r="C873" i="10"/>
  <c r="F873" i="10"/>
  <c r="A874" i="10"/>
  <c r="C874" i="10"/>
  <c r="F874" i="10"/>
  <c r="D874" i="10"/>
  <c r="I874" i="10"/>
  <c r="A875" i="10"/>
  <c r="E874" i="10"/>
  <c r="H874" i="10"/>
  <c r="J874" i="10"/>
  <c r="C875" i="10"/>
  <c r="F875" i="10"/>
  <c r="I875" i="10"/>
  <c r="D875" i="10"/>
  <c r="E875" i="10"/>
  <c r="H875" i="10"/>
  <c r="J875" i="10"/>
  <c r="A876" i="10"/>
  <c r="A877" i="10"/>
  <c r="C876" i="10"/>
  <c r="F876" i="10"/>
  <c r="I876" i="10"/>
  <c r="D876" i="10"/>
  <c r="E876" i="10"/>
  <c r="H876" i="10"/>
  <c r="J876" i="10"/>
  <c r="E877" i="10"/>
  <c r="H877" i="10"/>
  <c r="J877" i="10"/>
  <c r="C877" i="10"/>
  <c r="F877" i="10"/>
  <c r="I877" i="10"/>
  <c r="D877" i="10"/>
  <c r="A878" i="10"/>
  <c r="D878" i="10"/>
  <c r="I878" i="10"/>
  <c r="E878" i="10"/>
  <c r="H878" i="10"/>
  <c r="J878" i="10"/>
  <c r="A879" i="10"/>
  <c r="C878" i="10"/>
  <c r="F878" i="10"/>
  <c r="C879" i="10"/>
  <c r="F879" i="10"/>
  <c r="I879" i="10"/>
  <c r="D879" i="10"/>
  <c r="E879" i="10"/>
  <c r="H879" i="10"/>
  <c r="J879" i="10"/>
  <c r="A880" i="10"/>
  <c r="A881" i="10"/>
  <c r="C880" i="10"/>
  <c r="F880" i="10"/>
  <c r="I880" i="10"/>
  <c r="D880" i="10"/>
  <c r="E880" i="10"/>
  <c r="H880" i="10"/>
  <c r="J880" i="10"/>
  <c r="E881" i="10"/>
  <c r="H881" i="10"/>
  <c r="J881" i="10"/>
  <c r="C881" i="10"/>
  <c r="F881" i="10"/>
  <c r="I881" i="10"/>
  <c r="D881" i="10"/>
  <c r="A882" i="10"/>
  <c r="D882" i="10"/>
  <c r="I882" i="10"/>
  <c r="E882" i="10"/>
  <c r="H882" i="10"/>
  <c r="J882" i="10"/>
  <c r="A883" i="10"/>
  <c r="C882" i="10"/>
  <c r="F882" i="10"/>
  <c r="C883" i="10"/>
  <c r="F883" i="10"/>
  <c r="I883" i="10"/>
  <c r="D883" i="10"/>
  <c r="E883" i="10"/>
  <c r="H883" i="10"/>
  <c r="J883" i="10"/>
  <c r="A884" i="10"/>
  <c r="A885" i="10"/>
  <c r="C884" i="10"/>
  <c r="F884" i="10"/>
  <c r="I884" i="10"/>
  <c r="D884" i="10"/>
  <c r="E884" i="10"/>
  <c r="H884" i="10"/>
  <c r="J884" i="10"/>
  <c r="E885" i="10"/>
  <c r="H885" i="10"/>
  <c r="J885" i="10"/>
  <c r="C885" i="10"/>
  <c r="F885" i="10"/>
  <c r="I885" i="10"/>
  <c r="D885" i="10"/>
  <c r="A886" i="10"/>
  <c r="D886" i="10"/>
  <c r="I886" i="10"/>
  <c r="E886" i="10"/>
  <c r="H886" i="10"/>
  <c r="J886" i="10"/>
  <c r="A887" i="10"/>
  <c r="C886" i="10"/>
  <c r="F886" i="10"/>
  <c r="C887" i="10"/>
  <c r="F887" i="10"/>
  <c r="I887" i="10"/>
  <c r="D887" i="10"/>
  <c r="E887" i="10"/>
  <c r="H887" i="10"/>
  <c r="J887" i="10"/>
  <c r="A888" i="10"/>
  <c r="A889" i="10"/>
  <c r="C888" i="10"/>
  <c r="F888" i="10"/>
  <c r="I888" i="10"/>
  <c r="D888" i="10"/>
  <c r="E888" i="10"/>
  <c r="H888" i="10"/>
  <c r="J888" i="10"/>
  <c r="E889" i="10"/>
  <c r="H889" i="10"/>
  <c r="J889" i="10"/>
  <c r="C889" i="10"/>
  <c r="F889" i="10"/>
  <c r="I889" i="10"/>
  <c r="D889" i="10"/>
  <c r="A890" i="10"/>
  <c r="D890" i="10"/>
  <c r="I890" i="10"/>
  <c r="E890" i="10"/>
  <c r="H890" i="10"/>
  <c r="J890" i="10"/>
  <c r="A891" i="10"/>
  <c r="C890" i="10"/>
  <c r="F890" i="10"/>
  <c r="C891" i="10"/>
  <c r="F891" i="10"/>
  <c r="I891" i="10"/>
  <c r="D891" i="10"/>
  <c r="E891" i="10"/>
  <c r="H891" i="10"/>
  <c r="J891" i="10"/>
  <c r="A892" i="10"/>
  <c r="A893" i="10"/>
  <c r="C892" i="10"/>
  <c r="F892" i="10"/>
  <c r="I892" i="10"/>
  <c r="D892" i="10"/>
  <c r="E892" i="10"/>
  <c r="H892" i="10"/>
  <c r="J892" i="10"/>
  <c r="E893" i="10"/>
  <c r="H893" i="10"/>
  <c r="J893" i="10"/>
  <c r="C893" i="10"/>
  <c r="F893" i="10"/>
  <c r="I893" i="10"/>
  <c r="D893" i="10"/>
  <c r="A894" i="10"/>
  <c r="D894" i="10"/>
  <c r="I894" i="10"/>
  <c r="E894" i="10"/>
  <c r="H894" i="10"/>
  <c r="J894" i="10"/>
  <c r="A895" i="10"/>
  <c r="C894" i="10"/>
  <c r="F894" i="10"/>
  <c r="C895" i="10"/>
  <c r="F895" i="10"/>
  <c r="I895" i="10"/>
  <c r="D895" i="10"/>
  <c r="E895" i="10"/>
  <c r="H895" i="10"/>
  <c r="J895" i="10"/>
  <c r="A896" i="10"/>
  <c r="C896" i="10"/>
  <c r="F896" i="10"/>
  <c r="I896" i="10"/>
  <c r="D896" i="10"/>
  <c r="A897" i="10"/>
  <c r="E896" i="10"/>
  <c r="H896" i="10"/>
  <c r="J896" i="10"/>
  <c r="A898" i="10"/>
  <c r="C897" i="10"/>
  <c r="F897" i="10"/>
  <c r="D897" i="10"/>
  <c r="I897" i="10"/>
  <c r="E897" i="10"/>
  <c r="H897" i="10"/>
  <c r="J897" i="10"/>
  <c r="E898" i="10"/>
  <c r="H898" i="10"/>
  <c r="J898" i="10"/>
  <c r="A899" i="10"/>
  <c r="C898" i="10"/>
  <c r="F898" i="10"/>
  <c r="D898" i="10"/>
  <c r="I898" i="10"/>
  <c r="D899" i="10"/>
  <c r="I899" i="10"/>
  <c r="E899" i="10"/>
  <c r="H899" i="10"/>
  <c r="J899" i="10"/>
  <c r="A900" i="10"/>
  <c r="C899" i="10"/>
  <c r="F899" i="10"/>
  <c r="C900" i="10"/>
  <c r="F900" i="10"/>
  <c r="D900" i="10"/>
  <c r="I900" i="10"/>
  <c r="E900" i="10"/>
  <c r="H900" i="10"/>
  <c r="J900" i="10"/>
  <c r="A901" i="10"/>
  <c r="A902" i="10"/>
  <c r="C901" i="10"/>
  <c r="F901" i="10"/>
  <c r="D901" i="10"/>
  <c r="I901" i="10"/>
  <c r="E901" i="10"/>
  <c r="H901" i="10"/>
  <c r="J901" i="10"/>
  <c r="E902" i="10"/>
  <c r="H902" i="10"/>
  <c r="J902" i="10"/>
  <c r="A903" i="10"/>
  <c r="C902" i="10"/>
  <c r="F902" i="10"/>
  <c r="D902" i="10"/>
  <c r="I902" i="10"/>
  <c r="D903" i="10"/>
  <c r="I903" i="10"/>
  <c r="E903" i="10"/>
  <c r="H903" i="10"/>
  <c r="J903" i="10"/>
  <c r="A904" i="10"/>
  <c r="C903" i="10"/>
  <c r="F903" i="10"/>
  <c r="C904" i="10"/>
  <c r="F904" i="10"/>
  <c r="D904" i="10"/>
  <c r="I904" i="10"/>
  <c r="E904" i="10"/>
  <c r="H904" i="10"/>
  <c r="J904" i="10"/>
  <c r="A905" i="10"/>
  <c r="A906" i="10"/>
  <c r="C905" i="10"/>
  <c r="F905" i="10"/>
  <c r="D905" i="10"/>
  <c r="I905" i="10"/>
  <c r="E905" i="10"/>
  <c r="H905" i="10"/>
  <c r="J905" i="10"/>
  <c r="E906" i="10"/>
  <c r="H906" i="10"/>
  <c r="J906" i="10"/>
  <c r="A907" i="10"/>
  <c r="C906" i="10"/>
  <c r="F906" i="10"/>
  <c r="D906" i="10"/>
  <c r="I906" i="10"/>
  <c r="D907" i="10"/>
  <c r="I907" i="10"/>
  <c r="E907" i="10"/>
  <c r="H907" i="10"/>
  <c r="J907" i="10"/>
  <c r="A908" i="10"/>
  <c r="C907" i="10"/>
  <c r="F907" i="10"/>
  <c r="C908" i="10"/>
  <c r="F908" i="10"/>
  <c r="D908" i="10"/>
  <c r="I908" i="10"/>
  <c r="E908" i="10"/>
  <c r="H908" i="10"/>
  <c r="J908" i="10"/>
  <c r="A909" i="10"/>
  <c r="A910" i="10"/>
  <c r="C909" i="10"/>
  <c r="F909" i="10"/>
  <c r="D909" i="10"/>
  <c r="I909" i="10"/>
  <c r="E909" i="10"/>
  <c r="H909" i="10"/>
  <c r="J909" i="10"/>
  <c r="E910" i="10"/>
  <c r="H910" i="10"/>
  <c r="J910" i="10"/>
  <c r="A911" i="10"/>
  <c r="C910" i="10"/>
  <c r="F910" i="10"/>
  <c r="D910" i="10"/>
  <c r="I910" i="10"/>
  <c r="D911" i="10"/>
  <c r="I911" i="10"/>
  <c r="E911" i="10"/>
  <c r="H911" i="10"/>
  <c r="J911" i="10"/>
  <c r="A912" i="10"/>
  <c r="C911" i="10"/>
  <c r="F911" i="10"/>
  <c r="C912" i="10"/>
  <c r="F912" i="10"/>
  <c r="D912" i="10"/>
  <c r="I912" i="10"/>
  <c r="E912" i="10"/>
  <c r="H912" i="10"/>
  <c r="J912" i="10"/>
  <c r="A913" i="10"/>
  <c r="A914" i="10"/>
  <c r="C913" i="10"/>
  <c r="F913" i="10"/>
  <c r="D913" i="10"/>
  <c r="I913" i="10"/>
  <c r="E913" i="10"/>
  <c r="H913" i="10"/>
  <c r="J913" i="10"/>
  <c r="E914" i="10"/>
  <c r="H914" i="10"/>
  <c r="J914" i="10"/>
  <c r="A915" i="10"/>
  <c r="C914" i="10"/>
  <c r="F914" i="10"/>
  <c r="D914" i="10"/>
  <c r="I914" i="10"/>
  <c r="D915" i="10"/>
  <c r="I915" i="10"/>
  <c r="E915" i="10"/>
  <c r="H915" i="10"/>
  <c r="J915" i="10"/>
  <c r="A916" i="10"/>
  <c r="C915" i="10"/>
  <c r="F915" i="10"/>
  <c r="C916" i="10"/>
  <c r="F916" i="10"/>
  <c r="D916" i="10"/>
  <c r="I916" i="10"/>
  <c r="E916" i="10"/>
  <c r="H916" i="10"/>
  <c r="J916" i="10"/>
  <c r="A917" i="10"/>
  <c r="A918" i="10"/>
  <c r="C917" i="10"/>
  <c r="F917" i="10"/>
  <c r="D917" i="10"/>
  <c r="I917" i="10"/>
  <c r="E917" i="10"/>
  <c r="H917" i="10"/>
  <c r="J917" i="10"/>
  <c r="E918" i="10"/>
  <c r="H918" i="10"/>
  <c r="J918" i="10"/>
  <c r="A919" i="10"/>
  <c r="C918" i="10"/>
  <c r="F918" i="10"/>
  <c r="D918" i="10"/>
  <c r="I918" i="10"/>
  <c r="D919" i="10"/>
  <c r="I919" i="10"/>
  <c r="E919" i="10"/>
  <c r="H919" i="10"/>
  <c r="J919" i="10"/>
  <c r="A920" i="10"/>
  <c r="C919" i="10"/>
  <c r="F919" i="10"/>
  <c r="C920" i="10"/>
  <c r="F920" i="10"/>
  <c r="D920" i="10"/>
  <c r="I920" i="10"/>
  <c r="E920" i="10"/>
  <c r="H920" i="10"/>
  <c r="J920" i="10"/>
  <c r="A921" i="10"/>
  <c r="A922" i="10"/>
  <c r="C921" i="10"/>
  <c r="F921" i="10"/>
  <c r="D921" i="10"/>
  <c r="I921" i="10"/>
  <c r="E921" i="10"/>
  <c r="H921" i="10"/>
  <c r="J921" i="10"/>
  <c r="E922" i="10"/>
  <c r="H922" i="10"/>
  <c r="J922" i="10"/>
  <c r="A923" i="10"/>
  <c r="C922" i="10"/>
  <c r="F922" i="10"/>
  <c r="D922" i="10"/>
  <c r="I922" i="10"/>
  <c r="D923" i="10"/>
  <c r="I923" i="10"/>
  <c r="E923" i="10"/>
  <c r="H923" i="10"/>
  <c r="J923" i="10"/>
  <c r="A924" i="10"/>
  <c r="C923" i="10"/>
  <c r="F923" i="10"/>
  <c r="C924" i="10"/>
  <c r="F924" i="10"/>
  <c r="D924" i="10"/>
  <c r="I924" i="10"/>
  <c r="E924" i="10"/>
  <c r="H924" i="10"/>
  <c r="J924" i="10"/>
  <c r="A925" i="10"/>
  <c r="A926" i="10"/>
  <c r="C925" i="10"/>
  <c r="F925" i="10"/>
  <c r="D925" i="10"/>
  <c r="I925" i="10"/>
  <c r="E925" i="10"/>
  <c r="H925" i="10"/>
  <c r="J925" i="10"/>
  <c r="E926" i="10"/>
  <c r="H926" i="10"/>
  <c r="J926" i="10"/>
  <c r="A927" i="10"/>
  <c r="C926" i="10"/>
  <c r="F926" i="10"/>
  <c r="D926" i="10"/>
  <c r="I926" i="10"/>
  <c r="D927" i="10"/>
  <c r="I927" i="10"/>
  <c r="E927" i="10"/>
  <c r="H927" i="10"/>
  <c r="J927" i="10"/>
  <c r="A928" i="10"/>
  <c r="C927" i="10"/>
  <c r="F927" i="10"/>
  <c r="C928" i="10"/>
  <c r="F928" i="10"/>
  <c r="D928" i="10"/>
  <c r="I928" i="10"/>
  <c r="E928" i="10"/>
  <c r="H928" i="10"/>
  <c r="J928" i="10"/>
  <c r="A929" i="10"/>
  <c r="A930" i="10"/>
  <c r="C929" i="10"/>
  <c r="F929" i="10"/>
  <c r="D929" i="10"/>
  <c r="I929" i="10"/>
  <c r="E929" i="10"/>
  <c r="H929" i="10"/>
  <c r="J929" i="10"/>
  <c r="E930" i="10"/>
  <c r="H930" i="10"/>
  <c r="J930" i="10"/>
  <c r="A931" i="10"/>
  <c r="C930" i="10"/>
  <c r="F930" i="10"/>
  <c r="D930" i="10"/>
  <c r="I930" i="10"/>
  <c r="D931" i="10"/>
  <c r="I931" i="10"/>
  <c r="E931" i="10"/>
  <c r="H931" i="10"/>
  <c r="J931" i="10"/>
  <c r="A932" i="10"/>
  <c r="C931" i="10"/>
  <c r="F931" i="10"/>
  <c r="C932" i="10"/>
  <c r="F932" i="10"/>
  <c r="D932" i="10"/>
  <c r="I932" i="10"/>
  <c r="E932" i="10"/>
  <c r="H932" i="10"/>
  <c r="J932" i="10"/>
  <c r="A933" i="10"/>
  <c r="A934" i="10"/>
  <c r="C933" i="10"/>
  <c r="F933" i="10"/>
  <c r="D933" i="10"/>
  <c r="I933" i="10"/>
  <c r="E933" i="10"/>
  <c r="H933" i="10"/>
  <c r="J933" i="10"/>
  <c r="E934" i="10"/>
  <c r="H934" i="10"/>
  <c r="J934" i="10"/>
  <c r="A935" i="10"/>
  <c r="C934" i="10"/>
  <c r="F934" i="10"/>
  <c r="D934" i="10"/>
  <c r="I934" i="10"/>
  <c r="D935" i="10"/>
  <c r="I935" i="10"/>
  <c r="E935" i="10"/>
  <c r="H935" i="10"/>
  <c r="J935" i="10"/>
  <c r="A936" i="10"/>
  <c r="C935" i="10"/>
  <c r="F935" i="10"/>
  <c r="C936" i="10"/>
  <c r="F936" i="10"/>
  <c r="D936" i="10"/>
  <c r="I936" i="10"/>
  <c r="E936" i="10"/>
  <c r="H936" i="10"/>
  <c r="J936" i="10"/>
  <c r="A937" i="10"/>
  <c r="A938" i="10"/>
  <c r="C937" i="10"/>
  <c r="F937" i="10"/>
  <c r="D937" i="10"/>
  <c r="I937" i="10"/>
  <c r="E937" i="10"/>
  <c r="H937" i="10"/>
  <c r="J937" i="10"/>
  <c r="E938" i="10"/>
  <c r="H938" i="10"/>
  <c r="J938" i="10"/>
  <c r="A939" i="10"/>
  <c r="C938" i="10"/>
  <c r="F938" i="10"/>
  <c r="D938" i="10"/>
  <c r="I938" i="10"/>
  <c r="D939" i="10"/>
  <c r="I939" i="10"/>
  <c r="E939" i="10"/>
  <c r="H939" i="10"/>
  <c r="J939" i="10"/>
  <c r="A940" i="10"/>
  <c r="C939" i="10"/>
  <c r="F939" i="10"/>
  <c r="C940" i="10"/>
  <c r="F940" i="10"/>
  <c r="D940" i="10"/>
  <c r="I940" i="10"/>
  <c r="E940" i="10"/>
  <c r="H940" i="10"/>
  <c r="J940" i="10"/>
  <c r="A941" i="10"/>
  <c r="A942" i="10"/>
  <c r="C941" i="10"/>
  <c r="F941" i="10"/>
  <c r="D941" i="10"/>
  <c r="I941" i="10"/>
  <c r="E941" i="10"/>
  <c r="H941" i="10"/>
  <c r="J941" i="10"/>
  <c r="E942" i="10"/>
  <c r="H942" i="10"/>
  <c r="J942" i="10"/>
  <c r="A943" i="10"/>
  <c r="C942" i="10"/>
  <c r="F942" i="10"/>
  <c r="D942" i="10"/>
  <c r="I942" i="10"/>
  <c r="D943" i="10"/>
  <c r="I943" i="10"/>
  <c r="E943" i="10"/>
  <c r="H943" i="10"/>
  <c r="J943" i="10"/>
  <c r="A944" i="10"/>
  <c r="C943" i="10"/>
  <c r="F943" i="10"/>
  <c r="C944" i="10"/>
  <c r="F944" i="10"/>
  <c r="D944" i="10"/>
  <c r="I944" i="10"/>
  <c r="E944" i="10"/>
  <c r="H944" i="10"/>
  <c r="J944" i="10"/>
  <c r="A945" i="10"/>
  <c r="A946" i="10"/>
  <c r="C945" i="10"/>
  <c r="F945" i="10"/>
  <c r="D945" i="10"/>
  <c r="I945" i="10"/>
  <c r="E945" i="10"/>
  <c r="H945" i="10"/>
  <c r="J945" i="10"/>
  <c r="E946" i="10"/>
  <c r="H946" i="10"/>
  <c r="J946" i="10"/>
  <c r="A947" i="10"/>
  <c r="C946" i="10"/>
  <c r="F946" i="10"/>
  <c r="D946" i="10"/>
  <c r="I946" i="10"/>
  <c r="D947" i="10"/>
  <c r="I947" i="10"/>
  <c r="E947" i="10"/>
  <c r="H947" i="10"/>
  <c r="J947" i="10"/>
  <c r="A948" i="10"/>
  <c r="C947" i="10"/>
  <c r="F947" i="10"/>
  <c r="C948" i="10"/>
  <c r="F948" i="10"/>
  <c r="D948" i="10"/>
  <c r="I948" i="10"/>
  <c r="E948" i="10"/>
  <c r="H948" i="10"/>
  <c r="J948" i="10"/>
  <c r="A949" i="10"/>
  <c r="A950" i="10"/>
  <c r="C949" i="10"/>
  <c r="F949" i="10"/>
  <c r="D949" i="10"/>
  <c r="I949" i="10"/>
  <c r="E949" i="10"/>
  <c r="H949" i="10"/>
  <c r="J949" i="10"/>
  <c r="E950" i="10"/>
  <c r="H950" i="10"/>
  <c r="J950" i="10"/>
  <c r="A951" i="10"/>
  <c r="C950" i="10"/>
  <c r="F950" i="10"/>
  <c r="D950" i="10"/>
  <c r="I950" i="10"/>
  <c r="D951" i="10"/>
  <c r="I951" i="10"/>
  <c r="E951" i="10"/>
  <c r="H951" i="10"/>
  <c r="J951" i="10"/>
  <c r="A952" i="10"/>
  <c r="C951" i="10"/>
  <c r="F951" i="10"/>
  <c r="C952" i="10"/>
  <c r="F952" i="10"/>
  <c r="D952" i="10"/>
  <c r="I952" i="10"/>
  <c r="E952" i="10"/>
  <c r="H952" i="10"/>
  <c r="J952" i="10"/>
  <c r="A953" i="10"/>
  <c r="A954" i="10"/>
  <c r="C953" i="10"/>
  <c r="F953" i="10"/>
  <c r="D953" i="10"/>
  <c r="I953" i="10"/>
  <c r="E953" i="10"/>
  <c r="H953" i="10"/>
  <c r="J953" i="10"/>
  <c r="E954" i="10"/>
  <c r="H954" i="10"/>
  <c r="J954" i="10"/>
  <c r="A955" i="10"/>
  <c r="C954" i="10"/>
  <c r="F954" i="10"/>
  <c r="D954" i="10"/>
  <c r="I954" i="10"/>
  <c r="D955" i="10"/>
  <c r="I955" i="10"/>
  <c r="E955" i="10"/>
  <c r="H955" i="10"/>
  <c r="J955" i="10"/>
  <c r="A956" i="10"/>
  <c r="C955" i="10"/>
  <c r="F955" i="10"/>
  <c r="C956" i="10"/>
  <c r="F956" i="10"/>
  <c r="D956" i="10"/>
  <c r="I956" i="10"/>
  <c r="E956" i="10"/>
  <c r="H956" i="10"/>
  <c r="J956" i="10"/>
  <c r="A957" i="10"/>
  <c r="A958" i="10"/>
  <c r="C957" i="10"/>
  <c r="F957" i="10"/>
  <c r="D957" i="10"/>
  <c r="I957" i="10"/>
  <c r="E957" i="10"/>
  <c r="H957" i="10"/>
  <c r="J957" i="10"/>
  <c r="E958" i="10"/>
  <c r="H958" i="10"/>
  <c r="J958" i="10"/>
  <c r="A959" i="10"/>
  <c r="C958" i="10"/>
  <c r="F958" i="10"/>
  <c r="D958" i="10"/>
  <c r="I958" i="10"/>
  <c r="D959" i="10"/>
  <c r="I959" i="10"/>
  <c r="E959" i="10"/>
  <c r="H959" i="10"/>
  <c r="J959" i="10"/>
  <c r="A960" i="10"/>
  <c r="C959" i="10"/>
  <c r="F959" i="10"/>
  <c r="C960" i="10"/>
  <c r="F960" i="10"/>
  <c r="D960" i="10"/>
  <c r="I960" i="10"/>
  <c r="E960" i="10"/>
  <c r="H960" i="10"/>
  <c r="J960" i="10"/>
  <c r="A961" i="10"/>
  <c r="A962" i="10"/>
  <c r="C961" i="10"/>
  <c r="F961" i="10"/>
  <c r="D961" i="10"/>
  <c r="I961" i="10"/>
  <c r="E961" i="10"/>
  <c r="H961" i="10"/>
  <c r="J961" i="10"/>
  <c r="E962" i="10"/>
  <c r="H962" i="10"/>
  <c r="J962" i="10"/>
  <c r="A963" i="10"/>
  <c r="C962" i="10"/>
  <c r="F962" i="10"/>
  <c r="D962" i="10"/>
  <c r="I962" i="10"/>
  <c r="D963" i="10"/>
  <c r="I963" i="10"/>
  <c r="E963" i="10"/>
  <c r="H963" i="10"/>
  <c r="J963" i="10"/>
  <c r="A964" i="10"/>
  <c r="C963" i="10"/>
  <c r="F963" i="10"/>
  <c r="C964" i="10"/>
  <c r="F964" i="10"/>
  <c r="D964" i="10"/>
  <c r="I964" i="10"/>
  <c r="E964" i="10"/>
  <c r="H964" i="10"/>
  <c r="J964" i="10"/>
  <c r="A965" i="10"/>
  <c r="A966" i="10"/>
  <c r="C965" i="10"/>
  <c r="F965" i="10"/>
  <c r="D965" i="10"/>
  <c r="I965" i="10"/>
  <c r="E965" i="10"/>
  <c r="H965" i="10"/>
  <c r="J965" i="10"/>
  <c r="E966" i="10"/>
  <c r="H966" i="10"/>
  <c r="J966" i="10"/>
  <c r="A967" i="10"/>
  <c r="C966" i="10"/>
  <c r="F966" i="10"/>
  <c r="D966" i="10"/>
  <c r="I966" i="10"/>
  <c r="D967" i="10"/>
  <c r="I967" i="10"/>
  <c r="E967" i="10"/>
  <c r="H967" i="10"/>
  <c r="J967" i="10"/>
  <c r="A968" i="10"/>
  <c r="C967" i="10"/>
  <c r="F967" i="10"/>
  <c r="C968" i="10"/>
  <c r="F968" i="10"/>
  <c r="D968" i="10"/>
  <c r="I968" i="10"/>
  <c r="E968" i="10"/>
  <c r="H968" i="10"/>
  <c r="J968" i="10"/>
  <c r="A969" i="10"/>
  <c r="A970" i="10"/>
  <c r="C969" i="10"/>
  <c r="F969" i="10"/>
  <c r="D969" i="10"/>
  <c r="I969" i="10"/>
  <c r="E969" i="10"/>
  <c r="H969" i="10"/>
  <c r="J969" i="10"/>
  <c r="E970" i="10"/>
  <c r="H970" i="10"/>
  <c r="J970" i="10"/>
  <c r="A971" i="10"/>
  <c r="C970" i="10"/>
  <c r="F970" i="10"/>
  <c r="D970" i="10"/>
  <c r="I970" i="10"/>
  <c r="D971" i="10"/>
  <c r="I971" i="10"/>
  <c r="E971" i="10"/>
  <c r="H971" i="10"/>
  <c r="J971" i="10"/>
  <c r="A972" i="10"/>
  <c r="C971" i="10"/>
  <c r="F971" i="10"/>
  <c r="C972" i="10"/>
  <c r="F972" i="10"/>
  <c r="D972" i="10"/>
  <c r="I972" i="10"/>
  <c r="E972" i="10"/>
  <c r="H972" i="10"/>
  <c r="J972" i="10"/>
  <c r="A973" i="10"/>
  <c r="A974" i="10"/>
  <c r="C973" i="10"/>
  <c r="F973" i="10"/>
  <c r="D973" i="10"/>
  <c r="I973" i="10"/>
  <c r="E973" i="10"/>
  <c r="H973" i="10"/>
  <c r="J973" i="10"/>
  <c r="E974" i="10"/>
  <c r="H974" i="10"/>
  <c r="J974" i="10"/>
  <c r="A975" i="10"/>
  <c r="C974" i="10"/>
  <c r="F974" i="10"/>
  <c r="D974" i="10"/>
  <c r="I974" i="10"/>
  <c r="D975" i="10"/>
  <c r="I975" i="10"/>
  <c r="E975" i="10"/>
  <c r="H975" i="10"/>
  <c r="J975" i="10"/>
  <c r="A976" i="10"/>
  <c r="C975" i="10"/>
  <c r="F975" i="10"/>
  <c r="C976" i="10"/>
  <c r="F976" i="10"/>
  <c r="D976" i="10"/>
  <c r="I976" i="10"/>
  <c r="E976" i="10"/>
  <c r="H976" i="10"/>
  <c r="J976" i="10"/>
  <c r="A977" i="10"/>
  <c r="A978" i="10"/>
  <c r="C977" i="10"/>
  <c r="F977" i="10"/>
  <c r="D977" i="10"/>
  <c r="I977" i="10"/>
  <c r="E977" i="10"/>
  <c r="H977" i="10"/>
  <c r="J977" i="10"/>
  <c r="E978" i="10"/>
  <c r="H978" i="10"/>
  <c r="J978" i="10"/>
  <c r="A979" i="10"/>
  <c r="C978" i="10"/>
  <c r="F978" i="10"/>
  <c r="D978" i="10"/>
  <c r="I978" i="10"/>
  <c r="D979" i="10"/>
  <c r="I979" i="10"/>
  <c r="E979" i="10"/>
  <c r="H979" i="10"/>
  <c r="J979" i="10"/>
  <c r="A980" i="10"/>
  <c r="C979" i="10"/>
  <c r="F979" i="10"/>
  <c r="C980" i="10"/>
  <c r="F980" i="10"/>
  <c r="D980" i="10"/>
  <c r="I980" i="10"/>
  <c r="E980" i="10"/>
  <c r="H980" i="10"/>
  <c r="J980" i="10"/>
  <c r="A981" i="10"/>
  <c r="A982" i="10"/>
  <c r="C981" i="10"/>
  <c r="F981" i="10"/>
  <c r="D981" i="10"/>
  <c r="I981" i="10"/>
  <c r="E981" i="10"/>
  <c r="H981" i="10"/>
  <c r="J981" i="10"/>
  <c r="E982" i="10"/>
  <c r="H982" i="10"/>
  <c r="J982" i="10"/>
  <c r="A983" i="10"/>
  <c r="C982" i="10"/>
  <c r="F982" i="10"/>
  <c r="D982" i="10"/>
  <c r="I982" i="10"/>
  <c r="D983" i="10"/>
  <c r="I983" i="10"/>
  <c r="E983" i="10"/>
  <c r="H983" i="10"/>
  <c r="J983" i="10"/>
  <c r="A984" i="10"/>
  <c r="C983" i="10"/>
  <c r="F983" i="10"/>
  <c r="C984" i="10"/>
  <c r="F984" i="10"/>
  <c r="D984" i="10"/>
  <c r="I984" i="10"/>
  <c r="E984" i="10"/>
  <c r="H984" i="10"/>
  <c r="J984" i="10"/>
  <c r="A985" i="10"/>
  <c r="A986" i="10"/>
  <c r="C985" i="10"/>
  <c r="F985" i="10"/>
  <c r="D985" i="10"/>
  <c r="I985" i="10"/>
  <c r="E985" i="10"/>
  <c r="H985" i="10"/>
  <c r="J985" i="10"/>
  <c r="E986" i="10"/>
  <c r="H986" i="10"/>
  <c r="J986" i="10"/>
  <c r="A987" i="10"/>
  <c r="C986" i="10"/>
  <c r="F986" i="10"/>
  <c r="D986" i="10"/>
  <c r="I986" i="10"/>
  <c r="D987" i="10"/>
  <c r="I987" i="10"/>
  <c r="E987" i="10"/>
  <c r="H987" i="10"/>
  <c r="J987" i="10"/>
  <c r="A988" i="10"/>
  <c r="C987" i="10"/>
  <c r="F987" i="10"/>
  <c r="C988" i="10"/>
  <c r="F988" i="10"/>
  <c r="D988" i="10"/>
  <c r="I988" i="10"/>
  <c r="E988" i="10"/>
  <c r="H988" i="10"/>
  <c r="J988" i="10"/>
  <c r="A989" i="10"/>
  <c r="A990" i="10"/>
  <c r="C989" i="10"/>
  <c r="F989" i="10"/>
  <c r="D989" i="10"/>
  <c r="I989" i="10"/>
  <c r="E989" i="10"/>
  <c r="H989" i="10"/>
  <c r="J989" i="10"/>
  <c r="E990" i="10"/>
  <c r="H990" i="10"/>
  <c r="J990" i="10"/>
  <c r="A991" i="10"/>
  <c r="C990" i="10"/>
  <c r="F990" i="10"/>
  <c r="D990" i="10"/>
  <c r="I990" i="10"/>
  <c r="D991" i="10"/>
  <c r="I991" i="10"/>
  <c r="E991" i="10"/>
  <c r="H991" i="10"/>
  <c r="J991" i="10"/>
  <c r="A992" i="10"/>
  <c r="C991" i="10"/>
  <c r="F991" i="10"/>
  <c r="C992" i="10"/>
  <c r="F992" i="10"/>
  <c r="D992" i="10"/>
  <c r="I992" i="10"/>
  <c r="E992" i="10"/>
  <c r="H992" i="10"/>
  <c r="J992" i="10"/>
  <c r="A993" i="10"/>
  <c r="A994" i="10"/>
  <c r="C993" i="10"/>
  <c r="F993" i="10"/>
  <c r="D993" i="10"/>
  <c r="I993" i="10"/>
  <c r="E993" i="10"/>
  <c r="H993" i="10"/>
  <c r="J993" i="10"/>
  <c r="E994" i="10"/>
  <c r="H994" i="10"/>
  <c r="J994" i="10"/>
  <c r="A995" i="10"/>
  <c r="C994" i="10"/>
  <c r="F994" i="10"/>
  <c r="D994" i="10"/>
  <c r="I994" i="10"/>
  <c r="D995" i="10"/>
  <c r="I995" i="10"/>
  <c r="E995" i="10"/>
  <c r="H995" i="10"/>
  <c r="J995" i="10"/>
  <c r="A996" i="10"/>
  <c r="C995" i="10"/>
  <c r="F995" i="10"/>
  <c r="C996" i="10"/>
  <c r="F996" i="10"/>
  <c r="D996" i="10"/>
  <c r="I996" i="10"/>
  <c r="E996" i="10"/>
  <c r="H996" i="10"/>
  <c r="J996" i="10"/>
  <c r="A997" i="10"/>
  <c r="A998" i="10"/>
  <c r="C997" i="10"/>
  <c r="F997" i="10"/>
  <c r="D997" i="10"/>
  <c r="I997" i="10"/>
  <c r="E997" i="10"/>
  <c r="H997" i="10"/>
  <c r="J997" i="10"/>
  <c r="E998" i="10"/>
  <c r="H998" i="10"/>
  <c r="J998" i="10"/>
  <c r="A999" i="10"/>
  <c r="C998" i="10"/>
  <c r="F998" i="10"/>
  <c r="D998" i="10"/>
  <c r="I998" i="10"/>
  <c r="D999" i="10"/>
  <c r="I999" i="10"/>
  <c r="E999" i="10"/>
  <c r="H999" i="10"/>
  <c r="J999" i="10"/>
  <c r="A1000" i="10"/>
  <c r="C999" i="10"/>
  <c r="F999" i="10"/>
  <c r="C1000" i="10"/>
  <c r="F1000" i="10"/>
  <c r="D1000" i="10"/>
  <c r="I1000" i="10"/>
  <c r="E1000" i="10"/>
  <c r="H1000" i="10"/>
  <c r="J1000" i="10"/>
  <c r="A1001" i="10"/>
  <c r="A1002" i="10"/>
  <c r="C1001" i="10"/>
  <c r="F1001" i="10"/>
  <c r="D1001" i="10"/>
  <c r="I1001" i="10"/>
  <c r="E1001" i="10"/>
  <c r="H1001" i="10"/>
  <c r="J1001" i="10"/>
  <c r="E1002" i="10"/>
  <c r="H1002" i="10"/>
  <c r="J1002" i="10"/>
  <c r="A1003" i="10"/>
  <c r="C1002" i="10"/>
  <c r="F1002" i="10"/>
  <c r="D1002" i="10"/>
  <c r="I1002" i="10"/>
  <c r="D1003" i="10"/>
  <c r="I1003" i="10"/>
  <c r="E1003" i="10"/>
  <c r="H1003" i="10"/>
  <c r="J1003" i="10"/>
  <c r="A1004" i="10"/>
  <c r="C1003" i="10"/>
  <c r="F1003" i="10"/>
  <c r="C1004" i="10"/>
  <c r="F1004" i="10"/>
  <c r="D1004" i="10"/>
  <c r="I1004" i="10"/>
  <c r="E1004" i="10"/>
  <c r="H1004" i="10"/>
  <c r="J1004" i="10"/>
  <c r="A1005" i="10"/>
  <c r="A1006" i="10"/>
  <c r="C1005" i="10"/>
  <c r="F1005" i="10"/>
  <c r="D1005" i="10"/>
  <c r="I1005" i="10"/>
  <c r="E1005" i="10"/>
  <c r="H1005" i="10"/>
  <c r="J1005" i="10"/>
  <c r="E1006" i="10"/>
  <c r="H1006" i="10"/>
  <c r="J1006" i="10"/>
  <c r="A1007" i="10"/>
  <c r="C1006" i="10"/>
  <c r="F1006" i="10"/>
  <c r="D1006" i="10"/>
  <c r="I1006" i="10"/>
  <c r="D1007" i="10"/>
  <c r="I1007" i="10"/>
  <c r="E1007" i="10"/>
  <c r="H1007" i="10"/>
  <c r="J1007" i="10"/>
  <c r="A1008" i="10"/>
  <c r="C1007" i="10"/>
  <c r="F1007" i="10"/>
  <c r="C1008" i="10"/>
  <c r="F1008" i="10"/>
  <c r="D1008" i="10"/>
  <c r="I1008" i="10"/>
  <c r="E1008" i="10"/>
  <c r="H1008" i="10"/>
  <c r="J1008" i="10"/>
  <c r="A1009" i="10"/>
  <c r="A1010" i="10"/>
  <c r="C1009" i="10"/>
  <c r="F1009" i="10"/>
  <c r="D1009" i="10"/>
  <c r="I1009" i="10"/>
  <c r="E1009" i="10"/>
  <c r="H1009" i="10"/>
  <c r="J1009" i="10"/>
  <c r="E1010" i="10"/>
  <c r="H1010" i="10"/>
  <c r="J1010" i="10"/>
  <c r="A1011" i="10"/>
  <c r="C1010" i="10"/>
  <c r="F1010" i="10"/>
  <c r="D1010" i="10"/>
  <c r="I1010" i="10"/>
  <c r="D1011" i="10"/>
  <c r="I1011" i="10"/>
  <c r="E1011" i="10"/>
  <c r="H1011" i="10"/>
  <c r="J1011" i="10"/>
  <c r="A1012" i="10"/>
  <c r="C1011" i="10"/>
  <c r="F1011" i="10"/>
  <c r="C1012" i="10"/>
  <c r="F1012" i="10"/>
  <c r="D1012" i="10"/>
  <c r="I1012" i="10"/>
  <c r="E1012" i="10"/>
  <c r="H1012" i="10"/>
  <c r="J1012" i="10"/>
  <c r="A1013" i="10"/>
  <c r="A1014" i="10"/>
  <c r="C1013" i="10"/>
  <c r="F1013" i="10"/>
  <c r="D1013" i="10"/>
  <c r="I1013" i="10"/>
  <c r="E1013" i="10"/>
  <c r="H1013" i="10"/>
  <c r="J1013" i="10"/>
  <c r="E1014" i="10"/>
  <c r="H1014" i="10"/>
  <c r="J1014" i="10"/>
  <c r="A1015" i="10"/>
  <c r="C1014" i="10"/>
  <c r="F1014" i="10"/>
  <c r="D1014" i="10"/>
  <c r="I1014" i="10"/>
  <c r="D1015" i="10"/>
  <c r="I1015" i="10"/>
  <c r="E1015" i="10"/>
  <c r="H1015" i="10"/>
  <c r="J1015" i="10"/>
  <c r="A1016" i="10"/>
  <c r="C1015" i="10"/>
  <c r="F1015" i="10"/>
  <c r="C1016" i="10"/>
  <c r="F1016" i="10"/>
  <c r="D1016" i="10"/>
  <c r="I1016" i="10"/>
  <c r="E1016" i="10"/>
  <c r="H1016" i="10"/>
  <c r="J1016" i="10"/>
  <c r="A1017" i="10"/>
  <c r="A1018" i="10"/>
  <c r="C1017" i="10"/>
  <c r="F1017" i="10"/>
  <c r="D1017" i="10"/>
  <c r="I1017" i="10"/>
  <c r="E1017" i="10"/>
  <c r="H1017" i="10"/>
  <c r="J1017" i="10"/>
  <c r="E1018" i="10"/>
  <c r="H1018" i="10"/>
  <c r="J1018" i="10"/>
  <c r="A1019" i="10"/>
  <c r="C1018" i="10"/>
  <c r="F1018" i="10"/>
  <c r="D1018" i="10"/>
  <c r="I1018" i="10"/>
  <c r="D1019" i="10"/>
  <c r="I1019" i="10"/>
  <c r="E1019" i="10"/>
  <c r="H1019" i="10"/>
  <c r="J1019" i="10"/>
  <c r="A1020" i="10"/>
  <c r="C1019" i="10"/>
  <c r="F1019" i="10"/>
  <c r="C1020" i="10"/>
  <c r="F1020" i="10"/>
  <c r="D1020" i="10"/>
  <c r="I1020" i="10"/>
  <c r="E1020" i="10"/>
  <c r="H1020" i="10"/>
  <c r="J1020" i="10"/>
  <c r="A1021" i="10"/>
  <c r="A1022" i="10"/>
  <c r="C1021" i="10"/>
  <c r="F1021" i="10"/>
  <c r="D1021" i="10"/>
  <c r="I1021" i="10"/>
  <c r="E1021" i="10"/>
  <c r="H1021" i="10"/>
  <c r="J1021" i="10"/>
  <c r="E1022" i="10"/>
  <c r="H1022" i="10"/>
  <c r="J1022" i="10"/>
  <c r="A1023" i="10"/>
  <c r="C1022" i="10"/>
  <c r="F1022" i="10"/>
  <c r="D1022" i="10"/>
  <c r="I1022" i="10"/>
  <c r="D1023" i="10"/>
  <c r="I1023" i="10"/>
  <c r="E1023" i="10"/>
  <c r="H1023" i="10"/>
  <c r="J1023" i="10"/>
  <c r="A1024" i="10"/>
  <c r="C1023" i="10"/>
  <c r="F1023" i="10"/>
  <c r="C1024" i="10"/>
  <c r="F1024" i="10"/>
  <c r="D1024" i="10"/>
  <c r="I1024" i="10"/>
  <c r="E1024" i="10"/>
  <c r="H1024" i="10"/>
  <c r="J1024" i="10"/>
  <c r="A1025" i="10"/>
  <c r="A1026" i="10"/>
  <c r="C1025" i="10"/>
  <c r="F1025" i="10"/>
  <c r="D1025" i="10"/>
  <c r="I1025" i="10"/>
  <c r="E1025" i="10"/>
  <c r="H1025" i="10"/>
  <c r="J1025" i="10"/>
  <c r="E1026" i="10"/>
  <c r="H1026" i="10"/>
  <c r="J1026" i="10"/>
  <c r="A1027" i="10"/>
  <c r="C1026" i="10"/>
  <c r="F1026" i="10"/>
  <c r="D1026" i="10"/>
  <c r="I1026" i="10"/>
  <c r="D1027" i="10"/>
  <c r="I1027" i="10"/>
  <c r="E1027" i="10"/>
  <c r="H1027" i="10"/>
  <c r="J1027" i="10"/>
  <c r="A1028" i="10"/>
  <c r="C1027" i="10"/>
  <c r="F1027" i="10"/>
  <c r="C1028" i="10"/>
  <c r="F1028" i="10"/>
  <c r="D1028" i="10"/>
  <c r="I1028" i="10"/>
  <c r="E1028" i="10"/>
  <c r="H1028" i="10"/>
  <c r="J1028" i="10"/>
  <c r="A1029" i="10"/>
  <c r="A1030" i="10"/>
  <c r="C1029" i="10"/>
  <c r="F1029" i="10"/>
  <c r="D1029" i="10"/>
  <c r="I1029" i="10"/>
  <c r="E1029" i="10"/>
  <c r="H1029" i="10"/>
  <c r="J1029" i="10"/>
  <c r="E1030" i="10"/>
  <c r="H1030" i="10"/>
  <c r="J1030" i="10"/>
  <c r="A1031" i="10"/>
  <c r="C1030" i="10"/>
  <c r="F1030" i="10"/>
  <c r="D1030" i="10"/>
  <c r="I1030" i="10"/>
  <c r="D1031" i="10"/>
  <c r="I1031" i="10"/>
  <c r="E1031" i="10"/>
  <c r="H1031" i="10"/>
  <c r="J1031" i="10"/>
  <c r="A1032" i="10"/>
  <c r="C1031" i="10"/>
  <c r="F1031" i="10"/>
  <c r="C1032" i="10"/>
  <c r="F1032" i="10"/>
  <c r="D1032" i="10"/>
  <c r="I1032" i="10"/>
  <c r="E1032" i="10"/>
  <c r="H1032" i="10"/>
  <c r="J1032" i="10"/>
  <c r="A1033" i="10"/>
  <c r="A1034" i="10"/>
  <c r="C1033" i="10"/>
  <c r="F1033" i="10"/>
  <c r="D1033" i="10"/>
  <c r="I1033" i="10"/>
  <c r="E1033" i="10"/>
  <c r="H1033" i="10"/>
  <c r="J1033" i="10"/>
  <c r="E1034" i="10"/>
  <c r="H1034" i="10"/>
  <c r="J1034" i="10"/>
  <c r="A1035" i="10"/>
  <c r="C1034" i="10"/>
  <c r="F1034" i="10"/>
  <c r="D1034" i="10"/>
  <c r="I1034" i="10"/>
  <c r="D1035" i="10"/>
  <c r="I1035" i="10"/>
  <c r="E1035" i="10"/>
  <c r="H1035" i="10"/>
  <c r="J1035" i="10"/>
  <c r="A1036" i="10"/>
  <c r="C1035" i="10"/>
  <c r="F1035" i="10"/>
  <c r="C1036" i="10"/>
  <c r="F1036" i="10"/>
  <c r="D1036" i="10"/>
  <c r="I1036" i="10"/>
  <c r="E1036" i="10"/>
  <c r="H1036" i="10"/>
  <c r="J1036" i="10"/>
  <c r="A1037" i="10"/>
  <c r="A1038" i="10"/>
  <c r="C1037" i="10"/>
  <c r="F1037" i="10"/>
  <c r="D1037" i="10"/>
  <c r="I1037" i="10"/>
  <c r="E1037" i="10"/>
  <c r="H1037" i="10"/>
  <c r="J1037" i="10"/>
  <c r="E1038" i="10"/>
  <c r="H1038" i="10"/>
  <c r="J1038" i="10"/>
  <c r="A1039" i="10"/>
  <c r="C1038" i="10"/>
  <c r="F1038" i="10"/>
  <c r="D1038" i="10"/>
  <c r="I1038" i="10"/>
  <c r="D1039" i="10"/>
  <c r="I1039" i="10"/>
  <c r="E1039" i="10"/>
  <c r="H1039" i="10"/>
  <c r="J1039" i="10"/>
  <c r="A1040" i="10"/>
  <c r="C1039" i="10"/>
  <c r="F1039" i="10"/>
  <c r="C1040" i="10"/>
  <c r="F1040" i="10"/>
  <c r="D1040" i="10"/>
  <c r="I1040" i="10"/>
  <c r="E1040" i="10"/>
  <c r="H1040" i="10"/>
  <c r="J1040" i="10"/>
  <c r="A1041" i="10"/>
  <c r="A1042" i="10"/>
  <c r="C1041" i="10"/>
  <c r="F1041" i="10"/>
  <c r="D1041" i="10"/>
  <c r="I1041" i="10"/>
  <c r="E1041" i="10"/>
  <c r="H1041" i="10"/>
  <c r="J1041" i="10"/>
  <c r="E1042" i="10"/>
  <c r="H1042" i="10"/>
  <c r="J1042" i="10"/>
  <c r="A1043" i="10"/>
  <c r="C1042" i="10"/>
  <c r="F1042" i="10"/>
  <c r="D1042" i="10"/>
  <c r="I1042" i="10"/>
  <c r="D1043" i="10"/>
  <c r="I1043" i="10"/>
  <c r="E1043" i="10"/>
  <c r="H1043" i="10"/>
  <c r="J1043" i="10"/>
  <c r="A1044" i="10"/>
  <c r="C1043" i="10"/>
  <c r="F1043" i="10"/>
  <c r="C1044" i="10"/>
  <c r="F1044" i="10"/>
  <c r="D1044" i="10"/>
  <c r="I1044" i="10"/>
  <c r="E1044" i="10"/>
  <c r="H1044" i="10"/>
  <c r="J1044" i="10"/>
  <c r="A1045" i="10"/>
  <c r="A1046" i="10"/>
  <c r="C1045" i="10"/>
  <c r="F1045" i="10"/>
  <c r="D1045" i="10"/>
  <c r="I1045" i="10"/>
  <c r="E1045" i="10"/>
  <c r="H1045" i="10"/>
  <c r="J1045" i="10"/>
  <c r="E1046" i="10"/>
  <c r="H1046" i="10"/>
  <c r="J1046" i="10"/>
  <c r="A1047" i="10"/>
  <c r="C1046" i="10"/>
  <c r="F1046" i="10"/>
  <c r="D1046" i="10"/>
  <c r="I1046" i="10"/>
  <c r="D1047" i="10"/>
  <c r="I1047" i="10"/>
  <c r="E1047" i="10"/>
  <c r="H1047" i="10"/>
  <c r="J1047" i="10"/>
  <c r="A1048" i="10"/>
  <c r="C1047" i="10"/>
  <c r="F1047" i="10"/>
  <c r="C1048" i="10"/>
  <c r="F1048" i="10"/>
  <c r="D1048" i="10"/>
  <c r="I1048" i="10"/>
  <c r="E1048" i="10"/>
  <c r="H1048" i="10"/>
  <c r="J1048" i="10"/>
  <c r="A1049" i="10"/>
  <c r="A1050" i="10"/>
  <c r="C1049" i="10"/>
  <c r="F1049" i="10"/>
  <c r="D1049" i="10"/>
  <c r="I1049" i="10"/>
  <c r="E1049" i="10"/>
  <c r="H1049" i="10"/>
  <c r="J1049" i="10"/>
  <c r="E1050" i="10"/>
  <c r="H1050" i="10"/>
  <c r="J1050" i="10"/>
  <c r="A1051" i="10"/>
  <c r="C1050" i="10"/>
  <c r="F1050" i="10"/>
  <c r="D1050" i="10"/>
  <c r="I1050" i="10"/>
  <c r="D1051" i="10"/>
  <c r="I1051" i="10"/>
  <c r="E1051" i="10"/>
  <c r="H1051" i="10"/>
  <c r="J1051" i="10"/>
  <c r="A1052" i="10"/>
  <c r="C1051" i="10"/>
  <c r="F1051" i="10"/>
  <c r="C1052" i="10"/>
  <c r="F1052" i="10"/>
  <c r="D1052" i="10"/>
  <c r="I1052" i="10"/>
  <c r="E1052" i="10"/>
  <c r="H1052" i="10"/>
  <c r="J1052" i="10"/>
  <c r="A1053" i="10"/>
  <c r="A1054" i="10"/>
  <c r="C1053" i="10"/>
  <c r="F1053" i="10"/>
  <c r="D1053" i="10"/>
  <c r="I1053" i="10"/>
  <c r="E1053" i="10"/>
  <c r="H1053" i="10"/>
  <c r="J1053" i="10"/>
  <c r="E1054" i="10"/>
  <c r="H1054" i="10"/>
  <c r="J1054" i="10"/>
  <c r="A1055" i="10"/>
  <c r="C1054" i="10"/>
  <c r="F1054" i="10"/>
  <c r="D1054" i="10"/>
  <c r="I1054" i="10"/>
  <c r="D1055" i="10"/>
  <c r="I1055" i="10"/>
  <c r="E1055" i="10"/>
  <c r="H1055" i="10"/>
  <c r="J1055" i="10"/>
  <c r="A1056" i="10"/>
  <c r="C1055" i="10"/>
  <c r="F1055" i="10"/>
  <c r="C1056" i="10"/>
  <c r="F1056" i="10"/>
  <c r="D1056" i="10"/>
  <c r="I1056" i="10"/>
  <c r="E1056" i="10"/>
  <c r="H1056" i="10"/>
  <c r="J1056" i="10"/>
  <c r="A1057" i="10"/>
  <c r="A1058" i="10"/>
  <c r="C1057" i="10"/>
  <c r="F1057" i="10"/>
  <c r="D1057" i="10"/>
  <c r="I1057" i="10"/>
  <c r="E1057" i="10"/>
  <c r="H1057" i="10"/>
  <c r="J1057" i="10"/>
  <c r="E1058" i="10"/>
  <c r="H1058" i="10"/>
  <c r="J1058" i="10"/>
  <c r="A1059" i="10"/>
  <c r="C1058" i="10"/>
  <c r="F1058" i="10"/>
  <c r="D1058" i="10"/>
  <c r="I1058" i="10"/>
  <c r="D1059" i="10"/>
  <c r="I1059" i="10"/>
  <c r="E1059" i="10"/>
  <c r="H1059" i="10"/>
  <c r="J1059" i="10"/>
  <c r="A1060" i="10"/>
  <c r="C1059" i="10"/>
  <c r="F1059" i="10"/>
  <c r="C1060" i="10"/>
  <c r="F1060" i="10"/>
  <c r="D1060" i="10"/>
  <c r="I1060" i="10"/>
  <c r="E1060" i="10"/>
  <c r="H1060" i="10"/>
  <c r="J1060" i="10"/>
  <c r="A1061" i="10"/>
  <c r="A1062" i="10"/>
  <c r="C1061" i="10"/>
  <c r="F1061" i="10"/>
  <c r="D1061" i="10"/>
  <c r="I1061" i="10"/>
  <c r="E1061" i="10"/>
  <c r="H1061" i="10"/>
  <c r="J1061" i="10"/>
  <c r="E1062" i="10"/>
  <c r="H1062" i="10"/>
  <c r="J1062" i="10"/>
  <c r="A1063" i="10"/>
  <c r="C1062" i="10"/>
  <c r="F1062" i="10"/>
  <c r="D1062" i="10"/>
  <c r="I1062" i="10"/>
  <c r="D1063" i="10"/>
  <c r="I1063" i="10"/>
  <c r="E1063" i="10"/>
  <c r="H1063" i="10"/>
  <c r="J1063" i="10"/>
  <c r="A1064" i="10"/>
  <c r="C1063" i="10"/>
  <c r="F1063" i="10"/>
  <c r="C1064" i="10"/>
  <c r="F1064" i="10"/>
  <c r="D1064" i="10"/>
  <c r="I1064" i="10"/>
  <c r="E1064" i="10"/>
  <c r="H1064" i="10"/>
  <c r="J1064" i="10"/>
  <c r="A1065" i="10"/>
  <c r="A1066" i="10"/>
  <c r="C1065" i="10"/>
  <c r="F1065" i="10"/>
  <c r="D1065" i="10"/>
  <c r="I1065" i="10"/>
  <c r="E1065" i="10"/>
  <c r="H1065" i="10"/>
  <c r="J1065" i="10"/>
  <c r="E1066" i="10"/>
  <c r="H1066" i="10"/>
  <c r="J1066" i="10"/>
  <c r="A1067" i="10"/>
  <c r="C1066" i="10"/>
  <c r="F1066" i="10"/>
  <c r="D1066" i="10"/>
  <c r="I1066" i="10"/>
  <c r="D1067" i="10"/>
  <c r="I1067" i="10"/>
  <c r="E1067" i="10"/>
  <c r="H1067" i="10"/>
  <c r="J1067" i="10"/>
  <c r="A1068" i="10"/>
  <c r="C1067" i="10"/>
  <c r="F1067" i="10"/>
  <c r="C1068" i="10"/>
  <c r="F1068" i="10"/>
  <c r="D1068" i="10"/>
  <c r="I1068" i="10"/>
  <c r="E1068" i="10"/>
  <c r="H1068" i="10"/>
  <c r="J1068" i="10"/>
  <c r="A1069" i="10"/>
  <c r="A1070" i="10"/>
  <c r="C1069" i="10"/>
  <c r="F1069" i="10"/>
  <c r="D1069" i="10"/>
  <c r="I1069" i="10"/>
  <c r="E1069" i="10"/>
  <c r="H1069" i="10"/>
  <c r="J1069" i="10"/>
  <c r="E1070" i="10"/>
  <c r="H1070" i="10"/>
  <c r="J1070" i="10"/>
  <c r="A1071" i="10"/>
  <c r="C1070" i="10"/>
  <c r="F1070" i="10"/>
  <c r="D1070" i="10"/>
  <c r="I1070" i="10"/>
  <c r="D1071" i="10"/>
  <c r="I1071" i="10"/>
  <c r="E1071" i="10"/>
  <c r="H1071" i="10"/>
  <c r="J1071" i="10"/>
  <c r="A1072" i="10"/>
  <c r="C1071" i="10"/>
  <c r="F1071" i="10"/>
  <c r="C1072" i="10"/>
  <c r="F1072" i="10"/>
  <c r="D1072" i="10"/>
  <c r="I1072" i="10"/>
  <c r="E1072" i="10"/>
  <c r="H1072" i="10"/>
  <c r="J1072" i="10"/>
  <c r="A1073" i="10"/>
  <c r="A1074" i="10"/>
  <c r="C1073" i="10"/>
  <c r="F1073" i="10"/>
  <c r="D1073" i="10"/>
  <c r="I1073" i="10"/>
  <c r="E1073" i="10"/>
  <c r="H1073" i="10"/>
  <c r="J1073" i="10"/>
  <c r="E1074" i="10"/>
  <c r="H1074" i="10"/>
  <c r="J1074" i="10"/>
  <c r="A1075" i="10"/>
  <c r="C1074" i="10"/>
  <c r="F1074" i="10"/>
  <c r="D1074" i="10"/>
  <c r="I1074" i="10"/>
  <c r="D1075" i="10"/>
  <c r="I1075" i="10"/>
  <c r="E1075" i="10"/>
  <c r="H1075" i="10"/>
  <c r="J1075" i="10"/>
  <c r="A1076" i="10"/>
  <c r="C1075" i="10"/>
  <c r="F1075" i="10"/>
  <c r="C1076" i="10"/>
  <c r="F1076" i="10"/>
  <c r="D1076" i="10"/>
  <c r="I1076" i="10"/>
  <c r="E1076" i="10"/>
  <c r="H1076" i="10"/>
  <c r="J1076" i="10"/>
  <c r="A1077" i="10"/>
  <c r="A1078" i="10"/>
  <c r="C1077" i="10"/>
  <c r="F1077" i="10"/>
  <c r="D1077" i="10"/>
  <c r="I1077" i="10"/>
  <c r="E1077" i="10"/>
  <c r="H1077" i="10"/>
  <c r="J1077" i="10"/>
  <c r="E1078" i="10"/>
  <c r="H1078" i="10"/>
  <c r="J1078" i="10"/>
  <c r="A1079" i="10"/>
  <c r="C1078" i="10"/>
  <c r="F1078" i="10"/>
  <c r="D1078" i="10"/>
  <c r="I1078" i="10"/>
  <c r="D1079" i="10"/>
  <c r="I1079" i="10"/>
  <c r="E1079" i="10"/>
  <c r="H1079" i="10"/>
  <c r="J1079" i="10"/>
  <c r="A1080" i="10"/>
  <c r="C1079" i="10"/>
  <c r="F1079" i="10"/>
  <c r="C1080" i="10"/>
  <c r="F1080" i="10"/>
  <c r="D1080" i="10"/>
  <c r="I1080" i="10"/>
  <c r="E1080" i="10"/>
  <c r="H1080" i="10"/>
  <c r="J1080" i="10"/>
  <c r="A1081" i="10"/>
  <c r="A1082" i="10"/>
  <c r="C1081" i="10"/>
  <c r="F1081" i="10"/>
  <c r="D1081" i="10"/>
  <c r="I1081" i="10"/>
  <c r="E1081" i="10"/>
  <c r="H1081" i="10"/>
  <c r="J1081" i="10"/>
  <c r="E1082" i="10"/>
  <c r="H1082" i="10"/>
  <c r="J1082" i="10"/>
  <c r="A1083" i="10"/>
  <c r="C1082" i="10"/>
  <c r="F1082" i="10"/>
  <c r="D1082" i="10"/>
  <c r="I1082" i="10"/>
  <c r="D1083" i="10"/>
  <c r="I1083" i="10"/>
  <c r="E1083" i="10"/>
  <c r="H1083" i="10"/>
  <c r="J1083" i="10"/>
  <c r="A1084" i="10"/>
  <c r="C1083" i="10"/>
  <c r="F1083" i="10"/>
  <c r="C1084" i="10"/>
  <c r="F1084" i="10"/>
  <c r="D1084" i="10"/>
  <c r="I1084" i="10"/>
  <c r="E1084" i="10"/>
  <c r="H1084" i="10"/>
  <c r="J1084" i="10"/>
  <c r="A1085" i="10"/>
  <c r="A1086" i="10"/>
  <c r="C1085" i="10"/>
  <c r="F1085" i="10"/>
  <c r="D1085" i="10"/>
  <c r="I1085" i="10"/>
  <c r="E1085" i="10"/>
  <c r="H1085" i="10"/>
  <c r="J1085" i="10"/>
  <c r="E1086" i="10"/>
  <c r="H1086" i="10"/>
  <c r="J1086" i="10"/>
  <c r="A1087" i="10"/>
  <c r="C1086" i="10"/>
  <c r="F1086" i="10"/>
  <c r="D1086" i="10"/>
  <c r="I1086" i="10"/>
  <c r="D1087" i="10"/>
  <c r="I1087" i="10"/>
  <c r="E1087" i="10"/>
  <c r="H1087" i="10"/>
  <c r="J1087" i="10"/>
  <c r="A1088" i="10"/>
  <c r="C1087" i="10"/>
  <c r="F1087" i="10"/>
  <c r="C1088" i="10"/>
  <c r="F1088" i="10"/>
  <c r="D1088" i="10"/>
  <c r="I1088" i="10"/>
  <c r="E1088" i="10"/>
  <c r="H1088" i="10"/>
  <c r="J1088" i="10"/>
  <c r="A1089" i="10"/>
  <c r="A1090" i="10"/>
  <c r="C1089" i="10"/>
  <c r="F1089" i="10"/>
  <c r="D1089" i="10"/>
  <c r="I1089" i="10"/>
  <c r="E1089" i="10"/>
  <c r="H1089" i="10"/>
  <c r="J1089" i="10"/>
  <c r="E1090" i="10"/>
  <c r="H1090" i="10"/>
  <c r="J1090" i="10"/>
  <c r="A1091" i="10"/>
  <c r="C1090" i="10"/>
  <c r="F1090" i="10"/>
  <c r="D1090" i="10"/>
  <c r="I1090" i="10"/>
  <c r="D1091" i="10"/>
  <c r="I1091" i="10"/>
  <c r="E1091" i="10"/>
  <c r="H1091" i="10"/>
  <c r="J1091" i="10"/>
  <c r="A1092" i="10"/>
  <c r="C1091" i="10"/>
  <c r="F1091" i="10"/>
  <c r="C1092" i="10"/>
  <c r="F1092" i="10"/>
  <c r="D1092" i="10"/>
  <c r="I1092" i="10"/>
  <c r="E1092" i="10"/>
  <c r="H1092" i="10"/>
  <c r="J1092" i="10"/>
  <c r="A1093" i="10"/>
  <c r="A1094" i="10"/>
  <c r="C1093" i="10"/>
  <c r="F1093" i="10"/>
  <c r="D1093" i="10"/>
  <c r="I1093" i="10"/>
  <c r="E1093" i="10"/>
  <c r="H1093" i="10"/>
  <c r="J1093" i="10"/>
  <c r="E1094" i="10"/>
  <c r="H1094" i="10"/>
  <c r="J1094" i="10"/>
  <c r="A1095" i="10"/>
  <c r="C1094" i="10"/>
  <c r="F1094" i="10"/>
  <c r="D1094" i="10"/>
  <c r="I1094" i="10"/>
  <c r="D1095" i="10"/>
  <c r="I1095" i="10"/>
  <c r="E1095" i="10"/>
  <c r="H1095" i="10"/>
  <c r="J1095" i="10"/>
  <c r="A1096" i="10"/>
  <c r="C1095" i="10"/>
  <c r="F1095" i="10"/>
  <c r="C1096" i="10"/>
  <c r="F1096" i="10"/>
  <c r="D1096" i="10"/>
  <c r="I1096" i="10"/>
  <c r="E1096" i="10"/>
  <c r="H1096" i="10"/>
  <c r="J1096" i="10"/>
  <c r="A1097" i="10"/>
  <c r="C1097" i="10"/>
  <c r="F1097" i="10"/>
  <c r="D1097" i="10"/>
  <c r="I1097" i="10"/>
  <c r="A1098" i="10"/>
  <c r="E1097" i="10"/>
  <c r="H1097" i="10"/>
  <c r="J1097" i="10"/>
  <c r="A1099" i="10"/>
  <c r="C1098" i="10"/>
  <c r="F1098" i="10"/>
  <c r="E1098" i="10"/>
  <c r="H1098" i="10"/>
  <c r="J1098" i="10"/>
  <c r="I1098" i="10"/>
  <c r="D1098" i="10"/>
  <c r="E1099" i="10"/>
  <c r="H1099" i="10"/>
  <c r="J1099" i="10"/>
  <c r="A1100" i="10"/>
  <c r="C1099" i="10"/>
  <c r="F1099" i="10"/>
  <c r="D1099" i="10"/>
  <c r="I1099" i="10"/>
  <c r="D1100" i="10"/>
  <c r="I1100" i="10"/>
  <c r="E1100" i="10"/>
  <c r="H1100" i="10"/>
  <c r="J1100" i="10"/>
  <c r="A1101" i="10"/>
  <c r="C1100" i="10"/>
  <c r="F1100" i="10"/>
  <c r="C1101" i="10"/>
  <c r="F1101" i="10"/>
  <c r="D1101" i="10"/>
  <c r="I1101" i="10"/>
  <c r="A1102" i="10"/>
  <c r="E1101" i="10"/>
  <c r="H1101" i="10"/>
  <c r="J1101" i="10"/>
  <c r="A1103" i="10"/>
  <c r="C1102" i="10"/>
  <c r="F1102" i="10"/>
  <c r="E1102" i="10"/>
  <c r="H1102" i="10"/>
  <c r="J1102" i="10"/>
  <c r="I1102" i="10"/>
  <c r="D1102" i="10"/>
  <c r="E1103" i="10"/>
  <c r="H1103" i="10"/>
  <c r="J1103" i="10"/>
  <c r="A1104" i="10"/>
  <c r="C1103" i="10"/>
  <c r="F1103" i="10"/>
  <c r="D1103" i="10"/>
  <c r="I1103" i="10"/>
  <c r="D1104" i="10"/>
  <c r="I1104" i="10"/>
  <c r="E1104" i="10"/>
  <c r="H1104" i="10"/>
  <c r="J1104" i="10"/>
  <c r="A1105" i="10"/>
  <c r="C1104" i="10"/>
  <c r="F1104" i="10"/>
  <c r="C1105" i="10"/>
  <c r="F1105" i="10"/>
  <c r="D1105" i="10"/>
  <c r="I1105" i="10"/>
  <c r="A1106" i="10"/>
  <c r="E1105" i="10"/>
  <c r="H1105" i="10"/>
  <c r="J1105" i="10"/>
  <c r="A1107" i="10"/>
  <c r="C1106" i="10"/>
  <c r="F1106" i="10"/>
  <c r="E1106" i="10"/>
  <c r="H1106" i="10"/>
  <c r="J1106" i="10"/>
  <c r="I1106" i="10"/>
  <c r="D1106" i="10"/>
  <c r="E1107" i="10"/>
  <c r="H1107" i="10"/>
  <c r="J1107" i="10"/>
  <c r="A1108" i="10"/>
  <c r="C1107" i="10"/>
  <c r="F1107" i="10"/>
  <c r="D1107" i="10"/>
  <c r="I1107" i="10"/>
  <c r="D1108" i="10"/>
  <c r="I1108" i="10"/>
  <c r="E1108" i="10"/>
  <c r="H1108" i="10"/>
  <c r="J1108" i="10"/>
  <c r="A1109" i="10"/>
  <c r="C1108" i="10"/>
  <c r="F1108" i="10"/>
  <c r="C1109" i="10"/>
  <c r="F1109" i="10"/>
  <c r="D1109" i="10"/>
  <c r="I1109" i="10"/>
  <c r="A1110" i="10"/>
  <c r="E1109" i="10"/>
  <c r="H1109" i="10"/>
  <c r="J1109" i="10"/>
  <c r="A1111" i="10"/>
  <c r="C1110" i="10"/>
  <c r="F1110" i="10"/>
  <c r="E1110" i="10"/>
  <c r="H1110" i="10"/>
  <c r="J1110" i="10"/>
  <c r="I1110" i="10"/>
  <c r="D1110" i="10"/>
  <c r="E1111" i="10"/>
  <c r="H1111" i="10"/>
  <c r="J1111" i="10"/>
  <c r="A1112" i="10"/>
  <c r="C1111" i="10"/>
  <c r="F1111" i="10"/>
  <c r="D1111" i="10"/>
  <c r="I1111" i="10"/>
  <c r="D1112" i="10"/>
  <c r="I1112" i="10"/>
  <c r="E1112" i="10"/>
  <c r="H1112" i="10"/>
  <c r="J1112" i="10"/>
  <c r="A1113" i="10"/>
  <c r="C1112" i="10"/>
  <c r="F1112" i="10"/>
  <c r="C1113" i="10"/>
  <c r="F1113" i="10"/>
  <c r="D1113" i="10"/>
  <c r="I1113" i="10"/>
  <c r="A1114" i="10"/>
  <c r="E1113" i="10"/>
  <c r="H1113" i="10"/>
  <c r="J1113" i="10"/>
  <c r="A1115" i="10"/>
  <c r="C1114" i="10"/>
  <c r="F1114" i="10"/>
  <c r="E1114" i="10"/>
  <c r="H1114" i="10"/>
  <c r="J1114" i="10"/>
  <c r="I1114" i="10"/>
  <c r="D1114" i="10"/>
  <c r="E1115" i="10"/>
  <c r="H1115" i="10"/>
  <c r="J1115" i="10"/>
  <c r="A1116" i="10"/>
  <c r="C1115" i="10"/>
  <c r="F1115" i="10"/>
  <c r="D1115" i="10"/>
  <c r="I1115" i="10"/>
  <c r="D1116" i="10"/>
  <c r="I1116" i="10"/>
  <c r="E1116" i="10"/>
  <c r="H1116" i="10"/>
  <c r="J1116" i="10"/>
  <c r="A1117" i="10"/>
  <c r="C1116" i="10"/>
  <c r="F1116" i="10"/>
  <c r="C1117" i="10"/>
  <c r="F1117" i="10"/>
  <c r="D1117" i="10"/>
  <c r="I1117" i="10"/>
  <c r="A1118" i="10"/>
  <c r="E1117" i="10"/>
  <c r="H1117" i="10"/>
  <c r="J1117" i="10"/>
  <c r="A1119" i="10"/>
  <c r="C1118" i="10"/>
  <c r="F1118" i="10"/>
  <c r="E1118" i="10"/>
  <c r="H1118" i="10"/>
  <c r="J1118" i="10"/>
  <c r="I1118" i="10"/>
  <c r="D1118" i="10"/>
  <c r="E1119" i="10"/>
  <c r="H1119" i="10"/>
  <c r="J1119" i="10"/>
  <c r="A1120" i="10"/>
  <c r="C1119" i="10"/>
  <c r="F1119" i="10"/>
  <c r="D1119" i="10"/>
  <c r="I1119" i="10"/>
  <c r="D1120" i="10"/>
  <c r="I1120" i="10"/>
  <c r="E1120" i="10"/>
  <c r="H1120" i="10"/>
  <c r="J1120" i="10"/>
  <c r="A1121" i="10"/>
  <c r="C1120" i="10"/>
  <c r="F1120" i="10"/>
  <c r="C1121" i="10"/>
  <c r="F1121" i="10"/>
  <c r="D1121" i="10"/>
  <c r="I1121" i="10"/>
  <c r="A1122" i="10"/>
  <c r="E1121" i="10"/>
  <c r="H1121" i="10"/>
  <c r="J1121" i="10"/>
  <c r="A1123" i="10"/>
  <c r="C1122" i="10"/>
  <c r="F1122" i="10"/>
  <c r="E1122" i="10"/>
  <c r="H1122" i="10"/>
  <c r="J1122" i="10"/>
  <c r="I1122" i="10"/>
  <c r="D1122" i="10"/>
  <c r="E1123" i="10"/>
  <c r="H1123" i="10"/>
  <c r="J1123" i="10"/>
  <c r="A1124" i="10"/>
  <c r="C1123" i="10"/>
  <c r="F1123" i="10"/>
  <c r="D1123" i="10"/>
  <c r="I1123" i="10"/>
  <c r="D1124" i="10"/>
  <c r="I1124" i="10"/>
  <c r="E1124" i="10"/>
  <c r="H1124" i="10"/>
  <c r="J1124" i="10"/>
  <c r="A1125" i="10"/>
  <c r="C1124" i="10"/>
  <c r="F1124" i="10"/>
  <c r="C1125" i="10"/>
  <c r="F1125" i="10"/>
  <c r="D1125" i="10"/>
  <c r="I1125" i="10"/>
  <c r="A1126" i="10"/>
  <c r="E1125" i="10"/>
  <c r="H1125" i="10"/>
  <c r="J1125" i="10"/>
  <c r="A1127" i="10"/>
  <c r="C1126" i="10"/>
  <c r="F1126" i="10"/>
  <c r="E1126" i="10"/>
  <c r="H1126" i="10"/>
  <c r="J1126" i="10"/>
  <c r="I1126" i="10"/>
  <c r="D1126" i="10"/>
  <c r="E1127" i="10"/>
  <c r="H1127" i="10"/>
  <c r="J1127" i="10"/>
  <c r="A1128" i="10"/>
  <c r="C1127" i="10"/>
  <c r="F1127" i="10"/>
  <c r="D1127" i="10"/>
  <c r="I1127" i="10"/>
  <c r="D1128" i="10"/>
  <c r="I1128" i="10"/>
  <c r="E1128" i="10"/>
  <c r="H1128" i="10"/>
  <c r="J1128" i="10"/>
  <c r="A1129" i="10"/>
  <c r="C1128" i="10"/>
  <c r="F1128" i="10"/>
  <c r="C1129" i="10"/>
  <c r="F1129" i="10"/>
  <c r="D1129" i="10"/>
  <c r="I1129" i="10"/>
  <c r="A1130" i="10"/>
  <c r="E1129" i="10"/>
  <c r="H1129" i="10"/>
  <c r="J1129" i="10"/>
  <c r="A1131" i="10"/>
  <c r="C1130" i="10"/>
  <c r="F1130" i="10"/>
  <c r="E1130" i="10"/>
  <c r="H1130" i="10"/>
  <c r="J1130" i="10"/>
  <c r="I1130" i="10"/>
  <c r="D1130" i="10"/>
  <c r="E1131" i="10"/>
  <c r="H1131" i="10"/>
  <c r="J1131" i="10"/>
  <c r="A1132" i="10"/>
  <c r="C1131" i="10"/>
  <c r="F1131" i="10"/>
  <c r="D1131" i="10"/>
  <c r="I1131" i="10"/>
  <c r="D1132" i="10"/>
  <c r="I1132" i="10"/>
  <c r="E1132" i="10"/>
  <c r="H1132" i="10"/>
  <c r="J1132" i="10"/>
  <c r="A1133" i="10"/>
  <c r="C1132" i="10"/>
  <c r="F1132" i="10"/>
  <c r="C1133" i="10"/>
  <c r="F1133" i="10"/>
  <c r="D1133" i="10"/>
  <c r="I1133" i="10"/>
  <c r="A1134" i="10"/>
  <c r="E1133" i="10"/>
  <c r="H1133" i="10"/>
  <c r="J1133" i="10"/>
  <c r="A1135" i="10"/>
  <c r="C1134" i="10"/>
  <c r="F1134" i="10"/>
  <c r="E1134" i="10"/>
  <c r="H1134" i="10"/>
  <c r="J1134" i="10"/>
  <c r="I1134" i="10"/>
  <c r="D1134" i="10"/>
  <c r="E1135" i="10"/>
  <c r="H1135" i="10"/>
  <c r="J1135" i="10"/>
  <c r="A1136" i="10"/>
  <c r="C1135" i="10"/>
  <c r="F1135" i="10"/>
  <c r="D1135" i="10"/>
  <c r="I1135" i="10"/>
  <c r="D1136" i="10"/>
  <c r="I1136" i="10"/>
  <c r="E1136" i="10"/>
  <c r="H1136" i="10"/>
  <c r="J1136" i="10"/>
  <c r="A1137" i="10"/>
  <c r="C1136" i="10"/>
  <c r="F1136" i="10"/>
  <c r="C1137" i="10"/>
  <c r="F1137" i="10"/>
  <c r="D1137" i="10"/>
  <c r="I1137" i="10"/>
  <c r="A1138" i="10"/>
  <c r="E1137" i="10"/>
  <c r="H1137" i="10"/>
  <c r="J1137" i="10"/>
  <c r="A1139" i="10"/>
  <c r="C1138" i="10"/>
  <c r="F1138" i="10"/>
  <c r="E1138" i="10"/>
  <c r="H1138" i="10"/>
  <c r="J1138" i="10"/>
  <c r="I1138" i="10"/>
  <c r="D1138" i="10"/>
  <c r="E1139" i="10"/>
  <c r="H1139" i="10"/>
  <c r="J1139" i="10"/>
  <c r="A1140" i="10"/>
  <c r="C1139" i="10"/>
  <c r="F1139" i="10"/>
  <c r="D1139" i="10"/>
  <c r="I1139" i="10"/>
  <c r="D1140" i="10"/>
  <c r="I1140" i="10"/>
  <c r="E1140" i="10"/>
  <c r="H1140" i="10"/>
  <c r="J1140" i="10"/>
  <c r="A1141" i="10"/>
  <c r="C1140" i="10"/>
  <c r="F1140" i="10"/>
  <c r="C1141" i="10"/>
  <c r="F1141" i="10"/>
  <c r="D1141" i="10"/>
  <c r="I1141" i="10"/>
  <c r="A1142" i="10"/>
  <c r="E1141" i="10"/>
  <c r="H1141" i="10"/>
  <c r="J1141" i="10"/>
  <c r="A1143" i="10"/>
  <c r="C1142" i="10"/>
  <c r="F1142" i="10"/>
  <c r="E1142" i="10"/>
  <c r="H1142" i="10"/>
  <c r="J1142" i="10"/>
  <c r="I1142" i="10"/>
  <c r="D1142" i="10"/>
  <c r="E1143" i="10"/>
  <c r="H1143" i="10"/>
  <c r="J1143" i="10"/>
  <c r="A1144" i="10"/>
  <c r="C1143" i="10"/>
  <c r="F1143" i="10"/>
  <c r="D1143" i="10"/>
  <c r="I1143" i="10"/>
  <c r="D1144" i="10"/>
  <c r="I1144" i="10"/>
  <c r="E1144" i="10"/>
  <c r="H1144" i="10"/>
  <c r="J1144" i="10"/>
  <c r="A1145" i="10"/>
  <c r="C1144" i="10"/>
  <c r="F1144" i="10"/>
  <c r="C1145" i="10"/>
  <c r="F1145" i="10"/>
  <c r="D1145" i="10"/>
  <c r="I1145" i="10"/>
  <c r="A1146" i="10"/>
  <c r="E1145" i="10"/>
  <c r="H1145" i="10"/>
  <c r="J1145" i="10"/>
  <c r="A1147" i="10"/>
  <c r="C1146" i="10"/>
  <c r="F1146" i="10"/>
  <c r="E1146" i="10"/>
  <c r="H1146" i="10"/>
  <c r="J1146" i="10"/>
  <c r="I1146" i="10"/>
  <c r="D1146" i="10"/>
  <c r="E1147" i="10"/>
  <c r="H1147" i="10"/>
  <c r="J1147" i="10"/>
  <c r="A1148" i="10"/>
  <c r="C1147" i="10"/>
  <c r="F1147" i="10"/>
  <c r="D1147" i="10"/>
  <c r="I1147" i="10"/>
  <c r="D1148" i="10"/>
  <c r="I1148" i="10"/>
  <c r="E1148" i="10"/>
  <c r="H1148" i="10"/>
  <c r="J1148" i="10"/>
  <c r="A1149" i="10"/>
  <c r="C1148" i="10"/>
  <c r="F1148" i="10"/>
  <c r="C1149" i="10"/>
  <c r="F1149" i="10"/>
  <c r="D1149" i="10"/>
  <c r="I1149" i="10"/>
  <c r="A1150" i="10"/>
  <c r="E1149" i="10"/>
  <c r="H1149" i="10"/>
  <c r="J1149" i="10"/>
  <c r="A1151" i="10"/>
  <c r="C1150" i="10"/>
  <c r="F1150" i="10"/>
  <c r="E1150" i="10"/>
  <c r="H1150" i="10"/>
  <c r="J1150" i="10"/>
  <c r="I1150" i="10"/>
  <c r="D1150" i="10"/>
  <c r="E1151" i="10"/>
  <c r="H1151" i="10"/>
  <c r="J1151" i="10"/>
  <c r="A1152" i="10"/>
  <c r="C1151" i="10"/>
  <c r="F1151" i="10"/>
  <c r="D1151" i="10"/>
  <c r="I1151" i="10"/>
  <c r="E1152" i="10"/>
  <c r="H1152" i="10"/>
  <c r="J1152" i="10"/>
  <c r="C1152" i="10"/>
  <c r="F1152" i="10"/>
  <c r="I1152" i="10"/>
  <c r="D1152" i="10"/>
  <c r="A1153" i="10"/>
  <c r="D1153" i="10"/>
  <c r="I1153" i="10"/>
  <c r="C1153" i="10"/>
  <c r="F1153" i="10"/>
  <c r="E1153" i="10"/>
  <c r="H1153" i="10"/>
  <c r="J1153" i="10"/>
  <c r="A1154" i="10"/>
  <c r="C1154" i="10"/>
  <c r="F1154" i="10"/>
  <c r="D1154" i="10"/>
  <c r="E1154" i="10"/>
  <c r="H1154" i="10"/>
  <c r="J1154" i="10"/>
  <c r="A1155" i="10"/>
  <c r="I1154" i="10"/>
  <c r="A1156" i="10"/>
  <c r="D1155" i="10"/>
  <c r="E1155" i="10"/>
  <c r="H1155" i="10"/>
  <c r="J1155" i="10"/>
  <c r="I1155" i="10"/>
  <c r="C1155" i="10"/>
  <c r="F1155" i="10"/>
  <c r="E1156" i="10"/>
  <c r="H1156" i="10"/>
  <c r="J1156" i="10"/>
  <c r="C1156" i="10"/>
  <c r="F1156" i="10"/>
  <c r="I1156" i="10"/>
  <c r="D1156" i="10"/>
  <c r="A1157" i="10"/>
  <c r="D1157" i="10"/>
  <c r="I1157" i="10"/>
  <c r="C1157" i="10"/>
  <c r="F1157" i="10"/>
  <c r="E1157" i="10"/>
  <c r="H1157" i="10"/>
  <c r="J1157" i="10"/>
  <c r="A1158" i="10"/>
  <c r="C1158" i="10"/>
  <c r="F1158" i="10"/>
  <c r="D1158" i="10"/>
  <c r="E1158" i="10"/>
  <c r="H1158" i="10"/>
  <c r="J1158" i="10"/>
  <c r="A1159" i="10"/>
  <c r="I1158" i="10"/>
  <c r="A1160" i="10"/>
  <c r="D1159" i="10"/>
  <c r="E1159" i="10"/>
  <c r="H1159" i="10"/>
  <c r="J1159" i="10"/>
  <c r="C1159" i="10"/>
  <c r="F1159" i="10"/>
  <c r="I1159" i="10"/>
  <c r="E1160" i="10"/>
  <c r="H1160" i="10"/>
  <c r="J1160" i="10"/>
  <c r="C1160" i="10"/>
  <c r="F1160" i="10"/>
  <c r="I1160" i="10"/>
  <c r="D1160" i="10"/>
  <c r="A1161" i="10"/>
  <c r="D1161" i="10"/>
  <c r="I1161" i="10"/>
  <c r="C1161" i="10"/>
  <c r="F1161" i="10"/>
  <c r="E1161" i="10"/>
  <c r="H1161" i="10"/>
  <c r="J1161" i="10"/>
  <c r="A1162" i="10"/>
  <c r="C1162" i="10"/>
  <c r="F1162" i="10"/>
  <c r="D1162" i="10"/>
  <c r="E1162" i="10"/>
  <c r="H1162" i="10"/>
  <c r="J1162" i="10"/>
  <c r="A1163" i="10"/>
  <c r="I1162" i="10"/>
  <c r="A1164" i="10"/>
  <c r="D1163" i="10"/>
  <c r="E1163" i="10"/>
  <c r="H1163" i="10"/>
  <c r="J1163" i="10"/>
  <c r="I1163" i="10"/>
  <c r="C1163" i="10"/>
  <c r="F1163" i="10"/>
  <c r="E1164" i="10"/>
  <c r="H1164" i="10"/>
  <c r="J1164" i="10"/>
  <c r="C1164" i="10"/>
  <c r="F1164" i="10"/>
  <c r="I1164" i="10"/>
  <c r="D1164" i="10"/>
  <c r="A1165" i="10"/>
  <c r="D1165" i="10"/>
  <c r="I1165" i="10"/>
  <c r="C1165" i="10"/>
  <c r="F1165" i="10"/>
  <c r="E1165" i="10"/>
  <c r="H1165" i="10"/>
  <c r="J1165" i="10"/>
  <c r="A1166" i="10"/>
  <c r="C1166" i="10"/>
  <c r="F1166" i="10"/>
  <c r="D1166" i="10"/>
  <c r="E1166" i="10"/>
  <c r="H1166" i="10"/>
  <c r="J1166" i="10"/>
  <c r="A1167" i="10"/>
  <c r="I1166" i="10"/>
  <c r="A1168" i="10"/>
  <c r="D1167" i="10"/>
  <c r="E1167" i="10"/>
  <c r="H1167" i="10"/>
  <c r="J1167" i="10"/>
  <c r="C1167" i="10"/>
  <c r="F1167" i="10"/>
  <c r="I1167" i="10"/>
  <c r="E1168" i="10"/>
  <c r="H1168" i="10"/>
  <c r="J1168" i="10"/>
  <c r="C1168" i="10"/>
  <c r="F1168" i="10"/>
  <c r="I1168" i="10"/>
  <c r="D1168" i="10"/>
  <c r="A1169" i="10"/>
  <c r="D1169" i="10"/>
  <c r="I1169" i="10"/>
  <c r="C1169" i="10"/>
  <c r="F1169" i="10"/>
  <c r="E1169" i="10"/>
  <c r="H1169" i="10"/>
  <c r="J1169" i="10"/>
  <c r="A1170" i="10"/>
  <c r="C1170" i="10"/>
  <c r="F1170" i="10"/>
  <c r="D1170" i="10"/>
  <c r="E1170" i="10"/>
  <c r="H1170" i="10"/>
  <c r="J1170" i="10"/>
  <c r="A1171" i="10"/>
  <c r="I1170" i="10"/>
  <c r="A1172" i="10"/>
  <c r="D1171" i="10"/>
  <c r="E1171" i="10"/>
  <c r="H1171" i="10"/>
  <c r="J1171" i="10"/>
  <c r="I1171" i="10"/>
  <c r="C1171" i="10"/>
  <c r="F1171" i="10"/>
  <c r="E1172" i="10"/>
  <c r="H1172" i="10"/>
  <c r="J1172" i="10"/>
  <c r="C1172" i="10"/>
  <c r="F1172" i="10"/>
  <c r="I1172" i="10"/>
  <c r="D1172" i="10"/>
  <c r="A1173" i="10"/>
  <c r="D1173" i="10"/>
  <c r="I1173" i="10"/>
  <c r="C1173" i="10"/>
  <c r="F1173" i="10"/>
  <c r="E1173" i="10"/>
  <c r="H1173" i="10"/>
  <c r="J1173" i="10"/>
  <c r="A1174" i="10"/>
  <c r="C1174" i="10"/>
  <c r="F1174" i="10"/>
  <c r="D1174" i="10"/>
  <c r="E1174" i="10"/>
  <c r="H1174" i="10"/>
  <c r="J1174" i="10"/>
  <c r="A1175" i="10"/>
  <c r="I1174" i="10"/>
  <c r="A1176" i="10"/>
  <c r="D1175" i="10"/>
  <c r="E1175" i="10"/>
  <c r="H1175" i="10"/>
  <c r="J1175" i="10"/>
  <c r="C1175" i="10"/>
  <c r="F1175" i="10"/>
  <c r="I1175" i="10"/>
  <c r="E1176" i="10"/>
  <c r="H1176" i="10"/>
  <c r="J1176" i="10"/>
  <c r="C1176" i="10"/>
  <c r="F1176" i="10"/>
  <c r="I1176" i="10"/>
  <c r="D1176" i="10"/>
  <c r="A1177" i="10"/>
  <c r="D1177" i="10"/>
  <c r="I1177" i="10"/>
  <c r="C1177" i="10"/>
  <c r="F1177" i="10"/>
  <c r="E1177" i="10"/>
  <c r="H1177" i="10"/>
  <c r="J1177" i="10"/>
  <c r="A1178" i="10"/>
  <c r="C1178" i="10"/>
  <c r="F1178" i="10"/>
  <c r="D1178" i="10"/>
  <c r="E1178" i="10"/>
  <c r="H1178" i="10"/>
  <c r="J1178" i="10"/>
  <c r="A1179" i="10"/>
  <c r="I1178" i="10"/>
  <c r="A1180" i="10"/>
  <c r="D1179" i="10"/>
  <c r="E1179" i="10"/>
  <c r="H1179" i="10"/>
  <c r="J1179" i="10"/>
  <c r="I1179" i="10"/>
  <c r="C1179" i="10"/>
  <c r="F1179" i="10"/>
  <c r="E1180" i="10"/>
  <c r="H1180" i="10"/>
  <c r="J1180" i="10"/>
  <c r="C1180" i="10"/>
  <c r="F1180" i="10"/>
  <c r="I1180" i="10"/>
  <c r="D1180" i="10"/>
  <c r="A1181" i="10"/>
  <c r="D1181" i="10"/>
  <c r="I1181" i="10"/>
  <c r="C1181" i="10"/>
  <c r="F1181" i="10"/>
  <c r="E1181" i="10"/>
  <c r="H1181" i="10"/>
  <c r="J1181" i="10"/>
  <c r="A1182" i="10"/>
  <c r="C1182" i="10"/>
  <c r="F1182" i="10"/>
  <c r="D1182" i="10"/>
  <c r="E1182" i="10"/>
  <c r="H1182" i="10"/>
  <c r="J1182" i="10"/>
  <c r="A1183" i="10"/>
  <c r="I1182" i="10"/>
  <c r="A1184" i="10"/>
  <c r="D1183" i="10"/>
  <c r="E1183" i="10"/>
  <c r="H1183" i="10"/>
  <c r="J1183" i="10"/>
  <c r="C1183" i="10"/>
  <c r="F1183" i="10"/>
  <c r="I1183" i="10"/>
  <c r="E1184" i="10"/>
  <c r="H1184" i="10"/>
  <c r="J1184" i="10"/>
  <c r="C1184" i="10"/>
  <c r="F1184" i="10"/>
  <c r="I1184" i="10"/>
  <c r="D1184" i="10"/>
  <c r="A1185" i="10"/>
  <c r="D1185" i="10"/>
  <c r="I1185" i="10"/>
  <c r="C1185" i="10"/>
  <c r="F1185" i="10"/>
  <c r="E1185" i="10"/>
  <c r="H1185" i="10"/>
  <c r="J1185" i="10"/>
  <c r="A1186" i="10"/>
  <c r="C1186" i="10"/>
  <c r="F1186" i="10"/>
  <c r="D1186" i="10"/>
  <c r="E1186" i="10"/>
  <c r="H1186" i="10"/>
  <c r="J1186" i="10"/>
  <c r="A1187" i="10"/>
  <c r="I1186" i="10"/>
  <c r="A1188" i="10"/>
  <c r="D1187" i="10"/>
  <c r="E1187" i="10"/>
  <c r="H1187" i="10"/>
  <c r="J1187" i="10"/>
  <c r="I1187" i="10"/>
  <c r="C1187" i="10"/>
  <c r="F1187" i="10"/>
  <c r="E1188" i="10"/>
  <c r="H1188" i="10"/>
  <c r="J1188" i="10"/>
  <c r="C1188" i="10"/>
  <c r="F1188" i="10"/>
  <c r="I1188" i="10"/>
  <c r="D1188" i="10"/>
  <c r="A1189" i="10"/>
  <c r="D1189" i="10"/>
  <c r="I1189" i="10"/>
  <c r="C1189" i="10"/>
  <c r="F1189" i="10"/>
  <c r="E1189" i="10"/>
  <c r="H1189" i="10"/>
  <c r="J1189" i="10"/>
  <c r="A1190" i="10"/>
  <c r="C1190" i="10"/>
  <c r="F1190" i="10"/>
  <c r="D1190" i="10"/>
  <c r="E1190" i="10"/>
  <c r="H1190" i="10"/>
  <c r="J1190" i="10"/>
  <c r="A1191" i="10"/>
  <c r="I1190" i="10"/>
  <c r="D1191" i="10"/>
  <c r="I1191" i="10"/>
  <c r="E1191" i="10"/>
  <c r="H1191" i="10"/>
  <c r="J1191" i="10"/>
  <c r="A1192" i="10"/>
  <c r="C1191" i="10"/>
  <c r="F1191" i="10"/>
  <c r="C1192" i="10"/>
  <c r="F1192" i="10"/>
  <c r="D1192" i="10"/>
  <c r="I1192" i="10"/>
  <c r="E1192" i="10"/>
  <c r="H1192" i="10"/>
  <c r="J1192" i="10"/>
  <c r="A1193" i="10"/>
  <c r="A1194" i="10"/>
  <c r="C1193" i="10"/>
  <c r="F1193" i="10"/>
  <c r="D1193" i="10"/>
  <c r="I1193" i="10"/>
  <c r="E1193" i="10"/>
  <c r="H1193" i="10"/>
  <c r="J1193" i="10"/>
  <c r="E1194" i="10"/>
  <c r="H1194" i="10"/>
  <c r="J1194" i="10"/>
  <c r="A1195" i="10"/>
  <c r="C1194" i="10"/>
  <c r="F1194" i="10"/>
  <c r="D1194" i="10"/>
  <c r="I1194" i="10"/>
  <c r="D1195" i="10"/>
  <c r="I1195" i="10"/>
  <c r="E1195" i="10"/>
  <c r="H1195" i="10"/>
  <c r="J1195" i="10"/>
  <c r="A1196" i="10"/>
  <c r="C1195" i="10"/>
  <c r="F1195" i="10"/>
  <c r="C1196" i="10"/>
  <c r="F1196" i="10"/>
  <c r="D1196" i="10"/>
  <c r="I1196" i="10"/>
  <c r="E1196" i="10"/>
  <c r="H1196" i="10"/>
  <c r="J1196" i="10"/>
  <c r="A1197" i="10"/>
  <c r="A1198" i="10"/>
  <c r="C1197" i="10"/>
  <c r="F1197" i="10"/>
  <c r="D1197" i="10"/>
  <c r="I1197" i="10"/>
  <c r="E1197" i="10"/>
  <c r="H1197" i="10"/>
  <c r="J1197" i="10"/>
  <c r="E1198" i="10"/>
  <c r="H1198" i="10"/>
  <c r="J1198" i="10"/>
  <c r="A1199" i="10"/>
  <c r="C1198" i="10"/>
  <c r="F1198" i="10"/>
  <c r="D1198" i="10"/>
  <c r="I1198" i="10"/>
  <c r="D1199" i="10"/>
  <c r="I1199" i="10"/>
  <c r="E1199" i="10"/>
  <c r="H1199" i="10"/>
  <c r="J1199" i="10"/>
  <c r="A1200" i="10"/>
  <c r="C1199" i="10"/>
  <c r="F1199" i="10"/>
  <c r="C1200" i="10"/>
  <c r="F1200" i="10"/>
  <c r="D1200" i="10"/>
  <c r="I1200" i="10"/>
  <c r="E1200" i="10"/>
  <c r="H1200" i="10"/>
  <c r="J1200" i="10"/>
  <c r="A1201" i="10"/>
  <c r="A1202" i="10"/>
  <c r="C1201" i="10"/>
  <c r="F1201" i="10"/>
  <c r="D1201" i="10"/>
  <c r="I1201" i="10"/>
  <c r="E1201" i="10"/>
  <c r="H1201" i="10"/>
  <c r="J1201" i="10"/>
  <c r="E1202" i="10"/>
  <c r="H1202" i="10"/>
  <c r="J1202" i="10"/>
  <c r="A1203" i="10"/>
  <c r="C1202" i="10"/>
  <c r="F1202" i="10"/>
  <c r="D1202" i="10"/>
  <c r="I1202" i="10"/>
  <c r="D1203" i="10"/>
  <c r="I1203" i="10"/>
  <c r="E1203" i="10"/>
  <c r="H1203" i="10"/>
  <c r="J1203" i="10"/>
  <c r="A1204" i="10"/>
  <c r="C1203" i="10"/>
  <c r="F1203" i="10"/>
  <c r="C1204" i="10"/>
  <c r="F1204" i="10"/>
  <c r="D1204" i="10"/>
  <c r="I1204" i="10"/>
  <c r="E1204" i="10"/>
  <c r="H1204" i="10"/>
  <c r="J1204" i="10"/>
  <c r="A1205" i="10"/>
  <c r="A1206" i="10"/>
  <c r="C1205" i="10"/>
  <c r="F1205" i="10"/>
  <c r="D1205" i="10"/>
  <c r="I1205" i="10"/>
  <c r="E1205" i="10"/>
  <c r="H1205" i="10"/>
  <c r="J1205" i="10"/>
  <c r="E1206" i="10"/>
  <c r="H1206" i="10"/>
  <c r="J1206" i="10"/>
  <c r="A1207" i="10"/>
  <c r="C1206" i="10"/>
  <c r="F1206" i="10"/>
  <c r="D1206" i="10"/>
  <c r="I1206" i="10"/>
  <c r="D1207" i="10"/>
  <c r="I1207" i="10"/>
  <c r="E1207" i="10"/>
  <c r="H1207" i="10"/>
  <c r="J1207" i="10"/>
  <c r="A1208" i="10"/>
  <c r="C1207" i="10"/>
  <c r="F1207" i="10"/>
  <c r="C1208" i="10"/>
  <c r="F1208" i="10"/>
  <c r="D1208" i="10"/>
  <c r="I1208" i="10"/>
  <c r="E1208" i="10"/>
  <c r="H1208" i="10"/>
  <c r="J1208" i="10"/>
  <c r="A1209" i="10"/>
  <c r="A1210" i="10"/>
  <c r="C1209" i="10"/>
  <c r="F1209" i="10"/>
  <c r="D1209" i="10"/>
  <c r="I1209" i="10"/>
  <c r="E1209" i="10"/>
  <c r="H1209" i="10"/>
  <c r="J1209" i="10"/>
  <c r="E1210" i="10"/>
  <c r="H1210" i="10"/>
  <c r="J1210" i="10"/>
  <c r="A1211" i="10"/>
  <c r="C1210" i="10"/>
  <c r="F1210" i="10"/>
  <c r="D1210" i="10"/>
  <c r="I1210" i="10"/>
  <c r="D1211" i="10"/>
  <c r="I1211" i="10"/>
  <c r="E1211" i="10"/>
  <c r="H1211" i="10"/>
  <c r="J1211" i="10"/>
  <c r="A1212" i="10"/>
  <c r="C1211" i="10"/>
  <c r="F1211" i="10"/>
  <c r="C1212" i="10"/>
  <c r="F1212" i="10"/>
  <c r="D1212" i="10"/>
  <c r="I1212" i="10"/>
  <c r="E1212" i="10"/>
  <c r="H1212" i="10"/>
  <c r="J1212" i="10"/>
  <c r="A1213" i="10"/>
  <c r="A1214" i="10"/>
  <c r="C1213" i="10"/>
  <c r="F1213" i="10"/>
  <c r="D1213" i="10"/>
  <c r="I1213" i="10"/>
  <c r="E1213" i="10"/>
  <c r="H1213" i="10"/>
  <c r="J1213" i="10"/>
  <c r="E1214" i="10"/>
  <c r="H1214" i="10"/>
  <c r="J1214" i="10"/>
  <c r="A1215" i="10"/>
  <c r="C1214" i="10"/>
  <c r="F1214" i="10"/>
  <c r="D1214" i="10"/>
  <c r="I1214" i="10"/>
  <c r="D1215" i="10"/>
  <c r="I1215" i="10"/>
  <c r="E1215" i="10"/>
  <c r="H1215" i="10"/>
  <c r="J1215" i="10"/>
  <c r="A1216" i="10"/>
  <c r="C1215" i="10"/>
  <c r="F1215" i="10"/>
  <c r="C1216" i="10"/>
  <c r="F1216" i="10"/>
  <c r="D1216" i="10"/>
  <c r="I1216" i="10"/>
  <c r="E1216" i="10"/>
  <c r="H1216" i="10"/>
  <c r="J1216" i="10"/>
  <c r="A1217" i="10"/>
  <c r="A1218" i="10"/>
  <c r="C1217" i="10"/>
  <c r="F1217" i="10"/>
  <c r="D1217" i="10"/>
  <c r="I1217" i="10"/>
  <c r="E1217" i="10"/>
  <c r="H1217" i="10"/>
  <c r="J1217" i="10"/>
  <c r="E1218" i="10"/>
  <c r="H1218" i="10"/>
  <c r="J1218" i="10"/>
  <c r="A1219" i="10"/>
  <c r="C1218" i="10"/>
  <c r="F1218" i="10"/>
  <c r="D1218" i="10"/>
  <c r="I1218" i="10"/>
  <c r="D1219" i="10"/>
  <c r="I1219" i="10"/>
  <c r="E1219" i="10"/>
  <c r="H1219" i="10"/>
  <c r="J1219" i="10"/>
  <c r="A1220" i="10"/>
  <c r="C1219" i="10"/>
  <c r="F1219" i="10"/>
  <c r="C1220" i="10"/>
  <c r="F1220" i="10"/>
  <c r="D1220" i="10"/>
  <c r="I1220" i="10"/>
  <c r="E1220" i="10"/>
  <c r="H1220" i="10"/>
  <c r="J1220" i="10"/>
  <c r="A1221" i="10"/>
  <c r="A1222" i="10"/>
  <c r="C1221" i="10"/>
  <c r="F1221" i="10"/>
  <c r="D1221" i="10"/>
  <c r="I1221" i="10"/>
  <c r="E1221" i="10"/>
  <c r="H1221" i="10"/>
  <c r="J1221" i="10"/>
  <c r="E1222" i="10"/>
  <c r="H1222" i="10"/>
  <c r="J1222" i="10"/>
  <c r="A1223" i="10"/>
  <c r="C1222" i="10"/>
  <c r="F1222" i="10"/>
  <c r="D1222" i="10"/>
  <c r="I1222" i="10"/>
  <c r="D1223" i="10"/>
  <c r="I1223" i="10"/>
  <c r="E1223" i="10"/>
  <c r="H1223" i="10"/>
  <c r="J1223" i="10"/>
  <c r="A1224" i="10"/>
  <c r="C1223" i="10"/>
  <c r="F1223" i="10"/>
  <c r="C1224" i="10"/>
  <c r="F1224" i="10"/>
  <c r="D1224" i="10"/>
  <c r="I1224" i="10"/>
  <c r="E1224" i="10"/>
  <c r="H1224" i="10"/>
  <c r="J1224" i="10"/>
  <c r="A1225" i="10"/>
  <c r="A1226" i="10"/>
  <c r="C1225" i="10"/>
  <c r="F1225" i="10"/>
  <c r="D1225" i="10"/>
  <c r="I1225" i="10"/>
  <c r="E1225" i="10"/>
  <c r="H1225" i="10"/>
  <c r="J1225" i="10"/>
  <c r="E1226" i="10"/>
  <c r="H1226" i="10"/>
  <c r="J1226" i="10"/>
  <c r="A1227" i="10"/>
  <c r="C1226" i="10"/>
  <c r="F1226" i="10"/>
  <c r="D1226" i="10"/>
  <c r="I1226" i="10"/>
  <c r="D1227" i="10"/>
  <c r="I1227" i="10"/>
  <c r="E1227" i="10"/>
  <c r="H1227" i="10"/>
  <c r="J1227" i="10"/>
  <c r="A1228" i="10"/>
  <c r="C1227" i="10"/>
  <c r="F1227" i="10"/>
  <c r="C1228" i="10"/>
  <c r="F1228" i="10"/>
  <c r="D1228" i="10"/>
  <c r="I1228" i="10"/>
  <c r="E1228" i="10"/>
  <c r="H1228" i="10"/>
  <c r="J1228" i="10"/>
  <c r="A1229" i="10"/>
  <c r="A1230" i="10"/>
  <c r="C1229" i="10"/>
  <c r="F1229" i="10"/>
  <c r="D1229" i="10"/>
  <c r="I1229" i="10"/>
  <c r="E1229" i="10"/>
  <c r="H1229" i="10"/>
  <c r="J1229" i="10"/>
  <c r="E1230" i="10"/>
  <c r="H1230" i="10"/>
  <c r="J1230" i="10"/>
  <c r="A1231" i="10"/>
  <c r="C1230" i="10"/>
  <c r="F1230" i="10"/>
  <c r="D1230" i="10"/>
  <c r="I1230" i="10"/>
  <c r="D1231" i="10"/>
  <c r="I1231" i="10"/>
  <c r="E1231" i="10"/>
  <c r="H1231" i="10"/>
  <c r="J1231" i="10"/>
  <c r="A1232" i="10"/>
  <c r="C1231" i="10"/>
  <c r="F1231" i="10"/>
  <c r="C1232" i="10"/>
  <c r="F1232" i="10"/>
  <c r="D1232" i="10"/>
  <c r="I1232" i="10"/>
  <c r="E1232" i="10"/>
  <c r="H1232" i="10"/>
  <c r="J1232" i="10"/>
  <c r="A1233" i="10"/>
  <c r="A1234" i="10"/>
  <c r="C1233" i="10"/>
  <c r="F1233" i="10"/>
  <c r="D1233" i="10"/>
  <c r="I1233" i="10"/>
  <c r="E1233" i="10"/>
  <c r="H1233" i="10"/>
  <c r="J1233" i="10"/>
  <c r="E1234" i="10"/>
  <c r="H1234" i="10"/>
  <c r="J1234" i="10"/>
  <c r="A1235" i="10"/>
  <c r="C1234" i="10"/>
  <c r="F1234" i="10"/>
  <c r="D1234" i="10"/>
  <c r="I1234" i="10"/>
  <c r="D1235" i="10"/>
  <c r="I1235" i="10"/>
  <c r="E1235" i="10"/>
  <c r="H1235" i="10"/>
  <c r="J1235" i="10"/>
  <c r="A1236" i="10"/>
  <c r="C1235" i="10"/>
  <c r="F1235" i="10"/>
  <c r="C1236" i="10"/>
  <c r="F1236" i="10"/>
  <c r="D1236" i="10"/>
  <c r="I1236" i="10"/>
  <c r="E1236" i="10"/>
  <c r="H1236" i="10"/>
  <c r="J1236" i="10"/>
  <c r="A1237" i="10"/>
  <c r="A1238" i="10"/>
  <c r="C1237" i="10"/>
  <c r="F1237" i="10"/>
  <c r="D1237" i="10"/>
  <c r="I1237" i="10"/>
  <c r="E1237" i="10"/>
  <c r="H1237" i="10"/>
  <c r="J1237" i="10"/>
  <c r="E1238" i="10"/>
  <c r="H1238" i="10"/>
  <c r="J1238" i="10"/>
  <c r="A1239" i="10"/>
  <c r="C1238" i="10"/>
  <c r="F1238" i="10"/>
  <c r="D1238" i="10"/>
  <c r="I1238" i="10"/>
  <c r="D1239" i="10"/>
  <c r="I1239" i="10"/>
  <c r="E1239" i="10"/>
  <c r="H1239" i="10"/>
  <c r="J1239" i="10"/>
  <c r="A1240" i="10"/>
  <c r="C1239" i="10"/>
  <c r="F1239" i="10"/>
  <c r="C1240" i="10"/>
  <c r="F1240" i="10"/>
  <c r="D1240" i="10"/>
  <c r="I1240" i="10"/>
  <c r="E1240" i="10"/>
  <c r="H1240" i="10"/>
  <c r="J1240" i="10"/>
  <c r="A1241" i="10"/>
  <c r="A1242" i="10"/>
  <c r="C1241" i="10"/>
  <c r="F1241" i="10"/>
  <c r="D1241" i="10"/>
  <c r="I1241" i="10"/>
  <c r="E1241" i="10"/>
  <c r="H1241" i="10"/>
  <c r="J1241" i="10"/>
  <c r="E1242" i="10"/>
  <c r="H1242" i="10"/>
  <c r="J1242" i="10"/>
  <c r="A1243" i="10"/>
  <c r="C1242" i="10"/>
  <c r="F1242" i="10"/>
  <c r="D1242" i="10"/>
  <c r="I1242" i="10"/>
  <c r="D1243" i="10"/>
  <c r="I1243" i="10"/>
  <c r="E1243" i="10"/>
  <c r="H1243" i="10"/>
  <c r="J1243" i="10"/>
  <c r="A1244" i="10"/>
  <c r="C1243" i="10"/>
  <c r="F1243" i="10"/>
  <c r="C1244" i="10"/>
  <c r="F1244" i="10"/>
  <c r="D1244" i="10"/>
  <c r="I1244" i="10"/>
  <c r="E1244" i="10"/>
  <c r="H1244" i="10"/>
  <c r="J1244" i="10"/>
  <c r="A1245" i="10"/>
  <c r="A1246" i="10"/>
  <c r="C1245" i="10"/>
  <c r="F1245" i="10"/>
  <c r="D1245" i="10"/>
  <c r="I1245" i="10"/>
  <c r="E1245" i="10"/>
  <c r="H1245" i="10"/>
  <c r="J1245" i="10"/>
  <c r="E1246" i="10"/>
  <c r="H1246" i="10"/>
  <c r="J1246" i="10"/>
  <c r="A1247" i="10"/>
  <c r="C1246" i="10"/>
  <c r="F1246" i="10"/>
  <c r="D1246" i="10"/>
  <c r="I1246" i="10"/>
  <c r="D1247" i="10"/>
  <c r="I1247" i="10"/>
  <c r="E1247" i="10"/>
  <c r="H1247" i="10"/>
  <c r="J1247" i="10"/>
  <c r="A1248" i="10"/>
  <c r="C1247" i="10"/>
  <c r="F1247" i="10"/>
  <c r="C1248" i="10"/>
  <c r="F1248" i="10"/>
  <c r="D1248" i="10"/>
  <c r="I1248" i="10"/>
  <c r="E1248" i="10"/>
  <c r="H1248" i="10"/>
  <c r="J1248" i="10"/>
  <c r="A1249" i="10"/>
  <c r="A1250" i="10"/>
  <c r="C1249" i="10"/>
  <c r="F1249" i="10"/>
  <c r="D1249" i="10"/>
  <c r="I1249" i="10"/>
  <c r="E1249" i="10"/>
  <c r="H1249" i="10"/>
  <c r="J1249" i="10"/>
  <c r="E1250" i="10"/>
  <c r="H1250" i="10"/>
  <c r="J1250" i="10"/>
  <c r="A1251" i="10"/>
  <c r="C1250" i="10"/>
  <c r="F1250" i="10"/>
  <c r="D1250" i="10"/>
  <c r="I1250" i="10"/>
  <c r="D1251" i="10"/>
  <c r="I1251" i="10"/>
  <c r="E1251" i="10"/>
  <c r="H1251" i="10"/>
  <c r="J1251" i="10"/>
  <c r="A1252" i="10"/>
  <c r="C1251" i="10"/>
  <c r="F1251" i="10"/>
  <c r="C1252" i="10"/>
  <c r="F1252" i="10"/>
  <c r="D1252" i="10"/>
  <c r="I1252" i="10"/>
  <c r="E1252" i="10"/>
  <c r="H1252" i="10"/>
  <c r="J1252" i="10"/>
  <c r="A1253" i="10"/>
  <c r="A1254" i="10"/>
  <c r="C1253" i="10"/>
  <c r="F1253" i="10"/>
  <c r="D1253" i="10"/>
  <c r="I1253" i="10"/>
  <c r="E1253" i="10"/>
  <c r="H1253" i="10"/>
  <c r="J1253" i="10"/>
  <c r="E1254" i="10"/>
  <c r="H1254" i="10"/>
  <c r="J1254" i="10"/>
  <c r="A1255" i="10"/>
  <c r="C1254" i="10"/>
  <c r="F1254" i="10"/>
  <c r="D1254" i="10"/>
  <c r="I1254" i="10"/>
  <c r="D1255" i="10"/>
  <c r="I1255" i="10"/>
  <c r="E1255" i="10"/>
  <c r="H1255" i="10"/>
  <c r="J1255" i="10"/>
  <c r="A1256" i="10"/>
  <c r="C1255" i="10"/>
  <c r="F1255" i="10"/>
  <c r="C1256" i="10"/>
  <c r="F1256" i="10"/>
  <c r="D1256" i="10"/>
  <c r="I1256" i="10"/>
  <c r="E1256" i="10"/>
  <c r="H1256" i="10"/>
  <c r="J1256" i="10"/>
  <c r="A1257" i="10"/>
  <c r="A1258" i="10"/>
  <c r="C1257" i="10"/>
  <c r="F1257" i="10"/>
  <c r="D1257" i="10"/>
  <c r="I1257" i="10"/>
  <c r="E1257" i="10"/>
  <c r="H1257" i="10"/>
  <c r="J1257" i="10"/>
  <c r="E1258" i="10"/>
  <c r="H1258" i="10"/>
  <c r="J1258" i="10"/>
  <c r="A1259" i="10"/>
  <c r="C1258" i="10"/>
  <c r="F1258" i="10"/>
  <c r="D1258" i="10"/>
  <c r="I1258" i="10"/>
  <c r="D1259" i="10"/>
  <c r="I1259" i="10"/>
  <c r="E1259" i="10"/>
  <c r="H1259" i="10"/>
  <c r="J1259" i="10"/>
  <c r="A1260" i="10"/>
  <c r="C1259" i="10"/>
  <c r="F1259" i="10"/>
  <c r="C1260" i="10"/>
  <c r="F1260" i="10"/>
  <c r="D1260" i="10"/>
  <c r="I1260" i="10"/>
  <c r="E1260" i="10"/>
  <c r="H1260" i="10"/>
  <c r="J1260" i="10"/>
  <c r="A1261" i="10"/>
  <c r="A1262" i="10"/>
  <c r="C1261" i="10"/>
  <c r="F1261" i="10"/>
  <c r="D1261" i="10"/>
  <c r="I1261" i="10"/>
  <c r="E1261" i="10"/>
  <c r="H1261" i="10"/>
  <c r="J1261" i="10"/>
  <c r="E1262" i="10"/>
  <c r="H1262" i="10"/>
  <c r="J1262" i="10"/>
  <c r="A1263" i="10"/>
  <c r="C1262" i="10"/>
  <c r="F1262" i="10"/>
  <c r="D1262" i="10"/>
  <c r="I1262" i="10"/>
  <c r="D1263" i="10"/>
  <c r="I1263" i="10"/>
  <c r="E1263" i="10"/>
  <c r="H1263" i="10"/>
  <c r="J1263" i="10"/>
  <c r="A1264" i="10"/>
  <c r="C1263" i="10"/>
  <c r="F1263" i="10"/>
  <c r="C1264" i="10"/>
  <c r="F1264" i="10"/>
  <c r="D1264" i="10"/>
  <c r="I1264" i="10"/>
  <c r="E1264" i="10"/>
  <c r="H1264" i="10"/>
  <c r="J1264" i="10"/>
  <c r="A1265" i="10"/>
  <c r="A1266" i="10"/>
  <c r="C1265" i="10"/>
  <c r="F1265" i="10"/>
  <c r="D1265" i="10"/>
  <c r="I1265" i="10"/>
  <c r="E1265" i="10"/>
  <c r="H1265" i="10"/>
  <c r="J1265" i="10"/>
  <c r="E1266" i="10"/>
  <c r="H1266" i="10"/>
  <c r="J1266" i="10"/>
  <c r="A1267" i="10"/>
  <c r="C1266" i="10"/>
  <c r="F1266" i="10"/>
  <c r="D1266" i="10"/>
  <c r="I1266" i="10"/>
  <c r="D1267" i="10"/>
  <c r="I1267" i="10"/>
  <c r="E1267" i="10"/>
  <c r="H1267" i="10"/>
  <c r="J1267" i="10"/>
  <c r="A1268" i="10"/>
  <c r="C1267" i="10"/>
  <c r="F1267" i="10"/>
  <c r="C1268" i="10"/>
  <c r="F1268" i="10"/>
  <c r="D1268" i="10"/>
  <c r="I1268" i="10"/>
  <c r="E1268" i="10"/>
  <c r="H1268" i="10"/>
  <c r="J1268" i="10"/>
  <c r="A1269" i="10"/>
  <c r="A1270" i="10"/>
  <c r="C1269" i="10"/>
  <c r="F1269" i="10"/>
  <c r="D1269" i="10"/>
  <c r="I1269" i="10"/>
  <c r="E1269" i="10"/>
  <c r="H1269" i="10"/>
  <c r="J1269" i="10"/>
  <c r="E1270" i="10"/>
  <c r="H1270" i="10"/>
  <c r="J1270" i="10"/>
  <c r="A1271" i="10"/>
  <c r="C1270" i="10"/>
  <c r="F1270" i="10"/>
  <c r="D1270" i="10"/>
  <c r="I1270" i="10"/>
  <c r="D1271" i="10"/>
  <c r="I1271" i="10"/>
  <c r="E1271" i="10"/>
  <c r="H1271" i="10"/>
  <c r="J1271" i="10"/>
  <c r="A1272" i="10"/>
  <c r="C1271" i="10"/>
  <c r="F1271" i="10"/>
  <c r="C1272" i="10"/>
  <c r="F1272" i="10"/>
  <c r="D1272" i="10"/>
  <c r="I1272" i="10"/>
  <c r="E1272" i="10"/>
  <c r="H1272" i="10"/>
  <c r="J1272" i="10"/>
  <c r="A1273" i="10"/>
  <c r="A1274" i="10"/>
  <c r="C1273" i="10"/>
  <c r="F1273" i="10"/>
  <c r="D1273" i="10"/>
  <c r="I1273" i="10"/>
  <c r="E1273" i="10"/>
  <c r="H1273" i="10"/>
  <c r="J1273" i="10"/>
  <c r="E1274" i="10"/>
  <c r="H1274" i="10"/>
  <c r="J1274" i="10"/>
  <c r="A1275" i="10"/>
  <c r="C1274" i="10"/>
  <c r="F1274" i="10"/>
  <c r="D1274" i="10"/>
  <c r="I1274" i="10"/>
  <c r="D1275" i="10"/>
  <c r="I1275" i="10"/>
  <c r="E1275" i="10"/>
  <c r="H1275" i="10"/>
  <c r="J1275" i="10"/>
  <c r="A1276" i="10"/>
  <c r="C1275" i="10"/>
  <c r="F1275" i="10"/>
  <c r="C1276" i="10"/>
  <c r="F1276" i="10"/>
  <c r="D1276" i="10"/>
  <c r="I1276" i="10"/>
  <c r="E1276" i="10"/>
  <c r="H1276" i="10"/>
  <c r="J1276" i="10"/>
  <c r="A1277" i="10"/>
  <c r="A1278" i="10"/>
  <c r="C1277" i="10"/>
  <c r="F1277" i="10"/>
  <c r="D1277" i="10"/>
  <c r="I1277" i="10"/>
  <c r="E1277" i="10"/>
  <c r="H1277" i="10"/>
  <c r="J1277" i="10"/>
  <c r="E1278" i="10"/>
  <c r="H1278" i="10"/>
  <c r="J1278" i="10"/>
  <c r="A1279" i="10"/>
  <c r="C1278" i="10"/>
  <c r="F1278" i="10"/>
  <c r="D1278" i="10"/>
  <c r="I1278" i="10"/>
  <c r="D1279" i="10"/>
  <c r="I1279" i="10"/>
  <c r="E1279" i="10"/>
  <c r="H1279" i="10"/>
  <c r="J1279" i="10"/>
  <c r="A1280" i="10"/>
  <c r="C1279" i="10"/>
  <c r="F1279" i="10"/>
  <c r="C1280" i="10"/>
  <c r="F1280" i="10"/>
  <c r="D1280" i="10"/>
  <c r="I1280" i="10"/>
  <c r="E1280" i="10"/>
  <c r="H1280" i="10"/>
  <c r="J1280" i="10"/>
  <c r="A1281" i="10"/>
  <c r="A1282" i="10"/>
  <c r="C1281" i="10"/>
  <c r="F1281" i="10"/>
  <c r="D1281" i="10"/>
  <c r="I1281" i="10"/>
  <c r="E1281" i="10"/>
  <c r="H1281" i="10"/>
  <c r="J1281" i="10"/>
  <c r="E1282" i="10"/>
  <c r="H1282" i="10"/>
  <c r="J1282" i="10"/>
  <c r="A1283" i="10"/>
  <c r="C1282" i="10"/>
  <c r="F1282" i="10"/>
  <c r="D1282" i="10"/>
  <c r="I1282" i="10"/>
  <c r="D1283" i="10"/>
  <c r="I1283" i="10"/>
  <c r="E1283" i="10"/>
  <c r="H1283" i="10"/>
  <c r="J1283" i="10"/>
  <c r="A1284" i="10"/>
  <c r="C1283" i="10"/>
  <c r="F1283" i="10"/>
  <c r="C1284" i="10"/>
  <c r="F1284" i="10"/>
  <c r="D1284" i="10"/>
  <c r="I1284" i="10"/>
  <c r="E1284" i="10"/>
  <c r="H1284" i="10"/>
  <c r="J1284" i="10"/>
  <c r="A1285" i="10"/>
  <c r="A1286" i="10"/>
  <c r="C1285" i="10"/>
  <c r="F1285" i="10"/>
  <c r="D1285" i="10"/>
  <c r="I1285" i="10"/>
  <c r="E1285" i="10"/>
  <c r="H1285" i="10"/>
  <c r="J1285" i="10"/>
  <c r="E1286" i="10"/>
  <c r="H1286" i="10"/>
  <c r="J1286" i="10"/>
  <c r="A1287" i="10"/>
  <c r="C1286" i="10"/>
  <c r="F1286" i="10"/>
  <c r="D1286" i="10"/>
  <c r="I1286" i="10"/>
  <c r="D1287" i="10"/>
  <c r="I1287" i="10"/>
  <c r="E1287" i="10"/>
  <c r="H1287" i="10"/>
  <c r="J1287" i="10"/>
  <c r="A1288" i="10"/>
  <c r="C1287" i="10"/>
  <c r="F1287" i="10"/>
  <c r="C1288" i="10"/>
  <c r="F1288" i="10"/>
  <c r="D1288" i="10"/>
  <c r="I1288" i="10"/>
  <c r="E1288" i="10"/>
  <c r="H1288" i="10"/>
  <c r="J1288" i="10"/>
  <c r="A1289" i="10"/>
  <c r="A1290" i="10"/>
  <c r="C1289" i="10"/>
  <c r="F1289" i="10"/>
  <c r="D1289" i="10"/>
  <c r="I1289" i="10"/>
  <c r="E1289" i="10"/>
  <c r="H1289" i="10"/>
  <c r="J1289" i="10"/>
  <c r="E1290" i="10"/>
  <c r="H1290" i="10"/>
  <c r="J1290" i="10"/>
  <c r="A1291" i="10"/>
  <c r="C1290" i="10"/>
  <c r="F1290" i="10"/>
  <c r="D1290" i="10"/>
  <c r="I1290" i="10"/>
  <c r="D1291" i="10"/>
  <c r="I1291" i="10"/>
  <c r="E1291" i="10"/>
  <c r="H1291" i="10"/>
  <c r="J1291" i="10"/>
  <c r="A1292" i="10"/>
  <c r="C1291" i="10"/>
  <c r="F1291" i="10"/>
  <c r="C1292" i="10"/>
  <c r="F1292" i="10"/>
  <c r="D1292" i="10"/>
  <c r="I1292" i="10"/>
  <c r="E1292" i="10"/>
  <c r="H1292" i="10"/>
  <c r="J1292" i="10"/>
  <c r="A1293" i="10"/>
  <c r="A1294" i="10"/>
  <c r="C1293" i="10"/>
  <c r="F1293" i="10"/>
  <c r="D1293" i="10"/>
  <c r="I1293" i="10"/>
  <c r="E1293" i="10"/>
  <c r="H1293" i="10"/>
  <c r="J1293" i="10"/>
  <c r="E1294" i="10"/>
  <c r="H1294" i="10"/>
  <c r="J1294" i="10"/>
  <c r="A1295" i="10"/>
  <c r="C1294" i="10"/>
  <c r="F1294" i="10"/>
  <c r="D1294" i="10"/>
  <c r="I1294" i="10"/>
  <c r="D1295" i="10"/>
  <c r="I1295" i="10"/>
  <c r="E1295" i="10"/>
  <c r="H1295" i="10"/>
  <c r="J1295" i="10"/>
  <c r="A1296" i="10"/>
  <c r="C1295" i="10"/>
  <c r="F1295" i="10"/>
  <c r="C1296" i="10"/>
  <c r="F1296" i="10"/>
  <c r="D1296" i="10"/>
  <c r="I1296" i="10"/>
  <c r="E1296" i="10"/>
  <c r="H1296" i="10"/>
  <c r="J1296" i="10"/>
  <c r="A1297" i="10"/>
  <c r="A1298" i="10"/>
  <c r="C1297" i="10"/>
  <c r="F1297" i="10"/>
  <c r="D1297" i="10"/>
  <c r="I1297" i="10"/>
  <c r="E1297" i="10"/>
  <c r="H1297" i="10"/>
  <c r="J1297" i="10"/>
  <c r="E1298" i="10"/>
  <c r="H1298" i="10"/>
  <c r="J1298" i="10"/>
  <c r="A1299" i="10"/>
  <c r="C1298" i="10"/>
  <c r="F1298" i="10"/>
  <c r="D1298" i="10"/>
  <c r="I1298" i="10"/>
  <c r="D1299" i="10"/>
  <c r="I1299" i="10"/>
  <c r="E1299" i="10"/>
  <c r="H1299" i="10"/>
  <c r="J1299" i="10"/>
  <c r="A1300" i="10"/>
  <c r="C1299" i="10"/>
  <c r="F1299" i="10"/>
  <c r="C1300" i="10"/>
  <c r="F1300" i="10"/>
  <c r="D1300" i="10"/>
  <c r="I1300" i="10"/>
  <c r="E1300" i="10"/>
  <c r="H1300" i="10"/>
  <c r="J1300" i="10"/>
  <c r="A1301" i="10"/>
  <c r="A1302" i="10"/>
  <c r="C1301" i="10"/>
  <c r="F1301" i="10"/>
  <c r="D1301" i="10"/>
  <c r="I1301" i="10"/>
  <c r="E1301" i="10"/>
  <c r="H1301" i="10"/>
  <c r="J1301" i="10"/>
  <c r="E1302" i="10"/>
  <c r="H1302" i="10"/>
  <c r="J1302" i="10"/>
  <c r="A1303" i="10"/>
  <c r="C1302" i="10"/>
  <c r="F1302" i="10"/>
  <c r="D1302" i="10"/>
  <c r="I1302" i="10"/>
  <c r="D1303" i="10"/>
  <c r="I1303" i="10"/>
  <c r="E1303" i="10"/>
  <c r="H1303" i="10"/>
  <c r="J1303" i="10"/>
  <c r="A1304" i="10"/>
  <c r="C1303" i="10"/>
  <c r="F1303" i="10"/>
  <c r="C1304" i="10"/>
  <c r="F1304" i="10"/>
  <c r="D1304" i="10"/>
  <c r="I1304" i="10"/>
  <c r="E1304" i="10"/>
  <c r="H1304" i="10"/>
  <c r="J1304" i="10"/>
  <c r="A1305" i="10"/>
  <c r="A1306" i="10"/>
  <c r="C1305" i="10"/>
  <c r="F1305" i="10"/>
  <c r="D1305" i="10"/>
  <c r="I1305" i="10"/>
  <c r="E1305" i="10"/>
  <c r="H1305" i="10"/>
  <c r="J1305" i="10"/>
  <c r="E1306" i="10"/>
  <c r="H1306" i="10"/>
  <c r="J1306" i="10"/>
  <c r="A1307" i="10"/>
  <c r="C1306" i="10"/>
  <c r="F1306" i="10"/>
  <c r="D1306" i="10"/>
  <c r="I1306" i="10"/>
  <c r="D1307" i="10"/>
  <c r="I1307" i="10"/>
  <c r="E1307" i="10"/>
  <c r="H1307" i="10"/>
  <c r="J1307" i="10"/>
  <c r="A1308" i="10"/>
  <c r="C1307" i="10"/>
  <c r="F1307" i="10"/>
  <c r="C1308" i="10"/>
  <c r="F1308" i="10"/>
  <c r="D1308" i="10"/>
  <c r="I1308" i="10"/>
  <c r="E1308" i="10"/>
  <c r="H1308" i="10"/>
  <c r="J1308" i="10"/>
  <c r="A1309" i="10"/>
  <c r="A1310" i="10"/>
  <c r="C1309" i="10"/>
  <c r="F1309" i="10"/>
  <c r="D1309" i="10"/>
  <c r="I1309" i="10"/>
  <c r="E1309" i="10"/>
  <c r="H1309" i="10"/>
  <c r="J1309" i="10"/>
  <c r="E1310" i="10"/>
  <c r="H1310" i="10"/>
  <c r="J1310" i="10"/>
  <c r="A1311" i="10"/>
  <c r="C1310" i="10"/>
  <c r="F1310" i="10"/>
  <c r="D1310" i="10"/>
  <c r="I1310" i="10"/>
  <c r="D1311" i="10"/>
  <c r="I1311" i="10"/>
  <c r="E1311" i="10"/>
  <c r="H1311" i="10"/>
  <c r="J1311" i="10"/>
  <c r="A1312" i="10"/>
  <c r="C1311" i="10"/>
  <c r="F1311" i="10"/>
  <c r="C1312" i="10"/>
  <c r="F1312" i="10"/>
  <c r="D1312" i="10"/>
  <c r="I1312" i="10"/>
  <c r="E1312" i="10"/>
  <c r="H1312" i="10"/>
  <c r="J1312" i="10"/>
  <c r="A1313" i="10"/>
  <c r="A1314" i="10"/>
  <c r="C1313" i="10"/>
  <c r="F1313" i="10"/>
  <c r="D1313" i="10"/>
  <c r="I1313" i="10"/>
  <c r="E1313" i="10"/>
  <c r="H1313" i="10"/>
  <c r="J1313" i="10"/>
  <c r="E1314" i="10"/>
  <c r="H1314" i="10"/>
  <c r="J1314" i="10"/>
  <c r="A1315" i="10"/>
  <c r="C1314" i="10"/>
  <c r="F1314" i="10"/>
  <c r="D1314" i="10"/>
  <c r="I1314" i="10"/>
  <c r="D1315" i="10"/>
  <c r="I1315" i="10"/>
  <c r="E1315" i="10"/>
  <c r="H1315" i="10"/>
  <c r="J1315" i="10"/>
  <c r="A1316" i="10"/>
  <c r="C1315" i="10"/>
  <c r="F1315" i="10"/>
  <c r="C1316" i="10"/>
  <c r="F1316" i="10"/>
  <c r="D1316" i="10"/>
  <c r="I1316" i="10"/>
  <c r="E1316" i="10"/>
  <c r="H1316" i="10"/>
  <c r="J1316" i="10"/>
  <c r="A1317" i="10"/>
  <c r="A1318" i="10"/>
  <c r="C1317" i="10"/>
  <c r="F1317" i="10"/>
  <c r="D1317" i="10"/>
  <c r="I1317" i="10"/>
  <c r="E1317" i="10"/>
  <c r="H1317" i="10"/>
  <c r="J1317" i="10"/>
  <c r="E1318" i="10"/>
  <c r="H1318" i="10"/>
  <c r="J1318" i="10"/>
  <c r="A1319" i="10"/>
  <c r="C1318" i="10"/>
  <c r="F1318" i="10"/>
  <c r="D1318" i="10"/>
  <c r="I1318" i="10"/>
  <c r="D1319" i="10"/>
  <c r="I1319" i="10"/>
  <c r="E1319" i="10"/>
  <c r="H1319" i="10"/>
  <c r="J1319" i="10"/>
  <c r="A1320" i="10"/>
  <c r="C1319" i="10"/>
  <c r="F1319" i="10"/>
  <c r="C1320" i="10"/>
  <c r="F1320" i="10"/>
  <c r="D1320" i="10"/>
  <c r="I1320" i="10"/>
  <c r="E1320" i="10"/>
  <c r="H1320" i="10"/>
  <c r="J1320" i="10"/>
  <c r="A1321" i="10"/>
  <c r="A1322" i="10"/>
  <c r="C1321" i="10"/>
  <c r="F1321" i="10"/>
  <c r="D1321" i="10"/>
  <c r="I1321" i="10"/>
  <c r="E1321" i="10"/>
  <c r="H1321" i="10"/>
  <c r="J1321" i="10"/>
  <c r="E1322" i="10"/>
  <c r="H1322" i="10"/>
  <c r="J1322" i="10"/>
  <c r="A1323" i="10"/>
  <c r="C1322" i="10"/>
  <c r="F1322" i="10"/>
  <c r="D1322" i="10"/>
  <c r="I1322" i="10"/>
  <c r="D1323" i="10"/>
  <c r="I1323" i="10"/>
  <c r="E1323" i="10"/>
  <c r="H1323" i="10"/>
  <c r="J1323" i="10"/>
  <c r="A1324" i="10"/>
  <c r="C1323" i="10"/>
  <c r="F1323" i="10"/>
  <c r="C1324" i="10"/>
  <c r="F1324" i="10"/>
  <c r="D1324" i="10"/>
  <c r="I1324" i="10"/>
  <c r="E1324" i="10"/>
  <c r="H1324" i="10"/>
  <c r="J1324" i="10"/>
  <c r="A1325" i="10"/>
  <c r="A1326" i="10"/>
  <c r="C1325" i="10"/>
  <c r="F1325" i="10"/>
  <c r="D1325" i="10"/>
  <c r="I1325" i="10"/>
  <c r="E1325" i="10"/>
  <c r="H1325" i="10"/>
  <c r="J1325" i="10"/>
  <c r="E1326" i="10"/>
  <c r="H1326" i="10"/>
  <c r="J1326" i="10"/>
  <c r="A1327" i="10"/>
  <c r="C1326" i="10"/>
  <c r="F1326" i="10"/>
  <c r="D1326" i="10"/>
  <c r="I1326" i="10"/>
  <c r="D1327" i="10"/>
  <c r="I1327" i="10"/>
  <c r="E1327" i="10"/>
  <c r="H1327" i="10"/>
  <c r="J1327" i="10"/>
  <c r="A1328" i="10"/>
  <c r="C1327" i="10"/>
  <c r="F1327" i="10"/>
  <c r="C1328" i="10"/>
  <c r="F1328" i="10"/>
  <c r="D1328" i="10"/>
  <c r="I1328" i="10"/>
  <c r="E1328" i="10"/>
  <c r="H1328" i="10"/>
  <c r="J1328" i="10"/>
  <c r="A1329" i="10"/>
  <c r="A1330" i="10"/>
  <c r="C1329" i="10"/>
  <c r="F1329" i="10"/>
  <c r="D1329" i="10"/>
  <c r="I1329" i="10"/>
  <c r="E1329" i="10"/>
  <c r="H1329" i="10"/>
  <c r="J1329" i="10"/>
  <c r="E1330" i="10"/>
  <c r="H1330" i="10"/>
  <c r="J1330" i="10"/>
  <c r="A1331" i="10"/>
  <c r="C1330" i="10"/>
  <c r="F1330" i="10"/>
  <c r="D1330" i="10"/>
  <c r="I1330" i="10"/>
  <c r="D1331" i="10"/>
  <c r="I1331" i="10"/>
  <c r="E1331" i="10"/>
  <c r="H1331" i="10"/>
  <c r="J1331" i="10"/>
  <c r="A1332" i="10"/>
  <c r="C1331" i="10"/>
  <c r="F1331" i="10"/>
  <c r="C1332" i="10"/>
  <c r="F1332" i="10"/>
  <c r="D1332" i="10"/>
  <c r="I1332" i="10"/>
  <c r="E1332" i="10"/>
  <c r="H1332" i="10"/>
  <c r="J1332" i="10"/>
  <c r="A1333" i="10"/>
  <c r="A1334" i="10"/>
  <c r="C1333" i="10"/>
  <c r="F1333" i="10"/>
  <c r="D1333" i="10"/>
  <c r="I1333" i="10"/>
  <c r="E1333" i="10"/>
  <c r="H1333" i="10"/>
  <c r="J1333" i="10"/>
  <c r="E1334" i="10"/>
  <c r="H1334" i="10"/>
  <c r="J1334" i="10"/>
  <c r="A1335" i="10"/>
  <c r="C1334" i="10"/>
  <c r="F1334" i="10"/>
  <c r="D1334" i="10"/>
  <c r="I1334" i="10"/>
  <c r="D1335" i="10"/>
  <c r="I1335" i="10"/>
  <c r="E1335" i="10"/>
  <c r="H1335" i="10"/>
  <c r="J1335" i="10"/>
  <c r="A1336" i="10"/>
  <c r="C1335" i="10"/>
  <c r="F1335" i="10"/>
  <c r="C1336" i="10"/>
  <c r="F1336" i="10"/>
  <c r="D1336" i="10"/>
  <c r="I1336" i="10"/>
  <c r="E1336" i="10"/>
  <c r="H1336" i="10"/>
  <c r="J1336" i="10"/>
  <c r="A1337" i="10"/>
  <c r="A1338" i="10"/>
  <c r="C1337" i="10"/>
  <c r="F1337" i="10"/>
  <c r="D1337" i="10"/>
  <c r="I1337" i="10"/>
  <c r="E1337" i="10"/>
  <c r="H1337" i="10"/>
  <c r="J1337" i="10"/>
  <c r="E1338" i="10"/>
  <c r="H1338" i="10"/>
  <c r="J1338" i="10"/>
  <c r="A1339" i="10"/>
  <c r="C1338" i="10"/>
  <c r="F1338" i="10"/>
  <c r="D1338" i="10"/>
  <c r="I1338" i="10"/>
  <c r="D1339" i="10"/>
  <c r="I1339" i="10"/>
  <c r="E1339" i="10"/>
  <c r="H1339" i="10"/>
  <c r="J1339" i="10"/>
  <c r="A1340" i="10"/>
  <c r="C1339" i="10"/>
  <c r="F1339" i="10"/>
  <c r="C1340" i="10"/>
  <c r="F1340" i="10"/>
  <c r="D1340" i="10"/>
  <c r="I1340" i="10"/>
  <c r="E1340" i="10"/>
  <c r="H1340" i="10"/>
  <c r="J1340" i="10"/>
  <c r="A1341" i="10"/>
  <c r="A1342" i="10"/>
  <c r="C1341" i="10"/>
  <c r="F1341" i="10"/>
  <c r="D1341" i="10"/>
  <c r="I1341" i="10"/>
  <c r="E1341" i="10"/>
  <c r="H1341" i="10"/>
  <c r="J1341" i="10"/>
  <c r="E1342" i="10"/>
  <c r="H1342" i="10"/>
  <c r="J1342" i="10"/>
  <c r="A1343" i="10"/>
  <c r="C1342" i="10"/>
  <c r="F1342" i="10"/>
  <c r="D1342" i="10"/>
  <c r="I1342" i="10"/>
  <c r="D1343" i="10"/>
  <c r="I1343" i="10"/>
  <c r="E1343" i="10"/>
  <c r="H1343" i="10"/>
  <c r="J1343" i="10"/>
  <c r="A1344" i="10"/>
  <c r="C1343" i="10"/>
  <c r="F1343" i="10"/>
  <c r="C1344" i="10"/>
  <c r="F1344" i="10"/>
  <c r="D1344" i="10"/>
  <c r="I1344" i="10"/>
  <c r="E1344" i="10"/>
  <c r="H1344" i="10"/>
  <c r="J1344" i="10"/>
  <c r="A1345" i="10"/>
  <c r="A1346" i="10"/>
  <c r="C1345" i="10"/>
  <c r="F1345" i="10"/>
  <c r="D1345" i="10"/>
  <c r="I1345" i="10"/>
  <c r="E1345" i="10"/>
  <c r="H1345" i="10"/>
  <c r="J1345" i="10"/>
  <c r="E1346" i="10"/>
  <c r="H1346" i="10"/>
  <c r="J1346" i="10"/>
  <c r="A1347" i="10"/>
  <c r="C1346" i="10"/>
  <c r="F1346" i="10"/>
  <c r="D1346" i="10"/>
  <c r="I1346" i="10"/>
  <c r="D1347" i="10"/>
  <c r="I1347" i="10"/>
  <c r="E1347" i="10"/>
  <c r="H1347" i="10"/>
  <c r="J1347" i="10"/>
  <c r="A1348" i="10"/>
  <c r="C1347" i="10"/>
  <c r="F1347" i="10"/>
  <c r="C1348" i="10"/>
  <c r="F1348" i="10"/>
  <c r="D1348" i="10"/>
  <c r="I1348" i="10"/>
  <c r="E1348" i="10"/>
  <c r="H1348" i="10"/>
  <c r="J1348" i="10"/>
  <c r="A1349" i="10"/>
  <c r="A1350" i="10"/>
  <c r="C1349" i="10"/>
  <c r="F1349" i="10"/>
  <c r="D1349" i="10"/>
  <c r="I1349" i="10"/>
  <c r="E1349" i="10"/>
  <c r="H1349" i="10"/>
  <c r="J1349" i="10"/>
  <c r="E1350" i="10"/>
  <c r="H1350" i="10"/>
  <c r="J1350" i="10"/>
  <c r="A1351" i="10"/>
  <c r="C1350" i="10"/>
  <c r="F1350" i="10"/>
  <c r="D1350" i="10"/>
  <c r="I1350" i="10"/>
  <c r="D1351" i="10"/>
  <c r="I1351" i="10"/>
  <c r="E1351" i="10"/>
  <c r="H1351" i="10"/>
  <c r="J1351" i="10"/>
  <c r="A1352" i="10"/>
  <c r="C1351" i="10"/>
  <c r="F1351" i="10"/>
  <c r="C1352" i="10"/>
  <c r="F1352" i="10"/>
  <c r="D1352" i="10"/>
  <c r="I1352" i="10"/>
  <c r="E1352" i="10"/>
  <c r="H1352" i="10"/>
  <c r="J1352" i="10"/>
  <c r="A1353" i="10"/>
  <c r="A1354" i="10"/>
  <c r="C1353" i="10"/>
  <c r="F1353" i="10"/>
  <c r="D1353" i="10"/>
  <c r="I1353" i="10"/>
  <c r="E1353" i="10"/>
  <c r="H1353" i="10"/>
  <c r="J1353" i="10"/>
  <c r="E1354" i="10"/>
  <c r="H1354" i="10"/>
  <c r="J1354" i="10"/>
  <c r="A1355" i="10"/>
  <c r="C1354" i="10"/>
  <c r="F1354" i="10"/>
  <c r="D1354" i="10"/>
  <c r="I1354" i="10"/>
  <c r="D1355" i="10"/>
  <c r="I1355" i="10"/>
  <c r="E1355" i="10"/>
  <c r="H1355" i="10"/>
  <c r="J1355" i="10"/>
  <c r="A1356" i="10"/>
  <c r="C1355" i="10"/>
  <c r="F1355" i="10"/>
  <c r="C1356" i="10"/>
  <c r="F1356" i="10"/>
  <c r="D1356" i="10"/>
  <c r="I1356" i="10"/>
  <c r="E1356" i="10"/>
  <c r="H1356" i="10"/>
  <c r="J1356" i="10"/>
  <c r="A1357" i="10"/>
  <c r="A1358" i="10"/>
  <c r="C1357" i="10"/>
  <c r="F1357" i="10"/>
  <c r="D1357" i="10"/>
  <c r="I1357" i="10"/>
  <c r="E1357" i="10"/>
  <c r="H1357" i="10"/>
  <c r="J1357" i="10"/>
  <c r="E1358" i="10"/>
  <c r="H1358" i="10"/>
  <c r="J1358" i="10"/>
  <c r="A1359" i="10"/>
  <c r="C1358" i="10"/>
  <c r="F1358" i="10"/>
  <c r="D1358" i="10"/>
  <c r="I1358" i="10"/>
  <c r="D1359" i="10"/>
  <c r="I1359" i="10"/>
  <c r="E1359" i="10"/>
  <c r="H1359" i="10"/>
  <c r="J1359" i="10"/>
  <c r="A1360" i="10"/>
  <c r="C1359" i="10"/>
  <c r="F1359" i="10"/>
  <c r="C1360" i="10"/>
  <c r="F1360" i="10"/>
  <c r="D1360" i="10"/>
  <c r="I1360" i="10"/>
  <c r="E1360" i="10"/>
  <c r="H1360" i="10"/>
  <c r="J1360" i="10"/>
  <c r="A1361" i="10"/>
  <c r="A1362" i="10"/>
  <c r="C1361" i="10"/>
  <c r="F1361" i="10"/>
  <c r="D1361" i="10"/>
  <c r="I1361" i="10"/>
  <c r="E1361" i="10"/>
  <c r="H1361" i="10"/>
  <c r="J1361" i="10"/>
  <c r="E1362" i="10"/>
  <c r="H1362" i="10"/>
  <c r="J1362" i="10"/>
  <c r="A1363" i="10"/>
  <c r="C1362" i="10"/>
  <c r="F1362" i="10"/>
  <c r="D1362" i="10"/>
  <c r="I1362" i="10"/>
  <c r="D1363" i="10"/>
  <c r="I1363" i="10"/>
  <c r="E1363" i="10"/>
  <c r="H1363" i="10"/>
  <c r="J1363" i="10"/>
  <c r="A1364" i="10"/>
  <c r="C1363" i="10"/>
  <c r="F1363" i="10"/>
  <c r="C1364" i="10"/>
  <c r="F1364" i="10"/>
  <c r="D1364" i="10"/>
  <c r="I1364" i="10"/>
  <c r="E1364" i="10"/>
  <c r="H1364" i="10"/>
  <c r="J1364" i="10"/>
  <c r="A1365" i="10"/>
  <c r="A1366" i="10"/>
  <c r="C1365" i="10"/>
  <c r="F1365" i="10"/>
  <c r="D1365" i="10"/>
  <c r="I1365" i="10"/>
  <c r="E1365" i="10"/>
  <c r="H1365" i="10"/>
  <c r="J1365" i="10"/>
  <c r="E1366" i="10"/>
  <c r="H1366" i="10"/>
  <c r="J1366" i="10"/>
  <c r="A1367" i="10"/>
  <c r="C1366" i="10"/>
  <c r="F1366" i="10"/>
  <c r="D1366" i="10"/>
  <c r="I1366" i="10"/>
  <c r="D1367" i="10"/>
  <c r="I1367" i="10"/>
  <c r="E1367" i="10"/>
  <c r="H1367" i="10"/>
  <c r="J1367" i="10"/>
  <c r="A1368" i="10"/>
  <c r="C1367" i="10"/>
  <c r="F1367" i="10"/>
  <c r="C1368" i="10"/>
  <c r="F1368" i="10"/>
  <c r="D1368" i="10"/>
  <c r="I1368" i="10"/>
  <c r="E1368" i="10"/>
  <c r="H1368" i="10"/>
  <c r="J1368" i="10"/>
  <c r="A1369" i="10"/>
  <c r="A1370" i="10"/>
  <c r="C1369" i="10"/>
  <c r="F1369" i="10"/>
  <c r="D1369" i="10"/>
  <c r="I1369" i="10"/>
  <c r="E1369" i="10"/>
  <c r="H1369" i="10"/>
  <c r="J1369" i="10"/>
  <c r="E1370" i="10"/>
  <c r="H1370" i="10"/>
  <c r="J1370" i="10"/>
  <c r="C1370" i="10"/>
  <c r="F1370" i="10"/>
  <c r="I1370" i="10"/>
  <c r="A1371" i="10"/>
  <c r="D1370" i="10"/>
  <c r="D1371" i="10"/>
  <c r="I1371" i="10"/>
  <c r="A1372" i="10"/>
  <c r="E1371" i="10"/>
  <c r="H1371" i="10"/>
  <c r="J1371" i="10"/>
  <c r="C1371" i="10"/>
  <c r="F1371" i="10"/>
  <c r="C1372" i="10"/>
  <c r="F1372" i="10"/>
  <c r="E1372" i="10"/>
  <c r="H1372" i="10"/>
  <c r="J1372" i="10"/>
  <c r="D1372" i="10"/>
  <c r="I1372" i="10"/>
  <c r="A1373" i="10"/>
  <c r="A1374" i="10"/>
  <c r="D1373" i="10"/>
  <c r="I1373" i="10"/>
  <c r="C1373" i="10"/>
  <c r="F1373" i="10"/>
  <c r="E1373" i="10"/>
  <c r="H1373" i="10"/>
  <c r="J1373" i="10"/>
  <c r="E1374" i="10"/>
  <c r="H1374" i="10"/>
  <c r="J1374" i="10"/>
  <c r="C1374" i="10"/>
  <c r="F1374" i="10"/>
  <c r="I1374" i="10"/>
  <c r="A1375" i="10"/>
  <c r="D1374" i="10"/>
  <c r="D1375" i="10"/>
  <c r="I1375" i="10"/>
  <c r="A1376" i="10"/>
  <c r="E1375" i="10"/>
  <c r="H1375" i="10"/>
  <c r="J1375" i="10"/>
  <c r="C1375" i="10"/>
  <c r="F1375" i="10"/>
  <c r="C1376" i="10"/>
  <c r="F1376" i="10"/>
  <c r="E1376" i="10"/>
  <c r="H1376" i="10"/>
  <c r="J1376" i="10"/>
  <c r="D1376" i="10"/>
  <c r="I1376" i="10"/>
  <c r="A1377" i="10"/>
  <c r="A1378" i="10"/>
  <c r="D1377" i="10"/>
  <c r="I1377" i="10"/>
  <c r="C1377" i="10"/>
  <c r="F1377" i="10"/>
  <c r="E1377" i="10"/>
  <c r="H1377" i="10"/>
  <c r="J1377" i="10"/>
  <c r="E1378" i="10"/>
  <c r="H1378" i="10"/>
  <c r="J1378" i="10"/>
  <c r="D1378" i="10"/>
  <c r="A1379" i="10"/>
  <c r="I1378" i="10"/>
  <c r="C1378" i="10"/>
  <c r="F1378" i="10"/>
  <c r="D1379" i="10"/>
  <c r="I1379" i="10"/>
  <c r="C1379" i="10"/>
  <c r="F1379" i="10"/>
  <c r="E1379" i="10"/>
  <c r="H1379" i="10"/>
  <c r="J1379" i="10"/>
  <c r="A1380" i="10"/>
  <c r="C1380" i="10"/>
  <c r="F1380" i="10"/>
  <c r="I1380" i="10"/>
  <c r="D1380" i="10"/>
  <c r="E1380" i="10"/>
  <c r="H1380" i="10"/>
  <c r="J1380" i="10"/>
  <c r="A1381" i="10"/>
  <c r="A1382" i="10"/>
  <c r="C1381" i="10"/>
  <c r="F1381" i="10"/>
  <c r="I1381" i="10"/>
  <c r="D1381" i="10"/>
  <c r="E1381" i="10"/>
  <c r="H1381" i="10"/>
  <c r="J1381" i="10"/>
  <c r="E1382" i="10"/>
  <c r="H1382" i="10"/>
  <c r="J1382" i="10"/>
  <c r="D1382" i="10"/>
  <c r="A1383" i="10"/>
  <c r="C1382" i="10"/>
  <c r="F1382" i="10"/>
  <c r="I1382" i="10"/>
  <c r="D1383" i="10"/>
  <c r="I1383" i="10"/>
  <c r="C1383" i="10"/>
  <c r="F1383" i="10"/>
  <c r="E1383" i="10"/>
  <c r="H1383" i="10"/>
  <c r="J1383" i="10"/>
  <c r="A1384" i="10"/>
  <c r="C1384" i="10"/>
  <c r="F1384" i="10"/>
  <c r="I1384" i="10"/>
  <c r="D1384" i="10"/>
  <c r="E1384" i="10"/>
  <c r="H1384" i="10"/>
  <c r="J1384" i="10"/>
  <c r="A1385" i="10"/>
  <c r="A1386" i="10"/>
  <c r="C1385" i="10"/>
  <c r="F1385" i="10"/>
  <c r="I1385" i="10"/>
  <c r="D1385" i="10"/>
  <c r="E1385" i="10"/>
  <c r="H1385" i="10"/>
  <c r="J1385" i="10"/>
  <c r="E1386" i="10"/>
  <c r="H1386" i="10"/>
  <c r="J1386" i="10"/>
  <c r="D1386" i="10"/>
  <c r="A1387" i="10"/>
  <c r="I1386" i="10"/>
  <c r="C1386" i="10"/>
  <c r="F1386" i="10"/>
  <c r="D1387" i="10"/>
  <c r="A1388" i="10"/>
  <c r="C1387" i="10"/>
  <c r="F1387" i="10"/>
  <c r="I1387" i="10"/>
  <c r="E1387" i="10"/>
  <c r="H1387" i="10"/>
  <c r="J1387" i="10"/>
  <c r="E1388" i="10"/>
  <c r="H1388" i="10"/>
  <c r="J1388" i="10"/>
  <c r="A1389" i="10"/>
  <c r="C1388" i="10"/>
  <c r="F1388" i="10"/>
  <c r="D1388" i="10"/>
  <c r="I1388" i="10"/>
  <c r="D1389" i="10"/>
  <c r="I1389" i="10"/>
  <c r="E1389" i="10"/>
  <c r="H1389" i="10"/>
  <c r="J1389" i="10"/>
  <c r="A1390" i="10"/>
  <c r="C1389" i="10"/>
  <c r="F1389" i="10"/>
  <c r="C1390" i="10"/>
  <c r="F1390" i="10"/>
  <c r="D1390" i="10"/>
  <c r="I1390" i="10"/>
  <c r="E1390" i="10"/>
  <c r="H1390" i="10"/>
  <c r="J1390" i="10"/>
  <c r="A1391" i="10"/>
  <c r="A1392" i="10"/>
  <c r="C1391" i="10"/>
  <c r="F1391" i="10"/>
  <c r="D1391" i="10"/>
  <c r="I1391" i="10"/>
  <c r="E1391" i="10"/>
  <c r="H1391" i="10"/>
  <c r="J1391" i="10"/>
  <c r="E1392" i="10"/>
  <c r="H1392" i="10"/>
  <c r="J1392" i="10"/>
  <c r="A1393" i="10"/>
  <c r="C1392" i="10"/>
  <c r="F1392" i="10"/>
  <c r="D1392" i="10"/>
  <c r="I1392" i="10"/>
  <c r="D1393" i="10"/>
  <c r="I1393" i="10"/>
  <c r="E1393" i="10"/>
  <c r="H1393" i="10"/>
  <c r="J1393" i="10"/>
  <c r="A1394" i="10"/>
  <c r="C1393" i="10"/>
  <c r="F1393" i="10"/>
  <c r="C1394" i="10"/>
  <c r="F1394" i="10"/>
  <c r="D1394" i="10"/>
  <c r="I1394" i="10"/>
  <c r="E1394" i="10"/>
  <c r="H1394" i="10"/>
  <c r="J1394" i="10"/>
  <c r="A1395" i="10"/>
  <c r="A1396" i="10"/>
  <c r="C1395" i="10"/>
  <c r="F1395" i="10"/>
  <c r="D1395" i="10"/>
  <c r="I1395" i="10"/>
  <c r="E1395" i="10"/>
  <c r="H1395" i="10"/>
  <c r="J1395" i="10"/>
  <c r="E1396" i="10"/>
  <c r="H1396" i="10"/>
  <c r="J1396" i="10"/>
  <c r="A1397" i="10"/>
  <c r="C1396" i="10"/>
  <c r="F1396" i="10"/>
  <c r="D1396" i="10"/>
  <c r="I1396" i="10"/>
  <c r="D1397" i="10"/>
  <c r="I1397" i="10"/>
  <c r="E1397" i="10"/>
  <c r="H1397" i="10"/>
  <c r="J1397" i="10"/>
  <c r="A1398" i="10"/>
  <c r="C1397" i="10"/>
  <c r="F1397" i="10"/>
  <c r="C1398" i="10"/>
  <c r="F1398" i="10"/>
  <c r="D1398" i="10"/>
  <c r="I1398" i="10"/>
  <c r="E1398" i="10"/>
  <c r="H1398" i="10"/>
  <c r="J1398" i="10"/>
  <c r="A1399" i="10"/>
  <c r="A1400" i="10"/>
  <c r="C1399" i="10"/>
  <c r="F1399" i="10"/>
  <c r="D1399" i="10"/>
  <c r="I1399" i="10"/>
  <c r="E1399" i="10"/>
  <c r="H1399" i="10"/>
  <c r="J1399" i="10"/>
  <c r="E1400" i="10"/>
  <c r="H1400" i="10"/>
  <c r="J1400" i="10"/>
  <c r="A1401" i="10"/>
  <c r="C1400" i="10"/>
  <c r="F1400" i="10"/>
  <c r="D1400" i="10"/>
  <c r="I1400" i="10"/>
  <c r="D1401" i="10"/>
  <c r="I1401" i="10"/>
  <c r="E1401" i="10"/>
  <c r="H1401" i="10"/>
  <c r="J1401" i="10"/>
  <c r="A1402" i="10"/>
  <c r="C1401" i="10"/>
  <c r="F1401" i="10"/>
  <c r="C1402" i="10"/>
  <c r="F1402" i="10"/>
  <c r="D1402" i="10"/>
  <c r="I1402" i="10"/>
  <c r="E1402" i="10"/>
  <c r="H1402" i="10"/>
  <c r="J1402" i="10"/>
  <c r="A1403" i="10"/>
  <c r="A1404" i="10"/>
  <c r="C1403" i="10"/>
  <c r="F1403" i="10"/>
  <c r="D1403" i="10"/>
  <c r="I1403" i="10"/>
  <c r="E1403" i="10"/>
  <c r="H1403" i="10"/>
  <c r="J1403" i="10"/>
  <c r="E1404" i="10"/>
  <c r="H1404" i="10"/>
  <c r="J1404" i="10"/>
  <c r="A1405" i="10"/>
  <c r="C1404" i="10"/>
  <c r="F1404" i="10"/>
  <c r="D1404" i="10"/>
  <c r="I1404" i="10"/>
  <c r="D1405" i="10"/>
  <c r="I1405" i="10"/>
  <c r="E1405" i="10"/>
  <c r="H1405" i="10"/>
  <c r="J1405" i="10"/>
  <c r="A1406" i="10"/>
  <c r="C1405" i="10"/>
  <c r="F1405" i="10"/>
  <c r="C1406" i="10"/>
  <c r="F1406" i="10"/>
  <c r="D1406" i="10"/>
  <c r="I1406" i="10"/>
  <c r="E1406" i="10"/>
  <c r="H1406" i="10"/>
  <c r="J1406" i="10"/>
  <c r="A1407" i="10"/>
  <c r="A1408" i="10"/>
  <c r="C1407" i="10"/>
  <c r="F1407" i="10"/>
  <c r="D1407" i="10"/>
  <c r="I1407" i="10"/>
  <c r="E1407" i="10"/>
  <c r="H1407" i="10"/>
  <c r="J1407" i="10"/>
  <c r="E1408" i="10"/>
  <c r="H1408" i="10"/>
  <c r="J1408" i="10"/>
  <c r="A1409" i="10"/>
  <c r="C1408" i="10"/>
  <c r="F1408" i="10"/>
  <c r="D1408" i="10"/>
  <c r="I1408" i="10"/>
  <c r="D1409" i="10"/>
  <c r="I1409" i="10"/>
  <c r="E1409" i="10"/>
  <c r="H1409" i="10"/>
  <c r="J1409" i="10"/>
  <c r="A1410" i="10"/>
  <c r="C1409" i="10"/>
  <c r="F1409" i="10"/>
  <c r="C1410" i="10"/>
  <c r="F1410" i="10"/>
  <c r="D1410" i="10"/>
  <c r="I1410" i="10"/>
  <c r="E1410" i="10"/>
  <c r="H1410" i="10"/>
  <c r="J1410" i="10"/>
  <c r="A1411" i="10"/>
  <c r="A1412" i="10"/>
  <c r="C1411" i="10"/>
  <c r="F1411" i="10"/>
  <c r="D1411" i="10"/>
  <c r="I1411" i="10"/>
  <c r="E1411" i="10"/>
  <c r="H1411" i="10"/>
  <c r="J1411" i="10"/>
  <c r="E1412" i="10"/>
  <c r="H1412" i="10"/>
  <c r="J1412" i="10"/>
  <c r="A1413" i="10"/>
  <c r="C1412" i="10"/>
  <c r="F1412" i="10"/>
  <c r="D1412" i="10"/>
  <c r="I1412" i="10"/>
  <c r="D1413" i="10"/>
  <c r="I1413" i="10"/>
  <c r="E1413" i="10"/>
  <c r="H1413" i="10"/>
  <c r="J1413" i="10"/>
  <c r="A1414" i="10"/>
  <c r="C1413" i="10"/>
  <c r="F1413" i="10"/>
  <c r="C1414" i="10"/>
  <c r="F1414" i="10"/>
  <c r="D1414" i="10"/>
  <c r="I1414" i="10"/>
  <c r="E1414" i="10"/>
  <c r="H1414" i="10"/>
  <c r="J1414" i="10"/>
  <c r="A1415" i="10"/>
  <c r="A1416" i="10"/>
  <c r="C1415" i="10"/>
  <c r="F1415" i="10"/>
  <c r="D1415" i="10"/>
  <c r="I1415" i="10"/>
  <c r="E1415" i="10"/>
  <c r="H1415" i="10"/>
  <c r="J1415" i="10"/>
  <c r="E1416" i="10"/>
  <c r="H1416" i="10"/>
  <c r="J1416" i="10"/>
  <c r="A1417" i="10"/>
  <c r="C1416" i="10"/>
  <c r="F1416" i="10"/>
  <c r="D1416" i="10"/>
  <c r="I1416" i="10"/>
  <c r="D1417" i="10"/>
  <c r="I1417" i="10"/>
  <c r="E1417" i="10"/>
  <c r="H1417" i="10"/>
  <c r="J1417" i="10"/>
  <c r="A1418" i="10"/>
  <c r="C1417" i="10"/>
  <c r="F1417" i="10"/>
  <c r="C1418" i="10"/>
  <c r="F1418" i="10"/>
  <c r="D1418" i="10"/>
  <c r="I1418" i="10"/>
  <c r="E1418" i="10"/>
  <c r="H1418" i="10"/>
  <c r="J1418" i="10"/>
  <c r="A1419" i="10"/>
  <c r="A1420" i="10"/>
  <c r="C1419" i="10"/>
  <c r="F1419" i="10"/>
  <c r="D1419" i="10"/>
  <c r="I1419" i="10"/>
  <c r="E1419" i="10"/>
  <c r="H1419" i="10"/>
  <c r="J1419" i="10"/>
  <c r="E1420" i="10"/>
  <c r="H1420" i="10"/>
  <c r="J1420" i="10"/>
  <c r="A1421" i="10"/>
  <c r="C1420" i="10"/>
  <c r="F1420" i="10"/>
  <c r="D1420" i="10"/>
  <c r="I1420" i="10"/>
  <c r="D1421" i="10"/>
  <c r="I1421" i="10"/>
  <c r="E1421" i="10"/>
  <c r="H1421" i="10"/>
  <c r="J1421" i="10"/>
  <c r="A1422" i="10"/>
  <c r="C1421" i="10"/>
  <c r="F1421" i="10"/>
  <c r="C1422" i="10"/>
  <c r="F1422" i="10"/>
  <c r="D1422" i="10"/>
  <c r="I1422" i="10"/>
  <c r="E1422" i="10"/>
  <c r="H1422" i="10"/>
  <c r="J1422" i="10"/>
  <c r="A1423" i="10"/>
  <c r="A1424" i="10"/>
  <c r="C1423" i="10"/>
  <c r="F1423" i="10"/>
  <c r="D1423" i="10"/>
  <c r="I1423" i="10"/>
  <c r="E1423" i="10"/>
  <c r="H1423" i="10"/>
  <c r="J1423" i="10"/>
  <c r="E1424" i="10"/>
  <c r="H1424" i="10"/>
  <c r="J1424" i="10"/>
  <c r="A1425" i="10"/>
  <c r="C1424" i="10"/>
  <c r="F1424" i="10"/>
  <c r="D1424" i="10"/>
  <c r="I1424" i="10"/>
  <c r="D1425" i="10"/>
  <c r="I1425" i="10"/>
  <c r="E1425" i="10"/>
  <c r="H1425" i="10"/>
  <c r="J1425" i="10"/>
  <c r="A1426" i="10"/>
  <c r="C1425" i="10"/>
  <c r="F1425" i="10"/>
  <c r="C1426" i="10"/>
  <c r="F1426" i="10"/>
  <c r="D1426" i="10"/>
  <c r="I1426" i="10"/>
  <c r="E1426" i="10"/>
  <c r="H1426" i="10"/>
  <c r="J1426" i="10"/>
  <c r="A1427" i="10"/>
  <c r="A1428" i="10"/>
  <c r="C1427" i="10"/>
  <c r="F1427" i="10"/>
  <c r="D1427" i="10"/>
  <c r="I1427" i="10"/>
  <c r="E1427" i="10"/>
  <c r="H1427" i="10"/>
  <c r="J1427" i="10"/>
  <c r="E1428" i="10"/>
  <c r="H1428" i="10"/>
  <c r="J1428" i="10"/>
  <c r="A1429" i="10"/>
  <c r="C1428" i="10"/>
  <c r="F1428" i="10"/>
  <c r="D1428" i="10"/>
  <c r="I1428" i="10"/>
  <c r="D1429" i="10"/>
  <c r="I1429" i="10"/>
  <c r="E1429" i="10"/>
  <c r="H1429" i="10"/>
  <c r="J1429" i="10"/>
  <c r="A1430" i="10"/>
  <c r="C1429" i="10"/>
  <c r="F1429" i="10"/>
  <c r="C1430" i="10"/>
  <c r="F1430" i="10"/>
  <c r="D1430" i="10"/>
  <c r="I1430" i="10"/>
  <c r="E1430" i="10"/>
  <c r="H1430" i="10"/>
  <c r="J1430" i="10"/>
  <c r="A1431" i="10"/>
  <c r="A1432" i="10"/>
  <c r="C1431" i="10"/>
  <c r="F1431" i="10"/>
  <c r="D1431" i="10"/>
  <c r="I1431" i="10"/>
  <c r="E1431" i="10"/>
  <c r="H1431" i="10"/>
  <c r="J1431" i="10"/>
  <c r="E1432" i="10"/>
  <c r="H1432" i="10"/>
  <c r="J1432" i="10"/>
  <c r="A1433" i="10"/>
  <c r="C1432" i="10"/>
  <c r="F1432" i="10"/>
  <c r="D1432" i="10"/>
  <c r="I1432" i="10"/>
  <c r="D1433" i="10"/>
  <c r="I1433" i="10"/>
  <c r="E1433" i="10"/>
  <c r="H1433" i="10"/>
  <c r="J1433" i="10"/>
  <c r="A1434" i="10"/>
  <c r="C1433" i="10"/>
  <c r="F1433" i="10"/>
  <c r="C1434" i="10"/>
  <c r="F1434" i="10"/>
  <c r="D1434" i="10"/>
  <c r="I1434" i="10"/>
  <c r="E1434" i="10"/>
  <c r="H1434" i="10"/>
  <c r="J1434" i="10"/>
  <c r="A1435" i="10"/>
  <c r="A1436" i="10"/>
  <c r="C1435" i="10"/>
  <c r="F1435" i="10"/>
  <c r="D1435" i="10"/>
  <c r="I1435" i="10"/>
  <c r="E1435" i="10"/>
  <c r="H1435" i="10"/>
  <c r="J1435" i="10"/>
  <c r="E1436" i="10"/>
  <c r="H1436" i="10"/>
  <c r="J1436" i="10"/>
  <c r="A1437" i="10"/>
  <c r="C1436" i="10"/>
  <c r="F1436" i="10"/>
  <c r="D1436" i="10"/>
  <c r="I1436" i="10"/>
  <c r="D1437" i="10"/>
  <c r="I1437" i="10"/>
  <c r="E1437" i="10"/>
  <c r="H1437" i="10"/>
  <c r="J1437" i="10"/>
  <c r="A1438" i="10"/>
  <c r="C1437" i="10"/>
  <c r="F1437" i="10"/>
  <c r="C1438" i="10"/>
  <c r="F1438" i="10"/>
  <c r="D1438" i="10"/>
  <c r="I1438" i="10"/>
  <c r="E1438" i="10"/>
  <c r="H1438" i="10"/>
  <c r="J1438" i="10"/>
  <c r="A1439" i="10"/>
  <c r="A1440" i="10"/>
  <c r="C1439" i="10"/>
  <c r="F1439" i="10"/>
  <c r="D1439" i="10"/>
  <c r="I1439" i="10"/>
  <c r="E1439" i="10"/>
  <c r="H1439" i="10"/>
  <c r="J1439" i="10"/>
  <c r="E1440" i="10"/>
  <c r="H1440" i="10"/>
  <c r="J1440" i="10"/>
  <c r="A1441" i="10"/>
  <c r="C1440" i="10"/>
  <c r="F1440" i="10"/>
  <c r="D1440" i="10"/>
  <c r="I1440" i="10"/>
  <c r="D1441" i="10"/>
  <c r="I1441" i="10"/>
  <c r="E1441" i="10"/>
  <c r="H1441" i="10"/>
  <c r="J1441" i="10"/>
  <c r="A1442" i="10"/>
  <c r="C1441" i="10"/>
  <c r="F1441" i="10"/>
  <c r="C1442" i="10"/>
  <c r="F1442" i="10"/>
  <c r="D1442" i="10"/>
  <c r="I1442" i="10"/>
  <c r="E1442" i="10"/>
  <c r="H1442" i="10"/>
  <c r="J1442" i="10"/>
  <c r="A1443" i="10"/>
  <c r="A1444" i="10"/>
  <c r="C1443" i="10"/>
  <c r="F1443" i="10"/>
  <c r="D1443" i="10"/>
  <c r="I1443" i="10"/>
  <c r="E1443" i="10"/>
  <c r="H1443" i="10"/>
  <c r="J1443" i="10"/>
  <c r="E1444" i="10"/>
  <c r="H1444" i="10"/>
  <c r="J1444" i="10"/>
  <c r="A1445" i="10"/>
  <c r="C1444" i="10"/>
  <c r="F1444" i="10"/>
  <c r="D1444" i="10"/>
  <c r="I1444" i="10"/>
  <c r="D1445" i="10"/>
  <c r="I1445" i="10"/>
  <c r="E1445" i="10"/>
  <c r="H1445" i="10"/>
  <c r="J1445" i="10"/>
  <c r="A1446" i="10"/>
  <c r="C1445" i="10"/>
  <c r="F1445" i="10"/>
  <c r="C1446" i="10"/>
  <c r="F1446" i="10"/>
  <c r="D1446" i="10"/>
  <c r="I1446" i="10"/>
  <c r="E1446" i="10"/>
  <c r="H1446" i="10"/>
  <c r="J1446" i="10"/>
  <c r="A1447" i="10"/>
  <c r="A1448" i="10"/>
  <c r="C1447" i="10"/>
  <c r="F1447" i="10"/>
  <c r="D1447" i="10"/>
  <c r="I1447" i="10"/>
  <c r="E1447" i="10"/>
  <c r="H1447" i="10"/>
  <c r="J1447" i="10"/>
  <c r="E1448" i="10"/>
  <c r="H1448" i="10"/>
  <c r="J1448" i="10"/>
  <c r="A1449" i="10"/>
  <c r="C1448" i="10"/>
  <c r="F1448" i="10"/>
  <c r="D1448" i="10"/>
  <c r="I1448" i="10"/>
  <c r="D1449" i="10"/>
  <c r="I1449" i="10"/>
  <c r="E1449" i="10"/>
  <c r="H1449" i="10"/>
  <c r="J1449" i="10"/>
  <c r="A1450" i="10"/>
  <c r="C1449" i="10"/>
  <c r="F1449" i="10"/>
  <c r="C1450" i="10"/>
  <c r="F1450" i="10"/>
  <c r="D1450" i="10"/>
  <c r="I1450" i="10"/>
  <c r="E1450" i="10"/>
  <c r="H1450" i="10"/>
  <c r="J1450" i="10"/>
  <c r="A1451" i="10"/>
  <c r="A1452" i="10"/>
  <c r="C1451" i="10"/>
  <c r="F1451" i="10"/>
  <c r="D1451" i="10"/>
  <c r="I1451" i="10"/>
  <c r="E1451" i="10"/>
  <c r="H1451" i="10"/>
  <c r="J1451" i="10"/>
  <c r="E1452" i="10"/>
  <c r="H1452" i="10"/>
  <c r="J1452" i="10"/>
  <c r="A1453" i="10"/>
  <c r="C1452" i="10"/>
  <c r="F1452" i="10"/>
  <c r="D1452" i="10"/>
  <c r="I1452" i="10"/>
  <c r="D1453" i="10"/>
  <c r="I1453" i="10"/>
  <c r="E1453" i="10"/>
  <c r="H1453" i="10"/>
  <c r="J1453" i="10"/>
  <c r="A1454" i="10"/>
  <c r="C1453" i="10"/>
  <c r="F1453" i="10"/>
  <c r="C1454" i="10"/>
  <c r="F1454" i="10"/>
  <c r="D1454" i="10"/>
  <c r="I1454" i="10"/>
  <c r="E1454" i="10"/>
  <c r="H1454" i="10"/>
  <c r="J1454" i="10"/>
  <c r="A1455" i="10"/>
  <c r="A1456" i="10"/>
  <c r="C1455" i="10"/>
  <c r="F1455" i="10"/>
  <c r="D1455" i="10"/>
  <c r="I1455" i="10"/>
  <c r="E1455" i="10"/>
  <c r="H1455" i="10"/>
  <c r="J1455" i="10"/>
  <c r="E1456" i="10"/>
  <c r="H1456" i="10"/>
  <c r="J1456" i="10"/>
  <c r="A1457" i="10"/>
  <c r="C1456" i="10"/>
  <c r="F1456" i="10"/>
  <c r="I1456" i="10"/>
  <c r="D1456" i="10"/>
  <c r="D1457" i="10"/>
  <c r="I1457" i="10"/>
  <c r="E1457" i="10"/>
  <c r="H1457" i="10"/>
  <c r="J1457" i="10"/>
  <c r="A1458" i="10"/>
  <c r="C1457" i="10"/>
  <c r="F1457" i="10"/>
  <c r="C1458" i="10"/>
  <c r="F1458" i="10"/>
  <c r="D1458" i="10"/>
  <c r="I1458" i="10"/>
  <c r="E1458" i="10"/>
  <c r="H1458" i="10"/>
  <c r="J1458" i="10"/>
  <c r="A1459" i="10"/>
  <c r="A1460" i="10"/>
  <c r="C1459" i="10"/>
  <c r="F1459" i="10"/>
  <c r="D1459" i="10"/>
  <c r="I1459" i="10"/>
  <c r="E1459" i="10"/>
  <c r="H1459" i="10"/>
  <c r="J1459" i="10"/>
  <c r="E1460" i="10"/>
  <c r="H1460" i="10"/>
  <c r="J1460" i="10"/>
  <c r="A1461" i="10"/>
  <c r="C1460" i="10"/>
  <c r="F1460" i="10"/>
  <c r="I1460" i="10"/>
  <c r="D1460" i="10"/>
  <c r="D1461" i="10"/>
  <c r="I1461" i="10"/>
  <c r="E1461" i="10"/>
  <c r="H1461" i="10"/>
  <c r="J1461" i="10"/>
  <c r="A1462" i="10"/>
  <c r="C1461" i="10"/>
  <c r="F1461" i="10"/>
  <c r="C1462" i="10"/>
  <c r="F1462" i="10"/>
  <c r="D1462" i="10"/>
  <c r="I1462" i="10"/>
  <c r="E1462" i="10"/>
  <c r="H1462" i="10"/>
  <c r="J1462" i="10"/>
  <c r="A1463" i="10"/>
  <c r="A1464" i="10"/>
  <c r="C1463" i="10"/>
  <c r="F1463" i="10"/>
  <c r="D1463" i="10"/>
  <c r="I1463" i="10"/>
  <c r="E1463" i="10"/>
  <c r="H1463" i="10"/>
  <c r="J1463" i="10"/>
  <c r="E1464" i="10"/>
  <c r="H1464" i="10"/>
  <c r="J1464" i="10"/>
  <c r="A1465" i="10"/>
  <c r="C1464" i="10"/>
  <c r="F1464" i="10"/>
  <c r="I1464" i="10"/>
  <c r="D1464" i="10"/>
  <c r="D1465" i="10"/>
  <c r="I1465" i="10"/>
  <c r="E1465" i="10"/>
  <c r="H1465" i="10"/>
  <c r="J1465" i="10"/>
  <c r="A1466" i="10"/>
  <c r="C1465" i="10"/>
  <c r="F1465" i="10"/>
  <c r="C1466" i="10"/>
  <c r="F1466" i="10"/>
  <c r="D1466" i="10"/>
  <c r="I1466" i="10"/>
  <c r="E1466" i="10"/>
  <c r="H1466" i="10"/>
  <c r="J1466" i="10"/>
  <c r="A1467" i="10"/>
  <c r="A1468" i="10"/>
  <c r="C1467" i="10"/>
  <c r="F1467" i="10"/>
  <c r="D1467" i="10"/>
  <c r="I1467" i="10"/>
  <c r="E1467" i="10"/>
  <c r="H1467" i="10"/>
  <c r="J1467" i="10"/>
  <c r="E1468" i="10"/>
  <c r="H1468" i="10"/>
  <c r="J1468" i="10"/>
  <c r="A1469" i="10"/>
  <c r="C1468" i="10"/>
  <c r="F1468" i="10"/>
  <c r="I1468" i="10"/>
  <c r="D1468" i="10"/>
  <c r="D1469" i="10"/>
  <c r="I1469" i="10"/>
  <c r="E1469" i="10"/>
  <c r="H1469" i="10"/>
  <c r="J1469" i="10"/>
  <c r="A1470" i="10"/>
  <c r="C1469" i="10"/>
  <c r="F1469" i="10"/>
  <c r="C1470" i="10"/>
  <c r="F1470" i="10"/>
  <c r="D1470" i="10"/>
  <c r="I1470" i="10"/>
  <c r="E1470" i="10"/>
  <c r="H1470" i="10"/>
  <c r="J1470" i="10"/>
  <c r="A1471" i="10"/>
  <c r="A1472" i="10"/>
  <c r="C1471" i="10"/>
  <c r="F1471" i="10"/>
  <c r="D1471" i="10"/>
  <c r="I1471" i="10"/>
  <c r="E1471" i="10"/>
  <c r="H1471" i="10"/>
  <c r="J1471" i="10"/>
  <c r="E1472" i="10"/>
  <c r="H1472" i="10"/>
  <c r="J1472" i="10"/>
  <c r="A1473" i="10"/>
  <c r="C1472" i="10"/>
  <c r="F1472" i="10"/>
  <c r="I1472" i="10"/>
  <c r="D1472" i="10"/>
  <c r="D1473" i="10"/>
  <c r="I1473" i="10"/>
  <c r="E1473" i="10"/>
  <c r="H1473" i="10"/>
  <c r="J1473" i="10"/>
  <c r="A1474" i="10"/>
  <c r="C1473" i="10"/>
  <c r="F1473" i="10"/>
  <c r="C1474" i="10"/>
  <c r="F1474" i="10"/>
  <c r="D1474" i="10"/>
  <c r="I1474" i="10"/>
  <c r="E1474" i="10"/>
  <c r="H1474" i="10"/>
  <c r="J1474" i="10"/>
  <c r="A1475" i="10"/>
  <c r="A1476" i="10"/>
  <c r="C1475" i="10"/>
  <c r="F1475" i="10"/>
  <c r="D1475" i="10"/>
  <c r="I1475" i="10"/>
  <c r="E1475" i="10"/>
  <c r="H1475" i="10"/>
  <c r="J1475" i="10"/>
  <c r="E1476" i="10"/>
  <c r="H1476" i="10"/>
  <c r="J1476" i="10"/>
  <c r="A1477" i="10"/>
  <c r="C1476" i="10"/>
  <c r="F1476" i="10"/>
  <c r="I1476" i="10"/>
  <c r="D1476" i="10"/>
  <c r="D1477" i="10"/>
  <c r="I1477" i="10"/>
  <c r="E1477" i="10"/>
  <c r="H1477" i="10"/>
  <c r="J1477" i="10"/>
  <c r="A1478" i="10"/>
  <c r="C1477" i="10"/>
  <c r="F1477" i="10"/>
  <c r="C1478" i="10"/>
  <c r="F1478" i="10"/>
  <c r="D1478" i="10"/>
  <c r="I1478" i="10"/>
  <c r="E1478" i="10"/>
  <c r="H1478" i="10"/>
  <c r="J1478" i="10"/>
  <c r="A1479" i="10"/>
  <c r="A1480" i="10"/>
  <c r="C1479" i="10"/>
  <c r="F1479" i="10"/>
  <c r="D1479" i="10"/>
  <c r="I1479" i="10"/>
  <c r="E1479" i="10"/>
  <c r="H1479" i="10"/>
  <c r="J1479" i="10"/>
  <c r="E1480" i="10"/>
  <c r="H1480" i="10"/>
  <c r="J1480" i="10"/>
  <c r="A1481" i="10"/>
  <c r="C1480" i="10"/>
  <c r="F1480" i="10"/>
  <c r="I1480" i="10"/>
  <c r="D1480" i="10"/>
  <c r="D1481" i="10"/>
  <c r="I1481" i="10"/>
  <c r="E1481" i="10"/>
  <c r="H1481" i="10"/>
  <c r="J1481" i="10"/>
  <c r="A1482" i="10"/>
  <c r="C1481" i="10"/>
  <c r="F1481" i="10"/>
  <c r="C1482" i="10"/>
  <c r="F1482" i="10"/>
  <c r="D1482" i="10"/>
  <c r="I1482" i="10"/>
  <c r="E1482" i="10"/>
  <c r="H1482" i="10"/>
  <c r="J1482" i="10"/>
  <c r="A1483" i="10"/>
  <c r="A1484" i="10"/>
  <c r="C1483" i="10"/>
  <c r="F1483" i="10"/>
  <c r="D1483" i="10"/>
  <c r="I1483" i="10"/>
  <c r="E1483" i="10"/>
  <c r="H1483" i="10"/>
  <c r="J1483" i="10"/>
  <c r="E1484" i="10"/>
  <c r="H1484" i="10"/>
  <c r="J1484" i="10"/>
  <c r="A1485" i="10"/>
  <c r="C1484" i="10"/>
  <c r="F1484" i="10"/>
  <c r="I1484" i="10"/>
  <c r="D1484" i="10"/>
  <c r="D1485" i="10"/>
  <c r="I1485" i="10"/>
  <c r="E1485" i="10"/>
  <c r="H1485" i="10"/>
  <c r="J1485" i="10"/>
  <c r="A1486" i="10"/>
  <c r="C1485" i="10"/>
  <c r="F1485" i="10"/>
  <c r="C1486" i="10"/>
  <c r="F1486" i="10"/>
  <c r="D1486" i="10"/>
  <c r="I1486" i="10"/>
  <c r="E1486" i="10"/>
  <c r="H1486" i="10"/>
  <c r="J1486" i="10"/>
  <c r="A1487" i="10"/>
  <c r="A1488" i="10"/>
  <c r="C1487" i="10"/>
  <c r="F1487" i="10"/>
  <c r="D1487" i="10"/>
  <c r="I1487" i="10"/>
  <c r="E1487" i="10"/>
  <c r="H1487" i="10"/>
  <c r="J1487" i="10"/>
  <c r="E1488" i="10"/>
  <c r="H1488" i="10"/>
  <c r="J1488" i="10"/>
  <c r="A1489" i="10"/>
  <c r="C1488" i="10"/>
  <c r="F1488" i="10"/>
  <c r="I1488" i="10"/>
  <c r="D1488" i="10"/>
  <c r="D1489" i="10"/>
  <c r="I1489" i="10"/>
  <c r="E1489" i="10"/>
  <c r="H1489" i="10"/>
  <c r="J1489" i="10"/>
  <c r="A1490" i="10"/>
  <c r="C1489" i="10"/>
  <c r="F1489" i="10"/>
  <c r="C1490" i="10"/>
  <c r="F1490" i="10"/>
  <c r="D1490" i="10"/>
  <c r="I1490" i="10"/>
  <c r="E1490" i="10"/>
  <c r="H1490" i="10"/>
  <c r="J1490" i="10"/>
  <c r="A1491" i="10"/>
  <c r="A1492" i="10"/>
  <c r="C1491" i="10"/>
  <c r="F1491" i="10"/>
  <c r="D1491" i="10"/>
  <c r="I1491" i="10"/>
  <c r="E1491" i="10"/>
  <c r="H1491" i="10"/>
  <c r="J1491" i="10"/>
  <c r="E1492" i="10"/>
  <c r="H1492" i="10"/>
  <c r="J1492" i="10"/>
  <c r="A1493" i="10"/>
  <c r="C1492" i="10"/>
  <c r="F1492" i="10"/>
  <c r="I1492" i="10"/>
  <c r="D1492" i="10"/>
  <c r="D1493" i="10"/>
  <c r="I1493" i="10"/>
  <c r="E1493" i="10"/>
  <c r="H1493" i="10"/>
  <c r="J1493" i="10"/>
  <c r="A1494" i="10"/>
  <c r="C1493" i="10"/>
  <c r="F1493" i="10"/>
  <c r="C1494" i="10"/>
  <c r="F1494" i="10"/>
  <c r="D1494" i="10"/>
  <c r="I1494" i="10"/>
  <c r="E1494" i="10"/>
  <c r="H1494" i="10"/>
  <c r="J1494" i="10"/>
  <c r="A1495" i="10"/>
  <c r="A1496" i="10"/>
  <c r="C1495" i="10"/>
  <c r="F1495" i="10"/>
  <c r="D1495" i="10"/>
  <c r="I1495" i="10"/>
  <c r="E1495" i="10"/>
  <c r="H1495" i="10"/>
  <c r="J1495" i="10"/>
  <c r="E1496" i="10"/>
  <c r="H1496" i="10"/>
  <c r="J1496" i="10"/>
  <c r="A1497" i="10"/>
  <c r="C1496" i="10"/>
  <c r="F1496" i="10"/>
  <c r="I1496" i="10"/>
  <c r="D1496" i="10"/>
  <c r="D1497" i="10"/>
  <c r="I1497" i="10"/>
  <c r="E1497" i="10"/>
  <c r="H1497" i="10"/>
  <c r="J1497" i="10"/>
  <c r="A1498" i="10"/>
  <c r="C1497" i="10"/>
  <c r="F1497" i="10"/>
  <c r="C1498" i="10"/>
  <c r="F1498" i="10"/>
  <c r="D1498" i="10"/>
  <c r="I1498" i="10"/>
  <c r="E1498" i="10"/>
  <c r="H1498" i="10"/>
  <c r="J1498" i="10"/>
  <c r="A1499" i="10"/>
  <c r="A1500" i="10"/>
  <c r="C1499" i="10"/>
  <c r="F1499" i="10"/>
  <c r="D1499" i="10"/>
  <c r="I1499" i="10"/>
  <c r="E1499" i="10"/>
  <c r="H1499" i="10"/>
  <c r="J1499" i="10"/>
  <c r="E1500" i="10"/>
  <c r="H1500" i="10"/>
  <c r="J1500" i="10"/>
  <c r="A1501" i="10"/>
  <c r="C1500" i="10"/>
  <c r="F1500" i="10"/>
  <c r="I1500" i="10"/>
  <c r="D1500" i="10"/>
  <c r="D1501" i="10"/>
  <c r="I1501" i="10"/>
  <c r="E1501" i="10"/>
  <c r="H1501" i="10"/>
  <c r="J1501" i="10"/>
  <c r="A1502" i="10"/>
  <c r="C1501" i="10"/>
  <c r="F1501" i="10"/>
  <c r="C1502" i="10"/>
  <c r="F1502" i="10"/>
  <c r="D1502" i="10"/>
  <c r="I1502" i="10"/>
  <c r="E1502" i="10"/>
  <c r="H1502" i="10"/>
  <c r="J1502" i="10"/>
  <c r="A1503" i="10"/>
  <c r="A1504" i="10"/>
  <c r="C1503" i="10"/>
  <c r="F1503" i="10"/>
  <c r="D1503" i="10"/>
  <c r="I1503" i="10"/>
  <c r="E1503" i="10"/>
  <c r="H1503" i="10"/>
  <c r="J1503" i="10"/>
  <c r="E1504" i="10"/>
  <c r="H1504" i="10"/>
  <c r="J1504" i="10"/>
  <c r="A1505" i="10"/>
  <c r="C1504" i="10"/>
  <c r="F1504" i="10"/>
  <c r="I1504" i="10"/>
  <c r="D1504" i="10"/>
  <c r="D1505" i="10"/>
  <c r="I1505" i="10"/>
  <c r="E1505" i="10"/>
  <c r="H1505" i="10"/>
  <c r="J1505" i="10"/>
  <c r="A1506" i="10"/>
  <c r="C1505" i="10"/>
  <c r="F1505" i="10"/>
  <c r="C1506" i="10"/>
  <c r="F1506" i="10"/>
  <c r="D1506" i="10"/>
  <c r="I1506" i="10"/>
  <c r="E1506" i="10"/>
  <c r="H1506" i="10"/>
  <c r="J1506" i="10"/>
  <c r="A1507" i="10"/>
  <c r="A1508" i="10"/>
  <c r="C1507" i="10"/>
  <c r="F1507" i="10"/>
  <c r="D1507" i="10"/>
  <c r="I1507" i="10"/>
  <c r="E1507" i="10"/>
  <c r="H1507" i="10"/>
  <c r="J1507" i="10"/>
  <c r="E1508" i="10"/>
  <c r="H1508" i="10"/>
  <c r="J1508" i="10"/>
  <c r="A1509" i="10"/>
  <c r="C1508" i="10"/>
  <c r="F1508" i="10"/>
  <c r="I1508" i="10"/>
  <c r="D1508" i="10"/>
  <c r="D1509" i="10"/>
  <c r="I1509" i="10"/>
  <c r="E1509" i="10"/>
  <c r="H1509" i="10"/>
  <c r="J1509" i="10"/>
  <c r="A1510" i="10"/>
  <c r="C1509" i="10"/>
  <c r="F1509" i="10"/>
  <c r="C1510" i="10"/>
  <c r="F1510" i="10"/>
  <c r="D1510" i="10"/>
  <c r="I1510" i="10"/>
  <c r="E1510" i="10"/>
  <c r="H1510" i="10"/>
  <c r="J1510" i="10"/>
  <c r="A1511" i="10"/>
  <c r="A1512" i="10"/>
  <c r="C1511" i="10"/>
  <c r="F1511" i="10"/>
  <c r="D1511" i="10"/>
  <c r="I1511" i="10"/>
  <c r="E1511" i="10"/>
  <c r="H1511" i="10"/>
  <c r="J1511" i="10"/>
  <c r="E1512" i="10"/>
  <c r="H1512" i="10"/>
  <c r="J1512" i="10"/>
  <c r="A1513" i="10"/>
  <c r="C1512" i="10"/>
  <c r="F1512" i="10"/>
  <c r="I1512" i="10"/>
  <c r="D1512" i="10"/>
  <c r="D1513" i="10"/>
  <c r="I1513" i="10"/>
  <c r="E1513" i="10"/>
  <c r="H1513" i="10"/>
  <c r="J1513" i="10"/>
  <c r="A1514" i="10"/>
  <c r="C1513" i="10"/>
  <c r="F1513" i="10"/>
  <c r="C1514" i="10"/>
  <c r="F1514" i="10"/>
  <c r="D1514" i="10"/>
  <c r="I1514" i="10"/>
  <c r="E1514" i="10"/>
  <c r="H1514" i="10"/>
  <c r="J1514" i="10"/>
  <c r="A1515" i="10"/>
  <c r="A1516" i="10"/>
  <c r="C1515" i="10"/>
  <c r="F1515" i="10"/>
  <c r="D1515" i="10"/>
  <c r="I1515" i="10"/>
  <c r="E1515" i="10"/>
  <c r="H1515" i="10"/>
  <c r="J1515" i="10"/>
  <c r="E1516" i="10"/>
  <c r="H1516" i="10"/>
  <c r="J1516" i="10"/>
  <c r="A1517" i="10"/>
  <c r="C1516" i="10"/>
  <c r="F1516" i="10"/>
  <c r="I1516" i="10"/>
  <c r="D1516" i="10"/>
  <c r="D1517" i="10"/>
  <c r="I1517" i="10"/>
  <c r="E1517" i="10"/>
  <c r="H1517" i="10"/>
  <c r="J1517" i="10"/>
  <c r="A1518" i="10"/>
  <c r="C1517" i="10"/>
  <c r="F1517" i="10"/>
  <c r="C1518" i="10"/>
  <c r="F1518" i="10"/>
  <c r="D1518" i="10"/>
  <c r="I1518" i="10"/>
  <c r="E1518" i="10"/>
  <c r="H1518" i="10"/>
  <c r="J1518" i="10"/>
  <c r="A1519" i="10"/>
  <c r="A1520" i="10"/>
  <c r="C1519" i="10"/>
  <c r="F1519" i="10"/>
  <c r="D1519" i="10"/>
  <c r="I1519" i="10"/>
  <c r="E1519" i="10"/>
  <c r="H1519" i="10"/>
  <c r="J1519" i="10"/>
  <c r="E1520" i="10"/>
  <c r="H1520" i="10"/>
  <c r="J1520" i="10"/>
  <c r="A1521" i="10"/>
  <c r="C1520" i="10"/>
  <c r="F1520" i="10"/>
  <c r="I1520" i="10"/>
  <c r="D1520" i="10"/>
  <c r="D1521" i="10"/>
  <c r="I1521" i="10"/>
  <c r="E1521" i="10"/>
  <c r="H1521" i="10"/>
  <c r="J1521" i="10"/>
  <c r="A1522" i="10"/>
  <c r="C1521" i="10"/>
  <c r="F1521" i="10"/>
  <c r="C1522" i="10"/>
  <c r="F1522" i="10"/>
  <c r="D1522" i="10"/>
  <c r="I1522" i="10"/>
  <c r="E1522" i="10"/>
  <c r="H1522" i="10"/>
  <c r="J1522" i="10"/>
  <c r="A1523" i="10"/>
  <c r="A1524" i="10"/>
  <c r="C1523" i="10"/>
  <c r="F1523" i="10"/>
  <c r="D1523" i="10"/>
  <c r="I1523" i="10"/>
  <c r="E1523" i="10"/>
  <c r="H1523" i="10"/>
  <c r="J1523" i="10"/>
  <c r="E1524" i="10"/>
  <c r="H1524" i="10"/>
  <c r="J1524" i="10"/>
  <c r="A1525" i="10"/>
  <c r="C1524" i="10"/>
  <c r="F1524" i="10"/>
  <c r="I1524" i="10"/>
  <c r="D1524" i="10"/>
  <c r="D1525" i="10"/>
  <c r="I1525" i="10"/>
  <c r="E1525" i="10"/>
  <c r="H1525" i="10"/>
  <c r="J1525" i="10"/>
  <c r="A1526" i="10"/>
  <c r="C1525" i="10"/>
  <c r="F1525" i="10"/>
  <c r="C1526" i="10"/>
  <c r="F1526" i="10"/>
  <c r="D1526" i="10"/>
  <c r="I1526" i="10"/>
  <c r="E1526" i="10"/>
  <c r="H1526" i="10"/>
  <c r="J1526" i="10"/>
  <c r="A1527" i="10"/>
  <c r="A1528" i="10"/>
  <c r="C1527" i="10"/>
  <c r="F1527" i="10"/>
  <c r="D1527" i="10"/>
  <c r="I1527" i="10"/>
  <c r="E1527" i="10"/>
  <c r="H1527" i="10"/>
  <c r="J1527" i="10"/>
  <c r="E1528" i="10"/>
  <c r="H1528" i="10"/>
  <c r="J1528" i="10"/>
  <c r="A1529" i="10"/>
  <c r="C1528" i="10"/>
  <c r="F1528" i="10"/>
  <c r="I1528" i="10"/>
  <c r="D1528" i="10"/>
  <c r="D1529" i="10"/>
  <c r="I1529" i="10"/>
  <c r="E1529" i="10"/>
  <c r="H1529" i="10"/>
  <c r="J1529" i="10"/>
  <c r="A1530" i="10"/>
  <c r="C1529" i="10"/>
  <c r="F1529" i="10"/>
  <c r="C1530" i="10"/>
  <c r="F1530" i="10"/>
  <c r="D1530" i="10"/>
  <c r="I1530" i="10"/>
  <c r="E1530" i="10"/>
  <c r="H1530" i="10"/>
  <c r="J1530" i="10"/>
  <c r="A1531" i="10"/>
  <c r="A1532" i="10"/>
  <c r="C1531" i="10"/>
  <c r="F1531" i="10"/>
  <c r="D1531" i="10"/>
  <c r="I1531" i="10"/>
  <c r="E1531" i="10"/>
  <c r="H1531" i="10"/>
  <c r="J1531" i="10"/>
  <c r="E1532" i="10"/>
  <c r="H1532" i="10"/>
  <c r="J1532" i="10"/>
  <c r="A1533" i="10"/>
  <c r="C1532" i="10"/>
  <c r="F1532" i="10"/>
  <c r="I1532" i="10"/>
  <c r="D1532" i="10"/>
  <c r="D1533" i="10"/>
  <c r="I1533" i="10"/>
  <c r="E1533" i="10"/>
  <c r="H1533" i="10"/>
  <c r="J1533" i="10"/>
  <c r="A1534" i="10"/>
  <c r="C1533" i="10"/>
  <c r="F1533" i="10"/>
  <c r="C1534" i="10"/>
  <c r="F1534" i="10"/>
  <c r="D1534" i="10"/>
  <c r="I1534" i="10"/>
  <c r="E1534" i="10"/>
  <c r="H1534" i="10"/>
  <c r="J1534" i="10"/>
  <c r="A1535" i="10"/>
  <c r="A1536" i="10"/>
  <c r="C1535" i="10"/>
  <c r="F1535" i="10"/>
  <c r="D1535" i="10"/>
  <c r="I1535" i="10"/>
  <c r="E1535" i="10"/>
  <c r="H1535" i="10"/>
  <c r="J1535" i="10"/>
  <c r="E1536" i="10"/>
  <c r="H1536" i="10"/>
  <c r="J1536" i="10"/>
  <c r="A1537" i="10"/>
  <c r="C1536" i="10"/>
  <c r="F1536" i="10"/>
  <c r="I1536" i="10"/>
  <c r="D1536" i="10"/>
  <c r="D1537" i="10"/>
  <c r="I1537" i="10"/>
  <c r="E1537" i="10"/>
  <c r="H1537" i="10"/>
  <c r="J1537" i="10"/>
  <c r="A1538" i="10"/>
  <c r="C1537" i="10"/>
  <c r="F1537" i="10"/>
  <c r="C1538" i="10"/>
  <c r="F1538" i="10"/>
  <c r="D1538" i="10"/>
  <c r="I1538" i="10"/>
  <c r="E1538" i="10"/>
  <c r="H1538" i="10"/>
  <c r="J1538" i="10"/>
  <c r="A1539" i="10"/>
  <c r="A1540" i="10"/>
  <c r="C1539" i="10"/>
  <c r="F1539" i="10"/>
  <c r="D1539" i="10"/>
  <c r="I1539" i="10"/>
  <c r="E1539" i="10"/>
  <c r="H1539" i="10"/>
  <c r="J1539" i="10"/>
  <c r="E1540" i="10"/>
  <c r="H1540" i="10"/>
  <c r="J1540" i="10"/>
  <c r="A1541" i="10"/>
  <c r="C1540" i="10"/>
  <c r="F1540" i="10"/>
  <c r="I1540" i="10"/>
  <c r="D1540" i="10"/>
  <c r="D1541" i="10"/>
  <c r="I1541" i="10"/>
  <c r="E1541" i="10"/>
  <c r="H1541" i="10"/>
  <c r="J1541" i="10"/>
  <c r="A1542" i="10"/>
  <c r="C1541" i="10"/>
  <c r="F1541" i="10"/>
  <c r="C1542" i="10"/>
  <c r="F1542" i="10"/>
  <c r="D1542" i="10"/>
  <c r="I1542" i="10"/>
  <c r="E1542" i="10"/>
  <c r="H1542" i="10"/>
  <c r="J1542" i="10"/>
  <c r="A1543" i="10"/>
  <c r="A1544" i="10"/>
  <c r="C1543" i="10"/>
  <c r="F1543" i="10"/>
  <c r="D1543" i="10"/>
  <c r="I1543" i="10"/>
  <c r="E1543" i="10"/>
  <c r="H1543" i="10"/>
  <c r="J1543" i="10"/>
  <c r="E1544" i="10"/>
  <c r="H1544" i="10"/>
  <c r="J1544" i="10"/>
  <c r="A1545" i="10"/>
  <c r="C1544" i="10"/>
  <c r="F1544" i="10"/>
  <c r="I1544" i="10"/>
  <c r="D1544" i="10"/>
  <c r="D1545" i="10"/>
  <c r="I1545" i="10"/>
  <c r="E1545" i="10"/>
  <c r="H1545" i="10"/>
  <c r="J1545" i="10"/>
  <c r="A1546" i="10"/>
  <c r="C1545" i="10"/>
  <c r="F1545" i="10"/>
  <c r="C1546" i="10"/>
  <c r="F1546" i="10"/>
  <c r="D1546" i="10"/>
  <c r="I1546" i="10"/>
  <c r="E1546" i="10"/>
  <c r="H1546" i="10"/>
  <c r="J1546" i="10"/>
  <c r="A1547" i="10"/>
  <c r="A1548" i="10"/>
  <c r="C1547" i="10"/>
  <c r="F1547" i="10"/>
  <c r="D1547" i="10"/>
  <c r="I1547" i="10"/>
  <c r="E1547" i="10"/>
  <c r="H1547" i="10"/>
  <c r="J1547" i="10"/>
  <c r="E1548" i="10"/>
  <c r="H1548" i="10"/>
  <c r="J1548" i="10"/>
  <c r="A1549" i="10"/>
  <c r="C1548" i="10"/>
  <c r="F1548" i="10"/>
  <c r="I1548" i="10"/>
  <c r="D1548" i="10"/>
  <c r="D1549" i="10"/>
  <c r="I1549" i="10"/>
  <c r="E1549" i="10"/>
  <c r="H1549" i="10"/>
  <c r="J1549" i="10"/>
  <c r="A1550" i="10"/>
  <c r="C1549" i="10"/>
  <c r="F1549" i="10"/>
  <c r="C1550" i="10"/>
  <c r="F1550" i="10"/>
  <c r="D1550" i="10"/>
  <c r="I1550" i="10"/>
  <c r="E1550" i="10"/>
  <c r="H1550" i="10"/>
  <c r="J1550" i="10"/>
  <c r="A1551" i="10"/>
  <c r="A1552" i="10"/>
  <c r="C1551" i="10"/>
  <c r="F1551" i="10"/>
  <c r="D1551" i="10"/>
  <c r="I1551" i="10"/>
  <c r="E1551" i="10"/>
  <c r="H1551" i="10"/>
  <c r="J1551" i="10"/>
  <c r="E1552" i="10"/>
  <c r="H1552" i="10"/>
  <c r="J1552" i="10"/>
  <c r="A1553" i="10"/>
  <c r="C1552" i="10"/>
  <c r="F1552" i="10"/>
  <c r="I1552" i="10"/>
  <c r="D1552" i="10"/>
  <c r="D1553" i="10"/>
  <c r="I1553" i="10"/>
  <c r="E1553" i="10"/>
  <c r="H1553" i="10"/>
  <c r="J1553" i="10"/>
  <c r="A1554" i="10"/>
  <c r="C1553" i="10"/>
  <c r="F1553" i="10"/>
  <c r="C1554" i="10"/>
  <c r="F1554" i="10"/>
  <c r="D1554" i="10"/>
  <c r="I1554" i="10"/>
  <c r="E1554" i="10"/>
  <c r="H1554" i="10"/>
  <c r="J1554" i="10"/>
  <c r="A1555" i="10"/>
  <c r="A1556" i="10"/>
  <c r="C1555" i="10"/>
  <c r="F1555" i="10"/>
  <c r="D1555" i="10"/>
  <c r="I1555" i="10"/>
  <c r="E1555" i="10"/>
  <c r="H1555" i="10"/>
  <c r="J1555" i="10"/>
  <c r="E1556" i="10"/>
  <c r="H1556" i="10"/>
  <c r="J1556" i="10"/>
  <c r="A1557" i="10"/>
  <c r="C1556" i="10"/>
  <c r="F1556" i="10"/>
  <c r="I1556" i="10"/>
  <c r="D1556" i="10"/>
  <c r="D1557" i="10"/>
  <c r="I1557" i="10"/>
  <c r="E1557" i="10"/>
  <c r="H1557" i="10"/>
  <c r="J1557" i="10"/>
  <c r="A1558" i="10"/>
  <c r="C1557" i="10"/>
  <c r="F1557" i="10"/>
  <c r="C1558" i="10"/>
  <c r="F1558" i="10"/>
  <c r="D1558" i="10"/>
  <c r="I1558" i="10"/>
  <c r="E1558" i="10"/>
  <c r="H1558" i="10"/>
  <c r="J1558" i="10"/>
  <c r="A1559" i="10"/>
  <c r="A1560" i="10"/>
  <c r="C1559" i="10"/>
  <c r="F1559" i="10"/>
  <c r="D1559" i="10"/>
  <c r="I1559" i="10"/>
  <c r="E1559" i="10"/>
  <c r="H1559" i="10"/>
  <c r="J1559" i="10"/>
  <c r="E1560" i="10"/>
  <c r="H1560" i="10"/>
  <c r="J1560" i="10"/>
  <c r="A1561" i="10"/>
  <c r="C1560" i="10"/>
  <c r="F1560" i="10"/>
  <c r="I1560" i="10"/>
  <c r="D1560" i="10"/>
  <c r="D1561" i="10"/>
  <c r="I1561" i="10"/>
  <c r="E1561" i="10"/>
  <c r="H1561" i="10"/>
  <c r="J1561" i="10"/>
  <c r="A1562" i="10"/>
  <c r="C1561" i="10"/>
  <c r="F1561" i="10"/>
  <c r="C1562" i="10"/>
  <c r="F1562" i="10"/>
  <c r="D1562" i="10"/>
  <c r="I1562" i="10"/>
  <c r="E1562" i="10"/>
  <c r="H1562" i="10"/>
  <c r="J1562" i="10"/>
  <c r="A1563" i="10"/>
  <c r="A1564" i="10"/>
  <c r="C1563" i="10"/>
  <c r="F1563" i="10"/>
  <c r="D1563" i="10"/>
  <c r="I1563" i="10"/>
  <c r="E1563" i="10"/>
  <c r="H1563" i="10"/>
  <c r="J1563" i="10"/>
  <c r="E1564" i="10"/>
  <c r="H1564" i="10"/>
  <c r="J1564" i="10"/>
  <c r="A1565" i="10"/>
  <c r="C1564" i="10"/>
  <c r="F1564" i="10"/>
  <c r="I1564" i="10"/>
  <c r="D1564" i="10"/>
  <c r="D1565" i="10"/>
  <c r="I1565" i="10"/>
  <c r="E1565" i="10"/>
  <c r="H1565" i="10"/>
  <c r="J1565" i="10"/>
  <c r="A1566" i="10"/>
  <c r="C1565" i="10"/>
  <c r="F1565" i="10"/>
  <c r="C1566" i="10"/>
  <c r="F1566" i="10"/>
  <c r="D1566" i="10"/>
  <c r="I1566" i="10"/>
  <c r="E1566" i="10"/>
  <c r="H1566" i="10"/>
  <c r="J1566" i="10"/>
  <c r="A1567" i="10"/>
  <c r="A1568" i="10"/>
  <c r="C1567" i="10"/>
  <c r="F1567" i="10"/>
  <c r="D1567" i="10"/>
  <c r="I1567" i="10"/>
  <c r="E1567" i="10"/>
  <c r="H1567" i="10"/>
  <c r="J1567" i="10"/>
  <c r="E1568" i="10"/>
  <c r="H1568" i="10"/>
  <c r="J1568" i="10"/>
  <c r="A1569" i="10"/>
  <c r="C1568" i="10"/>
  <c r="F1568" i="10"/>
  <c r="I1568" i="10"/>
  <c r="D1568" i="10"/>
  <c r="D1569" i="10"/>
  <c r="I1569" i="10"/>
  <c r="E1569" i="10"/>
  <c r="H1569" i="10"/>
  <c r="J1569" i="10"/>
  <c r="A1570" i="10"/>
  <c r="C1569" i="10"/>
  <c r="F1569" i="10"/>
  <c r="C1570" i="10"/>
  <c r="F1570" i="10"/>
  <c r="D1570" i="10"/>
  <c r="I1570" i="10"/>
  <c r="E1570" i="10"/>
  <c r="H1570" i="10"/>
  <c r="J1570" i="10"/>
  <c r="A1571" i="10"/>
  <c r="A1572" i="10"/>
  <c r="C1571" i="10"/>
  <c r="F1571" i="10"/>
  <c r="D1571" i="10"/>
  <c r="I1571" i="10"/>
  <c r="E1571" i="10"/>
  <c r="H1571" i="10"/>
  <c r="J1571" i="10"/>
  <c r="E1572" i="10"/>
  <c r="H1572" i="10"/>
  <c r="J1572" i="10"/>
  <c r="A1573" i="10"/>
  <c r="C1572" i="10"/>
  <c r="F1572" i="10"/>
  <c r="I1572" i="10"/>
  <c r="D1572" i="10"/>
  <c r="D1573" i="10"/>
  <c r="I1573" i="10"/>
  <c r="E1573" i="10"/>
  <c r="H1573" i="10"/>
  <c r="J1573" i="10"/>
  <c r="A1574" i="10"/>
  <c r="C1573" i="10"/>
  <c r="F1573" i="10"/>
  <c r="C1574" i="10"/>
  <c r="F1574" i="10"/>
  <c r="D1574" i="10"/>
  <c r="I1574" i="10"/>
  <c r="E1574" i="10"/>
  <c r="H1574" i="10"/>
  <c r="J1574" i="10"/>
  <c r="A1575" i="10"/>
  <c r="A1576" i="10"/>
  <c r="C1575" i="10"/>
  <c r="F1575" i="10"/>
  <c r="D1575" i="10"/>
  <c r="I1575" i="10"/>
  <c r="E1575" i="10"/>
  <c r="H1575" i="10"/>
  <c r="J1575" i="10"/>
  <c r="E1576" i="10"/>
  <c r="H1576" i="10"/>
  <c r="J1576" i="10"/>
  <c r="A1577" i="10"/>
  <c r="C1576" i="10"/>
  <c r="F1576" i="10"/>
  <c r="I1576" i="10"/>
  <c r="D1576" i="10"/>
  <c r="D1577" i="10"/>
  <c r="I1577" i="10"/>
  <c r="E1577" i="10"/>
  <c r="H1577" i="10"/>
  <c r="J1577" i="10"/>
  <c r="A1578" i="10"/>
  <c r="C1577" i="10"/>
  <c r="F1577" i="10"/>
  <c r="C1578" i="10"/>
  <c r="F1578" i="10"/>
  <c r="D1578" i="10"/>
  <c r="I1578" i="10"/>
  <c r="E1578" i="10"/>
  <c r="H1578" i="10"/>
  <c r="J1578" i="10"/>
  <c r="A1579" i="10"/>
  <c r="A1580" i="10"/>
  <c r="C1579" i="10"/>
  <c r="F1579" i="10"/>
  <c r="D1579" i="10"/>
  <c r="I1579" i="10"/>
  <c r="E1579" i="10"/>
  <c r="H1579" i="10"/>
  <c r="J1579" i="10"/>
  <c r="E1580" i="10"/>
  <c r="H1580" i="10"/>
  <c r="J1580" i="10"/>
  <c r="A1581" i="10"/>
  <c r="C1580" i="10"/>
  <c r="F1580" i="10"/>
  <c r="D1580" i="10"/>
  <c r="I1580" i="10"/>
  <c r="D1581" i="10"/>
  <c r="I1581" i="10"/>
  <c r="E1581" i="10"/>
  <c r="H1581" i="10"/>
  <c r="J1581" i="10"/>
  <c r="A1582" i="10"/>
  <c r="C1581" i="10"/>
  <c r="F1581" i="10"/>
  <c r="C1582" i="10"/>
  <c r="F1582" i="10"/>
  <c r="D1582" i="10"/>
  <c r="I1582" i="10"/>
  <c r="E1582" i="10"/>
  <c r="H1582" i="10"/>
  <c r="J1582" i="10"/>
  <c r="A1583" i="10"/>
  <c r="A1584" i="10"/>
  <c r="C1583" i="10"/>
  <c r="F1583" i="10"/>
  <c r="D1583" i="10"/>
  <c r="I1583" i="10"/>
  <c r="E1583" i="10"/>
  <c r="H1583" i="10"/>
  <c r="J1583" i="10"/>
  <c r="E1584" i="10"/>
  <c r="H1584" i="10"/>
  <c r="J1584" i="10"/>
  <c r="A1585" i="10"/>
  <c r="C1584" i="10"/>
  <c r="F1584" i="10"/>
  <c r="D1584" i="10"/>
  <c r="I1584" i="10"/>
  <c r="D1585" i="10"/>
  <c r="I1585" i="10"/>
  <c r="E1585" i="10"/>
  <c r="H1585" i="10"/>
  <c r="J1585" i="10"/>
  <c r="A1586" i="10"/>
  <c r="C1585" i="10"/>
  <c r="F1585" i="10"/>
  <c r="C1586" i="10"/>
  <c r="F1586" i="10"/>
  <c r="D1586" i="10"/>
  <c r="I1586" i="10"/>
  <c r="E1586" i="10"/>
  <c r="H1586" i="10"/>
  <c r="J1586" i="10"/>
  <c r="A1587" i="10"/>
  <c r="A1588" i="10"/>
  <c r="C1587" i="10"/>
  <c r="F1587" i="10"/>
  <c r="D1587" i="10"/>
  <c r="I1587" i="10"/>
  <c r="E1587" i="10"/>
  <c r="H1587" i="10"/>
  <c r="J1587" i="10"/>
  <c r="E1588" i="10"/>
  <c r="H1588" i="10"/>
  <c r="J1588" i="10"/>
  <c r="A1589" i="10"/>
  <c r="C1588" i="10"/>
  <c r="F1588" i="10"/>
  <c r="D1588" i="10"/>
  <c r="I1588" i="10"/>
  <c r="D1589" i="10"/>
  <c r="I1589" i="10"/>
  <c r="E1589" i="10"/>
  <c r="H1589" i="10"/>
  <c r="J1589" i="10"/>
  <c r="A1590" i="10"/>
  <c r="C1589" i="10"/>
  <c r="F1589" i="10"/>
  <c r="C1590" i="10"/>
  <c r="F1590" i="10"/>
  <c r="D1590" i="10"/>
  <c r="I1590" i="10"/>
  <c r="E1590" i="10"/>
  <c r="H1590" i="10"/>
  <c r="J1590" i="10"/>
  <c r="A1591" i="10"/>
  <c r="A1592" i="10"/>
  <c r="C1591" i="10"/>
  <c r="F1591" i="10"/>
  <c r="D1591" i="10"/>
  <c r="I1591" i="10"/>
  <c r="E1591" i="10"/>
  <c r="H1591" i="10"/>
  <c r="J1591" i="10"/>
  <c r="E1592" i="10"/>
  <c r="H1592" i="10"/>
  <c r="J1592" i="10"/>
  <c r="A1593" i="10"/>
  <c r="C1592" i="10"/>
  <c r="F1592" i="10"/>
  <c r="D1592" i="10"/>
  <c r="I1592" i="10"/>
  <c r="D1593" i="10"/>
  <c r="I1593" i="10"/>
  <c r="E1593" i="10"/>
  <c r="H1593" i="10"/>
  <c r="J1593" i="10"/>
  <c r="A1594" i="10"/>
  <c r="C1593" i="10"/>
  <c r="F1593" i="10"/>
  <c r="C1594" i="10"/>
  <c r="F1594" i="10"/>
  <c r="D1594" i="10"/>
  <c r="I1594" i="10"/>
  <c r="E1594" i="10"/>
  <c r="H1594" i="10"/>
  <c r="J1594" i="10"/>
  <c r="A1595" i="10"/>
  <c r="A1596" i="10"/>
  <c r="C1595" i="10"/>
  <c r="F1595" i="10"/>
  <c r="D1595" i="10"/>
  <c r="I1595" i="10"/>
  <c r="E1595" i="10"/>
  <c r="H1595" i="10"/>
  <c r="J1595" i="10"/>
  <c r="E1596" i="10"/>
  <c r="H1596" i="10"/>
  <c r="J1596" i="10"/>
  <c r="A1597" i="10"/>
  <c r="C1596" i="10"/>
  <c r="F1596" i="10"/>
  <c r="D1596" i="10"/>
  <c r="I1596" i="10"/>
  <c r="D1597" i="10"/>
  <c r="I1597" i="10"/>
  <c r="E1597" i="10"/>
  <c r="H1597" i="10"/>
  <c r="J1597" i="10"/>
  <c r="A1598" i="10"/>
  <c r="C1597" i="10"/>
  <c r="F1597" i="10"/>
  <c r="C1598" i="10"/>
  <c r="F1598" i="10"/>
  <c r="D1598" i="10"/>
  <c r="I1598" i="10"/>
  <c r="E1598" i="10"/>
  <c r="H1598" i="10"/>
  <c r="J1598" i="10"/>
  <c r="A1599" i="10"/>
  <c r="A1600" i="10"/>
  <c r="C1599" i="10"/>
  <c r="F1599" i="10"/>
  <c r="D1599" i="10"/>
  <c r="I1599" i="10"/>
  <c r="E1599" i="10"/>
  <c r="H1599" i="10"/>
  <c r="J1599" i="10"/>
  <c r="E1600" i="10"/>
  <c r="H1600" i="10"/>
  <c r="J1600" i="10"/>
  <c r="A1601" i="10"/>
  <c r="C1600" i="10"/>
  <c r="F1600" i="10"/>
  <c r="D1600" i="10"/>
  <c r="I1600" i="10"/>
  <c r="D1601" i="10"/>
  <c r="I1601" i="10"/>
  <c r="E1601" i="10"/>
  <c r="H1601" i="10"/>
  <c r="J1601" i="10"/>
  <c r="A1602" i="10"/>
  <c r="C1601" i="10"/>
  <c r="F1601" i="10"/>
  <c r="C1602" i="10"/>
  <c r="F1602" i="10"/>
  <c r="D1602" i="10"/>
  <c r="I1602" i="10"/>
  <c r="E1602" i="10"/>
  <c r="H1602" i="10"/>
  <c r="J1602" i="10"/>
  <c r="A1603" i="10"/>
  <c r="A1604" i="10"/>
  <c r="C1603" i="10"/>
  <c r="F1603" i="10"/>
  <c r="D1603" i="10"/>
  <c r="I1603" i="10"/>
  <c r="E1603" i="10"/>
  <c r="H1603" i="10"/>
  <c r="J1603" i="10"/>
  <c r="E1604" i="10"/>
  <c r="H1604" i="10"/>
  <c r="J1604" i="10"/>
  <c r="A1605" i="10"/>
  <c r="C1604" i="10"/>
  <c r="F1604" i="10"/>
  <c r="D1604" i="10"/>
  <c r="I1604" i="10"/>
  <c r="D1605" i="10"/>
  <c r="I1605" i="10"/>
  <c r="E1605" i="10"/>
  <c r="H1605" i="10"/>
  <c r="J1605" i="10"/>
  <c r="A1606" i="10"/>
  <c r="C1605" i="10"/>
  <c r="F1605" i="10"/>
  <c r="C1606" i="10"/>
  <c r="F1606" i="10"/>
  <c r="D1606" i="10"/>
  <c r="I1606" i="10"/>
  <c r="E1606" i="10"/>
  <c r="H1606" i="10"/>
  <c r="J1606" i="10"/>
  <c r="A1607" i="10"/>
  <c r="A1608" i="10"/>
  <c r="C1607" i="10"/>
  <c r="F1607" i="10"/>
  <c r="D1607" i="10"/>
  <c r="I1607" i="10"/>
  <c r="E1607" i="10"/>
  <c r="H1607" i="10"/>
  <c r="J1607" i="10"/>
  <c r="E1608" i="10"/>
  <c r="H1608" i="10"/>
  <c r="J1608" i="10"/>
  <c r="A1609" i="10"/>
  <c r="C1608" i="10"/>
  <c r="F1608" i="10"/>
  <c r="D1608" i="10"/>
  <c r="I1608" i="10"/>
  <c r="D1609" i="10"/>
  <c r="I1609" i="10"/>
  <c r="E1609" i="10"/>
  <c r="H1609" i="10"/>
  <c r="J1609" i="10"/>
  <c r="A1610" i="10"/>
  <c r="C1609" i="10"/>
  <c r="F1609" i="10"/>
  <c r="C1610" i="10"/>
  <c r="F1610" i="10"/>
  <c r="D1610" i="10"/>
  <c r="I1610" i="10"/>
  <c r="E1610" i="10"/>
  <c r="H1610" i="10"/>
  <c r="J1610" i="10"/>
  <c r="A1611" i="10"/>
  <c r="A1612" i="10"/>
  <c r="C1611" i="10"/>
  <c r="F1611" i="10"/>
  <c r="D1611" i="10"/>
  <c r="I1611" i="10"/>
  <c r="E1611" i="10"/>
  <c r="H1611" i="10"/>
  <c r="J1611" i="10"/>
  <c r="E1612" i="10"/>
  <c r="H1612" i="10"/>
  <c r="J1612" i="10"/>
  <c r="A1613" i="10"/>
  <c r="C1612" i="10"/>
  <c r="F1612" i="10"/>
  <c r="D1612" i="10"/>
  <c r="I1612" i="10"/>
  <c r="D1613" i="10"/>
  <c r="I1613" i="10"/>
  <c r="E1613" i="10"/>
  <c r="H1613" i="10"/>
  <c r="J1613" i="10"/>
  <c r="A1614" i="10"/>
  <c r="C1613" i="10"/>
  <c r="F1613" i="10"/>
  <c r="C1614" i="10"/>
  <c r="F1614" i="10"/>
  <c r="D1614" i="10"/>
  <c r="I1614" i="10"/>
  <c r="E1614" i="10"/>
  <c r="H1614" i="10"/>
  <c r="J1614" i="10"/>
  <c r="A1615" i="10"/>
  <c r="A1616" i="10"/>
  <c r="C1615" i="10"/>
  <c r="F1615" i="10"/>
  <c r="D1615" i="10"/>
  <c r="I1615" i="10"/>
  <c r="E1615" i="10"/>
  <c r="H1615" i="10"/>
  <c r="J1615" i="10"/>
  <c r="E1616" i="10"/>
  <c r="H1616" i="10"/>
  <c r="J1616" i="10"/>
  <c r="A1617" i="10"/>
  <c r="C1616" i="10"/>
  <c r="F1616" i="10"/>
  <c r="I1616" i="10"/>
  <c r="D1616" i="10"/>
  <c r="D1617" i="10"/>
  <c r="I1617" i="10"/>
  <c r="E1617" i="10"/>
  <c r="H1617" i="10"/>
  <c r="J1617" i="10"/>
  <c r="A1618" i="10"/>
  <c r="C1617" i="10"/>
  <c r="F1617" i="10"/>
  <c r="C1618" i="10"/>
  <c r="F1618" i="10"/>
  <c r="D1618" i="10"/>
  <c r="I1618" i="10"/>
  <c r="E1618" i="10"/>
  <c r="H1618" i="10"/>
  <c r="J1618" i="10"/>
  <c r="A1619" i="10"/>
  <c r="A1620" i="10"/>
  <c r="C1619" i="10"/>
  <c r="F1619" i="10"/>
  <c r="D1619" i="10"/>
  <c r="I1619" i="10"/>
  <c r="E1619" i="10"/>
  <c r="H1619" i="10"/>
  <c r="J1619" i="10"/>
  <c r="E1620" i="10"/>
  <c r="H1620" i="10"/>
  <c r="J1620" i="10"/>
  <c r="A1621" i="10"/>
  <c r="C1620" i="10"/>
  <c r="F1620" i="10"/>
  <c r="D1620" i="10"/>
  <c r="I1620" i="10"/>
  <c r="D1621" i="10"/>
  <c r="I1621" i="10"/>
  <c r="E1621" i="10"/>
  <c r="H1621" i="10"/>
  <c r="J1621" i="10"/>
  <c r="A1622" i="10"/>
  <c r="C1621" i="10"/>
  <c r="F1621" i="10"/>
  <c r="C1622" i="10"/>
  <c r="F1622" i="10"/>
  <c r="D1622" i="10"/>
  <c r="I1622" i="10"/>
  <c r="E1622" i="10"/>
  <c r="H1622" i="10"/>
  <c r="J1622" i="10"/>
  <c r="A1623" i="10"/>
  <c r="A1624" i="10"/>
  <c r="C1623" i="10"/>
  <c r="F1623" i="10"/>
  <c r="D1623" i="10"/>
  <c r="I1623" i="10"/>
  <c r="E1623" i="10"/>
  <c r="H1623" i="10"/>
  <c r="J1623" i="10"/>
  <c r="E1624" i="10"/>
  <c r="H1624" i="10"/>
  <c r="J1624" i="10"/>
  <c r="A1625" i="10"/>
  <c r="C1624" i="10"/>
  <c r="F1624" i="10"/>
  <c r="I1624" i="10"/>
  <c r="D1624" i="10"/>
  <c r="D1625" i="10"/>
  <c r="I1625" i="10"/>
  <c r="E1625" i="10"/>
  <c r="H1625" i="10"/>
  <c r="J1625" i="10"/>
  <c r="A1626" i="10"/>
  <c r="C1625" i="10"/>
  <c r="F1625" i="10"/>
  <c r="C1626" i="10"/>
  <c r="F1626" i="10"/>
  <c r="D1626" i="10"/>
  <c r="I1626" i="10"/>
  <c r="E1626" i="10"/>
  <c r="H1626" i="10"/>
  <c r="J1626" i="10"/>
  <c r="A1627" i="10"/>
  <c r="A1628" i="10"/>
  <c r="C1627" i="10"/>
  <c r="F1627" i="10"/>
  <c r="D1627" i="10"/>
  <c r="I1627" i="10"/>
  <c r="E1627" i="10"/>
  <c r="H1627" i="10"/>
  <c r="J1627" i="10"/>
  <c r="E1628" i="10"/>
  <c r="H1628" i="10"/>
  <c r="J1628" i="10"/>
  <c r="A1629" i="10"/>
  <c r="C1628" i="10"/>
  <c r="F1628" i="10"/>
  <c r="D1628" i="10"/>
  <c r="I1628" i="10"/>
  <c r="D1629" i="10"/>
  <c r="I1629" i="10"/>
  <c r="E1629" i="10"/>
  <c r="H1629" i="10"/>
  <c r="J1629" i="10"/>
  <c r="A1630" i="10"/>
  <c r="C1629" i="10"/>
  <c r="F1629" i="10"/>
  <c r="C1630" i="10"/>
  <c r="F1630" i="10"/>
  <c r="D1630" i="10"/>
  <c r="I1630" i="10"/>
  <c r="E1630" i="10"/>
  <c r="H1630" i="10"/>
  <c r="J1630" i="10"/>
  <c r="A1631" i="10"/>
  <c r="A1632" i="10"/>
  <c r="C1631" i="10"/>
  <c r="F1631" i="10"/>
  <c r="D1631" i="10"/>
  <c r="I1631" i="10"/>
  <c r="E1631" i="10"/>
  <c r="H1631" i="10"/>
  <c r="J1631" i="10"/>
  <c r="E1632" i="10"/>
  <c r="H1632" i="10"/>
  <c r="J1632" i="10"/>
  <c r="A1633" i="10"/>
  <c r="C1632" i="10"/>
  <c r="F1632" i="10"/>
  <c r="I1632" i="10"/>
  <c r="D1632" i="10"/>
  <c r="D1633" i="10"/>
  <c r="I1633" i="10"/>
  <c r="E1633" i="10"/>
  <c r="H1633" i="10"/>
  <c r="J1633" i="10"/>
  <c r="A1634" i="10"/>
  <c r="C1633" i="10"/>
  <c r="F1633" i="10"/>
  <c r="C1634" i="10"/>
  <c r="F1634" i="10"/>
  <c r="D1634" i="10"/>
  <c r="I1634" i="10"/>
  <c r="E1634" i="10"/>
  <c r="H1634" i="10"/>
  <c r="J1634" i="10"/>
  <c r="A1635" i="10"/>
  <c r="A1636" i="10"/>
  <c r="C1635" i="10"/>
  <c r="F1635" i="10"/>
  <c r="D1635" i="10"/>
  <c r="I1635" i="10"/>
  <c r="E1635" i="10"/>
  <c r="H1635" i="10"/>
  <c r="J1635" i="10"/>
  <c r="E1636" i="10"/>
  <c r="H1636" i="10"/>
  <c r="J1636" i="10"/>
  <c r="A1637" i="10"/>
  <c r="C1636" i="10"/>
  <c r="F1636" i="10"/>
  <c r="D1636" i="10"/>
  <c r="I1636" i="10"/>
  <c r="D1637" i="10"/>
  <c r="I1637" i="10"/>
  <c r="E1637" i="10"/>
  <c r="H1637" i="10"/>
  <c r="J1637" i="10"/>
  <c r="A1638" i="10"/>
  <c r="C1637" i="10"/>
  <c r="F1637" i="10"/>
  <c r="C1638" i="10"/>
  <c r="F1638" i="10"/>
  <c r="D1638" i="10"/>
  <c r="I1638" i="10"/>
  <c r="E1638" i="10"/>
  <c r="H1638" i="10"/>
  <c r="J1638" i="10"/>
  <c r="A1639" i="10"/>
  <c r="A1640" i="10"/>
  <c r="C1639" i="10"/>
  <c r="F1639" i="10"/>
  <c r="D1639" i="10"/>
  <c r="I1639" i="10"/>
  <c r="E1639" i="10"/>
  <c r="H1639" i="10"/>
  <c r="J1639" i="10"/>
  <c r="E1640" i="10"/>
  <c r="H1640" i="10"/>
  <c r="J1640" i="10"/>
  <c r="A1641" i="10"/>
  <c r="C1640" i="10"/>
  <c r="F1640" i="10"/>
  <c r="I1640" i="10"/>
  <c r="D1640" i="10"/>
  <c r="D1641" i="10"/>
  <c r="I1641" i="10"/>
  <c r="E1641" i="10"/>
  <c r="H1641" i="10"/>
  <c r="J1641" i="10"/>
  <c r="A1642" i="10"/>
  <c r="C1641" i="10"/>
  <c r="F1641" i="10"/>
  <c r="C1642" i="10"/>
  <c r="F1642" i="10"/>
  <c r="D1642" i="10"/>
  <c r="I1642" i="10"/>
  <c r="E1642" i="10"/>
  <c r="H1642" i="10"/>
  <c r="J1642" i="10"/>
  <c r="A1643" i="10"/>
  <c r="A1644" i="10"/>
  <c r="C1643" i="10"/>
  <c r="F1643" i="10"/>
  <c r="D1643" i="10"/>
  <c r="I1643" i="10"/>
  <c r="E1643" i="10"/>
  <c r="H1643" i="10"/>
  <c r="J1643" i="10"/>
  <c r="E1644" i="10"/>
  <c r="H1644" i="10"/>
  <c r="J1644" i="10"/>
  <c r="A1645" i="10"/>
  <c r="C1644" i="10"/>
  <c r="F1644" i="10"/>
  <c r="D1644" i="10"/>
  <c r="I1644" i="10"/>
  <c r="D1645" i="10"/>
  <c r="I1645" i="10"/>
  <c r="E1645" i="10"/>
  <c r="H1645" i="10"/>
  <c r="J1645" i="10"/>
  <c r="A1646" i="10"/>
  <c r="C1645" i="10"/>
  <c r="F1645" i="10"/>
  <c r="C1646" i="10"/>
  <c r="F1646" i="10"/>
  <c r="D1646" i="10"/>
  <c r="I1646" i="10"/>
  <c r="E1646" i="10"/>
  <c r="H1646" i="10"/>
  <c r="J1646" i="10"/>
  <c r="A1647" i="10"/>
  <c r="A1648" i="10"/>
  <c r="C1647" i="10"/>
  <c r="F1647" i="10"/>
  <c r="D1647" i="10"/>
  <c r="I1647" i="10"/>
  <c r="E1647" i="10"/>
  <c r="H1647" i="10"/>
  <c r="J1647" i="10"/>
  <c r="E1648" i="10"/>
  <c r="H1648" i="10"/>
  <c r="J1648" i="10"/>
  <c r="A1649" i="10"/>
  <c r="C1648" i="10"/>
  <c r="F1648" i="10"/>
  <c r="I1648" i="10"/>
  <c r="D1648" i="10"/>
  <c r="D1649" i="10"/>
  <c r="I1649" i="10"/>
  <c r="E1649" i="10"/>
  <c r="H1649" i="10"/>
  <c r="J1649" i="10"/>
  <c r="A1650" i="10"/>
  <c r="C1649" i="10"/>
  <c r="F1649" i="10"/>
  <c r="C1650" i="10"/>
  <c r="F1650" i="10"/>
  <c r="D1650" i="10"/>
  <c r="I1650" i="10"/>
  <c r="E1650" i="10"/>
  <c r="H1650" i="10"/>
  <c r="J1650" i="10"/>
  <c r="A1651" i="10"/>
  <c r="A1652" i="10"/>
  <c r="C1651" i="10"/>
  <c r="F1651" i="10"/>
  <c r="D1651" i="10"/>
  <c r="I1651" i="10"/>
  <c r="E1651" i="10"/>
  <c r="H1651" i="10"/>
  <c r="J1651" i="10"/>
  <c r="E1652" i="10"/>
  <c r="H1652" i="10"/>
  <c r="J1652" i="10"/>
  <c r="A1653" i="10"/>
  <c r="C1652" i="10"/>
  <c r="F1652" i="10"/>
  <c r="D1652" i="10"/>
  <c r="I1652" i="10"/>
  <c r="D1653" i="10"/>
  <c r="I1653" i="10"/>
  <c r="E1653" i="10"/>
  <c r="H1653" i="10"/>
  <c r="J1653" i="10"/>
  <c r="A1654" i="10"/>
  <c r="C1653" i="10"/>
  <c r="F1653" i="10"/>
  <c r="C1654" i="10"/>
  <c r="F1654" i="10"/>
  <c r="D1654" i="10"/>
  <c r="I1654" i="10"/>
  <c r="E1654" i="10"/>
  <c r="H1654" i="10"/>
  <c r="J1654" i="10"/>
  <c r="A1655" i="10"/>
  <c r="A1656" i="10"/>
  <c r="C1655" i="10"/>
  <c r="F1655" i="10"/>
  <c r="D1655" i="10"/>
  <c r="I1655" i="10"/>
  <c r="E1655" i="10"/>
  <c r="H1655" i="10"/>
  <c r="J1655" i="10"/>
  <c r="E1656" i="10"/>
  <c r="H1656" i="10"/>
  <c r="J1656" i="10"/>
  <c r="A1657" i="10"/>
  <c r="C1656" i="10"/>
  <c r="F1656" i="10"/>
  <c r="I1656" i="10"/>
  <c r="D1656" i="10"/>
  <c r="D1657" i="10"/>
  <c r="I1657" i="10"/>
  <c r="E1657" i="10"/>
  <c r="H1657" i="10"/>
  <c r="J1657" i="10"/>
  <c r="A1658" i="10"/>
  <c r="C1657" i="10"/>
  <c r="F1657" i="10"/>
  <c r="C1658" i="10"/>
  <c r="F1658" i="10"/>
  <c r="D1658" i="10"/>
  <c r="I1658" i="10"/>
  <c r="E1658" i="10"/>
  <c r="H1658" i="10"/>
  <c r="J1658" i="10"/>
  <c r="A1659" i="10"/>
  <c r="A1660" i="10"/>
  <c r="C1659" i="10"/>
  <c r="F1659" i="10"/>
  <c r="D1659" i="10"/>
  <c r="I1659" i="10"/>
  <c r="E1659" i="10"/>
  <c r="H1659" i="10"/>
  <c r="J1659" i="10"/>
  <c r="E1660" i="10"/>
  <c r="H1660" i="10"/>
  <c r="J1660" i="10"/>
  <c r="A1661" i="10"/>
  <c r="C1660" i="10"/>
  <c r="F1660" i="10"/>
  <c r="D1660" i="10"/>
  <c r="I1660" i="10"/>
  <c r="D1661" i="10"/>
  <c r="I1661" i="10"/>
  <c r="E1661" i="10"/>
  <c r="H1661" i="10"/>
  <c r="J1661" i="10"/>
  <c r="A1662" i="10"/>
  <c r="C1661" i="10"/>
  <c r="F1661" i="10"/>
  <c r="C1662" i="10"/>
  <c r="F1662" i="10"/>
  <c r="D1662" i="10"/>
  <c r="I1662" i="10"/>
  <c r="E1662" i="10"/>
  <c r="H1662" i="10"/>
  <c r="J1662" i="10"/>
  <c r="A1663" i="10"/>
  <c r="A1664" i="10"/>
  <c r="C1663" i="10"/>
  <c r="F1663" i="10"/>
  <c r="D1663" i="10"/>
  <c r="I1663" i="10"/>
  <c r="E1663" i="10"/>
  <c r="H1663" i="10"/>
  <c r="J1663" i="10"/>
  <c r="E1664" i="10"/>
  <c r="H1664" i="10"/>
  <c r="J1664" i="10"/>
  <c r="A1665" i="10"/>
  <c r="C1664" i="10"/>
  <c r="F1664" i="10"/>
  <c r="I1664" i="10"/>
  <c r="D1664" i="10"/>
  <c r="D1665" i="10"/>
  <c r="I1665" i="10"/>
  <c r="E1665" i="10"/>
  <c r="H1665" i="10"/>
  <c r="J1665" i="10"/>
  <c r="A1666" i="10"/>
  <c r="C1665" i="10"/>
  <c r="F1665" i="10"/>
  <c r="C1666" i="10"/>
  <c r="F1666" i="10"/>
  <c r="D1666" i="10"/>
  <c r="I1666" i="10"/>
  <c r="E1666" i="10"/>
  <c r="H1666" i="10"/>
  <c r="J1666" i="10"/>
  <c r="A1667" i="10"/>
  <c r="A1668" i="10"/>
  <c r="C1667" i="10"/>
  <c r="F1667" i="10"/>
  <c r="D1667" i="10"/>
  <c r="I1667" i="10"/>
  <c r="E1667" i="10"/>
  <c r="H1667" i="10"/>
  <c r="J1667" i="10"/>
  <c r="E1668" i="10"/>
  <c r="H1668" i="10"/>
  <c r="J1668" i="10"/>
  <c r="A1669" i="10"/>
  <c r="C1668" i="10"/>
  <c r="F1668" i="10"/>
  <c r="D1668" i="10"/>
  <c r="I1668" i="10"/>
  <c r="D1669" i="10"/>
  <c r="I1669" i="10"/>
  <c r="E1669" i="10"/>
  <c r="H1669" i="10"/>
  <c r="J1669" i="10"/>
  <c r="A1670" i="10"/>
  <c r="C1669" i="10"/>
  <c r="F1669" i="10"/>
  <c r="C1670" i="10"/>
  <c r="F1670" i="10"/>
  <c r="D1670" i="10"/>
  <c r="I1670" i="10"/>
  <c r="E1670" i="10"/>
  <c r="H1670" i="10"/>
  <c r="J1670" i="10"/>
  <c r="A1671" i="10"/>
  <c r="A1672" i="10"/>
  <c r="C1671" i="10"/>
  <c r="F1671" i="10"/>
  <c r="D1671" i="10"/>
  <c r="I1671" i="10"/>
  <c r="E1671" i="10"/>
  <c r="H1671" i="10"/>
  <c r="J1671" i="10"/>
  <c r="E1672" i="10"/>
  <c r="H1672" i="10"/>
  <c r="J1672" i="10"/>
  <c r="A1673" i="10"/>
  <c r="C1672" i="10"/>
  <c r="F1672" i="10"/>
  <c r="I1672" i="10"/>
  <c r="D1672" i="10"/>
  <c r="D1673" i="10"/>
  <c r="I1673" i="10"/>
  <c r="E1673" i="10"/>
  <c r="H1673" i="10"/>
  <c r="J1673" i="10"/>
  <c r="A1674" i="10"/>
  <c r="C1673" i="10"/>
  <c r="F1673" i="10"/>
  <c r="C1674" i="10"/>
  <c r="F1674" i="10"/>
  <c r="D1674" i="10"/>
  <c r="I1674" i="10"/>
  <c r="E1674" i="10"/>
  <c r="H1674" i="10"/>
  <c r="J1674" i="10"/>
  <c r="A1675" i="10"/>
  <c r="A1676" i="10"/>
  <c r="C1675" i="10"/>
  <c r="F1675" i="10"/>
  <c r="D1675" i="10"/>
  <c r="I1675" i="10"/>
  <c r="E1675" i="10"/>
  <c r="H1675" i="10"/>
  <c r="J1675" i="10"/>
  <c r="E1676" i="10"/>
  <c r="H1676" i="10"/>
  <c r="J1676" i="10"/>
  <c r="A1677" i="10"/>
  <c r="C1676" i="10"/>
  <c r="F1676" i="10"/>
  <c r="D1676" i="10"/>
  <c r="I1676" i="10"/>
  <c r="D1677" i="10"/>
  <c r="I1677" i="10"/>
  <c r="E1677" i="10"/>
  <c r="H1677" i="10"/>
  <c r="J1677" i="10"/>
  <c r="A1678" i="10"/>
  <c r="C1677" i="10"/>
  <c r="F1677" i="10"/>
  <c r="C1678" i="10"/>
  <c r="F1678" i="10"/>
  <c r="D1678" i="10"/>
  <c r="I1678" i="10"/>
  <c r="E1678" i="10"/>
  <c r="H1678" i="10"/>
  <c r="J1678" i="10"/>
  <c r="A1679" i="10"/>
  <c r="A1680" i="10"/>
  <c r="C1679" i="10"/>
  <c r="F1679" i="10"/>
  <c r="D1679" i="10"/>
  <c r="I1679" i="10"/>
  <c r="E1679" i="10"/>
  <c r="H1679" i="10"/>
  <c r="J1679" i="10"/>
  <c r="E1680" i="10"/>
  <c r="H1680" i="10"/>
  <c r="J1680" i="10"/>
  <c r="A1681" i="10"/>
  <c r="C1680" i="10"/>
  <c r="F1680" i="10"/>
  <c r="I1680" i="10"/>
  <c r="D1680" i="10"/>
  <c r="D1681" i="10"/>
  <c r="I1681" i="10"/>
  <c r="E1681" i="10"/>
  <c r="H1681" i="10"/>
  <c r="J1681" i="10"/>
  <c r="A1682" i="10"/>
  <c r="C1681" i="10"/>
  <c r="F1681" i="10"/>
  <c r="C1682" i="10"/>
  <c r="F1682" i="10"/>
  <c r="D1682" i="10"/>
  <c r="I1682" i="10"/>
  <c r="E1682" i="10"/>
  <c r="H1682" i="10"/>
  <c r="J1682" i="10"/>
  <c r="A1683" i="10"/>
  <c r="A1684" i="10"/>
  <c r="C1683" i="10"/>
  <c r="F1683" i="10"/>
  <c r="D1683" i="10"/>
  <c r="I1683" i="10"/>
  <c r="E1683" i="10"/>
  <c r="H1683" i="10"/>
  <c r="J1683" i="10"/>
  <c r="E1684" i="10"/>
  <c r="H1684" i="10"/>
  <c r="J1684" i="10"/>
  <c r="A1685" i="10"/>
  <c r="C1684" i="10"/>
  <c r="F1684" i="10"/>
  <c r="D1684" i="10"/>
  <c r="I1684" i="10"/>
  <c r="D1685" i="10"/>
  <c r="I1685" i="10"/>
  <c r="E1685" i="10"/>
  <c r="H1685" i="10"/>
  <c r="J1685" i="10"/>
  <c r="A1686" i="10"/>
  <c r="C1685" i="10"/>
  <c r="F1685" i="10"/>
  <c r="C1686" i="10"/>
  <c r="F1686" i="10"/>
  <c r="D1686" i="10"/>
  <c r="I1686" i="10"/>
  <c r="E1686" i="10"/>
  <c r="H1686" i="10"/>
  <c r="J1686" i="10"/>
  <c r="A1687" i="10"/>
  <c r="A1688" i="10"/>
  <c r="C1687" i="10"/>
  <c r="F1687" i="10"/>
  <c r="D1687" i="10"/>
  <c r="I1687" i="10"/>
  <c r="E1687" i="10"/>
  <c r="H1687" i="10"/>
  <c r="J1687" i="10"/>
  <c r="E1688" i="10"/>
  <c r="H1688" i="10"/>
  <c r="J1688" i="10"/>
  <c r="A1689" i="10"/>
  <c r="C1688" i="10"/>
  <c r="F1688" i="10"/>
  <c r="I1688" i="10"/>
  <c r="D1688" i="10"/>
  <c r="D1689" i="10"/>
  <c r="I1689" i="10"/>
  <c r="E1689" i="10"/>
  <c r="H1689" i="10"/>
  <c r="J1689" i="10"/>
  <c r="A1690" i="10"/>
  <c r="C1689" i="10"/>
  <c r="F1689" i="10"/>
  <c r="C1690" i="10"/>
  <c r="F1690" i="10"/>
  <c r="D1690" i="10"/>
  <c r="I1690" i="10"/>
  <c r="E1690" i="10"/>
  <c r="H1690" i="10"/>
  <c r="J1690" i="10"/>
  <c r="A1691" i="10"/>
  <c r="A1692" i="10"/>
  <c r="C1691" i="10"/>
  <c r="F1691" i="10"/>
  <c r="D1691" i="10"/>
  <c r="I1691" i="10"/>
  <c r="E1691" i="10"/>
  <c r="H1691" i="10"/>
  <c r="J1691" i="10"/>
  <c r="E1692" i="10"/>
  <c r="H1692" i="10"/>
  <c r="J1692" i="10"/>
  <c r="A1693" i="10"/>
  <c r="C1692" i="10"/>
  <c r="F1692" i="10"/>
  <c r="D1692" i="10"/>
  <c r="I1692" i="10"/>
  <c r="D1693" i="10"/>
  <c r="I1693" i="10"/>
  <c r="E1693" i="10"/>
  <c r="H1693" i="10"/>
  <c r="J1693" i="10"/>
  <c r="A1694" i="10"/>
  <c r="C1693" i="10"/>
  <c r="F1693" i="10"/>
  <c r="C1694" i="10"/>
  <c r="F1694" i="10"/>
  <c r="D1694" i="10"/>
  <c r="I1694" i="10"/>
  <c r="E1694" i="10"/>
  <c r="H1694" i="10"/>
  <c r="J1694" i="10"/>
  <c r="A1695" i="10"/>
  <c r="A1696" i="10"/>
  <c r="C1695" i="10"/>
  <c r="F1695" i="10"/>
  <c r="D1695" i="10"/>
  <c r="I1695" i="10"/>
  <c r="E1695" i="10"/>
  <c r="H1695" i="10"/>
  <c r="J1695" i="10"/>
  <c r="E1696" i="10"/>
  <c r="H1696" i="10"/>
  <c r="J1696" i="10"/>
  <c r="A1697" i="10"/>
  <c r="C1696" i="10"/>
  <c r="F1696" i="10"/>
  <c r="I1696" i="10"/>
  <c r="D1696" i="10"/>
  <c r="D1697" i="10"/>
  <c r="I1697" i="10"/>
  <c r="E1697" i="10"/>
  <c r="H1697" i="10"/>
  <c r="J1697" i="10"/>
  <c r="A1698" i="10"/>
  <c r="C1697" i="10"/>
  <c r="F1697" i="10"/>
  <c r="C1698" i="10"/>
  <c r="F1698" i="10"/>
  <c r="D1698" i="10"/>
  <c r="I1698" i="10"/>
  <c r="E1698" i="10"/>
  <c r="H1698" i="10"/>
  <c r="J1698" i="10"/>
  <c r="A1699" i="10"/>
  <c r="A1700" i="10"/>
  <c r="C1699" i="10"/>
  <c r="F1699" i="10"/>
  <c r="D1699" i="10"/>
  <c r="I1699" i="10"/>
  <c r="E1699" i="10"/>
  <c r="H1699" i="10"/>
  <c r="J1699" i="10"/>
  <c r="E1700" i="10"/>
  <c r="H1700" i="10"/>
  <c r="J1700" i="10"/>
  <c r="A1701" i="10"/>
  <c r="C1700" i="10"/>
  <c r="F1700" i="10"/>
  <c r="D1700" i="10"/>
  <c r="I1700" i="10"/>
  <c r="D1701" i="10"/>
  <c r="I1701" i="10"/>
  <c r="E1701" i="10"/>
  <c r="H1701" i="10"/>
  <c r="J1701" i="10"/>
  <c r="A1702" i="10"/>
  <c r="C1701" i="10"/>
  <c r="F1701" i="10"/>
  <c r="C1702" i="10"/>
  <c r="F1702" i="10"/>
  <c r="D1702" i="10"/>
  <c r="I1702" i="10"/>
  <c r="E1702" i="10"/>
  <c r="H1702" i="10"/>
  <c r="J1702" i="10"/>
  <c r="A1703" i="10"/>
  <c r="A1704" i="10"/>
  <c r="C1703" i="10"/>
  <c r="F1703" i="10"/>
  <c r="D1703" i="10"/>
  <c r="I1703" i="10"/>
  <c r="E1703" i="10"/>
  <c r="H1703" i="10"/>
  <c r="J1703" i="10"/>
  <c r="E1704" i="10"/>
  <c r="H1704" i="10"/>
  <c r="J1704" i="10"/>
  <c r="A1705" i="10"/>
  <c r="C1704" i="10"/>
  <c r="F1704" i="10"/>
  <c r="I1704" i="10"/>
  <c r="D1704" i="10"/>
  <c r="D1705" i="10"/>
  <c r="I1705" i="10"/>
  <c r="E1705" i="10"/>
  <c r="H1705" i="10"/>
  <c r="J1705" i="10"/>
  <c r="A1706" i="10"/>
  <c r="C1705" i="10"/>
  <c r="F1705" i="10"/>
  <c r="C1706" i="10"/>
  <c r="F1706" i="10"/>
  <c r="D1706" i="10"/>
  <c r="I1706" i="10"/>
  <c r="E1706" i="10"/>
  <c r="H1706" i="10"/>
  <c r="J1706" i="10"/>
  <c r="A1707" i="10"/>
  <c r="A1708" i="10"/>
  <c r="C1707" i="10"/>
  <c r="F1707" i="10"/>
  <c r="D1707" i="10"/>
  <c r="I1707" i="10"/>
  <c r="E1707" i="10"/>
  <c r="H1707" i="10"/>
  <c r="J1707" i="10"/>
  <c r="E1708" i="10"/>
  <c r="H1708" i="10"/>
  <c r="J1708" i="10"/>
  <c r="A1709" i="10"/>
  <c r="C1708" i="10"/>
  <c r="F1708" i="10"/>
  <c r="D1708" i="10"/>
  <c r="I1708" i="10"/>
  <c r="D1709" i="10"/>
  <c r="I1709" i="10"/>
  <c r="E1709" i="10"/>
  <c r="H1709" i="10"/>
  <c r="J1709" i="10"/>
  <c r="A1710" i="10"/>
  <c r="C1709" i="10"/>
  <c r="F1709" i="10"/>
  <c r="C1710" i="10"/>
  <c r="F1710" i="10"/>
  <c r="D1710" i="10"/>
  <c r="I1710" i="10"/>
  <c r="E1710" i="10"/>
  <c r="H1710" i="10"/>
  <c r="J1710" i="10"/>
  <c r="A1711" i="10"/>
  <c r="A1712" i="10"/>
  <c r="C1711" i="10"/>
  <c r="F1711" i="10"/>
  <c r="D1711" i="10"/>
  <c r="I1711" i="10"/>
  <c r="E1711" i="10"/>
  <c r="H1711" i="10"/>
  <c r="J1711" i="10"/>
  <c r="E1712" i="10"/>
  <c r="H1712" i="10"/>
  <c r="J1712" i="10"/>
  <c r="A1713" i="10"/>
  <c r="C1712" i="10"/>
  <c r="F1712" i="10"/>
  <c r="D1712" i="10"/>
  <c r="I1712" i="10"/>
  <c r="D1713" i="10"/>
  <c r="I1713" i="10"/>
  <c r="E1713" i="10"/>
  <c r="H1713" i="10"/>
  <c r="J1713" i="10"/>
  <c r="A1714" i="10"/>
  <c r="C1713" i="10"/>
  <c r="F1713" i="10"/>
  <c r="C1714" i="10"/>
  <c r="F1714" i="10"/>
  <c r="D1714" i="10"/>
  <c r="I1714" i="10"/>
  <c r="E1714" i="10"/>
  <c r="H1714" i="10"/>
  <c r="J1714" i="10"/>
  <c r="A1715" i="10"/>
  <c r="A1716" i="10"/>
  <c r="C1715" i="10"/>
  <c r="F1715" i="10"/>
  <c r="D1715" i="10"/>
  <c r="I1715" i="10"/>
  <c r="E1715" i="10"/>
  <c r="H1715" i="10"/>
  <c r="J1715" i="10"/>
  <c r="E1716" i="10"/>
  <c r="H1716" i="10"/>
  <c r="J1716" i="10"/>
  <c r="A1717" i="10"/>
  <c r="C1716" i="10"/>
  <c r="F1716" i="10"/>
  <c r="D1716" i="10"/>
  <c r="I1716" i="10"/>
  <c r="D1717" i="10"/>
  <c r="I1717" i="10"/>
  <c r="E1717" i="10"/>
  <c r="H1717" i="10"/>
  <c r="J1717" i="10"/>
  <c r="A1718" i="10"/>
  <c r="C1717" i="10"/>
  <c r="F1717" i="10"/>
  <c r="C1718" i="10"/>
  <c r="F1718" i="10"/>
  <c r="D1718" i="10"/>
  <c r="I1718" i="10"/>
  <c r="E1718" i="10"/>
  <c r="H1718" i="10"/>
  <c r="J1718" i="10"/>
  <c r="A1719" i="10"/>
  <c r="A1720" i="10"/>
  <c r="C1719" i="10"/>
  <c r="F1719" i="10"/>
  <c r="D1719" i="10"/>
  <c r="I1719" i="10"/>
  <c r="E1719" i="10"/>
  <c r="H1719" i="10"/>
  <c r="J1719" i="10"/>
  <c r="E1720" i="10"/>
  <c r="H1720" i="10"/>
  <c r="J1720" i="10"/>
  <c r="A1721" i="10"/>
  <c r="C1720" i="10"/>
  <c r="F1720" i="10"/>
  <c r="D1720" i="10"/>
  <c r="I1720" i="10"/>
  <c r="D1721" i="10"/>
  <c r="I1721" i="10"/>
  <c r="E1721" i="10"/>
  <c r="H1721" i="10"/>
  <c r="J1721" i="10"/>
  <c r="A1722" i="10"/>
  <c r="C1721" i="10"/>
  <c r="F1721" i="10"/>
  <c r="C1722" i="10"/>
  <c r="F1722" i="10"/>
  <c r="D1722" i="10"/>
  <c r="I1722" i="10"/>
  <c r="E1722" i="10"/>
  <c r="H1722" i="10"/>
  <c r="J1722" i="10"/>
  <c r="A1723" i="10"/>
  <c r="A1724" i="10"/>
  <c r="C1723" i="10"/>
  <c r="F1723" i="10"/>
  <c r="D1723" i="10"/>
  <c r="I1723" i="10"/>
  <c r="E1723" i="10"/>
  <c r="H1723" i="10"/>
  <c r="J1723" i="10"/>
  <c r="E1724" i="10"/>
  <c r="H1724" i="10"/>
  <c r="J1724" i="10"/>
  <c r="A1725" i="10"/>
  <c r="C1724" i="10"/>
  <c r="F1724" i="10"/>
  <c r="D1724" i="10"/>
  <c r="I1724" i="10"/>
  <c r="D1725" i="10"/>
  <c r="I1725" i="10"/>
  <c r="E1725" i="10"/>
  <c r="H1725" i="10"/>
  <c r="J1725" i="10"/>
  <c r="A1726" i="10"/>
  <c r="C1725" i="10"/>
  <c r="F1725" i="10"/>
  <c r="C1726" i="10"/>
  <c r="F1726" i="10"/>
  <c r="D1726" i="10"/>
  <c r="I1726" i="10"/>
  <c r="E1726" i="10"/>
  <c r="H1726" i="10"/>
  <c r="J1726" i="10"/>
  <c r="A1727" i="10"/>
  <c r="A1728" i="10"/>
  <c r="C1727" i="10"/>
  <c r="F1727" i="10"/>
  <c r="D1727" i="10"/>
  <c r="I1727" i="10"/>
  <c r="E1727" i="10"/>
  <c r="H1727" i="10"/>
  <c r="J1727" i="10"/>
  <c r="E1728" i="10"/>
  <c r="H1728" i="10"/>
  <c r="J1728" i="10"/>
  <c r="A1729" i="10"/>
  <c r="C1728" i="10"/>
  <c r="F1728" i="10"/>
  <c r="D1728" i="10"/>
  <c r="I1728" i="10"/>
  <c r="D1729" i="10"/>
  <c r="I1729" i="10"/>
  <c r="E1729" i="10"/>
  <c r="H1729" i="10"/>
  <c r="J1729" i="10"/>
  <c r="A1730" i="10"/>
  <c r="C1729" i="10"/>
  <c r="F1729" i="10"/>
  <c r="C1730" i="10"/>
  <c r="F1730" i="10"/>
  <c r="D1730" i="10"/>
  <c r="I1730" i="10"/>
  <c r="E1730" i="10"/>
  <c r="H1730" i="10"/>
  <c r="J1730" i="10"/>
  <c r="A1731" i="10"/>
  <c r="A1732" i="10"/>
  <c r="C1731" i="10"/>
  <c r="F1731" i="10"/>
  <c r="D1731" i="10"/>
  <c r="I1731" i="10"/>
  <c r="E1731" i="10"/>
  <c r="H1731" i="10"/>
  <c r="J1731" i="10"/>
  <c r="E1732" i="10"/>
  <c r="H1732" i="10"/>
  <c r="J1732" i="10"/>
  <c r="A1733" i="10"/>
  <c r="C1732" i="10"/>
  <c r="F1732" i="10"/>
  <c r="D1732" i="10"/>
  <c r="I1732" i="10"/>
  <c r="D1733" i="10"/>
  <c r="I1733" i="10"/>
  <c r="E1733" i="10"/>
  <c r="H1733" i="10"/>
  <c r="J1733" i="10"/>
  <c r="A1734" i="10"/>
  <c r="C1733" i="10"/>
  <c r="F1733" i="10"/>
  <c r="C1734" i="10"/>
  <c r="F1734" i="10"/>
  <c r="D1734" i="10"/>
  <c r="I1734" i="10"/>
  <c r="E1734" i="10"/>
  <c r="H1734" i="10"/>
  <c r="J1734" i="10"/>
  <c r="A1735" i="10"/>
  <c r="A1736" i="10"/>
  <c r="C1735" i="10"/>
  <c r="F1735" i="10"/>
  <c r="D1735" i="10"/>
  <c r="I1735" i="10"/>
  <c r="E1735" i="10"/>
  <c r="H1735" i="10"/>
  <c r="J1735" i="10"/>
  <c r="E1736" i="10"/>
  <c r="H1736" i="10"/>
  <c r="J1736" i="10"/>
  <c r="A1737" i="10"/>
  <c r="C1736" i="10"/>
  <c r="F1736" i="10"/>
  <c r="D1736" i="10"/>
  <c r="I1736" i="10"/>
  <c r="D1737" i="10"/>
  <c r="I1737" i="10"/>
  <c r="E1737" i="10"/>
  <c r="H1737" i="10"/>
  <c r="J1737" i="10"/>
  <c r="A1738" i="10"/>
  <c r="C1737" i="10"/>
  <c r="F1737" i="10"/>
  <c r="C1738" i="10"/>
  <c r="F1738" i="10"/>
  <c r="D1738" i="10"/>
  <c r="I1738" i="10"/>
  <c r="E1738" i="10"/>
  <c r="H1738" i="10"/>
  <c r="J1738" i="10"/>
  <c r="A1739" i="10"/>
  <c r="A1740" i="10"/>
  <c r="C1739" i="10"/>
  <c r="F1739" i="10"/>
  <c r="D1739" i="10"/>
  <c r="I1739" i="10"/>
  <c r="E1739" i="10"/>
  <c r="H1739" i="10"/>
  <c r="J1739" i="10"/>
  <c r="E1740" i="10"/>
  <c r="H1740" i="10"/>
  <c r="J1740" i="10"/>
  <c r="A1741" i="10"/>
  <c r="C1740" i="10"/>
  <c r="F1740" i="10"/>
  <c r="D1740" i="10"/>
  <c r="I1740" i="10"/>
  <c r="D1741" i="10"/>
  <c r="I1741" i="10"/>
  <c r="E1741" i="10"/>
  <c r="H1741" i="10"/>
  <c r="J1741" i="10"/>
  <c r="A1742" i="10"/>
  <c r="C1741" i="10"/>
  <c r="F1741" i="10"/>
  <c r="C1742" i="10"/>
  <c r="F1742" i="10"/>
  <c r="D1742" i="10"/>
  <c r="I1742" i="10"/>
  <c r="E1742" i="10"/>
  <c r="H1742" i="10"/>
  <c r="J1742" i="10"/>
  <c r="A1743" i="10"/>
  <c r="A1744" i="10"/>
  <c r="C1743" i="10"/>
  <c r="F1743" i="10"/>
  <c r="D1743" i="10"/>
  <c r="I1743" i="10"/>
  <c r="E1743" i="10"/>
  <c r="H1743" i="10"/>
  <c r="J1743" i="10"/>
  <c r="E1744" i="10"/>
  <c r="H1744" i="10"/>
  <c r="J1744" i="10"/>
  <c r="A1745" i="10"/>
  <c r="C1744" i="10"/>
  <c r="F1744" i="10"/>
  <c r="D1744" i="10"/>
  <c r="I1744" i="10"/>
  <c r="D1745" i="10"/>
  <c r="I1745" i="10"/>
  <c r="E1745" i="10"/>
  <c r="H1745" i="10"/>
  <c r="J1745" i="10"/>
  <c r="A1746" i="10"/>
  <c r="C1745" i="10"/>
  <c r="F1745" i="10"/>
  <c r="C1746" i="10"/>
  <c r="F1746" i="10"/>
  <c r="D1746" i="10"/>
  <c r="I1746" i="10"/>
  <c r="E1746" i="10"/>
  <c r="H1746" i="10"/>
  <c r="J1746" i="10"/>
  <c r="A1747" i="10"/>
  <c r="A1748" i="10"/>
  <c r="C1747" i="10"/>
  <c r="F1747" i="10"/>
  <c r="D1747" i="10"/>
  <c r="I1747" i="10"/>
  <c r="E1747" i="10"/>
  <c r="H1747" i="10"/>
  <c r="J1747" i="10"/>
  <c r="E1748" i="10"/>
  <c r="H1748" i="10"/>
  <c r="J1748" i="10"/>
  <c r="A1749" i="10"/>
  <c r="C1748" i="10"/>
  <c r="F1748" i="10"/>
  <c r="D1748" i="10"/>
  <c r="I1748" i="10"/>
  <c r="D1749" i="10"/>
  <c r="I1749" i="10"/>
  <c r="E1749" i="10"/>
  <c r="H1749" i="10"/>
  <c r="J1749" i="10"/>
  <c r="A1750" i="10"/>
  <c r="C1749" i="10"/>
  <c r="F1749" i="10"/>
  <c r="C1750" i="10"/>
  <c r="F1750" i="10"/>
  <c r="D1750" i="10"/>
  <c r="I1750" i="10"/>
  <c r="E1750" i="10"/>
  <c r="H1750" i="10"/>
  <c r="J1750" i="10"/>
  <c r="A1751" i="10"/>
  <c r="A1752" i="10"/>
  <c r="C1751" i="10"/>
  <c r="F1751" i="10"/>
  <c r="D1751" i="10"/>
  <c r="I1751" i="10"/>
  <c r="E1751" i="10"/>
  <c r="H1751" i="10"/>
  <c r="J1751" i="10"/>
  <c r="E1752" i="10"/>
  <c r="H1752" i="10"/>
  <c r="J1752" i="10"/>
  <c r="A1753" i="10"/>
  <c r="C1752" i="10"/>
  <c r="F1752" i="10"/>
  <c r="D1752" i="10"/>
  <c r="I1752" i="10"/>
  <c r="D1753" i="10"/>
  <c r="I1753" i="10"/>
  <c r="E1753" i="10"/>
  <c r="H1753" i="10"/>
  <c r="J1753" i="10"/>
  <c r="A1754" i="10"/>
  <c r="C1753" i="10"/>
  <c r="F1753" i="10"/>
  <c r="C1754" i="10"/>
  <c r="F1754" i="10"/>
  <c r="D1754" i="10"/>
  <c r="I1754" i="10"/>
  <c r="E1754" i="10"/>
  <c r="H1754" i="10"/>
  <c r="J1754" i="10"/>
  <c r="A1755" i="10"/>
  <c r="A1756" i="10"/>
  <c r="C1755" i="10"/>
  <c r="F1755" i="10"/>
  <c r="D1755" i="10"/>
  <c r="I1755" i="10"/>
  <c r="E1755" i="10"/>
  <c r="H1755" i="10"/>
  <c r="J1755" i="10"/>
  <c r="E1756" i="10"/>
  <c r="H1756" i="10"/>
  <c r="J1756" i="10"/>
  <c r="A1757" i="10"/>
  <c r="C1756" i="10"/>
  <c r="F1756" i="10"/>
  <c r="D1756" i="10"/>
  <c r="I1756" i="10"/>
  <c r="D1757" i="10"/>
  <c r="I1757" i="10"/>
  <c r="E1757" i="10"/>
  <c r="H1757" i="10"/>
  <c r="J1757" i="10"/>
  <c r="A1758" i="10"/>
  <c r="C1757" i="10"/>
  <c r="F1757" i="10"/>
  <c r="C1758" i="10"/>
  <c r="F1758" i="10"/>
  <c r="D1758" i="10"/>
  <c r="I1758" i="10"/>
  <c r="E1758" i="10"/>
  <c r="H1758" i="10"/>
  <c r="J1758" i="10"/>
  <c r="A1759" i="10"/>
  <c r="A1760" i="10"/>
  <c r="C1759" i="10"/>
  <c r="F1759" i="10"/>
  <c r="D1759" i="10"/>
  <c r="I1759" i="10"/>
  <c r="E1759" i="10"/>
  <c r="H1759" i="10"/>
  <c r="J1759" i="10"/>
  <c r="E1760" i="10"/>
  <c r="H1760" i="10"/>
  <c r="J1760" i="10"/>
  <c r="A1761" i="10"/>
  <c r="C1760" i="10"/>
  <c r="F1760" i="10"/>
  <c r="D1760" i="10"/>
  <c r="I1760" i="10"/>
  <c r="D1761" i="10"/>
  <c r="I1761" i="10"/>
  <c r="E1761" i="10"/>
  <c r="H1761" i="10"/>
  <c r="J1761" i="10"/>
  <c r="A1762" i="10"/>
  <c r="C1761" i="10"/>
  <c r="F1761" i="10"/>
  <c r="C1762" i="10"/>
  <c r="F1762" i="10"/>
  <c r="D1762" i="10"/>
  <c r="I1762" i="10"/>
  <c r="E1762" i="10"/>
  <c r="H1762" i="10"/>
  <c r="J1762" i="10"/>
  <c r="A1763" i="10"/>
  <c r="A1764" i="10"/>
  <c r="C1763" i="10"/>
  <c r="F1763" i="10"/>
  <c r="D1763" i="10"/>
  <c r="I1763" i="10"/>
  <c r="E1763" i="10"/>
  <c r="H1763" i="10"/>
  <c r="J1763" i="10"/>
  <c r="E1764" i="10"/>
  <c r="H1764" i="10"/>
  <c r="J1764" i="10"/>
  <c r="A1765" i="10"/>
  <c r="C1764" i="10"/>
  <c r="F1764" i="10"/>
  <c r="D1764" i="10"/>
  <c r="I1764" i="10"/>
  <c r="D1765" i="10"/>
  <c r="I1765" i="10"/>
  <c r="E1765" i="10"/>
  <c r="H1765" i="10"/>
  <c r="J1765" i="10"/>
  <c r="A1766" i="10"/>
  <c r="C1765" i="10"/>
  <c r="F1765" i="10"/>
  <c r="C1766" i="10"/>
  <c r="F1766" i="10"/>
  <c r="D1766" i="10"/>
  <c r="I1766" i="10"/>
  <c r="E1766" i="10"/>
  <c r="H1766" i="10"/>
  <c r="J1766" i="10"/>
  <c r="A1767" i="10"/>
  <c r="A1768" i="10"/>
  <c r="C1767" i="10"/>
  <c r="F1767" i="10"/>
  <c r="D1767" i="10"/>
  <c r="I1767" i="10"/>
  <c r="E1767" i="10"/>
  <c r="H1767" i="10"/>
  <c r="J1767" i="10"/>
  <c r="E1768" i="10"/>
  <c r="H1768" i="10"/>
  <c r="J1768" i="10"/>
  <c r="A1769" i="10"/>
  <c r="C1768" i="10"/>
  <c r="F1768" i="10"/>
  <c r="D1768" i="10"/>
  <c r="I1768" i="10"/>
  <c r="D1769" i="10"/>
  <c r="I1769" i="10"/>
  <c r="E1769" i="10"/>
  <c r="H1769" i="10"/>
  <c r="J1769" i="10"/>
  <c r="A1770" i="10"/>
  <c r="C1769" i="10"/>
  <c r="F1769" i="10"/>
  <c r="C1770" i="10"/>
  <c r="F1770" i="10"/>
  <c r="D1770" i="10"/>
  <c r="I1770" i="10"/>
  <c r="E1770" i="10"/>
  <c r="H1770" i="10"/>
  <c r="J1770" i="10"/>
  <c r="A1771" i="10"/>
  <c r="A1772" i="10"/>
  <c r="C1771" i="10"/>
  <c r="F1771" i="10"/>
  <c r="D1771" i="10"/>
  <c r="I1771" i="10"/>
  <c r="E1771" i="10"/>
  <c r="H1771" i="10"/>
  <c r="J1771" i="10"/>
  <c r="E1772" i="10"/>
  <c r="H1772" i="10"/>
  <c r="J1772" i="10"/>
  <c r="A1773" i="10"/>
  <c r="C1772" i="10"/>
  <c r="F1772" i="10"/>
  <c r="D1772" i="10"/>
  <c r="I1772" i="10"/>
  <c r="D1773" i="10"/>
  <c r="I1773" i="10"/>
  <c r="E1773" i="10"/>
  <c r="H1773" i="10"/>
  <c r="J1773" i="10"/>
  <c r="A1774" i="10"/>
  <c r="C1773" i="10"/>
  <c r="F1773" i="10"/>
  <c r="C1774" i="10"/>
  <c r="F1774" i="10"/>
  <c r="D1774" i="10"/>
  <c r="I1774" i="10"/>
  <c r="E1774" i="10"/>
  <c r="H1774" i="10"/>
  <c r="J1774" i="10"/>
  <c r="A1775" i="10"/>
  <c r="A1776" i="10"/>
  <c r="C1775" i="10"/>
  <c r="F1775" i="10"/>
  <c r="D1775" i="10"/>
  <c r="I1775" i="10"/>
  <c r="E1775" i="10"/>
  <c r="H1775" i="10"/>
  <c r="J1775" i="10"/>
  <c r="E1776" i="10"/>
  <c r="H1776" i="10"/>
  <c r="J1776" i="10"/>
  <c r="A1777" i="10"/>
  <c r="C1776" i="10"/>
  <c r="F1776" i="10"/>
  <c r="D1776" i="10"/>
  <c r="I1776" i="10"/>
  <c r="D1777" i="10"/>
  <c r="I1777" i="10"/>
  <c r="E1777" i="10"/>
  <c r="H1777" i="10"/>
  <c r="J1777" i="10"/>
  <c r="A1778" i="10"/>
  <c r="C1777" i="10"/>
  <c r="F1777" i="10"/>
  <c r="C1778" i="10"/>
  <c r="F1778" i="10"/>
  <c r="D1778" i="10"/>
  <c r="I1778" i="10"/>
  <c r="E1778" i="10"/>
  <c r="H1778" i="10"/>
  <c r="J1778" i="10"/>
  <c r="A1779" i="10"/>
  <c r="A1780" i="10"/>
  <c r="C1779" i="10"/>
  <c r="F1779" i="10"/>
  <c r="D1779" i="10"/>
  <c r="I1779" i="10"/>
  <c r="E1779" i="10"/>
  <c r="H1779" i="10"/>
  <c r="J1779" i="10"/>
  <c r="E1780" i="10"/>
  <c r="H1780" i="10"/>
  <c r="J1780" i="10"/>
  <c r="A1781" i="10"/>
  <c r="C1780" i="10"/>
  <c r="F1780" i="10"/>
  <c r="D1780" i="10"/>
  <c r="I1780" i="10"/>
  <c r="D1781" i="10"/>
  <c r="I1781" i="10"/>
  <c r="E1781" i="10"/>
  <c r="H1781" i="10"/>
  <c r="J1781" i="10"/>
  <c r="A1782" i="10"/>
  <c r="C1781" i="10"/>
  <c r="F1781" i="10"/>
  <c r="C1782" i="10"/>
  <c r="F1782" i="10"/>
  <c r="D1782" i="10"/>
  <c r="I1782" i="10"/>
  <c r="E1782" i="10"/>
  <c r="H1782" i="10"/>
  <c r="J1782" i="10"/>
  <c r="A1783" i="10"/>
  <c r="A1784" i="10"/>
  <c r="C1783" i="10"/>
  <c r="F1783" i="10"/>
  <c r="D1783" i="10"/>
  <c r="I1783" i="10"/>
  <c r="E1783" i="10"/>
  <c r="H1783" i="10"/>
  <c r="J1783" i="10"/>
  <c r="E1784" i="10"/>
  <c r="H1784" i="10"/>
  <c r="J1784" i="10"/>
  <c r="A1785" i="10"/>
  <c r="C1784" i="10"/>
  <c r="F1784" i="10"/>
  <c r="D1784" i="10"/>
  <c r="I1784" i="10"/>
  <c r="D1785" i="10"/>
  <c r="I1785" i="10"/>
  <c r="E1785" i="10"/>
  <c r="H1785" i="10"/>
  <c r="J1785" i="10"/>
  <c r="A1786" i="10"/>
  <c r="C1785" i="10"/>
  <c r="F1785" i="10"/>
  <c r="C1786" i="10"/>
  <c r="F1786" i="10"/>
  <c r="D1786" i="10"/>
  <c r="I1786" i="10"/>
  <c r="E1786" i="10"/>
  <c r="H1786" i="10"/>
  <c r="J1786" i="10"/>
  <c r="A1787" i="10"/>
  <c r="A1788" i="10"/>
  <c r="C1787" i="10"/>
  <c r="F1787" i="10"/>
  <c r="D1787" i="10"/>
  <c r="I1787" i="10"/>
  <c r="E1787" i="10"/>
  <c r="H1787" i="10"/>
  <c r="J1787" i="10"/>
  <c r="E1788" i="10"/>
  <c r="H1788" i="10"/>
  <c r="J1788" i="10"/>
  <c r="A1789" i="10"/>
  <c r="C1788" i="10"/>
  <c r="F1788" i="10"/>
  <c r="D1788" i="10"/>
  <c r="I1788" i="10"/>
  <c r="D1789" i="10"/>
  <c r="I1789" i="10"/>
  <c r="E1789" i="10"/>
  <c r="H1789" i="10"/>
  <c r="J1789" i="10"/>
  <c r="A1790" i="10"/>
  <c r="C1789" i="10"/>
  <c r="F1789" i="10"/>
  <c r="C1790" i="10"/>
  <c r="F1790" i="10"/>
  <c r="D1790" i="10"/>
  <c r="I1790" i="10"/>
  <c r="E1790" i="10"/>
  <c r="H1790" i="10"/>
  <c r="J1790" i="10"/>
  <c r="A1791" i="10"/>
  <c r="A1792" i="10"/>
  <c r="C1791" i="10"/>
  <c r="F1791" i="10"/>
  <c r="D1791" i="10"/>
  <c r="I1791" i="10"/>
  <c r="E1791" i="10"/>
  <c r="H1791" i="10"/>
  <c r="J1791" i="10"/>
  <c r="E1792" i="10"/>
  <c r="H1792" i="10"/>
  <c r="J1792" i="10"/>
  <c r="A1793" i="10"/>
  <c r="C1792" i="10"/>
  <c r="F1792" i="10"/>
  <c r="D1792" i="10"/>
  <c r="I1792" i="10"/>
  <c r="D1793" i="10"/>
  <c r="I1793" i="10"/>
  <c r="E1793" i="10"/>
  <c r="H1793" i="10"/>
  <c r="J1793" i="10"/>
  <c r="A1794" i="10"/>
  <c r="C1793" i="10"/>
  <c r="F1793" i="10"/>
  <c r="C1794" i="10"/>
  <c r="F1794" i="10"/>
  <c r="D1794" i="10"/>
  <c r="I1794" i="10"/>
  <c r="E1794" i="10"/>
  <c r="H1794" i="10"/>
  <c r="J1794" i="10"/>
  <c r="A1795" i="10"/>
  <c r="A1796" i="10"/>
  <c r="C1795" i="10"/>
  <c r="F1795" i="10"/>
  <c r="D1795" i="10"/>
  <c r="I1795" i="10"/>
  <c r="E1795" i="10"/>
  <c r="H1795" i="10"/>
  <c r="J1795" i="10"/>
  <c r="E1796" i="10"/>
  <c r="H1796" i="10"/>
  <c r="J1796" i="10"/>
  <c r="A1797" i="10"/>
  <c r="C1796" i="10"/>
  <c r="F1796" i="10"/>
  <c r="D1796" i="10"/>
  <c r="I1796" i="10"/>
  <c r="D1797" i="10"/>
  <c r="I1797" i="10"/>
  <c r="E1797" i="10"/>
  <c r="H1797" i="10"/>
  <c r="J1797" i="10"/>
  <c r="A1798" i="10"/>
  <c r="C1797" i="10"/>
  <c r="F1797" i="10"/>
  <c r="C1798" i="10"/>
  <c r="F1798" i="10"/>
  <c r="D1798" i="10"/>
  <c r="I1798" i="10"/>
  <c r="E1798" i="10"/>
  <c r="H1798" i="10"/>
  <c r="J1798" i="10"/>
  <c r="A1799" i="10"/>
  <c r="A1800" i="10"/>
  <c r="C1799" i="10"/>
  <c r="F1799" i="10"/>
  <c r="D1799" i="10"/>
  <c r="I1799" i="10"/>
  <c r="E1799" i="10"/>
  <c r="H1799" i="10"/>
  <c r="J1799" i="10"/>
  <c r="E1800" i="10"/>
  <c r="H1800" i="10"/>
  <c r="J1800" i="10"/>
  <c r="A1801" i="10"/>
  <c r="C1800" i="10"/>
  <c r="F1800" i="10"/>
  <c r="D1800" i="10"/>
  <c r="I1800" i="10"/>
  <c r="D1801" i="10"/>
  <c r="I1801" i="10"/>
  <c r="E1801" i="10"/>
  <c r="H1801" i="10"/>
  <c r="J1801" i="10"/>
  <c r="A1802" i="10"/>
  <c r="C1801" i="10"/>
  <c r="F1801" i="10"/>
  <c r="C1802" i="10"/>
  <c r="F1802" i="10"/>
  <c r="D1802" i="10"/>
  <c r="I1802" i="10"/>
  <c r="E1802" i="10"/>
  <c r="H1802" i="10"/>
  <c r="J1802" i="10"/>
  <c r="A1803" i="10"/>
  <c r="A1804" i="10"/>
  <c r="C1803" i="10"/>
  <c r="F1803" i="10"/>
  <c r="D1803" i="10"/>
  <c r="I1803" i="10"/>
  <c r="E1803" i="10"/>
  <c r="H1803" i="10"/>
  <c r="J1803" i="10"/>
  <c r="E1804" i="10"/>
  <c r="H1804" i="10"/>
  <c r="J1804" i="10"/>
  <c r="A1805" i="10"/>
  <c r="C1804" i="10"/>
  <c r="F1804" i="10"/>
  <c r="D1804" i="10"/>
  <c r="I1804" i="10"/>
  <c r="D1805" i="10"/>
  <c r="I1805" i="10"/>
  <c r="E1805" i="10"/>
  <c r="H1805" i="10"/>
  <c r="J1805" i="10"/>
  <c r="A1806" i="10"/>
  <c r="C1805" i="10"/>
  <c r="F1805" i="10"/>
  <c r="C1806" i="10"/>
  <c r="F1806" i="10"/>
  <c r="D1806" i="10"/>
  <c r="I1806" i="10"/>
  <c r="E1806" i="10"/>
  <c r="H1806" i="10"/>
  <c r="J1806" i="10"/>
  <c r="A1807" i="10"/>
  <c r="A1808" i="10"/>
  <c r="C1807" i="10"/>
  <c r="F1807" i="10"/>
  <c r="D1807" i="10"/>
  <c r="I1807" i="10"/>
  <c r="E1807" i="10"/>
  <c r="H1807" i="10"/>
  <c r="J1807" i="10"/>
  <c r="E1808" i="10"/>
  <c r="H1808" i="10"/>
  <c r="J1808" i="10"/>
  <c r="A1809" i="10"/>
  <c r="C1808" i="10"/>
  <c r="F1808" i="10"/>
  <c r="D1808" i="10"/>
  <c r="I1808" i="10"/>
  <c r="D1809" i="10"/>
  <c r="I1809" i="10"/>
  <c r="E1809" i="10"/>
  <c r="H1809" i="10"/>
  <c r="J1809" i="10"/>
  <c r="A1810" i="10"/>
  <c r="C1809" i="10"/>
  <c r="F1809" i="10"/>
  <c r="C1810" i="10"/>
  <c r="F1810" i="10"/>
  <c r="D1810" i="10"/>
  <c r="I1810" i="10"/>
  <c r="E1810" i="10"/>
  <c r="H1810" i="10"/>
  <c r="J1810" i="10"/>
  <c r="A1811" i="10"/>
  <c r="A1812" i="10"/>
  <c r="C1811" i="10"/>
  <c r="F1811" i="10"/>
  <c r="D1811" i="10"/>
  <c r="I1811" i="10"/>
  <c r="E1811" i="10"/>
  <c r="H1811" i="10"/>
  <c r="J1811" i="10"/>
  <c r="E1812" i="10"/>
  <c r="H1812" i="10"/>
  <c r="J1812" i="10"/>
  <c r="A1813" i="10"/>
  <c r="C1812" i="10"/>
  <c r="F1812" i="10"/>
  <c r="D1812" i="10"/>
  <c r="I1812" i="10"/>
  <c r="D1813" i="10"/>
  <c r="I1813" i="10"/>
  <c r="E1813" i="10"/>
  <c r="H1813" i="10"/>
  <c r="J1813" i="10"/>
  <c r="A1814" i="10"/>
  <c r="C1813" i="10"/>
  <c r="F1813" i="10"/>
  <c r="C1814" i="10"/>
  <c r="F1814" i="10"/>
  <c r="D1814" i="10"/>
  <c r="I1814" i="10"/>
  <c r="E1814" i="10"/>
  <c r="H1814" i="10"/>
  <c r="J1814" i="10"/>
  <c r="A1815" i="10"/>
  <c r="A1816" i="10"/>
  <c r="C1815" i="10"/>
  <c r="F1815" i="10"/>
  <c r="D1815" i="10"/>
  <c r="I1815" i="10"/>
  <c r="E1815" i="10"/>
  <c r="H1815" i="10"/>
  <c r="J1815" i="10"/>
  <c r="E1816" i="10"/>
  <c r="H1816" i="10"/>
  <c r="J1816" i="10"/>
  <c r="A1817" i="10"/>
  <c r="C1816" i="10"/>
  <c r="F1816" i="10"/>
  <c r="D1816" i="10"/>
  <c r="I1816" i="10"/>
  <c r="D1817" i="10"/>
  <c r="I1817" i="10"/>
  <c r="E1817" i="10"/>
  <c r="H1817" i="10"/>
  <c r="J1817" i="10"/>
  <c r="A1818" i="10"/>
  <c r="C1817" i="10"/>
  <c r="F1817" i="10"/>
  <c r="C1818" i="10"/>
  <c r="F1818" i="10"/>
  <c r="D1818" i="10"/>
  <c r="I1818" i="10"/>
  <c r="E1818" i="10"/>
  <c r="H1818" i="10"/>
  <c r="J1818" i="10"/>
  <c r="A1819" i="10"/>
  <c r="A1820" i="10"/>
  <c r="C1819" i="10"/>
  <c r="F1819" i="10"/>
  <c r="D1819" i="10"/>
  <c r="I1819" i="10"/>
  <c r="E1819" i="10"/>
  <c r="H1819" i="10"/>
  <c r="J1819" i="10"/>
  <c r="E1820" i="10"/>
  <c r="H1820" i="10"/>
  <c r="J1820" i="10"/>
  <c r="A1821" i="10"/>
  <c r="C1820" i="10"/>
  <c r="F1820" i="10"/>
  <c r="D1820" i="10"/>
  <c r="I1820" i="10"/>
  <c r="D1821" i="10"/>
  <c r="I1821" i="10"/>
  <c r="E1821" i="10"/>
  <c r="H1821" i="10"/>
  <c r="J1821" i="10"/>
  <c r="A1822" i="10"/>
  <c r="C1821" i="10"/>
  <c r="F1821" i="10"/>
  <c r="C1822" i="10"/>
  <c r="F1822" i="10"/>
  <c r="D1822" i="10"/>
  <c r="I1822" i="10"/>
  <c r="E1822" i="10"/>
  <c r="H1822" i="10"/>
  <c r="J1822" i="10"/>
  <c r="A1823" i="10"/>
  <c r="A1824" i="10"/>
  <c r="C1823" i="10"/>
  <c r="F1823" i="10"/>
  <c r="D1823" i="10"/>
  <c r="I1823" i="10"/>
  <c r="E1823" i="10"/>
  <c r="H1823" i="10"/>
  <c r="J1823" i="10"/>
  <c r="E1824" i="10"/>
  <c r="H1824" i="10"/>
  <c r="J1824" i="10"/>
  <c r="A1825" i="10"/>
  <c r="C1824" i="10"/>
  <c r="F1824" i="10"/>
  <c r="D1824" i="10"/>
  <c r="I1824" i="10"/>
  <c r="D1825" i="10"/>
  <c r="I1825" i="10"/>
  <c r="E1825" i="10"/>
  <c r="H1825" i="10"/>
  <c r="J1825" i="10"/>
  <c r="A1826" i="10"/>
  <c r="C1825" i="10"/>
  <c r="F1825" i="10"/>
  <c r="C1826" i="10"/>
  <c r="F1826" i="10"/>
  <c r="D1826" i="10"/>
  <c r="I1826" i="10"/>
  <c r="E1826" i="10"/>
  <c r="H1826" i="10"/>
  <c r="J1826" i="10"/>
  <c r="A1827" i="10"/>
  <c r="A1828" i="10"/>
  <c r="C1827" i="10"/>
  <c r="F1827" i="10"/>
  <c r="D1827" i="10"/>
  <c r="I1827" i="10"/>
  <c r="E1827" i="10"/>
  <c r="H1827" i="10"/>
  <c r="J1827" i="10"/>
  <c r="E1828" i="10"/>
  <c r="H1828" i="10"/>
  <c r="J1828" i="10"/>
  <c r="A1829" i="10"/>
  <c r="C1828" i="10"/>
  <c r="F1828" i="10"/>
  <c r="D1828" i="10"/>
  <c r="I1828" i="10"/>
  <c r="D1829" i="10"/>
  <c r="I1829" i="10"/>
  <c r="E1829" i="10"/>
  <c r="H1829" i="10"/>
  <c r="J1829" i="10"/>
  <c r="A1830" i="10"/>
  <c r="C1829" i="10"/>
  <c r="F1829" i="10"/>
  <c r="C1830" i="10"/>
  <c r="F1830" i="10"/>
  <c r="D1830" i="10"/>
  <c r="I1830" i="10"/>
  <c r="E1830" i="10"/>
  <c r="H1830" i="10"/>
  <c r="J1830" i="10"/>
  <c r="A1831" i="10"/>
  <c r="A1832" i="10"/>
  <c r="C1831" i="10"/>
  <c r="F1831" i="10"/>
  <c r="D1831" i="10"/>
  <c r="I1831" i="10"/>
  <c r="E1831" i="10"/>
  <c r="H1831" i="10"/>
  <c r="J1831" i="10"/>
  <c r="E1832" i="10"/>
  <c r="H1832" i="10"/>
  <c r="J1832" i="10"/>
  <c r="A1833" i="10"/>
  <c r="C1832" i="10"/>
  <c r="F1832" i="10"/>
  <c r="D1832" i="10"/>
  <c r="I1832" i="10"/>
  <c r="D1833" i="10"/>
  <c r="I1833" i="10"/>
  <c r="E1833" i="10"/>
  <c r="H1833" i="10"/>
  <c r="J1833" i="10"/>
  <c r="A1834" i="10"/>
  <c r="C1833" i="10"/>
  <c r="F1833" i="10"/>
  <c r="C1834" i="10"/>
  <c r="F1834" i="10"/>
  <c r="D1834" i="10"/>
  <c r="I1834" i="10"/>
  <c r="E1834" i="10"/>
  <c r="H1834" i="10"/>
  <c r="J1834" i="10"/>
  <c r="A1835" i="10"/>
  <c r="A1836" i="10"/>
  <c r="C1835" i="10"/>
  <c r="F1835" i="10"/>
  <c r="D1835" i="10"/>
  <c r="I1835" i="10"/>
  <c r="E1835" i="10"/>
  <c r="H1835" i="10"/>
  <c r="J1835" i="10"/>
  <c r="E1836" i="10"/>
  <c r="H1836" i="10"/>
  <c r="J1836" i="10"/>
  <c r="A1837" i="10"/>
  <c r="C1836" i="10"/>
  <c r="F1836" i="10"/>
  <c r="D1836" i="10"/>
  <c r="I1836" i="10"/>
  <c r="D1837" i="10"/>
  <c r="I1837" i="10"/>
  <c r="E1837" i="10"/>
  <c r="H1837" i="10"/>
  <c r="J1837" i="10"/>
  <c r="A1838" i="10"/>
  <c r="C1837" i="10"/>
  <c r="F1837" i="10"/>
  <c r="C1838" i="10"/>
  <c r="F1838" i="10"/>
  <c r="D1838" i="10"/>
  <c r="I1838" i="10"/>
  <c r="E1838" i="10"/>
  <c r="H1838" i="10"/>
  <c r="J1838" i="10"/>
  <c r="A1839" i="10"/>
  <c r="A1840" i="10"/>
  <c r="C1839" i="10"/>
  <c r="F1839" i="10"/>
  <c r="D1839" i="10"/>
  <c r="I1839" i="10"/>
  <c r="E1839" i="10"/>
  <c r="H1839" i="10"/>
  <c r="J1839" i="10"/>
  <c r="E1840" i="10"/>
  <c r="H1840" i="10"/>
  <c r="J1840" i="10"/>
  <c r="A1841" i="10"/>
  <c r="C1840" i="10"/>
  <c r="F1840" i="10"/>
  <c r="D1840" i="10"/>
  <c r="I1840" i="10"/>
  <c r="D1841" i="10"/>
  <c r="I1841" i="10"/>
  <c r="E1841" i="10"/>
  <c r="H1841" i="10"/>
  <c r="J1841" i="10"/>
  <c r="A1842" i="10"/>
  <c r="C1841" i="10"/>
  <c r="F1841" i="10"/>
  <c r="C1842" i="10"/>
  <c r="F1842" i="10"/>
  <c r="D1842" i="10"/>
  <c r="I1842" i="10"/>
  <c r="E1842" i="10"/>
  <c r="H1842" i="10"/>
  <c r="J1842" i="10"/>
  <c r="A1843" i="10"/>
  <c r="A1844" i="10"/>
  <c r="C1843" i="10"/>
  <c r="F1843" i="10"/>
  <c r="D1843" i="10"/>
  <c r="I1843" i="10"/>
  <c r="E1843" i="10"/>
  <c r="H1843" i="10"/>
  <c r="J1843" i="10"/>
  <c r="E1844" i="10"/>
  <c r="H1844" i="10"/>
  <c r="J1844" i="10"/>
  <c r="A1845" i="10"/>
  <c r="C1844" i="10"/>
  <c r="F1844" i="10"/>
  <c r="D1844" i="10"/>
  <c r="I1844" i="10"/>
  <c r="D1845" i="10"/>
  <c r="I1845" i="10"/>
  <c r="E1845" i="10"/>
  <c r="H1845" i="10"/>
  <c r="J1845" i="10"/>
  <c r="A1846" i="10"/>
  <c r="C1845" i="10"/>
  <c r="F1845" i="10"/>
  <c r="C1846" i="10"/>
  <c r="F1846" i="10"/>
  <c r="D1846" i="10"/>
  <c r="I1846" i="10"/>
  <c r="E1846" i="10"/>
  <c r="H1846" i="10"/>
  <c r="J1846" i="10"/>
  <c r="A1847" i="10"/>
  <c r="A1848" i="10"/>
  <c r="C1847" i="10"/>
  <c r="F1847" i="10"/>
  <c r="D1847" i="10"/>
  <c r="I1847" i="10"/>
  <c r="E1847" i="10"/>
  <c r="H1847" i="10"/>
  <c r="J1847" i="10"/>
  <c r="E1848" i="10"/>
  <c r="H1848" i="10"/>
  <c r="J1848" i="10"/>
  <c r="A1849" i="10"/>
  <c r="C1848" i="10"/>
  <c r="F1848" i="10"/>
  <c r="D1848" i="10"/>
  <c r="I1848" i="10"/>
  <c r="D1849" i="10"/>
  <c r="I1849" i="10"/>
  <c r="E1849" i="10"/>
  <c r="H1849" i="10"/>
  <c r="J1849" i="10"/>
  <c r="A1850" i="10"/>
  <c r="C1849" i="10"/>
  <c r="F1849" i="10"/>
  <c r="C1850" i="10"/>
  <c r="F1850" i="10"/>
  <c r="D1850" i="10"/>
  <c r="I1850" i="10"/>
  <c r="E1850" i="10"/>
  <c r="H1850" i="10"/>
  <c r="J1850" i="10"/>
  <c r="A1851" i="10"/>
  <c r="A1852" i="10"/>
  <c r="C1851" i="10"/>
  <c r="F1851" i="10"/>
  <c r="D1851" i="10"/>
  <c r="I1851" i="10"/>
  <c r="E1851" i="10"/>
  <c r="H1851" i="10"/>
  <c r="J1851" i="10"/>
  <c r="E1852" i="10"/>
  <c r="H1852" i="10"/>
  <c r="J1852" i="10"/>
  <c r="A1853" i="10"/>
  <c r="C1852" i="10"/>
  <c r="F1852" i="10"/>
  <c r="D1852" i="10"/>
  <c r="I1852" i="10"/>
  <c r="D1853" i="10"/>
  <c r="I1853" i="10"/>
  <c r="E1853" i="10"/>
  <c r="H1853" i="10"/>
  <c r="J1853" i="10"/>
  <c r="A1854" i="10"/>
  <c r="C1853" i="10"/>
  <c r="F1853" i="10"/>
  <c r="C1854" i="10"/>
  <c r="F1854" i="10"/>
  <c r="D1854" i="10"/>
  <c r="I1854" i="10"/>
  <c r="E1854" i="10"/>
  <c r="H1854" i="10"/>
  <c r="J1854" i="10"/>
  <c r="A1855" i="10"/>
  <c r="A1856" i="10"/>
  <c r="C1855" i="10"/>
  <c r="F1855" i="10"/>
  <c r="D1855" i="10"/>
  <c r="I1855" i="10"/>
  <c r="E1855" i="10"/>
  <c r="H1855" i="10"/>
  <c r="J1855" i="10"/>
  <c r="E1856" i="10"/>
  <c r="H1856" i="10"/>
  <c r="J1856" i="10"/>
  <c r="A1857" i="10"/>
  <c r="C1856" i="10"/>
  <c r="F1856" i="10"/>
  <c r="D1856" i="10"/>
  <c r="I1856" i="10"/>
  <c r="D1857" i="10"/>
  <c r="I1857" i="10"/>
  <c r="E1857" i="10"/>
  <c r="H1857" i="10"/>
  <c r="J1857" i="10"/>
  <c r="A1858" i="10"/>
  <c r="C1857" i="10"/>
  <c r="F1857" i="10"/>
  <c r="C1858" i="10"/>
  <c r="F1858" i="10"/>
  <c r="D1858" i="10"/>
  <c r="I1858" i="10"/>
  <c r="E1858" i="10"/>
  <c r="H1858" i="10"/>
  <c r="J1858" i="10"/>
  <c r="A1859" i="10"/>
  <c r="A1860" i="10"/>
  <c r="C1859" i="10"/>
  <c r="F1859" i="10"/>
  <c r="D1859" i="10"/>
  <c r="I1859" i="10"/>
  <c r="E1859" i="10"/>
  <c r="H1859" i="10"/>
  <c r="J1859" i="10"/>
  <c r="E1860" i="10"/>
  <c r="H1860" i="10"/>
  <c r="J1860" i="10"/>
  <c r="A1861" i="10"/>
  <c r="C1860" i="10"/>
  <c r="F1860" i="10"/>
  <c r="D1860" i="10"/>
  <c r="I1860" i="10"/>
  <c r="D1861" i="10"/>
  <c r="I1861" i="10"/>
  <c r="E1861" i="10"/>
  <c r="H1861" i="10"/>
  <c r="J1861" i="10"/>
  <c r="A1862" i="10"/>
  <c r="C1861" i="10"/>
  <c r="F1861" i="10"/>
  <c r="C1862" i="10"/>
  <c r="F1862" i="10"/>
  <c r="D1862" i="10"/>
  <c r="I1862" i="10"/>
  <c r="E1862" i="10"/>
  <c r="H1862" i="10"/>
  <c r="J1862" i="10"/>
  <c r="A1863" i="10"/>
  <c r="A1864" i="10"/>
  <c r="C1863" i="10"/>
  <c r="F1863" i="10"/>
  <c r="D1863" i="10"/>
  <c r="I1863" i="10"/>
  <c r="E1863" i="10"/>
  <c r="H1863" i="10"/>
  <c r="J1863" i="10"/>
  <c r="E1864" i="10"/>
  <c r="H1864" i="10"/>
  <c r="J1864" i="10"/>
  <c r="A1865" i="10"/>
  <c r="C1864" i="10"/>
  <c r="F1864" i="10"/>
  <c r="D1864" i="10"/>
  <c r="I1864" i="10"/>
  <c r="D1865" i="10"/>
  <c r="I1865" i="10"/>
  <c r="E1865" i="10"/>
  <c r="H1865" i="10"/>
  <c r="J1865" i="10"/>
  <c r="A1866" i="10"/>
  <c r="C1865" i="10"/>
  <c r="F1865" i="10"/>
  <c r="C1866" i="10"/>
  <c r="F1866" i="10"/>
  <c r="D1866" i="10"/>
  <c r="I1866" i="10"/>
  <c r="E1866" i="10"/>
  <c r="H1866" i="10"/>
  <c r="J1866" i="10"/>
  <c r="A1867" i="10"/>
  <c r="A1868" i="10"/>
  <c r="C1867" i="10"/>
  <c r="F1867" i="10"/>
  <c r="D1867" i="10"/>
  <c r="I1867" i="10"/>
  <c r="E1867" i="10"/>
  <c r="H1867" i="10"/>
  <c r="J1867" i="10"/>
  <c r="E1868" i="10"/>
  <c r="H1868" i="10"/>
  <c r="J1868" i="10"/>
  <c r="A1869" i="10"/>
  <c r="C1868" i="10"/>
  <c r="F1868" i="10"/>
  <c r="D1868" i="10"/>
  <c r="I1868" i="10"/>
  <c r="D1869" i="10"/>
  <c r="I1869" i="10"/>
  <c r="E1869" i="10"/>
  <c r="H1869" i="10"/>
  <c r="J1869" i="10"/>
  <c r="A1870" i="10"/>
  <c r="C1869" i="10"/>
  <c r="F1869" i="10"/>
  <c r="C1870" i="10"/>
  <c r="F1870" i="10"/>
  <c r="D1870" i="10"/>
  <c r="I1870" i="10"/>
  <c r="E1870" i="10"/>
  <c r="H1870" i="10"/>
  <c r="J1870" i="10"/>
  <c r="A1871" i="10"/>
  <c r="A1872" i="10"/>
  <c r="C1871" i="10"/>
  <c r="F1871" i="10"/>
  <c r="D1871" i="10"/>
  <c r="I1871" i="10"/>
  <c r="E1871" i="10"/>
  <c r="H1871" i="10"/>
  <c r="J1871" i="10"/>
  <c r="E1872" i="10"/>
  <c r="H1872" i="10"/>
  <c r="J1872" i="10"/>
  <c r="A1873" i="10"/>
  <c r="C1872" i="10"/>
  <c r="F1872" i="10"/>
  <c r="D1872" i="10"/>
  <c r="I1872" i="10"/>
  <c r="D1873" i="10"/>
  <c r="I1873" i="10"/>
  <c r="E1873" i="10"/>
  <c r="H1873" i="10"/>
  <c r="J1873" i="10"/>
  <c r="A1874" i="10"/>
  <c r="C1873" i="10"/>
  <c r="F1873" i="10"/>
  <c r="C1874" i="10"/>
  <c r="F1874" i="10"/>
  <c r="D1874" i="10"/>
  <c r="I1874" i="10"/>
  <c r="E1874" i="10"/>
  <c r="H1874" i="10"/>
  <c r="J1874" i="10"/>
  <c r="A1875" i="10"/>
  <c r="A1876" i="10"/>
  <c r="C1875" i="10"/>
  <c r="F1875" i="10"/>
  <c r="D1875" i="10"/>
  <c r="I1875" i="10"/>
  <c r="E1875" i="10"/>
  <c r="H1875" i="10"/>
  <c r="J1875" i="10"/>
  <c r="E1876" i="10"/>
  <c r="H1876" i="10"/>
  <c r="J1876" i="10"/>
  <c r="A1877" i="10"/>
  <c r="C1876" i="10"/>
  <c r="F1876" i="10"/>
  <c r="D1876" i="10"/>
  <c r="I1876" i="10"/>
  <c r="D1877" i="10"/>
  <c r="I1877" i="10"/>
  <c r="E1877" i="10"/>
  <c r="H1877" i="10"/>
  <c r="J1877" i="10"/>
  <c r="A1878" i="10"/>
  <c r="C1877" i="10"/>
  <c r="F1877" i="10"/>
  <c r="C1878" i="10"/>
  <c r="F1878" i="10"/>
  <c r="D1878" i="10"/>
  <c r="I1878" i="10"/>
  <c r="E1878" i="10"/>
  <c r="H1878" i="10"/>
  <c r="J1878" i="10"/>
  <c r="A1879" i="10"/>
  <c r="A1880" i="10"/>
  <c r="C1879" i="10"/>
  <c r="F1879" i="10"/>
  <c r="D1879" i="10"/>
  <c r="I1879" i="10"/>
  <c r="E1879" i="10"/>
  <c r="H1879" i="10"/>
  <c r="J1879" i="10"/>
  <c r="E1880" i="10"/>
  <c r="H1880" i="10"/>
  <c r="J1880" i="10"/>
  <c r="A1881" i="10"/>
  <c r="C1880" i="10"/>
  <c r="F1880" i="10"/>
  <c r="D1880" i="10"/>
  <c r="I1880" i="10"/>
  <c r="D1881" i="10"/>
  <c r="I1881" i="10"/>
  <c r="E1881" i="10"/>
  <c r="H1881" i="10"/>
  <c r="J1881" i="10"/>
  <c r="A1882" i="10"/>
  <c r="C1881" i="10"/>
  <c r="F1881" i="10"/>
  <c r="C1882" i="10"/>
  <c r="F1882" i="10"/>
  <c r="D1882" i="10"/>
  <c r="I1882" i="10"/>
  <c r="E1882" i="10"/>
  <c r="H1882" i="10"/>
  <c r="J1882" i="10"/>
  <c r="A1883" i="10"/>
  <c r="A1884" i="10"/>
  <c r="C1883" i="10"/>
  <c r="F1883" i="10"/>
  <c r="D1883" i="10"/>
  <c r="I1883" i="10"/>
  <c r="E1883" i="10"/>
  <c r="H1883" i="10"/>
  <c r="J1883" i="10"/>
  <c r="E1884" i="10"/>
  <c r="H1884" i="10"/>
  <c r="J1884" i="10"/>
  <c r="A1885" i="10"/>
  <c r="C1884" i="10"/>
  <c r="F1884" i="10"/>
  <c r="D1884" i="10"/>
  <c r="I1884" i="10"/>
  <c r="D1885" i="10"/>
  <c r="I1885" i="10"/>
  <c r="E1885" i="10"/>
  <c r="H1885" i="10"/>
  <c r="J1885" i="10"/>
  <c r="A1886" i="10"/>
  <c r="C1885" i="10"/>
  <c r="F1885" i="10"/>
  <c r="C1886" i="10"/>
  <c r="F1886" i="10"/>
  <c r="D1886" i="10"/>
  <c r="I1886" i="10"/>
  <c r="E1886" i="10"/>
  <c r="H1886" i="10"/>
  <c r="J1886" i="10"/>
  <c r="A1887" i="10"/>
  <c r="A1888" i="10"/>
  <c r="C1887" i="10"/>
  <c r="F1887" i="10"/>
  <c r="D1887" i="10"/>
  <c r="I1887" i="10"/>
  <c r="E1887" i="10"/>
  <c r="H1887" i="10"/>
  <c r="J1887" i="10"/>
  <c r="E1888" i="10"/>
  <c r="H1888" i="10"/>
  <c r="J1888" i="10"/>
  <c r="A1889" i="10"/>
  <c r="C1888" i="10"/>
  <c r="F1888" i="10"/>
  <c r="D1888" i="10"/>
  <c r="I1888" i="10"/>
  <c r="D1889" i="10"/>
  <c r="I1889" i="10"/>
  <c r="E1889" i="10"/>
  <c r="H1889" i="10"/>
  <c r="J1889" i="10"/>
  <c r="A1890" i="10"/>
  <c r="C1889" i="10"/>
  <c r="F1889" i="10"/>
  <c r="C1890" i="10"/>
  <c r="F1890" i="10"/>
  <c r="D1890" i="10"/>
  <c r="I1890" i="10"/>
  <c r="E1890" i="10"/>
  <c r="H1890" i="10"/>
  <c r="J1890" i="10"/>
  <c r="A1891" i="10"/>
  <c r="A1892" i="10"/>
  <c r="C1891" i="10"/>
  <c r="F1891" i="10"/>
  <c r="D1891" i="10"/>
  <c r="I1891" i="10"/>
  <c r="E1891" i="10"/>
  <c r="H1891" i="10"/>
  <c r="J1891" i="10"/>
  <c r="E1892" i="10"/>
  <c r="H1892" i="10"/>
  <c r="J1892" i="10"/>
  <c r="A1893" i="10"/>
  <c r="C1892" i="10"/>
  <c r="F1892" i="10"/>
  <c r="D1892" i="10"/>
  <c r="I1892" i="10"/>
  <c r="D1893" i="10"/>
  <c r="I1893" i="10"/>
  <c r="E1893" i="10"/>
  <c r="H1893" i="10"/>
  <c r="J1893" i="10"/>
  <c r="A1894" i="10"/>
  <c r="C1893" i="10"/>
  <c r="F1893" i="10"/>
  <c r="C1894" i="10"/>
  <c r="F1894" i="10"/>
  <c r="D1894" i="10"/>
  <c r="I1894" i="10"/>
  <c r="E1894" i="10"/>
  <c r="H1894" i="10"/>
  <c r="J1894" i="10"/>
  <c r="A1895" i="10"/>
  <c r="A1896" i="10"/>
  <c r="C1895" i="10"/>
  <c r="F1895" i="10"/>
  <c r="D1895" i="10"/>
  <c r="I1895" i="10"/>
  <c r="E1895" i="10"/>
  <c r="H1895" i="10"/>
  <c r="J1895" i="10"/>
  <c r="E1896" i="10"/>
  <c r="H1896" i="10"/>
  <c r="J1896" i="10"/>
  <c r="A1897" i="10"/>
  <c r="C1896" i="10"/>
  <c r="F1896" i="10"/>
  <c r="D1896" i="10"/>
  <c r="I1896" i="10"/>
  <c r="D1897" i="10"/>
  <c r="I1897" i="10"/>
  <c r="E1897" i="10"/>
  <c r="H1897" i="10"/>
  <c r="J1897" i="10"/>
  <c r="A1898" i="10"/>
  <c r="C1897" i="10"/>
  <c r="F1897" i="10"/>
  <c r="C1898" i="10"/>
  <c r="F1898" i="10"/>
  <c r="D1898" i="10"/>
  <c r="I1898" i="10"/>
  <c r="E1898" i="10"/>
  <c r="H1898" i="10"/>
  <c r="J1898" i="10"/>
  <c r="A1899" i="10"/>
  <c r="A1900" i="10"/>
  <c r="C1899" i="10"/>
  <c r="F1899" i="10"/>
  <c r="D1899" i="10"/>
  <c r="I1899" i="10"/>
  <c r="E1899" i="10"/>
  <c r="H1899" i="10"/>
  <c r="J1899" i="10"/>
  <c r="E1900" i="10"/>
  <c r="H1900" i="10"/>
  <c r="J1900" i="10"/>
  <c r="A1901" i="10"/>
  <c r="C1900" i="10"/>
  <c r="F1900" i="10"/>
  <c r="D1900" i="10"/>
  <c r="I1900" i="10"/>
  <c r="D1901" i="10"/>
  <c r="I1901" i="10"/>
  <c r="E1901" i="10"/>
  <c r="H1901" i="10"/>
  <c r="J1901" i="10"/>
  <c r="A1902" i="10"/>
  <c r="C1901" i="10"/>
  <c r="F1901" i="10"/>
  <c r="C1902" i="10"/>
  <c r="F1902" i="10"/>
  <c r="D1902" i="10"/>
  <c r="I1902" i="10"/>
  <c r="E1902" i="10"/>
  <c r="H1902" i="10"/>
  <c r="J1902" i="10"/>
  <c r="A1903" i="10"/>
  <c r="A1904" i="10"/>
  <c r="C1903" i="10"/>
  <c r="F1903" i="10"/>
  <c r="D1903" i="10"/>
  <c r="I1903" i="10"/>
  <c r="E1903" i="10"/>
  <c r="H1903" i="10"/>
  <c r="J1903" i="10"/>
  <c r="E1904" i="10"/>
  <c r="H1904" i="10"/>
  <c r="J1904" i="10"/>
  <c r="A1905" i="10"/>
  <c r="C1904" i="10"/>
  <c r="F1904" i="10"/>
  <c r="D1904" i="10"/>
  <c r="I1904" i="10"/>
  <c r="D1905" i="10"/>
  <c r="I1905" i="10"/>
  <c r="E1905" i="10"/>
  <c r="H1905" i="10"/>
  <c r="J1905" i="10"/>
  <c r="A1906" i="10"/>
  <c r="C1905" i="10"/>
  <c r="F1905" i="10"/>
  <c r="C1906" i="10"/>
  <c r="F1906" i="10"/>
  <c r="D1906" i="10"/>
  <c r="I1906" i="10"/>
  <c r="E1906" i="10"/>
  <c r="H1906" i="10"/>
  <c r="J1906" i="10"/>
  <c r="A1907" i="10"/>
  <c r="A1908" i="10"/>
  <c r="C1907" i="10"/>
  <c r="F1907" i="10"/>
  <c r="D1907" i="10"/>
  <c r="I1907" i="10"/>
  <c r="E1907" i="10"/>
  <c r="H1907" i="10"/>
  <c r="J1907" i="10"/>
  <c r="E1908" i="10"/>
  <c r="H1908" i="10"/>
  <c r="J1908" i="10"/>
  <c r="A1909" i="10"/>
  <c r="C1908" i="10"/>
  <c r="F1908" i="10"/>
  <c r="D1908" i="10"/>
  <c r="I1908" i="10"/>
  <c r="D1909" i="10"/>
  <c r="I1909" i="10"/>
  <c r="E1909" i="10"/>
  <c r="H1909" i="10"/>
  <c r="J1909" i="10"/>
  <c r="A1910" i="10"/>
  <c r="C1909" i="10"/>
  <c r="F1909" i="10"/>
  <c r="C1910" i="10"/>
  <c r="F1910" i="10"/>
  <c r="D1910" i="10"/>
  <c r="I1910" i="10"/>
  <c r="E1910" i="10"/>
  <c r="H1910" i="10"/>
  <c r="J1910" i="10"/>
  <c r="A1911" i="10"/>
  <c r="A1912" i="10"/>
  <c r="C1911" i="10"/>
  <c r="F1911" i="10"/>
  <c r="D1911" i="10"/>
  <c r="I1911" i="10"/>
  <c r="E1911" i="10"/>
  <c r="H1911" i="10"/>
  <c r="J1911" i="10"/>
  <c r="E1912" i="10"/>
  <c r="H1912" i="10"/>
  <c r="J1912" i="10"/>
  <c r="A1913" i="10"/>
  <c r="C1912" i="10"/>
  <c r="F1912" i="10"/>
  <c r="D1912" i="10"/>
  <c r="I1912" i="10"/>
  <c r="D1913" i="10"/>
  <c r="I1913" i="10"/>
  <c r="E1913" i="10"/>
  <c r="H1913" i="10"/>
  <c r="J1913" i="10"/>
  <c r="A1914" i="10"/>
  <c r="C1913" i="10"/>
  <c r="F1913" i="10"/>
  <c r="C1914" i="10"/>
  <c r="F1914" i="10"/>
  <c r="D1914" i="10"/>
  <c r="I1914" i="10"/>
  <c r="E1914" i="10"/>
  <c r="H1914" i="10"/>
  <c r="J1914" i="10"/>
  <c r="A1915" i="10"/>
  <c r="A1916" i="10"/>
  <c r="C1915" i="10"/>
  <c r="F1915" i="10"/>
  <c r="D1915" i="10"/>
  <c r="I1915" i="10"/>
  <c r="E1915" i="10"/>
  <c r="H1915" i="10"/>
  <c r="J1915" i="10"/>
  <c r="E1916" i="10"/>
  <c r="H1916" i="10"/>
  <c r="J1916" i="10"/>
  <c r="A1917" i="10"/>
  <c r="C1916" i="10"/>
  <c r="F1916" i="10"/>
  <c r="D1916" i="10"/>
  <c r="I1916" i="10"/>
  <c r="D1917" i="10"/>
  <c r="I1917" i="10"/>
  <c r="E1917" i="10"/>
  <c r="H1917" i="10"/>
  <c r="J1917" i="10"/>
  <c r="A1918" i="10"/>
  <c r="C1917" i="10"/>
  <c r="F1917" i="10"/>
  <c r="C1918" i="10"/>
  <c r="F1918" i="10"/>
  <c r="D1918" i="10"/>
  <c r="I1918" i="10"/>
  <c r="E1918" i="10"/>
  <c r="H1918" i="10"/>
  <c r="J1918" i="10"/>
  <c r="A1919" i="10"/>
  <c r="A1920" i="10"/>
  <c r="C1919" i="10"/>
  <c r="F1919" i="10"/>
  <c r="D1919" i="10"/>
  <c r="I1919" i="10"/>
  <c r="E1919" i="10"/>
  <c r="H1919" i="10"/>
  <c r="J1919" i="10"/>
  <c r="E1920" i="10"/>
  <c r="H1920" i="10"/>
  <c r="J1920" i="10"/>
  <c r="A1921" i="10"/>
  <c r="C1920" i="10"/>
  <c r="F1920" i="10"/>
  <c r="D1920" i="10"/>
  <c r="I1920" i="10"/>
  <c r="D1921" i="10"/>
  <c r="I1921" i="10"/>
  <c r="E1921" i="10"/>
  <c r="H1921" i="10"/>
  <c r="J1921" i="10"/>
  <c r="A1922" i="10"/>
  <c r="C1921" i="10"/>
  <c r="F1921" i="10"/>
  <c r="C1922" i="10"/>
  <c r="F1922" i="10"/>
  <c r="D1922" i="10"/>
  <c r="I1922" i="10"/>
  <c r="E1922" i="10"/>
  <c r="H1922" i="10"/>
  <c r="J1922" i="10"/>
  <c r="A1923" i="10"/>
  <c r="A1924" i="10"/>
  <c r="C1923" i="10"/>
  <c r="F1923" i="10"/>
  <c r="D1923" i="10"/>
  <c r="I1923" i="10"/>
  <c r="E1923" i="10"/>
  <c r="H1923" i="10"/>
  <c r="J1923" i="10"/>
  <c r="E1924" i="10"/>
  <c r="H1924" i="10"/>
  <c r="J1924" i="10"/>
  <c r="A1925" i="10"/>
  <c r="C1924" i="10"/>
  <c r="F1924" i="10"/>
  <c r="D1924" i="10"/>
  <c r="I1924" i="10"/>
  <c r="D1925" i="10"/>
  <c r="I1925" i="10"/>
  <c r="E1925" i="10"/>
  <c r="H1925" i="10"/>
  <c r="J1925" i="10"/>
  <c r="A1926" i="10"/>
  <c r="C1925" i="10"/>
  <c r="F1925" i="10"/>
  <c r="C1926" i="10"/>
  <c r="F1926" i="10"/>
  <c r="D1926" i="10"/>
  <c r="I1926" i="10"/>
  <c r="E1926" i="10"/>
  <c r="H1926" i="10"/>
  <c r="J1926" i="10"/>
  <c r="A1927" i="10"/>
  <c r="A1928" i="10"/>
  <c r="C1927" i="10"/>
  <c r="F1927" i="10"/>
  <c r="D1927" i="10"/>
  <c r="I1927" i="10"/>
  <c r="E1927" i="10"/>
  <c r="H1927" i="10"/>
  <c r="J1927" i="10"/>
  <c r="E1928" i="10"/>
  <c r="H1928" i="10"/>
  <c r="J1928" i="10"/>
  <c r="A1929" i="10"/>
  <c r="C1928" i="10"/>
  <c r="F1928" i="10"/>
  <c r="D1928" i="10"/>
  <c r="I1928" i="10"/>
  <c r="D1929" i="10"/>
  <c r="I1929" i="10"/>
  <c r="E1929" i="10"/>
  <c r="H1929" i="10"/>
  <c r="J1929" i="10"/>
  <c r="A1930" i="10"/>
  <c r="C1929" i="10"/>
  <c r="F1929" i="10"/>
  <c r="C1930" i="10"/>
  <c r="F1930" i="10"/>
  <c r="D1930" i="10"/>
  <c r="I1930" i="10"/>
  <c r="E1930" i="10"/>
  <c r="H1930" i="10"/>
  <c r="J1930" i="10"/>
  <c r="A1931" i="10"/>
  <c r="A1932" i="10"/>
  <c r="C1931" i="10"/>
  <c r="F1931" i="10"/>
  <c r="D1931" i="10"/>
  <c r="I1931" i="10"/>
  <c r="E1931" i="10"/>
  <c r="H1931" i="10"/>
  <c r="J1931" i="10"/>
  <c r="E1932" i="10"/>
  <c r="H1932" i="10"/>
  <c r="J1932" i="10"/>
  <c r="C1932" i="10"/>
  <c r="F1932" i="10"/>
  <c r="A1933" i="10"/>
  <c r="D1932" i="10"/>
  <c r="I1932" i="10"/>
  <c r="D1933" i="10"/>
  <c r="I1933" i="10"/>
  <c r="A1934" i="10"/>
  <c r="C1933" i="10"/>
  <c r="F1933" i="10"/>
  <c r="E1933" i="10"/>
  <c r="H1933" i="10"/>
  <c r="J1933" i="10"/>
  <c r="C1934" i="10"/>
  <c r="F1934" i="10"/>
  <c r="E1934" i="10"/>
  <c r="H1934" i="10"/>
  <c r="J1934" i="10"/>
  <c r="I1934" i="10"/>
  <c r="A1935" i="10"/>
  <c r="D1934" i="10"/>
  <c r="A1936" i="10"/>
  <c r="D1935" i="10"/>
  <c r="I1935" i="10"/>
  <c r="C1935" i="10"/>
  <c r="F1935" i="10"/>
  <c r="E1935" i="10"/>
  <c r="H1935" i="10"/>
  <c r="J1935" i="10"/>
  <c r="E1936" i="10"/>
  <c r="H1936" i="10"/>
  <c r="J1936" i="10"/>
  <c r="C1936" i="10"/>
  <c r="F1936" i="10"/>
  <c r="A1937" i="10"/>
  <c r="D1936" i="10"/>
  <c r="I1936" i="10"/>
  <c r="D1937" i="10"/>
  <c r="I1937" i="10"/>
  <c r="A1938" i="10"/>
  <c r="C1937" i="10"/>
  <c r="F1937" i="10"/>
  <c r="E1937" i="10"/>
  <c r="H1937" i="10"/>
  <c r="J1937" i="10"/>
  <c r="C1938" i="10"/>
  <c r="F1938" i="10"/>
  <c r="E1938" i="10"/>
  <c r="H1938" i="10"/>
  <c r="J1938" i="10"/>
  <c r="I1938" i="10"/>
  <c r="A1939" i="10"/>
  <c r="D1938" i="10"/>
  <c r="A1940" i="10"/>
  <c r="D1939" i="10"/>
  <c r="I1939" i="10"/>
  <c r="C1939" i="10"/>
  <c r="F1939" i="10"/>
  <c r="E1939" i="10"/>
  <c r="H1939" i="10"/>
  <c r="J1939" i="10"/>
  <c r="E1940" i="10"/>
  <c r="H1940" i="10"/>
  <c r="J1940" i="10"/>
  <c r="C1940" i="10"/>
  <c r="F1940" i="10"/>
  <c r="A1941" i="10"/>
  <c r="D1940" i="10"/>
  <c r="I1940" i="10"/>
  <c r="D1941" i="10"/>
  <c r="I1941" i="10"/>
  <c r="A1942" i="10"/>
  <c r="C1941" i="10"/>
  <c r="F1941" i="10"/>
  <c r="E1941" i="10"/>
  <c r="H1941" i="10"/>
  <c r="J1941" i="10"/>
  <c r="C1942" i="10"/>
  <c r="F1942" i="10"/>
  <c r="E1942" i="10"/>
  <c r="H1942" i="10"/>
  <c r="J1942" i="10"/>
  <c r="I1942" i="10"/>
  <c r="A1943" i="10"/>
  <c r="D1942" i="10"/>
  <c r="A1944" i="10"/>
  <c r="D1943" i="10"/>
  <c r="I1943" i="10"/>
  <c r="C1943" i="10"/>
  <c r="F1943" i="10"/>
  <c r="E1943" i="10"/>
  <c r="H1943" i="10"/>
  <c r="J1943" i="10"/>
  <c r="E1944" i="10"/>
  <c r="H1944" i="10"/>
  <c r="J1944" i="10"/>
  <c r="C1944" i="10"/>
  <c r="F1944" i="10"/>
  <c r="A1945" i="10"/>
  <c r="D1944" i="10"/>
  <c r="I1944" i="10"/>
  <c r="D1945" i="10"/>
  <c r="I1945" i="10"/>
  <c r="A1946" i="10"/>
  <c r="C1945" i="10"/>
  <c r="F1945" i="10"/>
  <c r="E1945" i="10"/>
  <c r="H1945" i="10"/>
  <c r="J1945" i="10"/>
  <c r="C1946" i="10"/>
  <c r="F1946" i="10"/>
  <c r="E1946" i="10"/>
  <c r="H1946" i="10"/>
  <c r="J1946" i="10"/>
  <c r="I1946" i="10"/>
  <c r="A1947" i="10"/>
  <c r="D1946" i="10"/>
  <c r="A1948" i="10"/>
  <c r="D1947" i="10"/>
  <c r="I1947" i="10"/>
  <c r="C1947" i="10"/>
  <c r="F1947" i="10"/>
  <c r="E1947" i="10"/>
  <c r="H1947" i="10"/>
  <c r="J1947" i="10"/>
  <c r="E1948" i="10"/>
  <c r="H1948" i="10"/>
  <c r="J1948" i="10"/>
  <c r="C1948" i="10"/>
  <c r="F1948" i="10"/>
  <c r="A1949" i="10"/>
  <c r="D1948" i="10"/>
  <c r="I1948" i="10"/>
  <c r="D1949" i="10"/>
  <c r="I1949" i="10"/>
  <c r="A1950" i="10"/>
  <c r="C1949" i="10"/>
  <c r="F1949" i="10"/>
  <c r="E1949" i="10"/>
  <c r="H1949" i="10"/>
  <c r="J1949" i="10"/>
  <c r="C1950" i="10"/>
  <c r="F1950" i="10"/>
  <c r="E1950" i="10"/>
  <c r="H1950" i="10"/>
  <c r="J1950" i="10"/>
  <c r="I1950" i="10"/>
  <c r="A1951" i="10"/>
  <c r="D1950" i="10"/>
  <c r="A1952" i="10"/>
  <c r="D1951" i="10"/>
  <c r="I1951" i="10"/>
  <c r="C1951" i="10"/>
  <c r="F1951" i="10"/>
  <c r="E1951" i="10"/>
  <c r="H1951" i="10"/>
  <c r="J1951" i="10"/>
  <c r="E1952" i="10"/>
  <c r="H1952" i="10"/>
  <c r="J1952" i="10"/>
  <c r="C1952" i="10"/>
  <c r="F1952" i="10"/>
  <c r="A1953" i="10"/>
  <c r="D1952" i="10"/>
  <c r="I1952" i="10"/>
  <c r="D1953" i="10"/>
  <c r="I1953" i="10"/>
  <c r="A1954" i="10"/>
  <c r="C1953" i="10"/>
  <c r="F1953" i="10"/>
  <c r="E1953" i="10"/>
  <c r="H1953" i="10"/>
  <c r="J1953" i="10"/>
  <c r="C1954" i="10"/>
  <c r="F1954" i="10"/>
  <c r="E1954" i="10"/>
  <c r="H1954" i="10"/>
  <c r="J1954" i="10"/>
  <c r="I1954" i="10"/>
  <c r="A1955" i="10"/>
  <c r="D1954" i="10"/>
  <c r="D1955" i="10"/>
  <c r="I1955" i="10"/>
  <c r="C1955" i="10"/>
  <c r="F1955" i="10"/>
  <c r="E1955" i="10"/>
  <c r="H1955" i="10"/>
  <c r="J1955" i="10"/>
  <c r="A1956" i="10"/>
  <c r="C1956" i="10"/>
  <c r="F1956" i="10"/>
  <c r="E1956" i="10"/>
  <c r="H1956" i="10"/>
  <c r="J1956" i="10"/>
  <c r="A1957" i="10"/>
  <c r="I1956" i="10"/>
  <c r="D1956" i="10"/>
  <c r="A1958" i="10"/>
  <c r="E1957" i="10"/>
  <c r="H1957" i="10"/>
  <c r="J1957" i="10"/>
  <c r="C1957" i="10"/>
  <c r="F1957" i="10"/>
  <c r="I1957" i="10"/>
  <c r="D1957" i="10"/>
  <c r="E1958" i="10"/>
  <c r="H1958" i="10"/>
  <c r="J1958" i="10"/>
  <c r="C1958" i="10"/>
  <c r="F1958" i="10"/>
  <c r="I1958" i="10"/>
  <c r="D1958" i="10"/>
  <c r="A1959" i="10"/>
  <c r="D1959" i="10"/>
  <c r="I1959" i="10"/>
  <c r="C1959" i="10"/>
  <c r="F1959" i="10"/>
  <c r="E1959" i="10"/>
  <c r="H1959" i="10"/>
  <c r="J1959" i="10"/>
  <c r="A1960" i="10"/>
  <c r="C1960" i="10"/>
  <c r="F1960" i="10"/>
  <c r="E1960" i="10"/>
  <c r="H1960" i="10"/>
  <c r="J1960" i="10"/>
  <c r="A1961" i="10"/>
  <c r="I1960" i="10"/>
  <c r="D1960" i="10"/>
  <c r="A1962" i="10"/>
  <c r="E1961" i="10"/>
  <c r="H1961" i="10"/>
  <c r="J1961" i="10"/>
  <c r="C1961" i="10"/>
  <c r="F1961" i="10"/>
  <c r="I1961" i="10"/>
  <c r="D1961" i="10"/>
  <c r="E1962" i="10"/>
  <c r="H1962" i="10"/>
  <c r="J1962" i="10"/>
  <c r="C1962" i="10"/>
  <c r="F1962" i="10"/>
  <c r="I1962" i="10"/>
  <c r="D1962" i="10"/>
  <c r="A1963" i="10"/>
  <c r="D1963" i="10"/>
  <c r="I1963" i="10"/>
  <c r="C1963" i="10"/>
  <c r="F1963" i="10"/>
  <c r="E1963" i="10"/>
  <c r="H1963" i="10"/>
  <c r="J1963" i="10"/>
  <c r="A1964" i="10"/>
  <c r="C1964" i="10"/>
  <c r="F1964" i="10"/>
  <c r="E1964" i="10"/>
  <c r="H1964" i="10"/>
  <c r="J1964" i="10"/>
  <c r="A1965" i="10"/>
  <c r="I1964" i="10"/>
  <c r="D1964" i="10"/>
  <c r="A1966" i="10"/>
  <c r="E1965" i="10"/>
  <c r="H1965" i="10"/>
  <c r="J1965" i="10"/>
  <c r="C1965" i="10"/>
  <c r="F1965" i="10"/>
  <c r="I1965" i="10"/>
  <c r="D1965" i="10"/>
  <c r="E1966" i="10"/>
  <c r="H1966" i="10"/>
  <c r="J1966" i="10"/>
  <c r="C1966" i="10"/>
  <c r="F1966" i="10"/>
  <c r="I1966" i="10"/>
  <c r="D1966" i="10"/>
  <c r="A1967" i="10"/>
  <c r="D1967" i="10"/>
  <c r="I1967" i="10"/>
  <c r="C1967" i="10"/>
  <c r="F1967" i="10"/>
  <c r="E1967" i="10"/>
  <c r="H1967" i="10"/>
  <c r="J1967" i="10"/>
  <c r="A1968" i="10"/>
  <c r="C1968" i="10"/>
  <c r="F1968" i="10"/>
  <c r="E1968" i="10"/>
  <c r="H1968" i="10"/>
  <c r="J1968" i="10"/>
  <c r="A1969" i="10"/>
  <c r="I1968" i="10"/>
  <c r="D1968" i="10"/>
  <c r="A1970" i="10"/>
  <c r="E1969" i="10"/>
  <c r="H1969" i="10"/>
  <c r="J1969" i="10"/>
  <c r="C1969" i="10"/>
  <c r="F1969" i="10"/>
  <c r="I1969" i="10"/>
  <c r="D1969" i="10"/>
  <c r="E1970" i="10"/>
  <c r="H1970" i="10"/>
  <c r="J1970" i="10"/>
  <c r="C1970" i="10"/>
  <c r="F1970" i="10"/>
  <c r="I1970" i="10"/>
  <c r="D1970" i="10"/>
  <c r="A1971" i="10"/>
  <c r="C1971" i="10"/>
  <c r="F1971" i="10"/>
  <c r="D1971" i="10"/>
  <c r="I1971" i="10"/>
  <c r="E1971" i="10"/>
  <c r="H1971" i="10"/>
  <c r="J1971" i="10"/>
  <c r="A1972" i="10"/>
  <c r="A1973" i="10"/>
  <c r="C1972" i="10"/>
  <c r="F1972" i="10"/>
  <c r="D1972" i="10"/>
  <c r="I1972" i="10"/>
  <c r="E1972" i="10"/>
  <c r="H1972" i="10"/>
  <c r="J1972" i="10"/>
  <c r="E1973" i="10"/>
  <c r="H1973" i="10"/>
  <c r="J1973" i="10"/>
  <c r="A1974" i="10"/>
  <c r="C1973" i="10"/>
  <c r="F1973" i="10"/>
  <c r="D1973" i="10"/>
  <c r="I1973" i="10"/>
  <c r="D1974" i="10"/>
  <c r="I1974" i="10"/>
  <c r="E1974" i="10"/>
  <c r="H1974" i="10"/>
  <c r="J1974" i="10"/>
  <c r="A1975" i="10"/>
  <c r="C1974" i="10"/>
  <c r="F1974" i="10"/>
  <c r="C1975" i="10"/>
  <c r="F1975" i="10"/>
  <c r="D1975" i="10"/>
  <c r="I1975" i="10"/>
  <c r="E1975" i="10"/>
  <c r="H1975" i="10"/>
  <c r="J1975" i="10"/>
  <c r="A1976" i="10"/>
  <c r="A1977" i="10"/>
  <c r="C1976" i="10"/>
  <c r="F1976" i="10"/>
  <c r="D1976" i="10"/>
  <c r="I1976" i="10"/>
  <c r="E1976" i="10"/>
  <c r="H1976" i="10"/>
  <c r="J1976" i="10"/>
  <c r="E1977" i="10"/>
  <c r="H1977" i="10"/>
  <c r="J1977" i="10"/>
  <c r="A1978" i="10"/>
  <c r="C1977" i="10"/>
  <c r="F1977" i="10"/>
  <c r="D1977" i="10"/>
  <c r="I1977" i="10"/>
  <c r="D1978" i="10"/>
  <c r="I1978" i="10"/>
  <c r="E1978" i="10"/>
  <c r="H1978" i="10"/>
  <c r="J1978" i="10"/>
  <c r="A1979" i="10"/>
  <c r="C1978" i="10"/>
  <c r="F1978" i="10"/>
  <c r="C1979" i="10"/>
  <c r="F1979" i="10"/>
  <c r="D1979" i="10"/>
  <c r="I1979" i="10"/>
  <c r="E1979" i="10"/>
  <c r="H1979" i="10"/>
  <c r="J1979" i="10"/>
  <c r="A1980" i="10"/>
  <c r="A1981" i="10"/>
  <c r="C1980" i="10"/>
  <c r="F1980" i="10"/>
  <c r="D1980" i="10"/>
  <c r="I1980" i="10"/>
  <c r="E1980" i="10"/>
  <c r="H1980" i="10"/>
  <c r="J1980" i="10"/>
  <c r="E1981" i="10"/>
  <c r="H1981" i="10"/>
  <c r="J1981" i="10"/>
  <c r="A1982" i="10"/>
  <c r="C1981" i="10"/>
  <c r="F1981" i="10"/>
  <c r="D1981" i="10"/>
  <c r="I1981" i="10"/>
  <c r="D1982" i="10"/>
  <c r="I1982" i="10"/>
  <c r="E1982" i="10"/>
  <c r="H1982" i="10"/>
  <c r="J1982" i="10"/>
  <c r="A1983" i="10"/>
  <c r="C1982" i="10"/>
  <c r="F1982" i="10"/>
  <c r="C1983" i="10"/>
  <c r="F1983" i="10"/>
  <c r="D1983" i="10"/>
  <c r="I1983" i="10"/>
  <c r="E1983" i="10"/>
  <c r="H1983" i="10"/>
  <c r="J1983" i="10"/>
  <c r="A1984" i="10"/>
  <c r="A1985" i="10"/>
  <c r="C1984" i="10"/>
  <c r="F1984" i="10"/>
  <c r="D1984" i="10"/>
  <c r="I1984" i="10"/>
  <c r="E1984" i="10"/>
  <c r="H1984" i="10"/>
  <c r="J1984" i="10"/>
  <c r="E1985" i="10"/>
  <c r="H1985" i="10"/>
  <c r="J1985" i="10"/>
  <c r="A1986" i="10"/>
  <c r="C1985" i="10"/>
  <c r="F1985" i="10"/>
  <c r="D1985" i="10"/>
  <c r="I1985" i="10"/>
  <c r="D1986" i="10"/>
  <c r="I1986" i="10"/>
  <c r="E1986" i="10"/>
  <c r="H1986" i="10"/>
  <c r="J1986" i="10"/>
  <c r="A1987" i="10"/>
  <c r="C1986" i="10"/>
  <c r="F1986" i="10"/>
  <c r="C1987" i="10"/>
  <c r="F1987" i="10"/>
  <c r="D1987" i="10"/>
  <c r="E1987" i="10"/>
  <c r="H1987" i="10"/>
  <c r="J1987" i="10"/>
  <c r="A1988" i="10"/>
  <c r="I1987" i="10"/>
  <c r="A1989" i="10"/>
  <c r="D1988" i="10"/>
  <c r="I1988" i="10"/>
  <c r="E1988" i="10"/>
  <c r="H1988" i="10"/>
  <c r="J1988" i="10"/>
  <c r="C1988" i="10"/>
  <c r="F1988" i="10"/>
  <c r="E1989" i="10"/>
  <c r="H1989" i="10"/>
  <c r="J1989" i="10"/>
  <c r="C1989" i="10"/>
  <c r="F1989" i="10"/>
  <c r="D1989" i="10"/>
  <c r="I1989" i="10"/>
  <c r="A1990" i="10"/>
  <c r="D1990" i="10"/>
  <c r="I1990" i="10"/>
  <c r="A1991" i="10"/>
  <c r="C1990" i="10"/>
  <c r="F1990" i="10"/>
  <c r="E1990" i="10"/>
  <c r="H1990" i="10"/>
  <c r="J1990" i="10"/>
  <c r="C1991" i="10"/>
  <c r="F1991" i="10"/>
  <c r="E1991" i="10"/>
  <c r="H1991" i="10"/>
  <c r="J1991" i="10"/>
  <c r="A1992" i="10"/>
  <c r="D1991" i="10"/>
  <c r="I1991" i="10"/>
  <c r="A1993" i="10"/>
  <c r="D1992" i="10"/>
  <c r="I1992" i="10"/>
  <c r="E1992" i="10"/>
  <c r="H1992" i="10"/>
  <c r="J1992" i="10"/>
  <c r="C1992" i="10"/>
  <c r="F1992" i="10"/>
  <c r="E1993" i="10"/>
  <c r="H1993" i="10"/>
  <c r="J1993" i="10"/>
  <c r="C1993" i="10"/>
  <c r="F1993" i="10"/>
  <c r="D1993" i="10"/>
  <c r="I1993" i="10"/>
  <c r="A1994" i="10"/>
  <c r="D1994" i="10"/>
  <c r="I1994" i="10"/>
  <c r="A1995" i="10"/>
  <c r="C1994" i="10"/>
  <c r="F1994" i="10"/>
  <c r="E1994" i="10"/>
  <c r="H1994" i="10"/>
  <c r="J1994" i="10"/>
  <c r="C1995" i="10"/>
  <c r="F1995" i="10"/>
  <c r="E1995" i="10"/>
  <c r="H1995" i="10"/>
  <c r="J1995" i="10"/>
  <c r="A1996" i="10"/>
  <c r="D1995" i="10"/>
  <c r="I1995" i="10"/>
  <c r="A1997" i="10"/>
  <c r="D1996" i="10"/>
  <c r="I1996" i="10"/>
  <c r="E1996" i="10"/>
  <c r="H1996" i="10"/>
  <c r="J1996" i="10"/>
  <c r="C1996" i="10"/>
  <c r="F1996" i="10"/>
  <c r="E1997" i="10"/>
  <c r="H1997" i="10"/>
  <c r="J1997" i="10"/>
  <c r="C1997" i="10"/>
  <c r="F1997" i="10"/>
  <c r="D1997" i="10"/>
  <c r="I1997" i="10"/>
  <c r="A1998" i="10"/>
  <c r="D1998" i="10"/>
  <c r="I1998" i="10"/>
  <c r="C1998" i="10"/>
  <c r="F1998" i="10"/>
  <c r="E1998" i="10"/>
  <c r="H1998" i="10"/>
  <c r="J1998" i="10"/>
  <c r="A1999" i="10"/>
  <c r="C1999" i="10"/>
  <c r="F1999" i="10"/>
  <c r="A2000" i="10"/>
  <c r="D1999" i="10"/>
  <c r="E1999" i="10"/>
  <c r="H1999" i="10"/>
  <c r="J1999" i="10"/>
  <c r="I1999" i="10"/>
  <c r="A2001" i="10"/>
  <c r="E2000" i="10"/>
  <c r="H2000" i="10"/>
  <c r="J2000" i="10"/>
  <c r="I2000" i="10"/>
  <c r="C2000" i="10"/>
  <c r="F2000" i="10"/>
  <c r="D2000" i="10"/>
  <c r="E2001" i="10"/>
  <c r="H2001" i="10"/>
  <c r="J2001" i="10"/>
  <c r="D2001" i="10"/>
  <c r="I2001" i="10"/>
  <c r="A2002" i="10"/>
  <c r="C2001" i="10"/>
  <c r="F2001" i="10"/>
  <c r="D2002" i="10"/>
  <c r="I2002" i="10"/>
  <c r="C2002" i="10"/>
  <c r="F2002" i="10"/>
  <c r="E2002" i="10"/>
  <c r="H2002" i="10"/>
  <c r="J2002" i="10"/>
  <c r="A2003" i="10"/>
  <c r="C2003" i="10"/>
  <c r="F2003" i="10"/>
  <c r="A2004" i="10"/>
  <c r="D2003" i="10"/>
  <c r="E2003" i="10"/>
  <c r="H2003" i="10"/>
  <c r="J2003" i="10"/>
  <c r="I2003" i="10"/>
  <c r="A2005" i="10"/>
  <c r="E2004" i="10"/>
  <c r="H2004" i="10"/>
  <c r="J2004" i="10"/>
  <c r="I2004" i="10"/>
  <c r="C2004" i="10"/>
  <c r="F2004" i="10"/>
  <c r="D2004" i="10"/>
  <c r="E2005" i="10"/>
  <c r="H2005" i="10"/>
  <c r="J2005" i="10"/>
  <c r="D2005" i="10"/>
  <c r="I2005" i="10"/>
  <c r="A2006" i="10"/>
  <c r="C2005" i="10"/>
  <c r="F2005" i="10"/>
  <c r="D2006" i="10"/>
  <c r="I2006" i="10"/>
  <c r="C2006" i="10"/>
  <c r="F2006" i="10"/>
  <c r="E2006" i="10"/>
  <c r="H2006" i="10"/>
  <c r="J2006" i="10"/>
  <c r="A2007" i="10"/>
  <c r="C2007" i="10"/>
  <c r="F2007" i="10"/>
  <c r="A2008" i="10"/>
  <c r="D2007" i="10"/>
  <c r="E2007" i="10"/>
  <c r="H2007" i="10"/>
  <c r="J2007" i="10"/>
  <c r="I2007" i="10"/>
  <c r="A2009" i="10"/>
  <c r="E2008" i="10"/>
  <c r="H2008" i="10"/>
  <c r="J2008" i="10"/>
  <c r="I2008" i="10"/>
  <c r="C2008" i="10"/>
  <c r="F2008" i="10"/>
  <c r="D2008" i="10"/>
  <c r="E2009" i="10"/>
  <c r="H2009" i="10"/>
  <c r="J2009" i="10"/>
  <c r="D2009" i="10"/>
  <c r="I2009" i="10"/>
  <c r="A2010" i="10"/>
  <c r="C2009" i="10"/>
  <c r="F2009" i="10"/>
  <c r="C2010" i="10"/>
  <c r="F2010" i="10"/>
  <c r="D2010" i="10"/>
  <c r="E2010" i="10"/>
  <c r="H2010" i="10"/>
  <c r="J2010" i="10"/>
  <c r="A2011" i="10"/>
  <c r="I2010" i="10"/>
  <c r="A2012" i="10"/>
  <c r="D2011" i="10"/>
  <c r="E2011" i="10"/>
  <c r="H2011" i="10"/>
  <c r="J2011" i="10"/>
  <c r="C2011" i="10"/>
  <c r="F2011" i="10"/>
  <c r="I2011" i="10"/>
  <c r="E2012" i="10"/>
  <c r="H2012" i="10"/>
  <c r="J2012" i="10"/>
  <c r="C2012" i="10"/>
  <c r="F2012" i="10"/>
  <c r="I2012" i="10"/>
  <c r="D2012" i="10"/>
  <c r="A2013" i="10"/>
  <c r="D2013" i="10"/>
  <c r="I2013" i="10"/>
  <c r="C2013" i="10"/>
  <c r="F2013" i="10"/>
  <c r="E2013" i="10"/>
  <c r="H2013" i="10"/>
  <c r="J2013" i="10"/>
  <c r="A2014" i="10"/>
  <c r="C2014" i="10"/>
  <c r="F2014" i="10"/>
  <c r="B9" i="10"/>
  <c r="D2014" i="10"/>
  <c r="E2014" i="10"/>
  <c r="H2014" i="10"/>
  <c r="J2014" i="10"/>
  <c r="I2014" i="10"/>
  <c r="V10" i="7"/>
  <c r="D64" i="8"/>
  <c r="G64" i="8"/>
  <c r="G69" i="8"/>
  <c r="G70" i="8"/>
  <c r="G71" i="8"/>
  <c r="G72" i="8"/>
  <c r="D30" i="29"/>
  <c r="W10" i="7"/>
  <c r="AG3" i="7"/>
  <c r="C19" i="11"/>
  <c r="D44" i="29"/>
  <c r="AF3" i="7"/>
  <c r="AI7" i="7"/>
  <c r="U10" i="7"/>
  <c r="AI8" i="7"/>
  <c r="B4" i="12"/>
  <c r="J36" i="4"/>
  <c r="Q40" i="4"/>
  <c r="Q76" i="4"/>
  <c r="Q75" i="4"/>
  <c r="B3" i="12"/>
  <c r="Q39" i="4"/>
  <c r="H36" i="4"/>
  <c r="C10" i="8"/>
  <c r="D5" i="8"/>
  <c r="G5" i="8"/>
  <c r="AC10" i="7"/>
  <c r="AG4" i="7"/>
  <c r="AF10" i="7"/>
  <c r="AG10" i="7"/>
  <c r="AE10" i="7"/>
  <c r="P39" i="4"/>
  <c r="M39" i="4"/>
  <c r="P40" i="4"/>
  <c r="M40" i="4"/>
  <c r="D10" i="8"/>
  <c r="C8" i="12"/>
  <c r="C6" i="12"/>
  <c r="AF4" i="7"/>
  <c r="C16" i="8"/>
  <c r="C15" i="8"/>
  <c r="C13" i="8"/>
  <c r="C18" i="8"/>
  <c r="D32" i="29"/>
  <c r="C19" i="8"/>
  <c r="D34" i="29"/>
  <c r="C18" i="12"/>
  <c r="H39" i="4"/>
  <c r="C19" i="12"/>
  <c r="H41" i="4"/>
  <c r="V269" i="7"/>
  <c r="V42" i="7"/>
  <c r="V435" i="7"/>
  <c r="V518" i="7"/>
  <c r="V466" i="7"/>
  <c r="V492" i="7"/>
  <c r="V507" i="7"/>
  <c r="V410" i="7"/>
  <c r="V841" i="7"/>
  <c r="V210" i="7"/>
  <c r="V290" i="7"/>
  <c r="V431" i="7"/>
  <c r="V733" i="7"/>
  <c r="V395" i="7"/>
  <c r="V579" i="7"/>
  <c r="V693" i="7"/>
  <c r="V547" i="7"/>
  <c r="V503" i="7"/>
  <c r="V493" i="7"/>
  <c r="V614" i="7"/>
  <c r="V766" i="7"/>
  <c r="V385" i="7"/>
  <c r="V126" i="7"/>
  <c r="V652" i="7"/>
  <c r="V375" i="7"/>
  <c r="V625" i="7"/>
  <c r="V491" i="7"/>
  <c r="V294" i="7"/>
  <c r="V471" i="7"/>
  <c r="V821" i="7"/>
  <c r="V390" i="7"/>
  <c r="V601" i="7"/>
  <c r="V310" i="7"/>
  <c r="V797" i="7"/>
  <c r="V559" i="7"/>
  <c r="V416" i="7"/>
  <c r="V653" i="7"/>
  <c r="V66" i="7"/>
  <c r="V335" i="7"/>
  <c r="V464" i="7"/>
  <c r="V726" i="7"/>
  <c r="V371" i="7"/>
  <c r="V314" i="7"/>
  <c r="V467" i="7"/>
  <c r="V592" i="7"/>
  <c r="V315" i="7"/>
  <c r="V702" i="7"/>
  <c r="V487" i="7"/>
  <c r="V557" i="7"/>
  <c r="V114" i="7"/>
  <c r="V673" i="7"/>
  <c r="V619" i="7"/>
  <c r="V861" i="7"/>
  <c r="V757" i="7"/>
  <c r="V347" i="7"/>
  <c r="V270" i="7"/>
  <c r="V538" i="7"/>
  <c r="V566" i="7"/>
  <c r="V308" i="7"/>
  <c r="V632" i="7"/>
  <c r="V539" i="7"/>
  <c r="V345" i="7"/>
  <c r="V364" i="7"/>
  <c r="V790" i="7"/>
  <c r="V226" i="7"/>
  <c r="V330" i="7"/>
  <c r="V409" i="7"/>
  <c r="V178" i="7"/>
  <c r="V537" i="7"/>
  <c r="V746" i="7"/>
  <c r="V162" i="7"/>
  <c r="V513" i="7"/>
  <c r="V623" i="7"/>
  <c r="V274" i="7"/>
  <c r="V810" i="7"/>
  <c r="V419" i="7"/>
  <c r="V777" i="7"/>
  <c r="V438" i="7"/>
  <c r="V662" i="7"/>
  <c r="V594" i="7"/>
  <c r="V523" i="7"/>
  <c r="V563" i="7"/>
  <c r="V451" i="7"/>
  <c r="V449" i="7"/>
  <c r="V713" i="7"/>
  <c r="V643" i="7"/>
  <c r="V429" i="7"/>
  <c r="V455" i="7"/>
  <c r="V583" i="7"/>
  <c r="V277" i="7"/>
  <c r="V516" i="7"/>
  <c r="V411" i="7"/>
  <c r="V246" i="7"/>
  <c r="V647" i="7"/>
  <c r="V365" i="7"/>
  <c r="V399" i="7"/>
  <c r="V362" i="7"/>
  <c r="V473" i="7"/>
  <c r="V527" i="7"/>
  <c r="V490" i="7"/>
  <c r="V612" i="7"/>
  <c r="V250" i="7"/>
  <c r="V338" i="7"/>
  <c r="V577" i="7"/>
  <c r="V599" i="7"/>
  <c r="V444" i="7"/>
  <c r="V388" i="7"/>
  <c r="V544" i="7"/>
  <c r="V572" i="7"/>
  <c r="V327" i="7"/>
  <c r="V682" i="7"/>
  <c r="V830" i="7"/>
  <c r="V595" i="7"/>
  <c r="V368" i="7"/>
  <c r="V387" i="7"/>
  <c r="V636" i="7"/>
  <c r="V357" i="7"/>
  <c r="V794" i="7"/>
  <c r="V130" i="7"/>
  <c r="V745" i="7"/>
  <c r="V82" i="7"/>
  <c r="V618" i="7"/>
  <c r="V661" i="7"/>
  <c r="V495" i="7"/>
  <c r="V474" i="7"/>
  <c r="V403" i="7"/>
  <c r="V611" i="7"/>
  <c r="V576" i="7"/>
  <c r="V230" i="7"/>
  <c r="V501" i="7"/>
  <c r="V531" i="7"/>
  <c r="V461" i="7"/>
  <c r="V640" i="7"/>
  <c r="V322" i="7"/>
  <c r="V422" i="7"/>
  <c r="V681" i="7"/>
  <c r="V439" i="7"/>
  <c r="V633" i="7"/>
  <c r="V524" i="7"/>
  <c r="V737" i="7"/>
  <c r="V359" i="7"/>
  <c r="V569" i="7"/>
  <c r="V428" i="7"/>
  <c r="V620" i="7"/>
  <c r="V541" i="7"/>
  <c r="V352" i="7"/>
  <c r="V477" i="7"/>
  <c r="V587" i="7"/>
  <c r="V481" i="7"/>
  <c r="V413" i="7"/>
  <c r="V515" i="7"/>
  <c r="V845" i="7"/>
  <c r="V761" i="7"/>
  <c r="V262" i="7"/>
  <c r="V580" i="7"/>
  <c r="V754" i="7"/>
  <c r="V394" i="7"/>
  <c r="V441" i="7"/>
  <c r="V397" i="7"/>
  <c r="V496" i="7"/>
  <c r="V508" i="7"/>
  <c r="V498" i="7"/>
  <c r="V801" i="7"/>
  <c r="V522" i="7"/>
  <c r="V521" i="7"/>
  <c r="V342" i="7"/>
  <c r="V525" i="7"/>
  <c r="V598" i="7"/>
  <c r="V545" i="7"/>
  <c r="V565" i="7"/>
  <c r="V530" i="7"/>
  <c r="V663" i="7"/>
  <c r="V651" i="7"/>
  <c r="V309" i="7"/>
  <c r="V380" i="7"/>
  <c r="V585" i="7"/>
  <c r="V391" i="7"/>
  <c r="V683" i="7"/>
  <c r="V676" i="7"/>
  <c r="V323" i="7"/>
  <c r="V426" i="7"/>
  <c r="V756" i="7"/>
  <c r="V608" i="7"/>
  <c r="V509" i="7"/>
  <c r="V784" i="7"/>
  <c r="V588" i="7"/>
  <c r="V34" i="7"/>
  <c r="V698" i="7"/>
  <c r="V749" i="7"/>
  <c r="V229" i="7"/>
  <c r="V361" i="7"/>
  <c r="V519" i="7"/>
  <c r="V98" i="7"/>
  <c r="V769" i="7"/>
  <c r="V884" i="7"/>
  <c r="V434" i="7"/>
  <c r="V384" i="7"/>
  <c r="V445" i="7"/>
  <c r="V656" i="7"/>
  <c r="V457" i="7"/>
  <c r="V448" i="7"/>
  <c r="V423" i="7"/>
  <c r="V617" i="7"/>
  <c r="V373" i="7"/>
  <c r="V396" i="7"/>
  <c r="V278" i="7"/>
  <c r="V551" i="7"/>
  <c r="V475" i="7"/>
  <c r="V353" i="7"/>
  <c r="V442" i="7"/>
  <c r="V624" i="7"/>
  <c r="V420" i="7"/>
  <c r="V567" i="7"/>
  <c r="V665" i="7"/>
  <c r="V654" i="7"/>
  <c r="V528" i="7"/>
  <c r="V417" i="7"/>
  <c r="V452" i="7"/>
  <c r="V548" i="7"/>
  <c r="V857" i="7"/>
  <c r="V377" i="7"/>
  <c r="V933" i="7"/>
  <c r="V669" i="7"/>
  <c r="V917" i="7"/>
  <c r="V627" i="7"/>
  <c r="V789" i="7"/>
  <c r="V570" i="7"/>
  <c r="V298" i="7"/>
  <c r="V234" i="7"/>
  <c r="V1047" i="7"/>
  <c r="V469" i="7"/>
  <c r="V888" i="7"/>
  <c r="V659" i="7"/>
  <c r="V425" i="7"/>
  <c r="V975" i="7"/>
  <c r="V960" i="7"/>
  <c r="V460" i="7"/>
  <c r="V743" i="7"/>
  <c r="V621" i="7"/>
  <c r="V506" i="7"/>
  <c r="V631" i="7"/>
  <c r="V533" i="7"/>
  <c r="V571" i="7"/>
  <c r="V484" i="7"/>
  <c r="V667" i="7"/>
  <c r="V818" i="7"/>
  <c r="V615" i="7"/>
  <c r="V903" i="7"/>
  <c r="V458" i="7"/>
  <c r="V550" i="7"/>
  <c r="V480" i="7"/>
  <c r="V437" i="7"/>
  <c r="V877" i="7"/>
  <c r="V266" i="7"/>
  <c r="V502" i="7"/>
  <c r="V829" i="7"/>
  <c r="V894" i="7"/>
  <c r="V804" i="7"/>
  <c r="V938" i="7"/>
  <c r="V605" i="7"/>
  <c r="V341" i="7"/>
  <c r="V795" i="7"/>
  <c r="V459" i="7"/>
  <c r="V862" i="7"/>
  <c r="V913" i="7"/>
  <c r="V644" i="7"/>
  <c r="V771" i="7"/>
  <c r="V707" i="7"/>
  <c r="V958" i="7"/>
  <c r="V573" i="7"/>
  <c r="V463" i="7"/>
  <c r="V319" i="7"/>
  <c r="V606" i="7"/>
  <c r="V1023" i="7"/>
  <c r="V407" i="7"/>
  <c r="V589" i="7"/>
  <c r="V649" i="7"/>
  <c r="V695" i="7"/>
  <c r="V932" i="7"/>
  <c r="V476" i="7"/>
  <c r="V853" i="7"/>
  <c r="V722" i="7"/>
  <c r="V1050" i="7"/>
  <c r="V993" i="7"/>
  <c r="V194" i="7"/>
  <c r="V306" i="7"/>
  <c r="V378" i="7"/>
  <c r="V556" i="7"/>
  <c r="V710" i="7"/>
  <c r="V282" i="7"/>
  <c r="V489" i="7"/>
  <c r="V604" i="7"/>
  <c r="V454" i="7"/>
  <c r="V591" i="7"/>
  <c r="V973" i="7"/>
  <c r="V367" i="7"/>
  <c r="V358" i="7"/>
  <c r="V190" i="7"/>
  <c r="V694" i="7"/>
  <c r="V725" i="7"/>
  <c r="V730" i="7"/>
  <c r="V400" i="7"/>
  <c r="V664" i="7"/>
  <c r="V535" i="7"/>
  <c r="V951" i="7"/>
  <c r="V990" i="7"/>
  <c r="V427" i="7"/>
  <c r="V1025" i="7"/>
  <c r="V1015" i="7"/>
  <c r="V679" i="7"/>
  <c r="V32" i="7"/>
  <c r="V781" i="7"/>
  <c r="V778" i="7"/>
  <c r="V867" i="7"/>
  <c r="V586" i="7"/>
  <c r="V346" i="7"/>
  <c r="V406" i="7"/>
  <c r="V835" i="7"/>
  <c r="V765" i="7"/>
  <c r="V942" i="7"/>
  <c r="V630" i="7"/>
  <c r="V966" i="7"/>
  <c r="V393" i="7"/>
  <c r="V331" i="7"/>
  <c r="V412" i="7"/>
  <c r="V793" i="7"/>
  <c r="V747" i="7"/>
  <c r="V799" i="7"/>
  <c r="V381" i="7"/>
  <c r="V602" i="7"/>
  <c r="V670" i="7"/>
  <c r="V705" i="7"/>
  <c r="V908" i="7"/>
  <c r="V634" i="7"/>
  <c r="V885" i="7"/>
  <c r="V762" i="7"/>
  <c r="V688" i="7"/>
  <c r="V171" i="7"/>
  <c r="V944" i="7"/>
  <c r="V370" i="7"/>
  <c r="V886" i="7"/>
  <c r="V875" i="7"/>
  <c r="V811" i="7"/>
  <c r="V758" i="7"/>
  <c r="V704" i="7"/>
  <c r="V553" i="7"/>
  <c r="V856" i="7"/>
  <c r="V833" i="7"/>
  <c r="V405" i="7"/>
  <c r="V863" i="7"/>
  <c r="V499" i="7"/>
  <c r="V562" i="7"/>
  <c r="V998" i="7"/>
  <c r="V1053" i="7"/>
  <c r="V759" i="7"/>
  <c r="V628" i="7"/>
  <c r="V344" i="7"/>
  <c r="V839" i="7"/>
  <c r="V1058" i="7"/>
  <c r="V166" i="7"/>
  <c r="V534" i="7"/>
  <c r="V33" i="7"/>
  <c r="V900" i="7"/>
  <c r="V264" i="7"/>
  <c r="V50" i="7"/>
  <c r="V697" i="7"/>
  <c r="V1022" i="7"/>
  <c r="V1028" i="7"/>
  <c r="V1056" i="7"/>
  <c r="V1008" i="7"/>
  <c r="V1037" i="7"/>
  <c r="V483" i="7"/>
  <c r="V891" i="7"/>
  <c r="V865" i="7"/>
  <c r="V992" i="7"/>
  <c r="V685" i="7"/>
  <c r="V806" i="7"/>
  <c r="V901" i="7"/>
  <c r="V129" i="7"/>
  <c r="V582" i="7"/>
  <c r="V1024" i="7"/>
  <c r="V927" i="7"/>
  <c r="V774" i="7"/>
  <c r="V717" i="7"/>
  <c r="V597" i="7"/>
  <c r="V312" i="7"/>
  <c r="V690" i="7"/>
  <c r="V554" i="7"/>
  <c r="V912" i="7"/>
  <c r="V600" i="7"/>
  <c r="V859" i="7"/>
  <c r="V825" i="7"/>
  <c r="V734" i="7"/>
  <c r="V77" i="7"/>
  <c r="V1038" i="7"/>
  <c r="V107" i="7"/>
  <c r="V486" i="7"/>
  <c r="V760" i="7"/>
  <c r="V289" i="7"/>
  <c r="V848" i="7"/>
  <c r="V138" i="7"/>
  <c r="V149" i="7"/>
  <c r="V963" i="7"/>
  <c r="V1041" i="7"/>
  <c r="V300" i="7"/>
  <c r="V782" i="7"/>
  <c r="V871" i="7"/>
  <c r="V61" i="7"/>
  <c r="V133" i="7"/>
  <c r="V826" i="7"/>
  <c r="V1039" i="7"/>
  <c r="V727" i="7"/>
  <c r="V288" i="7"/>
  <c r="V831" i="7"/>
  <c r="V967" i="7"/>
  <c r="V946" i="7"/>
  <c r="V775" i="7"/>
  <c r="V1021" i="7"/>
  <c r="V742" i="7"/>
  <c r="V820" i="7"/>
  <c r="V19" i="7"/>
  <c r="V1007" i="7"/>
  <c r="V887" i="7"/>
  <c r="V26" i="7"/>
  <c r="V253" i="7"/>
  <c r="V135" i="7"/>
  <c r="V858" i="7"/>
  <c r="V791" i="7"/>
  <c r="V111" i="7"/>
  <c r="V768" i="7"/>
  <c r="V1055" i="7"/>
  <c r="V838" i="7"/>
  <c r="V950" i="7"/>
  <c r="V832" i="7"/>
  <c r="V73" i="7"/>
  <c r="V443" i="7"/>
  <c r="V864" i="7"/>
  <c r="V660" i="7"/>
  <c r="V881" i="7"/>
  <c r="V356" i="7"/>
  <c r="V1010" i="7"/>
  <c r="V512" i="7"/>
  <c r="V642" i="7"/>
  <c r="V945" i="7"/>
  <c r="V505" i="7"/>
  <c r="V1044" i="7"/>
  <c r="V153" i="7"/>
  <c r="V850" i="7"/>
  <c r="V786" i="7"/>
  <c r="V85" i="7"/>
  <c r="V168" i="7"/>
  <c r="V332" i="7"/>
  <c r="V128" i="7"/>
  <c r="V940" i="7"/>
  <c r="V123" i="7"/>
  <c r="V928" i="7"/>
  <c r="V855" i="7"/>
  <c r="V321" i="7"/>
  <c r="V724" i="7"/>
  <c r="V957" i="7"/>
  <c r="V916" i="7"/>
  <c r="V1034" i="7"/>
  <c r="V788" i="7"/>
  <c r="V1002" i="7"/>
  <c r="V882" i="7"/>
  <c r="V1017" i="7"/>
  <c r="V692" i="7"/>
  <c r="V889" i="7"/>
  <c r="V146" i="7"/>
  <c r="V965" i="7"/>
  <c r="V929" i="7"/>
  <c r="V326" i="7"/>
  <c r="V81" i="7"/>
  <c r="V520" i="7"/>
  <c r="V241" i="7"/>
  <c r="V819" i="7"/>
  <c r="V987" i="7"/>
  <c r="V720" i="7"/>
  <c r="V897" i="7"/>
  <c r="V257" i="7"/>
  <c r="V1009" i="7"/>
  <c r="V46" i="7"/>
  <c r="V157" i="7"/>
  <c r="V878" i="7"/>
  <c r="V701" i="7"/>
  <c r="V813" i="7"/>
  <c r="V374" i="7"/>
  <c r="V1051" i="7"/>
  <c r="V989" i="7"/>
  <c r="V245" i="7"/>
  <c r="V982" i="7"/>
  <c r="V74" i="7"/>
  <c r="V1026" i="7"/>
  <c r="V809" i="7"/>
  <c r="V763" i="7"/>
  <c r="V299" i="7"/>
  <c r="V715" i="7"/>
  <c r="V402" i="7"/>
  <c r="V896" i="7"/>
  <c r="V729" i="7"/>
  <c r="V949" i="7"/>
  <c r="V131" i="7"/>
  <c r="V678" i="7"/>
  <c r="V99" i="7"/>
  <c r="V340" i="7"/>
  <c r="V703" i="7"/>
  <c r="V560" i="7"/>
  <c r="V890" i="7"/>
  <c r="V798" i="7"/>
  <c r="V650" i="7"/>
  <c r="V986" i="7"/>
  <c r="V154" i="7"/>
  <c r="V939" i="7"/>
  <c r="V260" i="7"/>
  <c r="V333" i="7"/>
  <c r="V772" i="7"/>
  <c r="V671" i="7"/>
  <c r="V873" i="7"/>
  <c r="V90" i="7"/>
  <c r="V235" i="7"/>
  <c r="V980" i="7"/>
  <c r="V1006" i="7"/>
  <c r="V109" i="7"/>
  <c r="V186" i="7"/>
  <c r="V482" i="7"/>
  <c r="V934" i="7"/>
  <c r="V739" i="7"/>
  <c r="V922" i="7"/>
  <c r="V827" i="7"/>
  <c r="V822" i="7"/>
  <c r="V976" i="7"/>
  <c r="V64" i="7"/>
  <c r="V708" i="7"/>
  <c r="V731" i="7"/>
  <c r="V575" i="7"/>
  <c r="V243" i="7"/>
  <c r="V152" i="7"/>
  <c r="V740" i="7"/>
  <c r="V926" i="7"/>
  <c r="V212" i="7"/>
  <c r="V893" i="7"/>
  <c r="V1032" i="7"/>
  <c r="V836" i="7"/>
  <c r="V1062" i="7"/>
  <c r="V996" i="7"/>
  <c r="V193" i="7"/>
  <c r="V276" i="7"/>
  <c r="V1030" i="7"/>
  <c r="V828" i="7"/>
  <c r="V320" i="7"/>
  <c r="V955" i="7"/>
  <c r="V852" i="7"/>
  <c r="V150" i="7"/>
  <c r="V214" i="7"/>
  <c r="V985" i="7"/>
  <c r="V225" i="7"/>
  <c r="V84" i="7"/>
  <c r="V213" i="7"/>
  <c r="V218" i="7"/>
  <c r="V159" i="7"/>
  <c r="V779" i="7"/>
  <c r="V49" i="7"/>
  <c r="V1019" i="7"/>
  <c r="V224" i="7"/>
  <c r="V767" i="7"/>
  <c r="V148" i="7"/>
  <c r="V418" i="7"/>
  <c r="V655" i="7"/>
  <c r="V47" i="7"/>
  <c r="V89" i="7"/>
  <c r="V983" i="7"/>
  <c r="V187" i="7"/>
  <c r="V919" i="7"/>
  <c r="V470" i="7"/>
  <c r="V86" i="7"/>
  <c r="V1040" i="7"/>
  <c r="V273" i="7"/>
  <c r="V1001" i="7"/>
  <c r="V122" i="7"/>
  <c r="V25" i="7"/>
  <c r="V787" i="7"/>
  <c r="V169" i="7"/>
  <c r="V202" i="7"/>
  <c r="V22" i="7"/>
  <c r="V376" i="7"/>
  <c r="V504" i="7"/>
  <c r="V935" i="7"/>
  <c r="V125" i="7"/>
  <c r="V70" i="7"/>
  <c r="V641" i="7"/>
  <c r="V21" i="7"/>
  <c r="V203" i="7"/>
  <c r="V555" i="7"/>
  <c r="V971" i="7"/>
  <c r="V876" i="7"/>
  <c r="V337" i="7"/>
  <c r="V204" i="7"/>
  <c r="V564" i="7"/>
  <c r="V268" i="7"/>
  <c r="V161" i="7"/>
  <c r="V1057" i="7"/>
  <c r="V874" i="7"/>
  <c r="V211" i="7"/>
  <c r="V302" i="7"/>
  <c r="V117" i="7"/>
  <c r="V1012" i="7"/>
  <c r="V921" i="7"/>
  <c r="V201" i="7"/>
  <c r="V183" i="7"/>
  <c r="V472" i="7"/>
  <c r="V847" i="7"/>
  <c r="V907" i="7"/>
  <c r="V1054" i="7"/>
  <c r="V118" i="7"/>
  <c r="V189" i="7"/>
  <c r="V44" i="7"/>
  <c r="V292" i="7"/>
  <c r="V970" i="7"/>
  <c r="V242" i="7"/>
  <c r="V267" i="7"/>
  <c r="V719" i="7"/>
  <c r="V209" i="7"/>
  <c r="V536" i="7"/>
  <c r="V854" i="7"/>
  <c r="V706" i="7"/>
  <c r="V160" i="7"/>
  <c r="V677" i="7"/>
  <c r="V363" i="7"/>
  <c r="V17" i="7"/>
  <c r="V462" i="7"/>
  <c r="V217" i="7"/>
  <c r="V176" i="7"/>
  <c r="V36" i="7"/>
  <c r="V546" i="7"/>
  <c r="V67" i="7"/>
  <c r="V221" i="7"/>
  <c r="V542" i="7"/>
  <c r="V609" i="7"/>
  <c r="V840" i="7"/>
  <c r="V45" i="7"/>
  <c r="V170" i="7"/>
  <c r="V1005" i="7"/>
  <c r="V16" i="7"/>
  <c r="V205" i="7"/>
  <c r="V104" i="7"/>
  <c r="V1061" i="7"/>
  <c r="V540" i="7"/>
  <c r="V11" i="7"/>
  <c r="V30" i="7"/>
  <c r="V39" i="7"/>
  <c r="V206" i="7"/>
  <c r="V271" i="7"/>
  <c r="V909" i="7"/>
  <c r="V639" i="7"/>
  <c r="V281" i="7"/>
  <c r="V1004" i="7"/>
  <c r="V646" i="7"/>
  <c r="V163" i="7"/>
  <c r="V675" i="7"/>
  <c r="V275" i="7"/>
  <c r="V961" i="7"/>
  <c r="V755" i="7"/>
  <c r="V280" i="7"/>
  <c r="V112" i="7"/>
  <c r="V914" i="7"/>
  <c r="V735" i="7"/>
  <c r="V132" i="7"/>
  <c r="V57" i="7"/>
  <c r="V842" i="7"/>
  <c r="V691" i="7"/>
  <c r="V287" i="7"/>
  <c r="V228" i="7"/>
  <c r="V63" i="7"/>
  <c r="V1046" i="7"/>
  <c r="V959" i="7"/>
  <c r="V127" i="7"/>
  <c r="V59" i="7"/>
  <c r="V28" i="7"/>
  <c r="V252" i="7"/>
  <c r="V972" i="7"/>
  <c r="V115" i="7"/>
  <c r="V741" i="7"/>
  <c r="V144" i="7"/>
  <c r="V823" i="7"/>
  <c r="V728" i="7"/>
  <c r="V738" i="7"/>
  <c r="V899" i="7"/>
  <c r="V803" i="7"/>
  <c r="V658" i="7"/>
  <c r="V165" i="7"/>
  <c r="V645" i="7"/>
  <c r="V188" i="7"/>
  <c r="V179" i="7"/>
  <c r="V807" i="7"/>
  <c r="V97" i="7"/>
  <c r="V1018" i="7"/>
  <c r="V134" i="7"/>
  <c r="V785" i="7"/>
  <c r="V191" i="7"/>
  <c r="V709" i="7"/>
  <c r="V48" i="7"/>
  <c r="V543" i="7"/>
  <c r="V220" i="7"/>
  <c r="V1014" i="7"/>
  <c r="V956" i="7"/>
  <c r="V1003" i="7"/>
  <c r="V198" i="7"/>
  <c r="V1036" i="7"/>
  <c r="V251" i="7"/>
  <c r="V336" i="7"/>
  <c r="V185" i="7"/>
  <c r="V140" i="7"/>
  <c r="V648" i="7"/>
  <c r="V918" i="7"/>
  <c r="V29" i="7"/>
  <c r="V978" i="7"/>
  <c r="V383" i="7"/>
  <c r="V120" i="7"/>
  <c r="V155" i="7"/>
  <c r="V714" i="7"/>
  <c r="V637" i="7"/>
  <c r="V355" i="7"/>
  <c r="V816" i="7"/>
  <c r="V83" i="7"/>
  <c r="V843" i="7"/>
  <c r="V249" i="7"/>
  <c r="V736" i="7"/>
  <c r="V479" i="7"/>
  <c r="V227" i="7"/>
  <c r="V610" i="7"/>
  <c r="V254" i="7"/>
  <c r="V124" i="7"/>
  <c r="V711" i="7"/>
  <c r="V626" i="7"/>
  <c r="V699" i="7"/>
  <c r="V311" i="7"/>
  <c r="V54" i="7"/>
  <c r="V638" i="7"/>
  <c r="V1011" i="7"/>
  <c r="V304" i="7"/>
  <c r="V293" i="7"/>
  <c r="V372" i="7"/>
  <c r="V954" i="7"/>
  <c r="V584" i="7"/>
  <c r="V60" i="7"/>
  <c r="V750" i="7"/>
  <c r="V136" i="7"/>
  <c r="V207" i="7"/>
  <c r="V354" i="7"/>
  <c r="V14" i="7"/>
  <c r="V723" i="7"/>
  <c r="V339" i="7"/>
  <c r="V78" i="7"/>
  <c r="V13" i="7"/>
  <c r="V51" i="7"/>
  <c r="V578" i="7"/>
  <c r="V953" i="7"/>
  <c r="V415" i="7"/>
  <c r="V666" i="7"/>
  <c r="V846" i="7"/>
  <c r="V398" i="7"/>
  <c r="V414" i="7"/>
  <c r="V421" i="7"/>
  <c r="V174" i="7"/>
  <c r="V116" i="7"/>
  <c r="V941" i="7"/>
  <c r="V307" i="7"/>
  <c r="V244" i="7"/>
  <c r="V1031" i="7"/>
  <c r="V305" i="7"/>
  <c r="V291" i="7"/>
  <c r="V96" i="7"/>
  <c r="V379" i="7"/>
  <c r="V802" i="7"/>
  <c r="V101" i="7"/>
  <c r="V770" i="7"/>
  <c r="V925" i="7"/>
  <c r="V239" i="7"/>
  <c r="V510" i="7"/>
  <c r="V75" i="7"/>
  <c r="V915" i="7"/>
  <c r="V753" i="7"/>
  <c r="V222" i="7"/>
  <c r="V40" i="7"/>
  <c r="V440" i="7"/>
  <c r="V1043" i="7"/>
  <c r="V805" i="7"/>
  <c r="V478" i="7"/>
  <c r="V1016" i="7"/>
  <c r="V800" i="7"/>
  <c r="V488" i="7"/>
  <c r="V603" i="7"/>
  <c r="V968" i="7"/>
  <c r="V898" i="7"/>
  <c r="V1048" i="7"/>
  <c r="V102" i="7"/>
  <c r="V860" i="7"/>
  <c r="V1013" i="7"/>
  <c r="V37" i="7"/>
  <c r="V15" i="7"/>
  <c r="V465" i="7"/>
  <c r="V616" i="7"/>
  <c r="V995" i="7"/>
  <c r="V868" i="7"/>
  <c r="V752" i="7"/>
  <c r="V1042" i="7"/>
  <c r="V283" i="7"/>
  <c r="V947" i="7"/>
  <c r="V175" i="7"/>
  <c r="V558" i="7"/>
  <c r="V1060" i="7"/>
  <c r="V219" i="7"/>
  <c r="V80" i="7"/>
  <c r="V904" i="7"/>
  <c r="V76" i="7"/>
  <c r="V164" i="7"/>
  <c r="V1052" i="7"/>
  <c r="V87" i="7"/>
  <c r="V1063" i="7"/>
  <c r="V680" i="7"/>
  <c r="V430" i="7"/>
  <c r="V436" i="7"/>
  <c r="V139" i="7"/>
  <c r="V552" i="7"/>
  <c r="V232" i="7"/>
  <c r="V301" i="7"/>
  <c r="V199" i="7"/>
  <c r="V561" i="7"/>
  <c r="V792" i="7"/>
  <c r="V279" i="7"/>
  <c r="V991" i="7"/>
  <c r="V796" i="7"/>
  <c r="V596" i="7"/>
  <c r="V808" i="7"/>
  <c r="V869" i="7"/>
  <c r="V386" i="7"/>
  <c r="V824" i="7"/>
  <c r="V91" i="7"/>
  <c r="V948" i="7"/>
  <c r="V92" i="7"/>
  <c r="V296" i="7"/>
  <c r="V158" i="7"/>
  <c r="V450" i="7"/>
  <c r="V182" i="7"/>
  <c r="V1027" i="7"/>
  <c r="V145" i="7"/>
  <c r="V317" i="7"/>
  <c r="V24" i="7"/>
  <c r="V349" i="7"/>
  <c r="V256" i="7"/>
  <c r="V732" i="7"/>
  <c r="V696" i="7"/>
  <c r="V95" i="7"/>
  <c r="V517" i="7"/>
  <c r="V295" i="7"/>
  <c r="V360" i="7"/>
  <c r="V635" i="7"/>
  <c r="V248" i="7"/>
  <c r="V629" i="7"/>
  <c r="V72" i="7"/>
  <c r="V328" i="7"/>
  <c r="V56" i="7"/>
  <c r="V837" i="7"/>
  <c r="V58" i="7"/>
  <c r="V265" i="7"/>
  <c r="V105" i="7"/>
  <c r="V93" i="7"/>
  <c r="V910" i="7"/>
  <c r="V1029" i="7"/>
  <c r="V43" i="7"/>
  <c r="V286" i="7"/>
  <c r="V303" i="7"/>
  <c r="V689" i="7"/>
  <c r="V883" i="7"/>
  <c r="V906" i="7"/>
  <c r="V137" i="7"/>
  <c r="V350" i="7"/>
  <c r="V195" i="7"/>
  <c r="V167" i="7"/>
  <c r="V27" i="7"/>
  <c r="V981" i="7"/>
  <c r="V65" i="7"/>
  <c r="V485" i="7"/>
  <c r="V208" i="7"/>
  <c r="V456" i="7"/>
  <c r="V318" i="7"/>
  <c r="V147" i="7"/>
  <c r="V716" i="7"/>
  <c r="V366" i="7"/>
  <c r="V773" i="7"/>
  <c r="V180" i="7"/>
  <c r="V38" i="7"/>
  <c r="V931" i="7"/>
  <c r="V1035" i="7"/>
  <c r="V259" i="7"/>
  <c r="V334" i="7"/>
  <c r="V622" i="7"/>
  <c r="V977" i="7"/>
  <c r="V936" i="7"/>
  <c r="V744" i="7"/>
  <c r="V255" i="7"/>
  <c r="V223" i="7"/>
  <c r="V197" i="7"/>
  <c r="V721" i="7"/>
  <c r="V119" i="7"/>
  <c r="V872" i="7"/>
  <c r="V52" i="7"/>
  <c r="V613" i="7"/>
  <c r="V1059" i="7"/>
  <c r="V844" i="7"/>
  <c r="V100" i="7"/>
  <c r="V389" i="7"/>
  <c r="V31" i="7"/>
  <c r="V1000" i="7"/>
  <c r="V984" i="7"/>
  <c r="V424" i="7"/>
  <c r="V404" i="7"/>
  <c r="V173" i="7"/>
  <c r="V497" i="7"/>
  <c r="V369" i="7"/>
  <c r="V12" i="7"/>
  <c r="V238" i="7"/>
  <c r="V408" i="7"/>
  <c r="V1049" i="7"/>
  <c r="V258" i="7"/>
  <c r="V674" i="7"/>
  <c r="V817" i="7"/>
  <c r="V172" i="7"/>
  <c r="V880" i="7"/>
  <c r="V590" i="7"/>
  <c r="V514" i="7"/>
  <c r="V668" i="7"/>
  <c r="V324" i="7"/>
  <c r="V141" i="7"/>
  <c r="V851" i="7"/>
  <c r="V88" i="7"/>
  <c r="V593" i="7"/>
  <c r="V999" i="7"/>
  <c r="V997" i="7"/>
  <c r="V494" i="7"/>
  <c r="V236" i="7"/>
  <c r="V106" i="7"/>
  <c r="V216" i="7"/>
  <c r="V62" i="7"/>
  <c r="V285" i="7"/>
  <c r="V712" i="7"/>
  <c r="V215" i="7"/>
  <c r="V261" i="7"/>
  <c r="V686" i="7"/>
  <c r="V348" i="7"/>
  <c r="V532" i="7"/>
  <c r="V568" i="7"/>
  <c r="V453" i="7"/>
  <c r="V313" i="7"/>
  <c r="V240" i="7"/>
  <c r="V529" i="7"/>
  <c r="V447" i="7"/>
  <c r="V879" i="7"/>
  <c r="V18" i="7"/>
  <c r="V526" i="7"/>
  <c r="V177" i="7"/>
  <c r="V433" i="7"/>
  <c r="V432" i="7"/>
  <c r="V200" i="7"/>
  <c r="V108" i="7"/>
  <c r="V920" i="7"/>
  <c r="V500" i="7"/>
  <c r="V446" i="7"/>
  <c r="V113" i="7"/>
  <c r="V343" i="7"/>
  <c r="V94" i="7"/>
  <c r="V870" i="7"/>
  <c r="V974" i="7"/>
  <c r="V53" i="7"/>
  <c r="V834" i="7"/>
  <c r="V142" i="7"/>
  <c r="V247" i="7"/>
  <c r="V297" i="7"/>
  <c r="V994" i="7"/>
  <c r="V964" i="7"/>
  <c r="V930" i="7"/>
  <c r="V181" i="7"/>
  <c r="V1033" i="7"/>
  <c r="V937" i="7"/>
  <c r="V284" i="7"/>
  <c r="V911" i="7"/>
  <c r="V151" i="7"/>
  <c r="V103" i="7"/>
  <c r="V1045" i="7"/>
  <c r="V325" i="7"/>
  <c r="V776" i="7"/>
  <c r="V401" i="7"/>
  <c r="V110" i="7"/>
  <c r="V237" i="7"/>
  <c r="V231" i="7"/>
  <c r="V962" i="7"/>
  <c r="V718" i="7"/>
  <c r="V607" i="7"/>
  <c r="V988" i="7"/>
  <c r="V196" i="7"/>
  <c r="V1020" i="7"/>
  <c r="V924" i="7"/>
  <c r="V783" i="7"/>
  <c r="V41" i="7"/>
  <c r="V657" i="7"/>
  <c r="V902" i="7"/>
  <c r="V780" i="7"/>
  <c r="V272" i="7"/>
  <c r="V329" i="7"/>
  <c r="V549" i="7"/>
  <c r="V895" i="7"/>
  <c r="V68" i="7"/>
  <c r="V748" i="7"/>
  <c r="V351" i="7"/>
  <c r="V815" i="7"/>
  <c r="V233" i="7"/>
  <c r="V156" i="7"/>
  <c r="V71" i="7"/>
  <c r="V20" i="7"/>
  <c r="V751" i="7"/>
  <c r="V764" i="7"/>
  <c r="V687" i="7"/>
  <c r="V905" i="7"/>
  <c r="V316" i="7"/>
  <c r="V866" i="7"/>
  <c r="V969" i="7"/>
  <c r="V684" i="7"/>
  <c r="V55" i="7"/>
  <c r="V943" i="7"/>
  <c r="V700" i="7"/>
  <c r="V849" i="7"/>
  <c r="V574" i="7"/>
  <c r="V923" i="7"/>
  <c r="V263" i="7"/>
  <c r="V184" i="7"/>
  <c r="V979" i="7"/>
  <c r="V69" i="7"/>
  <c r="V892" i="7"/>
  <c r="V143" i="7"/>
  <c r="V121" i="7"/>
  <c r="V812" i="7"/>
  <c r="V511" i="7"/>
  <c r="V35" i="7"/>
  <c r="V79" i="7"/>
  <c r="V382" i="7"/>
  <c r="V581" i="7"/>
  <c r="V192" i="7"/>
  <c r="V814" i="7"/>
  <c r="V952" i="7"/>
  <c r="V468" i="7"/>
  <c r="V672" i="7"/>
  <c r="V392" i="7"/>
  <c r="V23" i="7"/>
  <c r="Y113" i="7"/>
  <c r="W113" i="7"/>
  <c r="U113" i="7"/>
  <c r="AC113" i="7"/>
  <c r="Y424" i="7"/>
  <c r="W424" i="7"/>
  <c r="U424" i="7"/>
  <c r="AC424" i="7"/>
  <c r="Y1021" i="7"/>
  <c r="W1021" i="7"/>
  <c r="U1021" i="7"/>
  <c r="AC1021" i="7"/>
  <c r="Y828" i="7"/>
  <c r="W828" i="7"/>
  <c r="U828" i="7"/>
  <c r="AC828" i="7"/>
  <c r="Y713" i="7"/>
  <c r="W713" i="7"/>
  <c r="U713" i="7"/>
  <c r="AC713" i="7"/>
  <c r="Y325" i="7"/>
  <c r="W325" i="7"/>
  <c r="U325" i="7"/>
  <c r="AC325" i="7"/>
  <c r="Y46" i="7"/>
  <c r="W46" i="7"/>
  <c r="U46" i="7"/>
  <c r="AC46" i="7"/>
  <c r="AE46" i="7"/>
  <c r="Y157" i="7"/>
  <c r="W157" i="7"/>
  <c r="U157" i="7"/>
  <c r="AC157" i="7"/>
  <c r="Y740" i="7"/>
  <c r="W740" i="7"/>
  <c r="U740" i="7"/>
  <c r="AC740" i="7"/>
  <c r="Y469" i="7"/>
  <c r="W469" i="7"/>
  <c r="U469" i="7"/>
  <c r="AC469" i="7"/>
  <c r="Y909" i="7"/>
  <c r="W909" i="7"/>
  <c r="U909" i="7"/>
  <c r="AC909" i="7"/>
  <c r="Y569" i="7"/>
  <c r="W569" i="7"/>
  <c r="U569" i="7"/>
  <c r="AC569" i="7"/>
  <c r="Y320" i="7"/>
  <c r="W320" i="7"/>
  <c r="U320" i="7"/>
  <c r="AC320" i="7"/>
  <c r="Y661" i="7"/>
  <c r="W661" i="7"/>
  <c r="U661" i="7"/>
  <c r="AC661" i="7"/>
  <c r="Y453" i="7"/>
  <c r="W453" i="7"/>
  <c r="U453" i="7"/>
  <c r="AC453" i="7"/>
  <c r="Y964" i="7"/>
  <c r="W964" i="7"/>
  <c r="U964" i="7"/>
  <c r="AC964" i="7"/>
  <c r="Y721" i="7"/>
  <c r="W721" i="7"/>
  <c r="U721" i="7"/>
  <c r="AC721" i="7"/>
  <c r="Y922" i="7"/>
  <c r="W922" i="7"/>
  <c r="U922" i="7"/>
  <c r="AC922" i="7"/>
  <c r="Y302" i="7"/>
  <c r="W302" i="7"/>
  <c r="U302" i="7"/>
  <c r="AC302" i="7"/>
  <c r="Y251" i="7"/>
  <c r="W251" i="7"/>
  <c r="U251" i="7"/>
  <c r="AC251" i="7"/>
  <c r="Y243" i="7"/>
  <c r="W243" i="7"/>
  <c r="U243" i="7"/>
  <c r="AC243" i="7"/>
  <c r="Y176" i="7"/>
  <c r="W176" i="7"/>
  <c r="U176" i="7"/>
  <c r="AC176" i="7"/>
  <c r="Y820" i="7"/>
  <c r="W820" i="7"/>
  <c r="U820" i="7"/>
  <c r="AC820" i="7"/>
  <c r="Y529" i="7"/>
  <c r="W529" i="7"/>
  <c r="U529" i="7"/>
  <c r="AC529" i="7"/>
  <c r="Y47" i="7"/>
  <c r="W47" i="7"/>
  <c r="U47" i="7"/>
  <c r="AC47" i="7"/>
  <c r="Y929" i="7"/>
  <c r="W929" i="7"/>
  <c r="U929" i="7"/>
  <c r="AC929" i="7"/>
  <c r="Y438" i="7"/>
  <c r="W438" i="7"/>
  <c r="U438" i="7"/>
  <c r="AC438" i="7"/>
  <c r="Y512" i="7"/>
  <c r="W512" i="7"/>
  <c r="U512" i="7"/>
  <c r="AC512" i="7"/>
  <c r="Y653" i="7"/>
  <c r="W653" i="7"/>
  <c r="U653" i="7"/>
  <c r="AC653" i="7"/>
  <c r="Y1029" i="7"/>
  <c r="W1029" i="7"/>
  <c r="U1029" i="7"/>
  <c r="AC1029" i="7"/>
  <c r="Y1018" i="7"/>
  <c r="W1018" i="7"/>
  <c r="U1018" i="7"/>
  <c r="AC1018" i="7"/>
  <c r="Y743" i="7"/>
  <c r="W743" i="7"/>
  <c r="U743" i="7"/>
  <c r="AC743" i="7"/>
  <c r="Y833" i="7"/>
  <c r="W833" i="7"/>
  <c r="U833" i="7"/>
  <c r="AC833" i="7"/>
  <c r="Y952" i="7"/>
  <c r="W952" i="7"/>
  <c r="U952" i="7"/>
  <c r="AC952" i="7"/>
  <c r="Y857" i="7"/>
  <c r="W857" i="7"/>
  <c r="U857" i="7"/>
  <c r="AC857" i="7"/>
  <c r="Y268" i="7"/>
  <c r="W268" i="7"/>
  <c r="U268" i="7"/>
  <c r="AC268" i="7"/>
  <c r="Y784" i="7"/>
  <c r="W784" i="7"/>
  <c r="U784" i="7"/>
  <c r="AC784" i="7"/>
  <c r="Y196" i="7"/>
  <c r="W196" i="7"/>
  <c r="U196" i="7"/>
  <c r="AC196" i="7"/>
  <c r="Y278" i="7"/>
  <c r="W278" i="7"/>
  <c r="U278" i="7"/>
  <c r="AC278" i="7"/>
  <c r="Y212" i="7"/>
  <c r="W212" i="7"/>
  <c r="U212" i="7"/>
  <c r="AC212" i="7"/>
  <c r="Y988" i="7"/>
  <c r="W988" i="7"/>
  <c r="U988" i="7"/>
  <c r="AC988" i="7"/>
  <c r="Y1010" i="7"/>
  <c r="W1010" i="7"/>
  <c r="U1010" i="7"/>
  <c r="AC1010" i="7"/>
  <c r="Y154" i="7"/>
  <c r="W154" i="7"/>
  <c r="U154" i="7"/>
  <c r="AC154" i="7"/>
  <c r="Y911" i="7"/>
  <c r="W911" i="7"/>
  <c r="U911" i="7"/>
  <c r="AC911" i="7"/>
  <c r="Y983" i="7"/>
  <c r="W983" i="7"/>
  <c r="U983" i="7"/>
  <c r="AC983" i="7"/>
  <c r="Y667" i="7"/>
  <c r="W667" i="7"/>
  <c r="U667" i="7"/>
  <c r="AC667" i="7"/>
  <c r="Y421" i="7"/>
  <c r="W421" i="7"/>
  <c r="U421" i="7"/>
  <c r="AC421" i="7"/>
  <c r="Y498" i="7"/>
  <c r="W498" i="7"/>
  <c r="U498" i="7"/>
  <c r="AC498" i="7"/>
  <c r="Y959" i="7"/>
  <c r="W959" i="7"/>
  <c r="U959" i="7"/>
  <c r="AC959" i="7"/>
  <c r="Y103" i="7"/>
  <c r="W103" i="7"/>
  <c r="U103" i="7"/>
  <c r="AC103" i="7"/>
  <c r="Y517" i="7"/>
  <c r="W517" i="7"/>
  <c r="U517" i="7"/>
  <c r="AC517" i="7"/>
  <c r="Y459" i="7"/>
  <c r="W459" i="7"/>
  <c r="U459" i="7"/>
  <c r="AC459" i="7"/>
  <c r="Y919" i="7"/>
  <c r="W919" i="7"/>
  <c r="U919" i="7"/>
  <c r="AC919" i="7"/>
  <c r="Y258" i="7"/>
  <c r="W258" i="7"/>
  <c r="U258" i="7"/>
  <c r="AC258" i="7"/>
  <c r="Y769" i="7"/>
  <c r="W769" i="7"/>
  <c r="U769" i="7"/>
  <c r="AC769" i="7"/>
  <c r="Y461" i="7"/>
  <c r="W461" i="7"/>
  <c r="U461" i="7"/>
  <c r="AC461" i="7"/>
  <c r="Y81" i="7"/>
  <c r="W81" i="7"/>
  <c r="U81" i="7"/>
  <c r="AC81" i="7"/>
  <c r="Y476" i="7"/>
  <c r="W476" i="7"/>
  <c r="U476" i="7"/>
  <c r="AC476" i="7"/>
  <c r="Y184" i="7"/>
  <c r="W184" i="7"/>
  <c r="U184" i="7"/>
  <c r="AC184" i="7"/>
  <c r="Y732" i="7"/>
  <c r="W732" i="7"/>
  <c r="U732" i="7"/>
  <c r="AC732" i="7"/>
  <c r="Y317" i="7"/>
  <c r="W317" i="7"/>
  <c r="U317" i="7"/>
  <c r="AC317" i="7"/>
  <c r="Y32" i="7"/>
  <c r="W32" i="7"/>
  <c r="U32" i="7"/>
  <c r="AC32" i="7"/>
  <c r="Y413" i="7"/>
  <c r="W413" i="7"/>
  <c r="U413" i="7"/>
  <c r="AC413" i="7"/>
  <c r="Y124" i="7"/>
  <c r="W124" i="7"/>
  <c r="U124" i="7"/>
  <c r="AC124" i="7"/>
  <c r="Y675" i="7"/>
  <c r="W675" i="7"/>
  <c r="U675" i="7"/>
  <c r="AC675" i="7"/>
  <c r="Y544" i="7"/>
  <c r="W544" i="7"/>
  <c r="U544" i="7"/>
  <c r="AC544" i="7"/>
  <c r="Y216" i="7"/>
  <c r="W216" i="7"/>
  <c r="U216" i="7"/>
  <c r="AC216" i="7"/>
  <c r="Y761" i="7"/>
  <c r="W761" i="7"/>
  <c r="U761" i="7"/>
  <c r="AC761" i="7"/>
  <c r="Y221" i="7"/>
  <c r="W221" i="7"/>
  <c r="U221" i="7"/>
  <c r="AC221" i="7"/>
  <c r="Y708" i="7"/>
  <c r="W708" i="7"/>
  <c r="U708" i="7"/>
  <c r="AC708" i="7"/>
  <c r="Y980" i="7"/>
  <c r="W980" i="7"/>
  <c r="U980" i="7"/>
  <c r="AC980" i="7"/>
  <c r="Y25" i="7"/>
  <c r="W25" i="7"/>
  <c r="U25" i="7"/>
  <c r="AC25" i="7"/>
  <c r="Y443" i="7"/>
  <c r="W443" i="7"/>
  <c r="U443" i="7"/>
  <c r="AC443" i="7"/>
  <c r="Y722" i="7"/>
  <c r="W722" i="7"/>
  <c r="U722" i="7"/>
  <c r="AC722" i="7"/>
  <c r="Y287" i="7"/>
  <c r="W287" i="7"/>
  <c r="U287" i="7"/>
  <c r="AC287" i="7"/>
  <c r="Y972" i="7"/>
  <c r="W972" i="7"/>
  <c r="U972" i="7"/>
  <c r="AC972" i="7"/>
  <c r="Y519" i="7"/>
  <c r="W519" i="7"/>
  <c r="U519" i="7"/>
  <c r="AC519" i="7"/>
  <c r="Y295" i="7"/>
  <c r="W295" i="7"/>
  <c r="U295" i="7"/>
  <c r="AC295" i="7"/>
  <c r="Y205" i="7"/>
  <c r="W205" i="7"/>
  <c r="U205" i="7"/>
  <c r="AC205" i="7"/>
  <c r="Y238" i="7"/>
  <c r="W238" i="7"/>
  <c r="U238" i="7"/>
  <c r="AC238" i="7"/>
  <c r="Y737" i="7"/>
  <c r="W737" i="7"/>
  <c r="U737" i="7"/>
  <c r="AC737" i="7"/>
  <c r="Y640" i="7"/>
  <c r="W640" i="7"/>
  <c r="U640" i="7"/>
  <c r="AC640" i="7"/>
  <c r="Y1003" i="7"/>
  <c r="W1003" i="7"/>
  <c r="U1003" i="7"/>
  <c r="AC1003" i="7"/>
  <c r="Y724" i="7"/>
  <c r="W724" i="7"/>
  <c r="U724" i="7"/>
  <c r="AC724" i="7"/>
  <c r="Y259" i="7"/>
  <c r="W259" i="7"/>
  <c r="U259" i="7"/>
  <c r="AC259" i="7"/>
  <c r="Y294" i="7"/>
  <c r="W294" i="7"/>
  <c r="U294" i="7"/>
  <c r="AC294" i="7"/>
  <c r="Y762" i="7"/>
  <c r="W762" i="7"/>
  <c r="U762" i="7"/>
  <c r="AC762" i="7"/>
  <c r="Y465" i="7"/>
  <c r="W465" i="7"/>
  <c r="U465" i="7"/>
  <c r="AC465" i="7"/>
  <c r="Y73" i="7"/>
  <c r="W73" i="7"/>
  <c r="U73" i="7"/>
  <c r="AC73" i="7"/>
  <c r="Y591" i="7"/>
  <c r="W591" i="7"/>
  <c r="U591" i="7"/>
  <c r="AC591" i="7"/>
  <c r="Y639" i="7"/>
  <c r="W639" i="7"/>
  <c r="U639" i="7"/>
  <c r="AC639" i="7"/>
  <c r="Y572" i="7"/>
  <c r="W572" i="7"/>
  <c r="U572" i="7"/>
  <c r="AC572" i="7"/>
  <c r="Y825" i="7"/>
  <c r="W825" i="7"/>
  <c r="U825" i="7"/>
  <c r="AC825" i="7"/>
  <c r="Y214" i="7"/>
  <c r="W214" i="7"/>
  <c r="U214" i="7"/>
  <c r="AC214" i="7"/>
  <c r="Y681" i="7"/>
  <c r="W681" i="7"/>
  <c r="U681" i="7"/>
  <c r="AC681" i="7"/>
  <c r="Y633" i="7"/>
  <c r="W633" i="7"/>
  <c r="U633" i="7"/>
  <c r="AC633" i="7"/>
  <c r="Y91" i="7"/>
  <c r="W91" i="7"/>
  <c r="U91" i="7"/>
  <c r="AC91" i="7"/>
  <c r="Y552" i="7"/>
  <c r="W552" i="7"/>
  <c r="U552" i="7"/>
  <c r="AC552" i="7"/>
  <c r="Y706" i="7"/>
  <c r="W706" i="7"/>
  <c r="U706" i="7"/>
  <c r="AC706" i="7"/>
  <c r="Y577" i="7"/>
  <c r="W577" i="7"/>
  <c r="U577" i="7"/>
  <c r="AC577" i="7"/>
  <c r="Y865" i="7"/>
  <c r="W865" i="7"/>
  <c r="U865" i="7"/>
  <c r="AC865" i="7"/>
  <c r="Y345" i="7"/>
  <c r="W345" i="7"/>
  <c r="U345" i="7"/>
  <c r="AC345" i="7"/>
  <c r="Y436" i="7"/>
  <c r="W436" i="7"/>
  <c r="U436" i="7"/>
  <c r="AC436" i="7"/>
  <c r="Y965" i="7"/>
  <c r="W965" i="7"/>
  <c r="U965" i="7"/>
  <c r="AC965" i="7"/>
  <c r="Y23" i="7"/>
  <c r="W23" i="7"/>
  <c r="U23" i="7"/>
  <c r="AC23" i="7"/>
  <c r="Y1026" i="7"/>
  <c r="W1026" i="7"/>
  <c r="U1026" i="7"/>
  <c r="AC1026" i="7"/>
  <c r="Y267" i="7"/>
  <c r="W267" i="7"/>
  <c r="U267" i="7"/>
  <c r="AC267" i="7"/>
  <c r="Y937" i="7"/>
  <c r="W937" i="7"/>
  <c r="U937" i="7"/>
  <c r="AC937" i="7"/>
  <c r="Y83" i="7"/>
  <c r="W83" i="7"/>
  <c r="U83" i="7"/>
  <c r="AC83" i="7"/>
  <c r="Y464" i="7"/>
  <c r="W464" i="7"/>
  <c r="U464" i="7"/>
  <c r="AC464" i="7"/>
  <c r="Y99" i="7"/>
  <c r="W99" i="7"/>
  <c r="U99" i="7"/>
  <c r="AC99" i="7"/>
  <c r="Y699" i="7"/>
  <c r="W699" i="7"/>
  <c r="U699" i="7"/>
  <c r="AC699" i="7"/>
  <c r="Y37" i="7"/>
  <c r="W37" i="7"/>
  <c r="U37" i="7"/>
  <c r="AC37" i="7"/>
  <c r="Y78" i="7"/>
  <c r="W78" i="7"/>
  <c r="U78" i="7"/>
  <c r="AC78" i="7"/>
  <c r="Y618" i="7"/>
  <c r="W618" i="7"/>
  <c r="U618" i="7"/>
  <c r="AC618" i="7"/>
  <c r="Y79" i="7"/>
  <c r="W79" i="7"/>
  <c r="U79" i="7"/>
  <c r="AC79" i="7"/>
  <c r="Y688" i="7"/>
  <c r="W688" i="7"/>
  <c r="U688" i="7"/>
  <c r="AC688" i="7"/>
  <c r="Y315" i="7"/>
  <c r="W315" i="7"/>
  <c r="U315" i="7"/>
  <c r="AC315" i="7"/>
  <c r="Y691" i="7"/>
  <c r="W691" i="7"/>
  <c r="U691" i="7"/>
  <c r="AC691" i="7"/>
  <c r="Y293" i="7"/>
  <c r="W293" i="7"/>
  <c r="U293" i="7"/>
  <c r="AC293" i="7"/>
  <c r="Y783" i="7"/>
  <c r="W783" i="7"/>
  <c r="U783" i="7"/>
  <c r="AC783" i="7"/>
  <c r="Y716" i="7"/>
  <c r="W716" i="7"/>
  <c r="U716" i="7"/>
  <c r="AC716" i="7"/>
  <c r="Y799" i="7"/>
  <c r="W799" i="7"/>
  <c r="U799" i="7"/>
  <c r="AC799" i="7"/>
  <c r="Y902" i="7"/>
  <c r="W902" i="7"/>
  <c r="U902" i="7"/>
  <c r="AC902" i="7"/>
  <c r="Y892" i="7"/>
  <c r="W892" i="7"/>
  <c r="U892" i="7"/>
  <c r="AC892" i="7"/>
  <c r="Y333" i="7"/>
  <c r="W333" i="7"/>
  <c r="U333" i="7"/>
  <c r="AC333" i="7"/>
  <c r="Y160" i="7"/>
  <c r="W160" i="7"/>
  <c r="U160" i="7"/>
  <c r="AC160" i="7"/>
  <c r="Y636" i="7"/>
  <c r="W636" i="7"/>
  <c r="U636" i="7"/>
  <c r="AC636" i="7"/>
  <c r="Y846" i="7"/>
  <c r="W846" i="7"/>
  <c r="U846" i="7"/>
  <c r="AC846" i="7"/>
  <c r="Y797" i="7"/>
  <c r="W797" i="7"/>
  <c r="U797" i="7"/>
  <c r="AC797" i="7"/>
  <c r="Y705" i="7"/>
  <c r="W705" i="7"/>
  <c r="U705" i="7"/>
  <c r="AC705" i="7"/>
  <c r="Y445" i="7"/>
  <c r="W445" i="7"/>
  <c r="U445" i="7"/>
  <c r="AC445" i="7"/>
  <c r="Y676" i="7"/>
  <c r="W676" i="7"/>
  <c r="U676" i="7"/>
  <c r="AC676" i="7"/>
  <c r="Y279" i="7"/>
  <c r="W279" i="7"/>
  <c r="U279" i="7"/>
  <c r="AC279" i="7"/>
  <c r="Y45" i="7"/>
  <c r="W45" i="7"/>
  <c r="U45" i="7"/>
  <c r="AC45" i="7"/>
  <c r="Y448" i="7"/>
  <c r="W448" i="7"/>
  <c r="U448" i="7"/>
  <c r="AC448" i="7"/>
  <c r="Y594" i="7"/>
  <c r="W594" i="7"/>
  <c r="U594" i="7"/>
  <c r="AC594" i="7"/>
  <c r="Y907" i="7"/>
  <c r="W907" i="7"/>
  <c r="U907" i="7"/>
  <c r="AC907" i="7"/>
  <c r="Y745" i="7"/>
  <c r="W745" i="7"/>
  <c r="U745" i="7"/>
  <c r="AC745" i="7"/>
  <c r="Y104" i="7"/>
  <c r="W104" i="7"/>
  <c r="U104" i="7"/>
  <c r="AC104" i="7"/>
  <c r="Y632" i="7"/>
  <c r="W632" i="7"/>
  <c r="U632" i="7"/>
  <c r="AC632" i="7"/>
  <c r="Y683" i="7"/>
  <c r="W683" i="7"/>
  <c r="U683" i="7"/>
  <c r="AC683" i="7"/>
  <c r="Y417" i="7"/>
  <c r="W417" i="7"/>
  <c r="U417" i="7"/>
  <c r="AC417" i="7"/>
  <c r="Y672" i="7"/>
  <c r="W672" i="7"/>
  <c r="U672" i="7"/>
  <c r="AC672" i="7"/>
  <c r="Y336" i="7"/>
  <c r="W336" i="7"/>
  <c r="U336" i="7"/>
  <c r="AC336" i="7"/>
  <c r="Y916" i="7"/>
  <c r="W916" i="7"/>
  <c r="U916" i="7"/>
  <c r="AC916" i="7"/>
  <c r="Y1042" i="7"/>
  <c r="W1042" i="7"/>
  <c r="U1042" i="7"/>
  <c r="AC1042" i="7"/>
  <c r="Y308" i="7"/>
  <c r="W308" i="7"/>
  <c r="U308" i="7"/>
  <c r="AC308" i="7"/>
  <c r="Y1034" i="7"/>
  <c r="W1034" i="7"/>
  <c r="U1034" i="7"/>
  <c r="AC1034" i="7"/>
  <c r="Y250" i="7"/>
  <c r="W250" i="7"/>
  <c r="U250" i="7"/>
  <c r="AC250" i="7"/>
  <c r="Y896" i="7"/>
  <c r="W896" i="7"/>
  <c r="U896" i="7"/>
  <c r="AC896" i="7"/>
  <c r="Y401" i="7"/>
  <c r="W401" i="7"/>
  <c r="U401" i="7"/>
  <c r="AC401" i="7"/>
  <c r="Y468" i="7"/>
  <c r="W468" i="7"/>
  <c r="U468" i="7"/>
  <c r="AC468" i="7"/>
  <c r="Y269" i="7"/>
  <c r="W269" i="7"/>
  <c r="U269" i="7"/>
  <c r="AC269" i="7"/>
  <c r="Y882" i="7"/>
  <c r="W882" i="7"/>
  <c r="U882" i="7"/>
  <c r="AC882" i="7"/>
  <c r="Y888" i="7"/>
  <c r="W888" i="7"/>
  <c r="U888" i="7"/>
  <c r="AC888" i="7"/>
  <c r="Y425" i="7"/>
  <c r="W425" i="7"/>
  <c r="U425" i="7"/>
  <c r="AC425" i="7"/>
  <c r="Y15" i="7"/>
  <c r="W15" i="7"/>
  <c r="U15" i="7"/>
  <c r="AC15" i="7"/>
  <c r="Y351" i="7"/>
  <c r="W351" i="7"/>
  <c r="U351" i="7"/>
  <c r="AC351" i="7"/>
  <c r="Y810" i="7"/>
  <c r="W810" i="7"/>
  <c r="U810" i="7"/>
  <c r="AC810" i="7"/>
  <c r="Y49" i="7"/>
  <c r="W49" i="7"/>
  <c r="U49" i="7"/>
  <c r="AC49" i="7"/>
  <c r="Y901" i="7"/>
  <c r="W901" i="7"/>
  <c r="U901" i="7"/>
  <c r="AC901" i="7"/>
  <c r="Y242" i="7"/>
  <c r="W242" i="7"/>
  <c r="U242" i="7"/>
  <c r="AC242" i="7"/>
  <c r="Y264" i="7"/>
  <c r="W264" i="7"/>
  <c r="U264" i="7"/>
  <c r="AC264" i="7"/>
  <c r="Y547" i="7"/>
  <c r="W547" i="7"/>
  <c r="U547" i="7"/>
  <c r="AC547" i="7"/>
  <c r="Y490" i="7"/>
  <c r="W490" i="7"/>
  <c r="U490" i="7"/>
  <c r="AC490" i="7"/>
  <c r="Y28" i="7"/>
  <c r="W28" i="7"/>
  <c r="U28" i="7"/>
  <c r="AC28" i="7"/>
  <c r="Y789" i="7"/>
  <c r="W789" i="7"/>
  <c r="U789" i="7"/>
  <c r="AC789" i="7"/>
  <c r="Y779" i="7"/>
  <c r="W779" i="7"/>
  <c r="U779" i="7"/>
  <c r="AC779" i="7"/>
  <c r="Y891" i="7"/>
  <c r="W891" i="7"/>
  <c r="U891" i="7"/>
  <c r="AC891" i="7"/>
  <c r="Y70" i="7"/>
  <c r="W70" i="7"/>
  <c r="U70" i="7"/>
  <c r="AC70" i="7"/>
  <c r="Y556" i="7"/>
  <c r="W556" i="7"/>
  <c r="U556" i="7"/>
  <c r="AC556" i="7"/>
  <c r="Y204" i="7"/>
  <c r="W204" i="7"/>
  <c r="U204" i="7"/>
  <c r="AC204" i="7"/>
  <c r="Y435" i="7"/>
  <c r="W435" i="7"/>
  <c r="U435" i="7"/>
  <c r="AC435" i="7"/>
  <c r="Y187" i="7"/>
  <c r="W187" i="7"/>
  <c r="U187" i="7"/>
  <c r="AC187" i="7"/>
  <c r="Y991" i="7"/>
  <c r="W991" i="7"/>
  <c r="U991" i="7"/>
  <c r="AC991" i="7"/>
  <c r="Y645" i="7"/>
  <c r="W645" i="7"/>
  <c r="U645" i="7"/>
  <c r="AC645" i="7"/>
  <c r="Y604" i="7"/>
  <c r="W604" i="7"/>
  <c r="U604" i="7"/>
  <c r="AC604" i="7"/>
  <c r="Y390" i="7"/>
  <c r="W390" i="7"/>
  <c r="U390" i="7"/>
  <c r="AC390" i="7"/>
  <c r="Y506" i="7"/>
  <c r="W506" i="7"/>
  <c r="U506" i="7"/>
  <c r="AC506" i="7"/>
  <c r="Y904" i="7"/>
  <c r="W904" i="7"/>
  <c r="U904" i="7"/>
  <c r="AC904" i="7"/>
  <c r="Y199" i="7"/>
  <c r="W199" i="7"/>
  <c r="U199" i="7"/>
  <c r="AC199" i="7"/>
  <c r="Y1060" i="7"/>
  <c r="W1060" i="7"/>
  <c r="U1060" i="7"/>
  <c r="AC1060" i="7"/>
  <c r="Y772" i="7"/>
  <c r="W772" i="7"/>
  <c r="U772" i="7"/>
  <c r="AC772" i="7"/>
  <c r="Y429" i="7"/>
  <c r="W429" i="7"/>
  <c r="U429" i="7"/>
  <c r="AC429" i="7"/>
  <c r="Y841" i="7"/>
  <c r="W841" i="7"/>
  <c r="U841" i="7"/>
  <c r="AC841" i="7"/>
  <c r="Y620" i="7"/>
  <c r="W620" i="7"/>
  <c r="U620" i="7"/>
  <c r="AC620" i="7"/>
  <c r="Y696" i="7"/>
  <c r="W696" i="7"/>
  <c r="U696" i="7"/>
  <c r="AC696" i="7"/>
  <c r="Y1022" i="7"/>
  <c r="W1022" i="7"/>
  <c r="U1022" i="7"/>
  <c r="AC1022" i="7"/>
  <c r="Y194" i="7"/>
  <c r="W194" i="7"/>
  <c r="U194" i="7"/>
  <c r="AC194" i="7"/>
  <c r="Y514" i="7"/>
  <c r="W514" i="7"/>
  <c r="U514" i="7"/>
  <c r="AC514" i="7"/>
  <c r="Y307" i="7"/>
  <c r="W307" i="7"/>
  <c r="U307" i="7"/>
  <c r="AC307" i="7"/>
  <c r="Y649" i="7"/>
  <c r="W649" i="7"/>
  <c r="U649" i="7"/>
  <c r="AC649" i="7"/>
  <c r="Y975" i="7"/>
  <c r="W975" i="7"/>
  <c r="U975" i="7"/>
  <c r="AC975" i="7"/>
  <c r="Y628" i="7"/>
  <c r="W628" i="7"/>
  <c r="U628" i="7"/>
  <c r="AC628" i="7"/>
  <c r="Y612" i="7"/>
  <c r="W612" i="7"/>
  <c r="U612" i="7"/>
  <c r="AC612" i="7"/>
  <c r="Y850" i="7"/>
  <c r="W850" i="7"/>
  <c r="U850" i="7"/>
  <c r="AC850" i="7"/>
  <c r="Y665" i="7"/>
  <c r="W665" i="7"/>
  <c r="U665" i="7"/>
  <c r="AC665" i="7"/>
  <c r="Y860" i="7"/>
  <c r="W860" i="7"/>
  <c r="U860" i="7"/>
  <c r="AC860" i="7"/>
  <c r="Y580" i="7"/>
  <c r="W580" i="7"/>
  <c r="U580" i="7"/>
  <c r="AC580" i="7"/>
  <c r="Y588" i="7"/>
  <c r="W588" i="7"/>
  <c r="U588" i="7"/>
  <c r="AC588" i="7"/>
  <c r="Y29" i="7"/>
  <c r="W29" i="7"/>
  <c r="U29" i="7"/>
  <c r="AC29" i="7"/>
  <c r="Y709" i="7"/>
  <c r="W709" i="7"/>
  <c r="U709" i="7"/>
  <c r="AC709" i="7"/>
  <c r="Y562" i="7"/>
  <c r="W562" i="7"/>
  <c r="U562" i="7"/>
  <c r="AC562" i="7"/>
  <c r="Y542" i="7"/>
  <c r="W542" i="7"/>
  <c r="U542" i="7"/>
  <c r="AC542" i="7"/>
  <c r="Y1017" i="7"/>
  <c r="W1017" i="7"/>
  <c r="U1017" i="7"/>
  <c r="AC1017" i="7"/>
  <c r="Y354" i="7"/>
  <c r="W354" i="7"/>
  <c r="U354" i="7"/>
  <c r="AC354" i="7"/>
  <c r="Y503" i="7"/>
  <c r="W503" i="7"/>
  <c r="U503" i="7"/>
  <c r="AC503" i="7"/>
  <c r="Y300" i="7"/>
  <c r="W300" i="7"/>
  <c r="U300" i="7"/>
  <c r="AC300" i="7"/>
  <c r="Y1044" i="7"/>
  <c r="W1044" i="7"/>
  <c r="U1044" i="7"/>
  <c r="AC1044" i="7"/>
  <c r="Y168" i="7"/>
  <c r="W168" i="7"/>
  <c r="U168" i="7"/>
  <c r="AC168" i="7"/>
  <c r="Y586" i="7"/>
  <c r="W586" i="7"/>
  <c r="U586" i="7"/>
  <c r="AC586" i="7"/>
  <c r="Y627" i="7"/>
  <c r="W627" i="7"/>
  <c r="U627" i="7"/>
  <c r="AC627" i="7"/>
  <c r="Y163" i="7"/>
  <c r="W163" i="7"/>
  <c r="U163" i="7"/>
  <c r="AC163" i="7"/>
  <c r="Y997" i="7"/>
  <c r="W997" i="7"/>
  <c r="U997" i="7"/>
  <c r="AC997" i="7"/>
  <c r="Y994" i="7"/>
  <c r="W994" i="7"/>
  <c r="U994" i="7"/>
  <c r="AC994" i="7"/>
  <c r="Y728" i="7"/>
  <c r="W728" i="7"/>
  <c r="U728" i="7"/>
  <c r="AC728" i="7"/>
  <c r="Y868" i="7"/>
  <c r="W868" i="7"/>
  <c r="U868" i="7"/>
  <c r="AC868" i="7"/>
  <c r="Y666" i="7"/>
  <c r="W666" i="7"/>
  <c r="U666" i="7"/>
  <c r="AC666" i="7"/>
  <c r="Y94" i="7"/>
  <c r="W94" i="7"/>
  <c r="U94" i="7"/>
  <c r="AC94" i="7"/>
  <c r="Y1036" i="7"/>
  <c r="W1036" i="7"/>
  <c r="U1036" i="7"/>
  <c r="AC1036" i="7"/>
  <c r="Y644" i="7"/>
  <c r="W644" i="7"/>
  <c r="U644" i="7"/>
  <c r="AC644" i="7"/>
  <c r="Y52" i="7"/>
  <c r="W52" i="7"/>
  <c r="U52" i="7"/>
  <c r="AC52" i="7"/>
  <c r="Y247" i="7"/>
  <c r="W247" i="7"/>
  <c r="U247" i="7"/>
  <c r="AC247" i="7"/>
  <c r="Y456" i="7"/>
  <c r="W456" i="7"/>
  <c r="U456" i="7"/>
  <c r="AC456" i="7"/>
  <c r="Y526" i="7"/>
  <c r="W526" i="7"/>
  <c r="U526" i="7"/>
  <c r="AC526" i="7"/>
  <c r="Y271" i="7"/>
  <c r="W271" i="7"/>
  <c r="U271" i="7"/>
  <c r="AC271" i="7"/>
  <c r="Y778" i="7"/>
  <c r="W778" i="7"/>
  <c r="U778" i="7"/>
  <c r="AC778" i="7"/>
  <c r="Y637" i="7"/>
  <c r="W637" i="7"/>
  <c r="U637" i="7"/>
  <c r="AC637" i="7"/>
  <c r="Y481" i="7"/>
  <c r="W481" i="7"/>
  <c r="U481" i="7"/>
  <c r="AC481" i="7"/>
  <c r="Y830" i="7"/>
  <c r="W830" i="7"/>
  <c r="U830" i="7"/>
  <c r="AC830" i="7"/>
  <c r="Y807" i="7"/>
  <c r="W807" i="7"/>
  <c r="U807" i="7"/>
  <c r="AC807" i="7"/>
  <c r="Y391" i="7"/>
  <c r="W391" i="7"/>
  <c r="U391" i="7"/>
  <c r="AC391" i="7"/>
  <c r="Y440" i="7"/>
  <c r="W440" i="7"/>
  <c r="U440" i="7"/>
  <c r="AC440" i="7"/>
  <c r="Y511" i="7"/>
  <c r="W511" i="7"/>
  <c r="U511" i="7"/>
  <c r="AC511" i="7"/>
  <c r="Y748" i="7"/>
  <c r="W748" i="7"/>
  <c r="U748" i="7"/>
  <c r="AC748" i="7"/>
  <c r="Y973" i="7"/>
  <c r="W973" i="7"/>
  <c r="U973" i="7"/>
  <c r="AC973" i="7"/>
  <c r="Y955" i="7"/>
  <c r="W955" i="7"/>
  <c r="U955" i="7"/>
  <c r="AC955" i="7"/>
  <c r="Y1002" i="7"/>
  <c r="W1002" i="7"/>
  <c r="U1002" i="7"/>
  <c r="AC1002" i="7"/>
  <c r="Y17" i="7"/>
  <c r="W17" i="7"/>
  <c r="U17" i="7"/>
  <c r="AC17" i="7"/>
  <c r="Y89" i="7"/>
  <c r="W89" i="7"/>
  <c r="U89" i="7"/>
  <c r="AC89" i="7"/>
  <c r="Y275" i="7"/>
  <c r="W275" i="7"/>
  <c r="U275" i="7"/>
  <c r="AC275" i="7"/>
  <c r="Y108" i="7"/>
  <c r="W108" i="7"/>
  <c r="U108" i="7"/>
  <c r="AC108" i="7"/>
  <c r="Y910" i="7"/>
  <c r="W910" i="7"/>
  <c r="U910" i="7"/>
  <c r="AC910" i="7"/>
  <c r="Y528" i="7"/>
  <c r="W528" i="7"/>
  <c r="U528" i="7"/>
  <c r="AC528" i="7"/>
  <c r="Y764" i="7"/>
  <c r="W764" i="7"/>
  <c r="U764" i="7"/>
  <c r="AC764" i="7"/>
  <c r="Y641" i="7"/>
  <c r="W641" i="7"/>
  <c r="U641" i="7"/>
  <c r="AC641" i="7"/>
  <c r="Y54" i="7"/>
  <c r="W54" i="7"/>
  <c r="U54" i="7"/>
  <c r="AC54" i="7"/>
  <c r="Y611" i="7"/>
  <c r="W611" i="7"/>
  <c r="U611" i="7"/>
  <c r="AC611" i="7"/>
  <c r="Y19" i="7"/>
  <c r="W19" i="7"/>
  <c r="U19" i="7"/>
  <c r="AC19" i="7"/>
  <c r="Y861" i="7"/>
  <c r="W861" i="7"/>
  <c r="U861" i="7"/>
  <c r="AC861" i="7"/>
  <c r="Y286" i="7"/>
  <c r="W286" i="7"/>
  <c r="U286" i="7"/>
  <c r="AC286" i="7"/>
  <c r="Y309" i="7"/>
  <c r="W309" i="7"/>
  <c r="U309" i="7"/>
  <c r="AC309" i="7"/>
  <c r="Y68" i="7"/>
  <c r="W68" i="7"/>
  <c r="U68" i="7"/>
  <c r="AC68" i="7"/>
  <c r="Y404" i="7"/>
  <c r="W404" i="7"/>
  <c r="U404" i="7"/>
  <c r="AC404" i="7"/>
  <c r="Y791" i="7"/>
  <c r="W791" i="7"/>
  <c r="U791" i="7"/>
  <c r="AC791" i="7"/>
  <c r="Y1013" i="7"/>
  <c r="W1013" i="7"/>
  <c r="U1013" i="7"/>
  <c r="AC1013" i="7"/>
  <c r="Y118" i="7"/>
  <c r="W118" i="7"/>
  <c r="U118" i="7"/>
  <c r="AC118" i="7"/>
  <c r="Y838" i="7"/>
  <c r="W838" i="7"/>
  <c r="U838" i="7"/>
  <c r="AC838" i="7"/>
  <c r="Y852" i="7"/>
  <c r="W852" i="7"/>
  <c r="U852" i="7"/>
  <c r="AC852" i="7"/>
  <c r="Y292" i="7"/>
  <c r="W292" i="7"/>
  <c r="U292" i="7"/>
  <c r="AC292" i="7"/>
  <c r="Y918" i="7"/>
  <c r="W918" i="7"/>
  <c r="U918" i="7"/>
  <c r="AC918" i="7"/>
  <c r="Y759" i="7"/>
  <c r="W759" i="7"/>
  <c r="U759" i="7"/>
  <c r="AC759" i="7"/>
  <c r="Y57" i="7"/>
  <c r="W57" i="7"/>
  <c r="U57" i="7"/>
  <c r="AC57" i="7"/>
  <c r="Y655" i="7"/>
  <c r="W655" i="7"/>
  <c r="U655" i="7"/>
  <c r="AC655" i="7"/>
  <c r="Y1009" i="7"/>
  <c r="W1009" i="7"/>
  <c r="U1009" i="7"/>
  <c r="AC1009" i="7"/>
  <c r="Y884" i="7"/>
  <c r="W884" i="7"/>
  <c r="U884" i="7"/>
  <c r="AC884" i="7"/>
  <c r="Y770" i="7"/>
  <c r="W770" i="7"/>
  <c r="U770" i="7"/>
  <c r="AC770" i="7"/>
  <c r="Y312" i="7"/>
  <c r="W312" i="7"/>
  <c r="U312" i="7"/>
  <c r="AC312" i="7"/>
  <c r="Y564" i="7"/>
  <c r="W564" i="7"/>
  <c r="U564" i="7"/>
  <c r="AC564" i="7"/>
  <c r="Y224" i="7"/>
  <c r="W224" i="7"/>
  <c r="U224" i="7"/>
  <c r="AC224" i="7"/>
  <c r="Y894" i="7"/>
  <c r="W894" i="7"/>
  <c r="U894" i="7"/>
  <c r="AC894" i="7"/>
  <c r="Y348" i="7"/>
  <c r="W348" i="7"/>
  <c r="U348" i="7"/>
  <c r="AC348" i="7"/>
  <c r="Y1005" i="7"/>
  <c r="W1005" i="7"/>
  <c r="U1005" i="7"/>
  <c r="AC1005" i="7"/>
  <c r="Y41" i="7"/>
  <c r="W41" i="7"/>
  <c r="U41" i="7"/>
  <c r="AC41" i="7"/>
  <c r="Y651" i="7"/>
  <c r="W651" i="7"/>
  <c r="U651" i="7"/>
  <c r="AC651" i="7"/>
  <c r="Y472" i="7"/>
  <c r="W472" i="7"/>
  <c r="U472" i="7"/>
  <c r="AC472" i="7"/>
  <c r="Y967" i="7"/>
  <c r="W967" i="7"/>
  <c r="U967" i="7"/>
  <c r="AC967" i="7"/>
  <c r="Y478" i="7"/>
  <c r="W478" i="7"/>
  <c r="U478" i="7"/>
  <c r="AC478" i="7"/>
  <c r="Y914" i="7"/>
  <c r="W914" i="7"/>
  <c r="U914" i="7"/>
  <c r="AC914" i="7"/>
  <c r="Y603" i="7"/>
  <c r="W603" i="7"/>
  <c r="U603" i="7"/>
  <c r="AC603" i="7"/>
  <c r="Y328" i="7"/>
  <c r="W328" i="7"/>
  <c r="U328" i="7"/>
  <c r="AC328" i="7"/>
  <c r="Y753" i="7"/>
  <c r="W753" i="7"/>
  <c r="U753" i="7"/>
  <c r="AC753" i="7"/>
  <c r="Y871" i="7"/>
  <c r="W871" i="7"/>
  <c r="U871" i="7"/>
  <c r="AC871" i="7"/>
  <c r="Y262" i="7"/>
  <c r="W262" i="7"/>
  <c r="U262" i="7"/>
  <c r="AC262" i="7"/>
  <c r="Y165" i="7"/>
  <c r="W165" i="7"/>
  <c r="U165" i="7"/>
  <c r="AC165" i="7"/>
  <c r="Y1025" i="7"/>
  <c r="W1025" i="7"/>
  <c r="U1025" i="7"/>
  <c r="AC1025" i="7"/>
  <c r="Y226" i="7"/>
  <c r="W226" i="7"/>
  <c r="U226" i="7"/>
  <c r="AC226" i="7"/>
  <c r="Y831" i="7"/>
  <c r="W831" i="7"/>
  <c r="U831" i="7"/>
  <c r="AC831" i="7"/>
  <c r="Y192" i="7"/>
  <c r="W192" i="7"/>
  <c r="U192" i="7"/>
  <c r="AC192" i="7"/>
  <c r="Y125" i="7"/>
  <c r="W125" i="7"/>
  <c r="U125" i="7"/>
  <c r="AC125" i="7"/>
  <c r="Y947" i="7"/>
  <c r="W947" i="7"/>
  <c r="U947" i="7"/>
  <c r="AC947" i="7"/>
  <c r="Y398" i="7"/>
  <c r="W398" i="7"/>
  <c r="U398" i="7"/>
  <c r="AC398" i="7"/>
  <c r="Y34" i="7"/>
  <c r="W34" i="7"/>
  <c r="U34" i="7"/>
  <c r="AC34" i="7"/>
  <c r="Y143" i="7"/>
  <c r="W143" i="7"/>
  <c r="U143" i="7"/>
  <c r="AC143" i="7"/>
  <c r="Y367" i="7"/>
  <c r="W367" i="7"/>
  <c r="U367" i="7"/>
  <c r="AC367" i="7"/>
  <c r="Y173" i="7"/>
  <c r="W173" i="7"/>
  <c r="U173" i="7"/>
  <c r="AC173" i="7"/>
  <c r="Y945" i="7"/>
  <c r="W945" i="7"/>
  <c r="U945" i="7"/>
  <c r="AC945" i="7"/>
  <c r="Y719" i="7"/>
  <c r="W719" i="7"/>
  <c r="U719" i="7"/>
  <c r="AC719" i="7"/>
  <c r="Y230" i="7"/>
  <c r="W230" i="7"/>
  <c r="U230" i="7"/>
  <c r="AC230" i="7"/>
  <c r="Y62" i="7"/>
  <c r="W62" i="7"/>
  <c r="U62" i="7"/>
  <c r="AC62" i="7"/>
  <c r="Y575" i="7"/>
  <c r="W575" i="7"/>
  <c r="U575" i="7"/>
  <c r="AC575" i="7"/>
  <c r="Y808" i="7"/>
  <c r="W808" i="7"/>
  <c r="U808" i="7"/>
  <c r="AC808" i="7"/>
  <c r="Y1051" i="7"/>
  <c r="W1051" i="7"/>
  <c r="U1051" i="7"/>
  <c r="AC1051" i="7"/>
  <c r="Y276" i="7"/>
  <c r="W276" i="7"/>
  <c r="U276" i="7"/>
  <c r="AC276" i="7"/>
  <c r="Y826" i="7"/>
  <c r="W826" i="7"/>
  <c r="U826" i="7"/>
  <c r="AC826" i="7"/>
  <c r="Y1040" i="7"/>
  <c r="W1040" i="7"/>
  <c r="U1040" i="7"/>
  <c r="AC1040" i="7"/>
  <c r="Y1043" i="7"/>
  <c r="W1043" i="7"/>
  <c r="U1043" i="7"/>
  <c r="AC1043" i="7"/>
  <c r="Y703" i="7"/>
  <c r="W703" i="7"/>
  <c r="U703" i="7"/>
  <c r="AC703" i="7"/>
  <c r="Y304" i="7"/>
  <c r="W304" i="7"/>
  <c r="U304" i="7"/>
  <c r="AC304" i="7"/>
  <c r="Y210" i="7"/>
  <c r="W210" i="7"/>
  <c r="U210" i="7"/>
  <c r="AC210" i="7"/>
  <c r="Y847" i="7"/>
  <c r="W847" i="7"/>
  <c r="U847" i="7"/>
  <c r="AC847" i="7"/>
  <c r="Y652" i="7"/>
  <c r="W652" i="7"/>
  <c r="U652" i="7"/>
  <c r="AC652" i="7"/>
  <c r="Y823" i="7"/>
  <c r="W823" i="7"/>
  <c r="U823" i="7"/>
  <c r="AC823" i="7"/>
  <c r="Y1050" i="7"/>
  <c r="W1050" i="7"/>
  <c r="U1050" i="7"/>
  <c r="AC1050" i="7"/>
  <c r="Y321" i="7"/>
  <c r="W321" i="7"/>
  <c r="U321" i="7"/>
  <c r="AC321" i="7"/>
  <c r="Y729" i="7"/>
  <c r="W729" i="7"/>
  <c r="U729" i="7"/>
  <c r="AC729" i="7"/>
  <c r="Y786" i="7"/>
  <c r="W786" i="7"/>
  <c r="U786" i="7"/>
  <c r="AC786" i="7"/>
  <c r="Y35" i="7"/>
  <c r="W35" i="7"/>
  <c r="U35" i="7"/>
  <c r="AC35" i="7"/>
  <c r="Y263" i="7"/>
  <c r="W263" i="7"/>
  <c r="U263" i="7"/>
  <c r="AC263" i="7"/>
  <c r="Y159" i="7"/>
  <c r="W159" i="7"/>
  <c r="U159" i="7"/>
  <c r="AC159" i="7"/>
  <c r="Y467" i="7"/>
  <c r="W467" i="7"/>
  <c r="U467" i="7"/>
  <c r="AC467" i="7"/>
  <c r="Y416" i="7"/>
  <c r="W416" i="7"/>
  <c r="U416" i="7"/>
  <c r="AC416" i="7"/>
  <c r="Y495" i="7"/>
  <c r="W495" i="7"/>
  <c r="U495" i="7"/>
  <c r="AC495" i="7"/>
  <c r="Y335" i="7"/>
  <c r="W335" i="7"/>
  <c r="U335" i="7"/>
  <c r="AC335" i="7"/>
  <c r="Y619" i="7"/>
  <c r="W619" i="7"/>
  <c r="U619" i="7"/>
  <c r="AC619" i="7"/>
  <c r="Y806" i="7"/>
  <c r="W806" i="7"/>
  <c r="U806" i="7"/>
  <c r="AC806" i="7"/>
  <c r="Y233" i="7"/>
  <c r="W233" i="7"/>
  <c r="U233" i="7"/>
  <c r="AC233" i="7"/>
  <c r="Y754" i="7"/>
  <c r="W754" i="7"/>
  <c r="U754" i="7"/>
  <c r="AC754" i="7"/>
  <c r="Y818" i="7"/>
  <c r="W818" i="7"/>
  <c r="U818" i="7"/>
  <c r="AC818" i="7"/>
  <c r="Y316" i="7"/>
  <c r="W316" i="7"/>
  <c r="U316" i="7"/>
  <c r="AC316" i="7"/>
  <c r="Y995" i="7"/>
  <c r="W995" i="7"/>
  <c r="U995" i="7"/>
  <c r="AC995" i="7"/>
  <c r="Y814" i="7"/>
  <c r="W814" i="7"/>
  <c r="U814" i="7"/>
  <c r="AC814" i="7"/>
  <c r="Y553" i="7"/>
  <c r="W553" i="7"/>
  <c r="U553" i="7"/>
  <c r="AC553" i="7"/>
  <c r="Y567" i="7"/>
  <c r="W567" i="7"/>
  <c r="U567" i="7"/>
  <c r="AC567" i="7"/>
  <c r="Y822" i="7"/>
  <c r="W822" i="7"/>
  <c r="U822" i="7"/>
  <c r="AC822" i="7"/>
  <c r="Y48" i="7"/>
  <c r="W48" i="7"/>
  <c r="U48" i="7"/>
  <c r="AC48" i="7"/>
  <c r="Y384" i="7"/>
  <c r="W384" i="7"/>
  <c r="U384" i="7"/>
  <c r="AC384" i="7"/>
  <c r="Y881" i="7"/>
  <c r="W881" i="7"/>
  <c r="U881" i="7"/>
  <c r="AC881" i="7"/>
  <c r="Y444" i="7"/>
  <c r="W444" i="7"/>
  <c r="U444" i="7"/>
  <c r="AC444" i="7"/>
  <c r="Y844" i="7"/>
  <c r="W844" i="7"/>
  <c r="U844" i="7"/>
  <c r="AC844" i="7"/>
  <c r="Y657" i="7"/>
  <c r="W657" i="7"/>
  <c r="U657" i="7"/>
  <c r="AC657" i="7"/>
  <c r="Y353" i="7"/>
  <c r="W353" i="7"/>
  <c r="U353" i="7"/>
  <c r="AC353" i="7"/>
  <c r="Y601" i="7"/>
  <c r="W601" i="7"/>
  <c r="U601" i="7"/>
  <c r="AC601" i="7"/>
  <c r="Y543" i="7"/>
  <c r="W543" i="7"/>
  <c r="U543" i="7"/>
  <c r="AC543" i="7"/>
  <c r="Y876" i="7"/>
  <c r="W876" i="7"/>
  <c r="U876" i="7"/>
  <c r="AC876" i="7"/>
  <c r="Y473" i="7"/>
  <c r="W473" i="7"/>
  <c r="U473" i="7"/>
  <c r="AC473" i="7"/>
  <c r="Y749" i="7"/>
  <c r="W749" i="7"/>
  <c r="U749" i="7"/>
  <c r="AC749" i="7"/>
  <c r="Y570" i="7"/>
  <c r="W570" i="7"/>
  <c r="U570" i="7"/>
  <c r="AC570" i="7"/>
  <c r="Y491" i="7"/>
  <c r="W491" i="7"/>
  <c r="U491" i="7"/>
  <c r="AC491" i="7"/>
  <c r="Y179" i="7"/>
  <c r="W179" i="7"/>
  <c r="U179" i="7"/>
  <c r="AC179" i="7"/>
  <c r="Y992" i="7"/>
  <c r="W992" i="7"/>
  <c r="U992" i="7"/>
  <c r="AC992" i="7"/>
  <c r="Y361" i="7"/>
  <c r="W361" i="7"/>
  <c r="U361" i="7"/>
  <c r="AC361" i="7"/>
  <c r="Y834" i="7"/>
  <c r="W834" i="7"/>
  <c r="U834" i="7"/>
  <c r="AC834" i="7"/>
  <c r="Y318" i="7"/>
  <c r="W318" i="7"/>
  <c r="U318" i="7"/>
  <c r="AC318" i="7"/>
  <c r="Y986" i="7"/>
  <c r="W986" i="7"/>
  <c r="U986" i="7"/>
  <c r="AC986" i="7"/>
  <c r="Y127" i="7"/>
  <c r="W127" i="7"/>
  <c r="U127" i="7"/>
  <c r="AC127" i="7"/>
  <c r="Y370" i="7"/>
  <c r="W370" i="7"/>
  <c r="U370" i="7"/>
  <c r="AC370" i="7"/>
  <c r="Y115" i="7"/>
  <c r="W115" i="7"/>
  <c r="U115" i="7"/>
  <c r="AC115" i="7"/>
  <c r="Y585" i="7"/>
  <c r="W585" i="7"/>
  <c r="U585" i="7"/>
  <c r="AC585" i="7"/>
  <c r="Y148" i="7"/>
  <c r="W148" i="7"/>
  <c r="U148" i="7"/>
  <c r="AC148" i="7"/>
  <c r="Y130" i="7"/>
  <c r="W130" i="7"/>
  <c r="U130" i="7"/>
  <c r="AC130" i="7"/>
  <c r="Y801" i="7"/>
  <c r="W801" i="7"/>
  <c r="U801" i="7"/>
  <c r="AC801" i="7"/>
  <c r="Y1041" i="7"/>
  <c r="W1041" i="7"/>
  <c r="U1041" i="7"/>
  <c r="AC1041" i="7"/>
  <c r="Y432" i="7"/>
  <c r="W432" i="7"/>
  <c r="U432" i="7"/>
  <c r="AC432" i="7"/>
  <c r="Y102" i="7"/>
  <c r="W102" i="7"/>
  <c r="U102" i="7"/>
  <c r="AC102" i="7"/>
  <c r="Y487" i="7"/>
  <c r="W487" i="7"/>
  <c r="U487" i="7"/>
  <c r="AC487" i="7"/>
  <c r="Y738" i="7"/>
  <c r="W738" i="7"/>
  <c r="U738" i="7"/>
  <c r="AC738" i="7"/>
  <c r="Y545" i="7"/>
  <c r="W545" i="7"/>
  <c r="U545" i="7"/>
  <c r="AC545" i="7"/>
  <c r="Y767" i="7"/>
  <c r="W767" i="7"/>
  <c r="U767" i="7"/>
  <c r="AC767" i="7"/>
  <c r="Y1014" i="7"/>
  <c r="W1014" i="7"/>
  <c r="U1014" i="7"/>
  <c r="AC1014" i="7"/>
  <c r="Y837" i="7"/>
  <c r="W837" i="7"/>
  <c r="U837" i="7"/>
  <c r="AC837" i="7"/>
  <c r="Y477" i="7"/>
  <c r="W477" i="7"/>
  <c r="U477" i="7"/>
  <c r="AC477" i="7"/>
  <c r="Y560" i="7"/>
  <c r="W560" i="7"/>
  <c r="U560" i="7"/>
  <c r="AC560" i="7"/>
  <c r="Y773" i="7"/>
  <c r="W773" i="7"/>
  <c r="U773" i="7"/>
  <c r="AC773" i="7"/>
  <c r="Y935" i="7"/>
  <c r="W935" i="7"/>
  <c r="U935" i="7"/>
  <c r="AC935" i="7"/>
  <c r="Y101" i="7"/>
  <c r="W101" i="7"/>
  <c r="U101" i="7"/>
  <c r="AC101" i="7"/>
  <c r="Y493" i="7"/>
  <c r="W493" i="7"/>
  <c r="U493" i="7"/>
  <c r="AC493" i="7"/>
  <c r="Y399" i="7"/>
  <c r="W399" i="7"/>
  <c r="U399" i="7"/>
  <c r="AC399" i="7"/>
  <c r="Y50" i="7"/>
  <c r="W50" i="7"/>
  <c r="U50" i="7"/>
  <c r="AC50" i="7"/>
  <c r="Y836" i="7"/>
  <c r="W836" i="7"/>
  <c r="U836" i="7"/>
  <c r="AC836" i="7"/>
  <c r="Y96" i="7"/>
  <c r="W96" i="7"/>
  <c r="U96" i="7"/>
  <c r="AC96" i="7"/>
  <c r="Y407" i="7"/>
  <c r="W407" i="7"/>
  <c r="U407" i="7"/>
  <c r="AC407" i="7"/>
  <c r="Y77" i="7"/>
  <c r="W77" i="7"/>
  <c r="U77" i="7"/>
  <c r="AC77" i="7"/>
  <c r="Y496" i="7"/>
  <c r="W496" i="7"/>
  <c r="U496" i="7"/>
  <c r="AC496" i="7"/>
  <c r="Y599" i="7"/>
  <c r="W599" i="7"/>
  <c r="U599" i="7"/>
  <c r="AC599" i="7"/>
  <c r="Y1052" i="7"/>
  <c r="W1052" i="7"/>
  <c r="U1052" i="7"/>
  <c r="AC1052" i="7"/>
  <c r="Y430" i="7"/>
  <c r="W430" i="7"/>
  <c r="U430" i="7"/>
  <c r="AC430" i="7"/>
  <c r="Y470" i="7"/>
  <c r="W470" i="7"/>
  <c r="U470" i="7"/>
  <c r="AC470" i="7"/>
  <c r="Y1037" i="7"/>
  <c r="W1037" i="7"/>
  <c r="U1037" i="7"/>
  <c r="AC1037" i="7"/>
  <c r="Y817" i="7"/>
  <c r="W817" i="7"/>
  <c r="U817" i="7"/>
  <c r="AC817" i="7"/>
  <c r="Y222" i="7"/>
  <c r="W222" i="7"/>
  <c r="U222" i="7"/>
  <c r="AC222" i="7"/>
  <c r="Y908" i="7"/>
  <c r="W908" i="7"/>
  <c r="U908" i="7"/>
  <c r="AC908" i="7"/>
  <c r="Y718" i="7"/>
  <c r="W718" i="7"/>
  <c r="U718" i="7"/>
  <c r="AC718" i="7"/>
  <c r="Y340" i="7"/>
  <c r="W340" i="7"/>
  <c r="U340" i="7"/>
  <c r="AC340" i="7"/>
  <c r="Y976" i="7"/>
  <c r="W976" i="7"/>
  <c r="U976" i="7"/>
  <c r="AC976" i="7"/>
  <c r="Y509" i="7"/>
  <c r="W509" i="7"/>
  <c r="U509" i="7"/>
  <c r="AC509" i="7"/>
  <c r="Y132" i="7"/>
  <c r="W132" i="7"/>
  <c r="U132" i="7"/>
  <c r="AC132" i="7"/>
  <c r="Y593" i="7"/>
  <c r="W593" i="7"/>
  <c r="U593" i="7"/>
  <c r="AC593" i="7"/>
  <c r="Y239" i="7"/>
  <c r="W239" i="7"/>
  <c r="U239" i="7"/>
  <c r="AC239" i="7"/>
  <c r="Y133" i="7"/>
  <c r="W133" i="7"/>
  <c r="U133" i="7"/>
  <c r="AC133" i="7"/>
  <c r="Y22" i="7"/>
  <c r="W22" i="7"/>
  <c r="U22" i="7"/>
  <c r="AC22" i="7"/>
  <c r="Y912" i="7"/>
  <c r="W912" i="7"/>
  <c r="U912" i="7"/>
  <c r="AC912" i="7"/>
  <c r="Y411" i="7"/>
  <c r="W411" i="7"/>
  <c r="U411" i="7"/>
  <c r="AC411" i="7"/>
  <c r="Y409" i="7"/>
  <c r="W409" i="7"/>
  <c r="U409" i="7"/>
  <c r="AC409" i="7"/>
  <c r="Y282" i="7"/>
  <c r="W282" i="7"/>
  <c r="U282" i="7"/>
  <c r="AC282" i="7"/>
  <c r="Y482" i="7"/>
  <c r="W482" i="7"/>
  <c r="U482" i="7"/>
  <c r="AC482" i="7"/>
  <c r="Y643" i="7"/>
  <c r="W643" i="7"/>
  <c r="U643" i="7"/>
  <c r="AC643" i="7"/>
  <c r="Y386" i="7"/>
  <c r="W386" i="7"/>
  <c r="U386" i="7"/>
  <c r="AC386" i="7"/>
  <c r="Y195" i="7"/>
  <c r="W195" i="7"/>
  <c r="U195" i="7"/>
  <c r="AC195" i="7"/>
  <c r="Y14" i="7"/>
  <c r="W14" i="7"/>
  <c r="U14" i="7"/>
  <c r="AC14" i="7"/>
  <c r="Y924" i="7"/>
  <c r="W924" i="7"/>
  <c r="U924" i="7"/>
  <c r="AC924" i="7"/>
  <c r="Y105" i="7"/>
  <c r="W105" i="7"/>
  <c r="U105" i="7"/>
  <c r="AC105" i="7"/>
  <c r="Y193" i="7"/>
  <c r="W193" i="7"/>
  <c r="U193" i="7"/>
  <c r="AC193" i="7"/>
  <c r="Y798" i="7"/>
  <c r="W798" i="7"/>
  <c r="U798" i="7"/>
  <c r="AC798" i="7"/>
  <c r="Y589" i="7"/>
  <c r="W589" i="7"/>
  <c r="U589" i="7"/>
  <c r="AC589" i="7"/>
  <c r="Y930" i="7"/>
  <c r="W930" i="7"/>
  <c r="U930" i="7"/>
  <c r="AC930" i="7"/>
  <c r="Y197" i="7"/>
  <c r="W197" i="7"/>
  <c r="U197" i="7"/>
  <c r="AC197" i="7"/>
  <c r="Y1057" i="7"/>
  <c r="W1057" i="7"/>
  <c r="U1057" i="7"/>
  <c r="AC1057" i="7"/>
  <c r="Y310" i="7"/>
  <c r="W310" i="7"/>
  <c r="U310" i="7"/>
  <c r="AC310" i="7"/>
  <c r="Y393" i="7"/>
  <c r="W393" i="7"/>
  <c r="U393" i="7"/>
  <c r="AC393" i="7"/>
  <c r="Y927" i="7"/>
  <c r="W927" i="7"/>
  <c r="U927" i="7"/>
  <c r="AC927" i="7"/>
  <c r="Y736" i="7"/>
  <c r="W736" i="7"/>
  <c r="U736" i="7"/>
  <c r="AC736" i="7"/>
  <c r="Y855" i="7"/>
  <c r="W855" i="7"/>
  <c r="U855" i="7"/>
  <c r="AC855" i="7"/>
  <c r="Y879" i="7"/>
  <c r="W879" i="7"/>
  <c r="U879" i="7"/>
  <c r="AC879" i="7"/>
  <c r="Y446" i="7"/>
  <c r="W446" i="7"/>
  <c r="U446" i="7"/>
  <c r="AC446" i="7"/>
  <c r="Y217" i="7"/>
  <c r="W217" i="7"/>
  <c r="U217" i="7"/>
  <c r="AC217" i="7"/>
  <c r="Y516" i="7"/>
  <c r="W516" i="7"/>
  <c r="U516" i="7"/>
  <c r="AC516" i="7"/>
  <c r="Y418" i="7"/>
  <c r="W418" i="7"/>
  <c r="U418" i="7"/>
  <c r="AC418" i="7"/>
  <c r="Y757" i="7"/>
  <c r="W757" i="7"/>
  <c r="U757" i="7"/>
  <c r="AC757" i="7"/>
  <c r="Y42" i="7"/>
  <c r="W42" i="7"/>
  <c r="U42" i="7"/>
  <c r="AC42" i="7"/>
  <c r="Y943" i="7"/>
  <c r="W943" i="7"/>
  <c r="U943" i="7"/>
  <c r="AC943" i="7"/>
  <c r="Y314" i="7"/>
  <c r="W314" i="7"/>
  <c r="U314" i="7"/>
  <c r="AC314" i="7"/>
  <c r="Y889" i="7"/>
  <c r="W889" i="7"/>
  <c r="U889" i="7"/>
  <c r="AC889" i="7"/>
  <c r="Y189" i="7"/>
  <c r="W189" i="7"/>
  <c r="U189" i="7"/>
  <c r="AC189" i="7"/>
  <c r="Y272" i="7"/>
  <c r="W272" i="7"/>
  <c r="U272" i="7"/>
  <c r="AC272" i="7"/>
  <c r="Y235" i="7"/>
  <c r="W235" i="7"/>
  <c r="U235" i="7"/>
  <c r="AC235" i="7"/>
  <c r="Y323" i="7"/>
  <c r="W323" i="7"/>
  <c r="U323" i="7"/>
  <c r="AC323" i="7"/>
  <c r="Y40" i="7"/>
  <c r="W40" i="7"/>
  <c r="U40" i="7"/>
  <c r="AC40" i="7"/>
  <c r="Y452" i="7"/>
  <c r="W452" i="7"/>
  <c r="U452" i="7"/>
  <c r="AC452" i="7"/>
  <c r="Y377" i="7"/>
  <c r="W377" i="7"/>
  <c r="U377" i="7"/>
  <c r="AC377" i="7"/>
  <c r="Y406" i="7"/>
  <c r="W406" i="7"/>
  <c r="U406" i="7"/>
  <c r="AC406" i="7"/>
  <c r="Y531" i="7"/>
  <c r="W531" i="7"/>
  <c r="U531" i="7"/>
  <c r="AC531" i="7"/>
  <c r="Y277" i="7"/>
  <c r="W277" i="7"/>
  <c r="U277" i="7"/>
  <c r="AC277" i="7"/>
  <c r="Y138" i="7"/>
  <c r="W138" i="7"/>
  <c r="U138" i="7"/>
  <c r="AC138" i="7"/>
  <c r="Y824" i="7"/>
  <c r="W824" i="7"/>
  <c r="U824" i="7"/>
  <c r="AC824" i="7"/>
  <c r="Y389" i="7"/>
  <c r="W389" i="7"/>
  <c r="U389" i="7"/>
  <c r="AC389" i="7"/>
  <c r="Y656" i="7"/>
  <c r="W656" i="7"/>
  <c r="U656" i="7"/>
  <c r="AC656" i="7"/>
  <c r="Y794" i="7"/>
  <c r="W794" i="7"/>
  <c r="U794" i="7"/>
  <c r="AC794" i="7"/>
  <c r="Y625" i="7"/>
  <c r="W625" i="7"/>
  <c r="U625" i="7"/>
  <c r="AC625" i="7"/>
  <c r="Y13" i="7"/>
  <c r="W13" i="7"/>
  <c r="U13" i="7"/>
  <c r="AC13" i="7"/>
  <c r="Y284" i="7"/>
  <c r="W284" i="7"/>
  <c r="U284" i="7"/>
  <c r="AC284" i="7"/>
  <c r="Y998" i="7"/>
  <c r="W998" i="7"/>
  <c r="U998" i="7"/>
  <c r="AC998" i="7"/>
  <c r="Y504" i="7"/>
  <c r="W504" i="7"/>
  <c r="U504" i="7"/>
  <c r="AC504" i="7"/>
  <c r="Y870" i="7"/>
  <c r="W870" i="7"/>
  <c r="U870" i="7"/>
  <c r="AC870" i="7"/>
  <c r="Y274" i="7"/>
  <c r="W274" i="7"/>
  <c r="U274" i="7"/>
  <c r="AC274" i="7"/>
  <c r="Y1048" i="7"/>
  <c r="W1048" i="7"/>
  <c r="U1048" i="7"/>
  <c r="AC1048" i="7"/>
  <c r="Y1053" i="7"/>
  <c r="W1053" i="7"/>
  <c r="U1053" i="7"/>
  <c r="AC1053" i="7"/>
  <c r="Y97" i="7"/>
  <c r="W97" i="7"/>
  <c r="U97" i="7"/>
  <c r="AC97" i="7"/>
  <c r="Y403" i="7"/>
  <c r="W403" i="7"/>
  <c r="U403" i="7"/>
  <c r="AC403" i="7"/>
  <c r="Y648" i="7"/>
  <c r="W648" i="7"/>
  <c r="U648" i="7"/>
  <c r="AC648" i="7"/>
  <c r="Y1035" i="7"/>
  <c r="W1035" i="7"/>
  <c r="U1035" i="7"/>
  <c r="AC1035" i="7"/>
  <c r="Y181" i="7"/>
  <c r="W181" i="7"/>
  <c r="U181" i="7"/>
  <c r="AC181" i="7"/>
  <c r="Y131" i="7"/>
  <c r="W131" i="7"/>
  <c r="U131" i="7"/>
  <c r="AC131" i="7"/>
  <c r="Y849" i="7"/>
  <c r="W849" i="7"/>
  <c r="U849" i="7"/>
  <c r="AC849" i="7"/>
  <c r="Y182" i="7"/>
  <c r="W182" i="7"/>
  <c r="U182" i="7"/>
  <c r="AC182" i="7"/>
  <c r="Y339" i="7"/>
  <c r="W339" i="7"/>
  <c r="U339" i="7"/>
  <c r="AC339" i="7"/>
  <c r="Y110" i="7"/>
  <c r="W110" i="7"/>
  <c r="U110" i="7"/>
  <c r="AC110" i="7"/>
  <c r="Y1008" i="7"/>
  <c r="W1008" i="7"/>
  <c r="U1008" i="7"/>
  <c r="AC1008" i="7"/>
  <c r="Y213" i="7"/>
  <c r="W213" i="7"/>
  <c r="U213" i="7"/>
  <c r="AC213" i="7"/>
  <c r="Y756" i="7"/>
  <c r="W756" i="7"/>
  <c r="U756" i="7"/>
  <c r="AC756" i="7"/>
  <c r="Y1049" i="7"/>
  <c r="W1049" i="7"/>
  <c r="U1049" i="7"/>
  <c r="AC1049" i="7"/>
  <c r="Y388" i="7"/>
  <c r="W388" i="7"/>
  <c r="U388" i="7"/>
  <c r="AC388" i="7"/>
  <c r="Y1038" i="7"/>
  <c r="W1038" i="7"/>
  <c r="U1038" i="7"/>
  <c r="AC1038" i="7"/>
  <c r="Y923" i="7"/>
  <c r="W923" i="7"/>
  <c r="U923" i="7"/>
  <c r="AC923" i="7"/>
  <c r="Y232" i="7"/>
  <c r="W232" i="7"/>
  <c r="U232" i="7"/>
  <c r="AC232" i="7"/>
  <c r="Y254" i="7"/>
  <c r="W254" i="7"/>
  <c r="U254" i="7"/>
  <c r="AC254" i="7"/>
  <c r="Y689" i="7"/>
  <c r="W689" i="7"/>
  <c r="U689" i="7"/>
  <c r="AC689" i="7"/>
  <c r="Y18" i="7"/>
  <c r="W18" i="7"/>
  <c r="U18" i="7"/>
  <c r="AC18" i="7"/>
  <c r="Y963" i="7"/>
  <c r="W963" i="7"/>
  <c r="U963" i="7"/>
  <c r="AC963" i="7"/>
  <c r="Y141" i="7"/>
  <c r="W141" i="7"/>
  <c r="U141" i="7"/>
  <c r="AC141" i="7"/>
  <c r="Y915" i="7"/>
  <c r="W915" i="7"/>
  <c r="U915" i="7"/>
  <c r="AC915" i="7"/>
  <c r="Y1024" i="7"/>
  <c r="W1024" i="7"/>
  <c r="U1024" i="7"/>
  <c r="AC1024" i="7"/>
  <c r="Y88" i="7"/>
  <c r="W88" i="7"/>
  <c r="U88" i="7"/>
  <c r="AC88" i="7"/>
  <c r="Y38" i="7"/>
  <c r="W38" i="7"/>
  <c r="U38" i="7"/>
  <c r="AC38" i="7"/>
  <c r="Y550" i="7"/>
  <c r="W550" i="7"/>
  <c r="U550" i="7"/>
  <c r="AC550" i="7"/>
  <c r="Y561" i="7"/>
  <c r="W561" i="7"/>
  <c r="U561" i="7"/>
  <c r="AC561" i="7"/>
  <c r="Y527" i="7"/>
  <c r="W527" i="7"/>
  <c r="U527" i="7"/>
  <c r="AC527" i="7"/>
  <c r="Y225" i="7"/>
  <c r="W225" i="7"/>
  <c r="U225" i="7"/>
  <c r="AC225" i="7"/>
  <c r="Y982" i="7"/>
  <c r="W982" i="7"/>
  <c r="U982" i="7"/>
  <c r="AC982" i="7"/>
  <c r="Y454" i="7"/>
  <c r="W454" i="7"/>
  <c r="U454" i="7"/>
  <c r="AC454" i="7"/>
  <c r="Y746" i="7"/>
  <c r="W746" i="7"/>
  <c r="U746" i="7"/>
  <c r="AC746" i="7"/>
  <c r="Y555" i="7"/>
  <c r="W555" i="7"/>
  <c r="U555" i="7"/>
  <c r="AC555" i="7"/>
  <c r="Y219" i="7"/>
  <c r="W219" i="7"/>
  <c r="U219" i="7"/>
  <c r="AC219" i="7"/>
  <c r="Y968" i="7"/>
  <c r="W968" i="7"/>
  <c r="U968" i="7"/>
  <c r="AC968" i="7"/>
  <c r="Y758" i="7"/>
  <c r="W758" i="7"/>
  <c r="U758" i="7"/>
  <c r="AC758" i="7"/>
  <c r="Y895" i="7"/>
  <c r="W895" i="7"/>
  <c r="U895" i="7"/>
  <c r="AC895" i="7"/>
  <c r="Y246" i="7"/>
  <c r="W246" i="7"/>
  <c r="U246" i="7"/>
  <c r="AC246" i="7"/>
  <c r="Y948" i="7"/>
  <c r="W948" i="7"/>
  <c r="U948" i="7"/>
  <c r="AC948" i="7"/>
  <c r="Y234" i="7"/>
  <c r="W234" i="7"/>
  <c r="U234" i="7"/>
  <c r="AC234" i="7"/>
  <c r="Y602" i="7"/>
  <c r="W602" i="7"/>
  <c r="U602" i="7"/>
  <c r="AC602" i="7"/>
  <c r="Y71" i="7"/>
  <c r="W71" i="7"/>
  <c r="U71" i="7"/>
  <c r="AC71" i="7"/>
  <c r="Y958" i="7"/>
  <c r="W958" i="7"/>
  <c r="U958" i="7"/>
  <c r="AC958" i="7"/>
  <c r="Y775" i="7"/>
  <c r="W775" i="7"/>
  <c r="U775" i="7"/>
  <c r="AC775" i="7"/>
  <c r="Y166" i="7"/>
  <c r="W166" i="7"/>
  <c r="U166" i="7"/>
  <c r="AC166" i="7"/>
  <c r="Y978" i="7"/>
  <c r="W978" i="7"/>
  <c r="U978" i="7"/>
  <c r="AC978" i="7"/>
  <c r="Y337" i="7"/>
  <c r="W337" i="7"/>
  <c r="U337" i="7"/>
  <c r="AC337" i="7"/>
  <c r="Y1045" i="7"/>
  <c r="W1045" i="7"/>
  <c r="U1045" i="7"/>
  <c r="AC1045" i="7"/>
  <c r="Y733" i="7"/>
  <c r="W733" i="7"/>
  <c r="U733" i="7"/>
  <c r="AC733" i="7"/>
  <c r="Y944" i="7"/>
  <c r="W944" i="7"/>
  <c r="U944" i="7"/>
  <c r="AC944" i="7"/>
  <c r="Y112" i="7"/>
  <c r="W112" i="7"/>
  <c r="U112" i="7"/>
  <c r="AC112" i="7"/>
  <c r="Y680" i="7"/>
  <c r="W680" i="7"/>
  <c r="U680" i="7"/>
  <c r="AC680" i="7"/>
  <c r="Y84" i="7"/>
  <c r="W84" i="7"/>
  <c r="U84" i="7"/>
  <c r="AC84" i="7"/>
  <c r="Y795" i="7"/>
  <c r="W795" i="7"/>
  <c r="U795" i="7"/>
  <c r="AC795" i="7"/>
  <c r="Y735" i="7"/>
  <c r="W735" i="7"/>
  <c r="U735" i="7"/>
  <c r="AC735" i="7"/>
  <c r="Y151" i="7"/>
  <c r="W151" i="7"/>
  <c r="U151" i="7"/>
  <c r="AC151" i="7"/>
  <c r="Y897" i="7"/>
  <c r="W897" i="7"/>
  <c r="U897" i="7"/>
  <c r="AC897" i="7"/>
  <c r="Y202" i="7"/>
  <c r="W202" i="7"/>
  <c r="U202" i="7"/>
  <c r="AC202" i="7"/>
  <c r="Y200" i="7"/>
  <c r="W200" i="7"/>
  <c r="U200" i="7"/>
  <c r="AC200" i="7"/>
  <c r="Y578" i="7"/>
  <c r="W578" i="7"/>
  <c r="U578" i="7"/>
  <c r="AC578" i="7"/>
  <c r="Y647" i="7"/>
  <c r="W647" i="7"/>
  <c r="U647" i="7"/>
  <c r="AC647" i="7"/>
  <c r="Y880" i="7"/>
  <c r="W880" i="7"/>
  <c r="U880" i="7"/>
  <c r="AC880" i="7"/>
  <c r="Y1001" i="7"/>
  <c r="W1001" i="7"/>
  <c r="U1001" i="7"/>
  <c r="AC1001" i="7"/>
  <c r="Y928" i="7"/>
  <c r="W928" i="7"/>
  <c r="U928" i="7"/>
  <c r="AC928" i="7"/>
  <c r="Y664" i="7"/>
  <c r="W664" i="7"/>
  <c r="U664" i="7"/>
  <c r="AC664" i="7"/>
  <c r="Y985" i="7"/>
  <c r="W985" i="7"/>
  <c r="U985" i="7"/>
  <c r="AC985" i="7"/>
  <c r="Y12" i="7"/>
  <c r="W12" i="7"/>
  <c r="U12" i="7"/>
  <c r="AC12" i="7"/>
  <c r="Y981" i="7"/>
  <c r="W981" i="7"/>
  <c r="U981" i="7"/>
  <c r="AC981" i="7"/>
  <c r="Y694" i="7"/>
  <c r="W694" i="7"/>
  <c r="U694" i="7"/>
  <c r="AC694" i="7"/>
  <c r="Y107" i="7"/>
  <c r="W107" i="7"/>
  <c r="U107" i="7"/>
  <c r="AC107" i="7"/>
  <c r="Y437" i="7"/>
  <c r="W437" i="7"/>
  <c r="U437" i="7"/>
  <c r="AC437" i="7"/>
  <c r="Y819" i="7"/>
  <c r="W819" i="7"/>
  <c r="U819" i="7"/>
  <c r="AC819" i="7"/>
  <c r="Y536" i="7"/>
  <c r="W536" i="7"/>
  <c r="U536" i="7"/>
  <c r="AC536" i="7"/>
  <c r="Y898" i="7"/>
  <c r="W898" i="7"/>
  <c r="U898" i="7"/>
  <c r="AC898" i="7"/>
  <c r="Y158" i="7"/>
  <c r="W158" i="7"/>
  <c r="U158" i="7"/>
  <c r="AC158" i="7"/>
  <c r="Y1006" i="7"/>
  <c r="W1006" i="7"/>
  <c r="U1006" i="7"/>
  <c r="AC1006" i="7"/>
  <c r="Y119" i="7"/>
  <c r="W119" i="7"/>
  <c r="U119" i="7"/>
  <c r="AC119" i="7"/>
  <c r="Y668" i="7"/>
  <c r="W668" i="7"/>
  <c r="U668" i="7"/>
  <c r="AC668" i="7"/>
  <c r="Y842" i="7"/>
  <c r="W842" i="7"/>
  <c r="U842" i="7"/>
  <c r="AC842" i="7"/>
  <c r="Y960" i="7"/>
  <c r="W960" i="7"/>
  <c r="U960" i="7"/>
  <c r="AC960" i="7"/>
  <c r="Y559" i="7"/>
  <c r="W559" i="7"/>
  <c r="U559" i="7"/>
  <c r="AC559" i="7"/>
  <c r="Y792" i="7"/>
  <c r="W792" i="7"/>
  <c r="U792" i="7"/>
  <c r="AC792" i="7"/>
  <c r="Y27" i="7"/>
  <c r="W27" i="7"/>
  <c r="U27" i="7"/>
  <c r="AC27" i="7"/>
  <c r="Y427" i="7"/>
  <c r="W427" i="7"/>
  <c r="U427" i="7"/>
  <c r="AC427" i="7"/>
  <c r="Y375" i="7"/>
  <c r="W375" i="7"/>
  <c r="U375" i="7"/>
  <c r="AC375" i="7"/>
  <c r="Y1000" i="7"/>
  <c r="W1000" i="7"/>
  <c r="U1000" i="7"/>
  <c r="AC1000" i="7"/>
  <c r="Y87" i="7"/>
  <c r="W87" i="7"/>
  <c r="U87" i="7"/>
  <c r="AC87" i="7"/>
  <c r="Y635" i="7"/>
  <c r="W635" i="7"/>
  <c r="U635" i="7"/>
  <c r="AC635" i="7"/>
  <c r="Y989" i="7"/>
  <c r="W989" i="7"/>
  <c r="U989" i="7"/>
  <c r="AC989" i="7"/>
  <c r="Y971" i="7"/>
  <c r="W971" i="7"/>
  <c r="U971" i="7"/>
  <c r="AC971" i="7"/>
  <c r="Y475" i="7"/>
  <c r="W475" i="7"/>
  <c r="U475" i="7"/>
  <c r="AC475" i="7"/>
  <c r="Y802" i="7"/>
  <c r="W802" i="7"/>
  <c r="U802" i="7"/>
  <c r="AC802" i="7"/>
  <c r="Y805" i="7"/>
  <c r="W805" i="7"/>
  <c r="U805" i="7"/>
  <c r="AC805" i="7"/>
  <c r="Y220" i="7"/>
  <c r="W220" i="7"/>
  <c r="U220" i="7"/>
  <c r="AC220" i="7"/>
  <c r="Y663" i="7"/>
  <c r="W663" i="7"/>
  <c r="U663" i="7"/>
  <c r="AC663" i="7"/>
  <c r="Y420" i="7"/>
  <c r="W420" i="7"/>
  <c r="U420" i="7"/>
  <c r="AC420" i="7"/>
  <c r="Y419" i="7"/>
  <c r="W419" i="7"/>
  <c r="U419" i="7"/>
  <c r="AC419" i="7"/>
  <c r="Y261" i="7"/>
  <c r="W261" i="7"/>
  <c r="U261" i="7"/>
  <c r="AC261" i="7"/>
  <c r="Y16" i="7"/>
  <c r="W16" i="7"/>
  <c r="U16" i="7"/>
  <c r="AC16" i="7"/>
  <c r="Y485" i="7"/>
  <c r="W485" i="7"/>
  <c r="U485" i="7"/>
  <c r="AC485" i="7"/>
  <c r="Y617" i="7"/>
  <c r="W617" i="7"/>
  <c r="U617" i="7"/>
  <c r="AC617" i="7"/>
  <c r="Y744" i="7"/>
  <c r="W744" i="7"/>
  <c r="U744" i="7"/>
  <c r="AC744" i="7"/>
  <c r="Y905" i="7"/>
  <c r="W905" i="7"/>
  <c r="U905" i="7"/>
  <c r="AC905" i="7"/>
  <c r="Y962" i="7"/>
  <c r="W962" i="7"/>
  <c r="U962" i="7"/>
  <c r="AC962" i="7"/>
  <c r="Y64" i="7"/>
  <c r="W64" i="7"/>
  <c r="U64" i="7"/>
  <c r="AC64" i="7"/>
  <c r="Y324" i="7"/>
  <c r="W324" i="7"/>
  <c r="U324" i="7"/>
  <c r="AC324" i="7"/>
  <c r="Y58" i="7"/>
  <c r="W58" i="7"/>
  <c r="U58" i="7"/>
  <c r="AC58" i="7"/>
  <c r="Y939" i="7"/>
  <c r="W939" i="7"/>
  <c r="U939" i="7"/>
  <c r="AC939" i="7"/>
  <c r="Y1031" i="7"/>
  <c r="W1031" i="7"/>
  <c r="U1031" i="7"/>
  <c r="AC1031" i="7"/>
  <c r="Y169" i="7"/>
  <c r="W169" i="7"/>
  <c r="U169" i="7"/>
  <c r="AC169" i="7"/>
  <c r="Y374" i="7"/>
  <c r="W374" i="7"/>
  <c r="U374" i="7"/>
  <c r="AC374" i="7"/>
  <c r="Y523" i="7"/>
  <c r="W523" i="7"/>
  <c r="U523" i="7"/>
  <c r="AC523" i="7"/>
  <c r="Y727" i="7"/>
  <c r="W727" i="7"/>
  <c r="U727" i="7"/>
  <c r="AC727" i="7"/>
  <c r="Y334" i="7"/>
  <c r="W334" i="7"/>
  <c r="U334" i="7"/>
  <c r="AC334" i="7"/>
  <c r="Y249" i="7"/>
  <c r="W249" i="7"/>
  <c r="U249" i="7"/>
  <c r="AC249" i="7"/>
  <c r="Y111" i="7"/>
  <c r="W111" i="7"/>
  <c r="U111" i="7"/>
  <c r="AC111" i="7"/>
  <c r="Y539" i="7"/>
  <c r="W539" i="7"/>
  <c r="U539" i="7"/>
  <c r="AC539" i="7"/>
  <c r="Y305" i="7"/>
  <c r="W305" i="7"/>
  <c r="U305" i="7"/>
  <c r="AC305" i="7"/>
  <c r="Y662" i="7"/>
  <c r="W662" i="7"/>
  <c r="U662" i="7"/>
  <c r="AC662" i="7"/>
  <c r="Y692" i="7"/>
  <c r="W692" i="7"/>
  <c r="U692" i="7"/>
  <c r="AC692" i="7"/>
  <c r="Y796" i="7"/>
  <c r="W796" i="7"/>
  <c r="U796" i="7"/>
  <c r="AC796" i="7"/>
  <c r="Y999" i="7"/>
  <c r="W999" i="7"/>
  <c r="U999" i="7"/>
  <c r="AC999" i="7"/>
  <c r="Y711" i="7"/>
  <c r="W711" i="7"/>
  <c r="U711" i="7"/>
  <c r="AC711" i="7"/>
  <c r="Y698" i="7"/>
  <c r="W698" i="7"/>
  <c r="U698" i="7"/>
  <c r="AC698" i="7"/>
  <c r="Y306" i="7"/>
  <c r="W306" i="7"/>
  <c r="U306" i="7"/>
  <c r="AC306" i="7"/>
  <c r="Y298" i="7"/>
  <c r="W298" i="7"/>
  <c r="U298" i="7"/>
  <c r="AC298" i="7"/>
  <c r="Y565" i="7"/>
  <c r="W565" i="7"/>
  <c r="U565" i="7"/>
  <c r="AC565" i="7"/>
  <c r="Y917" i="7"/>
  <c r="W917" i="7"/>
  <c r="U917" i="7"/>
  <c r="AC917" i="7"/>
  <c r="Y412" i="7"/>
  <c r="W412" i="7"/>
  <c r="U412" i="7"/>
  <c r="AC412" i="7"/>
  <c r="Y95" i="7"/>
  <c r="W95" i="7"/>
  <c r="U95" i="7"/>
  <c r="AC95" i="7"/>
  <c r="Y342" i="7"/>
  <c r="W342" i="7"/>
  <c r="U342" i="7"/>
  <c r="AC342" i="7"/>
  <c r="Y1061" i="7"/>
  <c r="W1061" i="7"/>
  <c r="U1061" i="7"/>
  <c r="AC1061" i="7"/>
  <c r="Y155" i="7"/>
  <c r="W155" i="7"/>
  <c r="U155" i="7"/>
  <c r="AC155" i="7"/>
  <c r="Y535" i="7"/>
  <c r="W535" i="7"/>
  <c r="U535" i="7"/>
  <c r="AC535" i="7"/>
  <c r="Y283" i="7"/>
  <c r="W283" i="7"/>
  <c r="U283" i="7"/>
  <c r="AC283" i="7"/>
  <c r="Y207" i="7"/>
  <c r="W207" i="7"/>
  <c r="U207" i="7"/>
  <c r="AC207" i="7"/>
  <c r="Y218" i="7"/>
  <c r="W218" i="7"/>
  <c r="U218" i="7"/>
  <c r="AC218" i="7"/>
  <c r="Y343" i="7"/>
  <c r="W343" i="7"/>
  <c r="U343" i="7"/>
  <c r="AC343" i="7"/>
  <c r="Y809" i="7"/>
  <c r="W809" i="7"/>
  <c r="U809" i="7"/>
  <c r="AC809" i="7"/>
  <c r="Y966" i="7"/>
  <c r="W966" i="7"/>
  <c r="U966" i="7"/>
  <c r="AC966" i="7"/>
  <c r="Y507" i="7"/>
  <c r="W507" i="7"/>
  <c r="U507" i="7"/>
  <c r="AC507" i="7"/>
  <c r="Y840" i="7"/>
  <c r="W840" i="7"/>
  <c r="U840" i="7"/>
  <c r="AC840" i="7"/>
  <c r="Y329" i="7"/>
  <c r="W329" i="7"/>
  <c r="U329" i="7"/>
  <c r="AC329" i="7"/>
  <c r="Y21" i="7"/>
  <c r="W21" i="7"/>
  <c r="U21" i="7"/>
  <c r="AC21" i="7"/>
  <c r="Y480" i="7"/>
  <c r="W480" i="7"/>
  <c r="U480" i="7"/>
  <c r="AC480" i="7"/>
  <c r="Y400" i="7"/>
  <c r="W400" i="7"/>
  <c r="U400" i="7"/>
  <c r="AC400" i="7"/>
  <c r="Y592" i="7"/>
  <c r="W592" i="7"/>
  <c r="U592" i="7"/>
  <c r="AC592" i="7"/>
  <c r="Y700" i="7"/>
  <c r="W700" i="7"/>
  <c r="U700" i="7"/>
  <c r="AC700" i="7"/>
  <c r="Y82" i="7"/>
  <c r="W82" i="7"/>
  <c r="U82" i="7"/>
  <c r="AC82" i="7"/>
  <c r="Y765" i="7"/>
  <c r="W765" i="7"/>
  <c r="U765" i="7"/>
  <c r="AC765" i="7"/>
  <c r="Y886" i="7"/>
  <c r="W886" i="7"/>
  <c r="U886" i="7"/>
  <c r="AC886" i="7"/>
  <c r="Y488" i="7"/>
  <c r="W488" i="7"/>
  <c r="U488" i="7"/>
  <c r="AC488" i="7"/>
  <c r="Y51" i="7"/>
  <c r="W51" i="7"/>
  <c r="U51" i="7"/>
  <c r="AC51" i="7"/>
  <c r="Y266" i="7"/>
  <c r="W266" i="7"/>
  <c r="U266" i="7"/>
  <c r="AC266" i="7"/>
  <c r="Y1023" i="7"/>
  <c r="W1023" i="7"/>
  <c r="U1023" i="7"/>
  <c r="AC1023" i="7"/>
  <c r="Y471" i="7"/>
  <c r="W471" i="7"/>
  <c r="U471" i="7"/>
  <c r="AC471" i="7"/>
  <c r="Y763" i="7"/>
  <c r="W763" i="7"/>
  <c r="U763" i="7"/>
  <c r="AC763" i="7"/>
  <c r="Y299" i="7"/>
  <c r="W299" i="7"/>
  <c r="U299" i="7"/>
  <c r="AC299" i="7"/>
  <c r="Y291" i="7"/>
  <c r="W291" i="7"/>
  <c r="U291" i="7"/>
  <c r="AC291" i="7"/>
  <c r="Y513" i="7"/>
  <c r="W513" i="7"/>
  <c r="U513" i="7"/>
  <c r="AC513" i="7"/>
  <c r="Y621" i="7"/>
  <c r="W621" i="7"/>
  <c r="U621" i="7"/>
  <c r="AC621" i="7"/>
  <c r="Y236" i="7"/>
  <c r="W236" i="7"/>
  <c r="U236" i="7"/>
  <c r="AC236" i="7"/>
  <c r="Y687" i="7"/>
  <c r="W687" i="7"/>
  <c r="U687" i="7"/>
  <c r="AC687" i="7"/>
  <c r="Y609" i="7"/>
  <c r="W609" i="7"/>
  <c r="U609" i="7"/>
  <c r="AC609" i="7"/>
  <c r="Y714" i="7"/>
  <c r="W714" i="7"/>
  <c r="U714" i="7"/>
  <c r="AC714" i="7"/>
  <c r="Y751" i="7"/>
  <c r="W751" i="7"/>
  <c r="U751" i="7"/>
  <c r="AC751" i="7"/>
  <c r="Y414" i="7"/>
  <c r="W414" i="7"/>
  <c r="U414" i="7"/>
  <c r="AC414" i="7"/>
  <c r="Y301" i="7"/>
  <c r="W301" i="7"/>
  <c r="U301" i="7"/>
  <c r="AC301" i="7"/>
  <c r="Y117" i="7"/>
  <c r="W117" i="7"/>
  <c r="U117" i="7"/>
  <c r="AC117" i="7"/>
  <c r="Y571" i="7"/>
  <c r="W571" i="7"/>
  <c r="U571" i="7"/>
  <c r="AC571" i="7"/>
  <c r="Y597" i="7"/>
  <c r="W597" i="7"/>
  <c r="U597" i="7"/>
  <c r="AC597" i="7"/>
  <c r="Y642" i="7"/>
  <c r="W642" i="7"/>
  <c r="U642" i="7"/>
  <c r="AC642" i="7"/>
  <c r="Y957" i="7"/>
  <c r="W957" i="7"/>
  <c r="U957" i="7"/>
  <c r="AC957" i="7"/>
  <c r="Y568" i="7"/>
  <c r="W568" i="7"/>
  <c r="U568" i="7"/>
  <c r="AC568" i="7"/>
  <c r="Y741" i="7"/>
  <c r="W741" i="7"/>
  <c r="U741" i="7"/>
  <c r="AC741" i="7"/>
  <c r="Y486" i="7"/>
  <c r="W486" i="7"/>
  <c r="U486" i="7"/>
  <c r="AC486" i="7"/>
  <c r="Y811" i="7"/>
  <c r="W811" i="7"/>
  <c r="U811" i="7"/>
  <c r="AC811" i="7"/>
  <c r="Y812" i="7"/>
  <c r="W812" i="7"/>
  <c r="U812" i="7"/>
  <c r="AC812" i="7"/>
  <c r="Y520" i="7"/>
  <c r="W520" i="7"/>
  <c r="U520" i="7"/>
  <c r="AC520" i="7"/>
  <c r="Y137" i="7"/>
  <c r="W137" i="7"/>
  <c r="U137" i="7"/>
  <c r="AC137" i="7"/>
  <c r="Y80" i="7"/>
  <c r="W80" i="7"/>
  <c r="U80" i="7"/>
  <c r="AC80" i="7"/>
  <c r="Y39" i="7"/>
  <c r="W39" i="7"/>
  <c r="U39" i="7"/>
  <c r="AC39" i="7"/>
  <c r="Y829" i="7"/>
  <c r="W829" i="7"/>
  <c r="U829" i="7"/>
  <c r="AC829" i="7"/>
  <c r="Y755" i="7"/>
  <c r="W755" i="7"/>
  <c r="U755" i="7"/>
  <c r="AC755" i="7"/>
  <c r="Y174" i="7"/>
  <c r="W174" i="7"/>
  <c r="U174" i="7"/>
  <c r="AC174" i="7"/>
  <c r="Y1062" i="7"/>
  <c r="W1062" i="7"/>
  <c r="U1062" i="7"/>
  <c r="AC1062" i="7"/>
  <c r="Y114" i="7"/>
  <c r="W114" i="7"/>
  <c r="U114" i="7"/>
  <c r="AC114" i="7"/>
  <c r="Y686" i="7"/>
  <c r="W686" i="7"/>
  <c r="U686" i="7"/>
  <c r="AC686" i="7"/>
  <c r="Y380" i="7"/>
  <c r="W380" i="7"/>
  <c r="U380" i="7"/>
  <c r="AC380" i="7"/>
  <c r="Y548" i="7"/>
  <c r="W548" i="7"/>
  <c r="U548" i="7"/>
  <c r="AC548" i="7"/>
  <c r="Y60" i="7"/>
  <c r="W60" i="7"/>
  <c r="U60" i="7"/>
  <c r="AC60" i="7"/>
  <c r="Y265" i="7"/>
  <c r="W265" i="7"/>
  <c r="U265" i="7"/>
  <c r="AC265" i="7"/>
  <c r="Y466" i="7"/>
  <c r="W466" i="7"/>
  <c r="U466" i="7"/>
  <c r="AC466" i="7"/>
  <c r="Y460" i="7"/>
  <c r="W460" i="7"/>
  <c r="U460" i="7"/>
  <c r="AC460" i="7"/>
  <c r="Y376" i="7"/>
  <c r="W376" i="7"/>
  <c r="U376" i="7"/>
  <c r="AC376" i="7"/>
  <c r="Y20" i="7"/>
  <c r="W20" i="7"/>
  <c r="U20" i="7"/>
  <c r="AC20" i="7"/>
  <c r="Y494" i="7"/>
  <c r="W494" i="7"/>
  <c r="U494" i="7"/>
  <c r="AC494" i="7"/>
  <c r="Y953" i="7"/>
  <c r="W953" i="7"/>
  <c r="U953" i="7"/>
  <c r="AC953" i="7"/>
  <c r="Y646" i="7"/>
  <c r="W646" i="7"/>
  <c r="U646" i="7"/>
  <c r="AC646" i="7"/>
  <c r="Y839" i="7"/>
  <c r="W839" i="7"/>
  <c r="U839" i="7"/>
  <c r="AC839" i="7"/>
  <c r="Y186" i="7"/>
  <c r="W186" i="7"/>
  <c r="U186" i="7"/>
  <c r="AC186" i="7"/>
  <c r="Y782" i="7"/>
  <c r="W782" i="7"/>
  <c r="U782" i="7"/>
  <c r="AC782" i="7"/>
  <c r="Y86" i="7"/>
  <c r="W86" i="7"/>
  <c r="U86" i="7"/>
  <c r="AC86" i="7"/>
  <c r="Y1054" i="7"/>
  <c r="W1054" i="7"/>
  <c r="U1054" i="7"/>
  <c r="AC1054" i="7"/>
  <c r="Y856" i="7"/>
  <c r="W856" i="7"/>
  <c r="U856" i="7"/>
  <c r="AC856" i="7"/>
  <c r="Y442" i="7"/>
  <c r="W442" i="7"/>
  <c r="U442" i="7"/>
  <c r="AC442" i="7"/>
  <c r="Y554" i="7"/>
  <c r="W554" i="7"/>
  <c r="U554" i="7"/>
  <c r="AC554" i="7"/>
  <c r="Y979" i="7"/>
  <c r="W979" i="7"/>
  <c r="U979" i="7"/>
  <c r="AC979" i="7"/>
  <c r="Y584" i="7"/>
  <c r="W584" i="7"/>
  <c r="U584" i="7"/>
  <c r="AC584" i="7"/>
  <c r="Y629" i="7"/>
  <c r="W629" i="7"/>
  <c r="U629" i="7"/>
  <c r="AC629" i="7"/>
  <c r="Y949" i="7"/>
  <c r="W949" i="7"/>
  <c r="U949" i="7"/>
  <c r="AC949" i="7"/>
  <c r="Y385" i="7"/>
  <c r="W385" i="7"/>
  <c r="U385" i="7"/>
  <c r="AC385" i="7"/>
  <c r="Y149" i="7"/>
  <c r="W149" i="7"/>
  <c r="U149" i="7"/>
  <c r="AC149" i="7"/>
  <c r="Y920" i="7"/>
  <c r="W920" i="7"/>
  <c r="U920" i="7"/>
  <c r="AC920" i="7"/>
  <c r="Y942" i="7"/>
  <c r="W942" i="7"/>
  <c r="U942" i="7"/>
  <c r="AC942" i="7"/>
  <c r="Y360" i="7"/>
  <c r="W360" i="7"/>
  <c r="U360" i="7"/>
  <c r="AC360" i="7"/>
  <c r="Y941" i="7"/>
  <c r="W941" i="7"/>
  <c r="U941" i="7"/>
  <c r="AC941" i="7"/>
  <c r="Y198" i="7"/>
  <c r="W198" i="7"/>
  <c r="U198" i="7"/>
  <c r="AC198" i="7"/>
  <c r="Y66" i="7"/>
  <c r="W66" i="7"/>
  <c r="U66" i="7"/>
  <c r="AC66" i="7"/>
  <c r="Y697" i="7"/>
  <c r="W697" i="7"/>
  <c r="U697" i="7"/>
  <c r="AC697" i="7"/>
  <c r="Y684" i="7"/>
  <c r="W684" i="7"/>
  <c r="U684" i="7"/>
  <c r="AC684" i="7"/>
  <c r="Y144" i="7"/>
  <c r="W144" i="7"/>
  <c r="U144" i="7"/>
  <c r="AC144" i="7"/>
  <c r="Y682" i="7"/>
  <c r="W682" i="7"/>
  <c r="U682" i="7"/>
  <c r="AC682" i="7"/>
  <c r="Y462" i="7"/>
  <c r="W462" i="7"/>
  <c r="U462" i="7"/>
  <c r="AC462" i="7"/>
  <c r="Y815" i="7"/>
  <c r="W815" i="7"/>
  <c r="U815" i="7"/>
  <c r="AC815" i="7"/>
  <c r="Y303" i="7"/>
  <c r="W303" i="7"/>
  <c r="U303" i="7"/>
  <c r="AC303" i="7"/>
  <c r="Y431" i="7"/>
  <c r="W431" i="7"/>
  <c r="U431" i="7"/>
  <c r="AC431" i="7"/>
  <c r="Y538" i="7"/>
  <c r="W538" i="7"/>
  <c r="U538" i="7"/>
  <c r="AC538" i="7"/>
  <c r="Y297" i="7"/>
  <c r="W297" i="7"/>
  <c r="U297" i="7"/>
  <c r="AC297" i="7"/>
  <c r="Y816" i="7"/>
  <c r="W816" i="7"/>
  <c r="U816" i="7"/>
  <c r="AC816" i="7"/>
  <c r="Y600" i="7"/>
  <c r="W600" i="7"/>
  <c r="U600" i="7"/>
  <c r="AC600" i="7"/>
  <c r="Y44" i="7"/>
  <c r="W44" i="7"/>
  <c r="U44" i="7"/>
  <c r="AC44" i="7"/>
  <c r="Y781" i="7"/>
  <c r="W781" i="7"/>
  <c r="U781" i="7"/>
  <c r="AC781" i="7"/>
  <c r="Y215" i="7"/>
  <c r="W215" i="7"/>
  <c r="U215" i="7"/>
  <c r="AC215" i="7"/>
  <c r="Y974" i="7"/>
  <c r="W974" i="7"/>
  <c r="U974" i="7"/>
  <c r="AC974" i="7"/>
  <c r="Y1019" i="7"/>
  <c r="W1019" i="7"/>
  <c r="U1019" i="7"/>
  <c r="AC1019" i="7"/>
  <c r="Y285" i="7"/>
  <c r="W285" i="7"/>
  <c r="U285" i="7"/>
  <c r="AC285" i="7"/>
  <c r="Y874" i="7"/>
  <c r="W874" i="7"/>
  <c r="U874" i="7"/>
  <c r="AC874" i="7"/>
  <c r="Y55" i="7"/>
  <c r="W55" i="7"/>
  <c r="U55" i="7"/>
  <c r="AC55" i="7"/>
  <c r="Y231" i="7"/>
  <c r="W231" i="7"/>
  <c r="U231" i="7"/>
  <c r="AC231" i="7"/>
  <c r="Y499" i="7"/>
  <c r="W499" i="7"/>
  <c r="U499" i="7"/>
  <c r="AC499" i="7"/>
  <c r="Y338" i="7"/>
  <c r="W338" i="7"/>
  <c r="U338" i="7"/>
  <c r="AC338" i="7"/>
  <c r="Y926" i="7"/>
  <c r="W926" i="7"/>
  <c r="U926" i="7"/>
  <c r="AC926" i="7"/>
  <c r="Y120" i="7"/>
  <c r="W120" i="7"/>
  <c r="U120" i="7"/>
  <c r="AC120" i="7"/>
  <c r="Y69" i="7"/>
  <c r="W69" i="7"/>
  <c r="U69" i="7"/>
  <c r="AC69" i="7"/>
  <c r="Y730" i="7"/>
  <c r="W730" i="7"/>
  <c r="U730" i="7"/>
  <c r="AC730" i="7"/>
  <c r="Y327" i="7"/>
  <c r="W327" i="7"/>
  <c r="U327" i="7"/>
  <c r="AC327" i="7"/>
  <c r="Y365" i="7"/>
  <c r="W365" i="7"/>
  <c r="U365" i="7"/>
  <c r="AC365" i="7"/>
  <c r="Y607" i="7"/>
  <c r="W607" i="7"/>
  <c r="U607" i="7"/>
  <c r="AC607" i="7"/>
  <c r="Y142" i="7"/>
  <c r="W142" i="7"/>
  <c r="U142" i="7"/>
  <c r="AC142" i="7"/>
  <c r="Y359" i="7"/>
  <c r="W359" i="7"/>
  <c r="U359" i="7"/>
  <c r="AC359" i="7"/>
  <c r="Y36" i="7"/>
  <c r="W36" i="7"/>
  <c r="U36" i="7"/>
  <c r="AC36" i="7"/>
  <c r="Y150" i="7"/>
  <c r="W150" i="7"/>
  <c r="U150" i="7"/>
  <c r="AC150" i="7"/>
  <c r="Y715" i="7"/>
  <c r="W715" i="7"/>
  <c r="U715" i="7"/>
  <c r="AC715" i="7"/>
  <c r="Y524" i="7"/>
  <c r="W524" i="7"/>
  <c r="U524" i="7"/>
  <c r="AC524" i="7"/>
  <c r="Y67" i="7"/>
  <c r="W67" i="7"/>
  <c r="U67" i="7"/>
  <c r="AC67" i="7"/>
  <c r="Y883" i="7"/>
  <c r="W883" i="7"/>
  <c r="U883" i="7"/>
  <c r="AC883" i="7"/>
  <c r="Y146" i="7"/>
  <c r="W146" i="7"/>
  <c r="U146" i="7"/>
  <c r="AC146" i="7"/>
  <c r="Y428" i="7"/>
  <c r="W428" i="7"/>
  <c r="U428" i="7"/>
  <c r="AC428" i="7"/>
  <c r="Y787" i="7"/>
  <c r="W787" i="7"/>
  <c r="U787" i="7"/>
  <c r="AC787" i="7"/>
  <c r="Y863" i="7"/>
  <c r="W863" i="7"/>
  <c r="U863" i="7"/>
  <c r="AC863" i="7"/>
  <c r="Y1055" i="7"/>
  <c r="W1055" i="7"/>
  <c r="U1055" i="7"/>
  <c r="AC1055" i="7"/>
  <c r="Y1015" i="7"/>
  <c r="W1015" i="7"/>
  <c r="U1015" i="7"/>
  <c r="AC1015" i="7"/>
  <c r="Y977" i="7"/>
  <c r="W977" i="7"/>
  <c r="U977" i="7"/>
  <c r="AC977" i="7"/>
  <c r="Y872" i="7"/>
  <c r="W872" i="7"/>
  <c r="U872" i="7"/>
  <c r="AC872" i="7"/>
  <c r="Y717" i="7"/>
  <c r="W717" i="7"/>
  <c r="U717" i="7"/>
  <c r="AC717" i="7"/>
  <c r="Y685" i="7"/>
  <c r="W685" i="7"/>
  <c r="U685" i="7"/>
  <c r="AC685" i="7"/>
  <c r="Y106" i="7"/>
  <c r="W106" i="7"/>
  <c r="U106" i="7"/>
  <c r="AC106" i="7"/>
  <c r="Y887" i="7"/>
  <c r="W887" i="7"/>
  <c r="U887" i="7"/>
  <c r="AC887" i="7"/>
  <c r="Y566" i="7"/>
  <c r="W566" i="7"/>
  <c r="U566" i="7"/>
  <c r="AC566" i="7"/>
  <c r="Y987" i="7"/>
  <c r="W987" i="7"/>
  <c r="U987" i="7"/>
  <c r="AC987" i="7"/>
  <c r="Y622" i="7"/>
  <c r="W622" i="7"/>
  <c r="U622" i="7"/>
  <c r="AC622" i="7"/>
  <c r="Y349" i="7"/>
  <c r="W349" i="7"/>
  <c r="U349" i="7"/>
  <c r="AC349" i="7"/>
  <c r="Y821" i="7"/>
  <c r="W821" i="7"/>
  <c r="U821" i="7"/>
  <c r="AC821" i="7"/>
  <c r="Y659" i="7"/>
  <c r="W659" i="7"/>
  <c r="U659" i="7"/>
  <c r="AC659" i="7"/>
  <c r="Y92" i="7"/>
  <c r="W92" i="7"/>
  <c r="U92" i="7"/>
  <c r="AC92" i="7"/>
  <c r="Y65" i="7"/>
  <c r="W65" i="7"/>
  <c r="U65" i="7"/>
  <c r="AC65" i="7"/>
  <c r="Y313" i="7"/>
  <c r="W313" i="7"/>
  <c r="U313" i="7"/>
  <c r="AC313" i="7"/>
  <c r="Y626" i="7"/>
  <c r="W626" i="7"/>
  <c r="U626" i="7"/>
  <c r="AC626" i="7"/>
  <c r="Y228" i="7"/>
  <c r="W228" i="7"/>
  <c r="U228" i="7"/>
  <c r="AC228" i="7"/>
  <c r="Y875" i="7"/>
  <c r="W875" i="7"/>
  <c r="U875" i="7"/>
  <c r="AC875" i="7"/>
  <c r="Y541" i="7"/>
  <c r="W541" i="7"/>
  <c r="U541" i="7"/>
  <c r="AC541" i="7"/>
  <c r="Y426" i="7"/>
  <c r="W426" i="7"/>
  <c r="U426" i="7"/>
  <c r="AC426" i="7"/>
  <c r="Y255" i="7"/>
  <c r="W255" i="7"/>
  <c r="U255" i="7"/>
  <c r="AC255" i="7"/>
  <c r="Y368" i="7"/>
  <c r="W368" i="7"/>
  <c r="U368" i="7"/>
  <c r="AC368" i="7"/>
  <c r="Y501" i="7"/>
  <c r="W501" i="7"/>
  <c r="U501" i="7"/>
  <c r="AC501" i="7"/>
  <c r="Y702" i="7"/>
  <c r="W702" i="7"/>
  <c r="U702" i="7"/>
  <c r="AC702" i="7"/>
  <c r="Y1004" i="7"/>
  <c r="W1004" i="7"/>
  <c r="U1004" i="7"/>
  <c r="AC1004" i="7"/>
  <c r="Y296" i="7"/>
  <c r="W296" i="7"/>
  <c r="U296" i="7"/>
  <c r="AC296" i="7"/>
  <c r="Y441" i="7"/>
  <c r="W441" i="7"/>
  <c r="U441" i="7"/>
  <c r="AC441" i="7"/>
  <c r="Y162" i="7"/>
  <c r="W162" i="7"/>
  <c r="U162" i="7"/>
  <c r="AC162" i="7"/>
  <c r="Y357" i="7"/>
  <c r="W357" i="7"/>
  <c r="U357" i="7"/>
  <c r="AC357" i="7"/>
  <c r="Y563" i="7"/>
  <c r="W563" i="7"/>
  <c r="U563" i="7"/>
  <c r="AC563" i="7"/>
  <c r="Y257" i="7"/>
  <c r="W257" i="7"/>
  <c r="U257" i="7"/>
  <c r="AC257" i="7"/>
  <c r="Y993" i="7"/>
  <c r="W993" i="7"/>
  <c r="U993" i="7"/>
  <c r="AC993" i="7"/>
  <c r="Y614" i="7"/>
  <c r="W614" i="7"/>
  <c r="U614" i="7"/>
  <c r="AC614" i="7"/>
  <c r="Y164" i="7"/>
  <c r="W164" i="7"/>
  <c r="U164" i="7"/>
  <c r="AC164" i="7"/>
  <c r="Y893" i="7"/>
  <c r="W893" i="7"/>
  <c r="U893" i="7"/>
  <c r="AC893" i="7"/>
  <c r="Y260" i="7"/>
  <c r="W260" i="7"/>
  <c r="U260" i="7"/>
  <c r="AC260" i="7"/>
  <c r="Y521" i="7"/>
  <c r="W521" i="7"/>
  <c r="U521" i="7"/>
  <c r="AC521" i="7"/>
  <c r="Y366" i="7"/>
  <c r="W366" i="7"/>
  <c r="U366" i="7"/>
  <c r="AC366" i="7"/>
  <c r="Y1059" i="7"/>
  <c r="W1059" i="7"/>
  <c r="U1059" i="7"/>
  <c r="AC1059" i="7"/>
  <c r="Y890" i="7"/>
  <c r="W890" i="7"/>
  <c r="U890" i="7"/>
  <c r="AC890" i="7"/>
  <c r="Y241" i="7"/>
  <c r="W241" i="7"/>
  <c r="U241" i="7"/>
  <c r="AC241" i="7"/>
  <c r="Y866" i="7"/>
  <c r="W866" i="7"/>
  <c r="U866" i="7"/>
  <c r="AC866" i="7"/>
  <c r="Y712" i="7"/>
  <c r="W712" i="7"/>
  <c r="U712" i="7"/>
  <c r="AC712" i="7"/>
  <c r="Y946" i="7"/>
  <c r="W946" i="7"/>
  <c r="U946" i="7"/>
  <c r="AC946" i="7"/>
  <c r="Y530" i="7"/>
  <c r="W530" i="7"/>
  <c r="U530" i="7"/>
  <c r="AC530" i="7"/>
  <c r="Y161" i="7"/>
  <c r="W161" i="7"/>
  <c r="U161" i="7"/>
  <c r="AC161" i="7"/>
  <c r="Y135" i="7"/>
  <c r="W135" i="7"/>
  <c r="U135" i="7"/>
  <c r="AC135" i="7"/>
  <c r="Y382" i="7"/>
  <c r="W382" i="7"/>
  <c r="U382" i="7"/>
  <c r="AC382" i="7"/>
  <c r="Y669" i="7"/>
  <c r="W669" i="7"/>
  <c r="U669" i="7"/>
  <c r="AC669" i="7"/>
  <c r="Y128" i="7"/>
  <c r="W128" i="7"/>
  <c r="U128" i="7"/>
  <c r="AC128" i="7"/>
  <c r="Y505" i="7"/>
  <c r="W505" i="7"/>
  <c r="U505" i="7"/>
  <c r="AC505" i="7"/>
  <c r="Y26" i="7"/>
  <c r="W26" i="7"/>
  <c r="U26" i="7"/>
  <c r="AC26" i="7"/>
  <c r="Y191" i="7"/>
  <c r="W191" i="7"/>
  <c r="U191" i="7"/>
  <c r="AC191" i="7"/>
  <c r="Y252" i="7"/>
  <c r="W252" i="7"/>
  <c r="U252" i="7"/>
  <c r="AC252" i="7"/>
  <c r="Y723" i="7"/>
  <c r="W723" i="7"/>
  <c r="U723" i="7"/>
  <c r="AC723" i="7"/>
  <c r="Y725" i="7"/>
  <c r="W725" i="7"/>
  <c r="U725" i="7"/>
  <c r="AC725" i="7"/>
  <c r="Y492" i="7"/>
  <c r="W492" i="7"/>
  <c r="U492" i="7"/>
  <c r="AC492" i="7"/>
  <c r="Y984" i="7"/>
  <c r="W984" i="7"/>
  <c r="U984" i="7"/>
  <c r="AC984" i="7"/>
  <c r="Y862" i="7"/>
  <c r="W862" i="7"/>
  <c r="U862" i="7"/>
  <c r="AC862" i="7"/>
  <c r="Y739" i="7"/>
  <c r="W739" i="7"/>
  <c r="U739" i="7"/>
  <c r="AC739" i="7"/>
  <c r="Y515" i="7"/>
  <c r="W515" i="7"/>
  <c r="U515" i="7"/>
  <c r="AC515" i="7"/>
  <c r="Y557" i="7"/>
  <c r="W557" i="7"/>
  <c r="U557" i="7"/>
  <c r="AC557" i="7"/>
  <c r="Y201" i="7"/>
  <c r="W201" i="7"/>
  <c r="U201" i="7"/>
  <c r="AC201" i="7"/>
  <c r="Y598" i="7"/>
  <c r="W598" i="7"/>
  <c r="U598" i="7"/>
  <c r="AC598" i="7"/>
  <c r="Y497" i="7"/>
  <c r="W497" i="7"/>
  <c r="U497" i="7"/>
  <c r="AC497" i="7"/>
  <c r="Y24" i="7"/>
  <c r="W24" i="7"/>
  <c r="U24" i="7"/>
  <c r="AC24" i="7"/>
  <c r="Y152" i="7"/>
  <c r="W152" i="7"/>
  <c r="U152" i="7"/>
  <c r="AC152" i="7"/>
  <c r="Y223" i="7"/>
  <c r="W223" i="7"/>
  <c r="U223" i="7"/>
  <c r="AC223" i="7"/>
  <c r="Y326" i="7"/>
  <c r="W326" i="7"/>
  <c r="U326" i="7"/>
  <c r="AC326" i="7"/>
  <c r="Y311" i="7"/>
  <c r="W311" i="7"/>
  <c r="U311" i="7"/>
  <c r="AC311" i="7"/>
  <c r="Y932" i="7"/>
  <c r="W932" i="7"/>
  <c r="U932" i="7"/>
  <c r="AC932" i="7"/>
  <c r="Y573" i="7"/>
  <c r="W573" i="7"/>
  <c r="U573" i="7"/>
  <c r="AC573" i="7"/>
  <c r="Y885" i="7"/>
  <c r="W885" i="7"/>
  <c r="U885" i="7"/>
  <c r="AC885" i="7"/>
  <c r="Y209" i="7"/>
  <c r="W209" i="7"/>
  <c r="U209" i="7"/>
  <c r="AC209" i="7"/>
  <c r="Y853" i="7"/>
  <c r="W853" i="7"/>
  <c r="U853" i="7"/>
  <c r="AC853" i="7"/>
  <c r="Y408" i="7"/>
  <c r="W408" i="7"/>
  <c r="U408" i="7"/>
  <c r="AC408" i="7"/>
  <c r="Y674" i="7"/>
  <c r="W674" i="7"/>
  <c r="U674" i="7"/>
  <c r="AC674" i="7"/>
  <c r="Y369" i="7"/>
  <c r="W369" i="7"/>
  <c r="U369" i="7"/>
  <c r="AC369" i="7"/>
  <c r="Y136" i="7"/>
  <c r="W136" i="7"/>
  <c r="U136" i="7"/>
  <c r="AC136" i="7"/>
  <c r="Y673" i="7"/>
  <c r="W673" i="7"/>
  <c r="U673" i="7"/>
  <c r="AC673" i="7"/>
  <c r="Y596" i="7"/>
  <c r="W596" i="7"/>
  <c r="U596" i="7"/>
  <c r="AC596" i="7"/>
  <c r="Y1027" i="7"/>
  <c r="W1027" i="7"/>
  <c r="U1027" i="7"/>
  <c r="AC1027" i="7"/>
  <c r="Y678" i="7"/>
  <c r="W678" i="7"/>
  <c r="U678" i="7"/>
  <c r="AC678" i="7"/>
  <c r="Y859" i="7"/>
  <c r="W859" i="7"/>
  <c r="U859" i="7"/>
  <c r="AC859" i="7"/>
  <c r="Y483" i="7"/>
  <c r="W483" i="7"/>
  <c r="U483" i="7"/>
  <c r="AC483" i="7"/>
  <c r="Y190" i="7"/>
  <c r="W190" i="7"/>
  <c r="U190" i="7"/>
  <c r="AC190" i="7"/>
  <c r="Y510" i="7"/>
  <c r="W510" i="7"/>
  <c r="U510" i="7"/>
  <c r="AC510" i="7"/>
  <c r="Y98" i="7"/>
  <c r="W98" i="7"/>
  <c r="U98" i="7"/>
  <c r="AC98" i="7"/>
  <c r="Y854" i="7"/>
  <c r="W854" i="7"/>
  <c r="U854" i="7"/>
  <c r="AC854" i="7"/>
  <c r="Y525" i="7"/>
  <c r="W525" i="7"/>
  <c r="U525" i="7"/>
  <c r="AC525" i="7"/>
  <c r="Y936" i="7"/>
  <c r="W936" i="7"/>
  <c r="U936" i="7"/>
  <c r="AC936" i="7"/>
  <c r="Y423" i="7"/>
  <c r="W423" i="7"/>
  <c r="U423" i="7"/>
  <c r="AC423" i="7"/>
  <c r="Y537" i="7"/>
  <c r="W537" i="7"/>
  <c r="U537" i="7"/>
  <c r="AC537" i="7"/>
  <c r="Y1016" i="7"/>
  <c r="W1016" i="7"/>
  <c r="U1016" i="7"/>
  <c r="AC1016" i="7"/>
  <c r="Y734" i="7"/>
  <c r="W734" i="7"/>
  <c r="U734" i="7"/>
  <c r="AC734" i="7"/>
  <c r="Y463" i="7"/>
  <c r="W463" i="7"/>
  <c r="U463" i="7"/>
  <c r="AC463" i="7"/>
  <c r="Y925" i="7"/>
  <c r="W925" i="7"/>
  <c r="U925" i="7"/>
  <c r="AC925" i="7"/>
  <c r="Y660" i="7"/>
  <c r="W660" i="7"/>
  <c r="U660" i="7"/>
  <c r="AC660" i="7"/>
  <c r="Y56" i="7"/>
  <c r="W56" i="7"/>
  <c r="U56" i="7"/>
  <c r="AC56" i="7"/>
  <c r="Y156" i="7"/>
  <c r="W156" i="7"/>
  <c r="U156" i="7"/>
  <c r="AC156" i="7"/>
  <c r="Y237" i="7"/>
  <c r="W237" i="7"/>
  <c r="U237" i="7"/>
  <c r="AC237" i="7"/>
  <c r="Y383" i="7"/>
  <c r="W383" i="7"/>
  <c r="U383" i="7"/>
  <c r="AC383" i="7"/>
  <c r="Y500" i="7"/>
  <c r="W500" i="7"/>
  <c r="U500" i="7"/>
  <c r="AC500" i="7"/>
  <c r="Y913" i="7"/>
  <c r="W913" i="7"/>
  <c r="U913" i="7"/>
  <c r="AC913" i="7"/>
  <c r="Y827" i="7"/>
  <c r="W827" i="7"/>
  <c r="U827" i="7"/>
  <c r="AC827" i="7"/>
  <c r="Y109" i="7"/>
  <c r="W109" i="7"/>
  <c r="U109" i="7"/>
  <c r="AC109" i="7"/>
  <c r="Y654" i="7"/>
  <c r="W654" i="7"/>
  <c r="U654" i="7"/>
  <c r="AC654" i="7"/>
  <c r="Y356" i="7"/>
  <c r="W356" i="7"/>
  <c r="U356" i="7"/>
  <c r="AC356" i="7"/>
  <c r="Y362" i="7"/>
  <c r="W362" i="7"/>
  <c r="U362" i="7"/>
  <c r="AC362" i="7"/>
  <c r="Y33" i="7"/>
  <c r="W33" i="7"/>
  <c r="U33" i="7"/>
  <c r="AC33" i="7"/>
  <c r="Y549" i="7"/>
  <c r="W549" i="7"/>
  <c r="U549" i="7"/>
  <c r="AC549" i="7"/>
  <c r="Y785" i="7"/>
  <c r="W785" i="7"/>
  <c r="U785" i="7"/>
  <c r="AC785" i="7"/>
  <c r="Y11" i="7"/>
  <c r="W11" i="7"/>
  <c r="U11" i="7"/>
  <c r="AC11" i="7"/>
  <c r="Y434" i="7"/>
  <c r="W434" i="7"/>
  <c r="U434" i="7"/>
  <c r="AC434" i="7"/>
  <c r="Y415" i="7"/>
  <c r="W415" i="7"/>
  <c r="U415" i="7"/>
  <c r="AC415" i="7"/>
  <c r="Y873" i="7"/>
  <c r="W873" i="7"/>
  <c r="U873" i="7"/>
  <c r="AC873" i="7"/>
  <c r="Y449" i="7"/>
  <c r="W449" i="7"/>
  <c r="U449" i="7"/>
  <c r="AC449" i="7"/>
  <c r="Y534" i="7"/>
  <c r="W534" i="7"/>
  <c r="U534" i="7"/>
  <c r="AC534" i="7"/>
  <c r="Y439" i="7"/>
  <c r="W439" i="7"/>
  <c r="U439" i="7"/>
  <c r="AC439" i="7"/>
  <c r="Y624" i="7"/>
  <c r="W624" i="7"/>
  <c r="U624" i="7"/>
  <c r="AC624" i="7"/>
  <c r="Y458" i="7"/>
  <c r="W458" i="7"/>
  <c r="U458" i="7"/>
  <c r="AC458" i="7"/>
  <c r="Y281" i="7"/>
  <c r="W281" i="7"/>
  <c r="U281" i="7"/>
  <c r="AC281" i="7"/>
  <c r="Y206" i="7"/>
  <c r="W206" i="7"/>
  <c r="U206" i="7"/>
  <c r="AC206" i="7"/>
  <c r="Y30" i="7"/>
  <c r="W30" i="7"/>
  <c r="U30" i="7"/>
  <c r="AC30" i="7"/>
  <c r="Y289" i="7"/>
  <c r="W289" i="7"/>
  <c r="U289" i="7"/>
  <c r="AC289" i="7"/>
  <c r="Y790" i="7"/>
  <c r="W790" i="7"/>
  <c r="U790" i="7"/>
  <c r="AC790" i="7"/>
  <c r="Y256" i="7"/>
  <c r="W256" i="7"/>
  <c r="U256" i="7"/>
  <c r="AC256" i="7"/>
  <c r="Y848" i="7"/>
  <c r="W848" i="7"/>
  <c r="U848" i="7"/>
  <c r="AC848" i="7"/>
  <c r="Y1012" i="7"/>
  <c r="W1012" i="7"/>
  <c r="U1012" i="7"/>
  <c r="AC1012" i="7"/>
  <c r="Y290" i="7"/>
  <c r="W290" i="7"/>
  <c r="U290" i="7"/>
  <c r="AC290" i="7"/>
  <c r="Y395" i="7"/>
  <c r="W395" i="7"/>
  <c r="U395" i="7"/>
  <c r="AC395" i="7"/>
  <c r="Y707" i="7"/>
  <c r="W707" i="7"/>
  <c r="U707" i="7"/>
  <c r="AC707" i="7"/>
  <c r="Y331" i="7"/>
  <c r="W331" i="7"/>
  <c r="U331" i="7"/>
  <c r="AC331" i="7"/>
  <c r="Y878" i="7"/>
  <c r="W878" i="7"/>
  <c r="U878" i="7"/>
  <c r="AC878" i="7"/>
  <c r="Y379" i="7"/>
  <c r="W379" i="7"/>
  <c r="U379" i="7"/>
  <c r="AC379" i="7"/>
  <c r="Y747" i="7"/>
  <c r="W747" i="7"/>
  <c r="U747" i="7"/>
  <c r="AC747" i="7"/>
  <c r="Y650" i="7"/>
  <c r="W650" i="7"/>
  <c r="U650" i="7"/>
  <c r="AC650" i="7"/>
  <c r="Y934" i="7"/>
  <c r="W934" i="7"/>
  <c r="U934" i="7"/>
  <c r="AC934" i="7"/>
  <c r="Y322" i="7"/>
  <c r="W322" i="7"/>
  <c r="U322" i="7"/>
  <c r="AC322" i="7"/>
  <c r="Y969" i="7"/>
  <c r="W969" i="7"/>
  <c r="U969" i="7"/>
  <c r="AC969" i="7"/>
  <c r="Y938" i="7"/>
  <c r="W938" i="7"/>
  <c r="U938" i="7"/>
  <c r="AC938" i="7"/>
  <c r="Y122" i="7"/>
  <c r="W122" i="7"/>
  <c r="U122" i="7"/>
  <c r="AC122" i="7"/>
  <c r="Y489" i="7"/>
  <c r="W489" i="7"/>
  <c r="U489" i="7"/>
  <c r="AC489" i="7"/>
  <c r="Y606" i="7"/>
  <c r="W606" i="7"/>
  <c r="U606" i="7"/>
  <c r="AC606" i="7"/>
  <c r="Y479" i="7"/>
  <c r="W479" i="7"/>
  <c r="U479" i="7"/>
  <c r="AC479" i="7"/>
  <c r="Y203" i="7"/>
  <c r="W203" i="7"/>
  <c r="U203" i="7"/>
  <c r="AC203" i="7"/>
  <c r="Y900" i="7"/>
  <c r="W900" i="7"/>
  <c r="U900" i="7"/>
  <c r="AC900" i="7"/>
  <c r="Y378" i="7"/>
  <c r="W378" i="7"/>
  <c r="U378" i="7"/>
  <c r="AC378" i="7"/>
  <c r="Y457" i="7"/>
  <c r="W457" i="7"/>
  <c r="U457" i="7"/>
  <c r="AC457" i="7"/>
  <c r="Y843" i="7"/>
  <c r="W843" i="7"/>
  <c r="U843" i="7"/>
  <c r="AC843" i="7"/>
  <c r="Y288" i="7"/>
  <c r="W288" i="7"/>
  <c r="U288" i="7"/>
  <c r="AC288" i="7"/>
  <c r="Y576" i="7"/>
  <c r="W576" i="7"/>
  <c r="U576" i="7"/>
  <c r="AC576" i="7"/>
  <c r="Y447" i="7"/>
  <c r="W447" i="7"/>
  <c r="U447" i="7"/>
  <c r="AC447" i="7"/>
  <c r="Y270" i="7"/>
  <c r="W270" i="7"/>
  <c r="U270" i="7"/>
  <c r="AC270" i="7"/>
  <c r="Y372" i="7"/>
  <c r="W372" i="7"/>
  <c r="U372" i="7"/>
  <c r="AC372" i="7"/>
  <c r="Y658" i="7"/>
  <c r="W658" i="7"/>
  <c r="U658" i="7"/>
  <c r="AC658" i="7"/>
  <c r="Y1030" i="7"/>
  <c r="W1030" i="7"/>
  <c r="U1030" i="7"/>
  <c r="AC1030" i="7"/>
  <c r="Y813" i="7"/>
  <c r="W813" i="7"/>
  <c r="U813" i="7"/>
  <c r="AC813" i="7"/>
  <c r="Y582" i="7"/>
  <c r="W582" i="7"/>
  <c r="U582" i="7"/>
  <c r="AC582" i="7"/>
  <c r="Y180" i="7"/>
  <c r="W180" i="7"/>
  <c r="U180" i="7"/>
  <c r="AC180" i="7"/>
  <c r="Y410" i="7"/>
  <c r="W410" i="7"/>
  <c r="U410" i="7"/>
  <c r="AC410" i="7"/>
  <c r="Y229" i="7"/>
  <c r="W229" i="7"/>
  <c r="U229" i="7"/>
  <c r="AC229" i="7"/>
  <c r="Y387" i="7"/>
  <c r="W387" i="7"/>
  <c r="U387" i="7"/>
  <c r="AC387" i="7"/>
  <c r="Y610" i="7"/>
  <c r="W610" i="7"/>
  <c r="U610" i="7"/>
  <c r="AC610" i="7"/>
  <c r="Y1056" i="7"/>
  <c r="W1056" i="7"/>
  <c r="U1056" i="7"/>
  <c r="AC1056" i="7"/>
  <c r="Y116" i="7"/>
  <c r="W116" i="7"/>
  <c r="U116" i="7"/>
  <c r="AC116" i="7"/>
  <c r="Y85" i="7"/>
  <c r="W85" i="7"/>
  <c r="U85" i="7"/>
  <c r="AC85" i="7"/>
  <c r="Y704" i="7"/>
  <c r="W704" i="7"/>
  <c r="U704" i="7"/>
  <c r="AC704" i="7"/>
  <c r="Y695" i="7"/>
  <c r="W695" i="7"/>
  <c r="U695" i="7"/>
  <c r="AC695" i="7"/>
  <c r="Y608" i="7"/>
  <c r="W608" i="7"/>
  <c r="U608" i="7"/>
  <c r="AC608" i="7"/>
  <c r="Y208" i="7"/>
  <c r="W208" i="7"/>
  <c r="U208" i="7"/>
  <c r="AC208" i="7"/>
  <c r="Y776" i="7"/>
  <c r="W776" i="7"/>
  <c r="U776" i="7"/>
  <c r="AC776" i="7"/>
  <c r="Y373" i="7"/>
  <c r="W373" i="7"/>
  <c r="U373" i="7"/>
  <c r="AC373" i="7"/>
  <c r="Y394" i="7"/>
  <c r="W394" i="7"/>
  <c r="U394" i="7"/>
  <c r="AC394" i="7"/>
  <c r="Y93" i="7"/>
  <c r="W93" i="7"/>
  <c r="U93" i="7"/>
  <c r="AC93" i="7"/>
  <c r="Y53" i="7"/>
  <c r="W53" i="7"/>
  <c r="U53" i="7"/>
  <c r="AC53" i="7"/>
  <c r="Y1020" i="7"/>
  <c r="W1020" i="7"/>
  <c r="U1020" i="7"/>
  <c r="AC1020" i="7"/>
  <c r="Y771" i="7"/>
  <c r="W771" i="7"/>
  <c r="U771" i="7"/>
  <c r="AC771" i="7"/>
  <c r="Y774" i="7"/>
  <c r="W774" i="7"/>
  <c r="U774" i="7"/>
  <c r="AC774" i="7"/>
  <c r="Y502" i="7"/>
  <c r="W502" i="7"/>
  <c r="U502" i="7"/>
  <c r="AC502" i="7"/>
  <c r="Y869" i="7"/>
  <c r="W869" i="7"/>
  <c r="U869" i="7"/>
  <c r="AC869" i="7"/>
  <c r="Y352" i="7"/>
  <c r="W352" i="7"/>
  <c r="U352" i="7"/>
  <c r="AC352" i="7"/>
  <c r="Y227" i="7"/>
  <c r="W227" i="7"/>
  <c r="U227" i="7"/>
  <c r="AC227" i="7"/>
  <c r="Y742" i="7"/>
  <c r="W742" i="7"/>
  <c r="U742" i="7"/>
  <c r="AC742" i="7"/>
  <c r="Y396" i="7"/>
  <c r="W396" i="7"/>
  <c r="U396" i="7"/>
  <c r="AC396" i="7"/>
  <c r="Y903" i="7"/>
  <c r="W903" i="7"/>
  <c r="U903" i="7"/>
  <c r="AC903" i="7"/>
  <c r="Y344" i="7"/>
  <c r="W344" i="7"/>
  <c r="U344" i="7"/>
  <c r="AC344" i="7"/>
  <c r="Y752" i="7"/>
  <c r="W752" i="7"/>
  <c r="U752" i="7"/>
  <c r="AC752" i="7"/>
  <c r="Y332" i="7"/>
  <c r="W332" i="7"/>
  <c r="U332" i="7"/>
  <c r="AC332" i="7"/>
  <c r="Y858" i="7"/>
  <c r="W858" i="7"/>
  <c r="U858" i="7"/>
  <c r="AC858" i="7"/>
  <c r="Y671" i="7"/>
  <c r="W671" i="7"/>
  <c r="U671" i="7"/>
  <c r="AC671" i="7"/>
  <c r="Y451" i="7"/>
  <c r="W451" i="7"/>
  <c r="U451" i="7"/>
  <c r="AC451" i="7"/>
  <c r="Y139" i="7"/>
  <c r="W139" i="7"/>
  <c r="U139" i="7"/>
  <c r="AC139" i="7"/>
  <c r="Y670" i="7"/>
  <c r="W670" i="7"/>
  <c r="U670" i="7"/>
  <c r="AC670" i="7"/>
  <c r="Y1039" i="7"/>
  <c r="W1039" i="7"/>
  <c r="U1039" i="7"/>
  <c r="AC1039" i="7"/>
  <c r="Y364" i="7"/>
  <c r="W364" i="7"/>
  <c r="U364" i="7"/>
  <c r="AC364" i="7"/>
  <c r="Y921" i="7"/>
  <c r="W921" i="7"/>
  <c r="U921" i="7"/>
  <c r="AC921" i="7"/>
  <c r="Y433" i="7"/>
  <c r="W433" i="7"/>
  <c r="U433" i="7"/>
  <c r="AC433" i="7"/>
  <c r="Y803" i="7"/>
  <c r="W803" i="7"/>
  <c r="U803" i="7"/>
  <c r="AC803" i="7"/>
  <c r="Y951" i="7"/>
  <c r="W951" i="7"/>
  <c r="U951" i="7"/>
  <c r="AC951" i="7"/>
  <c r="Y760" i="7"/>
  <c r="W760" i="7"/>
  <c r="U760" i="7"/>
  <c r="AC760" i="7"/>
  <c r="Y188" i="7"/>
  <c r="W188" i="7"/>
  <c r="U188" i="7"/>
  <c r="AC188" i="7"/>
  <c r="Y185" i="7"/>
  <c r="W185" i="7"/>
  <c r="U185" i="7"/>
  <c r="AC185" i="7"/>
  <c r="Y1063" i="7"/>
  <c r="W1063" i="7"/>
  <c r="U1063" i="7"/>
  <c r="AC1063" i="7"/>
  <c r="Y153" i="7"/>
  <c r="W153" i="7"/>
  <c r="U153" i="7"/>
  <c r="AC153" i="7"/>
  <c r="Y793" i="7"/>
  <c r="W793" i="7"/>
  <c r="U793" i="7"/>
  <c r="AC793" i="7"/>
  <c r="Y455" i="7"/>
  <c r="W455" i="7"/>
  <c r="U455" i="7"/>
  <c r="AC455" i="7"/>
  <c r="Y177" i="7"/>
  <c r="W177" i="7"/>
  <c r="U177" i="7"/>
  <c r="AC177" i="7"/>
  <c r="Y623" i="7"/>
  <c r="W623" i="7"/>
  <c r="U623" i="7"/>
  <c r="AC623" i="7"/>
  <c r="Y867" i="7"/>
  <c r="W867" i="7"/>
  <c r="U867" i="7"/>
  <c r="AC867" i="7"/>
  <c r="Y211" i="7"/>
  <c r="W211" i="7"/>
  <c r="U211" i="7"/>
  <c r="AC211" i="7"/>
  <c r="Y851" i="7"/>
  <c r="W851" i="7"/>
  <c r="U851" i="7"/>
  <c r="AC851" i="7"/>
  <c r="Y720" i="7"/>
  <c r="W720" i="7"/>
  <c r="U720" i="7"/>
  <c r="AC720" i="7"/>
  <c r="Y961" i="7"/>
  <c r="W961" i="7"/>
  <c r="U961" i="7"/>
  <c r="AC961" i="7"/>
  <c r="Y731" i="7"/>
  <c r="W731" i="7"/>
  <c r="U731" i="7"/>
  <c r="AC731" i="7"/>
  <c r="Y590" i="7"/>
  <c r="W590" i="7"/>
  <c r="U590" i="7"/>
  <c r="AC590" i="7"/>
  <c r="Y392" i="7"/>
  <c r="W392" i="7"/>
  <c r="U392" i="7"/>
  <c r="AC392" i="7"/>
  <c r="Y319" i="7"/>
  <c r="W319" i="7"/>
  <c r="U319" i="7"/>
  <c r="AC319" i="7"/>
  <c r="Y615" i="7"/>
  <c r="W615" i="7"/>
  <c r="U615" i="7"/>
  <c r="AC615" i="7"/>
  <c r="Y74" i="7"/>
  <c r="W74" i="7"/>
  <c r="U74" i="7"/>
  <c r="AC74" i="7"/>
  <c r="Y244" i="7"/>
  <c r="W244" i="7"/>
  <c r="U244" i="7"/>
  <c r="AC244" i="7"/>
  <c r="Y253" i="7"/>
  <c r="W253" i="7"/>
  <c r="U253" i="7"/>
  <c r="AC253" i="7"/>
  <c r="Y613" i="7"/>
  <c r="W613" i="7"/>
  <c r="U613" i="7"/>
  <c r="AC613" i="7"/>
  <c r="Y330" i="7"/>
  <c r="W330" i="7"/>
  <c r="U330" i="7"/>
  <c r="AC330" i="7"/>
  <c r="Y474" i="7"/>
  <c r="W474" i="7"/>
  <c r="U474" i="7"/>
  <c r="AC474" i="7"/>
  <c r="Y1046" i="7"/>
  <c r="W1046" i="7"/>
  <c r="U1046" i="7"/>
  <c r="AC1046" i="7"/>
  <c r="Y583" i="7"/>
  <c r="W583" i="7"/>
  <c r="U583" i="7"/>
  <c r="AC583" i="7"/>
  <c r="Y402" i="7"/>
  <c r="W402" i="7"/>
  <c r="U402" i="7"/>
  <c r="AC402" i="7"/>
  <c r="Y574" i="7"/>
  <c r="W574" i="7"/>
  <c r="U574" i="7"/>
  <c r="AC574" i="7"/>
  <c r="Y1047" i="7"/>
  <c r="W1047" i="7"/>
  <c r="U1047" i="7"/>
  <c r="AC1047" i="7"/>
  <c r="Y147" i="7"/>
  <c r="W147" i="7"/>
  <c r="U147" i="7"/>
  <c r="AC147" i="7"/>
  <c r="Y780" i="7"/>
  <c r="W780" i="7"/>
  <c r="U780" i="7"/>
  <c r="AC780" i="7"/>
  <c r="Y540" i="7"/>
  <c r="W540" i="7"/>
  <c r="U540" i="7"/>
  <c r="AC540" i="7"/>
  <c r="Y804" i="7"/>
  <c r="W804" i="7"/>
  <c r="U804" i="7"/>
  <c r="AC804" i="7"/>
  <c r="Y518" i="7"/>
  <c r="W518" i="7"/>
  <c r="U518" i="7"/>
  <c r="AC518" i="7"/>
  <c r="Y183" i="7"/>
  <c r="W183" i="7"/>
  <c r="U183" i="7"/>
  <c r="AC183" i="7"/>
  <c r="Y167" i="7"/>
  <c r="W167" i="7"/>
  <c r="U167" i="7"/>
  <c r="AC167" i="7"/>
  <c r="Y1007" i="7"/>
  <c r="W1007" i="7"/>
  <c r="U1007" i="7"/>
  <c r="AC1007" i="7"/>
  <c r="Y750" i="7"/>
  <c r="W750" i="7"/>
  <c r="U750" i="7"/>
  <c r="AC750" i="7"/>
  <c r="Y63" i="7"/>
  <c r="W63" i="7"/>
  <c r="U63" i="7"/>
  <c r="AC63" i="7"/>
  <c r="Y397" i="7"/>
  <c r="W397" i="7"/>
  <c r="U397" i="7"/>
  <c r="AC397" i="7"/>
  <c r="Y1011" i="7"/>
  <c r="W1011" i="7"/>
  <c r="U1011" i="7"/>
  <c r="AC1011" i="7"/>
  <c r="Y558" i="7"/>
  <c r="W558" i="7"/>
  <c r="U558" i="7"/>
  <c r="AC558" i="7"/>
  <c r="Y693" i="7"/>
  <c r="W693" i="7"/>
  <c r="U693" i="7"/>
  <c r="AC693" i="7"/>
  <c r="Y954" i="7"/>
  <c r="W954" i="7"/>
  <c r="U954" i="7"/>
  <c r="AC954" i="7"/>
  <c r="Y546" i="7"/>
  <c r="W546" i="7"/>
  <c r="U546" i="7"/>
  <c r="AC546" i="7"/>
  <c r="Y450" i="7"/>
  <c r="W450" i="7"/>
  <c r="U450" i="7"/>
  <c r="AC450" i="7"/>
  <c r="Y178" i="7"/>
  <c r="W178" i="7"/>
  <c r="U178" i="7"/>
  <c r="AC178" i="7"/>
  <c r="Y933" i="7"/>
  <c r="W933" i="7"/>
  <c r="U933" i="7"/>
  <c r="AC933" i="7"/>
  <c r="Y172" i="7"/>
  <c r="W172" i="7"/>
  <c r="U172" i="7"/>
  <c r="AC172" i="7"/>
  <c r="Y59" i="7"/>
  <c r="W59" i="7"/>
  <c r="U59" i="7"/>
  <c r="AC59" i="7"/>
  <c r="Y422" i="7"/>
  <c r="W422" i="7"/>
  <c r="U422" i="7"/>
  <c r="AC422" i="7"/>
  <c r="Y522" i="7"/>
  <c r="W522" i="7"/>
  <c r="U522" i="7"/>
  <c r="AC522" i="7"/>
  <c r="Y170" i="7"/>
  <c r="W170" i="7"/>
  <c r="U170" i="7"/>
  <c r="AC170" i="7"/>
  <c r="Y899" i="7"/>
  <c r="W899" i="7"/>
  <c r="U899" i="7"/>
  <c r="AC899" i="7"/>
  <c r="Y788" i="7"/>
  <c r="W788" i="7"/>
  <c r="U788" i="7"/>
  <c r="AC788" i="7"/>
  <c r="Y346" i="7"/>
  <c r="W346" i="7"/>
  <c r="U346" i="7"/>
  <c r="AC346" i="7"/>
  <c r="Y1033" i="7"/>
  <c r="W1033" i="7"/>
  <c r="U1033" i="7"/>
  <c r="AC1033" i="7"/>
  <c r="Y123" i="7"/>
  <c r="W123" i="7"/>
  <c r="U123" i="7"/>
  <c r="AC123" i="7"/>
  <c r="Y1028" i="7"/>
  <c r="W1028" i="7"/>
  <c r="U1028" i="7"/>
  <c r="AC1028" i="7"/>
  <c r="Y777" i="7"/>
  <c r="W777" i="7"/>
  <c r="U777" i="7"/>
  <c r="AC777" i="7"/>
  <c r="Y121" i="7"/>
  <c r="W121" i="7"/>
  <c r="U121" i="7"/>
  <c r="AC121" i="7"/>
  <c r="Y31" i="7"/>
  <c r="W31" i="7"/>
  <c r="U31" i="7"/>
  <c r="AC31" i="7"/>
  <c r="Y677" i="7"/>
  <c r="W677" i="7"/>
  <c r="U677" i="7"/>
  <c r="AC677" i="7"/>
  <c r="Y605" i="7"/>
  <c r="W605" i="7"/>
  <c r="U605" i="7"/>
  <c r="AC605" i="7"/>
  <c r="Y701" i="7"/>
  <c r="W701" i="7"/>
  <c r="U701" i="7"/>
  <c r="AC701" i="7"/>
  <c r="Y175" i="7"/>
  <c r="W175" i="7"/>
  <c r="U175" i="7"/>
  <c r="AC175" i="7"/>
  <c r="Y43" i="7"/>
  <c r="W43" i="7"/>
  <c r="U43" i="7"/>
  <c r="AC43" i="7"/>
  <c r="Y76" i="7"/>
  <c r="W76" i="7"/>
  <c r="U76" i="7"/>
  <c r="AC76" i="7"/>
  <c r="Y551" i="7"/>
  <c r="W551" i="7"/>
  <c r="U551" i="7"/>
  <c r="AC551" i="7"/>
  <c r="Y726" i="7"/>
  <c r="W726" i="7"/>
  <c r="U726" i="7"/>
  <c r="AC726" i="7"/>
  <c r="Y532" i="7"/>
  <c r="W532" i="7"/>
  <c r="U532" i="7"/>
  <c r="AC532" i="7"/>
  <c r="Y616" i="7"/>
  <c r="W616" i="7"/>
  <c r="U616" i="7"/>
  <c r="AC616" i="7"/>
  <c r="Y931" i="7"/>
  <c r="W931" i="7"/>
  <c r="U931" i="7"/>
  <c r="AC931" i="7"/>
  <c r="Y956" i="7"/>
  <c r="W956" i="7"/>
  <c r="U956" i="7"/>
  <c r="AC956" i="7"/>
  <c r="Y768" i="7"/>
  <c r="W768" i="7"/>
  <c r="U768" i="7"/>
  <c r="AC768" i="7"/>
  <c r="Y358" i="7"/>
  <c r="W358" i="7"/>
  <c r="U358" i="7"/>
  <c r="AC358" i="7"/>
  <c r="Y638" i="7"/>
  <c r="W638" i="7"/>
  <c r="U638" i="7"/>
  <c r="AC638" i="7"/>
  <c r="Y940" i="7"/>
  <c r="W940" i="7"/>
  <c r="U940" i="7"/>
  <c r="AC940" i="7"/>
  <c r="Y75" i="7"/>
  <c r="W75" i="7"/>
  <c r="U75" i="7"/>
  <c r="AC75" i="7"/>
  <c r="Y405" i="7"/>
  <c r="W405" i="7"/>
  <c r="U405" i="7"/>
  <c r="AC405" i="7"/>
  <c r="Y273" i="7"/>
  <c r="W273" i="7"/>
  <c r="U273" i="7"/>
  <c r="AC273" i="7"/>
  <c r="Y766" i="7"/>
  <c r="W766" i="7"/>
  <c r="U766" i="7"/>
  <c r="AC766" i="7"/>
  <c r="Y679" i="7"/>
  <c r="W679" i="7"/>
  <c r="U679" i="7"/>
  <c r="AC679" i="7"/>
  <c r="Y245" i="7"/>
  <c r="W245" i="7"/>
  <c r="U245" i="7"/>
  <c r="AC245" i="7"/>
  <c r="Y484" i="7"/>
  <c r="W484" i="7"/>
  <c r="U484" i="7"/>
  <c r="AC484" i="7"/>
  <c r="Y634" i="7"/>
  <c r="W634" i="7"/>
  <c r="U634" i="7"/>
  <c r="AC634" i="7"/>
  <c r="Y1032" i="7"/>
  <c r="W1032" i="7"/>
  <c r="U1032" i="7"/>
  <c r="AC1032" i="7"/>
  <c r="Y341" i="7"/>
  <c r="W341" i="7"/>
  <c r="U341" i="7"/>
  <c r="AC341" i="7"/>
  <c r="Y61" i="7"/>
  <c r="W61" i="7"/>
  <c r="U61" i="7"/>
  <c r="AC61" i="7"/>
  <c r="Y240" i="7"/>
  <c r="W240" i="7"/>
  <c r="U240" i="7"/>
  <c r="AC240" i="7"/>
  <c r="Y906" i="7"/>
  <c r="W906" i="7"/>
  <c r="U906" i="7"/>
  <c r="AC906" i="7"/>
  <c r="Y508" i="7"/>
  <c r="W508" i="7"/>
  <c r="U508" i="7"/>
  <c r="AC508" i="7"/>
  <c r="Y630" i="7"/>
  <c r="W630" i="7"/>
  <c r="U630" i="7"/>
  <c r="AC630" i="7"/>
  <c r="Y579" i="7"/>
  <c r="W579" i="7"/>
  <c r="U579" i="7"/>
  <c r="AC579" i="7"/>
  <c r="Y355" i="7"/>
  <c r="W355" i="7"/>
  <c r="U355" i="7"/>
  <c r="AC355" i="7"/>
  <c r="Y171" i="7"/>
  <c r="W171" i="7"/>
  <c r="U171" i="7"/>
  <c r="AC171" i="7"/>
  <c r="Y129" i="7"/>
  <c r="W129" i="7"/>
  <c r="U129" i="7"/>
  <c r="AC129" i="7"/>
  <c r="Y996" i="7"/>
  <c r="W996" i="7"/>
  <c r="U996" i="7"/>
  <c r="AC996" i="7"/>
  <c r="Y710" i="7"/>
  <c r="W710" i="7"/>
  <c r="U710" i="7"/>
  <c r="AC710" i="7"/>
  <c r="Y581" i="7"/>
  <c r="W581" i="7"/>
  <c r="U581" i="7"/>
  <c r="AC581" i="7"/>
  <c r="Y280" i="7"/>
  <c r="W280" i="7"/>
  <c r="U280" i="7"/>
  <c r="AC280" i="7"/>
  <c r="Y845" i="7"/>
  <c r="W845" i="7"/>
  <c r="U845" i="7"/>
  <c r="AC845" i="7"/>
  <c r="Y631" i="7"/>
  <c r="W631" i="7"/>
  <c r="U631" i="7"/>
  <c r="AC631" i="7"/>
  <c r="Y690" i="7"/>
  <c r="W690" i="7"/>
  <c r="U690" i="7"/>
  <c r="AC690" i="7"/>
  <c r="Y363" i="7"/>
  <c r="W363" i="7"/>
  <c r="U363" i="7"/>
  <c r="AC363" i="7"/>
  <c r="Y350" i="7"/>
  <c r="W350" i="7"/>
  <c r="U350" i="7"/>
  <c r="AC350" i="7"/>
  <c r="Y72" i="7"/>
  <c r="W72" i="7"/>
  <c r="U72" i="7"/>
  <c r="AC72" i="7"/>
  <c r="Y381" i="7"/>
  <c r="W381" i="7"/>
  <c r="U381" i="7"/>
  <c r="AC381" i="7"/>
  <c r="Y595" i="7"/>
  <c r="W595" i="7"/>
  <c r="U595" i="7"/>
  <c r="AC595" i="7"/>
  <c r="Y347" i="7"/>
  <c r="W347" i="7"/>
  <c r="U347" i="7"/>
  <c r="AC347" i="7"/>
  <c r="Y864" i="7"/>
  <c r="W864" i="7"/>
  <c r="U864" i="7"/>
  <c r="AC864" i="7"/>
  <c r="Y832" i="7"/>
  <c r="W832" i="7"/>
  <c r="U832" i="7"/>
  <c r="AC832" i="7"/>
  <c r="Y248" i="7"/>
  <c r="W248" i="7"/>
  <c r="U248" i="7"/>
  <c r="AC248" i="7"/>
  <c r="Y90" i="7"/>
  <c r="W90" i="7"/>
  <c r="U90" i="7"/>
  <c r="AC90" i="7"/>
  <c r="Y877" i="7"/>
  <c r="W877" i="7"/>
  <c r="U877" i="7"/>
  <c r="AC877" i="7"/>
  <c r="Y1058" i="7"/>
  <c r="W1058" i="7"/>
  <c r="U1058" i="7"/>
  <c r="AC1058" i="7"/>
  <c r="Y140" i="7"/>
  <c r="W140" i="7"/>
  <c r="U140" i="7"/>
  <c r="AC140" i="7"/>
  <c r="Y950" i="7"/>
  <c r="W950" i="7"/>
  <c r="U950" i="7"/>
  <c r="AC950" i="7"/>
  <c r="Y371" i="7"/>
  <c r="W371" i="7"/>
  <c r="U371" i="7"/>
  <c r="AC371" i="7"/>
  <c r="Y835" i="7"/>
  <c r="W835" i="7"/>
  <c r="U835" i="7"/>
  <c r="AC835" i="7"/>
  <c r="Y990" i="7"/>
  <c r="W990" i="7"/>
  <c r="U990" i="7"/>
  <c r="AC990" i="7"/>
  <c r="Y145" i="7"/>
  <c r="W145" i="7"/>
  <c r="U145" i="7"/>
  <c r="AC145" i="7"/>
  <c r="Y800" i="7"/>
  <c r="W800" i="7"/>
  <c r="U800" i="7"/>
  <c r="AC800" i="7"/>
  <c r="Y126" i="7"/>
  <c r="W126" i="7"/>
  <c r="U126" i="7"/>
  <c r="AC126" i="7"/>
  <c r="Y100" i="7"/>
  <c r="W100" i="7"/>
  <c r="U100" i="7"/>
  <c r="AC100" i="7"/>
  <c r="Y587" i="7"/>
  <c r="W587" i="7"/>
  <c r="U587" i="7"/>
  <c r="AC587" i="7"/>
  <c r="Y970" i="7"/>
  <c r="W970" i="7"/>
  <c r="U970" i="7"/>
  <c r="AC970" i="7"/>
  <c r="Y533" i="7"/>
  <c r="W533" i="7"/>
  <c r="U533" i="7"/>
  <c r="AC533" i="7"/>
  <c r="Y134" i="7"/>
  <c r="W134" i="7"/>
  <c r="U134" i="7"/>
  <c r="AC134" i="7"/>
  <c r="AF800" i="7"/>
  <c r="AG800" i="7"/>
  <c r="AE800" i="7"/>
  <c r="AF100" i="7"/>
  <c r="AG100" i="7"/>
  <c r="AE100" i="7"/>
  <c r="AG145" i="7"/>
  <c r="AF145" i="7"/>
  <c r="AE145" i="7"/>
  <c r="AF835" i="7"/>
  <c r="AG835" i="7"/>
  <c r="AE835" i="7"/>
  <c r="AF140" i="7"/>
  <c r="AG140" i="7"/>
  <c r="AE140" i="7"/>
  <c r="AF877" i="7"/>
  <c r="AG877" i="7"/>
  <c r="AE877" i="7"/>
  <c r="AG832" i="7"/>
  <c r="AF832" i="7"/>
  <c r="AE832" i="7"/>
  <c r="AG381" i="7"/>
  <c r="AF381" i="7"/>
  <c r="AE381" i="7"/>
  <c r="AF350" i="7"/>
  <c r="AG350" i="7"/>
  <c r="AE350" i="7"/>
  <c r="AF631" i="7"/>
  <c r="AG631" i="7"/>
  <c r="AE631" i="7"/>
  <c r="AG171" i="7"/>
  <c r="AF171" i="7"/>
  <c r="AE171" i="7"/>
  <c r="AF579" i="7"/>
  <c r="AG579" i="7"/>
  <c r="AE579" i="7"/>
  <c r="AF61" i="7"/>
  <c r="AG61" i="7"/>
  <c r="AE61" i="7"/>
  <c r="AF766" i="7"/>
  <c r="AG766" i="7"/>
  <c r="AE766" i="7"/>
  <c r="AG75" i="7"/>
  <c r="AF75" i="7"/>
  <c r="AE75" i="7"/>
  <c r="AF768" i="7"/>
  <c r="AG768" i="7"/>
  <c r="AE768" i="7"/>
  <c r="AF532" i="7"/>
  <c r="AG532" i="7"/>
  <c r="AE532" i="7"/>
  <c r="AG76" i="7"/>
  <c r="AF76" i="7"/>
  <c r="AE76" i="7"/>
  <c r="AF701" i="7"/>
  <c r="AG701" i="7"/>
  <c r="AE701" i="7"/>
  <c r="AG121" i="7"/>
  <c r="AF121" i="7"/>
  <c r="AE121" i="7"/>
  <c r="AG170" i="7"/>
  <c r="AF170" i="7"/>
  <c r="AE170" i="7"/>
  <c r="AF450" i="7"/>
  <c r="AG450" i="7"/>
  <c r="AE450" i="7"/>
  <c r="AG558" i="7"/>
  <c r="AF558" i="7"/>
  <c r="AE558" i="7"/>
  <c r="AF167" i="7"/>
  <c r="AG167" i="7"/>
  <c r="AE167" i="7"/>
  <c r="AG804" i="7"/>
  <c r="AF804" i="7"/>
  <c r="AE804" i="7"/>
  <c r="AF1047" i="7"/>
  <c r="AG1047" i="7"/>
  <c r="AE1047" i="7"/>
  <c r="AG583" i="7"/>
  <c r="AF583" i="7"/>
  <c r="AE583" i="7"/>
  <c r="AF613" i="7"/>
  <c r="AG613" i="7"/>
  <c r="AE613" i="7"/>
  <c r="AF615" i="7"/>
  <c r="AG615" i="7"/>
  <c r="AE615" i="7"/>
  <c r="AF731" i="7"/>
  <c r="AG731" i="7"/>
  <c r="AE731" i="7"/>
  <c r="AF851" i="7"/>
  <c r="AG851" i="7"/>
  <c r="AE851" i="7"/>
  <c r="AG623" i="7"/>
  <c r="AF623" i="7"/>
  <c r="AE623" i="7"/>
  <c r="AG153" i="7"/>
  <c r="AF153" i="7"/>
  <c r="AE153" i="7"/>
  <c r="AG760" i="7"/>
  <c r="AF760" i="7"/>
  <c r="AE760" i="7"/>
  <c r="AG433" i="7"/>
  <c r="AF433" i="7"/>
  <c r="AE433" i="7"/>
  <c r="AG671" i="7"/>
  <c r="AF671" i="7"/>
  <c r="AE671" i="7"/>
  <c r="AG752" i="7"/>
  <c r="AF752" i="7"/>
  <c r="AE752" i="7"/>
  <c r="AF396" i="7"/>
  <c r="AG396" i="7"/>
  <c r="AE396" i="7"/>
  <c r="AG869" i="7"/>
  <c r="AF869" i="7"/>
  <c r="AE869" i="7"/>
  <c r="AF1020" i="7"/>
  <c r="AG1020" i="7"/>
  <c r="AE1020" i="7"/>
  <c r="AG208" i="7"/>
  <c r="AF208" i="7"/>
  <c r="AE208" i="7"/>
  <c r="AF85" i="7"/>
  <c r="AG85" i="7"/>
  <c r="AE85" i="7"/>
  <c r="AF387" i="7"/>
  <c r="AG387" i="7"/>
  <c r="AE387" i="7"/>
  <c r="AF582" i="7"/>
  <c r="AG582" i="7"/>
  <c r="AE582" i="7"/>
  <c r="AG658" i="7"/>
  <c r="AF658" i="7"/>
  <c r="AE658" i="7"/>
  <c r="AF447" i="7"/>
  <c r="AG447" i="7"/>
  <c r="AE447" i="7"/>
  <c r="AF900" i="7"/>
  <c r="AG900" i="7"/>
  <c r="AE900" i="7"/>
  <c r="AG606" i="7"/>
  <c r="AF606" i="7"/>
  <c r="AE606" i="7"/>
  <c r="AG969" i="7"/>
  <c r="AE969" i="7"/>
  <c r="AF969" i="7"/>
  <c r="AF379" i="7"/>
  <c r="AG379" i="7"/>
  <c r="AE379" i="7"/>
  <c r="AF395" i="7"/>
  <c r="AG395" i="7"/>
  <c r="AE395" i="7"/>
  <c r="AG256" i="7"/>
  <c r="AF256" i="7"/>
  <c r="AE256" i="7"/>
  <c r="AG30" i="7"/>
  <c r="AF30" i="7"/>
  <c r="AE30" i="7"/>
  <c r="AF624" i="7"/>
  <c r="AG624" i="7"/>
  <c r="AE624" i="7"/>
  <c r="AG873" i="7"/>
  <c r="AF873" i="7"/>
  <c r="AE873" i="7"/>
  <c r="AG785" i="7"/>
  <c r="AF785" i="7"/>
  <c r="AE785" i="7"/>
  <c r="AF827" i="7"/>
  <c r="AG827" i="7"/>
  <c r="AE827" i="7"/>
  <c r="AG237" i="7"/>
  <c r="AF237" i="7"/>
  <c r="AE237" i="7"/>
  <c r="AG660" i="7"/>
  <c r="AF660" i="7"/>
  <c r="AE660" i="7"/>
  <c r="AG510" i="7"/>
  <c r="AF510" i="7"/>
  <c r="AE510" i="7"/>
  <c r="AG885" i="7"/>
  <c r="AF885" i="7"/>
  <c r="AE885" i="7"/>
  <c r="AF311" i="7"/>
  <c r="AG311" i="7"/>
  <c r="AE311" i="7"/>
  <c r="AF152" i="7"/>
  <c r="AG152" i="7"/>
  <c r="AE152" i="7"/>
  <c r="AF497" i="7"/>
  <c r="AG497" i="7"/>
  <c r="AE497" i="7"/>
  <c r="AF984" i="7"/>
  <c r="AG984" i="7"/>
  <c r="AE984" i="7"/>
  <c r="AF505" i="7"/>
  <c r="AG505" i="7"/>
  <c r="AE505" i="7"/>
  <c r="AG712" i="7"/>
  <c r="AF712" i="7"/>
  <c r="AE712" i="7"/>
  <c r="AF890" i="7"/>
  <c r="AG890" i="7"/>
  <c r="AE890" i="7"/>
  <c r="AF614" i="7"/>
  <c r="AG614" i="7"/>
  <c r="AE614" i="7"/>
  <c r="AG357" i="7"/>
  <c r="AF357" i="7"/>
  <c r="AE357" i="7"/>
  <c r="AG191" i="7"/>
  <c r="AF191" i="7"/>
  <c r="AE191" i="7"/>
  <c r="AG368" i="7"/>
  <c r="AF368" i="7"/>
  <c r="AE368" i="7"/>
  <c r="AF541" i="7"/>
  <c r="AG541" i="7"/>
  <c r="AE541" i="7"/>
  <c r="AG349" i="7"/>
  <c r="AF349" i="7"/>
  <c r="AE349" i="7"/>
  <c r="AF887" i="7"/>
  <c r="AG887" i="7"/>
  <c r="AE887" i="7"/>
  <c r="AG717" i="7"/>
  <c r="AF717" i="7"/>
  <c r="AE717" i="7"/>
  <c r="AG1055" i="7"/>
  <c r="AF1055" i="7"/>
  <c r="AE1055" i="7"/>
  <c r="AF146" i="7"/>
  <c r="AG146" i="7"/>
  <c r="AE146" i="7"/>
  <c r="AG36" i="7"/>
  <c r="AF36" i="7"/>
  <c r="AE36" i="7"/>
  <c r="AF365" i="7"/>
  <c r="AG365" i="7"/>
  <c r="AE365" i="7"/>
  <c r="AG120" i="7"/>
  <c r="AF120" i="7"/>
  <c r="AE120" i="7"/>
  <c r="AF44" i="7"/>
  <c r="AG44" i="7"/>
  <c r="AE44" i="7"/>
  <c r="AF297" i="7"/>
  <c r="AG297" i="7"/>
  <c r="AE297" i="7"/>
  <c r="AF198" i="7"/>
  <c r="AG198" i="7"/>
  <c r="AE198" i="7"/>
  <c r="AF949" i="7"/>
  <c r="AG949" i="7"/>
  <c r="AE949" i="7"/>
  <c r="AG554" i="7"/>
  <c r="AF554" i="7"/>
  <c r="AE554" i="7"/>
  <c r="AF86" i="7"/>
  <c r="AG86" i="7"/>
  <c r="AE86" i="7"/>
  <c r="AG629" i="7"/>
  <c r="AF629" i="7"/>
  <c r="AE629" i="7"/>
  <c r="AF548" i="7"/>
  <c r="AG548" i="7"/>
  <c r="AE548" i="7"/>
  <c r="AG1062" i="7"/>
  <c r="AF1062" i="7"/>
  <c r="AE1062" i="7"/>
  <c r="AG39" i="7"/>
  <c r="AF39" i="7"/>
  <c r="AE39" i="7"/>
  <c r="AG642" i="7"/>
  <c r="AF642" i="7"/>
  <c r="AE642" i="7"/>
  <c r="AF609" i="7"/>
  <c r="AG609" i="7"/>
  <c r="AE609" i="7"/>
  <c r="AF51" i="7"/>
  <c r="AG51" i="7"/>
  <c r="AE51" i="7"/>
  <c r="AG507" i="7"/>
  <c r="AF507" i="7"/>
  <c r="AE507" i="7"/>
  <c r="AF1031" i="7"/>
  <c r="AG1031" i="7"/>
  <c r="AE1031" i="7"/>
  <c r="AF744" i="7"/>
  <c r="AG744" i="7"/>
  <c r="AE744" i="7"/>
  <c r="AG16" i="7"/>
  <c r="AF16" i="7"/>
  <c r="AE16" i="7"/>
  <c r="AG375" i="7"/>
  <c r="AF375" i="7"/>
  <c r="AE375" i="7"/>
  <c r="AF668" i="7"/>
  <c r="AG668" i="7"/>
  <c r="AE668" i="7"/>
  <c r="AG981" i="7"/>
  <c r="AF981" i="7"/>
  <c r="AE981" i="7"/>
  <c r="AF664" i="7"/>
  <c r="AG664" i="7"/>
  <c r="AE664" i="7"/>
  <c r="AG978" i="7"/>
  <c r="AF978" i="7"/>
  <c r="AE978" i="7"/>
  <c r="AG958" i="7"/>
  <c r="AF958" i="7"/>
  <c r="AE958" i="7"/>
  <c r="AF234" i="7"/>
  <c r="AG234" i="7"/>
  <c r="AE234" i="7"/>
  <c r="AG454" i="7"/>
  <c r="AF454" i="7"/>
  <c r="AE454" i="7"/>
  <c r="AG527" i="7"/>
  <c r="AF527" i="7"/>
  <c r="AE527" i="7"/>
  <c r="AG232" i="7"/>
  <c r="AF232" i="7"/>
  <c r="AE232" i="7"/>
  <c r="AG213" i="7"/>
  <c r="AF213" i="7"/>
  <c r="AE213" i="7"/>
  <c r="AF134" i="7"/>
  <c r="AG134" i="7"/>
  <c r="AE134" i="7"/>
  <c r="AG533" i="7"/>
  <c r="AF533" i="7"/>
  <c r="AE533" i="7"/>
  <c r="AF126" i="7"/>
  <c r="AG126" i="7"/>
  <c r="AE126" i="7"/>
  <c r="AG371" i="7"/>
  <c r="AF371" i="7"/>
  <c r="AE371" i="7"/>
  <c r="AG90" i="7"/>
  <c r="AF90" i="7"/>
  <c r="AE90" i="7"/>
  <c r="AF864" i="7"/>
  <c r="AG864" i="7"/>
  <c r="AE864" i="7"/>
  <c r="AG845" i="7"/>
  <c r="AF845" i="7"/>
  <c r="AE845" i="7"/>
  <c r="AG710" i="7"/>
  <c r="AF710" i="7"/>
  <c r="AE710" i="7"/>
  <c r="AF630" i="7"/>
  <c r="AG630" i="7"/>
  <c r="AE630" i="7"/>
  <c r="AF906" i="7"/>
  <c r="AG906" i="7"/>
  <c r="AE906" i="7"/>
  <c r="AF341" i="7"/>
  <c r="AG341" i="7"/>
  <c r="AE341" i="7"/>
  <c r="AG245" i="7"/>
  <c r="AF245" i="7"/>
  <c r="AE245" i="7"/>
  <c r="AF273" i="7"/>
  <c r="AG273" i="7"/>
  <c r="AE273" i="7"/>
  <c r="AF940" i="7"/>
  <c r="AG940" i="7"/>
  <c r="AE940" i="7"/>
  <c r="AF956" i="7"/>
  <c r="AG956" i="7"/>
  <c r="AE956" i="7"/>
  <c r="AF43" i="7"/>
  <c r="AG43" i="7"/>
  <c r="AE43" i="7"/>
  <c r="AF605" i="7"/>
  <c r="AG605" i="7"/>
  <c r="AE605" i="7"/>
  <c r="AG777" i="7"/>
  <c r="AF777" i="7"/>
  <c r="AE777" i="7"/>
  <c r="AG522" i="7"/>
  <c r="AF522" i="7"/>
  <c r="AE522" i="7"/>
  <c r="AF172" i="7"/>
  <c r="AG172" i="7"/>
  <c r="AE172" i="7"/>
  <c r="AG546" i="7"/>
  <c r="AF546" i="7"/>
  <c r="AE546" i="7"/>
  <c r="AF183" i="7"/>
  <c r="AG183" i="7"/>
  <c r="AE183" i="7"/>
  <c r="AF540" i="7"/>
  <c r="AG540" i="7"/>
  <c r="AE540" i="7"/>
  <c r="AG1046" i="7"/>
  <c r="AF1046" i="7"/>
  <c r="AE1046" i="7"/>
  <c r="AG253" i="7"/>
  <c r="AF253" i="7"/>
  <c r="AE253" i="7"/>
  <c r="AG319" i="7"/>
  <c r="AF319" i="7"/>
  <c r="AE319" i="7"/>
  <c r="AF961" i="7"/>
  <c r="AG961" i="7"/>
  <c r="AE961" i="7"/>
  <c r="AF177" i="7"/>
  <c r="AG177" i="7"/>
  <c r="AE177" i="7"/>
  <c r="AG1063" i="7"/>
  <c r="AF1063" i="7"/>
  <c r="AE1063" i="7"/>
  <c r="AG670" i="7"/>
  <c r="AF670" i="7"/>
  <c r="AE670" i="7"/>
  <c r="AG858" i="7"/>
  <c r="AF858" i="7"/>
  <c r="AE858" i="7"/>
  <c r="AG742" i="7"/>
  <c r="AF742" i="7"/>
  <c r="AE742" i="7"/>
  <c r="AF394" i="7"/>
  <c r="AG394" i="7"/>
  <c r="AE394" i="7"/>
  <c r="AF116" i="7"/>
  <c r="AG116" i="7"/>
  <c r="AE116" i="7"/>
  <c r="AF229" i="7"/>
  <c r="AG229" i="7"/>
  <c r="AE229" i="7"/>
  <c r="AF372" i="7"/>
  <c r="AG372" i="7"/>
  <c r="AE372" i="7"/>
  <c r="AF203" i="7"/>
  <c r="AG203" i="7"/>
  <c r="AE203" i="7"/>
  <c r="AF489" i="7"/>
  <c r="AG489" i="7"/>
  <c r="AE489" i="7"/>
  <c r="AF650" i="7"/>
  <c r="AG650" i="7"/>
  <c r="AE650" i="7"/>
  <c r="AF290" i="7"/>
  <c r="AG290" i="7"/>
  <c r="AE290" i="7"/>
  <c r="AF790" i="7"/>
  <c r="AG790" i="7"/>
  <c r="AE790" i="7"/>
  <c r="AG206" i="7"/>
  <c r="AF206" i="7"/>
  <c r="AE206" i="7"/>
  <c r="AG415" i="7"/>
  <c r="AF415" i="7"/>
  <c r="AE415" i="7"/>
  <c r="AG549" i="7"/>
  <c r="AF549" i="7"/>
  <c r="AE549" i="7"/>
  <c r="AF439" i="7"/>
  <c r="AG439" i="7"/>
  <c r="AE439" i="7"/>
  <c r="AF156" i="7"/>
  <c r="AG156" i="7"/>
  <c r="AE156" i="7"/>
  <c r="AG925" i="7"/>
  <c r="AF925" i="7"/>
  <c r="AE925" i="7"/>
  <c r="AG537" i="7"/>
  <c r="AF537" i="7"/>
  <c r="AE537" i="7"/>
  <c r="AG525" i="7"/>
  <c r="AF525" i="7"/>
  <c r="AE525" i="7"/>
  <c r="AF190" i="7"/>
  <c r="AG190" i="7"/>
  <c r="AE190" i="7"/>
  <c r="AF1027" i="7"/>
  <c r="AG1027" i="7"/>
  <c r="AE1027" i="7"/>
  <c r="AF673" i="7"/>
  <c r="AG673" i="7"/>
  <c r="AE673" i="7"/>
  <c r="AG369" i="7"/>
  <c r="AF369" i="7"/>
  <c r="AE369" i="7"/>
  <c r="AF853" i="7"/>
  <c r="AG853" i="7"/>
  <c r="AE853" i="7"/>
  <c r="AF573" i="7"/>
  <c r="AG573" i="7"/>
  <c r="AE573" i="7"/>
  <c r="AG326" i="7"/>
  <c r="AF326" i="7"/>
  <c r="AE326" i="7"/>
  <c r="AG515" i="7"/>
  <c r="AF515" i="7"/>
  <c r="AE515" i="7"/>
  <c r="AF252" i="7"/>
  <c r="AG252" i="7"/>
  <c r="AE252" i="7"/>
  <c r="AG128" i="7"/>
  <c r="AF128" i="7"/>
  <c r="AE128" i="7"/>
  <c r="AG161" i="7"/>
  <c r="AF161" i="7"/>
  <c r="AE161" i="7"/>
  <c r="AG1059" i="7"/>
  <c r="AF1059" i="7"/>
  <c r="AE1059" i="7"/>
  <c r="AF260" i="7"/>
  <c r="AG260" i="7"/>
  <c r="AE260" i="7"/>
  <c r="AG993" i="7"/>
  <c r="AF993" i="7"/>
  <c r="AE993" i="7"/>
  <c r="AG162" i="7"/>
  <c r="AF162" i="7"/>
  <c r="AE162" i="7"/>
  <c r="AF1004" i="7"/>
  <c r="AG1004" i="7"/>
  <c r="AE1004" i="7"/>
  <c r="AF875" i="7"/>
  <c r="AG875" i="7"/>
  <c r="AE875" i="7"/>
  <c r="AF626" i="7"/>
  <c r="AG626" i="7"/>
  <c r="AE626" i="7"/>
  <c r="AG659" i="7"/>
  <c r="AF659" i="7"/>
  <c r="AE659" i="7"/>
  <c r="AG872" i="7"/>
  <c r="AF872" i="7"/>
  <c r="AE872" i="7"/>
  <c r="AG863" i="7"/>
  <c r="AF863" i="7"/>
  <c r="AE863" i="7"/>
  <c r="AG715" i="7"/>
  <c r="AF715" i="7"/>
  <c r="AE715" i="7"/>
  <c r="AF327" i="7"/>
  <c r="AG327" i="7"/>
  <c r="AE327" i="7"/>
  <c r="AG499" i="7"/>
  <c r="AF499" i="7"/>
  <c r="AE499" i="7"/>
  <c r="AG684" i="7"/>
  <c r="AF684" i="7"/>
  <c r="AE684" i="7"/>
  <c r="AF442" i="7"/>
  <c r="AG442" i="7"/>
  <c r="AE442" i="7"/>
  <c r="AF920" i="7"/>
  <c r="AG920" i="7"/>
  <c r="AE920" i="7"/>
  <c r="AF186" i="7"/>
  <c r="AG186" i="7"/>
  <c r="AE186" i="7"/>
  <c r="AF494" i="7"/>
  <c r="AG494" i="7"/>
  <c r="AE494" i="7"/>
  <c r="AG466" i="7"/>
  <c r="AF466" i="7"/>
  <c r="AE466" i="7"/>
  <c r="AF380" i="7"/>
  <c r="AG380" i="7"/>
  <c r="AE380" i="7"/>
  <c r="AF520" i="7"/>
  <c r="AG520" i="7"/>
  <c r="AE520" i="7"/>
  <c r="AF597" i="7"/>
  <c r="AG597" i="7"/>
  <c r="AE597" i="7"/>
  <c r="AG414" i="7"/>
  <c r="AF414" i="7"/>
  <c r="AE414" i="7"/>
  <c r="AF687" i="7"/>
  <c r="AE687" i="7"/>
  <c r="AG687" i="7"/>
  <c r="AF488" i="7"/>
  <c r="AG488" i="7"/>
  <c r="AE488" i="7"/>
  <c r="AG21" i="7"/>
  <c r="AF21" i="7"/>
  <c r="AE21" i="7"/>
  <c r="AG966" i="7"/>
  <c r="AF966" i="7"/>
  <c r="AE966" i="7"/>
  <c r="AF917" i="7"/>
  <c r="AG917" i="7"/>
  <c r="AE917" i="7"/>
  <c r="AG698" i="7"/>
  <c r="AF698" i="7"/>
  <c r="AE698" i="7"/>
  <c r="AG523" i="7"/>
  <c r="AF523" i="7"/>
  <c r="AE523" i="7"/>
  <c r="AF939" i="7"/>
  <c r="AG939" i="7"/>
  <c r="AE939" i="7"/>
  <c r="AG617" i="7"/>
  <c r="AF617" i="7"/>
  <c r="AE617" i="7"/>
  <c r="AF220" i="7"/>
  <c r="AG220" i="7"/>
  <c r="AE220" i="7"/>
  <c r="AF427" i="7"/>
  <c r="AG427" i="7"/>
  <c r="AE427" i="7"/>
  <c r="AG960" i="7"/>
  <c r="AF960" i="7"/>
  <c r="AE960" i="7"/>
  <c r="AF898" i="7"/>
  <c r="AG898" i="7"/>
  <c r="AE898" i="7"/>
  <c r="AF437" i="7"/>
  <c r="AG437" i="7"/>
  <c r="AE437" i="7"/>
  <c r="AG12" i="7"/>
  <c r="AF12" i="7"/>
  <c r="AE12" i="7"/>
  <c r="AF578" i="7"/>
  <c r="AG578" i="7"/>
  <c r="AE578" i="7"/>
  <c r="AG71" i="7"/>
  <c r="AF71" i="7"/>
  <c r="AE71" i="7"/>
  <c r="AG948" i="7"/>
  <c r="AF948" i="7"/>
  <c r="AE948" i="7"/>
  <c r="AG758" i="7"/>
  <c r="AF758" i="7"/>
  <c r="AE758" i="7"/>
  <c r="AF555" i="7"/>
  <c r="AG555" i="7"/>
  <c r="AE555" i="7"/>
  <c r="AG38" i="7"/>
  <c r="AF38" i="7"/>
  <c r="AE38" i="7"/>
  <c r="AF141" i="7"/>
  <c r="AG141" i="7"/>
  <c r="AE141" i="7"/>
  <c r="AF1008" i="7"/>
  <c r="AG1008" i="7"/>
  <c r="AE1008" i="7"/>
  <c r="AG970" i="7"/>
  <c r="AF970" i="7"/>
  <c r="AE970" i="7"/>
  <c r="AG990" i="7"/>
  <c r="AF990" i="7"/>
  <c r="AE990" i="7"/>
  <c r="AG1058" i="7"/>
  <c r="AF1058" i="7"/>
  <c r="AE1058" i="7"/>
  <c r="AG347" i="7"/>
  <c r="AF347" i="7"/>
  <c r="AE347" i="7"/>
  <c r="AG72" i="7"/>
  <c r="AF72" i="7"/>
  <c r="AE72" i="7"/>
  <c r="AF363" i="7"/>
  <c r="AG363" i="7"/>
  <c r="AE363" i="7"/>
  <c r="AF280" i="7"/>
  <c r="AG280" i="7"/>
  <c r="AE280" i="7"/>
  <c r="AF996" i="7"/>
  <c r="AG996" i="7"/>
  <c r="AE996" i="7"/>
  <c r="AG355" i="7"/>
  <c r="AF355" i="7"/>
  <c r="AE355" i="7"/>
  <c r="AF679" i="7"/>
  <c r="AG679" i="7"/>
  <c r="AE679" i="7"/>
  <c r="AF638" i="7"/>
  <c r="AG638" i="7"/>
  <c r="AE638" i="7"/>
  <c r="AF931" i="7"/>
  <c r="AG931" i="7"/>
  <c r="AE931" i="7"/>
  <c r="AG175" i="7"/>
  <c r="AF175" i="7"/>
  <c r="AE175" i="7"/>
  <c r="AF677" i="7"/>
  <c r="AG677" i="7"/>
  <c r="AE677" i="7"/>
  <c r="AG1028" i="7"/>
  <c r="AF1028" i="7"/>
  <c r="AE1028" i="7"/>
  <c r="AF788" i="7"/>
  <c r="AG788" i="7"/>
  <c r="AE788" i="7"/>
  <c r="AF422" i="7"/>
  <c r="AG422" i="7"/>
  <c r="AE422" i="7"/>
  <c r="AF933" i="7"/>
  <c r="AG933" i="7"/>
  <c r="AE933" i="7"/>
  <c r="AF954" i="7"/>
  <c r="AG954" i="7"/>
  <c r="AE954" i="7"/>
  <c r="AF1011" i="7"/>
  <c r="AG1011" i="7"/>
  <c r="AE1011" i="7"/>
  <c r="AG750" i="7"/>
  <c r="AF750" i="7"/>
  <c r="AE750" i="7"/>
  <c r="AG780" i="7"/>
  <c r="AF780" i="7"/>
  <c r="AE780" i="7"/>
  <c r="AF574" i="7"/>
  <c r="AG574" i="7"/>
  <c r="AE574" i="7"/>
  <c r="AF474" i="7"/>
  <c r="AG474" i="7"/>
  <c r="AE474" i="7"/>
  <c r="AF244" i="7"/>
  <c r="AG244" i="7"/>
  <c r="AE244" i="7"/>
  <c r="AG392" i="7"/>
  <c r="AF392" i="7"/>
  <c r="AE392" i="7"/>
  <c r="AG211" i="7"/>
  <c r="AF211" i="7"/>
  <c r="AE211" i="7"/>
  <c r="AG185" i="7"/>
  <c r="AF185" i="7"/>
  <c r="AE185" i="7"/>
  <c r="AF951" i="7"/>
  <c r="AG951" i="7"/>
  <c r="AE951" i="7"/>
  <c r="AG921" i="7"/>
  <c r="AF921" i="7"/>
  <c r="AE921" i="7"/>
  <c r="AF139" i="7"/>
  <c r="AG139" i="7"/>
  <c r="AE139" i="7"/>
  <c r="AF332" i="7"/>
  <c r="AG332" i="7"/>
  <c r="AE332" i="7"/>
  <c r="AG344" i="7"/>
  <c r="AF344" i="7"/>
  <c r="AE344" i="7"/>
  <c r="AG227" i="7"/>
  <c r="AF227" i="7"/>
  <c r="AE227" i="7"/>
  <c r="AF53" i="7"/>
  <c r="AG53" i="7"/>
  <c r="AE53" i="7"/>
  <c r="AF695" i="7"/>
  <c r="AG695" i="7"/>
  <c r="AE695" i="7"/>
  <c r="AF1056" i="7"/>
  <c r="AG1056" i="7"/>
  <c r="AE1056" i="7"/>
  <c r="AG410" i="7"/>
  <c r="AF410" i="7"/>
  <c r="AE410" i="7"/>
  <c r="AF813" i="7"/>
  <c r="AG813" i="7"/>
  <c r="AE813" i="7"/>
  <c r="AF288" i="7"/>
  <c r="AG288" i="7"/>
  <c r="AE288" i="7"/>
  <c r="AF378" i="7"/>
  <c r="AG378" i="7"/>
  <c r="AE378" i="7"/>
  <c r="AG479" i="7"/>
  <c r="AF479" i="7"/>
  <c r="AE479" i="7"/>
  <c r="AF122" i="7"/>
  <c r="AG122" i="7"/>
  <c r="AE122" i="7"/>
  <c r="AF322" i="7"/>
  <c r="AG322" i="7"/>
  <c r="AE322" i="7"/>
  <c r="AF331" i="7"/>
  <c r="AG331" i="7"/>
  <c r="AE331" i="7"/>
  <c r="AF281" i="7"/>
  <c r="AG281" i="7"/>
  <c r="AE281" i="7"/>
  <c r="AG534" i="7"/>
  <c r="AF534" i="7"/>
  <c r="AE534" i="7"/>
  <c r="AF434" i="7"/>
  <c r="AG434" i="7"/>
  <c r="AE434" i="7"/>
  <c r="AF654" i="7"/>
  <c r="AG654" i="7"/>
  <c r="AE654" i="7"/>
  <c r="AG913" i="7"/>
  <c r="AF913" i="7"/>
  <c r="AE913" i="7"/>
  <c r="AF383" i="7"/>
  <c r="AG383" i="7"/>
  <c r="AE383" i="7"/>
  <c r="AG463" i="7"/>
  <c r="AF463" i="7"/>
  <c r="AE463" i="7"/>
  <c r="AG854" i="7"/>
  <c r="AF854" i="7"/>
  <c r="AE854" i="7"/>
  <c r="AF483" i="7"/>
  <c r="AG483" i="7"/>
  <c r="AE483" i="7"/>
  <c r="AF674" i="7"/>
  <c r="AG674" i="7"/>
  <c r="AE674" i="7"/>
  <c r="AF209" i="7"/>
  <c r="AG209" i="7"/>
  <c r="AE209" i="7"/>
  <c r="AG24" i="7"/>
  <c r="AF24" i="7"/>
  <c r="AE24" i="7"/>
  <c r="AF201" i="7"/>
  <c r="AG201" i="7"/>
  <c r="AE201" i="7"/>
  <c r="AG739" i="7"/>
  <c r="AF739" i="7"/>
  <c r="AE739" i="7"/>
  <c r="AF492" i="7"/>
  <c r="AG492" i="7"/>
  <c r="AE492" i="7"/>
  <c r="AF669" i="7"/>
  <c r="AG669" i="7"/>
  <c r="AE669" i="7"/>
  <c r="AF530" i="7"/>
  <c r="AG530" i="7"/>
  <c r="AE530" i="7"/>
  <c r="AF866" i="7"/>
  <c r="AG866" i="7"/>
  <c r="AE866" i="7"/>
  <c r="AF893" i="7"/>
  <c r="AG893" i="7"/>
  <c r="AE893" i="7"/>
  <c r="AG257" i="7"/>
  <c r="AF257" i="7"/>
  <c r="AE257" i="7"/>
  <c r="AG255" i="7"/>
  <c r="AF255" i="7"/>
  <c r="AE255" i="7"/>
  <c r="AG313" i="7"/>
  <c r="AF313" i="7"/>
  <c r="AE313" i="7"/>
  <c r="AF987" i="7"/>
  <c r="AG987" i="7"/>
  <c r="AE987" i="7"/>
  <c r="AF685" i="7"/>
  <c r="AG685" i="7"/>
  <c r="AE685" i="7"/>
  <c r="AF787" i="7"/>
  <c r="AG787" i="7"/>
  <c r="AE787" i="7"/>
  <c r="AF150" i="7"/>
  <c r="AG150" i="7"/>
  <c r="AE150" i="7"/>
  <c r="AF142" i="7"/>
  <c r="AG142" i="7"/>
  <c r="AE142" i="7"/>
  <c r="AG730" i="7"/>
  <c r="AF730" i="7"/>
  <c r="AE730" i="7"/>
  <c r="AF926" i="7"/>
  <c r="AG926" i="7"/>
  <c r="AE926" i="7"/>
  <c r="AF215" i="7"/>
  <c r="AG215" i="7"/>
  <c r="AE215" i="7"/>
  <c r="AG600" i="7"/>
  <c r="AF600" i="7"/>
  <c r="AE600" i="7"/>
  <c r="AG538" i="7"/>
  <c r="AF538" i="7"/>
  <c r="AE538" i="7"/>
  <c r="AG682" i="7"/>
  <c r="AF682" i="7"/>
  <c r="AE682" i="7"/>
  <c r="AG697" i="7"/>
  <c r="AF697" i="7"/>
  <c r="AE697" i="7"/>
  <c r="AF941" i="7"/>
  <c r="AG941" i="7"/>
  <c r="AE941" i="7"/>
  <c r="AF149" i="7"/>
  <c r="AG149" i="7"/>
  <c r="AE149" i="7"/>
  <c r="AG584" i="7"/>
  <c r="AF584" i="7"/>
  <c r="AE584" i="7"/>
  <c r="AG856" i="7"/>
  <c r="AF856" i="7"/>
  <c r="AE856" i="7"/>
  <c r="AG385" i="7"/>
  <c r="AF385" i="7"/>
  <c r="AE385" i="7"/>
  <c r="AG839" i="7"/>
  <c r="AF839" i="7"/>
  <c r="AE839" i="7"/>
  <c r="AG265" i="7"/>
  <c r="AF265" i="7"/>
  <c r="AE265" i="7"/>
  <c r="AF80" i="7"/>
  <c r="AG80" i="7"/>
  <c r="AE80" i="7"/>
  <c r="AF812" i="7"/>
  <c r="AE812" i="7"/>
  <c r="AG812" i="7"/>
  <c r="AF568" i="7"/>
  <c r="AG568" i="7"/>
  <c r="AE568" i="7"/>
  <c r="AF571" i="7"/>
  <c r="AG571" i="7"/>
  <c r="AE571" i="7"/>
  <c r="AG299" i="7"/>
  <c r="AF299" i="7"/>
  <c r="AE299" i="7"/>
  <c r="AF1023" i="7"/>
  <c r="AG1023" i="7"/>
  <c r="AE1023" i="7"/>
  <c r="AF886" i="7"/>
  <c r="AG886" i="7"/>
  <c r="AE886" i="7"/>
  <c r="AG329" i="7"/>
  <c r="AF329" i="7"/>
  <c r="AE329" i="7"/>
  <c r="AF809" i="7"/>
  <c r="AG809" i="7"/>
  <c r="AE809" i="7"/>
  <c r="AF662" i="7"/>
  <c r="AG662" i="7"/>
  <c r="AE662" i="7"/>
  <c r="AG1061" i="7"/>
  <c r="AF1061" i="7"/>
  <c r="AE1061" i="7"/>
  <c r="AF796" i="7"/>
  <c r="AG796" i="7"/>
  <c r="AE796" i="7"/>
  <c r="AG805" i="7"/>
  <c r="AF805" i="7"/>
  <c r="AE805" i="7"/>
  <c r="AF971" i="7"/>
  <c r="AG971" i="7"/>
  <c r="AE971" i="7"/>
  <c r="AG200" i="7"/>
  <c r="AF200" i="7"/>
  <c r="AE200" i="7"/>
  <c r="AG1045" i="7"/>
  <c r="AF1045" i="7"/>
  <c r="AE1045" i="7"/>
  <c r="AF602" i="7"/>
  <c r="AG602" i="7"/>
  <c r="AE602" i="7"/>
  <c r="AF968" i="7"/>
  <c r="AG968" i="7"/>
  <c r="AE968" i="7"/>
  <c r="AF982" i="7"/>
  <c r="AG982" i="7"/>
  <c r="AE982" i="7"/>
  <c r="AF561" i="7"/>
  <c r="AG561" i="7"/>
  <c r="AE561" i="7"/>
  <c r="AF254" i="7"/>
  <c r="AG254" i="7"/>
  <c r="AE254" i="7"/>
  <c r="AF587" i="7"/>
  <c r="AG587" i="7"/>
  <c r="AE587" i="7"/>
  <c r="AF950" i="7"/>
  <c r="AG950" i="7"/>
  <c r="AE950" i="7"/>
  <c r="AG248" i="7"/>
  <c r="AF248" i="7"/>
  <c r="AE248" i="7"/>
  <c r="AG595" i="7"/>
  <c r="AF595" i="7"/>
  <c r="AE595" i="7"/>
  <c r="AF690" i="7"/>
  <c r="AG690" i="7"/>
  <c r="AE690" i="7"/>
  <c r="AG581" i="7"/>
  <c r="AF581" i="7"/>
  <c r="AE581" i="7"/>
  <c r="AG129" i="7"/>
  <c r="AF129" i="7"/>
  <c r="AE129" i="7"/>
  <c r="AF508" i="7"/>
  <c r="AG508" i="7"/>
  <c r="AE508" i="7"/>
  <c r="AF240" i="7"/>
  <c r="AG240" i="7"/>
  <c r="AE240" i="7"/>
  <c r="AG634" i="7"/>
  <c r="AF634" i="7"/>
  <c r="AE634" i="7"/>
  <c r="AF405" i="7"/>
  <c r="AG405" i="7"/>
  <c r="AE405" i="7"/>
  <c r="AG358" i="7"/>
  <c r="AF358" i="7"/>
  <c r="AE358" i="7"/>
  <c r="AG616" i="7"/>
  <c r="AF616" i="7"/>
  <c r="AE616" i="7"/>
  <c r="AF551" i="7"/>
  <c r="AG551" i="7"/>
  <c r="AE551" i="7"/>
  <c r="AG31" i="7"/>
  <c r="AF31" i="7"/>
  <c r="AE31" i="7"/>
  <c r="AF123" i="7"/>
  <c r="AG123" i="7"/>
  <c r="AE123" i="7"/>
  <c r="AF59" i="7"/>
  <c r="AG59" i="7"/>
  <c r="AE59" i="7"/>
  <c r="AG178" i="7"/>
  <c r="AF178" i="7"/>
  <c r="AE178" i="7"/>
  <c r="AF693" i="7"/>
  <c r="AG693" i="7"/>
  <c r="AE693" i="7"/>
  <c r="AG397" i="7"/>
  <c r="AF397" i="7"/>
  <c r="AE397" i="7"/>
  <c r="AG1007" i="7"/>
  <c r="AF1007" i="7"/>
  <c r="AE1007" i="7"/>
  <c r="AG518" i="7"/>
  <c r="AF518" i="7"/>
  <c r="AE518" i="7"/>
  <c r="AG147" i="7"/>
  <c r="AF147" i="7"/>
  <c r="AE147" i="7"/>
  <c r="AF402" i="7"/>
  <c r="AG402" i="7"/>
  <c r="AE402" i="7"/>
  <c r="AF330" i="7"/>
  <c r="AG330" i="7"/>
  <c r="AE330" i="7"/>
  <c r="AG74" i="7"/>
  <c r="AF74" i="7"/>
  <c r="AE74" i="7"/>
  <c r="AF590" i="7"/>
  <c r="AG590" i="7"/>
  <c r="AE590" i="7"/>
  <c r="AF720" i="7"/>
  <c r="AG720" i="7"/>
  <c r="AE720" i="7"/>
  <c r="AF867" i="7"/>
  <c r="AG867" i="7"/>
  <c r="AE867" i="7"/>
  <c r="AG793" i="7"/>
  <c r="AF793" i="7"/>
  <c r="AE793" i="7"/>
  <c r="AG188" i="7"/>
  <c r="AF188" i="7"/>
  <c r="AE188" i="7"/>
  <c r="AF803" i="7"/>
  <c r="AG803" i="7"/>
  <c r="AE803" i="7"/>
  <c r="AG364" i="7"/>
  <c r="AF364" i="7"/>
  <c r="AE364" i="7"/>
  <c r="AF451" i="7"/>
  <c r="AG451" i="7"/>
  <c r="AE451" i="7"/>
  <c r="AG903" i="7"/>
  <c r="AF903" i="7"/>
  <c r="AE903" i="7"/>
  <c r="AG352" i="7"/>
  <c r="AF352" i="7"/>
  <c r="AE352" i="7"/>
  <c r="AG771" i="7"/>
  <c r="AF771" i="7"/>
  <c r="AE771" i="7"/>
  <c r="AG93" i="7"/>
  <c r="AF93" i="7"/>
  <c r="AE93" i="7"/>
  <c r="AF776" i="7"/>
  <c r="AG776" i="7"/>
  <c r="AE776" i="7"/>
  <c r="AG704" i="7"/>
  <c r="AF704" i="7"/>
  <c r="AE704" i="7"/>
  <c r="AG610" i="7"/>
  <c r="AF610" i="7"/>
  <c r="AE610" i="7"/>
  <c r="AG180" i="7"/>
  <c r="AF180" i="7"/>
  <c r="AE180" i="7"/>
  <c r="AG1030" i="7"/>
  <c r="AF1030" i="7"/>
  <c r="AE1030" i="7"/>
  <c r="AF270" i="7"/>
  <c r="AG270" i="7"/>
  <c r="AE270" i="7"/>
  <c r="AG843" i="7"/>
  <c r="AF843" i="7"/>
  <c r="AE843" i="7"/>
  <c r="AG938" i="7"/>
  <c r="AF938" i="7"/>
  <c r="AE938" i="7"/>
  <c r="AF934" i="7"/>
  <c r="AG934" i="7"/>
  <c r="AE934" i="7"/>
  <c r="AF747" i="7"/>
  <c r="AG747" i="7"/>
  <c r="AE747" i="7"/>
  <c r="AG707" i="7"/>
  <c r="AF707" i="7"/>
  <c r="AE707" i="7"/>
  <c r="AF848" i="7"/>
  <c r="AG848" i="7"/>
  <c r="AE848" i="7"/>
  <c r="AG289" i="7"/>
  <c r="AF289" i="7"/>
  <c r="AE289" i="7"/>
  <c r="AG458" i="7"/>
  <c r="AF458" i="7"/>
  <c r="AE458" i="7"/>
  <c r="AG449" i="7"/>
  <c r="AF449" i="7"/>
  <c r="AE449" i="7"/>
  <c r="AG11" i="7"/>
  <c r="AF11" i="7"/>
  <c r="AE11" i="7"/>
  <c r="AG33" i="7"/>
  <c r="AF33" i="7"/>
  <c r="AE33" i="7"/>
  <c r="AG109" i="7"/>
  <c r="AF109" i="7"/>
  <c r="AE109" i="7"/>
  <c r="AF56" i="7"/>
  <c r="AG56" i="7"/>
  <c r="AE56" i="7"/>
  <c r="AF734" i="7"/>
  <c r="AG734" i="7"/>
  <c r="AE734" i="7"/>
  <c r="AG936" i="7"/>
  <c r="AF936" i="7"/>
  <c r="AE936" i="7"/>
  <c r="AG98" i="7"/>
  <c r="AF98" i="7"/>
  <c r="AE98" i="7"/>
  <c r="AF596" i="7"/>
  <c r="AG596" i="7"/>
  <c r="AE596" i="7"/>
  <c r="AG136" i="7"/>
  <c r="AF136" i="7"/>
  <c r="AE136" i="7"/>
  <c r="AF408" i="7"/>
  <c r="AG408" i="7"/>
  <c r="AE408" i="7"/>
  <c r="AF557" i="7"/>
  <c r="AG557" i="7"/>
  <c r="AE557" i="7"/>
  <c r="AF862" i="7"/>
  <c r="AG862" i="7"/>
  <c r="AE862" i="7"/>
  <c r="AF725" i="7"/>
  <c r="AG725" i="7"/>
  <c r="AE725" i="7"/>
  <c r="AF26" i="7"/>
  <c r="AG26" i="7"/>
  <c r="AE26" i="7"/>
  <c r="AF382" i="7"/>
  <c r="AG382" i="7"/>
  <c r="AE382" i="7"/>
  <c r="AF946" i="7"/>
  <c r="AG946" i="7"/>
  <c r="AE946" i="7"/>
  <c r="AF241" i="7"/>
  <c r="AG241" i="7"/>
  <c r="AE241" i="7"/>
  <c r="AF366" i="7"/>
  <c r="AG366" i="7"/>
  <c r="AE366" i="7"/>
  <c r="AG164" i="7"/>
  <c r="AF164" i="7"/>
  <c r="AE164" i="7"/>
  <c r="AF563" i="7"/>
  <c r="AG563" i="7"/>
  <c r="AE563" i="7"/>
  <c r="AF296" i="7"/>
  <c r="AG296" i="7"/>
  <c r="AE296" i="7"/>
  <c r="AG501" i="7"/>
  <c r="AF501" i="7"/>
  <c r="AE501" i="7"/>
  <c r="AG426" i="7"/>
  <c r="AF426" i="7"/>
  <c r="AE426" i="7"/>
  <c r="AG228" i="7"/>
  <c r="AF228" i="7"/>
  <c r="AE228" i="7"/>
  <c r="AF65" i="7"/>
  <c r="AG65" i="7"/>
  <c r="AE65" i="7"/>
  <c r="AG566" i="7"/>
  <c r="AF566" i="7"/>
  <c r="AE566" i="7"/>
  <c r="AF1015" i="7"/>
  <c r="AG1015" i="7"/>
  <c r="AE1015" i="7"/>
  <c r="AG428" i="7"/>
  <c r="AF428" i="7"/>
  <c r="AE428" i="7"/>
  <c r="AF67" i="7"/>
  <c r="AG67" i="7"/>
  <c r="AE67" i="7"/>
  <c r="AG607" i="7"/>
  <c r="AF607" i="7"/>
  <c r="AE607" i="7"/>
  <c r="AG69" i="7"/>
  <c r="AF69" i="7"/>
  <c r="AE69" i="7"/>
  <c r="AF338" i="7"/>
  <c r="AG338" i="7"/>
  <c r="AE338" i="7"/>
  <c r="AG231" i="7"/>
  <c r="AF231" i="7"/>
  <c r="AE231" i="7"/>
  <c r="AG816" i="7"/>
  <c r="AF816" i="7"/>
  <c r="AE816" i="7"/>
  <c r="AG66" i="7"/>
  <c r="AF66" i="7"/>
  <c r="AE66" i="7"/>
  <c r="AF360" i="7"/>
  <c r="AG360" i="7"/>
  <c r="AE360" i="7"/>
  <c r="AF1054" i="7"/>
  <c r="AG1054" i="7"/>
  <c r="AE1054" i="7"/>
  <c r="AF114" i="7"/>
  <c r="AG114" i="7"/>
  <c r="AE114" i="7"/>
  <c r="AF117" i="7"/>
  <c r="AG117" i="7"/>
  <c r="AE117" i="7"/>
  <c r="AF714" i="7"/>
  <c r="AG714" i="7"/>
  <c r="AE714" i="7"/>
  <c r="AG621" i="7"/>
  <c r="AF621" i="7"/>
  <c r="AE621" i="7"/>
  <c r="AG765" i="7"/>
  <c r="AF765" i="7"/>
  <c r="AE765" i="7"/>
  <c r="AF400" i="7"/>
  <c r="AG400" i="7"/>
  <c r="AE400" i="7"/>
  <c r="AG343" i="7"/>
  <c r="AF343" i="7"/>
  <c r="AE343" i="7"/>
  <c r="AF298" i="7"/>
  <c r="AG298" i="7"/>
  <c r="AE298" i="7"/>
  <c r="AF169" i="7"/>
  <c r="AG169" i="7"/>
  <c r="AE169" i="7"/>
  <c r="AF802" i="7"/>
  <c r="AG802" i="7"/>
  <c r="AE802" i="7"/>
  <c r="AF536" i="7"/>
  <c r="AG536" i="7"/>
  <c r="AE536" i="7"/>
  <c r="AF795" i="7"/>
  <c r="AG795" i="7"/>
  <c r="AE795" i="7"/>
  <c r="AF225" i="7"/>
  <c r="AG225" i="7"/>
  <c r="AE225" i="7"/>
  <c r="AG963" i="7"/>
  <c r="AF963" i="7"/>
  <c r="AE963" i="7"/>
  <c r="AG388" i="7"/>
  <c r="AF388" i="7"/>
  <c r="AE388" i="7"/>
  <c r="AF1032" i="7"/>
  <c r="AG1032" i="7"/>
  <c r="AE1032" i="7"/>
  <c r="AG346" i="7"/>
  <c r="AF346" i="7"/>
  <c r="AE346" i="7"/>
  <c r="AF1039" i="7"/>
  <c r="AG1039" i="7"/>
  <c r="AE1039" i="7"/>
  <c r="AF423" i="7"/>
  <c r="AG423" i="7"/>
  <c r="AE423" i="7"/>
  <c r="AG723" i="7"/>
  <c r="AF723" i="7"/>
  <c r="AE723" i="7"/>
  <c r="AG441" i="7"/>
  <c r="AF441" i="7"/>
  <c r="AE441" i="7"/>
  <c r="AG702" i="7"/>
  <c r="AF702" i="7"/>
  <c r="AE702" i="7"/>
  <c r="AG55" i="7"/>
  <c r="AF55" i="7"/>
  <c r="AE55" i="7"/>
  <c r="AG431" i="7"/>
  <c r="AF431" i="7"/>
  <c r="AE431" i="7"/>
  <c r="AG462" i="7"/>
  <c r="AF462" i="7"/>
  <c r="AE462" i="7"/>
  <c r="AG979" i="7"/>
  <c r="AF979" i="7"/>
  <c r="AE979" i="7"/>
  <c r="AF782" i="7"/>
  <c r="AG782" i="7"/>
  <c r="AE782" i="7"/>
  <c r="AG646" i="7"/>
  <c r="AF646" i="7"/>
  <c r="AE646" i="7"/>
  <c r="AF60" i="7"/>
  <c r="AG60" i="7"/>
  <c r="AE60" i="7"/>
  <c r="AF811" i="7"/>
  <c r="AG811" i="7"/>
  <c r="AE811" i="7"/>
  <c r="AF301" i="7"/>
  <c r="AG301" i="7"/>
  <c r="AE301" i="7"/>
  <c r="AG751" i="7"/>
  <c r="AF751" i="7"/>
  <c r="AE751" i="7"/>
  <c r="AF236" i="7"/>
  <c r="AG236" i="7"/>
  <c r="AE236" i="7"/>
  <c r="AG291" i="7"/>
  <c r="AF291" i="7"/>
  <c r="AE291" i="7"/>
  <c r="AF763" i="7"/>
  <c r="AG763" i="7"/>
  <c r="AE763" i="7"/>
  <c r="AG266" i="7"/>
  <c r="AF266" i="7"/>
  <c r="AE266" i="7"/>
  <c r="AF82" i="7"/>
  <c r="AG82" i="7"/>
  <c r="AE82" i="7"/>
  <c r="AF592" i="7"/>
  <c r="AG592" i="7"/>
  <c r="AE592" i="7"/>
  <c r="AF283" i="7"/>
  <c r="AG283" i="7"/>
  <c r="AE283" i="7"/>
  <c r="AG155" i="7"/>
  <c r="AF155" i="7"/>
  <c r="AE155" i="7"/>
  <c r="AG306" i="7"/>
  <c r="AF306" i="7"/>
  <c r="AE306" i="7"/>
  <c r="AF711" i="7"/>
  <c r="AG711" i="7"/>
  <c r="AE711" i="7"/>
  <c r="AG727" i="7"/>
  <c r="AF727" i="7"/>
  <c r="AE727" i="7"/>
  <c r="AF374" i="7"/>
  <c r="AG374" i="7"/>
  <c r="AE374" i="7"/>
  <c r="AG64" i="7"/>
  <c r="AF64" i="7"/>
  <c r="AE64" i="7"/>
  <c r="AF989" i="7"/>
  <c r="AG989" i="7"/>
  <c r="AE989" i="7"/>
  <c r="AF635" i="7"/>
  <c r="AG635" i="7"/>
  <c r="AE635" i="7"/>
  <c r="AF1006" i="7"/>
  <c r="AG1006" i="7"/>
  <c r="AE1006" i="7"/>
  <c r="AF1001" i="7"/>
  <c r="AG1001" i="7"/>
  <c r="AE1001" i="7"/>
  <c r="AF735" i="7"/>
  <c r="AG735" i="7"/>
  <c r="AE735" i="7"/>
  <c r="AG775" i="7"/>
  <c r="AF775" i="7"/>
  <c r="AE775" i="7"/>
  <c r="AF915" i="7"/>
  <c r="AG915" i="7"/>
  <c r="AE915" i="7"/>
  <c r="AG756" i="7"/>
  <c r="AF756" i="7"/>
  <c r="AE756" i="7"/>
  <c r="AF849" i="7"/>
  <c r="AE849" i="7"/>
  <c r="AG849" i="7"/>
  <c r="AG1048" i="7"/>
  <c r="AF1048" i="7"/>
  <c r="AE1048" i="7"/>
  <c r="AG504" i="7"/>
  <c r="AF504" i="7"/>
  <c r="AE504" i="7"/>
  <c r="AF625" i="7"/>
  <c r="AG625" i="7"/>
  <c r="AE625" i="7"/>
  <c r="AF824" i="7"/>
  <c r="AG824" i="7"/>
  <c r="AE824" i="7"/>
  <c r="AF406" i="7"/>
  <c r="AG406" i="7"/>
  <c r="AE406" i="7"/>
  <c r="AF323" i="7"/>
  <c r="AG323" i="7"/>
  <c r="AE323" i="7"/>
  <c r="AF189" i="7"/>
  <c r="AG189" i="7"/>
  <c r="AE189" i="7"/>
  <c r="AG42" i="7"/>
  <c r="AF42" i="7"/>
  <c r="AE42" i="7"/>
  <c r="AF736" i="7"/>
  <c r="AG736" i="7"/>
  <c r="AE736" i="7"/>
  <c r="AG1057" i="7"/>
  <c r="AF1057" i="7"/>
  <c r="AE1057" i="7"/>
  <c r="AG195" i="7"/>
  <c r="AF195" i="7"/>
  <c r="AE195" i="7"/>
  <c r="AF22" i="7"/>
  <c r="AG22" i="7"/>
  <c r="AE22" i="7"/>
  <c r="AG222" i="7"/>
  <c r="AF222" i="7"/>
  <c r="AE222" i="7"/>
  <c r="AG470" i="7"/>
  <c r="AF470" i="7"/>
  <c r="AE470" i="7"/>
  <c r="AG496" i="7"/>
  <c r="AF496" i="7"/>
  <c r="AE496" i="7"/>
  <c r="AG836" i="7"/>
  <c r="AF836" i="7"/>
  <c r="AE836" i="7"/>
  <c r="AG101" i="7"/>
  <c r="AF101" i="7"/>
  <c r="AE101" i="7"/>
  <c r="AG767" i="7"/>
  <c r="AF767" i="7"/>
  <c r="AE767" i="7"/>
  <c r="AF102" i="7"/>
  <c r="AG102" i="7"/>
  <c r="AE102" i="7"/>
  <c r="AG130" i="7"/>
  <c r="AF130" i="7"/>
  <c r="AE130" i="7"/>
  <c r="AG115" i="7"/>
  <c r="AF115" i="7"/>
  <c r="AE115" i="7"/>
  <c r="AG318" i="7"/>
  <c r="AF318" i="7"/>
  <c r="AE318" i="7"/>
  <c r="AF179" i="7"/>
  <c r="AG179" i="7"/>
  <c r="AE179" i="7"/>
  <c r="AG353" i="7"/>
  <c r="AF353" i="7"/>
  <c r="AE353" i="7"/>
  <c r="AG814" i="7"/>
  <c r="AF814" i="7"/>
  <c r="AE814" i="7"/>
  <c r="AG754" i="7"/>
  <c r="AF754" i="7"/>
  <c r="AE754" i="7"/>
  <c r="AG159" i="7"/>
  <c r="AF159" i="7"/>
  <c r="AE159" i="7"/>
  <c r="AF729" i="7"/>
  <c r="AG729" i="7"/>
  <c r="AE729" i="7"/>
  <c r="AF652" i="7"/>
  <c r="AG652" i="7"/>
  <c r="AE652" i="7"/>
  <c r="AF703" i="7"/>
  <c r="AG703" i="7"/>
  <c r="AE703" i="7"/>
  <c r="AF575" i="7"/>
  <c r="AG575" i="7"/>
  <c r="AE575" i="7"/>
  <c r="AF226" i="7"/>
  <c r="AG226" i="7"/>
  <c r="AE226" i="7"/>
  <c r="AF871" i="7"/>
  <c r="AG871" i="7"/>
  <c r="AE871" i="7"/>
  <c r="AF914" i="7"/>
  <c r="AG914" i="7"/>
  <c r="AE914" i="7"/>
  <c r="AF651" i="7"/>
  <c r="AG651" i="7"/>
  <c r="AE651" i="7"/>
  <c r="AG312" i="7"/>
  <c r="AF312" i="7"/>
  <c r="AE312" i="7"/>
  <c r="AF292" i="7"/>
  <c r="AG292" i="7"/>
  <c r="AE292" i="7"/>
  <c r="AF404" i="7"/>
  <c r="AG404" i="7"/>
  <c r="AE404" i="7"/>
  <c r="AG861" i="7"/>
  <c r="AF861" i="7"/>
  <c r="AE861" i="7"/>
  <c r="AF54" i="7"/>
  <c r="AG54" i="7"/>
  <c r="AE54" i="7"/>
  <c r="AF17" i="7"/>
  <c r="AG17" i="7"/>
  <c r="AE17" i="7"/>
  <c r="AG748" i="7"/>
  <c r="AF748" i="7"/>
  <c r="AE748" i="7"/>
  <c r="AG807" i="7"/>
  <c r="AF807" i="7"/>
  <c r="AE807" i="7"/>
  <c r="AF627" i="7"/>
  <c r="AG627" i="7"/>
  <c r="AE627" i="7"/>
  <c r="AG1017" i="7"/>
  <c r="AF1017" i="7"/>
  <c r="AE1017" i="7"/>
  <c r="AF709" i="7"/>
  <c r="AG709" i="7"/>
  <c r="AE709" i="7"/>
  <c r="AF612" i="7"/>
  <c r="AG612" i="7"/>
  <c r="AE612" i="7"/>
  <c r="AG649" i="7"/>
  <c r="AF649" i="7"/>
  <c r="AE649" i="7"/>
  <c r="AG841" i="7"/>
  <c r="AF841" i="7"/>
  <c r="AE841" i="7"/>
  <c r="AF1022" i="7"/>
  <c r="AG1022" i="7"/>
  <c r="AE1022" i="7"/>
  <c r="AG547" i="7"/>
  <c r="AF547" i="7"/>
  <c r="AE547" i="7"/>
  <c r="AG279" i="7"/>
  <c r="AF279" i="7"/>
  <c r="AE279" i="7"/>
  <c r="AG726" i="7"/>
  <c r="AF726" i="7"/>
  <c r="AE726" i="7"/>
  <c r="AG455" i="7"/>
  <c r="AF455" i="7"/>
  <c r="AE455" i="7"/>
  <c r="AF502" i="7"/>
  <c r="AG502" i="7"/>
  <c r="AE502" i="7"/>
  <c r="AG608" i="7"/>
  <c r="AF608" i="7"/>
  <c r="AE608" i="7"/>
  <c r="AF1012" i="7"/>
  <c r="AG1012" i="7"/>
  <c r="AE1012" i="7"/>
  <c r="AF932" i="7"/>
  <c r="AG932" i="7"/>
  <c r="AE932" i="7"/>
  <c r="AG223" i="7"/>
  <c r="AF223" i="7"/>
  <c r="AE223" i="7"/>
  <c r="AF106" i="7"/>
  <c r="AG106" i="7"/>
  <c r="AE106" i="7"/>
  <c r="AF883" i="7"/>
  <c r="AG883" i="7"/>
  <c r="AE883" i="7"/>
  <c r="AG1019" i="7"/>
  <c r="AF1019" i="7"/>
  <c r="AE1019" i="7"/>
  <c r="AG303" i="7"/>
  <c r="AF303" i="7"/>
  <c r="AE303" i="7"/>
  <c r="AG144" i="7"/>
  <c r="AF144" i="7"/>
  <c r="AE144" i="7"/>
  <c r="AG942" i="7"/>
  <c r="AF942" i="7"/>
  <c r="AE942" i="7"/>
  <c r="AG686" i="7"/>
  <c r="AF686" i="7"/>
  <c r="AE686" i="7"/>
  <c r="AF755" i="7"/>
  <c r="AG755" i="7"/>
  <c r="AE755" i="7"/>
  <c r="AF513" i="7"/>
  <c r="AG513" i="7"/>
  <c r="AE513" i="7"/>
  <c r="AG471" i="7"/>
  <c r="AF471" i="7"/>
  <c r="AE471" i="7"/>
  <c r="AG700" i="7"/>
  <c r="AF700" i="7"/>
  <c r="AE700" i="7"/>
  <c r="AG207" i="7"/>
  <c r="AF207" i="7"/>
  <c r="AE207" i="7"/>
  <c r="AF342" i="7"/>
  <c r="AG342" i="7"/>
  <c r="AE342" i="7"/>
  <c r="AG412" i="7"/>
  <c r="AF412" i="7"/>
  <c r="AE412" i="7"/>
  <c r="AG565" i="7"/>
  <c r="AF565" i="7"/>
  <c r="AE565" i="7"/>
  <c r="AG999" i="7"/>
  <c r="AF999" i="7"/>
  <c r="AE999" i="7"/>
  <c r="AF539" i="7"/>
  <c r="AG539" i="7"/>
  <c r="AE539" i="7"/>
  <c r="AF962" i="7"/>
  <c r="AG962" i="7"/>
  <c r="AE962" i="7"/>
  <c r="AF905" i="7"/>
  <c r="AG905" i="7"/>
  <c r="AE905" i="7"/>
  <c r="AG485" i="7"/>
  <c r="AF485" i="7"/>
  <c r="AE485" i="7"/>
  <c r="AG419" i="7"/>
  <c r="AF419" i="7"/>
  <c r="AE419" i="7"/>
  <c r="AF420" i="7"/>
  <c r="AG420" i="7"/>
  <c r="AE420" i="7"/>
  <c r="AG475" i="7"/>
  <c r="AF475" i="7"/>
  <c r="AE475" i="7"/>
  <c r="AG27" i="7"/>
  <c r="AF27" i="7"/>
  <c r="AE27" i="7"/>
  <c r="AG158" i="7"/>
  <c r="AF158" i="7"/>
  <c r="AE158" i="7"/>
  <c r="AF819" i="7"/>
  <c r="AG819" i="7"/>
  <c r="AE819" i="7"/>
  <c r="AF694" i="7"/>
  <c r="AG694" i="7"/>
  <c r="AE694" i="7"/>
  <c r="AG985" i="7"/>
  <c r="AF985" i="7"/>
  <c r="AE985" i="7"/>
  <c r="AG880" i="7"/>
  <c r="AF880" i="7"/>
  <c r="AE880" i="7"/>
  <c r="AG897" i="7"/>
  <c r="AF897" i="7"/>
  <c r="AE897" i="7"/>
  <c r="AF151" i="7"/>
  <c r="AG151" i="7"/>
  <c r="AE151" i="7"/>
  <c r="AG84" i="7"/>
  <c r="AF84" i="7"/>
  <c r="AE84" i="7"/>
  <c r="AG680" i="7"/>
  <c r="AF680" i="7"/>
  <c r="AE680" i="7"/>
  <c r="AF923" i="7"/>
  <c r="AG923" i="7"/>
  <c r="AE923" i="7"/>
  <c r="AF1049" i="7"/>
  <c r="AG1049" i="7"/>
  <c r="AE1049" i="7"/>
  <c r="AF339" i="7"/>
  <c r="AG339" i="7"/>
  <c r="AE339" i="7"/>
  <c r="AG1035" i="7"/>
  <c r="AF1035" i="7"/>
  <c r="AE1035" i="7"/>
  <c r="AF403" i="7"/>
  <c r="AG403" i="7"/>
  <c r="AE403" i="7"/>
  <c r="AG274" i="7"/>
  <c r="AF274" i="7"/>
  <c r="AE274" i="7"/>
  <c r="AG998" i="7"/>
  <c r="AF998" i="7"/>
  <c r="AE998" i="7"/>
  <c r="AG138" i="7"/>
  <c r="AF138" i="7"/>
  <c r="AE138" i="7"/>
  <c r="AF377" i="7"/>
  <c r="AG377" i="7"/>
  <c r="AE377" i="7"/>
  <c r="AF235" i="7"/>
  <c r="AG235" i="7"/>
  <c r="AE235" i="7"/>
  <c r="AG889" i="7"/>
  <c r="AF889" i="7"/>
  <c r="AE889" i="7"/>
  <c r="AG757" i="7"/>
  <c r="AF757" i="7"/>
  <c r="AE757" i="7"/>
  <c r="AG446" i="7"/>
  <c r="AF446" i="7"/>
  <c r="AE446" i="7"/>
  <c r="AG927" i="7"/>
  <c r="AF927" i="7"/>
  <c r="AE927" i="7"/>
  <c r="AF197" i="7"/>
  <c r="AG197" i="7"/>
  <c r="AE197" i="7"/>
  <c r="AF798" i="7"/>
  <c r="AG798" i="7"/>
  <c r="AE798" i="7"/>
  <c r="AG386" i="7"/>
  <c r="AF386" i="7"/>
  <c r="AE386" i="7"/>
  <c r="AF409" i="7"/>
  <c r="AG409" i="7"/>
  <c r="AE409" i="7"/>
  <c r="AF133" i="7"/>
  <c r="AG133" i="7"/>
  <c r="AE133" i="7"/>
  <c r="AG509" i="7"/>
  <c r="AF509" i="7"/>
  <c r="AE509" i="7"/>
  <c r="AG718" i="7"/>
  <c r="AF718" i="7"/>
  <c r="AE718" i="7"/>
  <c r="AG817" i="7"/>
  <c r="AF817" i="7"/>
  <c r="AE817" i="7"/>
  <c r="AF430" i="7"/>
  <c r="AG430" i="7"/>
  <c r="AE430" i="7"/>
  <c r="AF77" i="7"/>
  <c r="AG77" i="7"/>
  <c r="AE77" i="7"/>
  <c r="AG50" i="7"/>
  <c r="AF50" i="7"/>
  <c r="AE50" i="7"/>
  <c r="AG935" i="7"/>
  <c r="AF935" i="7"/>
  <c r="AE935" i="7"/>
  <c r="AF545" i="7"/>
  <c r="AG545" i="7"/>
  <c r="AE545" i="7"/>
  <c r="AG148" i="7"/>
  <c r="AF148" i="7"/>
  <c r="AE148" i="7"/>
  <c r="AF370" i="7"/>
  <c r="AG370" i="7"/>
  <c r="AE370" i="7"/>
  <c r="AG491" i="7"/>
  <c r="AF491" i="7"/>
  <c r="AE491" i="7"/>
  <c r="AG876" i="7"/>
  <c r="AF876" i="7"/>
  <c r="AE876" i="7"/>
  <c r="AG657" i="7"/>
  <c r="AF657" i="7"/>
  <c r="AE657" i="7"/>
  <c r="AF881" i="7"/>
  <c r="AG881" i="7"/>
  <c r="AE881" i="7"/>
  <c r="AG822" i="7"/>
  <c r="AF822" i="7"/>
  <c r="AE822" i="7"/>
  <c r="AG995" i="7"/>
  <c r="AF995" i="7"/>
  <c r="AE995" i="7"/>
  <c r="AG263" i="7"/>
  <c r="AE263" i="7"/>
  <c r="AF263" i="7"/>
  <c r="AF321" i="7"/>
  <c r="AG321" i="7"/>
  <c r="AE321" i="7"/>
  <c r="AF276" i="7"/>
  <c r="AG276" i="7"/>
  <c r="AE276" i="7"/>
  <c r="AG945" i="7"/>
  <c r="AF945" i="7"/>
  <c r="AE945" i="7"/>
  <c r="AF34" i="7"/>
  <c r="AG34" i="7"/>
  <c r="AE34" i="7"/>
  <c r="AF1025" i="7"/>
  <c r="AG1025" i="7"/>
  <c r="AE1025" i="7"/>
  <c r="AF753" i="7"/>
  <c r="AG753" i="7"/>
  <c r="AE753" i="7"/>
  <c r="AG41" i="7"/>
  <c r="AF41" i="7"/>
  <c r="AE41" i="7"/>
  <c r="AG57" i="7"/>
  <c r="AF57" i="7"/>
  <c r="AE57" i="7"/>
  <c r="AG118" i="7"/>
  <c r="AF118" i="7"/>
  <c r="AE118" i="7"/>
  <c r="AF68" i="7"/>
  <c r="AG68" i="7"/>
  <c r="AE68" i="7"/>
  <c r="AG19" i="7"/>
  <c r="AF19" i="7"/>
  <c r="AE19" i="7"/>
  <c r="AF528" i="7"/>
  <c r="AG528" i="7"/>
  <c r="AE528" i="7"/>
  <c r="AE511" i="7"/>
  <c r="AG511" i="7"/>
  <c r="AF511" i="7"/>
  <c r="AG830" i="7"/>
  <c r="AF830" i="7"/>
  <c r="AE830" i="7"/>
  <c r="AF271" i="7"/>
  <c r="AG271" i="7"/>
  <c r="AE271" i="7"/>
  <c r="AG542" i="7"/>
  <c r="AF542" i="7"/>
  <c r="AE542" i="7"/>
  <c r="AF860" i="7"/>
  <c r="AG860" i="7"/>
  <c r="AE860" i="7"/>
  <c r="AG429" i="7"/>
  <c r="AF429" i="7"/>
  <c r="AE429" i="7"/>
  <c r="AF28" i="7"/>
  <c r="AG28" i="7"/>
  <c r="AE28" i="7"/>
  <c r="AF242" i="7"/>
  <c r="AG242" i="7"/>
  <c r="AE242" i="7"/>
  <c r="AG49" i="7"/>
  <c r="AF49" i="7"/>
  <c r="AE49" i="7"/>
  <c r="AF468" i="7"/>
  <c r="AG468" i="7"/>
  <c r="AE468" i="7"/>
  <c r="AG632" i="7"/>
  <c r="AF632" i="7"/>
  <c r="AE632" i="7"/>
  <c r="AF484" i="7"/>
  <c r="AG484" i="7"/>
  <c r="AE484" i="7"/>
  <c r="AG899" i="7"/>
  <c r="AF899" i="7"/>
  <c r="AE899" i="7"/>
  <c r="AG774" i="7"/>
  <c r="AF774" i="7"/>
  <c r="AE774" i="7"/>
  <c r="AF373" i="7"/>
  <c r="AG373" i="7"/>
  <c r="AE373" i="7"/>
  <c r="AG878" i="7"/>
  <c r="AF878" i="7"/>
  <c r="AE878" i="7"/>
  <c r="AG362" i="7"/>
  <c r="AF362" i="7"/>
  <c r="AE362" i="7"/>
  <c r="AF1016" i="7"/>
  <c r="AG1016" i="7"/>
  <c r="AE1016" i="7"/>
  <c r="AF859" i="7"/>
  <c r="AG859" i="7"/>
  <c r="AE859" i="7"/>
  <c r="AF598" i="7"/>
  <c r="AG598" i="7"/>
  <c r="AE598" i="7"/>
  <c r="AF135" i="7"/>
  <c r="AG135" i="7"/>
  <c r="AE135" i="7"/>
  <c r="AG821" i="7"/>
  <c r="AF821" i="7"/>
  <c r="AE821" i="7"/>
  <c r="AF622" i="7"/>
  <c r="AG622" i="7"/>
  <c r="AE622" i="7"/>
  <c r="AF977" i="7"/>
  <c r="AG977" i="7"/>
  <c r="AE977" i="7"/>
  <c r="AF974" i="7"/>
  <c r="AG974" i="7"/>
  <c r="AE974" i="7"/>
  <c r="AG781" i="7"/>
  <c r="AF781" i="7"/>
  <c r="AE781" i="7"/>
  <c r="AG815" i="7"/>
  <c r="AF815" i="7"/>
  <c r="AE815" i="7"/>
  <c r="AG376" i="7"/>
  <c r="AF376" i="7"/>
  <c r="AE376" i="7"/>
  <c r="AG174" i="7"/>
  <c r="AF174" i="7"/>
  <c r="AE174" i="7"/>
  <c r="AF829" i="7"/>
  <c r="AG829" i="7"/>
  <c r="AE829" i="7"/>
  <c r="AF486" i="7"/>
  <c r="AG486" i="7"/>
  <c r="AE486" i="7"/>
  <c r="AF957" i="7"/>
  <c r="AG957" i="7"/>
  <c r="AE957" i="7"/>
  <c r="AG218" i="7"/>
  <c r="AF218" i="7"/>
  <c r="AE218" i="7"/>
  <c r="AG95" i="7"/>
  <c r="AF95" i="7"/>
  <c r="AE95" i="7"/>
  <c r="AG692" i="7"/>
  <c r="AF692" i="7"/>
  <c r="AE692" i="7"/>
  <c r="AG111" i="7"/>
  <c r="AF111" i="7"/>
  <c r="AE111" i="7"/>
  <c r="AG58" i="7"/>
  <c r="AF58" i="7"/>
  <c r="AE58" i="7"/>
  <c r="AG261" i="7"/>
  <c r="AF261" i="7"/>
  <c r="AE261" i="7"/>
  <c r="AF663" i="7"/>
  <c r="AG663" i="7"/>
  <c r="AE663" i="7"/>
  <c r="AF1000" i="7"/>
  <c r="AG1000" i="7"/>
  <c r="AE1000" i="7"/>
  <c r="AF792" i="7"/>
  <c r="AG792" i="7"/>
  <c r="AE792" i="7"/>
  <c r="AG107" i="7"/>
  <c r="AF107" i="7"/>
  <c r="AE107" i="7"/>
  <c r="AG647" i="7"/>
  <c r="AF647" i="7"/>
  <c r="AE647" i="7"/>
  <c r="AG112" i="7"/>
  <c r="AF112" i="7"/>
  <c r="AE112" i="7"/>
  <c r="AG733" i="7"/>
  <c r="AF733" i="7"/>
  <c r="AE733" i="7"/>
  <c r="AF337" i="7"/>
  <c r="AG337" i="7"/>
  <c r="AE337" i="7"/>
  <c r="AG246" i="7"/>
  <c r="AF246" i="7"/>
  <c r="AE246" i="7"/>
  <c r="AG550" i="7"/>
  <c r="AF550" i="7"/>
  <c r="AE550" i="7"/>
  <c r="AF88" i="7"/>
  <c r="AG88" i="7"/>
  <c r="AE88" i="7"/>
  <c r="AF18" i="7"/>
  <c r="AG18" i="7"/>
  <c r="AE18" i="7"/>
  <c r="AG182" i="7"/>
  <c r="AF182" i="7"/>
  <c r="AE182" i="7"/>
  <c r="AF131" i="7"/>
  <c r="AG131" i="7"/>
  <c r="AE131" i="7"/>
  <c r="AG97" i="7"/>
  <c r="AF97" i="7"/>
  <c r="AE97" i="7"/>
  <c r="AG870" i="7"/>
  <c r="AF870" i="7"/>
  <c r="AE870" i="7"/>
  <c r="AG284" i="7"/>
  <c r="AF284" i="7"/>
  <c r="AE284" i="7"/>
  <c r="AG656" i="7"/>
  <c r="AF656" i="7"/>
  <c r="AE656" i="7"/>
  <c r="AG277" i="7"/>
  <c r="AF277" i="7"/>
  <c r="AE277" i="7"/>
  <c r="AG452" i="7"/>
  <c r="AF452" i="7"/>
  <c r="AE452" i="7"/>
  <c r="AF314" i="7"/>
  <c r="AG314" i="7"/>
  <c r="AE314" i="7"/>
  <c r="AG418" i="7"/>
  <c r="AF418" i="7"/>
  <c r="AE418" i="7"/>
  <c r="AF879" i="7"/>
  <c r="AG879" i="7"/>
  <c r="AE879" i="7"/>
  <c r="AF393" i="7"/>
  <c r="AG393" i="7"/>
  <c r="AE393" i="7"/>
  <c r="AF930" i="7"/>
  <c r="AG930" i="7"/>
  <c r="AE930" i="7"/>
  <c r="AG193" i="7"/>
  <c r="AF193" i="7"/>
  <c r="AE193" i="7"/>
  <c r="AF924" i="7"/>
  <c r="AG924" i="7"/>
  <c r="AE924" i="7"/>
  <c r="AG643" i="7"/>
  <c r="AF643" i="7"/>
  <c r="AE643" i="7"/>
  <c r="AG411" i="7"/>
  <c r="AF411" i="7"/>
  <c r="AE411" i="7"/>
  <c r="AF1052" i="7"/>
  <c r="AG1052" i="7"/>
  <c r="AE1052" i="7"/>
  <c r="AF407" i="7"/>
  <c r="AG407" i="7"/>
  <c r="AE407" i="7"/>
  <c r="AG399" i="7"/>
  <c r="AF399" i="7"/>
  <c r="AE399" i="7"/>
  <c r="AG773" i="7"/>
  <c r="AF773" i="7"/>
  <c r="AE773" i="7"/>
  <c r="AF1014" i="7"/>
  <c r="AG1014" i="7"/>
  <c r="AE1014" i="7"/>
  <c r="AG738" i="7"/>
  <c r="AF738" i="7"/>
  <c r="AE738" i="7"/>
  <c r="AF1041" i="7"/>
  <c r="AG1041" i="7"/>
  <c r="AE1041" i="7"/>
  <c r="AG127" i="7"/>
  <c r="AF127" i="7"/>
  <c r="AE127" i="7"/>
  <c r="AG361" i="7"/>
  <c r="AF361" i="7"/>
  <c r="AE361" i="7"/>
  <c r="AF543" i="7"/>
  <c r="AG543" i="7"/>
  <c r="AE543" i="7"/>
  <c r="AF844" i="7"/>
  <c r="AG844" i="7"/>
  <c r="AE844" i="7"/>
  <c r="AF567" i="7"/>
  <c r="AG567" i="7"/>
  <c r="AE567" i="7"/>
  <c r="AF316" i="7"/>
  <c r="AE316" i="7"/>
  <c r="AG316" i="7"/>
  <c r="AG806" i="7"/>
  <c r="AF806" i="7"/>
  <c r="AE806" i="7"/>
  <c r="AF416" i="7"/>
  <c r="AG416" i="7"/>
  <c r="AE416" i="7"/>
  <c r="AG35" i="7"/>
  <c r="AE35" i="7"/>
  <c r="AF35" i="7"/>
  <c r="AF1040" i="7"/>
  <c r="AG1040" i="7"/>
  <c r="AE1040" i="7"/>
  <c r="AG1051" i="7"/>
  <c r="AF1051" i="7"/>
  <c r="AE1051" i="7"/>
  <c r="AF62" i="7"/>
  <c r="AG62" i="7"/>
  <c r="AE62" i="7"/>
  <c r="AG192" i="7"/>
  <c r="AF192" i="7"/>
  <c r="AE192" i="7"/>
  <c r="AF165" i="7"/>
  <c r="AG165" i="7"/>
  <c r="AE165" i="7"/>
  <c r="AF328" i="7"/>
  <c r="AG328" i="7"/>
  <c r="AE328" i="7"/>
  <c r="AG967" i="7"/>
  <c r="AF967" i="7"/>
  <c r="AE967" i="7"/>
  <c r="AF1005" i="7"/>
  <c r="AG1005" i="7"/>
  <c r="AE1005" i="7"/>
  <c r="AF564" i="7"/>
  <c r="AG564" i="7"/>
  <c r="AE564" i="7"/>
  <c r="AF759" i="7"/>
  <c r="AG759" i="7"/>
  <c r="AE759" i="7"/>
  <c r="AF852" i="7"/>
  <c r="AG852" i="7"/>
  <c r="AE852" i="7"/>
  <c r="AG1013" i="7"/>
  <c r="AF1013" i="7"/>
  <c r="AE1013" i="7"/>
  <c r="AF309" i="7"/>
  <c r="AG309" i="7"/>
  <c r="AE309" i="7"/>
  <c r="AG641" i="7"/>
  <c r="AF641" i="7"/>
  <c r="AE641" i="7"/>
  <c r="AF910" i="7"/>
  <c r="AG910" i="7"/>
  <c r="AE910" i="7"/>
  <c r="AF94" i="7"/>
  <c r="AG94" i="7"/>
  <c r="AE94" i="7"/>
  <c r="AG994" i="7"/>
  <c r="AF994" i="7"/>
  <c r="AE994" i="7"/>
  <c r="AG163" i="7"/>
  <c r="AF163" i="7"/>
  <c r="AE163" i="7"/>
  <c r="AG665" i="7"/>
  <c r="AF665" i="7"/>
  <c r="AE665" i="7"/>
  <c r="AF628" i="7"/>
  <c r="AG628" i="7"/>
  <c r="AE628" i="7"/>
  <c r="AF514" i="7"/>
  <c r="AG514" i="7"/>
  <c r="AE514" i="7"/>
  <c r="AF620" i="7"/>
  <c r="AG620" i="7"/>
  <c r="AE620" i="7"/>
  <c r="AF104" i="7"/>
  <c r="AG104" i="7"/>
  <c r="AE104" i="7"/>
  <c r="AG846" i="7"/>
  <c r="AF846" i="7"/>
  <c r="AE846" i="7"/>
  <c r="AF1033" i="7"/>
  <c r="AG1033" i="7"/>
  <c r="AE1033" i="7"/>
  <c r="AF63" i="7"/>
  <c r="AG63" i="7"/>
  <c r="AE63" i="7"/>
  <c r="AG576" i="7"/>
  <c r="AF576" i="7"/>
  <c r="AE576" i="7"/>
  <c r="AF457" i="7"/>
  <c r="AG457" i="7"/>
  <c r="AE457" i="7"/>
  <c r="AG356" i="7"/>
  <c r="AF356" i="7"/>
  <c r="AE356" i="7"/>
  <c r="AG500" i="7"/>
  <c r="AF500" i="7"/>
  <c r="AE500" i="7"/>
  <c r="AF678" i="7"/>
  <c r="AG678" i="7"/>
  <c r="AE678" i="7"/>
  <c r="AF521" i="7"/>
  <c r="AG521" i="7"/>
  <c r="AE521" i="7"/>
  <c r="AG92" i="7"/>
  <c r="AF92" i="7"/>
  <c r="AE92" i="7"/>
  <c r="AG524" i="7"/>
  <c r="AF524" i="7"/>
  <c r="AE524" i="7"/>
  <c r="AF359" i="7"/>
  <c r="AG359" i="7"/>
  <c r="AE359" i="7"/>
  <c r="AF874" i="7"/>
  <c r="AG874" i="7"/>
  <c r="AE874" i="7"/>
  <c r="AG285" i="7"/>
  <c r="AF285" i="7"/>
  <c r="AE285" i="7"/>
  <c r="AG953" i="7"/>
  <c r="AF953" i="7"/>
  <c r="AE953" i="7"/>
  <c r="AE20" i="7"/>
  <c r="AF20" i="7"/>
  <c r="AG20" i="7"/>
  <c r="AF460" i="7"/>
  <c r="AG460" i="7"/>
  <c r="AE460" i="7"/>
  <c r="AG137" i="7"/>
  <c r="AF137" i="7"/>
  <c r="AE137" i="7"/>
  <c r="AF741" i="7"/>
  <c r="AG741" i="7"/>
  <c r="AE741" i="7"/>
  <c r="AF480" i="7"/>
  <c r="AG480" i="7"/>
  <c r="AE480" i="7"/>
  <c r="AF840" i="7"/>
  <c r="AG840" i="7"/>
  <c r="AE840" i="7"/>
  <c r="AF535" i="7"/>
  <c r="AG535" i="7"/>
  <c r="AE535" i="7"/>
  <c r="AF305" i="7"/>
  <c r="AG305" i="7"/>
  <c r="AE305" i="7"/>
  <c r="AG249" i="7"/>
  <c r="AF249" i="7"/>
  <c r="AE249" i="7"/>
  <c r="AF334" i="7"/>
  <c r="AG334" i="7"/>
  <c r="AE334" i="7"/>
  <c r="AF324" i="7"/>
  <c r="AG324" i="7"/>
  <c r="AE324" i="7"/>
  <c r="AF87" i="7"/>
  <c r="AG87" i="7"/>
  <c r="AE87" i="7"/>
  <c r="AF559" i="7"/>
  <c r="AG559" i="7"/>
  <c r="AE559" i="7"/>
  <c r="AG842" i="7"/>
  <c r="AF842" i="7"/>
  <c r="AE842" i="7"/>
  <c r="AG119" i="7"/>
  <c r="AF119" i="7"/>
  <c r="AE119" i="7"/>
  <c r="AG928" i="7"/>
  <c r="AF928" i="7"/>
  <c r="AE928" i="7"/>
  <c r="AF202" i="7"/>
  <c r="AG202" i="7"/>
  <c r="AE202" i="7"/>
  <c r="AF944" i="7"/>
  <c r="AG944" i="7"/>
  <c r="AE944" i="7"/>
  <c r="AG166" i="7"/>
  <c r="AF166" i="7"/>
  <c r="AE166" i="7"/>
  <c r="AF895" i="7"/>
  <c r="AG895" i="7"/>
  <c r="AE895" i="7"/>
  <c r="AG219" i="7"/>
  <c r="AF219" i="7"/>
  <c r="AE219" i="7"/>
  <c r="AG746" i="7"/>
  <c r="AF746" i="7"/>
  <c r="AE746" i="7"/>
  <c r="AG1024" i="7"/>
  <c r="AF1024" i="7"/>
  <c r="AE1024" i="7"/>
  <c r="AG689" i="7"/>
  <c r="AF689" i="7"/>
  <c r="AE689" i="7"/>
  <c r="AF1038" i="7"/>
  <c r="AG1038" i="7"/>
  <c r="AE1038" i="7"/>
  <c r="AF110" i="7"/>
  <c r="AE110" i="7"/>
  <c r="AG110" i="7"/>
  <c r="AG648" i="7"/>
  <c r="AF648" i="7"/>
  <c r="AE648" i="7"/>
  <c r="AF1053" i="7"/>
  <c r="AG1053" i="7"/>
  <c r="AE1053" i="7"/>
  <c r="AG13" i="7"/>
  <c r="AF13" i="7"/>
  <c r="AE13" i="7"/>
  <c r="AF389" i="7"/>
  <c r="AG389" i="7"/>
  <c r="AE389" i="7"/>
  <c r="AF531" i="7"/>
  <c r="AG531" i="7"/>
  <c r="AE531" i="7"/>
  <c r="AF40" i="7"/>
  <c r="AG40" i="7"/>
  <c r="AE40" i="7"/>
  <c r="AF272" i="7"/>
  <c r="AE272" i="7"/>
  <c r="AG272" i="7"/>
  <c r="AF943" i="7"/>
  <c r="AG943" i="7"/>
  <c r="AE943" i="7"/>
  <c r="AG516" i="7"/>
  <c r="AF516" i="7"/>
  <c r="AE516" i="7"/>
  <c r="AF855" i="7"/>
  <c r="AG855" i="7"/>
  <c r="AE855" i="7"/>
  <c r="AG310" i="7"/>
  <c r="AF310" i="7"/>
  <c r="AE310" i="7"/>
  <c r="AF589" i="7"/>
  <c r="AG589" i="7"/>
  <c r="AE589" i="7"/>
  <c r="AG14" i="7"/>
  <c r="AF14" i="7"/>
  <c r="AE14" i="7"/>
  <c r="AG482" i="7"/>
  <c r="AF482" i="7"/>
  <c r="AE482" i="7"/>
  <c r="AG912" i="7"/>
  <c r="AF912" i="7"/>
  <c r="AE912" i="7"/>
  <c r="AG593" i="7"/>
  <c r="AF593" i="7"/>
  <c r="AE593" i="7"/>
  <c r="AG340" i="7"/>
  <c r="AF340" i="7"/>
  <c r="AE340" i="7"/>
  <c r="AF1037" i="7"/>
  <c r="AG1037" i="7"/>
  <c r="AE1037" i="7"/>
  <c r="AG599" i="7"/>
  <c r="AF599" i="7"/>
  <c r="AE599" i="7"/>
  <c r="AG96" i="7"/>
  <c r="AF96" i="7"/>
  <c r="AE96" i="7"/>
  <c r="AF493" i="7"/>
  <c r="AG493" i="7"/>
  <c r="AE493" i="7"/>
  <c r="AG560" i="7"/>
  <c r="AF560" i="7"/>
  <c r="AE560" i="7"/>
  <c r="AF801" i="7"/>
  <c r="AG801" i="7"/>
  <c r="AE801" i="7"/>
  <c r="AF585" i="7"/>
  <c r="AG585" i="7"/>
  <c r="AE585" i="7"/>
  <c r="AG986" i="7"/>
  <c r="AF986" i="7"/>
  <c r="AE986" i="7"/>
  <c r="AG444" i="7"/>
  <c r="AF444" i="7"/>
  <c r="AE444" i="7"/>
  <c r="AF384" i="7"/>
  <c r="AG384" i="7"/>
  <c r="AE384" i="7"/>
  <c r="AF553" i="7"/>
  <c r="AG553" i="7"/>
  <c r="AE553" i="7"/>
  <c r="AG818" i="7"/>
  <c r="AF818" i="7"/>
  <c r="AE818" i="7"/>
  <c r="AG619" i="7"/>
  <c r="AF619" i="7"/>
  <c r="AE619" i="7"/>
  <c r="AF467" i="7"/>
  <c r="AG467" i="7"/>
  <c r="AE467" i="7"/>
  <c r="AG786" i="7"/>
  <c r="AF786" i="7"/>
  <c r="AE786" i="7"/>
  <c r="AF304" i="7"/>
  <c r="AG304" i="7"/>
  <c r="AE304" i="7"/>
  <c r="AF826" i="7"/>
  <c r="AG826" i="7"/>
  <c r="AE826" i="7"/>
  <c r="AF230" i="7"/>
  <c r="AG230" i="7"/>
  <c r="AE230" i="7"/>
  <c r="AF367" i="7"/>
  <c r="AG367" i="7"/>
  <c r="AE367" i="7"/>
  <c r="AF947" i="7"/>
  <c r="AG947" i="7"/>
  <c r="AE947" i="7"/>
  <c r="AF831" i="7"/>
  <c r="AG831" i="7"/>
  <c r="AE831" i="7"/>
  <c r="AG262" i="7"/>
  <c r="AF262" i="7"/>
  <c r="AE262" i="7"/>
  <c r="AF603" i="7"/>
  <c r="AG603" i="7"/>
  <c r="AE603" i="7"/>
  <c r="AF472" i="7"/>
  <c r="AG472" i="7"/>
  <c r="AE472" i="7"/>
  <c r="AF348" i="7"/>
  <c r="AG348" i="7"/>
  <c r="AE348" i="7"/>
  <c r="AG1009" i="7"/>
  <c r="AF1009" i="7"/>
  <c r="AE1009" i="7"/>
  <c r="AG918" i="7"/>
  <c r="AF918" i="7"/>
  <c r="AE918" i="7"/>
  <c r="AG838" i="7"/>
  <c r="AF838" i="7"/>
  <c r="AE838" i="7"/>
  <c r="AG791" i="7"/>
  <c r="AF791" i="7"/>
  <c r="AE791" i="7"/>
  <c r="AG286" i="7"/>
  <c r="AF286" i="7"/>
  <c r="AE286" i="7"/>
  <c r="AG764" i="7"/>
  <c r="AE764" i="7"/>
  <c r="AF764" i="7"/>
  <c r="AG108" i="7"/>
  <c r="AF108" i="7"/>
  <c r="AE108" i="7"/>
  <c r="AG391" i="7"/>
  <c r="AF391" i="7"/>
  <c r="AE391" i="7"/>
  <c r="AF637" i="7"/>
  <c r="AG637" i="7"/>
  <c r="AE637" i="7"/>
  <c r="AF52" i="7"/>
  <c r="AG52" i="7"/>
  <c r="AE52" i="7"/>
  <c r="AG666" i="7"/>
  <c r="AF666" i="7"/>
  <c r="AE666" i="7"/>
  <c r="AG562" i="7"/>
  <c r="AF562" i="7"/>
  <c r="AE562" i="7"/>
  <c r="AG772" i="7"/>
  <c r="AF772" i="7"/>
  <c r="AE772" i="7"/>
  <c r="AF556" i="7"/>
  <c r="AG556" i="7"/>
  <c r="AE556" i="7"/>
  <c r="AF779" i="7"/>
  <c r="AG779" i="7"/>
  <c r="AE779" i="7"/>
  <c r="AG901" i="7"/>
  <c r="AF901" i="7"/>
  <c r="AE901" i="7"/>
  <c r="AG351" i="7"/>
  <c r="AE351" i="7"/>
  <c r="AF351" i="7"/>
  <c r="AF882" i="7"/>
  <c r="AG882" i="7"/>
  <c r="AE882" i="7"/>
  <c r="AG217" i="7"/>
  <c r="AF217" i="7"/>
  <c r="AE217" i="7"/>
  <c r="AG132" i="7"/>
  <c r="AF132" i="7"/>
  <c r="AE132" i="7"/>
  <c r="AF908" i="7"/>
  <c r="AG908" i="7"/>
  <c r="AE908" i="7"/>
  <c r="AF473" i="7"/>
  <c r="AG473" i="7"/>
  <c r="AE473" i="7"/>
  <c r="AG601" i="7"/>
  <c r="AF601" i="7"/>
  <c r="AE601" i="7"/>
  <c r="AG48" i="7"/>
  <c r="AF48" i="7"/>
  <c r="AE48" i="7"/>
  <c r="AG233" i="7"/>
  <c r="AF233" i="7"/>
  <c r="AE233" i="7"/>
  <c r="AG1043" i="7"/>
  <c r="AF1043" i="7"/>
  <c r="AE1043" i="7"/>
  <c r="AG719" i="7"/>
  <c r="AF719" i="7"/>
  <c r="AE719" i="7"/>
  <c r="AG611" i="7"/>
  <c r="AF611" i="7"/>
  <c r="AE611" i="7"/>
  <c r="AF89" i="7"/>
  <c r="AG89" i="7"/>
  <c r="AE89" i="7"/>
  <c r="AG1002" i="7"/>
  <c r="AF1002" i="7"/>
  <c r="AE1002" i="7"/>
  <c r="AF440" i="7"/>
  <c r="AG440" i="7"/>
  <c r="AE440" i="7"/>
  <c r="AG247" i="7"/>
  <c r="AF247" i="7"/>
  <c r="AE247" i="7"/>
  <c r="AG586" i="7"/>
  <c r="AF586" i="7"/>
  <c r="AE586" i="7"/>
  <c r="AG1044" i="7"/>
  <c r="AF1044" i="7"/>
  <c r="AE1044" i="7"/>
  <c r="AG503" i="7"/>
  <c r="AF503" i="7"/>
  <c r="AE503" i="7"/>
  <c r="AG588" i="7"/>
  <c r="AF588" i="7"/>
  <c r="AE588" i="7"/>
  <c r="AG696" i="7"/>
  <c r="AF696" i="7"/>
  <c r="AE696" i="7"/>
  <c r="AF199" i="7"/>
  <c r="AG199" i="7"/>
  <c r="AE199" i="7"/>
  <c r="AF250" i="7"/>
  <c r="AG250" i="7"/>
  <c r="AE250" i="7"/>
  <c r="AG336" i="7"/>
  <c r="AF336" i="7"/>
  <c r="AE336" i="7"/>
  <c r="AF683" i="7"/>
  <c r="AG683" i="7"/>
  <c r="AE683" i="7"/>
  <c r="AF907" i="7"/>
  <c r="AG907" i="7"/>
  <c r="AE907" i="7"/>
  <c r="AG448" i="7"/>
  <c r="AF448" i="7"/>
  <c r="AE448" i="7"/>
  <c r="AF160" i="7"/>
  <c r="AG160" i="7"/>
  <c r="AE160" i="7"/>
  <c r="AG799" i="7"/>
  <c r="AF799" i="7"/>
  <c r="AE799" i="7"/>
  <c r="AF691" i="7"/>
  <c r="AG691" i="7"/>
  <c r="AE691" i="7"/>
  <c r="AG267" i="7"/>
  <c r="AF267" i="7"/>
  <c r="AE267" i="7"/>
  <c r="AG436" i="7"/>
  <c r="AF436" i="7"/>
  <c r="AE436" i="7"/>
  <c r="AF706" i="7"/>
  <c r="AG706" i="7"/>
  <c r="AE706" i="7"/>
  <c r="AG681" i="7"/>
  <c r="AF681" i="7"/>
  <c r="AE681" i="7"/>
  <c r="AF572" i="7"/>
  <c r="AG572" i="7"/>
  <c r="AE572" i="7"/>
  <c r="AF591" i="7"/>
  <c r="AG591" i="7"/>
  <c r="AE591" i="7"/>
  <c r="AG519" i="7"/>
  <c r="AF519" i="7"/>
  <c r="AE519" i="7"/>
  <c r="AF722" i="7"/>
  <c r="AG722" i="7"/>
  <c r="AE722" i="7"/>
  <c r="AG25" i="7"/>
  <c r="AF25" i="7"/>
  <c r="AE25" i="7"/>
  <c r="AG761" i="7"/>
  <c r="AF761" i="7"/>
  <c r="AE761" i="7"/>
  <c r="AF675" i="7"/>
  <c r="AG675" i="7"/>
  <c r="AE675" i="7"/>
  <c r="AG184" i="7"/>
  <c r="AF184" i="7"/>
  <c r="AE184" i="7"/>
  <c r="AF769" i="7"/>
  <c r="AG769" i="7"/>
  <c r="AE769" i="7"/>
  <c r="AG103" i="7"/>
  <c r="AF103" i="7"/>
  <c r="AE103" i="7"/>
  <c r="AG421" i="7"/>
  <c r="AF421" i="7"/>
  <c r="AE421" i="7"/>
  <c r="AG1010" i="7"/>
  <c r="AF1010" i="7"/>
  <c r="AE1010" i="7"/>
  <c r="AG784" i="7"/>
  <c r="AF784" i="7"/>
  <c r="AE784" i="7"/>
  <c r="AF794" i="7"/>
  <c r="AG794" i="7"/>
  <c r="AE794" i="7"/>
  <c r="AF282" i="7"/>
  <c r="AG282" i="7"/>
  <c r="AE282" i="7"/>
  <c r="AF239" i="7"/>
  <c r="AG239" i="7"/>
  <c r="AE239" i="7"/>
  <c r="AF477" i="7"/>
  <c r="AG477" i="7"/>
  <c r="AE477" i="7"/>
  <c r="AG837" i="7"/>
  <c r="AF837" i="7"/>
  <c r="AE837" i="7"/>
  <c r="AF834" i="7"/>
  <c r="AG834" i="7"/>
  <c r="AE834" i="7"/>
  <c r="AG335" i="7"/>
  <c r="AF335" i="7"/>
  <c r="AE335" i="7"/>
  <c r="AG495" i="7"/>
  <c r="AF495" i="7"/>
  <c r="AE495" i="7"/>
  <c r="AF1050" i="7"/>
  <c r="AG1050" i="7"/>
  <c r="AE1050" i="7"/>
  <c r="AG210" i="7"/>
  <c r="AF210" i="7"/>
  <c r="AE210" i="7"/>
  <c r="AF398" i="7"/>
  <c r="AG398" i="7"/>
  <c r="AE398" i="7"/>
  <c r="AG224" i="7"/>
  <c r="AF224" i="7"/>
  <c r="AE224" i="7"/>
  <c r="AG275" i="7"/>
  <c r="AF275" i="7"/>
  <c r="AE275" i="7"/>
  <c r="AF955" i="7"/>
  <c r="AG955" i="7"/>
  <c r="AE955" i="7"/>
  <c r="AG481" i="7"/>
  <c r="AF481" i="7"/>
  <c r="AE481" i="7"/>
  <c r="AG526" i="7"/>
  <c r="AF526" i="7"/>
  <c r="AE526" i="7"/>
  <c r="AG1036" i="7"/>
  <c r="AF1036" i="7"/>
  <c r="AE1036" i="7"/>
  <c r="AG300" i="7"/>
  <c r="AF300" i="7"/>
  <c r="AE300" i="7"/>
  <c r="AG354" i="7"/>
  <c r="AF354" i="7"/>
  <c r="AE354" i="7"/>
  <c r="AF29" i="7"/>
  <c r="AG29" i="7"/>
  <c r="AE29" i="7"/>
  <c r="AF580" i="7"/>
  <c r="AG580" i="7"/>
  <c r="AE580" i="7"/>
  <c r="AG1060" i="7"/>
  <c r="AF1060" i="7"/>
  <c r="AE1060" i="7"/>
  <c r="AF904" i="7"/>
  <c r="AG904" i="7"/>
  <c r="AE904" i="7"/>
  <c r="AG390" i="7"/>
  <c r="AF390" i="7"/>
  <c r="AE390" i="7"/>
  <c r="AF991" i="7"/>
  <c r="AG991" i="7"/>
  <c r="AE991" i="7"/>
  <c r="AG187" i="7"/>
  <c r="AF187" i="7"/>
  <c r="AE187" i="7"/>
  <c r="AG204" i="7"/>
  <c r="AF204" i="7"/>
  <c r="AE204" i="7"/>
  <c r="AF490" i="7"/>
  <c r="AG490" i="7"/>
  <c r="AE490" i="7"/>
  <c r="AG264" i="7"/>
  <c r="AF264" i="7"/>
  <c r="AE264" i="7"/>
  <c r="AF401" i="7"/>
  <c r="AG401" i="7"/>
  <c r="AE401" i="7"/>
  <c r="AG1034" i="7"/>
  <c r="AF1034" i="7"/>
  <c r="AE1034" i="7"/>
  <c r="AF916" i="7"/>
  <c r="AG916" i="7"/>
  <c r="AE916" i="7"/>
  <c r="AG672" i="7"/>
  <c r="AF672" i="7"/>
  <c r="AE672" i="7"/>
  <c r="AG745" i="7"/>
  <c r="AF745" i="7"/>
  <c r="AE745" i="7"/>
  <c r="AF676" i="7"/>
  <c r="AG676" i="7"/>
  <c r="AE676" i="7"/>
  <c r="AF445" i="7"/>
  <c r="AG445" i="7"/>
  <c r="AE445" i="7"/>
  <c r="AF705" i="7"/>
  <c r="AG705" i="7"/>
  <c r="AE705" i="7"/>
  <c r="AF636" i="7"/>
  <c r="AG636" i="7"/>
  <c r="AE636" i="7"/>
  <c r="AF333" i="7"/>
  <c r="AG333" i="7"/>
  <c r="AE333" i="7"/>
  <c r="AG716" i="7"/>
  <c r="AF716" i="7"/>
  <c r="AE716" i="7"/>
  <c r="AF315" i="7"/>
  <c r="AG315" i="7"/>
  <c r="AE315" i="7"/>
  <c r="AF78" i="7"/>
  <c r="AG78" i="7"/>
  <c r="AE78" i="7"/>
  <c r="AF464" i="7"/>
  <c r="AG464" i="7"/>
  <c r="AE464" i="7"/>
  <c r="AG1026" i="7"/>
  <c r="AF1026" i="7"/>
  <c r="AE1026" i="7"/>
  <c r="AF345" i="7"/>
  <c r="AG345" i="7"/>
  <c r="AE345" i="7"/>
  <c r="AG552" i="7"/>
  <c r="AF552" i="7"/>
  <c r="AE552" i="7"/>
  <c r="AG214" i="7"/>
  <c r="AF214" i="7"/>
  <c r="AE214" i="7"/>
  <c r="AF73" i="7"/>
  <c r="AG73" i="7"/>
  <c r="AE73" i="7"/>
  <c r="AF724" i="7"/>
  <c r="AG724" i="7"/>
  <c r="AE724" i="7"/>
  <c r="AF972" i="7"/>
  <c r="AG972" i="7"/>
  <c r="AE972" i="7"/>
  <c r="AG980" i="7"/>
  <c r="AF980" i="7"/>
  <c r="AE980" i="7"/>
  <c r="AF216" i="7"/>
  <c r="AG216" i="7"/>
  <c r="AE216" i="7"/>
  <c r="AF124" i="7"/>
  <c r="AG124" i="7"/>
  <c r="AE124" i="7"/>
  <c r="AG32" i="7"/>
  <c r="AF32" i="7"/>
  <c r="AE32" i="7"/>
  <c r="AG459" i="7"/>
  <c r="AF459" i="7"/>
  <c r="AE459" i="7"/>
  <c r="AF154" i="7"/>
  <c r="AG154" i="7"/>
  <c r="AE154" i="7"/>
  <c r="AG833" i="7"/>
  <c r="AF833" i="7"/>
  <c r="AE833" i="7"/>
  <c r="AF1018" i="7"/>
  <c r="AG1018" i="7"/>
  <c r="AE1018" i="7"/>
  <c r="AG176" i="7"/>
  <c r="AF176" i="7"/>
  <c r="AE176" i="7"/>
  <c r="AF105" i="7"/>
  <c r="AG105" i="7"/>
  <c r="AE105" i="7"/>
  <c r="AG976" i="7"/>
  <c r="AF976" i="7"/>
  <c r="AE976" i="7"/>
  <c r="AG487" i="7"/>
  <c r="AF487" i="7"/>
  <c r="AE487" i="7"/>
  <c r="AF570" i="7"/>
  <c r="AG570" i="7"/>
  <c r="AE570" i="7"/>
  <c r="AG749" i="7"/>
  <c r="AF749" i="7"/>
  <c r="AE749" i="7"/>
  <c r="AG823" i="7"/>
  <c r="AF823" i="7"/>
  <c r="AE823" i="7"/>
  <c r="AF808" i="7"/>
  <c r="AG808" i="7"/>
  <c r="AE808" i="7"/>
  <c r="AG173" i="7"/>
  <c r="AF173" i="7"/>
  <c r="AE173" i="7"/>
  <c r="AG894" i="7"/>
  <c r="AF894" i="7"/>
  <c r="AE894" i="7"/>
  <c r="AG770" i="7"/>
  <c r="AF770" i="7"/>
  <c r="AE770" i="7"/>
  <c r="AF973" i="7"/>
  <c r="AG973" i="7"/>
  <c r="AE973" i="7"/>
  <c r="AF868" i="7"/>
  <c r="AG868" i="7"/>
  <c r="AE868" i="7"/>
  <c r="AF997" i="7"/>
  <c r="AG997" i="7"/>
  <c r="AE997" i="7"/>
  <c r="AF168" i="7"/>
  <c r="AG168" i="7"/>
  <c r="AE168" i="7"/>
  <c r="AG850" i="7"/>
  <c r="AF850" i="7"/>
  <c r="AE850" i="7"/>
  <c r="AF975" i="7"/>
  <c r="AG975" i="7"/>
  <c r="AE975" i="7"/>
  <c r="AF194" i="7"/>
  <c r="AG194" i="7"/>
  <c r="AE194" i="7"/>
  <c r="AF604" i="7"/>
  <c r="AG604" i="7"/>
  <c r="AE604" i="7"/>
  <c r="AF435" i="7"/>
  <c r="AG435" i="7"/>
  <c r="AE435" i="7"/>
  <c r="AF70" i="7"/>
  <c r="AG70" i="7"/>
  <c r="AE70" i="7"/>
  <c r="AG425" i="7"/>
  <c r="AF425" i="7"/>
  <c r="AE425" i="7"/>
  <c r="AG896" i="7"/>
  <c r="AF896" i="7"/>
  <c r="AE896" i="7"/>
  <c r="AF308" i="7"/>
  <c r="AG308" i="7"/>
  <c r="AE308" i="7"/>
  <c r="AG417" i="7"/>
  <c r="AF417" i="7"/>
  <c r="AE417" i="7"/>
  <c r="AG45" i="7"/>
  <c r="AF45" i="7"/>
  <c r="AE45" i="7"/>
  <c r="AG797" i="7"/>
  <c r="AF797" i="7"/>
  <c r="AE797" i="7"/>
  <c r="AG892" i="7"/>
  <c r="AE892" i="7"/>
  <c r="AF892" i="7"/>
  <c r="AE783" i="7"/>
  <c r="AG783" i="7"/>
  <c r="AF783" i="7"/>
  <c r="AF37" i="7"/>
  <c r="AG37" i="7"/>
  <c r="AE37" i="7"/>
  <c r="AG83" i="7"/>
  <c r="AF83" i="7"/>
  <c r="AE83" i="7"/>
  <c r="AG865" i="7"/>
  <c r="AF865" i="7"/>
  <c r="AE865" i="7"/>
  <c r="AF91" i="7"/>
  <c r="AG91" i="7"/>
  <c r="AE91" i="7"/>
  <c r="AF1003" i="7"/>
  <c r="AG1003" i="7"/>
  <c r="AE1003" i="7"/>
  <c r="AG205" i="7"/>
  <c r="AF205" i="7"/>
  <c r="AE205" i="7"/>
  <c r="AG317" i="7"/>
  <c r="AF317" i="7"/>
  <c r="AE317" i="7"/>
  <c r="AF258" i="7"/>
  <c r="AG258" i="7"/>
  <c r="AE258" i="7"/>
  <c r="AF919" i="7"/>
  <c r="AG919" i="7"/>
  <c r="AE919" i="7"/>
  <c r="AF498" i="7"/>
  <c r="AG498" i="7"/>
  <c r="AE498" i="7"/>
  <c r="AG667" i="7"/>
  <c r="AF667" i="7"/>
  <c r="AE667" i="7"/>
  <c r="AF278" i="7"/>
  <c r="AG278" i="7"/>
  <c r="AE278" i="7"/>
  <c r="AG268" i="7"/>
  <c r="AF268" i="7"/>
  <c r="AE268" i="7"/>
  <c r="AF512" i="7"/>
  <c r="AG512" i="7"/>
  <c r="AE512" i="7"/>
  <c r="AG529" i="7"/>
  <c r="AF529" i="7"/>
  <c r="AE529" i="7"/>
  <c r="AF243" i="7"/>
  <c r="AG243" i="7"/>
  <c r="AE243" i="7"/>
  <c r="AF181" i="7"/>
  <c r="AG181" i="7"/>
  <c r="AE181" i="7"/>
  <c r="AF432" i="7"/>
  <c r="AG432" i="7"/>
  <c r="AE432" i="7"/>
  <c r="AF992" i="7"/>
  <c r="AG992" i="7"/>
  <c r="AE992" i="7"/>
  <c r="AG847" i="7"/>
  <c r="AF847" i="7"/>
  <c r="AE847" i="7"/>
  <c r="AG143" i="7"/>
  <c r="AF143" i="7"/>
  <c r="AE143" i="7"/>
  <c r="AG125" i="7"/>
  <c r="AF125" i="7"/>
  <c r="AE125" i="7"/>
  <c r="AF478" i="7"/>
  <c r="AG478" i="7"/>
  <c r="AE478" i="7"/>
  <c r="AG884" i="7"/>
  <c r="AF884" i="7"/>
  <c r="AE884" i="7"/>
  <c r="AG655" i="7"/>
  <c r="AF655" i="7"/>
  <c r="AE655" i="7"/>
  <c r="AF778" i="7"/>
  <c r="AG778" i="7"/>
  <c r="AE778" i="7"/>
  <c r="AG456" i="7"/>
  <c r="AF456" i="7"/>
  <c r="AE456" i="7"/>
  <c r="AF644" i="7"/>
  <c r="AG644" i="7"/>
  <c r="AE644" i="7"/>
  <c r="AG728" i="7"/>
  <c r="AF728" i="7"/>
  <c r="AE728" i="7"/>
  <c r="AF307" i="7"/>
  <c r="AG307" i="7"/>
  <c r="AE307" i="7"/>
  <c r="AG506" i="7"/>
  <c r="AF506" i="7"/>
  <c r="AE506" i="7"/>
  <c r="AG645" i="7"/>
  <c r="AF645" i="7"/>
  <c r="AE645" i="7"/>
  <c r="AG891" i="7"/>
  <c r="AF891" i="7"/>
  <c r="AE891" i="7"/>
  <c r="AG789" i="7"/>
  <c r="AF789" i="7"/>
  <c r="AE789" i="7"/>
  <c r="AF810" i="7"/>
  <c r="AG810" i="7"/>
  <c r="AE810" i="7"/>
  <c r="AF15" i="7"/>
  <c r="AG15" i="7"/>
  <c r="AE15" i="7"/>
  <c r="AG888" i="7"/>
  <c r="AF888" i="7"/>
  <c r="AE888" i="7"/>
  <c r="AG269" i="7"/>
  <c r="AF269" i="7"/>
  <c r="AE269" i="7"/>
  <c r="AF1042" i="7"/>
  <c r="AG1042" i="7"/>
  <c r="AE1042" i="7"/>
  <c r="AF594" i="7"/>
  <c r="AG594" i="7"/>
  <c r="AE594" i="7"/>
  <c r="AF902" i="7"/>
  <c r="AE902" i="7"/>
  <c r="AG902" i="7"/>
  <c r="AG293" i="7"/>
  <c r="AF293" i="7"/>
  <c r="AE293" i="7"/>
  <c r="AF79" i="7"/>
  <c r="AG79" i="7"/>
  <c r="AE79" i="7"/>
  <c r="AG699" i="7"/>
  <c r="AF699" i="7"/>
  <c r="AE699" i="7"/>
  <c r="AF937" i="7"/>
  <c r="AG937" i="7"/>
  <c r="AE937" i="7"/>
  <c r="AG577" i="7"/>
  <c r="AF577" i="7"/>
  <c r="AE577" i="7"/>
  <c r="AG633" i="7"/>
  <c r="AF633" i="7"/>
  <c r="AE633" i="7"/>
  <c r="AG259" i="7"/>
  <c r="AF259" i="7"/>
  <c r="AE259" i="7"/>
  <c r="AF443" i="7"/>
  <c r="AG443" i="7"/>
  <c r="AE443" i="7"/>
  <c r="AF221" i="7"/>
  <c r="AG221" i="7"/>
  <c r="AE221" i="7"/>
  <c r="AF544" i="7"/>
  <c r="AG544" i="7"/>
  <c r="AE544" i="7"/>
  <c r="AF413" i="7"/>
  <c r="AG413" i="7"/>
  <c r="AE413" i="7"/>
  <c r="AF732" i="7"/>
  <c r="AG732" i="7"/>
  <c r="AE732" i="7"/>
  <c r="AF983" i="7"/>
  <c r="AG983" i="7"/>
  <c r="AE983" i="7"/>
  <c r="AE196" i="7"/>
  <c r="AF196" i="7"/>
  <c r="AG196" i="7"/>
  <c r="AF743" i="7"/>
  <c r="AG743" i="7"/>
  <c r="AE743" i="7"/>
  <c r="AF820" i="7"/>
  <c r="AG820" i="7"/>
  <c r="AE820" i="7"/>
  <c r="AG639" i="7"/>
  <c r="AF639" i="7"/>
  <c r="AE639" i="7"/>
  <c r="AG762" i="7"/>
  <c r="AF762" i="7"/>
  <c r="AE762" i="7"/>
  <c r="AG476" i="7"/>
  <c r="AF476" i="7"/>
  <c r="AE476" i="7"/>
  <c r="AF517" i="7"/>
  <c r="AG517" i="7"/>
  <c r="AE517" i="7"/>
  <c r="AF959" i="7"/>
  <c r="AG959" i="7"/>
  <c r="AE959" i="7"/>
  <c r="AG911" i="7"/>
  <c r="AF911" i="7"/>
  <c r="AE911" i="7"/>
  <c r="AG1029" i="7"/>
  <c r="AF1029" i="7"/>
  <c r="AE1029" i="7"/>
  <c r="AF929" i="7"/>
  <c r="AG929" i="7"/>
  <c r="AE929" i="7"/>
  <c r="AF964" i="7"/>
  <c r="AG964" i="7"/>
  <c r="AE964" i="7"/>
  <c r="AF569" i="7"/>
  <c r="AG569" i="7"/>
  <c r="AE569" i="7"/>
  <c r="AF157" i="7"/>
  <c r="AG157" i="7"/>
  <c r="AE157" i="7"/>
  <c r="AG713" i="7"/>
  <c r="AF713" i="7"/>
  <c r="AE713" i="7"/>
  <c r="AF424" i="7"/>
  <c r="AG424" i="7"/>
  <c r="AE424" i="7"/>
  <c r="AF688" i="7"/>
  <c r="AG688" i="7"/>
  <c r="AE688" i="7"/>
  <c r="AF99" i="7"/>
  <c r="AG99" i="7"/>
  <c r="AE99" i="7"/>
  <c r="AG640" i="7"/>
  <c r="AF640" i="7"/>
  <c r="AE640" i="7"/>
  <c r="AG295" i="7"/>
  <c r="AF295" i="7"/>
  <c r="AE295" i="7"/>
  <c r="AG708" i="7"/>
  <c r="AF708" i="7"/>
  <c r="AE708" i="7"/>
  <c r="AF81" i="7"/>
  <c r="AG81" i="7"/>
  <c r="AE81" i="7"/>
  <c r="AF653" i="7"/>
  <c r="AG653" i="7"/>
  <c r="AE653" i="7"/>
  <c r="AF47" i="7"/>
  <c r="AG47" i="7"/>
  <c r="AE47" i="7"/>
  <c r="AG302" i="7"/>
  <c r="AF302" i="7"/>
  <c r="AE302" i="7"/>
  <c r="AF453" i="7"/>
  <c r="AG453" i="7"/>
  <c r="AE453" i="7"/>
  <c r="AG909" i="7"/>
  <c r="AF909" i="7"/>
  <c r="AE909" i="7"/>
  <c r="AG828" i="7"/>
  <c r="AF828" i="7"/>
  <c r="AE828" i="7"/>
  <c r="AF113" i="7"/>
  <c r="AG113" i="7"/>
  <c r="AE113" i="7"/>
  <c r="AG618" i="7"/>
  <c r="AF618" i="7"/>
  <c r="AE618" i="7"/>
  <c r="AF825" i="7"/>
  <c r="AG825" i="7"/>
  <c r="AE825" i="7"/>
  <c r="AF737" i="7"/>
  <c r="AG737" i="7"/>
  <c r="AE737" i="7"/>
  <c r="AF287" i="7"/>
  <c r="AG287" i="7"/>
  <c r="AE287" i="7"/>
  <c r="AG461" i="7"/>
  <c r="AF461" i="7"/>
  <c r="AE461" i="7"/>
  <c r="AF857" i="7"/>
  <c r="AG857" i="7"/>
  <c r="AE857" i="7"/>
  <c r="AF922" i="7"/>
  <c r="AG922" i="7"/>
  <c r="AE922" i="7"/>
  <c r="AF661" i="7"/>
  <c r="AG661" i="7"/>
  <c r="AE661" i="7"/>
  <c r="AG469" i="7"/>
  <c r="AF469" i="7"/>
  <c r="AE469" i="7"/>
  <c r="AG325" i="7"/>
  <c r="AE325" i="7"/>
  <c r="AF325" i="7"/>
  <c r="AG1021" i="7"/>
  <c r="AF1021" i="7"/>
  <c r="AE1021" i="7"/>
  <c r="AF23" i="7"/>
  <c r="AG23" i="7"/>
  <c r="AE23" i="7"/>
  <c r="AG965" i="7"/>
  <c r="AF965" i="7"/>
  <c r="AE965" i="7"/>
  <c r="AG465" i="7"/>
  <c r="AF465" i="7"/>
  <c r="AE465" i="7"/>
  <c r="AG294" i="7"/>
  <c r="AF294" i="7"/>
  <c r="AE294" i="7"/>
  <c r="AF238" i="7"/>
  <c r="AG238" i="7"/>
  <c r="AE238" i="7"/>
  <c r="AF988" i="7"/>
  <c r="AG988" i="7"/>
  <c r="AE988" i="7"/>
  <c r="AF212" i="7"/>
  <c r="AG212" i="7"/>
  <c r="AE212" i="7"/>
  <c r="AF952" i="7"/>
  <c r="AE952" i="7"/>
  <c r="AG952" i="7"/>
  <c r="AG438" i="7"/>
  <c r="AF438" i="7"/>
  <c r="AE438" i="7"/>
  <c r="AG251" i="7"/>
  <c r="AF251" i="7"/>
  <c r="AE251" i="7"/>
  <c r="AF721" i="7"/>
  <c r="AG721" i="7"/>
  <c r="AE721" i="7"/>
  <c r="AG320" i="7"/>
  <c r="AF320" i="7"/>
  <c r="AE320" i="7"/>
  <c r="AG740" i="7"/>
  <c r="AF740" i="7"/>
  <c r="AE740" i="7"/>
  <c r="AF46" i="7"/>
  <c r="AG46" i="7"/>
</calcChain>
</file>

<file path=xl/sharedStrings.xml><?xml version="1.0" encoding="utf-8"?>
<sst xmlns="http://schemas.openxmlformats.org/spreadsheetml/2006/main" count="1577" uniqueCount="974">
  <si>
    <t>See output sheet for a summary of your info!</t>
  </si>
  <si>
    <t>None</t>
  </si>
  <si>
    <t>What if electricity prices inflate? ---&gt;</t>
  </si>
  <si>
    <t>What if battery prices fall? ---&gt;</t>
  </si>
  <si>
    <t>Customise Payback Years   ----&gt;</t>
  </si>
  <si>
    <t>Customisation</t>
  </si>
  <si>
    <t>Summary</t>
  </si>
  <si>
    <t>Default</t>
  </si>
  <si>
    <t>Sacrifice Battery Life for More Capacity?</t>
  </si>
  <si>
    <t xml:space="preserve">Peak Events Per Year </t>
  </si>
  <si>
    <t xml:space="preserve">Custom Peak Length </t>
  </si>
  <si>
    <t>Battery Capacity per kW of Peak Offset</t>
  </si>
  <si>
    <t>Maximum length of Peak (Hours)</t>
  </si>
  <si>
    <t>Shape of Peak</t>
  </si>
  <si>
    <t>Peak Details</t>
  </si>
  <si>
    <t>Standard Capacity Charges</t>
  </si>
  <si>
    <t>Electricity Network Provider</t>
  </si>
  <si>
    <t>I16</t>
  </si>
  <si>
    <t>Endeavour Energy</t>
  </si>
  <si>
    <t>I15</t>
  </si>
  <si>
    <t>Less than 3 hours</t>
  </si>
  <si>
    <t>I14</t>
  </si>
  <si>
    <t>I13</t>
  </si>
  <si>
    <t>Peak usage occurs at a predictable time of day</t>
  </si>
  <si>
    <t>I12</t>
  </si>
  <si>
    <t>I have to pay capacity charges</t>
  </si>
  <si>
    <t>I11</t>
  </si>
  <si>
    <t>I10</t>
  </si>
  <si>
    <t>Cycles per Year</t>
  </si>
  <si>
    <t>Cycles per Week - Weekend</t>
  </si>
  <si>
    <t>Cycles per Week - Weekday</t>
  </si>
  <si>
    <t>Average Gross Earnings Per Cycle</t>
  </si>
  <si>
    <t>Round Trip Efficiency</t>
  </si>
  <si>
    <t>Battery Storage Tariff Earnings</t>
  </si>
  <si>
    <t>Both</t>
  </si>
  <si>
    <t>Use Off Peak, Solar or Both?</t>
  </si>
  <si>
    <t>Solar Effective Price</t>
  </si>
  <si>
    <t>Solar Details</t>
  </si>
  <si>
    <t>Off Peak</t>
  </si>
  <si>
    <t>Shoulder</t>
  </si>
  <si>
    <t>Peak</t>
  </si>
  <si>
    <t>Standard Energy Prices</t>
  </si>
  <si>
    <t>My Tariff Details</t>
  </si>
  <si>
    <t xml:space="preserve">Standard </t>
  </si>
  <si>
    <t>Time of Use Tariff Details</t>
  </si>
  <si>
    <t>7-10 Years</t>
  </si>
  <si>
    <t>I9</t>
  </si>
  <si>
    <t>I want the shortest payback possible</t>
  </si>
  <si>
    <t>I8</t>
  </si>
  <si>
    <t/>
  </si>
  <si>
    <t>I7</t>
  </si>
  <si>
    <t>Medium Energy Customer</t>
  </si>
  <si>
    <t>I6</t>
  </si>
  <si>
    <t>I can get all the power I need from the grid, I want to save money</t>
  </si>
  <si>
    <t>I5</t>
  </si>
  <si>
    <t>I4</t>
  </si>
  <si>
    <t>1
1</t>
  </si>
  <si>
    <t>Yes</t>
  </si>
  <si>
    <t>I3</t>
  </si>
  <si>
    <t>I2</t>
  </si>
  <si>
    <t>Set 1</t>
  </si>
  <si>
    <t>I1</t>
  </si>
  <si>
    <t>Answer (please select from drop down list)</t>
  </si>
  <si>
    <t>Question</t>
  </si>
  <si>
    <t xml:space="preserve"> </t>
  </si>
  <si>
    <t>Cumulative ROI</t>
  </si>
  <si>
    <t>Payback Cost</t>
  </si>
  <si>
    <t>Tariff Earnings</t>
  </si>
  <si>
    <t>X Axis</t>
  </si>
  <si>
    <t>Lifetime Constraint</t>
  </si>
  <si>
    <t>Payback Contraint</t>
  </si>
  <si>
    <t>Lower Contraint</t>
  </si>
  <si>
    <t>Alt 1</t>
  </si>
  <si>
    <t>Contraint Price</t>
  </si>
  <si>
    <t>Break Even Alt 1</t>
  </si>
  <si>
    <t>Break Even Year</t>
  </si>
  <si>
    <t>Graph Y Axis</t>
  </si>
  <si>
    <t>Break Even Calc Alt1</t>
  </si>
  <si>
    <t>Break Even Calc</t>
  </si>
  <si>
    <t>Arbitrage Break Even Calc</t>
  </si>
  <si>
    <t>Average Arbitrage Earnings</t>
  </si>
  <si>
    <t>Arbitrage Earnings</t>
  </si>
  <si>
    <t>Discount 1</t>
  </si>
  <si>
    <t>Full Price</t>
  </si>
  <si>
    <t>Levelised Cost Per kWh</t>
  </si>
  <si>
    <t>Years</t>
  </si>
  <si>
    <t>Cycles</t>
  </si>
  <si>
    <t>Numbers 1 -20</t>
  </si>
  <si>
    <t>Cost Graphs</t>
  </si>
  <si>
    <t>Breakeven Graphs</t>
  </si>
  <si>
    <t xml:space="preserve">Earnings </t>
  </si>
  <si>
    <t>Levelised Cost</t>
  </si>
  <si>
    <t>ROI over Expected Lifetime (15 Years)</t>
  </si>
  <si>
    <t>Break Even Point</t>
  </si>
  <si>
    <t xml:space="preserve">Delta Fill Loss </t>
  </si>
  <si>
    <t>Delta Fill Profit</t>
  </si>
  <si>
    <t>Bottom Area</t>
  </si>
  <si>
    <t>Area Plots</t>
  </si>
  <si>
    <t>XY Plots</t>
  </si>
  <si>
    <t>Custom</t>
  </si>
  <si>
    <t>Discount Model</t>
  </si>
  <si>
    <t>Y Coordinate</t>
  </si>
  <si>
    <t>Max</t>
  </si>
  <si>
    <t>X Coordinate</t>
  </si>
  <si>
    <t>Min</t>
  </si>
  <si>
    <t>Loss</t>
  </si>
  <si>
    <t>Profit</t>
  </si>
  <si>
    <t>Graph</t>
  </si>
  <si>
    <t>Area Resolution</t>
  </si>
  <si>
    <t>Payback Constraint</t>
  </si>
  <si>
    <t>Final</t>
  </si>
  <si>
    <t>Space</t>
  </si>
  <si>
    <t xml:space="preserve"> years</t>
  </si>
  <si>
    <t xml:space="preserve">The payback year nominated by the user is </t>
  </si>
  <si>
    <t>Characters:</t>
  </si>
  <si>
    <t>User entered customisations of the model are as follows:</t>
  </si>
  <si>
    <t xml:space="preserve"> years, which is equal to a kWh rate of $</t>
  </si>
  <si>
    <t xml:space="preserve">It is assumed that the average cost of battery storage of </t>
  </si>
  <si>
    <t xml:space="preserve">General Assumptions: </t>
  </si>
  <si>
    <t>Demand Charges</t>
  </si>
  <si>
    <t>10pm-9am</t>
  </si>
  <si>
    <t>9am-2pm , 8-10pm</t>
  </si>
  <si>
    <t>2-8pm (Weekdays)</t>
  </si>
  <si>
    <t>The time of use details used to calculate this is as follows:</t>
  </si>
  <si>
    <t>Not Feasible</t>
  </si>
  <si>
    <t>Feasible</t>
  </si>
  <si>
    <t>The average tariff benefit earned by cycling a battery is $</t>
  </si>
  <si>
    <t>The levelised cost of the battery storage system at 15 years is $</t>
  </si>
  <si>
    <t>The levelised cost of the battery storage system at the payback year nominated is $</t>
  </si>
  <si>
    <t>Summary of Output</t>
  </si>
  <si>
    <t>Earnings</t>
  </si>
  <si>
    <t>Costs</t>
  </si>
  <si>
    <t>Cd / by</t>
  </si>
  <si>
    <t>Tariff</t>
  </si>
  <si>
    <t>Months</t>
  </si>
  <si>
    <t>Bx</t>
  </si>
  <si>
    <t xml:space="preserve">Peak Index </t>
  </si>
  <si>
    <t>Length</t>
  </si>
  <si>
    <t>Discount C</t>
  </si>
  <si>
    <t>Full Price C</t>
  </si>
  <si>
    <t>C</t>
  </si>
  <si>
    <t>Average Earnings Moving</t>
  </si>
  <si>
    <t>Average Yearly Profit</t>
  </si>
  <si>
    <t>Average Yearly Costs</t>
  </si>
  <si>
    <t xml:space="preserve">Average Yearly Earnings </t>
  </si>
  <si>
    <t>Cumulative Average Cost</t>
  </si>
  <si>
    <t>Battery Life Years</t>
  </si>
  <si>
    <t>Lifetime Battery Cycles</t>
  </si>
  <si>
    <t>Battery Life Nominal</t>
  </si>
  <si>
    <t>Inflation Index</t>
  </si>
  <si>
    <t>Maximum</t>
  </si>
  <si>
    <t>Aggressive</t>
  </si>
  <si>
    <t>Moderate</t>
  </si>
  <si>
    <t>Conservative</t>
  </si>
  <si>
    <t>Battery Factor</t>
  </si>
  <si>
    <t>Default Inflation</t>
  </si>
  <si>
    <t>Chosen Inflation</t>
  </si>
  <si>
    <t>Off Peak Price</t>
  </si>
  <si>
    <t>Yearly Earnings from KVA</t>
  </si>
  <si>
    <t>DOD Booster</t>
  </si>
  <si>
    <t>kVA Events per Year</t>
  </si>
  <si>
    <t>Numbers from 10 to 320</t>
  </si>
  <si>
    <t>Value to use</t>
  </si>
  <si>
    <t>Plot</t>
  </si>
  <si>
    <t>Noise + Curve</t>
  </si>
  <si>
    <t>Square</t>
  </si>
  <si>
    <t>Intermediate</t>
  </si>
  <si>
    <t>Gradual Peak</t>
  </si>
  <si>
    <t>Noise</t>
  </si>
  <si>
    <t xml:space="preserve">Demand Charge / kVA/M </t>
  </si>
  <si>
    <t>Display</t>
  </si>
  <si>
    <t>kVA Demand per Month</t>
  </si>
  <si>
    <t>Total Area under Noise</t>
  </si>
  <si>
    <t>Which Shape to Use</t>
  </si>
  <si>
    <t>Offset</t>
  </si>
  <si>
    <t>Peak Scaling Factor</t>
  </si>
  <si>
    <t>Rapid Peak</t>
  </si>
  <si>
    <t>Noise Divisor</t>
  </si>
  <si>
    <t>PeakLengthCustom</t>
  </si>
  <si>
    <t>Index</t>
  </si>
  <si>
    <t>Numbers from 0.5 to 5 hours</t>
  </si>
  <si>
    <t xml:space="preserve">Scale </t>
  </si>
  <si>
    <t>max x</t>
  </si>
  <si>
    <t>min X</t>
  </si>
  <si>
    <t>min plateau size</t>
  </si>
  <si>
    <t>PeakLength</t>
  </si>
  <si>
    <t>It is CRITICAL that careful analysis is performed to ensure that the battery is sized correctly to supply ALL events</t>
  </si>
  <si>
    <t>The user should balance the peak threshold such that the battery is not insubstantially small but at the same time only the largest peaks will require battery intervention</t>
  </si>
  <si>
    <t>It is assumed that the system never fails to fully supply the load above the peak threshold</t>
  </si>
  <si>
    <t>A peak event is approximated such that the power consumption increases to a maximum, remains at that point for a set duration and decreases linearly</t>
  </si>
  <si>
    <t>$1000 per kWh</t>
  </si>
  <si>
    <t>It is assumed that the battery is always charged from off-peak power</t>
  </si>
  <si>
    <t>It is assumed that the battery is always fully charged before a peak event occurs</t>
  </si>
  <si>
    <t>The average annual tariff benefit earned by peak lopping is $</t>
  </si>
  <si>
    <t>The average cost of the battery storage system per annum to the payback year nominated is $</t>
  </si>
  <si>
    <t>Output</t>
  </si>
  <si>
    <t>Large Energy User</t>
  </si>
  <si>
    <t>Medium Energy User</t>
  </si>
  <si>
    <t>Small Energy User</t>
  </si>
  <si>
    <t>Comment 2</t>
  </si>
  <si>
    <t>Battery storage for peak lopping is not feasible</t>
  </si>
  <si>
    <t>Your payback expectations are too short</t>
  </si>
  <si>
    <t>Comment 1</t>
  </si>
  <si>
    <t>Lifetime works but payback year doesn’t</t>
  </si>
  <si>
    <t>Tariff Structure</t>
  </si>
  <si>
    <t>Tariff Arbitrage Summary</t>
  </si>
  <si>
    <t>AID4</t>
  </si>
  <si>
    <t>AID3</t>
  </si>
  <si>
    <t>AID2</t>
  </si>
  <si>
    <t>AID1</t>
  </si>
  <si>
    <t>A4</t>
  </si>
  <si>
    <t>A3</t>
  </si>
  <si>
    <t>A2</t>
  </si>
  <si>
    <t>A1</t>
  </si>
  <si>
    <t>Index19</t>
  </si>
  <si>
    <t>Index39</t>
  </si>
  <si>
    <t>Index38</t>
  </si>
  <si>
    <t>Index37</t>
  </si>
  <si>
    <t>Index36</t>
  </si>
  <si>
    <t>Index35</t>
  </si>
  <si>
    <t>Index34</t>
  </si>
  <si>
    <t>Index33</t>
  </si>
  <si>
    <t>Index32</t>
  </si>
  <si>
    <t>Index31</t>
  </si>
  <si>
    <t>Index30</t>
  </si>
  <si>
    <t>Index29</t>
  </si>
  <si>
    <t>Index28</t>
  </si>
  <si>
    <t>Index27</t>
  </si>
  <si>
    <t>Index26</t>
  </si>
  <si>
    <t>Index25</t>
  </si>
  <si>
    <t>Index24</t>
  </si>
  <si>
    <t>Index23</t>
  </si>
  <si>
    <t>Index22</t>
  </si>
  <si>
    <t>Index21</t>
  </si>
  <si>
    <t>Index20</t>
  </si>
  <si>
    <t>Index18</t>
  </si>
  <si>
    <t>Index17</t>
  </si>
  <si>
    <t>Index16</t>
  </si>
  <si>
    <t>Index15</t>
  </si>
  <si>
    <t>Index14</t>
  </si>
  <si>
    <t>Index13</t>
  </si>
  <si>
    <t>Index12</t>
  </si>
  <si>
    <t>Index11</t>
  </si>
  <si>
    <t>Index10</t>
  </si>
  <si>
    <t>Index9</t>
  </si>
  <si>
    <t>Index8</t>
  </si>
  <si>
    <t>Index7</t>
  </si>
  <si>
    <t>Index6</t>
  </si>
  <si>
    <t>Index5</t>
  </si>
  <si>
    <t>Index4</t>
  </si>
  <si>
    <t>Index3</t>
  </si>
  <si>
    <t>Index2</t>
  </si>
  <si>
    <t>Index1</t>
  </si>
  <si>
    <t>Exit</t>
  </si>
  <si>
    <t>Set 34</t>
  </si>
  <si>
    <t>Set 33</t>
  </si>
  <si>
    <t>Set 32</t>
  </si>
  <si>
    <t>Set Exit7</t>
  </si>
  <si>
    <t>Set Exit6</t>
  </si>
  <si>
    <t>Set Exit5</t>
  </si>
  <si>
    <t>Set Exit4</t>
  </si>
  <si>
    <t>Set Exit3</t>
  </si>
  <si>
    <t>Set Exit2</t>
  </si>
  <si>
    <t>Set Exit1</t>
  </si>
  <si>
    <t>Set 22b</t>
  </si>
  <si>
    <t>Set 22a</t>
  </si>
  <si>
    <t>Set 21</t>
  </si>
  <si>
    <t>Set 20b</t>
  </si>
  <si>
    <t>Set 20a</t>
  </si>
  <si>
    <t>Set 19</t>
  </si>
  <si>
    <t>Set 18b</t>
  </si>
  <si>
    <t>Set 18a</t>
  </si>
  <si>
    <t>Set 17</t>
  </si>
  <si>
    <t>Set 16</t>
  </si>
  <si>
    <t>Set 15</t>
  </si>
  <si>
    <t>Set 14</t>
  </si>
  <si>
    <t>Set 13b</t>
  </si>
  <si>
    <t>Set 13a</t>
  </si>
  <si>
    <t>Set 12</t>
  </si>
  <si>
    <t>Set 11</t>
  </si>
  <si>
    <t>Set 10</t>
  </si>
  <si>
    <t>Set 9</t>
  </si>
  <si>
    <t>Set 8</t>
  </si>
  <si>
    <t>Set 8a</t>
  </si>
  <si>
    <t>Set 7</t>
  </si>
  <si>
    <t>Set 6</t>
  </si>
  <si>
    <t>Set 5</t>
  </si>
  <si>
    <t>Set 4c</t>
  </si>
  <si>
    <t>Set 4b</t>
  </si>
  <si>
    <t>Set 4a2</t>
  </si>
  <si>
    <t>Set 4a1</t>
  </si>
  <si>
    <t>Set 3</t>
  </si>
  <si>
    <t>Set 2</t>
  </si>
  <si>
    <t>Peak Lopping only applies to businesses with peak capacity charges. Thanks for playing!</t>
  </si>
  <si>
    <t xml:space="preserve">Sorry, the Solar only model isn't ready yet. Please select alternative answer. </t>
  </si>
  <si>
    <t>Thanks for playing!</t>
  </si>
  <si>
    <t>Random usage</t>
  </si>
  <si>
    <t>Sorry, the financing model isn't ready yet! Please select an alternative answer.</t>
  </si>
  <si>
    <t>Afternoon / evening usage</t>
  </si>
  <si>
    <t>Sorry, off grid power solutions requires a detailed analysis to determine feasibility.</t>
  </si>
  <si>
    <t>24/7 usage</t>
  </si>
  <si>
    <t>Sorry, the network-contrained power model isn't ready yet! Please select alternative answer.</t>
  </si>
  <si>
    <t>Optimal day time usage</t>
  </si>
  <si>
    <t>Sorry, back-up power solutions requires a detailed analysis to determine feasibility.</t>
  </si>
  <si>
    <t>It appears Solar PV makes financial sense for you. See below for details</t>
  </si>
  <si>
    <t>kWh used per day</t>
  </si>
  <si>
    <t>Enter value</t>
  </si>
  <si>
    <t>Average consumption (kWh/day)</t>
  </si>
  <si>
    <t>Graph 4</t>
  </si>
  <si>
    <t>Graph 3</t>
  </si>
  <si>
    <t>Graph 2</t>
  </si>
  <si>
    <t>Graph 1</t>
  </si>
  <si>
    <t>How do you use power? See below graphs that highlight situations where Solar makes sense</t>
  </si>
  <si>
    <t>Solar not possible</t>
  </si>
  <si>
    <t>No</t>
  </si>
  <si>
    <t>Solar power generation is possible</t>
  </si>
  <si>
    <t>Set 16a</t>
  </si>
  <si>
    <t>Does this area receive direct sunlight (free from shading) for most of the day?</t>
  </si>
  <si>
    <t>A solar installation is possible</t>
  </si>
  <si>
    <t xml:space="preserve">Do you have a roofspace (or north facing wall) for additional Solar Panels? </t>
  </si>
  <si>
    <t xml:space="preserve">Do you have a roofspace (or north facing wall) on which Solar Panels could physically be mounted? </t>
  </si>
  <si>
    <t>Peak Lopping is likely to unfeasible since a very large battery is required for such a long peak (see below)</t>
  </si>
  <si>
    <t>Peak Lopping may be feasible if you can be very confident of when and to what degree peaks occur</t>
  </si>
  <si>
    <t>Peak Lopping will be too difficult to achieve without more information or control. Consider tariff arbitrage only!</t>
  </si>
  <si>
    <t>The location of the business has not been established and an average tariff has been applied</t>
  </si>
  <si>
    <t>I don't know</t>
  </si>
  <si>
    <t>The business is in the Essential Energy region</t>
  </si>
  <si>
    <t>Essential Energy</t>
  </si>
  <si>
    <t>The business is in the Endeavour Energy region</t>
  </si>
  <si>
    <t>The business is in the Ausgrid region</t>
  </si>
  <si>
    <t>Ausgrid</t>
  </si>
  <si>
    <t>Which electricity network provider supplies your power?</t>
  </si>
  <si>
    <t>Peak usage may occur for more than 3 hours</t>
  </si>
  <si>
    <t>More than 3 hours</t>
  </si>
  <si>
    <t>Peak usage occurs for no more than 3 hours</t>
  </si>
  <si>
    <t>Peak usage occurs for no more than 2 hours</t>
  </si>
  <si>
    <t>Less than 2 hours</t>
  </si>
  <si>
    <t>Peak usage occurs for no more than 1 hour</t>
  </si>
  <si>
    <t>Less than 1 hour</t>
  </si>
  <si>
    <t>How long do you expect usage to be at peak levels?</t>
  </si>
  <si>
    <t>Tell me what you know about the size of your peak capacity usage</t>
  </si>
  <si>
    <t>Peak usage occurs at a controllable time of day</t>
  </si>
  <si>
    <t>Tell me what you know about when your peak capacity usage occurs</t>
  </si>
  <si>
    <t>Capacity charges do not apply to the business</t>
  </si>
  <si>
    <t>I don't have to pay capacity charges</t>
  </si>
  <si>
    <t>Capacity charges apply to the business</t>
  </si>
  <si>
    <t>Which capacity charge tariff situation applies to you?</t>
  </si>
  <si>
    <t>Let's look at peak lopping…</t>
  </si>
  <si>
    <t>Batteries might be feasible if conditions are suitable (See below)</t>
  </si>
  <si>
    <t>Batteries might be feasible if conditions are perfect (See below)</t>
  </si>
  <si>
    <t xml:space="preserve">Batteries don't appear feasible at this time (see below) </t>
  </si>
  <si>
    <t>Good battery use cases could be feasible</t>
  </si>
  <si>
    <t>Payback over the lifetime of the installation is sufficient</t>
  </si>
  <si>
    <t>More than 10 years</t>
  </si>
  <si>
    <t>Must be an ideal situation to be feasible</t>
  </si>
  <si>
    <t>Only ideal situations for battery storage should be considered for this business</t>
  </si>
  <si>
    <t>Batteries are too expensive at the moment</t>
  </si>
  <si>
    <t>Expectations for return on investment are unrealistically short for this business and only perfect situations should be considered</t>
  </si>
  <si>
    <t>3-7 Years</t>
  </si>
  <si>
    <t>What is the simple payback duration that you deem acceptable in terms of years?</t>
  </si>
  <si>
    <t>Non Financial</t>
  </si>
  <si>
    <t>Aspirations for battery storage are not only financial for this business</t>
  </si>
  <si>
    <t>I'm more interested in grid-independence, renewable energy targets and tax-deductions</t>
  </si>
  <si>
    <t>Life ROI</t>
  </si>
  <si>
    <t>Payback calculations are modelled based on 15 year lifetime</t>
  </si>
  <si>
    <t>Batteries last a long time, so I'm happy if the lifetime ROI makes sense</t>
  </si>
  <si>
    <t>Short payback goals</t>
  </si>
  <si>
    <t>Payback calculations are modelled based on nominated payback year</t>
  </si>
  <si>
    <t>What are your financial expectations for a battery system?</t>
  </si>
  <si>
    <t>Usage is in excess of 160MWh per year</t>
  </si>
  <si>
    <t>More than $30,000</t>
  </si>
  <si>
    <t>Usage is between 100MWh and 160MWh per year</t>
  </si>
  <si>
    <t>Between $20,000 and $30,000</t>
  </si>
  <si>
    <t>Usage is less than 100MWh per year</t>
  </si>
  <si>
    <t>Less than $20,000</t>
  </si>
  <si>
    <t>Approximately how much money do you spend on electricity per year?</t>
  </si>
  <si>
    <t>Unknown array size</t>
  </si>
  <si>
    <t>Don't Know</t>
  </si>
  <si>
    <t>Number of panels is _</t>
  </si>
  <si>
    <t>Enter Quantity   ----&gt;</t>
  </si>
  <si>
    <t>Do you know how many solar panels are in the solar array?</t>
  </si>
  <si>
    <t>Unknown solar PV size</t>
  </si>
  <si>
    <t>Solar maximum power of  _  kW</t>
  </si>
  <si>
    <t>Do you know the maximum kilowatts your solar array can produce?</t>
  </si>
  <si>
    <t>Current grid-feed in</t>
  </si>
  <si>
    <t>No, some (or all) power is supplied back to the grid</t>
  </si>
  <si>
    <t>Self-consumed solar</t>
  </si>
  <si>
    <t>Join</t>
  </si>
  <si>
    <t>Yes, all power is self-consumed</t>
  </si>
  <si>
    <t xml:space="preserve">Do you use all of the power generated by the solar array, or is excess fed into the grid? </t>
  </si>
  <si>
    <t>No existing solar PV</t>
  </si>
  <si>
    <t>Existing solar PV</t>
  </si>
  <si>
    <t>Do you currently have onsite Solar PV?</t>
  </si>
  <si>
    <t xml:space="preserve">Yearly energy consumption by MWh is not known. </t>
  </si>
  <si>
    <t>I don't know, please help me to decide</t>
  </si>
  <si>
    <t>Large Energy Customer ( &gt; 160MWh per year or average of 274 kWh per day)</t>
  </si>
  <si>
    <t>Small Energy Customer ( &lt; 100MWh per year or average of 274 kWh per day)</t>
  </si>
  <si>
    <t>Which category best reflects your power consumption?</t>
  </si>
  <si>
    <t>Off-grid set-up</t>
  </si>
  <si>
    <t>The business requires off-grid capability. Detailed site analysis is required for requirements to be accurate</t>
  </si>
  <si>
    <t>The grid seldom (or never) supplies what I need, I want an off-grid set-up</t>
  </si>
  <si>
    <t>Network constrained</t>
  </si>
  <si>
    <t>The business has identified a network constraint and is interested in defering connection upgrades. Detailed site analysis is required for requirements to be accurate</t>
  </si>
  <si>
    <t>Occasionally more power is needed than the network can supply. I'm looking at options to upgrade</t>
  </si>
  <si>
    <t>Back-up goals</t>
  </si>
  <si>
    <t>The business is grid connected and has identified back-up capability requirements. Detailed site analysis is required for requirements to be accurate</t>
  </si>
  <si>
    <t>Power failures are very costly to my business and I need a back-up option</t>
  </si>
  <si>
    <t>Financial goals</t>
  </si>
  <si>
    <t>The business is a typical grid connected business looking to reduce electricity costs</t>
  </si>
  <si>
    <t>Which statement best reflects your power situation:</t>
  </si>
  <si>
    <t>Now that's out of the way…</t>
  </si>
  <si>
    <t>The business cannot construct a battery room</t>
  </si>
  <si>
    <t>Game Over</t>
  </si>
  <si>
    <t>Solar Only</t>
  </si>
  <si>
    <t>The business may find Solar PV more feasible than battery storage</t>
  </si>
  <si>
    <t>Investigate Solar PV without batteries</t>
  </si>
  <si>
    <t>Continue, but I need more info about a battery room</t>
  </si>
  <si>
    <t>Battery room allowed</t>
  </si>
  <si>
    <t>The business is able to construct a battery room on site</t>
  </si>
  <si>
    <t>Commercial installation requirements mean that a dedicated battery room will need to be constructed. 
Do you have the neccesary space and/or permission to construct this room?</t>
  </si>
  <si>
    <t>The business is not allowed to modify its electrical infrastructure</t>
  </si>
  <si>
    <t>Game over</t>
  </si>
  <si>
    <t>Electrical connection allowed</t>
  </si>
  <si>
    <t>The business is allowed to modify its electrical infrastructure</t>
  </si>
  <si>
    <t>Do you own the property and/or have permission to modify the property's electrical infrastructure?</t>
  </si>
  <si>
    <t>The business is not prepared for capital expenditure</t>
  </si>
  <si>
    <t>This is too expensive but let's continue anyway</t>
  </si>
  <si>
    <t>Finance will be needed</t>
  </si>
  <si>
    <t>Minimum budget confirmed</t>
  </si>
  <si>
    <t>The business is prepared for capital expenditure</t>
  </si>
  <si>
    <t>Even small battery systems cost $15,000, and typically cost more than $50,000. Do you have at least this budget?</t>
  </si>
  <si>
    <t>Nil</t>
  </si>
  <si>
    <t>Let's get some basic things out of the way…</t>
  </si>
  <si>
    <t>Load</t>
  </si>
  <si>
    <t>Shown Answer</t>
  </si>
  <si>
    <t>Set Number</t>
  </si>
  <si>
    <t>I18</t>
  </si>
  <si>
    <t>I17</t>
  </si>
  <si>
    <t>Graph Input</t>
  </si>
  <si>
    <t>Network</t>
  </si>
  <si>
    <t>Peak Length</t>
  </si>
  <si>
    <t>Residential Flat</t>
  </si>
  <si>
    <t>User Group</t>
  </si>
  <si>
    <t>Selected Answer</t>
  </si>
  <si>
    <t>Associated Output</t>
  </si>
  <si>
    <t>Possible Answers</t>
  </si>
  <si>
    <t>Average Energy Profit Per Cycle</t>
  </si>
  <si>
    <t>Profit per Year per kWh</t>
  </si>
  <si>
    <t>Cycles Per year</t>
  </si>
  <si>
    <t>Time of Use Chosen</t>
  </si>
  <si>
    <t>Profit per Cycle per kWh</t>
  </si>
  <si>
    <t>Total</t>
  </si>
  <si>
    <t>DO</t>
  </si>
  <si>
    <t>DS</t>
  </si>
  <si>
    <t>DB</t>
  </si>
  <si>
    <t>TO</t>
  </si>
  <si>
    <t>TS</t>
  </si>
  <si>
    <t>TB</t>
  </si>
  <si>
    <t>SO</t>
  </si>
  <si>
    <t>SS</t>
  </si>
  <si>
    <t>Weekend Cycles</t>
  </si>
  <si>
    <t>Weekday Cycles</t>
  </si>
  <si>
    <t>SB</t>
  </si>
  <si>
    <t>Time-of-Use Structure</t>
  </si>
  <si>
    <t>Offpeak to Shoulder Cycles Per Week</t>
  </si>
  <si>
    <t>Offpeak to Peak Cycles Per Week</t>
  </si>
  <si>
    <t>Solar to Shoulder Cycles Per Week</t>
  </si>
  <si>
    <t>Solar to Peak Cycles Per Week</t>
  </si>
  <si>
    <t>Selected Price</t>
  </si>
  <si>
    <t>Custom Energy Prices</t>
  </si>
  <si>
    <t>Solar</t>
  </si>
  <si>
    <t>Off Usage</t>
  </si>
  <si>
    <t>Shoulder Usage</t>
  </si>
  <si>
    <t>Peak Usage</t>
  </si>
  <si>
    <t>Applicable Tariffs</t>
  </si>
  <si>
    <t>Off Peak Only</t>
  </si>
  <si>
    <t xml:space="preserve">Daytime Peak </t>
  </si>
  <si>
    <t xml:space="preserve">Two Peak </t>
  </si>
  <si>
    <t xml:space="preserve">Solar </t>
  </si>
  <si>
    <t>Mapping Matrix</t>
  </si>
  <si>
    <t>8pm-7am</t>
  </si>
  <si>
    <t>5-10pm</t>
  </si>
  <si>
    <t>9am-5pm</t>
  </si>
  <si>
    <t>9am- 5pm (Weekdays)</t>
  </si>
  <si>
    <t>7-9am, 5-8pm (Weekdays)</t>
  </si>
  <si>
    <t>Default Efficiency</t>
  </si>
  <si>
    <t>Days Per Year</t>
  </si>
  <si>
    <t>Weeks Per Year</t>
  </si>
  <si>
    <t>KVA Only</t>
  </si>
  <si>
    <t>Peak KVA Applicable</t>
  </si>
  <si>
    <t>Weekend Usage</t>
  </si>
  <si>
    <t>http://pvwatts.nrel.gov/pvwatts.php</t>
  </si>
  <si>
    <t>Average Lifetime Cost of Solar</t>
  </si>
  <si>
    <t>Lifetime Output</t>
  </si>
  <si>
    <t>Yearly Output kWh per year per 10kW</t>
  </si>
  <si>
    <t>Option 2</t>
  </si>
  <si>
    <t>Price for 10kW</t>
  </si>
  <si>
    <t>Option 1</t>
  </si>
  <si>
    <t>Lifetime (years)</t>
  </si>
  <si>
    <t>Solar Model</t>
  </si>
  <si>
    <t>Solar Price per Watt</t>
  </si>
  <si>
    <t>http://www.solarchoice.net.au/blog/5kw-solar-system-price-output-return/</t>
  </si>
  <si>
    <t>Current First Order Approximation</t>
  </si>
  <si>
    <t>Discount Factor</t>
  </si>
  <si>
    <t>Price</t>
  </si>
  <si>
    <t>Capital Cost Factor</t>
  </si>
  <si>
    <t>Gradient of curve</t>
  </si>
  <si>
    <t>20kW</t>
  </si>
  <si>
    <t>Three Phase Inverter</t>
  </si>
  <si>
    <t>36kWh</t>
  </si>
  <si>
    <t xml:space="preserve">Sonnenschein A600 Solar - 1937Ah </t>
  </si>
  <si>
    <t>17kWh</t>
  </si>
  <si>
    <t>Ecoult Ultra</t>
  </si>
  <si>
    <t>2.5kW</t>
  </si>
  <si>
    <t>SMA Storage</t>
  </si>
  <si>
    <t>6kW</t>
  </si>
  <si>
    <t>SMA Sunny Island</t>
  </si>
  <si>
    <t>7.5kWh</t>
  </si>
  <si>
    <t>LG Battery</t>
  </si>
  <si>
    <t>-</t>
  </si>
  <si>
    <t>Performance</t>
  </si>
  <si>
    <t>Component</t>
  </si>
  <si>
    <t>Capaciity</t>
  </si>
  <si>
    <t>Peak Power (kW)</t>
  </si>
  <si>
    <t>Custom Capacity Charges</t>
  </si>
  <si>
    <t>Enter  --&gt;</t>
  </si>
  <si>
    <t>Average</t>
  </si>
  <si>
    <t>Essential</t>
  </si>
  <si>
    <t>Endeavour</t>
  </si>
  <si>
    <t>AusGrid</t>
  </si>
  <si>
    <t>$/ kVA Demand per Month</t>
  </si>
  <si>
    <t>Location</t>
  </si>
  <si>
    <t>Residential TOU</t>
  </si>
  <si>
    <t>Connection Charge</t>
  </si>
  <si>
    <t>(+ inverter cost)</t>
  </si>
  <si>
    <t>=</t>
  </si>
  <si>
    <t>$0.68 for expansion packs</t>
  </si>
  <si>
    <t>$0.36 per expansion pack</t>
  </si>
  <si>
    <t>$0.57 for expansion packs</t>
  </si>
  <si>
    <t>$1.32 for base model</t>
  </si>
  <si>
    <t>$1.30 for base model</t>
  </si>
  <si>
    <t>$0.61 base unit</t>
  </si>
  <si>
    <t>$0.63 (+ inverter cost)</t>
  </si>
  <si>
    <t>$0.55 (+ inverter cost)</t>
  </si>
  <si>
    <t>$1.70 for base model</t>
  </si>
  <si>
    <t>$1.33 (+ inverter cost)</t>
  </si>
  <si>
    <t>$0.67 (+ inverter cost)</t>
  </si>
  <si>
    <t>$0.54 (+ inverter cost)</t>
  </si>
  <si>
    <t>$0.50 (+ inverter cost)</t>
  </si>
  <si>
    <t>$0.42 (0.8 cycles per day) (+ inverter cost)</t>
  </si>
  <si>
    <t>$0.43 (+ inverter cost)</t>
  </si>
  <si>
    <t>Cost per Total warranted kWh (1 cycle per day)</t>
  </si>
  <si>
    <t>4,928 per 3kWh battery</t>
  </si>
  <si>
    <t>21,024 (based on battery warranty)</t>
  </si>
  <si>
    <t>4,015 (based on 5 yr warranty)</t>
  </si>
  <si>
    <t>5,293 (base unit)</t>
  </si>
  <si>
    <t>Total warranted kWh (1 cycle per day)</t>
  </si>
  <si>
    <t>@ 4 cycles per day based on 5 year warranty</t>
  </si>
  <si>
    <t>$0.17 for expansion packs</t>
  </si>
  <si>
    <t>@ 0.8 cycles per day</t>
  </si>
  <si>
    <t>$0.46 @ 1.65 cycles per day</t>
  </si>
  <si>
    <t>$0.33 for base model</t>
  </si>
  <si>
    <t>$0.22 @ 2.2 cycles per day</t>
  </si>
  <si>
    <t>$0.34 @ 3 cycles per day</t>
  </si>
  <si>
    <t>0.39 @ 2.2 cycles per day</t>
  </si>
  <si>
    <t>$0.65 for base model</t>
  </si>
  <si>
    <t>$0.56 @ 1.1 cycles per day</t>
  </si>
  <si>
    <t>$0.24 @ 2 cycles per day</t>
  </si>
  <si>
    <t>$0.59 @ 2.8 cycles per day</t>
  </si>
  <si>
    <t>$0.19 (+ inverter cost) @ 3.3 cycles per day and 5 year warranty</t>
  </si>
  <si>
    <t>$0.25 (+ inverter cost) @ 2.2 cycles per day</t>
  </si>
  <si>
    <t>$0.39 for base 3.6kWh model (+ inverter cost) @ 2.7 cycles per day</t>
  </si>
  <si>
    <t>$0.33 (+ inverter cost) @ 4 cycles per day</t>
  </si>
  <si>
    <t>$0.34 (+ inverter cost)@2 cycles per day</t>
  </si>
  <si>
    <t>$0.26 (+ inverter cost) @ 2.7 cycles per day (and &lt; 43ºC)</t>
  </si>
  <si>
    <t>$0.44 (+ inverter cost) @ 1.15 cycles per day</t>
  </si>
  <si>
    <t>$0.42 (+ inverter cost) </t>
  </si>
  <si>
    <t>$0.39 (+ inverter cost) @ 1.13 cycles per day</t>
  </si>
  <si>
    <t>$0.26 @ 1.13 cycles per day</t>
  </si>
  <si>
    <t>Cost per warranted kWh (multiple cycles per day)</t>
  </si>
  <si>
    <t>18,000 (implied)</t>
  </si>
  <si>
    <t>21,600 per 3kWh battery (implied)</t>
  </si>
  <si>
    <t>68,000 (implied)</t>
  </si>
  <si>
    <t>35,100 (implied)</t>
  </si>
  <si>
    <t>46080 (implied)</t>
  </si>
  <si>
    <t>15,360 base model (implied)</t>
  </si>
  <si>
    <t>23,040 (implied)</t>
  </si>
  <si>
    <t>8,322 (implied)</t>
  </si>
  <si>
    <t>11,800 (implied)</t>
  </si>
  <si>
    <t>13,200 (implied)</t>
  </si>
  <si>
    <t>8,000 (implied)</t>
  </si>
  <si>
    <t>23,200 (implied)</t>
  </si>
  <si>
    <t>45,600 (implied)</t>
  </si>
  <si>
    <t>27,000 (implied)</t>
  </si>
  <si>
    <t>20,800 (warranted)</t>
  </si>
  <si>
    <t>18,000 (warranted)</t>
  </si>
  <si>
    <t>30,000 (warranted)</t>
  </si>
  <si>
    <t>19,200 (warranted)</t>
  </si>
  <si>
    <t>Total warranted kWh (multiple cycles per day)</t>
  </si>
  <si>
    <t>Yes (pages 56-61)</t>
  </si>
  <si>
    <t>Warranty Document Supplied?</t>
  </si>
  <si>
    <t>10 years battery. 5 years balance of systems</t>
  </si>
  <si>
    <t>5 years (extendable to 20 years)</t>
  </si>
  <si>
    <t>10 years</t>
  </si>
  <si>
    <t>5 years</t>
  </si>
  <si>
    <t>5 year inverter warranty, 10 year battery warranty</t>
  </si>
  <si>
    <t>2 years</t>
  </si>
  <si>
    <t>5 years full warranty, 3 extra years partial warranty</t>
  </si>
  <si>
    <t>5 years product warranty</t>
  </si>
  <si>
    <t>5 years if purchase is registered with Fronius after purchase</t>
  </si>
  <si>
    <t>7 years</t>
  </si>
  <si>
    <t>10 years - if you register the Powerwall online and connect it to the internet within 3 months of it being installed. If you fail to do this, warranty is 4 years.</t>
  </si>
  <si>
    <t>Warranted total energy throughput 30MWh or a maximum of 10 years, whichever comes first.</t>
  </si>
  <si>
    <t>10 years </t>
  </si>
  <si>
    <t>Warranty</t>
  </si>
  <si>
    <t>Only single phase - T5 model is three phase</t>
  </si>
  <si>
    <t>Single Phase, can install multiple units for 3 phase sites if required</t>
  </si>
  <si>
    <t>Only single phase</t>
  </si>
  <si>
    <t>Yes.</t>
  </si>
  <si>
    <t>Single phase inverters currently, 3 phase planned for future</t>
  </si>
  <si>
    <t>3 Phase Only</t>
  </si>
  <si>
    <t>Both single and three phrase compatible?</t>
  </si>
  <si>
    <t>Currently not available</t>
  </si>
  <si>
    <t>Not currently - planning to add in future</t>
  </si>
  <si>
    <t>No - Sunverge have their own software that competes directly with Reposit</t>
  </si>
  <si>
    <t>Capable – working with Reposit to finalise</t>
  </si>
  <si>
    <t>Yes, when used with suitable inverter (such as SMA)</t>
  </si>
  <si>
    <t>Yes, with SolarEdge inverter</t>
  </si>
  <si>
    <t>Capable – working with Reposit to deliver</t>
  </si>
  <si>
    <t>Yes, with Sungrow SH5K Hybrid inverter</t>
  </si>
  <si>
    <t>Reposit Ready?</t>
  </si>
  <si>
    <t>Blackout protection available for essential loads</t>
  </si>
  <si>
    <t>Yes – With 2 AC outputs (Grid/Backup)</t>
  </si>
  <si>
    <t>EPS capable with SolaX Power inverters</t>
  </si>
  <si>
    <t>Yes, with SMA Sunny Island inverter</t>
  </si>
  <si>
    <t>Yes, with Sunny Island or Struder inverter/charger</t>
  </si>
  <si>
    <t>Off-grid Capable?</t>
  </si>
  <si>
    <t>85-90%</t>
  </si>
  <si>
    <t>TBC</t>
  </si>
  <si>
    <t>&gt;90%</t>
  </si>
  <si>
    <t>6000 cycles at 80% DoD </t>
  </si>
  <si>
    <t>8,000 cycles at 90% DoD</t>
  </si>
  <si>
    <t>8,000 cycles at 85% DoD</t>
  </si>
  <si>
    <t>6,000 cycles at 90% DoD</t>
  </si>
  <si>
    <t>4,000 cycles to 80% DoD (80% capacity remaining)</t>
  </si>
  <si>
    <t>4,000 cycles at 90% DoD</t>
  </si>
  <si>
    <t>7300 cycles at 95% DoD</t>
  </si>
  <si>
    <t>2000 cycles at 75% DoD</t>
  </si>
  <si>
    <t>3,000 cycles at 100% DoD</t>
  </si>
  <si>
    <t>4,000 cycles at 80% DoD</t>
  </si>
  <si>
    <t>8,000 cycles at 80% DoD</t>
  </si>
  <si>
    <t>15,000 cycles @ 95% DoD</t>
  </si>
  <si>
    <t>5,000 cycles @ 80% DoD</t>
  </si>
  <si>
    <t>10,000 cycles at 80% DoD </t>
  </si>
  <si>
    <t>740 cycles at 85% DoD, then 1,087 at 72%, then 2,368 at 60%</t>
  </si>
  <si>
    <t>4,000 cycles at 100% DoD</t>
  </si>
  <si>
    <t>2,625 cycles at 80%DoD then 1,500 cycles at 60%DoD</t>
  </si>
  <si>
    <t>Cycle Life</t>
  </si>
  <si>
    <t>68cm x 61cm x 25cm</t>
  </si>
  <si>
    <t>61cm x 163cm x 65cm</t>
  </si>
  <si>
    <t>86cm x 186cm x 36cm</t>
  </si>
  <si>
    <t>28cm x 120cm x 114cm</t>
  </si>
  <si>
    <t>68 x 162 x 65 cm</t>
  </si>
  <si>
    <t>70cm x 180 cm x 65cm</t>
  </si>
  <si>
    <t>39cm x 32.5cm x 22cm</t>
  </si>
  <si>
    <t>112 cm x 36cm x 53cm</t>
  </si>
  <si>
    <t>33cm x 93 cm x 31cm</t>
  </si>
  <si>
    <t>37cm x 13cm x 43cm</t>
  </si>
  <si>
    <t>57cm x 95cm x 61cm</t>
  </si>
  <si>
    <t>73cm x 31cm x 51cm </t>
  </si>
  <si>
    <t>67cm x 53cm x 47cm </t>
  </si>
  <si>
    <t>34 cm x 35 cm x 20 cm</t>
  </si>
  <si>
    <t>86cm x 130cm x 18cm</t>
  </si>
  <si>
    <t>50cm x 115 cm x 100cm</t>
  </si>
  <si>
    <t>40cm x 66 cm x 16cm </t>
  </si>
  <si>
    <t>Dimensions (WHD)</t>
  </si>
  <si>
    <t>3kW on grid/2kW off grid</t>
  </si>
  <si>
    <t>5kW steady</t>
  </si>
  <si>
    <t>5kW steady, 8.5kW peak</t>
  </si>
  <si>
    <t>4kW</t>
  </si>
  <si>
    <t>4.6kW grid connected / 6.0kW peak in backup mode</t>
  </si>
  <si>
    <t>260W per battery (stacks with each additional battery)</t>
  </si>
  <si>
    <t>4.6kW on grid, 3kW peak in backup mode  </t>
  </si>
  <si>
    <t>0.68kW steady, 0.8kW peak (stacks with each additional 2.2kWh pack)</t>
  </si>
  <si>
    <t>2kW continuous per module (stacks with each additional module)</t>
  </si>
  <si>
    <t>4kW steady</t>
  </si>
  <si>
    <t>3.2kW steady</t>
  </si>
  <si>
    <t>3.3kW steady, 6.5kW peak</t>
  </si>
  <si>
    <t>3.1 kW steady, peak power 4.1kW (per individual module)</t>
  </si>
  <si>
    <t>3.3kW steady, 5 kW peak</t>
  </si>
  <si>
    <t>3kW steady, 5kW peak</t>
  </si>
  <si>
    <t>3.6kW steady, 5kW peak</t>
  </si>
  <si>
    <t>Power</t>
  </si>
  <si>
    <t>96kg</t>
  </si>
  <si>
    <t>150kg without batteries, add 20kg for each additional battery pack</t>
  </si>
  <si>
    <t>300 kg</t>
  </si>
  <si>
    <t>194kg</t>
  </si>
  <si>
    <t>200kg +</t>
  </si>
  <si>
    <t>215kg +</t>
  </si>
  <si>
    <t>25kg</t>
  </si>
  <si>
    <t>380kg</t>
  </si>
  <si>
    <t>118kg per stack</t>
  </si>
  <si>
    <t>27kg per battery</t>
  </si>
  <si>
    <t>91kg for base 3.6kWh model, add 17kg per additional 1.2kWh expansion pack</t>
  </si>
  <si>
    <t>120kg per module</t>
  </si>
  <si>
    <t>95kg per module</t>
  </si>
  <si>
    <t>38 kg (per individual battery moduke)</t>
  </si>
  <si>
    <t>100kg</t>
  </si>
  <si>
    <t>290kg</t>
  </si>
  <si>
    <t>60kg</t>
  </si>
  <si>
    <t>Weight</t>
  </si>
  <si>
    <t>Expensive</t>
  </si>
  <si>
    <t>Expensive, heavy</t>
  </si>
  <si>
    <t>Heavy</t>
  </si>
  <si>
    <t>Expensive for daily cycling</t>
  </si>
  <si>
    <t>Expensive initial cost, expansion packs better value.</t>
  </si>
  <si>
    <t>Heavy, expensive initial cost</t>
  </si>
  <si>
    <t>Very low power output per battery, not available until mid 2016.</t>
  </si>
  <si>
    <t>Only two year warranty at 75% DoD, low cycle life, heavy</t>
  </si>
  <si>
    <t>Heavy, very low power output compared to lithium-ion unless many battery stacks are purchased and linked together (increasing overall costs).</t>
  </si>
  <si>
    <t>Only 5 year warranty, currently only compatible with SolaX Power Hybrid inverters and Redbacks.</t>
  </si>
  <si>
    <t>Can only be installed indoors, relatively short warranty compared to other lithium-ion batteries, expensive. 3 Phase only.</t>
  </si>
  <si>
    <t>Supported by limited number of inverters (SMA), not economic for daily cycling, is designed more for tariff cycling than energy storage, heavy</t>
  </si>
  <si>
    <t>Supported by limited number of inverters</t>
  </si>
  <si>
    <t>Expensive for once-daily cycling.</t>
  </si>
  <si>
    <t>Usable storage degrades to 3.6kWh after 5 years.</t>
  </si>
  <si>
    <t>Heavy. Question mark over DC-DC roundtrip efficiency (~80%).</t>
  </si>
  <si>
    <t>Battery is warranted to 50ºC ambient (40ºC if operating) </t>
  </si>
  <si>
    <t>Cons</t>
  </si>
  <si>
    <t>Compact, Efficient, Grid tie inverter agnostic</t>
  </si>
  <si>
    <t>High cycle life and depth of discharge, easy to add additional batteries if more storage is needed</t>
  </si>
  <si>
    <t>Has backup capability if grid goes down, extremely high surge power (8.5kW for 30 minutes), very long lifespan. Good $/kwh if cycling twice per day.</t>
  </si>
  <si>
    <t>Good value if you have an application that discharges up to 3x per day. </t>
  </si>
  <si>
    <t>7” Touchscreen + Wi-Fi, Dual Solar inputs up to 6kW, Automatic blackout protection and free remote monitoring (App &amp; Web).</t>
  </si>
  <si>
    <t>Australian owned and developed, Reposit Ready, has backup capability, rugged design for Australian environment.</t>
  </si>
  <si>
    <t>Simple installation, easy to add more batteries to increase storage capacity. Great $/kwh if cycling twice per day.</t>
  </si>
  <si>
    <t>Great upfront value, high performance with partial charging</t>
  </si>
  <si>
    <t>Great price-per-kWh, modular, environmentally friendly disposal, inherently safe chemistry (low fire risk compared to lithium ion)</t>
  </si>
  <si>
    <t>Safest Lithium Chemistry, Scalable in 2kWh modules, Integrated BMS, good cost-per-kWh</t>
  </si>
  <si>
    <t>Additional batteries can be added to increase capacity, very high cycle life, good power output</t>
  </si>
  <si>
    <t>German made, extremely high cycle life, very safe technology, very high charge / discharge performance</t>
  </si>
  <si>
    <t>German made, high quality, plug and play with SMA sunny island, expandable up to 12 modules</t>
  </si>
  <si>
    <t>Can be used in both off-grid and hybrid setups, compact size, modular expansion, 10 year warranty, very high cycle life, BMS integrated into each battery</t>
  </si>
  <si>
    <t>Advanced safety features minimise fire risk</t>
  </si>
  <si>
    <t>Safe chemistry (low fire danger compared to lithium ion), high depth-of-discharge, can tolerate temperatures up to 50 degrees C, easily recycleable, Australian owned &amp; developed</t>
  </si>
  <si>
    <t>Can be used in both off-grid and hybrid setups, compact size, modular expansion.</t>
  </si>
  <si>
    <t>Pros</t>
  </si>
  <si>
    <t>3kWh</t>
  </si>
  <si>
    <t>2.7kWh per battery pack</t>
  </si>
  <si>
    <t>10 kWh</t>
  </si>
  <si>
    <t>6.5kWh</t>
  </si>
  <si>
    <t>11.5kWh</t>
  </si>
  <si>
    <t>3.8kWh</t>
  </si>
  <si>
    <t>5.76 kWh for base unit, 2.9 kWh for each additional battery module</t>
  </si>
  <si>
    <t>1.1kWh per single modular battery (designed to be scalable)</t>
  </si>
  <si>
    <t>5.94kWh</t>
  </si>
  <si>
    <t>2.2 kWh per stack</t>
  </si>
  <si>
    <t>2kWh per battery</t>
  </si>
  <si>
    <t>Base model has 2.9kWh, each expansion pack adds 1kWh</t>
  </si>
  <si>
    <t>3.1kWh per module</t>
  </si>
  <si>
    <t>5.4kWh per module</t>
  </si>
  <si>
    <t>2.75kWh (per individual battery module)</t>
  </si>
  <si>
    <t>5.44kWh</t>
  </si>
  <si>
    <t>5.12kWh</t>
  </si>
  <si>
    <t>7.68kWh</t>
  </si>
  <si>
    <t>Usable Storage Capacity</t>
  </si>
  <si>
    <t>DOD</t>
  </si>
  <si>
    <t>3.75kWh</t>
  </si>
  <si>
    <t>11.6kWh</t>
  </si>
  <si>
    <t>7.2kWh</t>
  </si>
  <si>
    <t>14.4kWh</t>
  </si>
  <si>
    <t>4.8kWh</t>
  </si>
  <si>
    <t>6.4kWh</t>
  </si>
  <si>
    <t>1.2kWh</t>
  </si>
  <si>
    <t>6kWh</t>
  </si>
  <si>
    <t>2.2kWh</t>
  </si>
  <si>
    <t>2.4kWh</t>
  </si>
  <si>
    <t>3.6kWh</t>
  </si>
  <si>
    <t>3.2kWh</t>
  </si>
  <si>
    <t>6.7kWh</t>
  </si>
  <si>
    <t>3.4kWh</t>
  </si>
  <si>
    <t>9.6kWh</t>
  </si>
  <si>
    <t>Nominal Storage</t>
  </si>
  <si>
    <t>$8,400 fully installed</t>
  </si>
  <si>
    <t>$7,200 for base 3kWh all-in-one model, $3,600 per additional 3kWh battery pack</t>
  </si>
  <si>
    <t>$14,990 (Fully installed)</t>
  </si>
  <si>
    <t>$13,000 for base 6.4kWh unit, $3,800 for each additional 3.2kWh battery</t>
  </si>
  <si>
    <t>$2,000 (fully installed)</t>
  </si>
  <si>
    <t>$2,500 per stack</t>
  </si>
  <si>
    <t>$1,999 per 2.4kWh battery</t>
  </si>
  <si>
    <t>$9,000 for base 3.6kWh model, $1500 per 1.2kWh expansion pack</t>
  </si>
  <si>
    <t>$15,000 per 3.2kWh module</t>
  </si>
  <si>
    <t>$9200 per 6.7kWh module</t>
  </si>
  <si>
    <t>$5,400 (per individual battery module)</t>
  </si>
  <si>
    <t>$7,500 main pack, $3,640 per expansion pack</t>
  </si>
  <si>
    <t>Price (Estimated Retail pricing in AUD incl. GST, unless stated otherwise)</t>
  </si>
  <si>
    <t>Yes (includes microinverter - requires 1 Envoy-S comms unit per install)</t>
  </si>
  <si>
    <t>All In One unit?</t>
  </si>
  <si>
    <t>Lithium Iron Phosphate</t>
  </si>
  <si>
    <t>Lithium-ion (Lithium Iron Phosphate)</t>
  </si>
  <si>
    <t>Lithium-Ion</t>
  </si>
  <si>
    <t>Lithium Ion (Lithium Manganese Oxide)</t>
  </si>
  <si>
    <t>Lithium-Ion (lithium-mananese-cobalt-oxide)</t>
  </si>
  <si>
    <t>Lithium Ferrite Phosphate</t>
  </si>
  <si>
    <t>Lead Carbon (Pb-C)</t>
  </si>
  <si>
    <t>Aqueous Hybrid Ion</t>
  </si>
  <si>
    <t>Li-Ion (NCO Titanate)</t>
  </si>
  <si>
    <t>Li-Ion (NMC)</t>
  </si>
  <si>
    <t>Flow (Zinc-Bromide)</t>
  </si>
  <si>
    <t>Battery Type</t>
  </si>
  <si>
    <t>BYD Mini ES</t>
  </si>
  <si>
    <t>Alpha-ESS STORION S5</t>
  </si>
  <si>
    <t>Sunverge SIS</t>
  </si>
  <si>
    <t>Samsung ESS AIO</t>
  </si>
  <si>
    <t>360Storage AiO Expanded</t>
  </si>
  <si>
    <t>360Storage AiO</t>
  </si>
  <si>
    <t>Magellan HESS</t>
  </si>
  <si>
    <t>Enphase AC Battery</t>
  </si>
  <si>
    <t>360Storage 'ONE'</t>
  </si>
  <si>
    <t>Aquion S 30-0080</t>
  </si>
  <si>
    <t>Pylontech Extra2000 LFP</t>
  </si>
  <si>
    <t>Fronius Solar Battery</t>
  </si>
  <si>
    <t>Leclanche TI-Box</t>
  </si>
  <si>
    <t>Leclanche Apollion Cube</t>
  </si>
  <si>
    <t>SimpliPhi PHI3.4 Smart-Tech battery</t>
  </si>
  <si>
    <t>Tesla Powerwall</t>
  </si>
  <si>
    <t>Redflow Zcell</t>
  </si>
  <si>
    <t>LG Chem RESU</t>
  </si>
  <si>
    <t>LG Chem RESU Expanded</t>
  </si>
  <si>
    <t>LG Chem RESU New</t>
  </si>
  <si>
    <t>Annual Cost</t>
  </si>
  <si>
    <t xml:space="preserve">Daily Connection </t>
  </si>
  <si>
    <t>Energy Tariff</t>
  </si>
  <si>
    <t>Usage</t>
  </si>
  <si>
    <t>Large &gt; 160MWh</t>
  </si>
  <si>
    <t>Medium</t>
  </si>
  <si>
    <t>Small &lt; 100MWh</t>
  </si>
  <si>
    <t>Demand Factor</t>
  </si>
  <si>
    <t>Question1</t>
  </si>
  <si>
    <t>Question2</t>
  </si>
  <si>
    <t>Question3</t>
  </si>
  <si>
    <t>Question4</t>
  </si>
  <si>
    <t>Question5</t>
  </si>
  <si>
    <t>Question6</t>
  </si>
  <si>
    <t>Question7</t>
  </si>
  <si>
    <t>Peak Lopping Summary</t>
  </si>
  <si>
    <t>Your tariff structure is not suitable for battery storage.</t>
  </si>
  <si>
    <t>It doesn't look like this is financially acceptable.</t>
  </si>
  <si>
    <t>Convert for Macros</t>
  </si>
  <si>
    <t>Actual Feed in Rate</t>
  </si>
  <si>
    <t>Your payback expectations may be too short.</t>
  </si>
  <si>
    <t>Efficiency Options</t>
  </si>
  <si>
    <t>Payback Year Options</t>
  </si>
  <si>
    <t>1 year</t>
  </si>
  <si>
    <t>3 years</t>
  </si>
  <si>
    <t>4 years</t>
  </si>
  <si>
    <t>6 years</t>
  </si>
  <si>
    <t>8 years</t>
  </si>
  <si>
    <t>9 years</t>
  </si>
  <si>
    <t>11 years</t>
  </si>
  <si>
    <t>12 years</t>
  </si>
  <si>
    <t>13 years</t>
  </si>
  <si>
    <t>14 years</t>
  </si>
  <si>
    <t>15 years</t>
  </si>
  <si>
    <t>16 years</t>
  </si>
  <si>
    <t>17 years</t>
  </si>
  <si>
    <t>18 years</t>
  </si>
  <si>
    <t>19 years</t>
  </si>
  <si>
    <t>20 years</t>
  </si>
  <si>
    <t>100%</t>
  </si>
  <si>
    <t>90%</t>
  </si>
  <si>
    <t>80%</t>
  </si>
  <si>
    <t>75%</t>
  </si>
  <si>
    <t>95%</t>
  </si>
  <si>
    <t>85%</t>
  </si>
  <si>
    <t>Break even point</t>
  </si>
  <si>
    <t>The battery is always fully charged and discharged in the usable range each cycle</t>
  </si>
  <si>
    <t xml:space="preserve">The average cost of battery storage of </t>
  </si>
  <si>
    <t>A solar to peak cycle occurs every weekday when there is a peak period in the evening</t>
  </si>
  <si>
    <t>An off peak to peak cycle occurs every weekday when there is a peak period in the morning</t>
  </si>
  <si>
    <t>If the weekend has a shoulder rate then a solar to shoulder cycle will occur</t>
  </si>
  <si>
    <t xml:space="preserve">The cost of solar power is the capital costs averaged over </t>
  </si>
  <si>
    <t>Time of use tariff periods</t>
  </si>
  <si>
    <t>Tariff rates</t>
  </si>
  <si>
    <t xml:space="preserve">General assumptions: </t>
  </si>
  <si>
    <t>Tariff optimisation output details</t>
  </si>
  <si>
    <t>Refresh All</t>
  </si>
  <si>
    <t>Start</t>
  </si>
  <si>
    <t>Standard</t>
  </si>
  <si>
    <t xml:space="preserve"> - </t>
  </si>
  <si>
    <t xml:space="preserve"> -</t>
  </si>
  <si>
    <t>$900 per kWh</t>
  </si>
  <si>
    <t>$800 per kWh</t>
  </si>
  <si>
    <t>$500 per kWh</t>
  </si>
  <si>
    <t>Battery Price</t>
  </si>
  <si>
    <t>0% p.a</t>
  </si>
  <si>
    <t>1% p.a</t>
  </si>
  <si>
    <t>2% p.a</t>
  </si>
  <si>
    <t>3% p.a</t>
  </si>
  <si>
    <t>4% p.a</t>
  </si>
  <si>
    <t>5% p.a</t>
  </si>
  <si>
    <t xml:space="preserve">Inflation </t>
  </si>
  <si>
    <t>Note: I have removed these customisations and linked to the arbitrage model</t>
  </si>
  <si>
    <t>Note. The default value is 1.5. I assume that anyone in 2016 will buy lead acid at $1000 per kWh (effective $660). Changing the battery price in the advanced sheet makes the factor conservative</t>
  </si>
  <si>
    <t>Peak shaving output details</t>
  </si>
  <si>
    <t>Tariff optimisation output summary</t>
  </si>
  <si>
    <t>Peak shaving output summary</t>
  </si>
  <si>
    <t>General assumptions</t>
  </si>
  <si>
    <t>Peak shaving assumptions</t>
  </si>
  <si>
    <t>Peak demand tariff rates</t>
  </si>
  <si>
    <t>The average cost of the battery storage system per annum at the possible lifetime is $</t>
  </si>
  <si>
    <t>Demand</t>
  </si>
  <si>
    <t>A battery room may be a show-stopper for the business. For more details refer to the OEH document  'i am you battery storage guide', or visit the Clean Energy Council website for installation guidelines.</t>
  </si>
  <si>
    <t xml:space="preserve">- </t>
  </si>
  <si>
    <t>Recommendations before using this tool</t>
  </si>
  <si>
    <t>System requirements</t>
  </si>
  <si>
    <t>The Office of Environment and Heritage (OEH) has compiled the Battery Storage for business: an investment decision tool in good faith, exercising all due care and attention, however it may contain errors and omissions. This analysis tool does not replace the detailed engineering of an appropriate solution for the needs of a particular project.</t>
  </si>
  <si>
    <t>This is tool is intended to assess feasibility while providing an indicative payback period, however any outcomes produced are an approximate guide only.  You should independently verify and check the accuracy, completeness, reliability and suitability of the information contained in this tool and seek appropriate advice before making any decision based on this information. This tool may be subject to revision without notice and you should ensure you are using the latest version.</t>
  </si>
  <si>
    <t>To the fullest extent permitted by law, OEH, expressly disclaims all warranties, whether express or implied. In no event will OEH be liable for any direct, indirect, special, incidental, tort, economic or consequential damage or damages for negligence, including but not limited to for any loss of anticipated savings, opportunity, revenue, profit or goodwill, loss of contracts or business relationships whether in relation to the contents of, or arising out of the use or inability to use this tool, any outcome produced by tool or any reliance thereon, or otherwise.</t>
  </si>
  <si>
    <t>OEH accepts no liability for any interference with or damage to a user's computer system, software or data occurring in connection with or relating to this tool or its use. You are encouraged to take appropriate and adequate precautions to ensure that whatever is selected from this tool is free of viruses or other contamination that may interfere with or damage your computer system, software or data.</t>
  </si>
  <si>
    <t>Disclaimer</t>
  </si>
  <si>
    <t xml:space="preserve">Yes </t>
  </si>
  <si>
    <t>I don't have the budget but I'd like to continue anyway</t>
  </si>
  <si>
    <t>Q1</t>
  </si>
  <si>
    <t>Q2</t>
  </si>
  <si>
    <t>Q3</t>
  </si>
  <si>
    <t>Q4</t>
  </si>
  <si>
    <t>Q5</t>
  </si>
  <si>
    <t>Q6</t>
  </si>
  <si>
    <t>Q7</t>
  </si>
  <si>
    <t>Yes, but I need more information about a battery room</t>
  </si>
  <si>
    <t>I can get all the power I need from the grid and I want to save money</t>
  </si>
  <si>
    <t>The grid seldom (or never) supplies what I need and I want an off-grid solution</t>
  </si>
  <si>
    <t>Medium energy user - spend between $20,000 and $30,000 per year</t>
  </si>
  <si>
    <t>I'm more interested in grid-independence, renewable energy targets and/or tax deductions</t>
  </si>
  <si>
    <t>Batteries last a long time, I'm happy if the lifetime savings make sense</t>
  </si>
  <si>
    <t>3-7 years</t>
  </si>
  <si>
    <t>7-10 years</t>
  </si>
  <si>
    <t>Large energy user - spend more than $30,000 per year (more than 450 kWh per day)</t>
  </si>
  <si>
    <t>Small energy user - spend less than $20,000 per year (less than 275 kWh per day)</t>
  </si>
  <si>
    <t>Answer</t>
  </si>
  <si>
    <t>Answers</t>
  </si>
  <si>
    <t>Two peak</t>
  </si>
  <si>
    <t>Daytime peak</t>
  </si>
  <si>
    <t>Standard energy prices</t>
  </si>
  <si>
    <t>Custom energy prices</t>
  </si>
  <si>
    <t>Off-peak</t>
  </si>
  <si>
    <t>Storage List Box</t>
  </si>
  <si>
    <t>Investment Duration</t>
  </si>
  <si>
    <t>Hide</t>
  </si>
  <si>
    <t>Peak usage could occur at any time</t>
  </si>
  <si>
    <t>Peak usage size could be any value</t>
  </si>
  <si>
    <t>Peak usage size is controllable</t>
  </si>
  <si>
    <t>Between 2 and 3 hours</t>
  </si>
  <si>
    <t>Between 1 and 2 hours</t>
  </si>
  <si>
    <t>Peak usage size is predictable based on past data</t>
  </si>
  <si>
    <t>$1500 per kWh</t>
  </si>
  <si>
    <t>$1400 per kWh</t>
  </si>
  <si>
    <t>$1300 per kWh</t>
  </si>
  <si>
    <t>$1200 per kWh</t>
  </si>
  <si>
    <t>$1100 per kWh</t>
  </si>
  <si>
    <t>$700 per kWh</t>
  </si>
  <si>
    <t>$600 per kWh</t>
  </si>
  <si>
    <t>For Assumption page</t>
  </si>
  <si>
    <t xml:space="preserve">If solar charging is selected it is assumed that there is always enough solar power to fill the battery completely every day </t>
  </si>
  <si>
    <t>No degradation of performance over the battery lifetime has been modelled. Consider modifying the average cost per kWh instead</t>
  </si>
  <si>
    <t xml:space="preserve"> represents the installed cost of the entire system per usable kWh</t>
  </si>
  <si>
    <t>This may vary based on the size of the system and cost of installation</t>
  </si>
  <si>
    <t>The duration for a peak event is the answer selected in Q4.  'Between 1 and 2 hours' assumes 2 hours. 'More than 3 hours' assumes 4 hours</t>
  </si>
  <si>
    <t>The default duration for this maximum peak duration is the average between the total time of peak event and 30 minutes</t>
  </si>
  <si>
    <t xml:space="preserve">The minimum requirements to run the tool are: 
• Windows 7 operating system or later.
• Windows Microsoft Office Excel 2010. 
Note: The tool is not supported on Microsoft Office for Mac. 
Recommended settings to correctly use the tool: 
• Macros and active content must be enabled. Macro settings can be changed in Excel 2010 in the Macros tab of the Trust Centre. In the menu go to File&gt;Options&gt;Trust Center. Select Trust Center settings&gt; Macro settings tab&gt;'Disable all macros with notification'. The following warning will then appear, and 'Enable Content' must be selected for the tool to work correctly. 
• Depending on your Trust Centre settings, the tool may open in Protected View. To exit Protected View and edit the tool, ‘Enable Editing’ must be selected when the yellow message bar appears. After you leave Protected View, the tool becomes a trusted document. 
• The location you save the tool may need to be added to the Excel Trusted Locations list to ensure full functionality. Trusted Location settings can be changed in Excel 2010 the Trusted Location tab of the Trust Centre.
</t>
  </si>
  <si>
    <r>
      <t xml:space="preserve">• You may need to </t>
    </r>
    <r>
      <rPr>
        <b/>
        <u/>
        <sz val="11"/>
        <color theme="1"/>
        <rFont val="Arial"/>
        <family val="2"/>
      </rPr>
      <t>zoom out on each worksheet</t>
    </r>
    <r>
      <rPr>
        <sz val="11"/>
        <color theme="1"/>
        <rFont val="Arial"/>
        <family val="2"/>
      </rPr>
      <t xml:space="preserve"> of the tool to fit all the displayed content.</t>
    </r>
  </si>
  <si>
    <r>
      <rPr>
        <sz val="11"/>
        <rFont val="Arial"/>
        <family val="2"/>
      </rPr>
      <t>• It is recommended that the</t>
    </r>
    <r>
      <rPr>
        <u/>
        <sz val="11"/>
        <color theme="10"/>
        <rFont val="Arial"/>
        <family val="2"/>
      </rPr>
      <t xml:space="preserve"> i am your battery storage guide </t>
    </r>
    <r>
      <rPr>
        <sz val="11"/>
        <rFont val="Arial"/>
        <family val="2"/>
      </rPr>
      <t>is used as a reference to this tool.</t>
    </r>
  </si>
  <si>
    <r>
      <rPr>
        <sz val="11"/>
        <rFont val="Arial"/>
        <family val="2"/>
      </rPr>
      <t>• On completion of this feasiblity assessment we recommend that users attend the Office and Environment and Heritage</t>
    </r>
    <r>
      <rPr>
        <u/>
        <sz val="11"/>
        <color theme="10"/>
        <rFont val="Arial"/>
        <family val="2"/>
      </rPr>
      <t xml:space="preserve"> battery storage training course </t>
    </r>
    <r>
      <rPr>
        <sz val="11"/>
        <rFont val="Arial"/>
        <family val="2"/>
      </rPr>
      <t xml:space="preserve">to assist in the development of a request for price estimate from the supply and installation market. </t>
    </r>
  </si>
</sst>
</file>

<file path=xl/styles.xml><?xml version="1.0" encoding="utf-8"?>
<styleSheet xmlns="http://schemas.openxmlformats.org/spreadsheetml/2006/main" xmlns:mc="http://schemas.openxmlformats.org/markup-compatibility/2006" xmlns:x14ac="http://schemas.microsoft.com/office/spreadsheetml/2009/9/ac" mc:Ignorable="x14ac">
  <numFmts count="14">
    <numFmt numFmtId="6" formatCode="&quot;$&quot;#,##0;[Red]\-&quot;$&quot;#,##0"/>
    <numFmt numFmtId="8" formatCode="&quot;$&quot;#,##0.00;[Red]\-&quot;$&quot;#,##0.00"/>
    <numFmt numFmtId="44" formatCode="_-&quot;$&quot;* #,##0.00_-;\-&quot;$&quot;* #,##0.00_-;_-&quot;$&quot;* &quot;-&quot;??_-;_-@_-"/>
    <numFmt numFmtId="43" formatCode="_-* #,##0.00_-;\-* #,##0.00_-;_-* &quot;-&quot;??_-;_-@_-"/>
    <numFmt numFmtId="164" formatCode="0.0"/>
    <numFmt numFmtId="165" formatCode="&quot;$&quot;#,##0.00"/>
    <numFmt numFmtId="166" formatCode="_-* #,##0.000_-;\-* #,##0.000_-;_-* &quot;-&quot;??_-;_-@_-"/>
    <numFmt numFmtId="167" formatCode="_-* #,##0.0_-;\-* #,##0.0_-;_-* &quot;-&quot;??_-;_-@_-"/>
    <numFmt numFmtId="168" formatCode="_-&quot;$&quot;* #,##0.000_-;\-&quot;$&quot;* #,##0.000_-;_-&quot;$&quot;* &quot;-&quot;??_-;_-@_-"/>
    <numFmt numFmtId="169" formatCode="0.000"/>
    <numFmt numFmtId="170" formatCode="_-* #,##0.000000_-;\-* #,##0.000000_-;_-* &quot;-&quot;??_-;_-@_-"/>
    <numFmt numFmtId="171" formatCode="_-&quot;$&quot;* #,##0.00000_-;\-&quot;$&quot;* #,##0.00000_-;_-&quot;$&quot;* &quot;-&quot;??_-;_-@_-"/>
    <numFmt numFmtId="172" formatCode="_-&quot;$&quot;* #,##0_-;\-&quot;$&quot;* #,##0_-;_-&quot;$&quot;* &quot;-&quot;??_-;_-@_-"/>
    <numFmt numFmtId="173" formatCode="_-* #,##0_-;\-* #,##0_-;_-* &quot;-&quot;??_-;_-@_-"/>
  </numFmts>
  <fonts count="24" x14ac:knownFonts="1">
    <font>
      <sz val="11"/>
      <color theme="1"/>
      <name val="Calibri"/>
      <family val="2"/>
      <scheme val="minor"/>
    </font>
    <font>
      <sz val="14"/>
      <color rgb="FF222222"/>
      <name val="Arial"/>
      <family val="2"/>
    </font>
    <font>
      <sz val="11"/>
      <color theme="1"/>
      <name val="Calibri"/>
      <family val="2"/>
      <scheme val="minor"/>
    </font>
    <font>
      <sz val="11"/>
      <color rgb="FF006100"/>
      <name val="Calibri"/>
      <family val="2"/>
      <scheme val="minor"/>
    </font>
    <font>
      <sz val="11"/>
      <color rgb="FF3F3F76"/>
      <name val="Calibri"/>
      <family val="2"/>
      <scheme val="minor"/>
    </font>
    <font>
      <b/>
      <sz val="11"/>
      <color theme="0"/>
      <name val="Calibri"/>
      <family val="2"/>
      <scheme val="minor"/>
    </font>
    <font>
      <b/>
      <sz val="11"/>
      <color theme="1"/>
      <name val="Calibri"/>
      <family val="2"/>
      <scheme val="minor"/>
    </font>
    <font>
      <sz val="11"/>
      <color theme="0"/>
      <name val="Calibri"/>
      <family val="2"/>
      <scheme val="minor"/>
    </font>
    <font>
      <sz val="11"/>
      <color theme="1"/>
      <name val="Calibri"/>
      <family val="2"/>
    </font>
    <font>
      <b/>
      <sz val="11"/>
      <color rgb="FFFA7D00"/>
      <name val="Calibri"/>
      <family val="2"/>
      <scheme val="minor"/>
    </font>
    <font>
      <sz val="10"/>
      <color theme="1"/>
      <name val="Calibri"/>
      <family val="2"/>
      <scheme val="minor"/>
    </font>
    <font>
      <b/>
      <u/>
      <sz val="11"/>
      <color theme="1"/>
      <name val="Arial"/>
      <family val="2"/>
    </font>
    <font>
      <sz val="9"/>
      <color rgb="FF000000"/>
      <name val="Arial"/>
      <family val="2"/>
    </font>
    <font>
      <sz val="11"/>
      <color theme="1"/>
      <name val="Arial"/>
      <family val="2"/>
    </font>
    <font>
      <b/>
      <sz val="11"/>
      <color theme="1"/>
      <name val="Arial"/>
      <family val="2"/>
    </font>
    <font>
      <b/>
      <sz val="14"/>
      <color theme="1"/>
      <name val="Arial"/>
      <family val="2"/>
    </font>
    <font>
      <sz val="14"/>
      <color theme="1"/>
      <name val="Arial"/>
      <family val="2"/>
    </font>
    <font>
      <sz val="10"/>
      <color theme="1"/>
      <name val="Arial"/>
      <family val="2"/>
    </font>
    <font>
      <b/>
      <sz val="11"/>
      <color rgb="FF000000"/>
      <name val="Arial"/>
      <family val="2"/>
    </font>
    <font>
      <b/>
      <sz val="9"/>
      <color rgb="FF000000"/>
      <name val="Arial"/>
      <family val="2"/>
    </font>
    <font>
      <b/>
      <sz val="10"/>
      <color rgb="FF000000"/>
      <name val="Arial"/>
      <family val="2"/>
    </font>
    <font>
      <u/>
      <sz val="11"/>
      <color theme="10"/>
      <name val="Calibri"/>
      <family val="2"/>
      <scheme val="minor"/>
    </font>
    <font>
      <u/>
      <sz val="11"/>
      <color theme="10"/>
      <name val="Arial"/>
      <family val="2"/>
    </font>
    <font>
      <sz val="11"/>
      <name val="Arial"/>
      <family val="2"/>
    </font>
  </fonts>
  <fills count="12">
    <fill>
      <patternFill patternType="none"/>
    </fill>
    <fill>
      <patternFill patternType="gray125"/>
    </fill>
    <fill>
      <patternFill patternType="solid">
        <fgColor rgb="FFC6EFCE"/>
      </patternFill>
    </fill>
    <fill>
      <patternFill patternType="solid">
        <fgColor rgb="FFFFCC99"/>
      </patternFill>
    </fill>
    <fill>
      <patternFill patternType="solid">
        <fgColor rgb="FFA5A5A5"/>
      </patternFill>
    </fill>
    <fill>
      <patternFill patternType="solid">
        <fgColor theme="0" tint="-0.14999847407452621"/>
        <bgColor indexed="64"/>
      </patternFill>
    </fill>
    <fill>
      <patternFill patternType="solid">
        <fgColor theme="0" tint="-0.249977111117893"/>
        <bgColor indexed="64"/>
      </patternFill>
    </fill>
    <fill>
      <patternFill patternType="solid">
        <fgColor theme="0"/>
        <bgColor indexed="64"/>
      </patternFill>
    </fill>
    <fill>
      <patternFill patternType="solid">
        <fgColor theme="0" tint="-0.34998626667073579"/>
        <bgColor indexed="64"/>
      </patternFill>
    </fill>
    <fill>
      <patternFill patternType="solid">
        <fgColor rgb="FFFFFF00"/>
        <bgColor indexed="64"/>
      </patternFill>
    </fill>
    <fill>
      <patternFill patternType="solid">
        <fgColor rgb="FF00B0F0"/>
        <bgColor indexed="64"/>
      </patternFill>
    </fill>
    <fill>
      <patternFill patternType="solid">
        <fgColor rgb="FFF2F2F2"/>
      </patternFill>
    </fill>
  </fills>
  <borders count="42">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style="double">
        <color rgb="FF3F3F3F"/>
      </right>
      <top style="double">
        <color rgb="FF3F3F3F"/>
      </top>
      <bottom style="double">
        <color rgb="FF3F3F3F"/>
      </bottom>
      <diagonal/>
    </border>
    <border>
      <left/>
      <right/>
      <top style="double">
        <color rgb="FF3F3F3F"/>
      </top>
      <bottom style="double">
        <color rgb="FF3F3F3F"/>
      </bottom>
      <diagonal/>
    </border>
    <border>
      <left style="double">
        <color rgb="FF3F3F3F"/>
      </left>
      <right/>
      <top style="double">
        <color rgb="FF3F3F3F"/>
      </top>
      <bottom style="double">
        <color rgb="FF3F3F3F"/>
      </bottom>
      <diagonal/>
    </border>
    <border>
      <left/>
      <right style="double">
        <color rgb="FF3F3F3F"/>
      </right>
      <top/>
      <bottom style="double">
        <color rgb="FF3F3F3F"/>
      </bottom>
      <diagonal/>
    </border>
    <border>
      <left/>
      <right/>
      <top/>
      <bottom style="double">
        <color rgb="FF3F3F3F"/>
      </bottom>
      <diagonal/>
    </border>
    <border>
      <left style="double">
        <color rgb="FF3F3F3F"/>
      </left>
      <right/>
      <top/>
      <bottom style="double">
        <color rgb="FF3F3F3F"/>
      </bottom>
      <diagonal/>
    </border>
    <border>
      <left style="double">
        <color rgb="FF3F3F3F"/>
      </left>
      <right style="double">
        <color rgb="FF3F3F3F"/>
      </right>
      <top/>
      <bottom style="double">
        <color rgb="FF3F3F3F"/>
      </bottom>
      <diagonal/>
    </border>
    <border>
      <left/>
      <right style="double">
        <color rgb="FF3F3F3F"/>
      </right>
      <top/>
      <bottom/>
      <diagonal/>
    </border>
    <border>
      <left style="double">
        <color rgb="FF3F3F3F"/>
      </left>
      <right/>
      <top/>
      <bottom/>
      <diagonal/>
    </border>
    <border>
      <left style="double">
        <color rgb="FF3F3F3F"/>
      </left>
      <right style="double">
        <color rgb="FF3F3F3F"/>
      </right>
      <top/>
      <bottom/>
      <diagonal/>
    </border>
    <border>
      <left/>
      <right style="double">
        <color rgb="FF3F3F3F"/>
      </right>
      <top style="thin">
        <color auto="1"/>
      </top>
      <bottom/>
      <diagonal/>
    </border>
    <border>
      <left/>
      <right/>
      <top style="thin">
        <color auto="1"/>
      </top>
      <bottom/>
      <diagonal/>
    </border>
    <border>
      <left style="double">
        <color rgb="FF3F3F3F"/>
      </left>
      <right/>
      <top style="thin">
        <color auto="1"/>
      </top>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double">
        <color rgb="FF3F3F3F"/>
      </left>
      <right/>
      <top style="thin">
        <color auto="1"/>
      </top>
      <bottom style="thin">
        <color auto="1"/>
      </bottom>
      <diagonal/>
    </border>
    <border>
      <left/>
      <right/>
      <top style="thin">
        <color auto="1"/>
      </top>
      <bottom style="thin">
        <color auto="1"/>
      </bottom>
      <diagonal/>
    </border>
    <border>
      <left/>
      <right style="thin">
        <color auto="1"/>
      </right>
      <top/>
      <bottom style="thin">
        <color auto="1"/>
      </bottom>
      <diagonal/>
    </border>
    <border>
      <left/>
      <right/>
      <top/>
      <bottom style="thin">
        <color auto="1"/>
      </bottom>
      <diagonal/>
    </border>
    <border>
      <left style="double">
        <color rgb="FF3F3F3F"/>
      </left>
      <right/>
      <top/>
      <bottom style="thin">
        <color auto="1"/>
      </bottom>
      <diagonal/>
    </border>
    <border>
      <left/>
      <right style="thin">
        <color auto="1"/>
      </right>
      <top style="thin">
        <color auto="1"/>
      </top>
      <bottom/>
      <diagonal/>
    </border>
    <border>
      <left/>
      <right style="thin">
        <color auto="1"/>
      </right>
      <top style="double">
        <color rgb="FF3F3F3F"/>
      </top>
      <bottom style="thin">
        <color auto="1"/>
      </bottom>
      <diagonal/>
    </border>
    <border>
      <left/>
      <right/>
      <top style="double">
        <color rgb="FF3F3F3F"/>
      </top>
      <bottom style="thin">
        <color auto="1"/>
      </bottom>
      <diagonal/>
    </border>
    <border>
      <left style="double">
        <color rgb="FF3F3F3F"/>
      </left>
      <right/>
      <top style="double">
        <color rgb="FF3F3F3F"/>
      </top>
      <bottom style="thin">
        <color auto="1"/>
      </bottom>
      <diagonal/>
    </border>
    <border>
      <left style="thin">
        <color auto="1"/>
      </left>
      <right style="thin">
        <color auto="1"/>
      </right>
      <top/>
      <bottom style="thin">
        <color auto="1"/>
      </bottom>
      <diagonal/>
    </border>
    <border>
      <left style="double">
        <color rgb="FF3F3F3F"/>
      </left>
      <right style="double">
        <color rgb="FF3F3F3F"/>
      </right>
      <top style="double">
        <color rgb="FF3F3F3F"/>
      </top>
      <bottom/>
      <diagonal/>
    </border>
    <border>
      <left/>
      <right style="double">
        <color rgb="FF3F3F3F"/>
      </right>
      <top style="double">
        <color rgb="FF3F3F3F"/>
      </top>
      <bottom/>
      <diagonal/>
    </border>
    <border>
      <left style="double">
        <color rgb="FF3F3F3F"/>
      </left>
      <right/>
      <top style="double">
        <color rgb="FF3F3F3F"/>
      </top>
      <bottom/>
      <diagonal/>
    </border>
    <border>
      <left style="thin">
        <color auto="1"/>
      </left>
      <right/>
      <top style="thin">
        <color auto="1"/>
      </top>
      <bottom style="thin">
        <color auto="1"/>
      </bottom>
      <diagonal/>
    </border>
    <border>
      <left style="thin">
        <color auto="1"/>
      </left>
      <right/>
      <top style="double">
        <color rgb="FF3F3F3F"/>
      </top>
      <bottom style="thin">
        <color auto="1"/>
      </bottom>
      <diagonal/>
    </border>
    <border>
      <left/>
      <right style="double">
        <color rgb="FF3F3F3F"/>
      </right>
      <top/>
      <bottom style="thin">
        <color auto="1"/>
      </bottom>
      <diagonal/>
    </border>
    <border>
      <left/>
      <right style="thin">
        <color auto="1"/>
      </right>
      <top style="thin">
        <color auto="1"/>
      </top>
      <bottom style="double">
        <color rgb="FF3F3F3F"/>
      </bottom>
      <diagonal/>
    </border>
    <border>
      <left/>
      <right/>
      <top style="thin">
        <color auto="1"/>
      </top>
      <bottom style="double">
        <color rgb="FF3F3F3F"/>
      </bottom>
      <diagonal/>
    </border>
    <border>
      <left style="thin">
        <color auto="1"/>
      </left>
      <right/>
      <top style="thin">
        <color auto="1"/>
      </top>
      <bottom style="double">
        <color rgb="FF3F3F3F"/>
      </bottom>
      <diagonal/>
    </border>
    <border>
      <left/>
      <right style="double">
        <color rgb="FF3F3F3F"/>
      </right>
      <top style="double">
        <color rgb="FF3F3F3F"/>
      </top>
      <bottom style="thin">
        <color auto="1"/>
      </bottom>
      <diagonal/>
    </border>
    <border>
      <left style="thin">
        <color auto="1"/>
      </left>
      <right style="thin">
        <color auto="1"/>
      </right>
      <top/>
      <bottom/>
      <diagonal/>
    </border>
    <border>
      <left style="thin">
        <color auto="1"/>
      </left>
      <right style="thin">
        <color auto="1"/>
      </right>
      <top style="thin">
        <color auto="1"/>
      </top>
      <bottom/>
      <diagonal/>
    </border>
    <border>
      <left style="thin">
        <color auto="1"/>
      </left>
      <right/>
      <top style="thin">
        <color auto="1"/>
      </top>
      <bottom/>
      <diagonal/>
    </border>
    <border>
      <left/>
      <right style="thin">
        <color rgb="FF7F7F7F"/>
      </right>
      <top style="thin">
        <color rgb="FF7F7F7F"/>
      </top>
      <bottom style="thin">
        <color rgb="FF7F7F7F"/>
      </bottom>
      <diagonal/>
    </border>
  </borders>
  <cellStyleXfs count="9">
    <xf numFmtId="0" fontId="0" fillId="0" borderId="0"/>
    <xf numFmtId="43" fontId="2" fillId="0" borderId="0" applyFont="0" applyFill="0" applyBorder="0" applyAlignment="0" applyProtection="0"/>
    <xf numFmtId="44" fontId="2" fillId="0" borderId="0" applyFont="0" applyFill="0" applyBorder="0" applyAlignment="0" applyProtection="0"/>
    <xf numFmtId="9" fontId="2" fillId="0" borderId="0" applyFont="0" applyFill="0" applyBorder="0" applyAlignment="0" applyProtection="0"/>
    <xf numFmtId="0" fontId="3" fillId="2" borderId="0" applyNumberFormat="0" applyBorder="0" applyAlignment="0" applyProtection="0"/>
    <xf numFmtId="0" fontId="4" fillId="3" borderId="1" applyNumberFormat="0" applyAlignment="0" applyProtection="0"/>
    <xf numFmtId="0" fontId="5" fillId="4" borderId="2" applyNumberFormat="0" applyAlignment="0" applyProtection="0"/>
    <xf numFmtId="0" fontId="9" fillId="11" borderId="1" applyNumberFormat="0" applyAlignment="0" applyProtection="0"/>
    <xf numFmtId="0" fontId="21" fillId="0" borderId="0" applyNumberFormat="0" applyFill="0" applyBorder="0" applyAlignment="0" applyProtection="0"/>
  </cellStyleXfs>
  <cellXfs count="259">
    <xf numFmtId="0" fontId="0" fillId="0" borderId="0" xfId="0"/>
    <xf numFmtId="0" fontId="1" fillId="0" borderId="0" xfId="0" applyFont="1"/>
    <xf numFmtId="0" fontId="0" fillId="0" borderId="0" xfId="0" applyAlignment="1"/>
    <xf numFmtId="9" fontId="0" fillId="5" borderId="16" xfId="0" applyNumberFormat="1" applyFill="1" applyBorder="1" applyAlignment="1" applyProtection="1">
      <alignment horizontal="center"/>
      <protection locked="0"/>
    </xf>
    <xf numFmtId="9" fontId="0" fillId="5" borderId="16" xfId="3" applyFont="1" applyFill="1" applyBorder="1" applyAlignment="1" applyProtection="1">
      <alignment horizontal="center"/>
      <protection locked="0"/>
    </xf>
    <xf numFmtId="0" fontId="0" fillId="5" borderId="16" xfId="0" applyFill="1" applyBorder="1" applyAlignment="1" applyProtection="1">
      <alignment horizontal="center"/>
      <protection locked="0"/>
    </xf>
    <xf numFmtId="164" fontId="0" fillId="5" borderId="16" xfId="0" applyNumberFormat="1" applyFill="1" applyBorder="1" applyAlignment="1">
      <alignment horizontal="center" vertical="center"/>
    </xf>
    <xf numFmtId="9" fontId="0" fillId="5" borderId="16" xfId="0" applyNumberFormat="1" applyFill="1" applyBorder="1" applyAlignment="1">
      <alignment horizontal="center" vertical="center"/>
    </xf>
    <xf numFmtId="0" fontId="0" fillId="0" borderId="16" xfId="0" applyBorder="1" applyAlignment="1">
      <alignment horizontal="center"/>
    </xf>
    <xf numFmtId="0" fontId="0" fillId="0" borderId="16" xfId="0" applyBorder="1" applyAlignment="1" applyProtection="1">
      <alignment horizontal="center"/>
      <protection locked="0"/>
    </xf>
    <xf numFmtId="0" fontId="0" fillId="0" borderId="0" xfId="0" applyAlignment="1">
      <alignment horizontal="center"/>
    </xf>
    <xf numFmtId="165" fontId="0" fillId="0" borderId="16" xfId="0" applyNumberFormat="1" applyFill="1" applyBorder="1" applyAlignment="1">
      <alignment horizontal="center"/>
    </xf>
    <xf numFmtId="165" fontId="0" fillId="5" borderId="27" xfId="0" applyNumberFormat="1" applyFill="1" applyBorder="1" applyAlignment="1">
      <alignment horizontal="center"/>
    </xf>
    <xf numFmtId="0" fontId="0" fillId="5" borderId="16" xfId="0" applyFill="1" applyBorder="1" applyAlignment="1">
      <alignment horizontal="center"/>
    </xf>
    <xf numFmtId="0" fontId="0" fillId="5" borderId="16" xfId="0" applyFill="1" applyBorder="1"/>
    <xf numFmtId="0" fontId="0" fillId="0" borderId="0" xfId="0" applyFill="1"/>
    <xf numFmtId="0" fontId="6" fillId="0" borderId="0" xfId="0" applyFont="1"/>
    <xf numFmtId="0" fontId="6" fillId="5" borderId="16" xfId="0" applyFont="1" applyFill="1" applyBorder="1"/>
    <xf numFmtId="1" fontId="0" fillId="5" borderId="16" xfId="0" applyNumberFormat="1" applyFill="1" applyBorder="1" applyAlignment="1">
      <alignment horizontal="center"/>
    </xf>
    <xf numFmtId="165" fontId="0" fillId="5" borderId="16" xfId="0" applyNumberFormat="1" applyFill="1" applyBorder="1" applyAlignment="1">
      <alignment horizontal="center"/>
    </xf>
    <xf numFmtId="0" fontId="0" fillId="0" borderId="0" xfId="0" applyAlignment="1">
      <alignment wrapText="1"/>
    </xf>
    <xf numFmtId="0" fontId="6" fillId="0" borderId="0" xfId="0" applyFont="1" applyAlignment="1">
      <alignment wrapText="1"/>
    </xf>
    <xf numFmtId="0" fontId="7" fillId="0" borderId="0" xfId="0" applyFont="1" applyAlignment="1">
      <alignment wrapText="1"/>
    </xf>
    <xf numFmtId="0" fontId="0" fillId="5" borderId="16" xfId="0" applyFill="1" applyBorder="1" applyAlignment="1">
      <alignment wrapText="1"/>
    </xf>
    <xf numFmtId="0" fontId="5" fillId="4" borderId="28" xfId="6" applyBorder="1" applyAlignment="1">
      <alignment horizontal="center"/>
    </xf>
    <xf numFmtId="0" fontId="0" fillId="0" borderId="16" xfId="0" applyBorder="1"/>
    <xf numFmtId="9" fontId="0" fillId="0" borderId="0" xfId="3" applyFont="1"/>
    <xf numFmtId="44" fontId="0" fillId="0" borderId="0" xfId="0" applyNumberFormat="1"/>
    <xf numFmtId="44" fontId="0" fillId="0" borderId="16" xfId="0" applyNumberFormat="1" applyBorder="1"/>
    <xf numFmtId="43" fontId="0" fillId="0" borderId="16" xfId="1" applyFont="1" applyBorder="1"/>
    <xf numFmtId="166" fontId="0" fillId="0" borderId="16" xfId="1" applyNumberFormat="1" applyFont="1" applyBorder="1"/>
    <xf numFmtId="9" fontId="0" fillId="0" borderId="16" xfId="3" applyFont="1" applyBorder="1"/>
    <xf numFmtId="167" fontId="0" fillId="0" borderId="0" xfId="1" applyNumberFormat="1" applyFont="1"/>
    <xf numFmtId="167" fontId="0" fillId="0" borderId="16" xfId="1" applyNumberFormat="1" applyFont="1" applyBorder="1"/>
    <xf numFmtId="168" fontId="0" fillId="0" borderId="16" xfId="0" applyNumberFormat="1" applyBorder="1"/>
    <xf numFmtId="1" fontId="0" fillId="0" borderId="16" xfId="0" applyNumberFormat="1" applyBorder="1"/>
    <xf numFmtId="0" fontId="0" fillId="0" borderId="16" xfId="0" applyFill="1" applyBorder="1" applyAlignment="1">
      <alignment horizontal="center"/>
    </xf>
    <xf numFmtId="0" fontId="0" fillId="0" borderId="0" xfId="0" applyBorder="1"/>
    <xf numFmtId="0" fontId="0" fillId="6" borderId="38" xfId="0" applyFill="1" applyBorder="1"/>
    <xf numFmtId="0" fontId="0" fillId="6" borderId="16" xfId="0" applyFill="1" applyBorder="1"/>
    <xf numFmtId="167" fontId="0" fillId="0" borderId="16" xfId="0" applyNumberFormat="1" applyBorder="1"/>
    <xf numFmtId="167" fontId="0" fillId="0" borderId="0" xfId="0" applyNumberFormat="1"/>
    <xf numFmtId="9" fontId="0" fillId="0" borderId="0" xfId="0" applyNumberFormat="1" applyBorder="1"/>
    <xf numFmtId="9" fontId="0" fillId="0" borderId="16" xfId="0" applyNumberFormat="1" applyBorder="1"/>
    <xf numFmtId="167" fontId="0" fillId="6" borderId="16" xfId="1" applyNumberFormat="1" applyFont="1" applyFill="1" applyBorder="1"/>
    <xf numFmtId="0" fontId="0" fillId="0" borderId="0" xfId="0" applyBorder="1" applyAlignment="1">
      <alignment horizontal="center"/>
    </xf>
    <xf numFmtId="0" fontId="5" fillId="4" borderId="19" xfId="6" applyBorder="1" applyAlignment="1">
      <alignment horizontal="center" vertical="center"/>
    </xf>
    <xf numFmtId="0" fontId="5" fillId="4" borderId="31" xfId="6" applyBorder="1" applyAlignment="1">
      <alignment vertical="center"/>
    </xf>
    <xf numFmtId="0" fontId="4" fillId="3" borderId="1" xfId="5" applyAlignment="1">
      <alignment wrapText="1"/>
    </xf>
    <xf numFmtId="0" fontId="4" fillId="3" borderId="1" xfId="5"/>
    <xf numFmtId="0" fontId="0" fillId="0" borderId="16" xfId="0" applyBorder="1" applyAlignment="1">
      <alignment wrapText="1"/>
    </xf>
    <xf numFmtId="0" fontId="0" fillId="0" borderId="16" xfId="0" applyFill="1" applyBorder="1"/>
    <xf numFmtId="0" fontId="8" fillId="0" borderId="16" xfId="0" applyFont="1" applyBorder="1"/>
    <xf numFmtId="169" fontId="0" fillId="0" borderId="16" xfId="0" applyNumberFormat="1" applyBorder="1"/>
    <xf numFmtId="0" fontId="0" fillId="0" borderId="17" xfId="0" applyBorder="1" applyAlignment="1">
      <alignment horizontal="center"/>
    </xf>
    <xf numFmtId="0" fontId="0" fillId="0" borderId="31" xfId="0" applyBorder="1" applyAlignment="1">
      <alignment horizontal="center"/>
    </xf>
    <xf numFmtId="0" fontId="6" fillId="6" borderId="19" xfId="0" applyFont="1" applyFill="1" applyBorder="1" applyAlignment="1"/>
    <xf numFmtId="0" fontId="6" fillId="6" borderId="18" xfId="0" applyFont="1" applyFill="1" applyBorder="1" applyAlignment="1"/>
    <xf numFmtId="0" fontId="0" fillId="5" borderId="31" xfId="0" applyFill="1" applyBorder="1" applyAlignment="1"/>
    <xf numFmtId="0" fontId="6" fillId="6" borderId="25" xfId="0" applyFont="1" applyFill="1" applyBorder="1" applyAlignment="1"/>
    <xf numFmtId="0" fontId="6" fillId="6" borderId="26" xfId="0" applyFont="1" applyFill="1" applyBorder="1" applyAlignment="1"/>
    <xf numFmtId="9" fontId="4" fillId="3" borderId="1" xfId="5" applyNumberFormat="1" applyAlignment="1">
      <alignment horizontal="center" vertical="center"/>
    </xf>
    <xf numFmtId="9" fontId="4" fillId="3" borderId="1" xfId="5" applyNumberFormat="1" applyAlignment="1">
      <alignment vertical="center"/>
    </xf>
    <xf numFmtId="0" fontId="0" fillId="0" borderId="31" xfId="0" applyBorder="1"/>
    <xf numFmtId="9" fontId="0" fillId="5" borderId="14" xfId="0" applyNumberFormat="1" applyFill="1" applyBorder="1" applyAlignment="1">
      <alignment vertical="center"/>
    </xf>
    <xf numFmtId="9" fontId="0" fillId="5" borderId="40" xfId="0" applyNumberFormat="1" applyFill="1" applyBorder="1" applyAlignment="1">
      <alignment vertical="center"/>
    </xf>
    <xf numFmtId="9" fontId="0" fillId="5" borderId="31" xfId="0" applyNumberFormat="1" applyFill="1" applyBorder="1" applyAlignment="1">
      <alignment vertical="center"/>
    </xf>
    <xf numFmtId="0" fontId="6" fillId="6" borderId="17" xfId="0" applyFont="1" applyFill="1" applyBorder="1" applyAlignment="1"/>
    <xf numFmtId="9" fontId="0" fillId="0" borderId="0" xfId="3" applyFont="1" applyBorder="1"/>
    <xf numFmtId="44" fontId="8" fillId="0" borderId="16" xfId="0" applyNumberFormat="1" applyFont="1" applyBorder="1"/>
    <xf numFmtId="44" fontId="8" fillId="0" borderId="16" xfId="2" applyFont="1" applyBorder="1"/>
    <xf numFmtId="44" fontId="0" fillId="0" borderId="0" xfId="0" applyNumberFormat="1" applyBorder="1"/>
    <xf numFmtId="0" fontId="0" fillId="6" borderId="16" xfId="0" applyFill="1" applyBorder="1" applyAlignment="1">
      <alignment horizontal="center"/>
    </xf>
    <xf numFmtId="0" fontId="5" fillId="4" borderId="31" xfId="6" applyBorder="1" applyAlignment="1">
      <alignment horizontal="center" vertical="center"/>
    </xf>
    <xf numFmtId="170" fontId="0" fillId="0" borderId="16" xfId="1" applyNumberFormat="1" applyFont="1" applyBorder="1"/>
    <xf numFmtId="168" fontId="0" fillId="0" borderId="16" xfId="2" applyNumberFormat="1" applyFont="1" applyFill="1" applyBorder="1" applyAlignment="1">
      <alignment horizontal="left" indent="3"/>
    </xf>
    <xf numFmtId="0" fontId="6" fillId="0" borderId="16" xfId="0" applyFont="1" applyBorder="1" applyAlignment="1">
      <alignment horizontal="center" vertical="center"/>
    </xf>
    <xf numFmtId="9" fontId="0" fillId="8" borderId="38" xfId="0" applyNumberFormat="1" applyFill="1" applyBorder="1" applyAlignment="1">
      <alignment horizontal="center"/>
    </xf>
    <xf numFmtId="9" fontId="0" fillId="8" borderId="16" xfId="0" applyNumberFormat="1" applyFill="1" applyBorder="1" applyAlignment="1">
      <alignment horizontal="center"/>
    </xf>
    <xf numFmtId="0" fontId="0" fillId="8" borderId="31" xfId="0" applyFill="1" applyBorder="1" applyAlignment="1">
      <alignment horizontal="center"/>
    </xf>
    <xf numFmtId="0" fontId="0" fillId="8" borderId="16" xfId="0" applyFill="1" applyBorder="1" applyAlignment="1">
      <alignment horizontal="center"/>
    </xf>
    <xf numFmtId="168" fontId="0" fillId="8" borderId="16" xfId="0" applyNumberFormat="1" applyFill="1" applyBorder="1"/>
    <xf numFmtId="0" fontId="0" fillId="8" borderId="0" xfId="0" applyFill="1" applyBorder="1"/>
    <xf numFmtId="0" fontId="5" fillId="4" borderId="2" xfId="6" applyAlignment="1">
      <alignment horizontal="center"/>
    </xf>
    <xf numFmtId="0" fontId="0" fillId="8" borderId="16" xfId="0" applyFill="1" applyBorder="1"/>
    <xf numFmtId="0" fontId="5" fillId="4" borderId="28" xfId="6" applyBorder="1"/>
    <xf numFmtId="0" fontId="5" fillId="4" borderId="30" xfId="6" applyBorder="1"/>
    <xf numFmtId="0" fontId="5" fillId="4" borderId="5" xfId="6" applyBorder="1"/>
    <xf numFmtId="9" fontId="0" fillId="5" borderId="0" xfId="0" applyNumberFormat="1" applyFill="1" applyBorder="1"/>
    <xf numFmtId="0" fontId="5" fillId="4" borderId="0" xfId="6" applyBorder="1"/>
    <xf numFmtId="0" fontId="3" fillId="2" borderId="0" xfId="4"/>
    <xf numFmtId="0" fontId="0" fillId="0" borderId="16" xfId="0" applyBorder="1" applyAlignment="1"/>
    <xf numFmtId="0" fontId="0" fillId="0" borderId="39" xfId="0" applyBorder="1" applyAlignment="1">
      <alignment vertical="center"/>
    </xf>
    <xf numFmtId="9" fontId="0" fillId="0" borderId="0" xfId="3" applyFont="1" applyBorder="1" applyAlignment="1">
      <alignment horizontal="center"/>
    </xf>
    <xf numFmtId="44" fontId="0" fillId="0" borderId="0" xfId="2" applyFont="1" applyBorder="1" applyAlignment="1">
      <alignment horizontal="center"/>
    </xf>
    <xf numFmtId="9" fontId="0" fillId="0" borderId="16" xfId="3" applyFont="1" applyBorder="1" applyAlignment="1">
      <alignment horizontal="center"/>
    </xf>
    <xf numFmtId="0" fontId="0" fillId="0" borderId="0" xfId="0" applyFont="1"/>
    <xf numFmtId="168" fontId="0" fillId="0" borderId="16" xfId="2" applyNumberFormat="1" applyFont="1" applyFill="1" applyBorder="1"/>
    <xf numFmtId="9" fontId="0" fillId="8" borderId="16" xfId="3" applyFont="1" applyFill="1" applyBorder="1"/>
    <xf numFmtId="0" fontId="0" fillId="8" borderId="0" xfId="0" applyFill="1" applyBorder="1" applyAlignment="1">
      <alignment horizontal="center"/>
    </xf>
    <xf numFmtId="0" fontId="4" fillId="3" borderId="1" xfId="5" applyAlignment="1">
      <alignment horizontal="center"/>
    </xf>
    <xf numFmtId="0" fontId="6" fillId="0" borderId="0" xfId="0" applyFont="1" applyBorder="1" applyAlignment="1">
      <alignment horizontal="center" vertical="center"/>
    </xf>
    <xf numFmtId="168" fontId="0" fillId="0" borderId="0" xfId="2" applyNumberFormat="1" applyFont="1" applyFill="1" applyBorder="1" applyAlignment="1">
      <alignment horizontal="left" indent="3"/>
    </xf>
    <xf numFmtId="168" fontId="0" fillId="8" borderId="16" xfId="2" applyNumberFormat="1" applyFont="1" applyFill="1" applyBorder="1" applyAlignment="1">
      <alignment horizontal="left" indent="3"/>
    </xf>
    <xf numFmtId="0" fontId="0" fillId="8" borderId="39" xfId="0" applyFill="1" applyBorder="1" applyAlignment="1">
      <alignment horizontal="center"/>
    </xf>
    <xf numFmtId="171" fontId="0" fillId="0" borderId="16" xfId="0" applyNumberFormat="1" applyBorder="1"/>
    <xf numFmtId="0" fontId="0" fillId="0" borderId="39" xfId="0" applyBorder="1"/>
    <xf numFmtId="44" fontId="0" fillId="0" borderId="16" xfId="2" applyFont="1" applyBorder="1"/>
    <xf numFmtId="6" fontId="0" fillId="0" borderId="16" xfId="0" applyNumberFormat="1" applyBorder="1"/>
    <xf numFmtId="6" fontId="0" fillId="9" borderId="16" xfId="0" applyNumberFormat="1" applyFill="1" applyBorder="1"/>
    <xf numFmtId="0" fontId="6" fillId="0" borderId="16" xfId="0" applyFont="1" applyBorder="1"/>
    <xf numFmtId="6" fontId="0" fillId="0" borderId="16" xfId="0" applyNumberFormat="1" applyBorder="1" applyAlignment="1">
      <alignment horizontal="center"/>
    </xf>
    <xf numFmtId="8" fontId="0" fillId="0" borderId="0" xfId="0" applyNumberFormat="1"/>
    <xf numFmtId="8" fontId="0" fillId="9" borderId="0" xfId="0" applyNumberFormat="1" applyFill="1"/>
    <xf numFmtId="0" fontId="0" fillId="9" borderId="0" xfId="0" applyFill="1"/>
    <xf numFmtId="3" fontId="0" fillId="0" borderId="0" xfId="0" applyNumberFormat="1"/>
    <xf numFmtId="3" fontId="0" fillId="9" borderId="0" xfId="0" applyNumberFormat="1" applyFill="1"/>
    <xf numFmtId="9" fontId="0" fillId="0" borderId="0" xfId="0" applyNumberFormat="1"/>
    <xf numFmtId="9" fontId="0" fillId="9" borderId="0" xfId="0" applyNumberFormat="1" applyFill="1"/>
    <xf numFmtId="10" fontId="0" fillId="0" borderId="0" xfId="0" applyNumberFormat="1"/>
    <xf numFmtId="0" fontId="0" fillId="10" borderId="0" xfId="0" applyFill="1"/>
    <xf numFmtId="6" fontId="0" fillId="0" borderId="0" xfId="0" applyNumberFormat="1"/>
    <xf numFmtId="6" fontId="0" fillId="9" borderId="0" xfId="0" applyNumberFormat="1" applyFill="1"/>
    <xf numFmtId="172" fontId="0" fillId="0" borderId="16" xfId="2" applyNumberFormat="1" applyFont="1" applyBorder="1"/>
    <xf numFmtId="172" fontId="3" fillId="2" borderId="16" xfId="4" applyNumberFormat="1" applyBorder="1"/>
    <xf numFmtId="0" fontId="3" fillId="2" borderId="16" xfId="4" applyBorder="1"/>
    <xf numFmtId="168" fontId="0" fillId="0" borderId="16" xfId="2" applyNumberFormat="1" applyFont="1" applyBorder="1" applyAlignment="1">
      <alignment horizontal="center"/>
    </xf>
    <xf numFmtId="0" fontId="0" fillId="0" borderId="16" xfId="0" applyBorder="1" applyAlignment="1">
      <alignment horizontal="center" vertical="center"/>
    </xf>
    <xf numFmtId="0" fontId="0" fillId="0" borderId="14" xfId="0" applyFill="1" applyBorder="1" applyAlignment="1"/>
    <xf numFmtId="165" fontId="0" fillId="0" borderId="15" xfId="0" applyNumberFormat="1" applyFill="1" applyBorder="1" applyAlignment="1"/>
    <xf numFmtId="0" fontId="9" fillId="11" borderId="1" xfId="7"/>
    <xf numFmtId="0" fontId="9" fillId="11" borderId="1" xfId="7" applyAlignment="1">
      <alignment horizontal="center"/>
    </xf>
    <xf numFmtId="173" fontId="0" fillId="0" borderId="16" xfId="1" applyNumberFormat="1" applyFont="1" applyBorder="1"/>
    <xf numFmtId="0" fontId="9" fillId="11" borderId="1" xfId="7" quotePrefix="1"/>
    <xf numFmtId="0" fontId="0" fillId="0" borderId="16" xfId="0" applyFill="1" applyBorder="1" applyAlignment="1"/>
    <xf numFmtId="164" fontId="0" fillId="0" borderId="16" xfId="0" applyNumberFormat="1" applyBorder="1"/>
    <xf numFmtId="0" fontId="0" fillId="0" borderId="0" xfId="0" applyFill="1" applyBorder="1"/>
    <xf numFmtId="0" fontId="0" fillId="0" borderId="0" xfId="0" applyFill="1" applyBorder="1" applyAlignment="1">
      <alignment horizontal="left" vertical="top" wrapText="1"/>
    </xf>
    <xf numFmtId="10" fontId="0" fillId="8" borderId="16" xfId="0" applyNumberFormat="1" applyFill="1" applyBorder="1" applyAlignment="1">
      <alignment horizontal="center"/>
    </xf>
    <xf numFmtId="9" fontId="10" fillId="0" borderId="0" xfId="0" applyNumberFormat="1" applyFont="1" applyFill="1" applyBorder="1" applyAlignment="1">
      <alignment vertical="top" wrapText="1"/>
    </xf>
    <xf numFmtId="0" fontId="10" fillId="0" borderId="0" xfId="0" applyFont="1" applyFill="1" applyBorder="1" applyAlignment="1">
      <alignment horizontal="left" vertical="top" wrapText="1"/>
    </xf>
    <xf numFmtId="0" fontId="8" fillId="0" borderId="16" xfId="0" quotePrefix="1" applyFont="1" applyBorder="1"/>
    <xf numFmtId="0" fontId="13" fillId="0" borderId="0" xfId="0" applyFont="1"/>
    <xf numFmtId="0" fontId="14" fillId="0" borderId="0" xfId="0" applyFont="1"/>
    <xf numFmtId="0" fontId="15" fillId="7" borderId="0" xfId="0" applyFont="1" applyFill="1"/>
    <xf numFmtId="0" fontId="13" fillId="7" borderId="0" xfId="0" applyFont="1" applyFill="1"/>
    <xf numFmtId="0" fontId="16" fillId="7" borderId="0" xfId="0" applyFont="1" applyFill="1"/>
    <xf numFmtId="0" fontId="16" fillId="7" borderId="0" xfId="0" applyFont="1" applyFill="1" applyAlignment="1">
      <alignment wrapText="1"/>
    </xf>
    <xf numFmtId="0" fontId="9" fillId="11" borderId="41" xfId="7" applyBorder="1"/>
    <xf numFmtId="0" fontId="14" fillId="0" borderId="0" xfId="0" applyFont="1" applyFill="1" applyAlignment="1">
      <alignment horizontal="left" vertical="top" wrapText="1"/>
    </xf>
    <xf numFmtId="0" fontId="14" fillId="0" borderId="0" xfId="0" applyFont="1" applyFill="1" applyBorder="1" applyAlignment="1">
      <alignment horizontal="left" vertical="top" wrapText="1"/>
    </xf>
    <xf numFmtId="0" fontId="17" fillId="0" borderId="0" xfId="0" applyFont="1" applyFill="1" applyBorder="1" applyAlignment="1">
      <alignment horizontal="left" vertical="top" wrapText="1"/>
    </xf>
    <xf numFmtId="9" fontId="17" fillId="0" borderId="0" xfId="0" applyNumberFormat="1" applyFont="1" applyFill="1" applyBorder="1" applyAlignment="1">
      <alignment horizontal="left" vertical="top" wrapText="1"/>
    </xf>
    <xf numFmtId="0" fontId="13" fillId="0" borderId="0" xfId="0" applyFont="1" applyFill="1" applyBorder="1" applyAlignment="1">
      <alignment horizontal="left" vertical="top" wrapText="1"/>
    </xf>
    <xf numFmtId="0" fontId="17" fillId="0" borderId="0" xfId="0" applyFont="1" applyFill="1" applyBorder="1" applyAlignment="1">
      <alignment horizontal="left" vertical="top" wrapText="1"/>
    </xf>
    <xf numFmtId="9" fontId="17" fillId="0" borderId="0" xfId="0" applyNumberFormat="1" applyFont="1" applyFill="1" applyBorder="1" applyAlignment="1">
      <alignment vertical="top" wrapText="1"/>
    </xf>
    <xf numFmtId="0" fontId="0" fillId="0" borderId="0" xfId="0"/>
    <xf numFmtId="0" fontId="0" fillId="0" borderId="16" xfId="0" applyBorder="1"/>
    <xf numFmtId="0" fontId="0" fillId="0" borderId="16" xfId="0" applyBorder="1"/>
    <xf numFmtId="0" fontId="0" fillId="0" borderId="16" xfId="0" applyBorder="1"/>
    <xf numFmtId="0" fontId="9" fillId="11" borderId="1" xfId="7" applyAlignment="1">
      <alignment horizontal="center"/>
    </xf>
    <xf numFmtId="0" fontId="17" fillId="0" borderId="0" xfId="0" applyFont="1" applyFill="1" applyBorder="1" applyAlignment="1">
      <alignment horizontal="left" vertical="top" wrapText="1"/>
    </xf>
    <xf numFmtId="0" fontId="14" fillId="0" borderId="0" xfId="0" applyFont="1" applyFill="1" applyBorder="1" applyAlignment="1">
      <alignment horizontal="left" wrapText="1"/>
    </xf>
    <xf numFmtId="14" fontId="13" fillId="0" borderId="0" xfId="0" applyNumberFormat="1" applyFont="1"/>
    <xf numFmtId="0" fontId="22" fillId="0" borderId="0" xfId="8" applyFont="1" applyAlignment="1">
      <alignment wrapText="1"/>
    </xf>
    <xf numFmtId="0" fontId="22" fillId="7" borderId="0" xfId="8" applyFont="1" applyFill="1" applyAlignment="1"/>
    <xf numFmtId="0" fontId="22" fillId="0" borderId="0" xfId="8" applyFont="1" applyAlignment="1"/>
    <xf numFmtId="0" fontId="13" fillId="7" borderId="0" xfId="0" applyFont="1" applyFill="1" applyBorder="1" applyAlignment="1">
      <alignment vertical="top" wrapText="1"/>
    </xf>
    <xf numFmtId="0" fontId="13" fillId="7" borderId="0" xfId="0" applyFont="1" applyFill="1" applyBorder="1" applyAlignment="1">
      <alignment wrapText="1"/>
    </xf>
    <xf numFmtId="0" fontId="22" fillId="7" borderId="0" xfId="8" applyFont="1" applyFill="1" applyAlignment="1"/>
    <xf numFmtId="0" fontId="22" fillId="0" borderId="0" xfId="8" applyFont="1" applyAlignment="1"/>
    <xf numFmtId="0" fontId="13" fillId="7" borderId="0" xfId="0" applyFont="1" applyFill="1" applyAlignment="1"/>
    <xf numFmtId="0" fontId="13" fillId="0" borderId="0" xfId="0" applyFont="1" applyAlignment="1"/>
    <xf numFmtId="0" fontId="22" fillId="7" borderId="0" xfId="8" applyFont="1" applyFill="1" applyAlignment="1">
      <alignment wrapText="1"/>
    </xf>
    <xf numFmtId="0" fontId="22" fillId="0" borderId="0" xfId="8" applyFont="1" applyAlignment="1">
      <alignment wrapText="1"/>
    </xf>
    <xf numFmtId="0" fontId="13" fillId="0" borderId="0" xfId="0" applyFont="1" applyAlignment="1">
      <alignment wrapText="1"/>
    </xf>
    <xf numFmtId="0" fontId="17" fillId="0" borderId="0" xfId="0" applyFont="1" applyFill="1" applyBorder="1" applyAlignment="1">
      <alignment horizontal="left" vertical="top" wrapText="1"/>
    </xf>
    <xf numFmtId="9" fontId="17" fillId="0" borderId="0" xfId="0" applyNumberFormat="1" applyFont="1" applyFill="1" applyBorder="1" applyAlignment="1">
      <alignment horizontal="left" vertical="top" wrapText="1"/>
    </xf>
    <xf numFmtId="0" fontId="5" fillId="4" borderId="11" xfId="6" applyBorder="1" applyAlignment="1">
      <alignment horizontal="center"/>
    </xf>
    <xf numFmtId="0" fontId="5" fillId="4" borderId="0" xfId="6" applyBorder="1" applyAlignment="1">
      <alignment horizontal="center"/>
    </xf>
    <xf numFmtId="0" fontId="5" fillId="4" borderId="10" xfId="6" applyBorder="1" applyAlignment="1">
      <alignment horizontal="center"/>
    </xf>
    <xf numFmtId="0" fontId="5" fillId="4" borderId="5" xfId="6" applyBorder="1" applyAlignment="1">
      <alignment horizontal="center"/>
    </xf>
    <xf numFmtId="0" fontId="5" fillId="4" borderId="4" xfId="6" applyBorder="1" applyAlignment="1">
      <alignment horizontal="center"/>
    </xf>
    <xf numFmtId="0" fontId="5" fillId="4" borderId="3" xfId="6" applyBorder="1" applyAlignment="1">
      <alignment horizontal="center"/>
    </xf>
    <xf numFmtId="0" fontId="0" fillId="0" borderId="31" xfId="0" applyBorder="1" applyAlignment="1">
      <alignment horizontal="center"/>
    </xf>
    <xf numFmtId="0" fontId="0" fillId="0" borderId="17" xfId="0" applyBorder="1" applyAlignment="1">
      <alignment horizontal="center"/>
    </xf>
    <xf numFmtId="0" fontId="5" fillId="4" borderId="2" xfId="6" applyAlignment="1">
      <alignment horizontal="center"/>
    </xf>
    <xf numFmtId="0" fontId="5" fillId="0" borderId="16" xfId="6" applyFill="1" applyBorder="1" applyAlignment="1">
      <alignment horizontal="center" vertical="center"/>
    </xf>
    <xf numFmtId="0" fontId="5" fillId="4" borderId="39" xfId="6" applyBorder="1" applyAlignment="1">
      <alignment horizontal="center" vertical="center"/>
    </xf>
    <xf numFmtId="0" fontId="0" fillId="0" borderId="18" xfId="0" applyFill="1" applyBorder="1" applyAlignment="1">
      <alignment horizontal="center"/>
    </xf>
    <xf numFmtId="0" fontId="0" fillId="0" borderId="17" xfId="0" applyFill="1" applyBorder="1" applyAlignment="1">
      <alignment horizontal="center"/>
    </xf>
    <xf numFmtId="0" fontId="6" fillId="6" borderId="26" xfId="0" applyFont="1" applyFill="1" applyBorder="1" applyAlignment="1">
      <alignment horizontal="center"/>
    </xf>
    <xf numFmtId="0" fontId="6" fillId="6" borderId="25" xfId="0" applyFont="1" applyFill="1" applyBorder="1" applyAlignment="1">
      <alignment horizontal="center"/>
    </xf>
    <xf numFmtId="0" fontId="6" fillId="6" borderId="24" xfId="0" applyFont="1" applyFill="1" applyBorder="1" applyAlignment="1">
      <alignment horizontal="center"/>
    </xf>
    <xf numFmtId="0" fontId="6" fillId="6" borderId="18" xfId="0" applyFont="1" applyFill="1" applyBorder="1" applyAlignment="1">
      <alignment horizontal="center"/>
    </xf>
    <xf numFmtId="0" fontId="6" fillId="6" borderId="19" xfId="0" applyFont="1" applyFill="1" applyBorder="1" applyAlignment="1">
      <alignment horizontal="center"/>
    </xf>
    <xf numFmtId="0" fontId="6" fillId="6" borderId="17" xfId="0" applyFont="1" applyFill="1" applyBorder="1" applyAlignment="1">
      <alignment horizontal="center"/>
    </xf>
    <xf numFmtId="0" fontId="0" fillId="0" borderId="16" xfId="0" applyBorder="1" applyAlignment="1">
      <alignment horizontal="center"/>
    </xf>
    <xf numFmtId="0" fontId="0" fillId="5" borderId="18" xfId="0" applyFill="1" applyBorder="1" applyAlignment="1">
      <alignment horizontal="center"/>
    </xf>
    <xf numFmtId="0" fontId="0" fillId="5" borderId="17" xfId="0" applyFill="1" applyBorder="1" applyAlignment="1">
      <alignment horizontal="center"/>
    </xf>
    <xf numFmtId="0" fontId="0" fillId="0" borderId="16" xfId="0" applyFill="1" applyBorder="1" applyAlignment="1" applyProtection="1">
      <alignment horizontal="center"/>
      <protection locked="0"/>
    </xf>
    <xf numFmtId="0" fontId="0" fillId="5" borderId="31" xfId="0" applyFill="1" applyBorder="1" applyAlignment="1" applyProtection="1">
      <alignment horizontal="center"/>
      <protection locked="0"/>
    </xf>
    <xf numFmtId="0" fontId="0" fillId="5" borderId="19" xfId="0" applyFill="1" applyBorder="1" applyAlignment="1" applyProtection="1">
      <alignment horizontal="center"/>
      <protection locked="0"/>
    </xf>
    <xf numFmtId="0" fontId="0" fillId="5" borderId="17" xfId="0" applyFill="1" applyBorder="1" applyAlignment="1" applyProtection="1">
      <alignment horizontal="center"/>
      <protection locked="0"/>
    </xf>
    <xf numFmtId="0" fontId="0" fillId="5" borderId="32" xfId="0" applyFill="1" applyBorder="1" applyAlignment="1">
      <alignment horizontal="center"/>
    </xf>
    <xf numFmtId="0" fontId="0" fillId="5" borderId="25" xfId="0" applyFill="1" applyBorder="1" applyAlignment="1">
      <alignment horizontal="center"/>
    </xf>
    <xf numFmtId="0" fontId="0" fillId="5" borderId="24" xfId="0" applyFill="1" applyBorder="1" applyAlignment="1">
      <alignment horizontal="center"/>
    </xf>
    <xf numFmtId="0" fontId="0" fillId="0" borderId="31" xfId="0" applyBorder="1" applyAlignment="1" applyProtection="1">
      <alignment horizontal="center"/>
      <protection locked="0"/>
    </xf>
    <xf numFmtId="0" fontId="0" fillId="0" borderId="19" xfId="0" applyBorder="1" applyAlignment="1" applyProtection="1">
      <alignment horizontal="center"/>
      <protection locked="0"/>
    </xf>
    <xf numFmtId="0" fontId="0" fillId="0" borderId="17" xfId="0" applyBorder="1" applyAlignment="1" applyProtection="1">
      <alignment horizontal="center"/>
      <protection locked="0"/>
    </xf>
    <xf numFmtId="0" fontId="0" fillId="0" borderId="19" xfId="0" applyBorder="1" applyAlignment="1">
      <alignment horizontal="center"/>
    </xf>
    <xf numFmtId="0" fontId="0" fillId="5" borderId="15" xfId="0" applyFill="1" applyBorder="1" applyAlignment="1">
      <alignment horizontal="center" vertical="center"/>
    </xf>
    <xf numFmtId="0" fontId="0" fillId="5" borderId="14" xfId="0" applyFill="1" applyBorder="1" applyAlignment="1">
      <alignment horizontal="center" vertical="center"/>
    </xf>
    <xf numFmtId="0" fontId="0" fillId="5" borderId="13" xfId="0" applyFill="1" applyBorder="1" applyAlignment="1">
      <alignment horizontal="center" vertical="center"/>
    </xf>
    <xf numFmtId="0" fontId="0" fillId="5" borderId="11" xfId="0" applyFill="1" applyBorder="1" applyAlignment="1">
      <alignment horizontal="center" vertical="center"/>
    </xf>
    <xf numFmtId="0" fontId="0" fillId="5" borderId="0" xfId="0" applyFill="1" applyBorder="1" applyAlignment="1">
      <alignment horizontal="center" vertical="center"/>
    </xf>
    <xf numFmtId="0" fontId="0" fillId="5" borderId="10" xfId="0" applyFill="1" applyBorder="1" applyAlignment="1">
      <alignment horizontal="center" vertical="center"/>
    </xf>
    <xf numFmtId="0" fontId="0" fillId="5" borderId="8" xfId="0" applyFill="1" applyBorder="1" applyAlignment="1">
      <alignment horizontal="center" vertical="center"/>
    </xf>
    <xf numFmtId="0" fontId="0" fillId="5" borderId="7" xfId="0" applyFill="1" applyBorder="1" applyAlignment="1">
      <alignment horizontal="center" vertical="center"/>
    </xf>
    <xf numFmtId="0" fontId="0" fillId="5" borderId="6" xfId="0" applyFill="1" applyBorder="1" applyAlignment="1">
      <alignment horizontal="center" vertical="center"/>
    </xf>
    <xf numFmtId="0" fontId="5" fillId="4" borderId="28" xfId="6" applyBorder="1" applyAlignment="1">
      <alignment horizontal="center"/>
    </xf>
    <xf numFmtId="0" fontId="5" fillId="4" borderId="12" xfId="6" applyBorder="1" applyAlignment="1">
      <alignment horizontal="center"/>
    </xf>
    <xf numFmtId="0" fontId="5" fillId="4" borderId="9" xfId="6" applyBorder="1" applyAlignment="1">
      <alignment horizontal="center"/>
    </xf>
    <xf numFmtId="0" fontId="0" fillId="0" borderId="30" xfId="0" applyBorder="1" applyAlignment="1">
      <alignment horizontal="center"/>
    </xf>
    <xf numFmtId="0" fontId="0" fillId="0" borderId="29" xfId="0" applyBorder="1" applyAlignment="1">
      <alignment horizontal="center"/>
    </xf>
    <xf numFmtId="0" fontId="0" fillId="0" borderId="11" xfId="0" applyBorder="1" applyAlignment="1">
      <alignment horizontal="center"/>
    </xf>
    <xf numFmtId="0" fontId="0" fillId="0" borderId="10" xfId="0" applyBorder="1" applyAlignment="1">
      <alignment horizontal="center"/>
    </xf>
    <xf numFmtId="0" fontId="0" fillId="5" borderId="31" xfId="0" applyFill="1" applyBorder="1" applyAlignment="1">
      <alignment horizontal="center"/>
    </xf>
    <xf numFmtId="0" fontId="0" fillId="0" borderId="18" xfId="0" applyFill="1" applyBorder="1" applyAlignment="1" applyProtection="1">
      <alignment horizontal="center"/>
      <protection locked="0"/>
    </xf>
    <xf numFmtId="0" fontId="0" fillId="0" borderId="19" xfId="0" applyFill="1" applyBorder="1" applyAlignment="1" applyProtection="1">
      <alignment horizontal="center"/>
      <protection locked="0"/>
    </xf>
    <xf numFmtId="0" fontId="0" fillId="0" borderId="17" xfId="0" applyFill="1" applyBorder="1" applyAlignment="1" applyProtection="1">
      <alignment horizontal="center"/>
      <protection locked="0"/>
    </xf>
    <xf numFmtId="164" fontId="0" fillId="5" borderId="15" xfId="0" applyNumberFormat="1" applyFill="1" applyBorder="1" applyAlignment="1">
      <alignment horizontal="center" vertical="center" wrapText="1"/>
    </xf>
    <xf numFmtId="164" fontId="0" fillId="5" borderId="14" xfId="0" applyNumberFormat="1" applyFill="1" applyBorder="1" applyAlignment="1">
      <alignment horizontal="center" vertical="center" wrapText="1"/>
    </xf>
    <xf numFmtId="164" fontId="0" fillId="5" borderId="23" xfId="0" applyNumberFormat="1" applyFill="1" applyBorder="1" applyAlignment="1">
      <alignment horizontal="center" vertical="center" wrapText="1"/>
    </xf>
    <xf numFmtId="164" fontId="0" fillId="5" borderId="22" xfId="0" applyNumberFormat="1" applyFill="1" applyBorder="1" applyAlignment="1">
      <alignment horizontal="center" vertical="center" wrapText="1"/>
    </xf>
    <xf numFmtId="164" fontId="0" fillId="5" borderId="21" xfId="0" applyNumberFormat="1" applyFill="1" applyBorder="1" applyAlignment="1">
      <alignment horizontal="center" vertical="center" wrapText="1"/>
    </xf>
    <xf numFmtId="164" fontId="0" fillId="5" borderId="20" xfId="0" applyNumberFormat="1" applyFill="1" applyBorder="1" applyAlignment="1">
      <alignment horizontal="center" vertical="center" wrapText="1"/>
    </xf>
    <xf numFmtId="0" fontId="0" fillId="5" borderId="0" xfId="0" applyFill="1" applyAlignment="1">
      <alignment horizontal="center" vertical="center"/>
    </xf>
    <xf numFmtId="0" fontId="0" fillId="0" borderId="31" xfId="0" applyBorder="1" applyAlignment="1" applyProtection="1">
      <alignment horizontal="center" vertical="center"/>
      <protection locked="0"/>
    </xf>
    <xf numFmtId="0" fontId="0" fillId="0" borderId="19" xfId="0" applyBorder="1" applyAlignment="1" applyProtection="1">
      <alignment horizontal="center" vertical="center"/>
      <protection locked="0"/>
    </xf>
    <xf numFmtId="0" fontId="0" fillId="0" borderId="17" xfId="0" applyBorder="1" applyAlignment="1" applyProtection="1">
      <alignment horizontal="center" vertical="center"/>
      <protection locked="0"/>
    </xf>
    <xf numFmtId="0" fontId="0" fillId="5" borderId="36" xfId="0" applyFill="1" applyBorder="1" applyAlignment="1">
      <alignment horizontal="center"/>
    </xf>
    <xf numFmtId="0" fontId="0" fillId="5" borderId="35" xfId="0" applyFill="1" applyBorder="1" applyAlignment="1">
      <alignment horizontal="center"/>
    </xf>
    <xf numFmtId="0" fontId="0" fillId="5" borderId="34" xfId="0" applyFill="1" applyBorder="1" applyAlignment="1">
      <alignment horizontal="center"/>
    </xf>
    <xf numFmtId="0" fontId="0" fillId="0" borderId="22" xfId="0" applyBorder="1" applyAlignment="1">
      <alignment horizontal="center"/>
    </xf>
    <xf numFmtId="0" fontId="0" fillId="0" borderId="33" xfId="0" applyBorder="1" applyAlignment="1">
      <alignment horizontal="center"/>
    </xf>
    <xf numFmtId="0" fontId="0" fillId="5" borderId="19" xfId="0" applyFill="1" applyBorder="1" applyAlignment="1">
      <alignment horizontal="center"/>
    </xf>
    <xf numFmtId="0" fontId="0" fillId="7" borderId="18" xfId="0" applyFill="1" applyBorder="1" applyAlignment="1" applyProtection="1">
      <alignment horizontal="center"/>
      <protection locked="0"/>
    </xf>
    <xf numFmtId="0" fontId="0" fillId="7" borderId="19" xfId="0" applyFill="1" applyBorder="1" applyAlignment="1" applyProtection="1">
      <alignment horizontal="center"/>
      <protection locked="0"/>
    </xf>
    <xf numFmtId="0" fontId="0" fillId="7" borderId="17" xfId="0" applyFill="1" applyBorder="1" applyAlignment="1" applyProtection="1">
      <alignment horizontal="center"/>
      <protection locked="0"/>
    </xf>
    <xf numFmtId="0" fontId="5" fillId="4" borderId="26" xfId="6" applyBorder="1" applyAlignment="1">
      <alignment horizontal="center"/>
    </xf>
    <xf numFmtId="0" fontId="5" fillId="4" borderId="25" xfId="6" applyBorder="1" applyAlignment="1">
      <alignment horizontal="center"/>
    </xf>
    <xf numFmtId="0" fontId="5" fillId="4" borderId="37" xfId="6" applyBorder="1" applyAlignment="1">
      <alignment horizontal="center"/>
    </xf>
    <xf numFmtId="0" fontId="0" fillId="0" borderId="31" xfId="0" applyBorder="1" applyAlignment="1" applyProtection="1">
      <alignment horizontal="center" vertical="center" wrapText="1"/>
      <protection locked="0"/>
    </xf>
    <xf numFmtId="0" fontId="0" fillId="0" borderId="19" xfId="0" applyBorder="1" applyAlignment="1" applyProtection="1">
      <alignment horizontal="center" vertical="center" wrapText="1"/>
      <protection locked="0"/>
    </xf>
    <xf numFmtId="0" fontId="0" fillId="0" borderId="17" xfId="0" applyBorder="1" applyAlignment="1" applyProtection="1">
      <alignment horizontal="center" vertical="center" wrapText="1"/>
      <protection locked="0"/>
    </xf>
    <xf numFmtId="0" fontId="13" fillId="0" borderId="0" xfId="0" applyFont="1" applyAlignment="1">
      <alignment horizontal="center"/>
    </xf>
    <xf numFmtId="0" fontId="0" fillId="0" borderId="16" xfId="0" applyBorder="1" applyAlignment="1">
      <alignment horizontal="center" textRotation="90"/>
    </xf>
    <xf numFmtId="0" fontId="0" fillId="0" borderId="39" xfId="0" applyBorder="1" applyAlignment="1">
      <alignment horizontal="center"/>
    </xf>
  </cellXfs>
  <cellStyles count="9">
    <cellStyle name="Calculation" xfId="7" builtinId="22"/>
    <cellStyle name="Check Cell" xfId="6" builtinId="23"/>
    <cellStyle name="Comma" xfId="1" builtinId="3"/>
    <cellStyle name="Currency" xfId="2" builtinId="4"/>
    <cellStyle name="Good" xfId="4" builtinId="26"/>
    <cellStyle name="Hyperlink" xfId="8" builtinId="8"/>
    <cellStyle name="Input" xfId="5" builtinId="20"/>
    <cellStyle name="Normal" xfId="0" builtinId="0"/>
    <cellStyle name="Percent" xfId="3" builtinId="5"/>
  </cellStyles>
  <dxfs count="45">
    <dxf>
      <font>
        <color theme="0" tint="-0.34998626667073579"/>
      </font>
      <fill>
        <patternFill>
          <bgColor theme="0" tint="-0.34998626667073579"/>
        </patternFill>
      </fill>
    </dxf>
    <dxf>
      <font>
        <color theme="0" tint="-0.34998626667073579"/>
      </font>
      <fill>
        <patternFill>
          <bgColor theme="0" tint="-0.34998626667073579"/>
        </patternFill>
      </fill>
    </dxf>
    <dxf>
      <fill>
        <patternFill>
          <bgColor theme="0" tint="-0.24994659260841701"/>
        </patternFill>
      </fill>
    </dxf>
    <dxf>
      <font>
        <color theme="0" tint="-0.34998626667073579"/>
      </font>
      <fill>
        <patternFill>
          <bgColor theme="0" tint="-0.34998626667073579"/>
        </patternFill>
      </fill>
    </dxf>
    <dxf>
      <font>
        <color theme="0" tint="-0.34998626667073579"/>
      </font>
      <fill>
        <patternFill>
          <bgColor theme="0" tint="-0.34998626667073579"/>
        </patternFill>
      </fill>
    </dxf>
    <dxf>
      <font>
        <color theme="0" tint="-0.34998626667073579"/>
      </font>
      <fill>
        <patternFill>
          <bgColor theme="0" tint="-0.34998626667073579"/>
        </patternFill>
      </fill>
    </dxf>
    <dxf>
      <font>
        <color theme="0" tint="-0.34998626667073579"/>
      </font>
      <fill>
        <patternFill>
          <bgColor theme="0" tint="-0.34998626667073579"/>
        </patternFill>
      </fill>
    </dxf>
    <dxf>
      <font>
        <color theme="0" tint="-0.34998626667073579"/>
      </font>
      <fill>
        <patternFill>
          <bgColor theme="0" tint="-0.34998626667073579"/>
        </patternFill>
      </fill>
    </dxf>
    <dxf>
      <font>
        <color theme="0" tint="-0.34998626667073579"/>
      </font>
      <fill>
        <patternFill>
          <bgColor theme="0" tint="-0.34998626667073579"/>
        </patternFill>
      </fill>
    </dxf>
    <dxf>
      <fill>
        <patternFill>
          <bgColor theme="0" tint="-0.24994659260841701"/>
        </patternFill>
      </fill>
    </dxf>
    <dxf>
      <font>
        <color theme="0" tint="-0.34998626667073579"/>
      </font>
      <fill>
        <patternFill>
          <bgColor theme="0" tint="-0.34998626667073579"/>
        </patternFill>
      </fill>
    </dxf>
    <dxf>
      <fill>
        <patternFill>
          <bgColor theme="0" tint="-0.24994659260841701"/>
        </patternFill>
      </fill>
    </dxf>
    <dxf>
      <font>
        <color theme="0" tint="-0.34998626667073579"/>
      </font>
      <fill>
        <patternFill>
          <bgColor theme="0" tint="-0.34998626667073579"/>
        </patternFill>
      </fill>
    </dxf>
    <dxf>
      <fill>
        <patternFill>
          <bgColor theme="0" tint="-0.24994659260841701"/>
        </patternFill>
      </fill>
    </dxf>
    <dxf>
      <font>
        <color theme="0" tint="-0.34998626667073579"/>
      </font>
      <fill>
        <patternFill>
          <bgColor theme="0" tint="-0.34998626667073579"/>
        </patternFill>
      </fill>
    </dxf>
    <dxf>
      <font>
        <color theme="0" tint="-0.34998626667073579"/>
      </font>
      <fill>
        <patternFill>
          <bgColor theme="0" tint="-0.34998626667073579"/>
        </patternFill>
      </fill>
    </dxf>
    <dxf>
      <font>
        <color theme="0" tint="-0.34998626667073579"/>
      </font>
      <fill>
        <patternFill>
          <bgColor theme="0" tint="-0.34998626667073579"/>
        </patternFill>
      </fill>
    </dxf>
    <dxf>
      <font>
        <color theme="0" tint="-0.34998626667073579"/>
      </font>
      <fill>
        <patternFill>
          <bgColor theme="0" tint="-0.34998626667073579"/>
        </patternFill>
      </fill>
    </dxf>
    <dxf>
      <fill>
        <patternFill>
          <bgColor theme="0" tint="-0.24994659260841701"/>
        </patternFill>
      </fill>
    </dxf>
    <dxf>
      <font>
        <color theme="0" tint="-0.34998626667073579"/>
      </font>
      <fill>
        <patternFill>
          <bgColor theme="0" tint="-0.34998626667073579"/>
        </patternFill>
      </fill>
    </dxf>
    <dxf>
      <font>
        <color theme="0" tint="-0.34998626667073579"/>
      </font>
      <fill>
        <patternFill>
          <bgColor theme="0" tint="-0.34998626667073579"/>
        </patternFill>
      </fill>
    </dxf>
    <dxf>
      <font>
        <color theme="0" tint="-0.34998626667073579"/>
      </font>
      <fill>
        <patternFill>
          <bgColor theme="0" tint="-0.34998626667073579"/>
        </patternFill>
      </fill>
    </dxf>
    <dxf>
      <font>
        <color theme="0" tint="-0.34998626667073579"/>
      </font>
      <fill>
        <patternFill>
          <bgColor theme="0" tint="-0.34998626667073579"/>
        </patternFill>
      </fill>
    </dxf>
    <dxf>
      <fill>
        <patternFill>
          <bgColor theme="0" tint="-0.24994659260841701"/>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theme="0" tint="-0.34998626667073579"/>
      </font>
      <fill>
        <patternFill>
          <bgColor theme="0" tint="-0.34998626667073579"/>
        </patternFill>
      </fill>
    </dxf>
    <dxf>
      <font>
        <color theme="0" tint="-0.34998626667073579"/>
      </font>
      <fill>
        <patternFill>
          <bgColor theme="0" tint="-0.34998626667073579"/>
        </patternFill>
      </fill>
    </dxf>
    <dxf>
      <font>
        <color theme="0" tint="-0.14996795556505021"/>
      </font>
      <fill>
        <patternFill>
          <bgColor theme="0" tint="-0.14996795556505021"/>
        </patternFill>
      </fill>
    </dxf>
    <dxf>
      <fill>
        <patternFill>
          <bgColor theme="0"/>
        </patternFill>
      </fill>
    </dxf>
    <dxf>
      <font>
        <color theme="0" tint="-0.14996795556505021"/>
      </font>
      <fill>
        <patternFill>
          <bgColor theme="0" tint="-0.14996795556505021"/>
        </patternFill>
      </fill>
    </dxf>
    <dxf>
      <fill>
        <patternFill>
          <bgColor theme="0"/>
        </patternFill>
      </fill>
    </dxf>
    <dxf>
      <fill>
        <patternFill>
          <bgColor theme="0" tint="-0.24994659260841701"/>
        </patternFill>
      </fill>
    </dxf>
    <dxf>
      <fill>
        <patternFill>
          <bgColor theme="0" tint="-0.14996795556505021"/>
        </patternFill>
      </fill>
    </dxf>
    <dxf>
      <fill>
        <patternFill>
          <bgColor rgb="FFFF0000"/>
        </patternFill>
      </fill>
    </dxf>
    <dxf>
      <font>
        <color theme="0" tint="-0.14996795556505021"/>
      </font>
      <fill>
        <patternFill>
          <bgColor theme="0" tint="-0.14996795556505021"/>
        </patternFill>
      </fill>
    </dxf>
    <dxf>
      <font>
        <color theme="1"/>
      </font>
      <fill>
        <patternFill>
          <bgColor theme="0" tint="-4.9989318521683403E-2"/>
        </patternFill>
      </fill>
    </dxf>
    <dxf>
      <fill>
        <patternFill>
          <bgColor theme="0"/>
        </patternFill>
      </fill>
    </dxf>
    <dxf>
      <fill>
        <patternFill>
          <bgColor theme="0" tint="-0.24994659260841701"/>
        </patternFill>
      </fill>
    </dxf>
  </dxfs>
  <tableStyles count="0" defaultTableStyle="TableStyleMedium2" defaultPivotStyle="PivotStyleLight16"/>
  <colors>
    <mruColors>
      <color rgb="FF916BAC"/>
      <color rgb="FF31B784"/>
      <color rgb="FFE2173D"/>
      <color rgb="FF00A9D8"/>
      <color rgb="FFF7931D"/>
      <color rgb="FF3399FF"/>
      <color rgb="FF056399"/>
      <color rgb="FFFF6600"/>
      <color rgb="FFFF9933"/>
      <color rgb="FFCC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microsoft.com/office/2006/relationships/vbaProject" Target="vbaProject.bin"/><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haredStrings" Target="sharedStrings.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n-US" sz="2000">
                <a:latin typeface="Arial" panose="020B0604020202020204" pitchFamily="34" charset="0"/>
                <a:cs typeface="Arial" panose="020B0604020202020204" pitchFamily="34" charset="0"/>
              </a:rPr>
              <a:t>Battery Storage </a:t>
            </a:r>
            <a:r>
              <a:rPr lang="en-US" sz="2000" baseline="0">
                <a:latin typeface="Arial" panose="020B0604020202020204" pitchFamily="34" charset="0"/>
                <a:cs typeface="Arial" panose="020B0604020202020204" pitchFamily="34" charset="0"/>
              </a:rPr>
              <a:t>for </a:t>
            </a:r>
            <a:r>
              <a:rPr lang="en-US" sz="2000">
                <a:latin typeface="Arial" panose="020B0604020202020204" pitchFamily="34" charset="0"/>
                <a:cs typeface="Arial" panose="020B0604020202020204" pitchFamily="34" charset="0"/>
              </a:rPr>
              <a:t>Tariff Optimisation</a:t>
            </a:r>
          </a:p>
        </c:rich>
      </c:tx>
      <c:layout/>
      <c:overlay val="1"/>
    </c:title>
    <c:autoTitleDeleted val="0"/>
    <c:plotArea>
      <c:layout>
        <c:manualLayout>
          <c:layoutTarget val="inner"/>
          <c:xMode val="edge"/>
          <c:yMode val="edge"/>
          <c:x val="0.12354390964197318"/>
          <c:y val="7.8876686246375102E-2"/>
          <c:w val="0.82572251383078399"/>
          <c:h val="0.77401474862090947"/>
        </c:manualLayout>
      </c:layout>
      <c:areaChart>
        <c:grouping val="stacked"/>
        <c:varyColors val="0"/>
        <c:ser>
          <c:idx val="3"/>
          <c:order val="8"/>
          <c:tx>
            <c:v>Bottom Area</c:v>
          </c:tx>
          <c:spPr>
            <a:noFill/>
          </c:spPr>
          <c:cat>
            <c:numRef>
              <c:f>'Arbitrage Payback Engine'!$AD$8:$AD$1065</c:f>
              <c:numCache>
                <c:formatCode>_(* #,##0.00_);_(* \(#,##0.00\);_(* "-"??_);_(@_)</c:formatCode>
                <c:ptCount val="1058"/>
                <c:pt idx="0">
                  <c:v>0</c:v>
                </c:pt>
                <c:pt idx="1">
                  <c:v>0.94876660341555974</c:v>
                </c:pt>
                <c:pt idx="2">
                  <c:v>0.94876660341555974</c:v>
                </c:pt>
                <c:pt idx="3">
                  <c:v>1.8975332068311195</c:v>
                </c:pt>
                <c:pt idx="4">
                  <c:v>2.8462998102466797</c:v>
                </c:pt>
                <c:pt idx="5">
                  <c:v>3.795066413662239</c:v>
                </c:pt>
                <c:pt idx="6">
                  <c:v>4.7438330170777983</c:v>
                </c:pt>
                <c:pt idx="7">
                  <c:v>5.6925996204933593</c:v>
                </c:pt>
                <c:pt idx="8">
                  <c:v>6.6413662239089177</c:v>
                </c:pt>
                <c:pt idx="9">
                  <c:v>7.5901328273244779</c:v>
                </c:pt>
                <c:pt idx="10">
                  <c:v>8.5388994307400381</c:v>
                </c:pt>
                <c:pt idx="11">
                  <c:v>9.4876660341555965</c:v>
                </c:pt>
                <c:pt idx="12">
                  <c:v>10.436432637571157</c:v>
                </c:pt>
                <c:pt idx="13">
                  <c:v>11.385199240986719</c:v>
                </c:pt>
                <c:pt idx="14">
                  <c:v>12.333965844402279</c:v>
                </c:pt>
                <c:pt idx="15">
                  <c:v>13.282732447817835</c:v>
                </c:pt>
                <c:pt idx="16">
                  <c:v>14.231499051233396</c:v>
                </c:pt>
                <c:pt idx="17">
                  <c:v>15.180265654648956</c:v>
                </c:pt>
                <c:pt idx="18">
                  <c:v>16.129032258064516</c:v>
                </c:pt>
                <c:pt idx="19">
                  <c:v>17.077798861480076</c:v>
                </c:pt>
                <c:pt idx="20">
                  <c:v>18.02656546489564</c:v>
                </c:pt>
                <c:pt idx="21">
                  <c:v>18.975332068311193</c:v>
                </c:pt>
                <c:pt idx="22">
                  <c:v>19.924098671726757</c:v>
                </c:pt>
                <c:pt idx="23">
                  <c:v>20.872865275142313</c:v>
                </c:pt>
                <c:pt idx="24">
                  <c:v>21.821631878557874</c:v>
                </c:pt>
                <c:pt idx="25">
                  <c:v>22.770398481973437</c:v>
                </c:pt>
                <c:pt idx="26">
                  <c:v>23.719165085388994</c:v>
                </c:pt>
                <c:pt idx="27">
                  <c:v>24.667931688804558</c:v>
                </c:pt>
                <c:pt idx="28">
                  <c:v>25.616698292220114</c:v>
                </c:pt>
                <c:pt idx="29">
                  <c:v>26.565464895635671</c:v>
                </c:pt>
                <c:pt idx="30">
                  <c:v>27.514231499051235</c:v>
                </c:pt>
                <c:pt idx="31">
                  <c:v>28.462998102466791</c:v>
                </c:pt>
                <c:pt idx="32">
                  <c:v>29.411764705882355</c:v>
                </c:pt>
                <c:pt idx="33">
                  <c:v>30.360531309297912</c:v>
                </c:pt>
                <c:pt idx="34">
                  <c:v>31.309297912713475</c:v>
                </c:pt>
                <c:pt idx="35">
                  <c:v>32.258064516129032</c:v>
                </c:pt>
                <c:pt idx="36">
                  <c:v>33.206831119544596</c:v>
                </c:pt>
                <c:pt idx="37">
                  <c:v>34.155597722960152</c:v>
                </c:pt>
                <c:pt idx="38">
                  <c:v>35.104364326375709</c:v>
                </c:pt>
                <c:pt idx="39">
                  <c:v>36.05313092979128</c:v>
                </c:pt>
                <c:pt idx="40">
                  <c:v>37.001897533206829</c:v>
                </c:pt>
                <c:pt idx="41">
                  <c:v>37.950664136622386</c:v>
                </c:pt>
                <c:pt idx="42">
                  <c:v>38.89943074003795</c:v>
                </c:pt>
                <c:pt idx="43">
                  <c:v>39.848197343453513</c:v>
                </c:pt>
                <c:pt idx="44">
                  <c:v>40.79696394686907</c:v>
                </c:pt>
                <c:pt idx="45">
                  <c:v>41.745730550284627</c:v>
                </c:pt>
                <c:pt idx="46">
                  <c:v>42.694497153700198</c:v>
                </c:pt>
                <c:pt idx="47">
                  <c:v>43.643263757115747</c:v>
                </c:pt>
                <c:pt idx="48">
                  <c:v>44.592030360531311</c:v>
                </c:pt>
                <c:pt idx="49">
                  <c:v>45.540796963946875</c:v>
                </c:pt>
                <c:pt idx="50">
                  <c:v>46.489563567362431</c:v>
                </c:pt>
                <c:pt idx="51">
                  <c:v>47.438330170777988</c:v>
                </c:pt>
                <c:pt idx="52">
                  <c:v>48.387096774193544</c:v>
                </c:pt>
                <c:pt idx="53">
                  <c:v>49.335863377609115</c:v>
                </c:pt>
                <c:pt idx="54">
                  <c:v>50.284629981024665</c:v>
                </c:pt>
                <c:pt idx="55">
                  <c:v>51.233396584440229</c:v>
                </c:pt>
                <c:pt idx="56">
                  <c:v>52.182163187855792</c:v>
                </c:pt>
                <c:pt idx="57">
                  <c:v>53.130929791271342</c:v>
                </c:pt>
                <c:pt idx="58">
                  <c:v>54.079696394686906</c:v>
                </c:pt>
                <c:pt idx="59">
                  <c:v>55.028462998102469</c:v>
                </c:pt>
                <c:pt idx="60">
                  <c:v>55.977229601518033</c:v>
                </c:pt>
                <c:pt idx="61">
                  <c:v>56.925996204933583</c:v>
                </c:pt>
                <c:pt idx="62">
                  <c:v>57.874762808349153</c:v>
                </c:pt>
                <c:pt idx="63">
                  <c:v>58.82352941176471</c:v>
                </c:pt>
                <c:pt idx="64">
                  <c:v>59.772296015180267</c:v>
                </c:pt>
                <c:pt idx="65">
                  <c:v>60.721062618595823</c:v>
                </c:pt>
                <c:pt idx="66">
                  <c:v>61.669829222011387</c:v>
                </c:pt>
                <c:pt idx="67">
                  <c:v>62.618595825426951</c:v>
                </c:pt>
                <c:pt idx="68">
                  <c:v>63.5673624288425</c:v>
                </c:pt>
                <c:pt idx="69">
                  <c:v>64.516129032258064</c:v>
                </c:pt>
                <c:pt idx="70">
                  <c:v>65.464895635673628</c:v>
                </c:pt>
                <c:pt idx="71">
                  <c:v>66.413662239089192</c:v>
                </c:pt>
                <c:pt idx="72">
                  <c:v>67.362428842504741</c:v>
                </c:pt>
                <c:pt idx="73">
                  <c:v>68.311195445920305</c:v>
                </c:pt>
                <c:pt idx="74">
                  <c:v>69.259962049335869</c:v>
                </c:pt>
                <c:pt idx="75">
                  <c:v>70.208728652751418</c:v>
                </c:pt>
                <c:pt idx="76">
                  <c:v>71.157495256166982</c:v>
                </c:pt>
                <c:pt idx="77">
                  <c:v>72.10626185958256</c:v>
                </c:pt>
                <c:pt idx="78">
                  <c:v>73.055028462998095</c:v>
                </c:pt>
                <c:pt idx="79">
                  <c:v>74.003795066413659</c:v>
                </c:pt>
                <c:pt idx="80">
                  <c:v>74.952561669829237</c:v>
                </c:pt>
                <c:pt idx="81">
                  <c:v>75.901328273244772</c:v>
                </c:pt>
                <c:pt idx="82">
                  <c:v>76.85009487666035</c:v>
                </c:pt>
                <c:pt idx="83">
                  <c:v>77.7988614800759</c:v>
                </c:pt>
                <c:pt idx="84">
                  <c:v>78.747628083491463</c:v>
                </c:pt>
                <c:pt idx="85">
                  <c:v>79.696394686907027</c:v>
                </c:pt>
                <c:pt idx="86">
                  <c:v>80.645161290322577</c:v>
                </c:pt>
                <c:pt idx="87">
                  <c:v>81.59392789373814</c:v>
                </c:pt>
                <c:pt idx="88">
                  <c:v>82.542694497153704</c:v>
                </c:pt>
                <c:pt idx="89">
                  <c:v>83.491461100569254</c:v>
                </c:pt>
                <c:pt idx="90">
                  <c:v>84.440227703984817</c:v>
                </c:pt>
                <c:pt idx="91">
                  <c:v>85.388994307400395</c:v>
                </c:pt>
                <c:pt idx="92">
                  <c:v>86.337760910815931</c:v>
                </c:pt>
                <c:pt idx="93">
                  <c:v>87.286527514231494</c:v>
                </c:pt>
                <c:pt idx="94">
                  <c:v>88.235294117647072</c:v>
                </c:pt>
                <c:pt idx="95">
                  <c:v>89.184060721062622</c:v>
                </c:pt>
                <c:pt idx="96">
                  <c:v>90.132827324478171</c:v>
                </c:pt>
                <c:pt idx="97">
                  <c:v>91.081593927893749</c:v>
                </c:pt>
                <c:pt idx="98">
                  <c:v>92.030360531309299</c:v>
                </c:pt>
                <c:pt idx="99">
                  <c:v>92.979127134724862</c:v>
                </c:pt>
                <c:pt idx="100">
                  <c:v>93.927893738140426</c:v>
                </c:pt>
                <c:pt idx="101">
                  <c:v>94.876660341555976</c:v>
                </c:pt>
                <c:pt idx="102">
                  <c:v>95.825426944971554</c:v>
                </c:pt>
                <c:pt idx="103">
                  <c:v>96.774193548387089</c:v>
                </c:pt>
                <c:pt idx="104">
                  <c:v>97.722960151802653</c:v>
                </c:pt>
                <c:pt idx="105">
                  <c:v>98.671726755218231</c:v>
                </c:pt>
                <c:pt idx="106">
                  <c:v>99.620493358633766</c:v>
                </c:pt>
                <c:pt idx="107">
                  <c:v>100.56925996204933</c:v>
                </c:pt>
                <c:pt idx="108">
                  <c:v>101.51802656546491</c:v>
                </c:pt>
                <c:pt idx="109">
                  <c:v>102.46679316888046</c:v>
                </c:pt>
                <c:pt idx="110">
                  <c:v>103.41555977229601</c:v>
                </c:pt>
                <c:pt idx="111">
                  <c:v>104.36432637571158</c:v>
                </c:pt>
                <c:pt idx="112">
                  <c:v>105.31309297912713</c:v>
                </c:pt>
                <c:pt idx="113">
                  <c:v>106.26185958254268</c:v>
                </c:pt>
                <c:pt idx="114">
                  <c:v>107.21062618595826</c:v>
                </c:pt>
                <c:pt idx="115">
                  <c:v>108.15939278937381</c:v>
                </c:pt>
                <c:pt idx="116">
                  <c:v>109.10815939278939</c:v>
                </c:pt>
                <c:pt idx="117">
                  <c:v>110.05692599620494</c:v>
                </c:pt>
                <c:pt idx="118">
                  <c:v>111.00569259962049</c:v>
                </c:pt>
                <c:pt idx="119">
                  <c:v>111.95445920303607</c:v>
                </c:pt>
                <c:pt idx="120">
                  <c:v>112.90322580645162</c:v>
                </c:pt>
                <c:pt idx="121">
                  <c:v>113.85199240986717</c:v>
                </c:pt>
                <c:pt idx="122">
                  <c:v>114.80075901328274</c:v>
                </c:pt>
                <c:pt idx="123">
                  <c:v>115.74952561669831</c:v>
                </c:pt>
                <c:pt idx="124">
                  <c:v>116.69829222011384</c:v>
                </c:pt>
                <c:pt idx="125">
                  <c:v>117.64705882352942</c:v>
                </c:pt>
                <c:pt idx="126">
                  <c:v>118.59582542694497</c:v>
                </c:pt>
                <c:pt idx="127">
                  <c:v>119.54459203036053</c:v>
                </c:pt>
                <c:pt idx="128">
                  <c:v>120.4933586337761</c:v>
                </c:pt>
                <c:pt idx="129">
                  <c:v>121.44212523719165</c:v>
                </c:pt>
                <c:pt idx="130">
                  <c:v>122.39089184060721</c:v>
                </c:pt>
                <c:pt idx="131">
                  <c:v>123.33965844402277</c:v>
                </c:pt>
                <c:pt idx="132">
                  <c:v>124.28842504743832</c:v>
                </c:pt>
                <c:pt idx="133">
                  <c:v>125.2371916508539</c:v>
                </c:pt>
                <c:pt idx="134">
                  <c:v>126.18595825426947</c:v>
                </c:pt>
                <c:pt idx="135">
                  <c:v>127.134724857685</c:v>
                </c:pt>
                <c:pt idx="136">
                  <c:v>128.08349146110058</c:v>
                </c:pt>
                <c:pt idx="137">
                  <c:v>129.03225806451613</c:v>
                </c:pt>
                <c:pt idx="138">
                  <c:v>129.98102466793168</c:v>
                </c:pt>
                <c:pt idx="139">
                  <c:v>130.92979127134726</c:v>
                </c:pt>
                <c:pt idx="140">
                  <c:v>131.87855787476281</c:v>
                </c:pt>
                <c:pt idx="141">
                  <c:v>132.82732447817838</c:v>
                </c:pt>
                <c:pt idx="142">
                  <c:v>133.77609108159393</c:v>
                </c:pt>
                <c:pt idx="143">
                  <c:v>134.72485768500948</c:v>
                </c:pt>
                <c:pt idx="144">
                  <c:v>135.67362428842506</c:v>
                </c:pt>
                <c:pt idx="145">
                  <c:v>136.62239089184061</c:v>
                </c:pt>
                <c:pt idx="146">
                  <c:v>137.57115749525616</c:v>
                </c:pt>
                <c:pt idx="147">
                  <c:v>138.51992409867174</c:v>
                </c:pt>
                <c:pt idx="148">
                  <c:v>139.46869070208729</c:v>
                </c:pt>
                <c:pt idx="149">
                  <c:v>140.41745730550284</c:v>
                </c:pt>
                <c:pt idx="150">
                  <c:v>141.36622390891841</c:v>
                </c:pt>
                <c:pt idx="151">
                  <c:v>142.31499051233396</c:v>
                </c:pt>
                <c:pt idx="152">
                  <c:v>143.26375711574951</c:v>
                </c:pt>
                <c:pt idx="153">
                  <c:v>144.21252371916512</c:v>
                </c:pt>
                <c:pt idx="154">
                  <c:v>145.16129032258064</c:v>
                </c:pt>
                <c:pt idx="155">
                  <c:v>146.11005692599619</c:v>
                </c:pt>
                <c:pt idx="156">
                  <c:v>147.0588235294118</c:v>
                </c:pt>
                <c:pt idx="157">
                  <c:v>148.00759013282732</c:v>
                </c:pt>
                <c:pt idx="158">
                  <c:v>148.95635673624287</c:v>
                </c:pt>
                <c:pt idx="159">
                  <c:v>149.90512333965847</c:v>
                </c:pt>
                <c:pt idx="160">
                  <c:v>150.85388994307402</c:v>
                </c:pt>
                <c:pt idx="161">
                  <c:v>151.80265654648954</c:v>
                </c:pt>
                <c:pt idx="162">
                  <c:v>152.75142314990515</c:v>
                </c:pt>
                <c:pt idx="163">
                  <c:v>153.7001897533207</c:v>
                </c:pt>
                <c:pt idx="164">
                  <c:v>154.64895635673625</c:v>
                </c:pt>
                <c:pt idx="165">
                  <c:v>155.5977229601518</c:v>
                </c:pt>
                <c:pt idx="166">
                  <c:v>156.54648956356738</c:v>
                </c:pt>
                <c:pt idx="167">
                  <c:v>157.49525616698293</c:v>
                </c:pt>
                <c:pt idx="168">
                  <c:v>158.44402277039848</c:v>
                </c:pt>
                <c:pt idx="169">
                  <c:v>159.39278937381405</c:v>
                </c:pt>
                <c:pt idx="170">
                  <c:v>160.3415559772296</c:v>
                </c:pt>
                <c:pt idx="171">
                  <c:v>161.29032258064515</c:v>
                </c:pt>
                <c:pt idx="172">
                  <c:v>162.23908918406073</c:v>
                </c:pt>
                <c:pt idx="173">
                  <c:v>163.18785578747628</c:v>
                </c:pt>
                <c:pt idx="174">
                  <c:v>164.13662239089183</c:v>
                </c:pt>
                <c:pt idx="175">
                  <c:v>165.08538899430741</c:v>
                </c:pt>
                <c:pt idx="176">
                  <c:v>166.03415559772296</c:v>
                </c:pt>
                <c:pt idx="177">
                  <c:v>166.98292220113851</c:v>
                </c:pt>
                <c:pt idx="178">
                  <c:v>167.93168880455411</c:v>
                </c:pt>
                <c:pt idx="179">
                  <c:v>168.88045540796963</c:v>
                </c:pt>
                <c:pt idx="180">
                  <c:v>169.82922201138518</c:v>
                </c:pt>
                <c:pt idx="181">
                  <c:v>170.77798861480079</c:v>
                </c:pt>
                <c:pt idx="182">
                  <c:v>171.72675521821631</c:v>
                </c:pt>
                <c:pt idx="183">
                  <c:v>172.67552182163186</c:v>
                </c:pt>
                <c:pt idx="184">
                  <c:v>173.62428842504747</c:v>
                </c:pt>
                <c:pt idx="185">
                  <c:v>174.57305502846299</c:v>
                </c:pt>
                <c:pt idx="186">
                  <c:v>175.52182163187854</c:v>
                </c:pt>
                <c:pt idx="187">
                  <c:v>176.47058823529414</c:v>
                </c:pt>
                <c:pt idx="188">
                  <c:v>177.41935483870967</c:v>
                </c:pt>
                <c:pt idx="189">
                  <c:v>178.36812144212524</c:v>
                </c:pt>
                <c:pt idx="190">
                  <c:v>179.31688804554082</c:v>
                </c:pt>
                <c:pt idx="191">
                  <c:v>180.26565464895634</c:v>
                </c:pt>
                <c:pt idx="192">
                  <c:v>181.21442125237192</c:v>
                </c:pt>
                <c:pt idx="193">
                  <c:v>182.1631878557875</c:v>
                </c:pt>
                <c:pt idx="194">
                  <c:v>183.11195445920305</c:v>
                </c:pt>
                <c:pt idx="195">
                  <c:v>184.0607210626186</c:v>
                </c:pt>
                <c:pt idx="196">
                  <c:v>185.00948766603418</c:v>
                </c:pt>
                <c:pt idx="197">
                  <c:v>185.95825426944972</c:v>
                </c:pt>
                <c:pt idx="198">
                  <c:v>186.90702087286527</c:v>
                </c:pt>
                <c:pt idx="199">
                  <c:v>187.85578747628085</c:v>
                </c:pt>
                <c:pt idx="200">
                  <c:v>188.8045540796964</c:v>
                </c:pt>
                <c:pt idx="201">
                  <c:v>189.75332068311195</c:v>
                </c:pt>
                <c:pt idx="202">
                  <c:v>190.7020872865275</c:v>
                </c:pt>
                <c:pt idx="203">
                  <c:v>191.65085388994311</c:v>
                </c:pt>
                <c:pt idx="204">
                  <c:v>192.59962049335863</c:v>
                </c:pt>
                <c:pt idx="205">
                  <c:v>193.54838709677418</c:v>
                </c:pt>
                <c:pt idx="206">
                  <c:v>194.49715370018978</c:v>
                </c:pt>
                <c:pt idx="207">
                  <c:v>195.44592030360531</c:v>
                </c:pt>
                <c:pt idx="208">
                  <c:v>196.39468690702085</c:v>
                </c:pt>
                <c:pt idx="209">
                  <c:v>197.34345351043646</c:v>
                </c:pt>
                <c:pt idx="210">
                  <c:v>198.29222011385198</c:v>
                </c:pt>
                <c:pt idx="211">
                  <c:v>199.24098671726753</c:v>
                </c:pt>
                <c:pt idx="212">
                  <c:v>200.18975332068314</c:v>
                </c:pt>
                <c:pt idx="213">
                  <c:v>201.13851992409866</c:v>
                </c:pt>
                <c:pt idx="214">
                  <c:v>202.08728652751421</c:v>
                </c:pt>
                <c:pt idx="215">
                  <c:v>203.03605313092982</c:v>
                </c:pt>
                <c:pt idx="216">
                  <c:v>203.98481973434534</c:v>
                </c:pt>
                <c:pt idx="217">
                  <c:v>204.93358633776091</c:v>
                </c:pt>
                <c:pt idx="218">
                  <c:v>205.88235294117649</c:v>
                </c:pt>
                <c:pt idx="219">
                  <c:v>206.83111954459201</c:v>
                </c:pt>
                <c:pt idx="220">
                  <c:v>207.77988614800759</c:v>
                </c:pt>
                <c:pt idx="221">
                  <c:v>208.72865275142317</c:v>
                </c:pt>
                <c:pt idx="222">
                  <c:v>209.67741935483869</c:v>
                </c:pt>
                <c:pt idx="223">
                  <c:v>210.62618595825427</c:v>
                </c:pt>
                <c:pt idx="224">
                  <c:v>211.57495256166985</c:v>
                </c:pt>
                <c:pt idx="225">
                  <c:v>212.52371916508537</c:v>
                </c:pt>
                <c:pt idx="226">
                  <c:v>213.47248576850095</c:v>
                </c:pt>
                <c:pt idx="227">
                  <c:v>214.42125237191652</c:v>
                </c:pt>
                <c:pt idx="228">
                  <c:v>215.37001897533207</c:v>
                </c:pt>
                <c:pt idx="229">
                  <c:v>216.31878557874762</c:v>
                </c:pt>
                <c:pt idx="230">
                  <c:v>217.2675521821632</c:v>
                </c:pt>
                <c:pt idx="231">
                  <c:v>218.21631878557878</c:v>
                </c:pt>
                <c:pt idx="232">
                  <c:v>219.1650853889943</c:v>
                </c:pt>
                <c:pt idx="233">
                  <c:v>220.11385199240988</c:v>
                </c:pt>
                <c:pt idx="234">
                  <c:v>221.06261859582546</c:v>
                </c:pt>
                <c:pt idx="235">
                  <c:v>222.01138519924098</c:v>
                </c:pt>
                <c:pt idx="236">
                  <c:v>222.96015180265655</c:v>
                </c:pt>
                <c:pt idx="237">
                  <c:v>223.90891840607213</c:v>
                </c:pt>
                <c:pt idx="238">
                  <c:v>224.85768500948765</c:v>
                </c:pt>
                <c:pt idx="239">
                  <c:v>225.80645161290323</c:v>
                </c:pt>
                <c:pt idx="240">
                  <c:v>226.75521821631881</c:v>
                </c:pt>
                <c:pt idx="241">
                  <c:v>227.70398481973433</c:v>
                </c:pt>
                <c:pt idx="242">
                  <c:v>228.65275142314994</c:v>
                </c:pt>
                <c:pt idx="243">
                  <c:v>229.60151802656549</c:v>
                </c:pt>
                <c:pt idx="244">
                  <c:v>230.55028462998101</c:v>
                </c:pt>
                <c:pt idx="245">
                  <c:v>231.49905123339661</c:v>
                </c:pt>
                <c:pt idx="246">
                  <c:v>232.44781783681216</c:v>
                </c:pt>
                <c:pt idx="247">
                  <c:v>233.39658444022768</c:v>
                </c:pt>
                <c:pt idx="248">
                  <c:v>234.34535104364329</c:v>
                </c:pt>
                <c:pt idx="249">
                  <c:v>235.29411764705884</c:v>
                </c:pt>
                <c:pt idx="250">
                  <c:v>236.24288425047436</c:v>
                </c:pt>
                <c:pt idx="251">
                  <c:v>237.19165085388994</c:v>
                </c:pt>
                <c:pt idx="252">
                  <c:v>238.14041745730552</c:v>
                </c:pt>
                <c:pt idx="253">
                  <c:v>239.08918406072107</c:v>
                </c:pt>
                <c:pt idx="254">
                  <c:v>240.03795066413662</c:v>
                </c:pt>
                <c:pt idx="255">
                  <c:v>240.98671726755219</c:v>
                </c:pt>
                <c:pt idx="256">
                  <c:v>241.93548387096774</c:v>
                </c:pt>
                <c:pt idx="257">
                  <c:v>242.88425047438329</c:v>
                </c:pt>
                <c:pt idx="258">
                  <c:v>243.83301707779887</c:v>
                </c:pt>
                <c:pt idx="259">
                  <c:v>244.78178368121442</c:v>
                </c:pt>
                <c:pt idx="260">
                  <c:v>245.73055028462997</c:v>
                </c:pt>
                <c:pt idx="261">
                  <c:v>246.67931688804555</c:v>
                </c:pt>
                <c:pt idx="262">
                  <c:v>247.6280834914611</c:v>
                </c:pt>
                <c:pt idx="263">
                  <c:v>248.57685009487665</c:v>
                </c:pt>
                <c:pt idx="264">
                  <c:v>249.52561669829223</c:v>
                </c:pt>
                <c:pt idx="265">
                  <c:v>250.4743833017078</c:v>
                </c:pt>
                <c:pt idx="266">
                  <c:v>251.42314990512332</c:v>
                </c:pt>
                <c:pt idx="267">
                  <c:v>252.37191650853893</c:v>
                </c:pt>
                <c:pt idx="268">
                  <c:v>253.32068311195448</c:v>
                </c:pt>
                <c:pt idx="269">
                  <c:v>254.26944971537</c:v>
                </c:pt>
                <c:pt idx="270">
                  <c:v>255.21821631878561</c:v>
                </c:pt>
                <c:pt idx="271">
                  <c:v>256.16698292220116</c:v>
                </c:pt>
                <c:pt idx="272">
                  <c:v>257.11574952561671</c:v>
                </c:pt>
                <c:pt idx="273">
                  <c:v>258.06451612903226</c:v>
                </c:pt>
                <c:pt idx="274">
                  <c:v>259.01328273244786</c:v>
                </c:pt>
                <c:pt idx="275">
                  <c:v>259.96204933586336</c:v>
                </c:pt>
                <c:pt idx="276">
                  <c:v>260.91081593927896</c:v>
                </c:pt>
                <c:pt idx="277">
                  <c:v>261.85958254269451</c:v>
                </c:pt>
                <c:pt idx="278">
                  <c:v>262.80834914611006</c:v>
                </c:pt>
                <c:pt idx="279">
                  <c:v>263.75711574952561</c:v>
                </c:pt>
                <c:pt idx="280">
                  <c:v>264.70588235294116</c:v>
                </c:pt>
                <c:pt idx="281">
                  <c:v>265.65464895635677</c:v>
                </c:pt>
                <c:pt idx="282">
                  <c:v>266.60341555977232</c:v>
                </c:pt>
                <c:pt idx="283">
                  <c:v>267.55218216318787</c:v>
                </c:pt>
                <c:pt idx="284">
                  <c:v>268.50094876660341</c:v>
                </c:pt>
                <c:pt idx="285">
                  <c:v>269.44971537001896</c:v>
                </c:pt>
                <c:pt idx="286">
                  <c:v>270.39848197343451</c:v>
                </c:pt>
                <c:pt idx="287">
                  <c:v>271.34724857685012</c:v>
                </c:pt>
                <c:pt idx="288">
                  <c:v>272.29601518026567</c:v>
                </c:pt>
                <c:pt idx="289">
                  <c:v>273.24478178368122</c:v>
                </c:pt>
                <c:pt idx="290">
                  <c:v>274.19354838709677</c:v>
                </c:pt>
                <c:pt idx="291">
                  <c:v>275.14231499051232</c:v>
                </c:pt>
                <c:pt idx="292">
                  <c:v>276.09108159392792</c:v>
                </c:pt>
                <c:pt idx="293">
                  <c:v>277.03984819734347</c:v>
                </c:pt>
                <c:pt idx="294">
                  <c:v>277.98861480075902</c:v>
                </c:pt>
                <c:pt idx="295">
                  <c:v>278.93738140417457</c:v>
                </c:pt>
                <c:pt idx="296">
                  <c:v>279.88614800759018</c:v>
                </c:pt>
                <c:pt idx="297">
                  <c:v>280.83491461100567</c:v>
                </c:pt>
                <c:pt idx="298">
                  <c:v>281.78368121442122</c:v>
                </c:pt>
                <c:pt idx="299">
                  <c:v>282.73244781783683</c:v>
                </c:pt>
                <c:pt idx="300">
                  <c:v>283.68121442125238</c:v>
                </c:pt>
                <c:pt idx="301">
                  <c:v>284.62998102466793</c:v>
                </c:pt>
                <c:pt idx="302">
                  <c:v>285.57874762808353</c:v>
                </c:pt>
                <c:pt idx="303">
                  <c:v>286.52751423149903</c:v>
                </c:pt>
                <c:pt idx="304">
                  <c:v>287.47628083491458</c:v>
                </c:pt>
                <c:pt idx="305">
                  <c:v>288.42504743833024</c:v>
                </c:pt>
                <c:pt idx="306">
                  <c:v>289.37381404174573</c:v>
                </c:pt>
                <c:pt idx="307">
                  <c:v>290.32258064516128</c:v>
                </c:pt>
                <c:pt idx="308">
                  <c:v>291.27134724857689</c:v>
                </c:pt>
                <c:pt idx="309">
                  <c:v>292.22011385199238</c:v>
                </c:pt>
                <c:pt idx="310">
                  <c:v>293.16888045540793</c:v>
                </c:pt>
                <c:pt idx="311">
                  <c:v>294.11764705882359</c:v>
                </c:pt>
                <c:pt idx="312">
                  <c:v>295.06641366223909</c:v>
                </c:pt>
                <c:pt idx="313">
                  <c:v>296.01518026565464</c:v>
                </c:pt>
                <c:pt idx="314">
                  <c:v>296.96394686907024</c:v>
                </c:pt>
                <c:pt idx="315">
                  <c:v>297.91271347248573</c:v>
                </c:pt>
                <c:pt idx="316">
                  <c:v>298.8614800759014</c:v>
                </c:pt>
                <c:pt idx="317">
                  <c:v>299.81024667931695</c:v>
                </c:pt>
                <c:pt idx="318">
                  <c:v>300.75901328273244</c:v>
                </c:pt>
                <c:pt idx="319">
                  <c:v>301.70777988614805</c:v>
                </c:pt>
                <c:pt idx="320">
                  <c:v>302.65654648956354</c:v>
                </c:pt>
                <c:pt idx="321">
                  <c:v>303.60531309297909</c:v>
                </c:pt>
                <c:pt idx="322">
                  <c:v>304.55407969639475</c:v>
                </c:pt>
                <c:pt idx="323">
                  <c:v>305.5028462998103</c:v>
                </c:pt>
                <c:pt idx="324">
                  <c:v>306.45161290322579</c:v>
                </c:pt>
                <c:pt idx="325">
                  <c:v>307.4003795066414</c:v>
                </c:pt>
                <c:pt idx="326">
                  <c:v>308.34914611005689</c:v>
                </c:pt>
                <c:pt idx="327">
                  <c:v>309.2979127134725</c:v>
                </c:pt>
                <c:pt idx="328">
                  <c:v>310.24667931688811</c:v>
                </c:pt>
                <c:pt idx="329">
                  <c:v>311.1954459203036</c:v>
                </c:pt>
                <c:pt idx="330">
                  <c:v>312.14421252371915</c:v>
                </c:pt>
                <c:pt idx="331">
                  <c:v>313.09297912713475</c:v>
                </c:pt>
                <c:pt idx="332">
                  <c:v>314.04174573055025</c:v>
                </c:pt>
                <c:pt idx="333">
                  <c:v>314.99051233396585</c:v>
                </c:pt>
                <c:pt idx="334">
                  <c:v>315.93927893738146</c:v>
                </c:pt>
                <c:pt idx="335">
                  <c:v>316.88804554079695</c:v>
                </c:pt>
                <c:pt idx="336">
                  <c:v>317.8368121442125</c:v>
                </c:pt>
                <c:pt idx="337">
                  <c:v>318.78557874762811</c:v>
                </c:pt>
                <c:pt idx="338">
                  <c:v>319.73434535104366</c:v>
                </c:pt>
                <c:pt idx="339">
                  <c:v>320.68311195445921</c:v>
                </c:pt>
                <c:pt idx="340">
                  <c:v>321.63187855787481</c:v>
                </c:pt>
                <c:pt idx="341">
                  <c:v>322.58064516129031</c:v>
                </c:pt>
                <c:pt idx="342">
                  <c:v>323.52941176470586</c:v>
                </c:pt>
                <c:pt idx="343">
                  <c:v>324.47817836812146</c:v>
                </c:pt>
                <c:pt idx="344">
                  <c:v>325.42694497153701</c:v>
                </c:pt>
                <c:pt idx="345">
                  <c:v>326.37571157495256</c:v>
                </c:pt>
                <c:pt idx="346">
                  <c:v>327.32447817836817</c:v>
                </c:pt>
                <c:pt idx="347">
                  <c:v>328.27324478178366</c:v>
                </c:pt>
                <c:pt idx="348">
                  <c:v>329.22201138519921</c:v>
                </c:pt>
                <c:pt idx="349">
                  <c:v>330.17077798861482</c:v>
                </c:pt>
                <c:pt idx="350">
                  <c:v>331.11954459203037</c:v>
                </c:pt>
                <c:pt idx="351">
                  <c:v>332.06831119544592</c:v>
                </c:pt>
                <c:pt idx="352">
                  <c:v>333.01707779886152</c:v>
                </c:pt>
                <c:pt idx="353">
                  <c:v>333.96584440227701</c:v>
                </c:pt>
                <c:pt idx="354">
                  <c:v>334.91461100569256</c:v>
                </c:pt>
                <c:pt idx="355">
                  <c:v>335.86337760910823</c:v>
                </c:pt>
                <c:pt idx="356">
                  <c:v>336.81214421252372</c:v>
                </c:pt>
                <c:pt idx="357">
                  <c:v>337.76091081593927</c:v>
                </c:pt>
                <c:pt idx="358">
                  <c:v>338.70967741935488</c:v>
                </c:pt>
                <c:pt idx="359">
                  <c:v>339.65844402277037</c:v>
                </c:pt>
                <c:pt idx="360">
                  <c:v>340.60721062618592</c:v>
                </c:pt>
                <c:pt idx="361">
                  <c:v>341.55597722960158</c:v>
                </c:pt>
                <c:pt idx="362">
                  <c:v>342.50474383301707</c:v>
                </c:pt>
                <c:pt idx="363">
                  <c:v>343.45351043643262</c:v>
                </c:pt>
                <c:pt idx="364">
                  <c:v>344.40227703984823</c:v>
                </c:pt>
                <c:pt idx="365">
                  <c:v>345.35104364326372</c:v>
                </c:pt>
                <c:pt idx="366">
                  <c:v>346.29981024667933</c:v>
                </c:pt>
                <c:pt idx="367">
                  <c:v>347.24857685009493</c:v>
                </c:pt>
                <c:pt idx="368">
                  <c:v>348.19734345351043</c:v>
                </c:pt>
                <c:pt idx="369">
                  <c:v>349.14611005692598</c:v>
                </c:pt>
                <c:pt idx="370">
                  <c:v>350.09487666034158</c:v>
                </c:pt>
                <c:pt idx="371">
                  <c:v>351.04364326375708</c:v>
                </c:pt>
                <c:pt idx="372">
                  <c:v>351.99240986717268</c:v>
                </c:pt>
                <c:pt idx="373">
                  <c:v>352.94117647058829</c:v>
                </c:pt>
                <c:pt idx="374">
                  <c:v>353.88994307400378</c:v>
                </c:pt>
                <c:pt idx="375">
                  <c:v>354.83870967741933</c:v>
                </c:pt>
                <c:pt idx="376">
                  <c:v>355.78747628083494</c:v>
                </c:pt>
                <c:pt idx="377">
                  <c:v>356.73624288425049</c:v>
                </c:pt>
                <c:pt idx="378">
                  <c:v>357.68500948766604</c:v>
                </c:pt>
                <c:pt idx="379">
                  <c:v>358.63377609108164</c:v>
                </c:pt>
                <c:pt idx="380">
                  <c:v>359.58254269449714</c:v>
                </c:pt>
                <c:pt idx="381">
                  <c:v>360.53130929791268</c:v>
                </c:pt>
                <c:pt idx="382">
                  <c:v>361.48007590132829</c:v>
                </c:pt>
                <c:pt idx="383">
                  <c:v>362.42884250474384</c:v>
                </c:pt>
                <c:pt idx="384">
                  <c:v>363.37760910815939</c:v>
                </c:pt>
                <c:pt idx="385">
                  <c:v>364.326375711575</c:v>
                </c:pt>
                <c:pt idx="386">
                  <c:v>365.27514231499049</c:v>
                </c:pt>
                <c:pt idx="387">
                  <c:v>366.2239089184061</c:v>
                </c:pt>
                <c:pt idx="388">
                  <c:v>367.17267552182165</c:v>
                </c:pt>
                <c:pt idx="389">
                  <c:v>368.12144212523719</c:v>
                </c:pt>
                <c:pt idx="390">
                  <c:v>369.0702087286528</c:v>
                </c:pt>
                <c:pt idx="391">
                  <c:v>370.01897533206835</c:v>
                </c:pt>
                <c:pt idx="392">
                  <c:v>370.96774193548384</c:v>
                </c:pt>
                <c:pt idx="393">
                  <c:v>371.91650853889945</c:v>
                </c:pt>
                <c:pt idx="394">
                  <c:v>372.86527514231506</c:v>
                </c:pt>
                <c:pt idx="395">
                  <c:v>373.81404174573055</c:v>
                </c:pt>
                <c:pt idx="396">
                  <c:v>374.76280834914616</c:v>
                </c:pt>
                <c:pt idx="397">
                  <c:v>375.7115749525617</c:v>
                </c:pt>
                <c:pt idx="398">
                  <c:v>376.6603415559772</c:v>
                </c:pt>
                <c:pt idx="399">
                  <c:v>377.6091081593928</c:v>
                </c:pt>
                <c:pt idx="400">
                  <c:v>378.55787476280841</c:v>
                </c:pt>
                <c:pt idx="401">
                  <c:v>379.5066413662239</c:v>
                </c:pt>
                <c:pt idx="402">
                  <c:v>380.45540796963951</c:v>
                </c:pt>
                <c:pt idx="403">
                  <c:v>381.404174573055</c:v>
                </c:pt>
                <c:pt idx="404">
                  <c:v>382.35294117647055</c:v>
                </c:pt>
                <c:pt idx="405">
                  <c:v>383.30170777988621</c:v>
                </c:pt>
                <c:pt idx="406">
                  <c:v>384.25047438330176</c:v>
                </c:pt>
                <c:pt idx="407">
                  <c:v>385.19924098671726</c:v>
                </c:pt>
                <c:pt idx="408">
                  <c:v>386.14800759013286</c:v>
                </c:pt>
                <c:pt idx="409">
                  <c:v>387.09677419354836</c:v>
                </c:pt>
                <c:pt idx="410">
                  <c:v>388.04554079696391</c:v>
                </c:pt>
                <c:pt idx="411">
                  <c:v>388.99430740037957</c:v>
                </c:pt>
                <c:pt idx="412">
                  <c:v>389.94307400379512</c:v>
                </c:pt>
                <c:pt idx="413">
                  <c:v>390.89184060721061</c:v>
                </c:pt>
                <c:pt idx="414">
                  <c:v>391.84060721062622</c:v>
                </c:pt>
                <c:pt idx="415">
                  <c:v>392.78937381404171</c:v>
                </c:pt>
                <c:pt idx="416">
                  <c:v>393.73814041745732</c:v>
                </c:pt>
                <c:pt idx="417">
                  <c:v>394.68690702087292</c:v>
                </c:pt>
                <c:pt idx="418">
                  <c:v>395.63567362428842</c:v>
                </c:pt>
                <c:pt idx="419">
                  <c:v>396.58444022770396</c:v>
                </c:pt>
                <c:pt idx="420">
                  <c:v>397.53320683111957</c:v>
                </c:pt>
                <c:pt idx="421">
                  <c:v>398.48197343453506</c:v>
                </c:pt>
                <c:pt idx="422">
                  <c:v>399.43074003795067</c:v>
                </c:pt>
                <c:pt idx="423">
                  <c:v>400.37950664136628</c:v>
                </c:pt>
                <c:pt idx="424">
                  <c:v>401.32827324478177</c:v>
                </c:pt>
                <c:pt idx="425">
                  <c:v>402.27703984819732</c:v>
                </c:pt>
                <c:pt idx="426">
                  <c:v>403.22580645161293</c:v>
                </c:pt>
                <c:pt idx="427">
                  <c:v>404.17457305502842</c:v>
                </c:pt>
                <c:pt idx="428">
                  <c:v>405.12333965844402</c:v>
                </c:pt>
                <c:pt idx="429">
                  <c:v>406.07210626185963</c:v>
                </c:pt>
                <c:pt idx="430">
                  <c:v>407.02087286527512</c:v>
                </c:pt>
                <c:pt idx="431">
                  <c:v>407.96963946869067</c:v>
                </c:pt>
                <c:pt idx="432">
                  <c:v>408.91840607210628</c:v>
                </c:pt>
                <c:pt idx="433">
                  <c:v>409.86717267552183</c:v>
                </c:pt>
                <c:pt idx="434">
                  <c:v>410.81593927893738</c:v>
                </c:pt>
                <c:pt idx="435">
                  <c:v>411.76470588235298</c:v>
                </c:pt>
                <c:pt idx="436">
                  <c:v>412.71347248576848</c:v>
                </c:pt>
                <c:pt idx="437">
                  <c:v>413.66223908918403</c:v>
                </c:pt>
                <c:pt idx="438">
                  <c:v>414.61100569259963</c:v>
                </c:pt>
                <c:pt idx="439">
                  <c:v>415.55977229601518</c:v>
                </c:pt>
                <c:pt idx="440">
                  <c:v>416.50853889943073</c:v>
                </c:pt>
                <c:pt idx="441">
                  <c:v>417.45730550284634</c:v>
                </c:pt>
                <c:pt idx="442">
                  <c:v>418.40607210626183</c:v>
                </c:pt>
                <c:pt idx="443">
                  <c:v>419.35483870967738</c:v>
                </c:pt>
                <c:pt idx="444">
                  <c:v>420.30360531309304</c:v>
                </c:pt>
                <c:pt idx="445">
                  <c:v>421.25237191650854</c:v>
                </c:pt>
                <c:pt idx="446">
                  <c:v>422.20113851992409</c:v>
                </c:pt>
                <c:pt idx="447">
                  <c:v>423.14990512333969</c:v>
                </c:pt>
                <c:pt idx="448">
                  <c:v>424.09867172675519</c:v>
                </c:pt>
                <c:pt idx="449">
                  <c:v>425.04743833017073</c:v>
                </c:pt>
                <c:pt idx="450">
                  <c:v>425.9962049335864</c:v>
                </c:pt>
                <c:pt idx="451">
                  <c:v>426.94497153700189</c:v>
                </c:pt>
                <c:pt idx="452">
                  <c:v>427.89373814041744</c:v>
                </c:pt>
                <c:pt idx="453">
                  <c:v>428.84250474383305</c:v>
                </c:pt>
                <c:pt idx="454">
                  <c:v>429.79127134724854</c:v>
                </c:pt>
                <c:pt idx="455">
                  <c:v>430.74003795066415</c:v>
                </c:pt>
                <c:pt idx="456">
                  <c:v>431.68880455407975</c:v>
                </c:pt>
                <c:pt idx="457">
                  <c:v>432.63757115749524</c:v>
                </c:pt>
                <c:pt idx="458">
                  <c:v>433.58633776091085</c:v>
                </c:pt>
                <c:pt idx="459">
                  <c:v>434.5351043643264</c:v>
                </c:pt>
                <c:pt idx="460">
                  <c:v>435.48387096774189</c:v>
                </c:pt>
                <c:pt idx="461">
                  <c:v>436.43263757115756</c:v>
                </c:pt>
                <c:pt idx="462">
                  <c:v>437.38140417457311</c:v>
                </c:pt>
                <c:pt idx="463">
                  <c:v>438.3301707779886</c:v>
                </c:pt>
                <c:pt idx="464">
                  <c:v>439.27893738140421</c:v>
                </c:pt>
                <c:pt idx="465">
                  <c:v>440.22770398481975</c:v>
                </c:pt>
                <c:pt idx="466">
                  <c:v>441.1764705882353</c:v>
                </c:pt>
                <c:pt idx="467">
                  <c:v>442.12523719165091</c:v>
                </c:pt>
                <c:pt idx="468">
                  <c:v>443.07400379506646</c:v>
                </c:pt>
                <c:pt idx="469">
                  <c:v>444.02277039848195</c:v>
                </c:pt>
                <c:pt idx="470">
                  <c:v>444.97153700189756</c:v>
                </c:pt>
                <c:pt idx="471">
                  <c:v>445.92030360531311</c:v>
                </c:pt>
                <c:pt idx="472">
                  <c:v>446.86907020872866</c:v>
                </c:pt>
                <c:pt idx="473">
                  <c:v>447.81783681214426</c:v>
                </c:pt>
                <c:pt idx="474">
                  <c:v>448.76660341555981</c:v>
                </c:pt>
                <c:pt idx="475">
                  <c:v>449.71537001897531</c:v>
                </c:pt>
                <c:pt idx="476">
                  <c:v>450.66413662239091</c:v>
                </c:pt>
                <c:pt idx="477">
                  <c:v>451.61290322580646</c:v>
                </c:pt>
                <c:pt idx="478">
                  <c:v>452.56166982922201</c:v>
                </c:pt>
                <c:pt idx="479">
                  <c:v>453.51043643263762</c:v>
                </c:pt>
                <c:pt idx="480">
                  <c:v>454.45920303605317</c:v>
                </c:pt>
                <c:pt idx="481">
                  <c:v>455.40796963946866</c:v>
                </c:pt>
                <c:pt idx="482">
                  <c:v>456.35673624288427</c:v>
                </c:pt>
                <c:pt idx="483">
                  <c:v>457.30550284629987</c:v>
                </c:pt>
                <c:pt idx="484">
                  <c:v>458.25426944971537</c:v>
                </c:pt>
                <c:pt idx="485">
                  <c:v>459.20303605313097</c:v>
                </c:pt>
                <c:pt idx="486">
                  <c:v>460.15180265654652</c:v>
                </c:pt>
                <c:pt idx="487">
                  <c:v>461.10056925996201</c:v>
                </c:pt>
                <c:pt idx="488">
                  <c:v>462.04933586337762</c:v>
                </c:pt>
                <c:pt idx="489">
                  <c:v>462.99810246679323</c:v>
                </c:pt>
                <c:pt idx="490">
                  <c:v>463.94686907020872</c:v>
                </c:pt>
                <c:pt idx="491">
                  <c:v>464.89563567362433</c:v>
                </c:pt>
                <c:pt idx="492">
                  <c:v>465.84440227703982</c:v>
                </c:pt>
                <c:pt idx="493">
                  <c:v>466.79316888045537</c:v>
                </c:pt>
                <c:pt idx="494">
                  <c:v>467.74193548387103</c:v>
                </c:pt>
                <c:pt idx="495">
                  <c:v>468.69070208728658</c:v>
                </c:pt>
                <c:pt idx="496">
                  <c:v>469.63946869070207</c:v>
                </c:pt>
                <c:pt idx="497">
                  <c:v>470.58823529411768</c:v>
                </c:pt>
                <c:pt idx="498">
                  <c:v>471.53700189753317</c:v>
                </c:pt>
                <c:pt idx="499">
                  <c:v>472.48576850094872</c:v>
                </c:pt>
                <c:pt idx="500">
                  <c:v>473.43453510436439</c:v>
                </c:pt>
                <c:pt idx="501">
                  <c:v>474.38330170777988</c:v>
                </c:pt>
                <c:pt idx="502">
                  <c:v>475.33206831119543</c:v>
                </c:pt>
                <c:pt idx="503">
                  <c:v>476.28083491461103</c:v>
                </c:pt>
                <c:pt idx="504">
                  <c:v>477.22960151802653</c:v>
                </c:pt>
                <c:pt idx="505">
                  <c:v>478.17836812144213</c:v>
                </c:pt>
                <c:pt idx="506">
                  <c:v>479.12713472485774</c:v>
                </c:pt>
                <c:pt idx="507">
                  <c:v>480.07590132827323</c:v>
                </c:pt>
                <c:pt idx="508">
                  <c:v>481.02466793168878</c:v>
                </c:pt>
                <c:pt idx="509">
                  <c:v>481.97343453510439</c:v>
                </c:pt>
                <c:pt idx="510">
                  <c:v>482.92220113851988</c:v>
                </c:pt>
                <c:pt idx="511">
                  <c:v>483.87096774193549</c:v>
                </c:pt>
                <c:pt idx="512">
                  <c:v>484.81973434535109</c:v>
                </c:pt>
                <c:pt idx="513">
                  <c:v>485.76850094876659</c:v>
                </c:pt>
                <c:pt idx="514">
                  <c:v>486.71726755218214</c:v>
                </c:pt>
                <c:pt idx="515">
                  <c:v>487.66603415559774</c:v>
                </c:pt>
                <c:pt idx="516">
                  <c:v>488.61480075901324</c:v>
                </c:pt>
                <c:pt idx="517">
                  <c:v>489.56356736242884</c:v>
                </c:pt>
                <c:pt idx="518">
                  <c:v>490.51233396584445</c:v>
                </c:pt>
                <c:pt idx="519">
                  <c:v>491.46110056925994</c:v>
                </c:pt>
                <c:pt idx="520">
                  <c:v>492.40986717267549</c:v>
                </c:pt>
                <c:pt idx="521">
                  <c:v>493.3586337760911</c:v>
                </c:pt>
                <c:pt idx="522">
                  <c:v>494.30740037950665</c:v>
                </c:pt>
                <c:pt idx="523">
                  <c:v>495.2561669829222</c:v>
                </c:pt>
                <c:pt idx="524">
                  <c:v>496.2049335863378</c:v>
                </c:pt>
                <c:pt idx="525">
                  <c:v>497.15370018975329</c:v>
                </c:pt>
                <c:pt idx="526">
                  <c:v>498.1024667931689</c:v>
                </c:pt>
                <c:pt idx="527">
                  <c:v>499.05123339658445</c:v>
                </c:pt>
                <c:pt idx="528">
                  <c:v>500</c:v>
                </c:pt>
                <c:pt idx="529">
                  <c:v>500.94876660341561</c:v>
                </c:pt>
                <c:pt idx="530">
                  <c:v>501.89753320683116</c:v>
                </c:pt>
                <c:pt idx="531">
                  <c:v>502.84629981024665</c:v>
                </c:pt>
                <c:pt idx="532">
                  <c:v>503.79506641366225</c:v>
                </c:pt>
                <c:pt idx="533">
                  <c:v>504.74383301707786</c:v>
                </c:pt>
                <c:pt idx="534">
                  <c:v>505.69259962049335</c:v>
                </c:pt>
                <c:pt idx="535">
                  <c:v>506.64136622390896</c:v>
                </c:pt>
                <c:pt idx="536">
                  <c:v>507.59013282732451</c:v>
                </c:pt>
                <c:pt idx="537">
                  <c:v>508.53889943074</c:v>
                </c:pt>
                <c:pt idx="538">
                  <c:v>509.48766603415561</c:v>
                </c:pt>
                <c:pt idx="539">
                  <c:v>510.43643263757122</c:v>
                </c:pt>
                <c:pt idx="540">
                  <c:v>511.38519924098671</c:v>
                </c:pt>
                <c:pt idx="541">
                  <c:v>512.33396584440231</c:v>
                </c:pt>
                <c:pt idx="542">
                  <c:v>513.28273244781781</c:v>
                </c:pt>
                <c:pt idx="543">
                  <c:v>514.23149905123341</c:v>
                </c:pt>
                <c:pt idx="544">
                  <c:v>515.18026565464891</c:v>
                </c:pt>
                <c:pt idx="545">
                  <c:v>516.12903225806451</c:v>
                </c:pt>
                <c:pt idx="546">
                  <c:v>517.07779886148012</c:v>
                </c:pt>
                <c:pt idx="547">
                  <c:v>518.02656546489573</c:v>
                </c:pt>
                <c:pt idx="548">
                  <c:v>518.97533206831122</c:v>
                </c:pt>
                <c:pt idx="549">
                  <c:v>519.92409867172671</c:v>
                </c:pt>
                <c:pt idx="550">
                  <c:v>520.87286527514243</c:v>
                </c:pt>
                <c:pt idx="551">
                  <c:v>521.82163187855792</c:v>
                </c:pt>
                <c:pt idx="552">
                  <c:v>522.77039848197342</c:v>
                </c:pt>
                <c:pt idx="553">
                  <c:v>523.71916508538902</c:v>
                </c:pt>
                <c:pt idx="554">
                  <c:v>524.66793168880452</c:v>
                </c:pt>
                <c:pt idx="555">
                  <c:v>525.61669829222012</c:v>
                </c:pt>
                <c:pt idx="556">
                  <c:v>526.56546489563573</c:v>
                </c:pt>
                <c:pt idx="557">
                  <c:v>527.51423149905122</c:v>
                </c:pt>
                <c:pt idx="558">
                  <c:v>528.46299810246683</c:v>
                </c:pt>
                <c:pt idx="559">
                  <c:v>529.41176470588232</c:v>
                </c:pt>
                <c:pt idx="560">
                  <c:v>530.36053130929793</c:v>
                </c:pt>
                <c:pt idx="561">
                  <c:v>531.30929791271353</c:v>
                </c:pt>
                <c:pt idx="562">
                  <c:v>532.25806451612902</c:v>
                </c:pt>
                <c:pt idx="563">
                  <c:v>533.20683111954463</c:v>
                </c:pt>
                <c:pt idx="564">
                  <c:v>534.15559772296012</c:v>
                </c:pt>
                <c:pt idx="565">
                  <c:v>535.10436432637573</c:v>
                </c:pt>
                <c:pt idx="566">
                  <c:v>536.05313092979122</c:v>
                </c:pt>
                <c:pt idx="567">
                  <c:v>537.00189753320683</c:v>
                </c:pt>
                <c:pt idx="568">
                  <c:v>537.95066413662244</c:v>
                </c:pt>
                <c:pt idx="569">
                  <c:v>538.89943074003793</c:v>
                </c:pt>
                <c:pt idx="570">
                  <c:v>539.84819734345353</c:v>
                </c:pt>
                <c:pt idx="571">
                  <c:v>540.79696394686903</c:v>
                </c:pt>
                <c:pt idx="572">
                  <c:v>541.74573055028463</c:v>
                </c:pt>
                <c:pt idx="573">
                  <c:v>542.69449715370024</c:v>
                </c:pt>
                <c:pt idx="574">
                  <c:v>543.64326375711573</c:v>
                </c:pt>
                <c:pt idx="575">
                  <c:v>544.59203036053134</c:v>
                </c:pt>
                <c:pt idx="576">
                  <c:v>545.54079696394683</c:v>
                </c:pt>
                <c:pt idx="577">
                  <c:v>546.48956356736244</c:v>
                </c:pt>
                <c:pt idx="578">
                  <c:v>547.43833017077804</c:v>
                </c:pt>
                <c:pt idx="579">
                  <c:v>548.38709677419354</c:v>
                </c:pt>
                <c:pt idx="580">
                  <c:v>549.33586337760914</c:v>
                </c:pt>
                <c:pt idx="581">
                  <c:v>550.28462998102464</c:v>
                </c:pt>
                <c:pt idx="582">
                  <c:v>551.23339658444024</c:v>
                </c:pt>
                <c:pt idx="583">
                  <c:v>552.18216318785585</c:v>
                </c:pt>
                <c:pt idx="584">
                  <c:v>553.13092979127134</c:v>
                </c:pt>
                <c:pt idx="585">
                  <c:v>554.07969639468695</c:v>
                </c:pt>
                <c:pt idx="586">
                  <c:v>555.02846299810244</c:v>
                </c:pt>
                <c:pt idx="587">
                  <c:v>555.97722960151805</c:v>
                </c:pt>
                <c:pt idx="588">
                  <c:v>556.92599620493354</c:v>
                </c:pt>
                <c:pt idx="589">
                  <c:v>557.87476280834915</c:v>
                </c:pt>
                <c:pt idx="590">
                  <c:v>558.82352941176475</c:v>
                </c:pt>
                <c:pt idx="591">
                  <c:v>559.77229601518036</c:v>
                </c:pt>
                <c:pt idx="592">
                  <c:v>560.72106261859585</c:v>
                </c:pt>
                <c:pt idx="593">
                  <c:v>561.66982922201134</c:v>
                </c:pt>
                <c:pt idx="594">
                  <c:v>562.61859582542695</c:v>
                </c:pt>
                <c:pt idx="595">
                  <c:v>563.56736242884244</c:v>
                </c:pt>
                <c:pt idx="596">
                  <c:v>564.51612903225816</c:v>
                </c:pt>
                <c:pt idx="597">
                  <c:v>565.46489563567366</c:v>
                </c:pt>
                <c:pt idx="598">
                  <c:v>566.41366223908915</c:v>
                </c:pt>
                <c:pt idx="599">
                  <c:v>567.36242884250476</c:v>
                </c:pt>
                <c:pt idx="600">
                  <c:v>568.31119544592025</c:v>
                </c:pt>
                <c:pt idx="601">
                  <c:v>569.25996204933585</c:v>
                </c:pt>
                <c:pt idx="602">
                  <c:v>570.20872865275146</c:v>
                </c:pt>
                <c:pt idx="603">
                  <c:v>571.15749525616707</c:v>
                </c:pt>
                <c:pt idx="604">
                  <c:v>572.10626185958256</c:v>
                </c:pt>
                <c:pt idx="605">
                  <c:v>573.05502846299805</c:v>
                </c:pt>
                <c:pt idx="606">
                  <c:v>574.00379506641366</c:v>
                </c:pt>
                <c:pt idx="607">
                  <c:v>574.95256166982915</c:v>
                </c:pt>
                <c:pt idx="608">
                  <c:v>575.90132827324487</c:v>
                </c:pt>
                <c:pt idx="609">
                  <c:v>576.85009487666048</c:v>
                </c:pt>
                <c:pt idx="610">
                  <c:v>577.79886148007586</c:v>
                </c:pt>
                <c:pt idx="611">
                  <c:v>578.74762808349146</c:v>
                </c:pt>
                <c:pt idx="612">
                  <c:v>579.69639468690696</c:v>
                </c:pt>
                <c:pt idx="613">
                  <c:v>580.64516129032256</c:v>
                </c:pt>
                <c:pt idx="614">
                  <c:v>581.59392789373828</c:v>
                </c:pt>
                <c:pt idx="615">
                  <c:v>582.54269449715378</c:v>
                </c:pt>
                <c:pt idx="616">
                  <c:v>583.49146110056927</c:v>
                </c:pt>
                <c:pt idx="617">
                  <c:v>584.44022770398476</c:v>
                </c:pt>
                <c:pt idx="618">
                  <c:v>585.38899430740037</c:v>
                </c:pt>
                <c:pt idx="619">
                  <c:v>586.33776091081586</c:v>
                </c:pt>
                <c:pt idx="620">
                  <c:v>587.28652751423158</c:v>
                </c:pt>
                <c:pt idx="621">
                  <c:v>588.23529411764719</c:v>
                </c:pt>
                <c:pt idx="622">
                  <c:v>589.18406072106256</c:v>
                </c:pt>
                <c:pt idx="623">
                  <c:v>590.13282732447817</c:v>
                </c:pt>
                <c:pt idx="624">
                  <c:v>591.08159392789366</c:v>
                </c:pt>
                <c:pt idx="625">
                  <c:v>592.03036053130927</c:v>
                </c:pt>
                <c:pt idx="626">
                  <c:v>592.97912713472499</c:v>
                </c:pt>
                <c:pt idx="627">
                  <c:v>593.92789373814048</c:v>
                </c:pt>
                <c:pt idx="628">
                  <c:v>594.87666034155598</c:v>
                </c:pt>
                <c:pt idx="629">
                  <c:v>595.82542694497147</c:v>
                </c:pt>
                <c:pt idx="630">
                  <c:v>596.77419354838707</c:v>
                </c:pt>
                <c:pt idx="631">
                  <c:v>597.72296015180279</c:v>
                </c:pt>
                <c:pt idx="632">
                  <c:v>598.67172675521829</c:v>
                </c:pt>
                <c:pt idx="633">
                  <c:v>599.62049335863389</c:v>
                </c:pt>
                <c:pt idx="634">
                  <c:v>600.56925996204927</c:v>
                </c:pt>
                <c:pt idx="635">
                  <c:v>601.51802656546488</c:v>
                </c:pt>
                <c:pt idx="636">
                  <c:v>602.46679316888049</c:v>
                </c:pt>
                <c:pt idx="637">
                  <c:v>603.41555977229609</c:v>
                </c:pt>
                <c:pt idx="638">
                  <c:v>604.3643263757117</c:v>
                </c:pt>
                <c:pt idx="639">
                  <c:v>605.31309297912708</c:v>
                </c:pt>
                <c:pt idx="640">
                  <c:v>606.26185958254268</c:v>
                </c:pt>
                <c:pt idx="641">
                  <c:v>607.21062618595818</c:v>
                </c:pt>
                <c:pt idx="642">
                  <c:v>608.15939278937378</c:v>
                </c:pt>
                <c:pt idx="643">
                  <c:v>609.1081593927895</c:v>
                </c:pt>
                <c:pt idx="644">
                  <c:v>610.056925996205</c:v>
                </c:pt>
                <c:pt idx="645">
                  <c:v>611.0056925996206</c:v>
                </c:pt>
                <c:pt idx="646">
                  <c:v>611.95445920303598</c:v>
                </c:pt>
                <c:pt idx="647">
                  <c:v>612.90322580645159</c:v>
                </c:pt>
                <c:pt idx="648">
                  <c:v>613.85199240986719</c:v>
                </c:pt>
                <c:pt idx="649">
                  <c:v>614.8007590132828</c:v>
                </c:pt>
                <c:pt idx="650">
                  <c:v>615.74952561669841</c:v>
                </c:pt>
                <c:pt idx="651">
                  <c:v>616.69829222011379</c:v>
                </c:pt>
                <c:pt idx="652">
                  <c:v>617.64705882352939</c:v>
                </c:pt>
                <c:pt idx="653">
                  <c:v>618.595825426945</c:v>
                </c:pt>
                <c:pt idx="654">
                  <c:v>619.54459203036049</c:v>
                </c:pt>
                <c:pt idx="655">
                  <c:v>620.49335863377621</c:v>
                </c:pt>
                <c:pt idx="656">
                  <c:v>621.4421252371917</c:v>
                </c:pt>
                <c:pt idx="657">
                  <c:v>622.3908918406072</c:v>
                </c:pt>
                <c:pt idx="658">
                  <c:v>623.33965844402269</c:v>
                </c:pt>
                <c:pt idx="659">
                  <c:v>624.2884250474383</c:v>
                </c:pt>
                <c:pt idx="660">
                  <c:v>625.2371916508539</c:v>
                </c:pt>
                <c:pt idx="661">
                  <c:v>626.18595825426951</c:v>
                </c:pt>
                <c:pt idx="662">
                  <c:v>627.13472485768511</c:v>
                </c:pt>
                <c:pt idx="663">
                  <c:v>628.08349146110049</c:v>
                </c:pt>
                <c:pt idx="664">
                  <c:v>629.0322580645161</c:v>
                </c:pt>
                <c:pt idx="665">
                  <c:v>629.98102466793171</c:v>
                </c:pt>
                <c:pt idx="666">
                  <c:v>630.9297912713472</c:v>
                </c:pt>
                <c:pt idx="667">
                  <c:v>631.87855787476292</c:v>
                </c:pt>
                <c:pt idx="668">
                  <c:v>632.82732447817841</c:v>
                </c:pt>
                <c:pt idx="669">
                  <c:v>633.7760910815939</c:v>
                </c:pt>
                <c:pt idx="670">
                  <c:v>634.72485768500951</c:v>
                </c:pt>
                <c:pt idx="671">
                  <c:v>635.673624288425</c:v>
                </c:pt>
                <c:pt idx="672">
                  <c:v>636.62239089184061</c:v>
                </c:pt>
                <c:pt idx="673">
                  <c:v>637.57115749525622</c:v>
                </c:pt>
                <c:pt idx="674">
                  <c:v>638.51992409867182</c:v>
                </c:pt>
                <c:pt idx="675">
                  <c:v>639.46869070208732</c:v>
                </c:pt>
                <c:pt idx="676">
                  <c:v>640.41745730550281</c:v>
                </c:pt>
                <c:pt idx="677">
                  <c:v>641.36622390891841</c:v>
                </c:pt>
                <c:pt idx="678">
                  <c:v>642.31499051233391</c:v>
                </c:pt>
                <c:pt idx="679">
                  <c:v>643.26375711574963</c:v>
                </c:pt>
                <c:pt idx="680">
                  <c:v>644.21252371916512</c:v>
                </c:pt>
                <c:pt idx="681">
                  <c:v>645.16129032258061</c:v>
                </c:pt>
                <c:pt idx="682">
                  <c:v>646.11005692599622</c:v>
                </c:pt>
                <c:pt idx="683">
                  <c:v>647.05882352941171</c:v>
                </c:pt>
                <c:pt idx="684">
                  <c:v>648.00759013282732</c:v>
                </c:pt>
                <c:pt idx="685">
                  <c:v>648.95635673624292</c:v>
                </c:pt>
                <c:pt idx="686">
                  <c:v>649.90512333965853</c:v>
                </c:pt>
                <c:pt idx="687">
                  <c:v>650.85388994307402</c:v>
                </c:pt>
                <c:pt idx="688">
                  <c:v>651.80265654648952</c:v>
                </c:pt>
                <c:pt idx="689">
                  <c:v>652.75142314990512</c:v>
                </c:pt>
                <c:pt idx="690">
                  <c:v>653.70018975332061</c:v>
                </c:pt>
                <c:pt idx="691">
                  <c:v>654.64895635673633</c:v>
                </c:pt>
                <c:pt idx="692">
                  <c:v>655.59772296015194</c:v>
                </c:pt>
                <c:pt idx="693">
                  <c:v>656.54648956356732</c:v>
                </c:pt>
                <c:pt idx="694">
                  <c:v>657.49525616698293</c:v>
                </c:pt>
                <c:pt idx="695">
                  <c:v>658.44402277039842</c:v>
                </c:pt>
                <c:pt idx="696">
                  <c:v>659.39278937381403</c:v>
                </c:pt>
                <c:pt idx="697">
                  <c:v>660.34155597722963</c:v>
                </c:pt>
                <c:pt idx="698">
                  <c:v>661.29032258064524</c:v>
                </c:pt>
                <c:pt idx="699">
                  <c:v>662.23908918406073</c:v>
                </c:pt>
                <c:pt idx="700">
                  <c:v>663.18785578747622</c:v>
                </c:pt>
                <c:pt idx="701">
                  <c:v>664.13662239089183</c:v>
                </c:pt>
                <c:pt idx="702">
                  <c:v>665.08538899430744</c:v>
                </c:pt>
                <c:pt idx="703">
                  <c:v>666.03415559772304</c:v>
                </c:pt>
                <c:pt idx="704">
                  <c:v>666.98292220113865</c:v>
                </c:pt>
                <c:pt idx="705">
                  <c:v>667.93168880455403</c:v>
                </c:pt>
                <c:pt idx="706">
                  <c:v>668.88045540796963</c:v>
                </c:pt>
                <c:pt idx="707">
                  <c:v>669.82922201138513</c:v>
                </c:pt>
                <c:pt idx="708">
                  <c:v>670.77798861480085</c:v>
                </c:pt>
                <c:pt idx="709">
                  <c:v>671.72675521821645</c:v>
                </c:pt>
                <c:pt idx="710">
                  <c:v>672.67552182163195</c:v>
                </c:pt>
                <c:pt idx="711">
                  <c:v>673.62428842504744</c:v>
                </c:pt>
                <c:pt idx="712">
                  <c:v>674.57305502846293</c:v>
                </c:pt>
                <c:pt idx="713">
                  <c:v>675.52182163187854</c:v>
                </c:pt>
                <c:pt idx="714">
                  <c:v>676.47058823529426</c:v>
                </c:pt>
                <c:pt idx="715">
                  <c:v>677.41935483870975</c:v>
                </c:pt>
                <c:pt idx="716">
                  <c:v>678.36812144212536</c:v>
                </c:pt>
                <c:pt idx="717">
                  <c:v>679.31688804554074</c:v>
                </c:pt>
                <c:pt idx="718">
                  <c:v>680.26565464895634</c:v>
                </c:pt>
                <c:pt idx="719">
                  <c:v>681.21442125237184</c:v>
                </c:pt>
                <c:pt idx="720">
                  <c:v>682.16318785578756</c:v>
                </c:pt>
                <c:pt idx="721">
                  <c:v>683.11195445920316</c:v>
                </c:pt>
                <c:pt idx="722">
                  <c:v>684.06072106261854</c:v>
                </c:pt>
                <c:pt idx="723">
                  <c:v>685.00948766603415</c:v>
                </c:pt>
                <c:pt idx="724">
                  <c:v>685.95825426944964</c:v>
                </c:pt>
                <c:pt idx="725">
                  <c:v>686.90702087286525</c:v>
                </c:pt>
                <c:pt idx="726">
                  <c:v>687.85578747628097</c:v>
                </c:pt>
                <c:pt idx="727">
                  <c:v>688.80455407969646</c:v>
                </c:pt>
                <c:pt idx="728">
                  <c:v>689.75332068311207</c:v>
                </c:pt>
                <c:pt idx="729">
                  <c:v>690.70208728652744</c:v>
                </c:pt>
                <c:pt idx="730">
                  <c:v>691.65085388994305</c:v>
                </c:pt>
                <c:pt idx="731">
                  <c:v>692.59962049335866</c:v>
                </c:pt>
                <c:pt idx="732">
                  <c:v>693.54838709677426</c:v>
                </c:pt>
                <c:pt idx="733">
                  <c:v>694.49715370018987</c:v>
                </c:pt>
                <c:pt idx="734">
                  <c:v>695.44592030360525</c:v>
                </c:pt>
                <c:pt idx="735">
                  <c:v>696.39468690702085</c:v>
                </c:pt>
                <c:pt idx="736">
                  <c:v>697.34345351043646</c:v>
                </c:pt>
                <c:pt idx="737">
                  <c:v>698.29222011385195</c:v>
                </c:pt>
                <c:pt idx="738">
                  <c:v>699.24098671726767</c:v>
                </c:pt>
                <c:pt idx="739">
                  <c:v>700.18975332068317</c:v>
                </c:pt>
                <c:pt idx="740">
                  <c:v>701.13851992409866</c:v>
                </c:pt>
                <c:pt idx="741">
                  <c:v>702.08728652751415</c:v>
                </c:pt>
                <c:pt idx="742">
                  <c:v>703.03605313092976</c:v>
                </c:pt>
                <c:pt idx="743">
                  <c:v>703.98481973434536</c:v>
                </c:pt>
                <c:pt idx="744">
                  <c:v>704.93358633776097</c:v>
                </c:pt>
                <c:pt idx="745">
                  <c:v>705.88235294117658</c:v>
                </c:pt>
                <c:pt idx="746">
                  <c:v>706.83111954459196</c:v>
                </c:pt>
                <c:pt idx="747">
                  <c:v>707.77988614800756</c:v>
                </c:pt>
                <c:pt idx="748">
                  <c:v>708.72865275142317</c:v>
                </c:pt>
                <c:pt idx="749">
                  <c:v>709.67741935483866</c:v>
                </c:pt>
                <c:pt idx="750">
                  <c:v>710.62618595825438</c:v>
                </c:pt>
                <c:pt idx="751">
                  <c:v>711.57495256166987</c:v>
                </c:pt>
                <c:pt idx="752">
                  <c:v>712.52371916508537</c:v>
                </c:pt>
                <c:pt idx="753">
                  <c:v>713.47248576850097</c:v>
                </c:pt>
                <c:pt idx="754">
                  <c:v>714.42125237191647</c:v>
                </c:pt>
                <c:pt idx="755">
                  <c:v>715.37001897533207</c:v>
                </c:pt>
                <c:pt idx="756">
                  <c:v>716.31878557874768</c:v>
                </c:pt>
                <c:pt idx="757">
                  <c:v>717.26755218216329</c:v>
                </c:pt>
                <c:pt idx="758">
                  <c:v>718.21631878557866</c:v>
                </c:pt>
                <c:pt idx="759">
                  <c:v>719.16508538899427</c:v>
                </c:pt>
                <c:pt idx="760">
                  <c:v>720.11385199240988</c:v>
                </c:pt>
                <c:pt idx="761">
                  <c:v>721.06261859582537</c:v>
                </c:pt>
                <c:pt idx="762">
                  <c:v>722.01138519924109</c:v>
                </c:pt>
                <c:pt idx="763">
                  <c:v>722.96015180265658</c:v>
                </c:pt>
                <c:pt idx="764">
                  <c:v>723.90891840607208</c:v>
                </c:pt>
                <c:pt idx="765">
                  <c:v>724.85768500948768</c:v>
                </c:pt>
                <c:pt idx="766">
                  <c:v>725.80645161290317</c:v>
                </c:pt>
                <c:pt idx="767">
                  <c:v>726.75521821631878</c:v>
                </c:pt>
                <c:pt idx="768">
                  <c:v>727.70398481973439</c:v>
                </c:pt>
                <c:pt idx="769">
                  <c:v>728.65275142314999</c:v>
                </c:pt>
                <c:pt idx="770">
                  <c:v>729.60151802656549</c:v>
                </c:pt>
                <c:pt idx="771">
                  <c:v>730.55028462998098</c:v>
                </c:pt>
                <c:pt idx="772">
                  <c:v>731.49905123339659</c:v>
                </c:pt>
                <c:pt idx="773">
                  <c:v>732.44781783681219</c:v>
                </c:pt>
                <c:pt idx="774">
                  <c:v>733.3965844402278</c:v>
                </c:pt>
                <c:pt idx="775">
                  <c:v>734.34535104364329</c:v>
                </c:pt>
                <c:pt idx="776">
                  <c:v>735.29411764705878</c:v>
                </c:pt>
                <c:pt idx="777">
                  <c:v>736.24288425047439</c:v>
                </c:pt>
                <c:pt idx="778">
                  <c:v>737.19165085388988</c:v>
                </c:pt>
                <c:pt idx="779">
                  <c:v>738.1404174573056</c:v>
                </c:pt>
                <c:pt idx="780">
                  <c:v>739.0891840607211</c:v>
                </c:pt>
                <c:pt idx="781">
                  <c:v>740.0379506641367</c:v>
                </c:pt>
                <c:pt idx="782">
                  <c:v>740.98671726755219</c:v>
                </c:pt>
                <c:pt idx="783">
                  <c:v>741.93548387096769</c:v>
                </c:pt>
                <c:pt idx="784">
                  <c:v>742.88425047438329</c:v>
                </c:pt>
                <c:pt idx="785">
                  <c:v>743.8330170777989</c:v>
                </c:pt>
                <c:pt idx="786">
                  <c:v>744.78178368121451</c:v>
                </c:pt>
                <c:pt idx="787">
                  <c:v>745.73055028463011</c:v>
                </c:pt>
                <c:pt idx="788">
                  <c:v>746.67931688804549</c:v>
                </c:pt>
                <c:pt idx="789">
                  <c:v>747.6280834914611</c:v>
                </c:pt>
                <c:pt idx="790">
                  <c:v>748.57685009487659</c:v>
                </c:pt>
                <c:pt idx="791">
                  <c:v>749.52561669829231</c:v>
                </c:pt>
                <c:pt idx="792">
                  <c:v>750.47438330170792</c:v>
                </c:pt>
                <c:pt idx="793">
                  <c:v>751.42314990512341</c:v>
                </c:pt>
                <c:pt idx="794">
                  <c:v>752.3719165085389</c:v>
                </c:pt>
                <c:pt idx="795">
                  <c:v>753.32068311195439</c:v>
                </c:pt>
                <c:pt idx="796">
                  <c:v>754.26944971537</c:v>
                </c:pt>
                <c:pt idx="797">
                  <c:v>755.21821631878561</c:v>
                </c:pt>
                <c:pt idx="798">
                  <c:v>756.16698292220121</c:v>
                </c:pt>
                <c:pt idx="799">
                  <c:v>757.11574952561682</c:v>
                </c:pt>
                <c:pt idx="800">
                  <c:v>758.0645161290322</c:v>
                </c:pt>
                <c:pt idx="801">
                  <c:v>759.01328273244781</c:v>
                </c:pt>
                <c:pt idx="802">
                  <c:v>759.9620493358633</c:v>
                </c:pt>
                <c:pt idx="803">
                  <c:v>760.91081593927902</c:v>
                </c:pt>
                <c:pt idx="804">
                  <c:v>761.85958254269462</c:v>
                </c:pt>
                <c:pt idx="805">
                  <c:v>762.80834914611</c:v>
                </c:pt>
                <c:pt idx="806">
                  <c:v>763.75711574952561</c:v>
                </c:pt>
                <c:pt idx="807">
                  <c:v>764.7058823529411</c:v>
                </c:pt>
                <c:pt idx="808">
                  <c:v>765.65464895635671</c:v>
                </c:pt>
                <c:pt idx="809">
                  <c:v>766.60341555977243</c:v>
                </c:pt>
                <c:pt idx="810">
                  <c:v>767.55218216318792</c:v>
                </c:pt>
                <c:pt idx="811">
                  <c:v>768.50094876660353</c:v>
                </c:pt>
                <c:pt idx="812">
                  <c:v>769.44971537001891</c:v>
                </c:pt>
                <c:pt idx="813">
                  <c:v>770.39848197343451</c:v>
                </c:pt>
                <c:pt idx="814">
                  <c:v>771.34724857685012</c:v>
                </c:pt>
                <c:pt idx="815">
                  <c:v>772.29601518026573</c:v>
                </c:pt>
                <c:pt idx="816">
                  <c:v>773.24478178368133</c:v>
                </c:pt>
                <c:pt idx="817">
                  <c:v>774.19354838709671</c:v>
                </c:pt>
                <c:pt idx="818">
                  <c:v>775.14231499051232</c:v>
                </c:pt>
                <c:pt idx="819">
                  <c:v>776.09108159392781</c:v>
                </c:pt>
                <c:pt idx="820">
                  <c:v>777.03984819734342</c:v>
                </c:pt>
                <c:pt idx="821">
                  <c:v>777.98861480075914</c:v>
                </c:pt>
                <c:pt idx="822">
                  <c:v>778.93738140417463</c:v>
                </c:pt>
                <c:pt idx="823">
                  <c:v>779.88614800759024</c:v>
                </c:pt>
                <c:pt idx="824">
                  <c:v>780.83491461100562</c:v>
                </c:pt>
                <c:pt idx="825">
                  <c:v>781.78368121442122</c:v>
                </c:pt>
                <c:pt idx="826">
                  <c:v>782.73244781783683</c:v>
                </c:pt>
                <c:pt idx="827">
                  <c:v>783.68121442125243</c:v>
                </c:pt>
                <c:pt idx="828">
                  <c:v>784.62998102466804</c:v>
                </c:pt>
                <c:pt idx="829">
                  <c:v>785.57874762808342</c:v>
                </c:pt>
                <c:pt idx="830">
                  <c:v>786.52751423149903</c:v>
                </c:pt>
                <c:pt idx="831">
                  <c:v>787.47628083491463</c:v>
                </c:pt>
                <c:pt idx="832">
                  <c:v>788.42504743833013</c:v>
                </c:pt>
                <c:pt idx="833">
                  <c:v>789.37381404174585</c:v>
                </c:pt>
                <c:pt idx="834">
                  <c:v>790.32258064516134</c:v>
                </c:pt>
                <c:pt idx="835">
                  <c:v>791.27134724857683</c:v>
                </c:pt>
                <c:pt idx="836">
                  <c:v>792.22011385199232</c:v>
                </c:pt>
                <c:pt idx="837">
                  <c:v>793.16888045540793</c:v>
                </c:pt>
                <c:pt idx="838">
                  <c:v>794.11764705882354</c:v>
                </c:pt>
                <c:pt idx="839">
                  <c:v>795.06641366223914</c:v>
                </c:pt>
                <c:pt idx="840">
                  <c:v>796.01518026565475</c:v>
                </c:pt>
                <c:pt idx="841">
                  <c:v>796.96394686907013</c:v>
                </c:pt>
                <c:pt idx="842">
                  <c:v>797.91271347248573</c:v>
                </c:pt>
                <c:pt idx="843">
                  <c:v>798.86148007590134</c:v>
                </c:pt>
                <c:pt idx="844">
                  <c:v>799.81024667931695</c:v>
                </c:pt>
                <c:pt idx="845">
                  <c:v>800.75901328273255</c:v>
                </c:pt>
                <c:pt idx="846">
                  <c:v>801.70777988614805</c:v>
                </c:pt>
                <c:pt idx="847">
                  <c:v>802.65654648956354</c:v>
                </c:pt>
                <c:pt idx="848">
                  <c:v>803.60531309297915</c:v>
                </c:pt>
                <c:pt idx="849">
                  <c:v>804.55407969639464</c:v>
                </c:pt>
                <c:pt idx="850">
                  <c:v>805.50284629981036</c:v>
                </c:pt>
                <c:pt idx="851">
                  <c:v>806.45161290322585</c:v>
                </c:pt>
                <c:pt idx="852">
                  <c:v>807.40037950664146</c:v>
                </c:pt>
                <c:pt idx="853">
                  <c:v>808.34914611005684</c:v>
                </c:pt>
                <c:pt idx="854">
                  <c:v>809.29791271347244</c:v>
                </c:pt>
                <c:pt idx="855">
                  <c:v>810.24667931688805</c:v>
                </c:pt>
                <c:pt idx="856">
                  <c:v>811.19544592030365</c:v>
                </c:pt>
                <c:pt idx="857">
                  <c:v>812.14421252371926</c:v>
                </c:pt>
                <c:pt idx="858">
                  <c:v>813.09297912713475</c:v>
                </c:pt>
                <c:pt idx="859">
                  <c:v>814.04174573055025</c:v>
                </c:pt>
                <c:pt idx="860">
                  <c:v>814.99051233396585</c:v>
                </c:pt>
                <c:pt idx="861">
                  <c:v>815.93927893738135</c:v>
                </c:pt>
                <c:pt idx="862">
                  <c:v>816.88804554079707</c:v>
                </c:pt>
                <c:pt idx="863">
                  <c:v>817.83681214421256</c:v>
                </c:pt>
                <c:pt idx="864">
                  <c:v>818.78557874762816</c:v>
                </c:pt>
                <c:pt idx="865">
                  <c:v>819.73434535104366</c:v>
                </c:pt>
                <c:pt idx="866">
                  <c:v>820.68311195445915</c:v>
                </c:pt>
                <c:pt idx="867">
                  <c:v>821.63187855787476</c:v>
                </c:pt>
                <c:pt idx="868">
                  <c:v>822.58064516129036</c:v>
                </c:pt>
                <c:pt idx="869">
                  <c:v>823.52941176470597</c:v>
                </c:pt>
                <c:pt idx="870">
                  <c:v>824.47817836812158</c:v>
                </c:pt>
                <c:pt idx="871">
                  <c:v>825.42694497153695</c:v>
                </c:pt>
                <c:pt idx="872">
                  <c:v>826.37571157495256</c:v>
                </c:pt>
                <c:pt idx="873">
                  <c:v>827.32447817836805</c:v>
                </c:pt>
                <c:pt idx="874">
                  <c:v>828.27324478178377</c:v>
                </c:pt>
                <c:pt idx="875">
                  <c:v>829.22201138519927</c:v>
                </c:pt>
                <c:pt idx="876">
                  <c:v>830.17077798861487</c:v>
                </c:pt>
                <c:pt idx="877">
                  <c:v>831.11954459203037</c:v>
                </c:pt>
                <c:pt idx="878">
                  <c:v>832.06831119544586</c:v>
                </c:pt>
                <c:pt idx="879">
                  <c:v>833.01707779886146</c:v>
                </c:pt>
                <c:pt idx="880">
                  <c:v>833.96584440227707</c:v>
                </c:pt>
                <c:pt idx="881">
                  <c:v>834.91461100569268</c:v>
                </c:pt>
                <c:pt idx="882">
                  <c:v>835.86337760910828</c:v>
                </c:pt>
                <c:pt idx="883">
                  <c:v>836.81214421252366</c:v>
                </c:pt>
                <c:pt idx="884">
                  <c:v>837.76091081593927</c:v>
                </c:pt>
                <c:pt idx="885">
                  <c:v>838.70967741935476</c:v>
                </c:pt>
                <c:pt idx="886">
                  <c:v>839.65844402277048</c:v>
                </c:pt>
                <c:pt idx="887">
                  <c:v>840.60721062618609</c:v>
                </c:pt>
                <c:pt idx="888">
                  <c:v>841.55597722960158</c:v>
                </c:pt>
                <c:pt idx="889">
                  <c:v>842.50474383301707</c:v>
                </c:pt>
                <c:pt idx="890">
                  <c:v>843.45351043643257</c:v>
                </c:pt>
                <c:pt idx="891">
                  <c:v>844.40227703984817</c:v>
                </c:pt>
                <c:pt idx="892">
                  <c:v>845.35104364326378</c:v>
                </c:pt>
                <c:pt idx="893">
                  <c:v>846.29981024667939</c:v>
                </c:pt>
                <c:pt idx="894">
                  <c:v>847.24857685009499</c:v>
                </c:pt>
                <c:pt idx="895">
                  <c:v>848.19734345351037</c:v>
                </c:pt>
                <c:pt idx="896">
                  <c:v>849.14611005692598</c:v>
                </c:pt>
                <c:pt idx="897">
                  <c:v>850.09487666034147</c:v>
                </c:pt>
                <c:pt idx="898">
                  <c:v>851.04364326375719</c:v>
                </c:pt>
                <c:pt idx="899">
                  <c:v>851.9924098671728</c:v>
                </c:pt>
                <c:pt idx="900">
                  <c:v>852.94117647058818</c:v>
                </c:pt>
                <c:pt idx="901">
                  <c:v>853.88994307400378</c:v>
                </c:pt>
                <c:pt idx="902">
                  <c:v>854.83870967741927</c:v>
                </c:pt>
                <c:pt idx="903">
                  <c:v>855.78747628083488</c:v>
                </c:pt>
                <c:pt idx="904">
                  <c:v>856.7362428842506</c:v>
                </c:pt>
                <c:pt idx="905">
                  <c:v>857.68500948766609</c:v>
                </c:pt>
                <c:pt idx="906">
                  <c:v>858.6337760910817</c:v>
                </c:pt>
                <c:pt idx="907">
                  <c:v>859.58254269449708</c:v>
                </c:pt>
                <c:pt idx="908">
                  <c:v>860.53130929791268</c:v>
                </c:pt>
                <c:pt idx="909">
                  <c:v>861.48007590132829</c:v>
                </c:pt>
                <c:pt idx="910">
                  <c:v>862.4288425047439</c:v>
                </c:pt>
                <c:pt idx="911">
                  <c:v>863.3776091081595</c:v>
                </c:pt>
                <c:pt idx="912">
                  <c:v>864.32637571157488</c:v>
                </c:pt>
                <c:pt idx="913">
                  <c:v>865.27514231499049</c:v>
                </c:pt>
                <c:pt idx="914">
                  <c:v>866.22390891840598</c:v>
                </c:pt>
                <c:pt idx="915">
                  <c:v>867.1726755218217</c:v>
                </c:pt>
                <c:pt idx="916">
                  <c:v>868.12144212523731</c:v>
                </c:pt>
                <c:pt idx="917">
                  <c:v>869.0702087286528</c:v>
                </c:pt>
                <c:pt idx="918">
                  <c:v>870.01897533206829</c:v>
                </c:pt>
                <c:pt idx="919">
                  <c:v>870.96774193548379</c:v>
                </c:pt>
                <c:pt idx="920">
                  <c:v>871.91650853889939</c:v>
                </c:pt>
                <c:pt idx="921">
                  <c:v>872.86527514231511</c:v>
                </c:pt>
                <c:pt idx="922">
                  <c:v>873.81404174573061</c:v>
                </c:pt>
                <c:pt idx="923">
                  <c:v>874.76280834914621</c:v>
                </c:pt>
                <c:pt idx="924">
                  <c:v>875.71157495256159</c:v>
                </c:pt>
                <c:pt idx="925">
                  <c:v>876.6603415559772</c:v>
                </c:pt>
                <c:pt idx="926">
                  <c:v>877.6091081593928</c:v>
                </c:pt>
                <c:pt idx="927">
                  <c:v>878.55787476280841</c:v>
                </c:pt>
                <c:pt idx="928">
                  <c:v>879.50664136622402</c:v>
                </c:pt>
                <c:pt idx="929">
                  <c:v>880.45540796963951</c:v>
                </c:pt>
                <c:pt idx="930">
                  <c:v>881.404174573055</c:v>
                </c:pt>
                <c:pt idx="931">
                  <c:v>882.35294117647061</c:v>
                </c:pt>
                <c:pt idx="932">
                  <c:v>883.3017077798861</c:v>
                </c:pt>
                <c:pt idx="933">
                  <c:v>884.25047438330182</c:v>
                </c:pt>
                <c:pt idx="934">
                  <c:v>885.19924098671731</c:v>
                </c:pt>
                <c:pt idx="935">
                  <c:v>886.14800759013292</c:v>
                </c:pt>
                <c:pt idx="936">
                  <c:v>887.0967741935483</c:v>
                </c:pt>
                <c:pt idx="937">
                  <c:v>888.04554079696391</c:v>
                </c:pt>
                <c:pt idx="938">
                  <c:v>888.99430740037951</c:v>
                </c:pt>
                <c:pt idx="939">
                  <c:v>889.94307400379512</c:v>
                </c:pt>
                <c:pt idx="940">
                  <c:v>890.89184060721072</c:v>
                </c:pt>
                <c:pt idx="941">
                  <c:v>891.84060721062622</c:v>
                </c:pt>
                <c:pt idx="942">
                  <c:v>892.78937381404171</c:v>
                </c:pt>
                <c:pt idx="943">
                  <c:v>893.73814041745732</c:v>
                </c:pt>
                <c:pt idx="944">
                  <c:v>894.68690702087281</c:v>
                </c:pt>
                <c:pt idx="945">
                  <c:v>895.63567362428853</c:v>
                </c:pt>
                <c:pt idx="946">
                  <c:v>896.58444022770402</c:v>
                </c:pt>
                <c:pt idx="947">
                  <c:v>897.53320683111963</c:v>
                </c:pt>
                <c:pt idx="948">
                  <c:v>898.48197343453512</c:v>
                </c:pt>
                <c:pt idx="949">
                  <c:v>899.43074003795061</c:v>
                </c:pt>
                <c:pt idx="950">
                  <c:v>900.37950664136622</c:v>
                </c:pt>
                <c:pt idx="951">
                  <c:v>901.32827324478183</c:v>
                </c:pt>
                <c:pt idx="952">
                  <c:v>902.27703984819743</c:v>
                </c:pt>
                <c:pt idx="953">
                  <c:v>903.22580645161293</c:v>
                </c:pt>
                <c:pt idx="954">
                  <c:v>904.17457305502842</c:v>
                </c:pt>
                <c:pt idx="955">
                  <c:v>905.12333965844402</c:v>
                </c:pt>
                <c:pt idx="956">
                  <c:v>906.07210626185952</c:v>
                </c:pt>
                <c:pt idx="957">
                  <c:v>907.02087286527524</c:v>
                </c:pt>
                <c:pt idx="958">
                  <c:v>907.96963946869073</c:v>
                </c:pt>
                <c:pt idx="959">
                  <c:v>908.91840607210634</c:v>
                </c:pt>
                <c:pt idx="960">
                  <c:v>909.86717267552183</c:v>
                </c:pt>
                <c:pt idx="961">
                  <c:v>910.81593927893732</c:v>
                </c:pt>
                <c:pt idx="962">
                  <c:v>911.76470588235293</c:v>
                </c:pt>
                <c:pt idx="963">
                  <c:v>912.71347248576853</c:v>
                </c:pt>
                <c:pt idx="964">
                  <c:v>913.66223908918414</c:v>
                </c:pt>
                <c:pt idx="965">
                  <c:v>914.61100569259975</c:v>
                </c:pt>
                <c:pt idx="966">
                  <c:v>915.55977229601513</c:v>
                </c:pt>
                <c:pt idx="967">
                  <c:v>916.50853889943073</c:v>
                </c:pt>
                <c:pt idx="968">
                  <c:v>917.45730550284622</c:v>
                </c:pt>
                <c:pt idx="969">
                  <c:v>918.40607210626195</c:v>
                </c:pt>
                <c:pt idx="970">
                  <c:v>919.35483870967755</c:v>
                </c:pt>
                <c:pt idx="971">
                  <c:v>920.30360531309304</c:v>
                </c:pt>
                <c:pt idx="972">
                  <c:v>921.25237191650854</c:v>
                </c:pt>
                <c:pt idx="973">
                  <c:v>922.20113851992403</c:v>
                </c:pt>
                <c:pt idx="974">
                  <c:v>923.14990512333964</c:v>
                </c:pt>
                <c:pt idx="975">
                  <c:v>924.09867172675524</c:v>
                </c:pt>
                <c:pt idx="976">
                  <c:v>925.04743833017085</c:v>
                </c:pt>
                <c:pt idx="977">
                  <c:v>925.99620493358645</c:v>
                </c:pt>
                <c:pt idx="978">
                  <c:v>926.94497153700183</c:v>
                </c:pt>
                <c:pt idx="979">
                  <c:v>927.89373814041744</c:v>
                </c:pt>
                <c:pt idx="980">
                  <c:v>928.84250474383305</c:v>
                </c:pt>
                <c:pt idx="981">
                  <c:v>929.79127134724865</c:v>
                </c:pt>
                <c:pt idx="982">
                  <c:v>930.74003795066426</c:v>
                </c:pt>
                <c:pt idx="983">
                  <c:v>931.68880455407964</c:v>
                </c:pt>
                <c:pt idx="984">
                  <c:v>932.63757115749524</c:v>
                </c:pt>
                <c:pt idx="985">
                  <c:v>933.58633776091074</c:v>
                </c:pt>
                <c:pt idx="986">
                  <c:v>934.53510436432646</c:v>
                </c:pt>
                <c:pt idx="987">
                  <c:v>935.48387096774206</c:v>
                </c:pt>
                <c:pt idx="988">
                  <c:v>936.43263757115756</c:v>
                </c:pt>
                <c:pt idx="989">
                  <c:v>937.38140417457316</c:v>
                </c:pt>
                <c:pt idx="990">
                  <c:v>938.33017077798854</c:v>
                </c:pt>
                <c:pt idx="991">
                  <c:v>939.27893738140415</c:v>
                </c:pt>
                <c:pt idx="992">
                  <c:v>940.22770398481975</c:v>
                </c:pt>
                <c:pt idx="993">
                  <c:v>941.17647058823536</c:v>
                </c:pt>
                <c:pt idx="994">
                  <c:v>942.12523719165097</c:v>
                </c:pt>
                <c:pt idx="995">
                  <c:v>943.07400379506635</c:v>
                </c:pt>
                <c:pt idx="996">
                  <c:v>944.02277039848195</c:v>
                </c:pt>
                <c:pt idx="997">
                  <c:v>944.97153700189745</c:v>
                </c:pt>
                <c:pt idx="998">
                  <c:v>945.92030360531317</c:v>
                </c:pt>
                <c:pt idx="999">
                  <c:v>946.86907020872877</c:v>
                </c:pt>
                <c:pt idx="1000">
                  <c:v>947.81783681214426</c:v>
                </c:pt>
                <c:pt idx="1001">
                  <c:v>948.76660341555976</c:v>
                </c:pt>
                <c:pt idx="1002">
                  <c:v>949.71537001897525</c:v>
                </c:pt>
                <c:pt idx="1003">
                  <c:v>950.66413662239086</c:v>
                </c:pt>
                <c:pt idx="1004">
                  <c:v>951.61290322580658</c:v>
                </c:pt>
                <c:pt idx="1005">
                  <c:v>952.56166982922207</c:v>
                </c:pt>
                <c:pt idx="1006">
                  <c:v>953.51043643263768</c:v>
                </c:pt>
                <c:pt idx="1007">
                  <c:v>954.45920303605305</c:v>
                </c:pt>
                <c:pt idx="1008">
                  <c:v>955.40796963946866</c:v>
                </c:pt>
                <c:pt idx="1009">
                  <c:v>956.35673624288427</c:v>
                </c:pt>
                <c:pt idx="1010">
                  <c:v>957.30550284629987</c:v>
                </c:pt>
                <c:pt idx="1011">
                  <c:v>958.25426944971548</c:v>
                </c:pt>
                <c:pt idx="1012">
                  <c:v>959.20303605313097</c:v>
                </c:pt>
                <c:pt idx="1013">
                  <c:v>960.15180265654647</c:v>
                </c:pt>
                <c:pt idx="1014">
                  <c:v>961.10056925996196</c:v>
                </c:pt>
                <c:pt idx="1015">
                  <c:v>962.04933586337756</c:v>
                </c:pt>
                <c:pt idx="1016">
                  <c:v>962.99810246679328</c:v>
                </c:pt>
                <c:pt idx="1017">
                  <c:v>963.94686907020878</c:v>
                </c:pt>
                <c:pt idx="1018">
                  <c:v>964.89563567362438</c:v>
                </c:pt>
                <c:pt idx="1019">
                  <c:v>965.84440227703976</c:v>
                </c:pt>
                <c:pt idx="1020">
                  <c:v>966.79316888045537</c:v>
                </c:pt>
                <c:pt idx="1021">
                  <c:v>967.74193548387098</c:v>
                </c:pt>
                <c:pt idx="1022">
                  <c:v>968.69070208728658</c:v>
                </c:pt>
                <c:pt idx="1023">
                  <c:v>969.63946869070219</c:v>
                </c:pt>
                <c:pt idx="1024">
                  <c:v>970.58823529411768</c:v>
                </c:pt>
                <c:pt idx="1025">
                  <c:v>971.53700189753317</c:v>
                </c:pt>
                <c:pt idx="1026">
                  <c:v>972.48576850094878</c:v>
                </c:pt>
                <c:pt idx="1027">
                  <c:v>973.43453510436427</c:v>
                </c:pt>
                <c:pt idx="1028">
                  <c:v>974.38330170777999</c:v>
                </c:pt>
                <c:pt idx="1029">
                  <c:v>975.33206831119548</c:v>
                </c:pt>
                <c:pt idx="1030">
                  <c:v>976.28083491461109</c:v>
                </c:pt>
                <c:pt idx="1031">
                  <c:v>977.22960151802647</c:v>
                </c:pt>
                <c:pt idx="1032">
                  <c:v>978.17836812144208</c:v>
                </c:pt>
                <c:pt idx="1033">
                  <c:v>979.12713472485768</c:v>
                </c:pt>
                <c:pt idx="1034">
                  <c:v>980.07590132827329</c:v>
                </c:pt>
                <c:pt idx="1035">
                  <c:v>981.0246679316889</c:v>
                </c:pt>
                <c:pt idx="1036">
                  <c:v>981.97343453510439</c:v>
                </c:pt>
                <c:pt idx="1037">
                  <c:v>982.92220113851988</c:v>
                </c:pt>
                <c:pt idx="1038">
                  <c:v>983.87096774193549</c:v>
                </c:pt>
                <c:pt idx="1039">
                  <c:v>984.81973434535098</c:v>
                </c:pt>
                <c:pt idx="1040">
                  <c:v>985.7685009487667</c:v>
                </c:pt>
                <c:pt idx="1041">
                  <c:v>986.71726755218219</c:v>
                </c:pt>
                <c:pt idx="1042">
                  <c:v>987.6660341555978</c:v>
                </c:pt>
                <c:pt idx="1043">
                  <c:v>988.61480075901329</c:v>
                </c:pt>
                <c:pt idx="1044">
                  <c:v>989.56356736242878</c:v>
                </c:pt>
                <c:pt idx="1045">
                  <c:v>990.51233396584439</c:v>
                </c:pt>
                <c:pt idx="1046">
                  <c:v>991.46110056926</c:v>
                </c:pt>
                <c:pt idx="1047">
                  <c:v>992.4098671726756</c:v>
                </c:pt>
                <c:pt idx="1048">
                  <c:v>993.35863377609121</c:v>
                </c:pt>
                <c:pt idx="1049">
                  <c:v>994.30740037950659</c:v>
                </c:pt>
                <c:pt idx="1050">
                  <c:v>995.2561669829222</c:v>
                </c:pt>
                <c:pt idx="1051">
                  <c:v>996.2049335863378</c:v>
                </c:pt>
                <c:pt idx="1052">
                  <c:v>997.15370018975341</c:v>
                </c:pt>
                <c:pt idx="1053">
                  <c:v>998.1024667931689</c:v>
                </c:pt>
                <c:pt idx="1054">
                  <c:v>999.05123339658451</c:v>
                </c:pt>
                <c:pt idx="1055">
                  <c:v>1000</c:v>
                </c:pt>
                <c:pt idx="1056">
                  <c:v>1000</c:v>
                </c:pt>
                <c:pt idx="1057">
                  <c:v>1000</c:v>
                </c:pt>
              </c:numCache>
            </c:numRef>
          </c:cat>
          <c:val>
            <c:numRef>
              <c:f>'Arbitrage Payback Engine'!$AE$8:$AE$1065</c:f>
              <c:numCache>
                <c:formatCode>_("$"* #,##0.00_);_("$"* \(#,##0.00\);_("$"* "-"??_);_(@_)</c:formatCode>
                <c:ptCount val="1058"/>
                <c:pt idx="0" formatCode="General">
                  <c:v>0</c:v>
                </c:pt>
                <c:pt idx="1">
                  <c:v>0</c:v>
                </c:pt>
                <c:pt idx="2">
                  <c:v>0.10964912280701754</c:v>
                </c:pt>
                <c:pt idx="3">
                  <c:v>0.10964912280701754</c:v>
                </c:pt>
                <c:pt idx="4">
                  <c:v>0.10964912280701754</c:v>
                </c:pt>
                <c:pt idx="5">
                  <c:v>0.10964912280701754</c:v>
                </c:pt>
                <c:pt idx="6">
                  <c:v>0.10964912280701754</c:v>
                </c:pt>
                <c:pt idx="7">
                  <c:v>0.10964912280701754</c:v>
                </c:pt>
                <c:pt idx="8">
                  <c:v>0.10964912280701754</c:v>
                </c:pt>
                <c:pt idx="9">
                  <c:v>0.10964912280701754</c:v>
                </c:pt>
                <c:pt idx="10">
                  <c:v>0.10964912280701754</c:v>
                </c:pt>
                <c:pt idx="11">
                  <c:v>0.10964912280701754</c:v>
                </c:pt>
                <c:pt idx="12">
                  <c:v>0.10964912280701754</c:v>
                </c:pt>
                <c:pt idx="13">
                  <c:v>0.10964912280701754</c:v>
                </c:pt>
                <c:pt idx="14">
                  <c:v>0.10964912280701754</c:v>
                </c:pt>
                <c:pt idx="15">
                  <c:v>0.10964912280701754</c:v>
                </c:pt>
                <c:pt idx="16">
                  <c:v>0.10964912280701754</c:v>
                </c:pt>
                <c:pt idx="17">
                  <c:v>0.10964912280701754</c:v>
                </c:pt>
                <c:pt idx="18">
                  <c:v>0.10964912280701754</c:v>
                </c:pt>
                <c:pt idx="19">
                  <c:v>0.10964912280701754</c:v>
                </c:pt>
                <c:pt idx="20">
                  <c:v>0.10964912280701754</c:v>
                </c:pt>
                <c:pt idx="21">
                  <c:v>0.10964912280701754</c:v>
                </c:pt>
                <c:pt idx="22">
                  <c:v>0.10964912280701754</c:v>
                </c:pt>
                <c:pt idx="23">
                  <c:v>0.10964912280701754</c:v>
                </c:pt>
                <c:pt idx="24">
                  <c:v>0.10964912280701754</c:v>
                </c:pt>
                <c:pt idx="25">
                  <c:v>0.10964912280701754</c:v>
                </c:pt>
                <c:pt idx="26">
                  <c:v>0.10964912280701754</c:v>
                </c:pt>
                <c:pt idx="27">
                  <c:v>0.10964912280701754</c:v>
                </c:pt>
                <c:pt idx="28">
                  <c:v>0.10964912280701754</c:v>
                </c:pt>
                <c:pt idx="29">
                  <c:v>0.10964912280701754</c:v>
                </c:pt>
                <c:pt idx="30">
                  <c:v>0.10964912280701754</c:v>
                </c:pt>
                <c:pt idx="31">
                  <c:v>0.10964912280701754</c:v>
                </c:pt>
                <c:pt idx="32">
                  <c:v>0.10964912280701754</c:v>
                </c:pt>
                <c:pt idx="33">
                  <c:v>0.10964912280701754</c:v>
                </c:pt>
                <c:pt idx="34">
                  <c:v>0.10964912280701754</c:v>
                </c:pt>
                <c:pt idx="35">
                  <c:v>0.10964912280701754</c:v>
                </c:pt>
                <c:pt idx="36">
                  <c:v>0.10964912280701754</c:v>
                </c:pt>
                <c:pt idx="37">
                  <c:v>0.10964912280701754</c:v>
                </c:pt>
                <c:pt idx="38">
                  <c:v>0.10964912280701754</c:v>
                </c:pt>
                <c:pt idx="39">
                  <c:v>0.10964912280701754</c:v>
                </c:pt>
                <c:pt idx="40">
                  <c:v>0.10964912280701754</c:v>
                </c:pt>
                <c:pt idx="41">
                  <c:v>0.10964912280701754</c:v>
                </c:pt>
                <c:pt idx="42">
                  <c:v>0.10964912280701754</c:v>
                </c:pt>
                <c:pt idx="43">
                  <c:v>0.10964912280701754</c:v>
                </c:pt>
                <c:pt idx="44">
                  <c:v>0.10964912280701754</c:v>
                </c:pt>
                <c:pt idx="45">
                  <c:v>0.10964912280701754</c:v>
                </c:pt>
                <c:pt idx="46">
                  <c:v>0.10964912280701754</c:v>
                </c:pt>
                <c:pt idx="47">
                  <c:v>0.10964912280701754</c:v>
                </c:pt>
                <c:pt idx="48">
                  <c:v>0.10964912280701754</c:v>
                </c:pt>
                <c:pt idx="49">
                  <c:v>0.10964912280701754</c:v>
                </c:pt>
                <c:pt idx="50">
                  <c:v>0.10964912280701754</c:v>
                </c:pt>
                <c:pt idx="51">
                  <c:v>0.10964912280701754</c:v>
                </c:pt>
                <c:pt idx="52">
                  <c:v>0.10964912280701754</c:v>
                </c:pt>
                <c:pt idx="53">
                  <c:v>0.10964912280701754</c:v>
                </c:pt>
                <c:pt idx="54">
                  <c:v>0.10964912280701754</c:v>
                </c:pt>
                <c:pt idx="55">
                  <c:v>0.10964912280701754</c:v>
                </c:pt>
                <c:pt idx="56">
                  <c:v>0.10964912280701754</c:v>
                </c:pt>
                <c:pt idx="57">
                  <c:v>0.10964912280701754</c:v>
                </c:pt>
                <c:pt idx="58">
                  <c:v>0.10964912280701754</c:v>
                </c:pt>
                <c:pt idx="59">
                  <c:v>0.10964912280701754</c:v>
                </c:pt>
                <c:pt idx="60">
                  <c:v>0.10964912280701754</c:v>
                </c:pt>
                <c:pt idx="61">
                  <c:v>0.10964912280701754</c:v>
                </c:pt>
                <c:pt idx="62">
                  <c:v>0.10964912280701754</c:v>
                </c:pt>
                <c:pt idx="63">
                  <c:v>0.10964912280701754</c:v>
                </c:pt>
                <c:pt idx="64">
                  <c:v>0.10964912280701754</c:v>
                </c:pt>
                <c:pt idx="65">
                  <c:v>0.10964912280701754</c:v>
                </c:pt>
                <c:pt idx="66">
                  <c:v>0.10964912280701754</c:v>
                </c:pt>
                <c:pt idx="67">
                  <c:v>0.10964912280701754</c:v>
                </c:pt>
                <c:pt idx="68">
                  <c:v>0.10964912280701754</c:v>
                </c:pt>
                <c:pt idx="69">
                  <c:v>0.10964912280701754</c:v>
                </c:pt>
                <c:pt idx="70">
                  <c:v>0.10964912280701754</c:v>
                </c:pt>
                <c:pt idx="71">
                  <c:v>0.10964912280701754</c:v>
                </c:pt>
                <c:pt idx="72">
                  <c:v>0.10964912280701754</c:v>
                </c:pt>
                <c:pt idx="73">
                  <c:v>0.10964912280701754</c:v>
                </c:pt>
                <c:pt idx="74">
                  <c:v>0.10964912280701754</c:v>
                </c:pt>
                <c:pt idx="75">
                  <c:v>0.10964912280701754</c:v>
                </c:pt>
                <c:pt idx="76">
                  <c:v>0.10964912280701754</c:v>
                </c:pt>
                <c:pt idx="77">
                  <c:v>0.10964912280701754</c:v>
                </c:pt>
                <c:pt idx="78">
                  <c:v>0.10964912280701754</c:v>
                </c:pt>
                <c:pt idx="79">
                  <c:v>0.10964912280701754</c:v>
                </c:pt>
                <c:pt idx="80">
                  <c:v>0.10964912280701754</c:v>
                </c:pt>
                <c:pt idx="81">
                  <c:v>0.10964912280701754</c:v>
                </c:pt>
                <c:pt idx="82">
                  <c:v>0.10964912280701754</c:v>
                </c:pt>
                <c:pt idx="83">
                  <c:v>0.10964912280701754</c:v>
                </c:pt>
                <c:pt idx="84">
                  <c:v>0.10964912280701754</c:v>
                </c:pt>
                <c:pt idx="85">
                  <c:v>0.10964912280701754</c:v>
                </c:pt>
                <c:pt idx="86">
                  <c:v>0.10964912280701754</c:v>
                </c:pt>
                <c:pt idx="87">
                  <c:v>0.10964912280701754</c:v>
                </c:pt>
                <c:pt idx="88">
                  <c:v>0.10964912280701754</c:v>
                </c:pt>
                <c:pt idx="89">
                  <c:v>0.10964912280701754</c:v>
                </c:pt>
                <c:pt idx="90">
                  <c:v>0.10964912280701754</c:v>
                </c:pt>
                <c:pt idx="91">
                  <c:v>0.10964912280701754</c:v>
                </c:pt>
                <c:pt idx="92">
                  <c:v>0.10964912280701754</c:v>
                </c:pt>
                <c:pt idx="93">
                  <c:v>0.10964912280701754</c:v>
                </c:pt>
                <c:pt idx="94">
                  <c:v>0.10964912280701754</c:v>
                </c:pt>
                <c:pt idx="95">
                  <c:v>0.10964912280701754</c:v>
                </c:pt>
                <c:pt idx="96">
                  <c:v>0.10964912280701754</c:v>
                </c:pt>
                <c:pt idx="97">
                  <c:v>0.10964912280701754</c:v>
                </c:pt>
                <c:pt idx="98">
                  <c:v>0.10964912280701754</c:v>
                </c:pt>
                <c:pt idx="99">
                  <c:v>0.10964912280701754</c:v>
                </c:pt>
                <c:pt idx="100">
                  <c:v>0.10964912280701754</c:v>
                </c:pt>
                <c:pt idx="101">
                  <c:v>0.10964912280701754</c:v>
                </c:pt>
                <c:pt idx="102">
                  <c:v>0.10964912280701754</c:v>
                </c:pt>
                <c:pt idx="103">
                  <c:v>0.10964912280701754</c:v>
                </c:pt>
                <c:pt idx="104">
                  <c:v>0.10964912280701754</c:v>
                </c:pt>
                <c:pt idx="105">
                  <c:v>0.10964912280701754</c:v>
                </c:pt>
                <c:pt idx="106">
                  <c:v>0.10964912280701754</c:v>
                </c:pt>
                <c:pt idx="107">
                  <c:v>0.10964912280701754</c:v>
                </c:pt>
                <c:pt idx="108">
                  <c:v>0.10964912280701754</c:v>
                </c:pt>
                <c:pt idx="109">
                  <c:v>0.10964912280701754</c:v>
                </c:pt>
                <c:pt idx="110">
                  <c:v>0.10964912280701754</c:v>
                </c:pt>
                <c:pt idx="111">
                  <c:v>0.10964912280701754</c:v>
                </c:pt>
                <c:pt idx="112">
                  <c:v>0.10964912280701754</c:v>
                </c:pt>
                <c:pt idx="113">
                  <c:v>0.10964912280701754</c:v>
                </c:pt>
                <c:pt idx="114">
                  <c:v>0.10964912280701754</c:v>
                </c:pt>
                <c:pt idx="115">
                  <c:v>0.10964912280701754</c:v>
                </c:pt>
                <c:pt idx="116">
                  <c:v>0.10964912280701754</c:v>
                </c:pt>
                <c:pt idx="117">
                  <c:v>0.10964912280701754</c:v>
                </c:pt>
                <c:pt idx="118">
                  <c:v>0.10964912280701754</c:v>
                </c:pt>
                <c:pt idx="119">
                  <c:v>0.10964912280701754</c:v>
                </c:pt>
                <c:pt idx="120">
                  <c:v>0.10964912280701754</c:v>
                </c:pt>
                <c:pt idx="121">
                  <c:v>0.10964912280701754</c:v>
                </c:pt>
                <c:pt idx="122">
                  <c:v>0.10964912280701754</c:v>
                </c:pt>
                <c:pt idx="123">
                  <c:v>0.10964912280701754</c:v>
                </c:pt>
                <c:pt idx="124">
                  <c:v>0.10964912280701754</c:v>
                </c:pt>
                <c:pt idx="125">
                  <c:v>0.10964912280701754</c:v>
                </c:pt>
                <c:pt idx="126">
                  <c:v>0.10964912280701754</c:v>
                </c:pt>
                <c:pt idx="127">
                  <c:v>0.10964912280701754</c:v>
                </c:pt>
                <c:pt idx="128">
                  <c:v>0.10964912280701754</c:v>
                </c:pt>
                <c:pt idx="129">
                  <c:v>0.10964912280701754</c:v>
                </c:pt>
                <c:pt idx="130">
                  <c:v>0.10964912280701754</c:v>
                </c:pt>
                <c:pt idx="131">
                  <c:v>0.10964912280701754</c:v>
                </c:pt>
                <c:pt idx="132">
                  <c:v>0.10964912280701754</c:v>
                </c:pt>
                <c:pt idx="133">
                  <c:v>0.10964912280701754</c:v>
                </c:pt>
                <c:pt idx="134">
                  <c:v>0.10964912280701754</c:v>
                </c:pt>
                <c:pt idx="135">
                  <c:v>0.10964912280701754</c:v>
                </c:pt>
                <c:pt idx="136">
                  <c:v>0.10964912280701754</c:v>
                </c:pt>
                <c:pt idx="137">
                  <c:v>0.10964912280701754</c:v>
                </c:pt>
                <c:pt idx="138">
                  <c:v>0.10964912280701754</c:v>
                </c:pt>
                <c:pt idx="139">
                  <c:v>0.10964912280701754</c:v>
                </c:pt>
                <c:pt idx="140">
                  <c:v>0.10964912280701754</c:v>
                </c:pt>
                <c:pt idx="141">
                  <c:v>0.10964912280701754</c:v>
                </c:pt>
                <c:pt idx="142">
                  <c:v>0.10964912280701754</c:v>
                </c:pt>
                <c:pt idx="143">
                  <c:v>0.10964912280701754</c:v>
                </c:pt>
                <c:pt idx="144">
                  <c:v>0.10964912280701754</c:v>
                </c:pt>
                <c:pt idx="145">
                  <c:v>0.10964912280701754</c:v>
                </c:pt>
                <c:pt idx="146">
                  <c:v>0.10964912280701754</c:v>
                </c:pt>
                <c:pt idx="147">
                  <c:v>0.10964912280701754</c:v>
                </c:pt>
                <c:pt idx="148">
                  <c:v>0.10964912280701754</c:v>
                </c:pt>
                <c:pt idx="149">
                  <c:v>0.10964912280701754</c:v>
                </c:pt>
                <c:pt idx="150">
                  <c:v>0.10964912280701754</c:v>
                </c:pt>
                <c:pt idx="151">
                  <c:v>0.10964912280701754</c:v>
                </c:pt>
                <c:pt idx="152">
                  <c:v>0.10964912280701754</c:v>
                </c:pt>
                <c:pt idx="153">
                  <c:v>0.10964912280701754</c:v>
                </c:pt>
                <c:pt idx="154">
                  <c:v>0.10964912280701754</c:v>
                </c:pt>
                <c:pt idx="155">
                  <c:v>0.10964912280701754</c:v>
                </c:pt>
                <c:pt idx="156">
                  <c:v>0.10964912280701754</c:v>
                </c:pt>
                <c:pt idx="157">
                  <c:v>0.10964912280701754</c:v>
                </c:pt>
                <c:pt idx="158">
                  <c:v>0.10964912280701754</c:v>
                </c:pt>
                <c:pt idx="159">
                  <c:v>0.10964912280701754</c:v>
                </c:pt>
                <c:pt idx="160">
                  <c:v>0.10964912280701754</c:v>
                </c:pt>
                <c:pt idx="161">
                  <c:v>0.10964912280701754</c:v>
                </c:pt>
                <c:pt idx="162">
                  <c:v>0.10964912280701754</c:v>
                </c:pt>
                <c:pt idx="163">
                  <c:v>0.10964912280701754</c:v>
                </c:pt>
                <c:pt idx="164">
                  <c:v>0.10964912280701754</c:v>
                </c:pt>
                <c:pt idx="165">
                  <c:v>0.10964912280701754</c:v>
                </c:pt>
                <c:pt idx="166">
                  <c:v>0.10964912280701754</c:v>
                </c:pt>
                <c:pt idx="167">
                  <c:v>0.10964912280701754</c:v>
                </c:pt>
                <c:pt idx="168">
                  <c:v>0.10964912280701754</c:v>
                </c:pt>
                <c:pt idx="169">
                  <c:v>0.10964912280701754</c:v>
                </c:pt>
                <c:pt idx="170">
                  <c:v>0.10964912280701754</c:v>
                </c:pt>
                <c:pt idx="171">
                  <c:v>0.10964912280701754</c:v>
                </c:pt>
                <c:pt idx="172">
                  <c:v>0.10964912280701754</c:v>
                </c:pt>
                <c:pt idx="173">
                  <c:v>0.10964912280701754</c:v>
                </c:pt>
                <c:pt idx="174">
                  <c:v>0.10964912280701754</c:v>
                </c:pt>
                <c:pt idx="175">
                  <c:v>0.10964912280701754</c:v>
                </c:pt>
                <c:pt idx="176">
                  <c:v>0.10964912280701754</c:v>
                </c:pt>
                <c:pt idx="177">
                  <c:v>0.10964912280701754</c:v>
                </c:pt>
                <c:pt idx="178">
                  <c:v>0.10964912280701754</c:v>
                </c:pt>
                <c:pt idx="179">
                  <c:v>0.10964912280701754</c:v>
                </c:pt>
                <c:pt idx="180">
                  <c:v>0.10964912280701754</c:v>
                </c:pt>
                <c:pt idx="181">
                  <c:v>0.10964912280701754</c:v>
                </c:pt>
                <c:pt idx="182">
                  <c:v>0.10964912280701754</c:v>
                </c:pt>
                <c:pt idx="183">
                  <c:v>0.10964912280701754</c:v>
                </c:pt>
                <c:pt idx="184">
                  <c:v>0.10964912280701754</c:v>
                </c:pt>
                <c:pt idx="185">
                  <c:v>0.10964912280701754</c:v>
                </c:pt>
                <c:pt idx="186">
                  <c:v>0.10964912280701754</c:v>
                </c:pt>
                <c:pt idx="187">
                  <c:v>0.10964912280701754</c:v>
                </c:pt>
                <c:pt idx="188">
                  <c:v>0.10964912280701754</c:v>
                </c:pt>
                <c:pt idx="189">
                  <c:v>0.10964912280701754</c:v>
                </c:pt>
                <c:pt idx="190">
                  <c:v>0.10964912280701754</c:v>
                </c:pt>
                <c:pt idx="191">
                  <c:v>0.10964912280701754</c:v>
                </c:pt>
                <c:pt idx="192">
                  <c:v>0.10964912280701754</c:v>
                </c:pt>
                <c:pt idx="193">
                  <c:v>0.10964912280701754</c:v>
                </c:pt>
                <c:pt idx="194">
                  <c:v>0.10964912280701754</c:v>
                </c:pt>
                <c:pt idx="195">
                  <c:v>0.10964912280701754</c:v>
                </c:pt>
                <c:pt idx="196">
                  <c:v>0.10964912280701754</c:v>
                </c:pt>
                <c:pt idx="197">
                  <c:v>0.10964912280701754</c:v>
                </c:pt>
                <c:pt idx="198">
                  <c:v>0.10964912280701754</c:v>
                </c:pt>
                <c:pt idx="199">
                  <c:v>0.10964912280701754</c:v>
                </c:pt>
                <c:pt idx="200">
                  <c:v>0.10964912280701754</c:v>
                </c:pt>
                <c:pt idx="201">
                  <c:v>0.10964912280701754</c:v>
                </c:pt>
                <c:pt idx="202">
                  <c:v>0.10964912280701754</c:v>
                </c:pt>
                <c:pt idx="203">
                  <c:v>0.10964912280701754</c:v>
                </c:pt>
                <c:pt idx="204">
                  <c:v>0.10964912280701754</c:v>
                </c:pt>
                <c:pt idx="205">
                  <c:v>0.10964912280701754</c:v>
                </c:pt>
                <c:pt idx="206">
                  <c:v>0.10964912280701754</c:v>
                </c:pt>
                <c:pt idx="207">
                  <c:v>0.10964912280701754</c:v>
                </c:pt>
                <c:pt idx="208">
                  <c:v>0.10964912280701754</c:v>
                </c:pt>
                <c:pt idx="209">
                  <c:v>0.10964912280701754</c:v>
                </c:pt>
                <c:pt idx="210">
                  <c:v>0.10964912280701754</c:v>
                </c:pt>
                <c:pt idx="211">
                  <c:v>0.10964912280701754</c:v>
                </c:pt>
                <c:pt idx="212">
                  <c:v>0.10964912280701754</c:v>
                </c:pt>
                <c:pt idx="213">
                  <c:v>0.10964912280701754</c:v>
                </c:pt>
                <c:pt idx="214">
                  <c:v>0.10964912280701754</c:v>
                </c:pt>
                <c:pt idx="215">
                  <c:v>0.10964912280701754</c:v>
                </c:pt>
                <c:pt idx="216">
                  <c:v>0.10964912280701754</c:v>
                </c:pt>
                <c:pt idx="217">
                  <c:v>0.10964912280701754</c:v>
                </c:pt>
                <c:pt idx="218">
                  <c:v>0.10964912280701754</c:v>
                </c:pt>
                <c:pt idx="219">
                  <c:v>0.10964912280701754</c:v>
                </c:pt>
                <c:pt idx="220">
                  <c:v>0.10964912280701754</c:v>
                </c:pt>
                <c:pt idx="221">
                  <c:v>0.10964912280701754</c:v>
                </c:pt>
                <c:pt idx="222">
                  <c:v>0.10964912280701754</c:v>
                </c:pt>
                <c:pt idx="223">
                  <c:v>0.10964912280701754</c:v>
                </c:pt>
                <c:pt idx="224">
                  <c:v>0.10964912280701754</c:v>
                </c:pt>
                <c:pt idx="225">
                  <c:v>0.10964912280701754</c:v>
                </c:pt>
                <c:pt idx="226">
                  <c:v>0.10964912280701754</c:v>
                </c:pt>
                <c:pt idx="227">
                  <c:v>0.10964912280701754</c:v>
                </c:pt>
                <c:pt idx="228">
                  <c:v>0.10964912280701754</c:v>
                </c:pt>
                <c:pt idx="229">
                  <c:v>0.10964912280701754</c:v>
                </c:pt>
                <c:pt idx="230">
                  <c:v>0.10964912280701754</c:v>
                </c:pt>
                <c:pt idx="231">
                  <c:v>0.10964912280701754</c:v>
                </c:pt>
                <c:pt idx="232">
                  <c:v>0.10964912280701754</c:v>
                </c:pt>
                <c:pt idx="233">
                  <c:v>0.10964912280701754</c:v>
                </c:pt>
                <c:pt idx="234">
                  <c:v>0.10964912280701754</c:v>
                </c:pt>
                <c:pt idx="235">
                  <c:v>0.10964912280701754</c:v>
                </c:pt>
                <c:pt idx="236">
                  <c:v>0.10964912280701754</c:v>
                </c:pt>
                <c:pt idx="237">
                  <c:v>0.10964912280701754</c:v>
                </c:pt>
                <c:pt idx="238">
                  <c:v>0.10964912280701754</c:v>
                </c:pt>
                <c:pt idx="239">
                  <c:v>0.10964912280701754</c:v>
                </c:pt>
                <c:pt idx="240">
                  <c:v>0.10964912280701754</c:v>
                </c:pt>
                <c:pt idx="241">
                  <c:v>0.10964912280701754</c:v>
                </c:pt>
                <c:pt idx="242">
                  <c:v>0.10964912280701754</c:v>
                </c:pt>
                <c:pt idx="243">
                  <c:v>0.10964912280701754</c:v>
                </c:pt>
                <c:pt idx="244">
                  <c:v>0.10964912280701754</c:v>
                </c:pt>
                <c:pt idx="245">
                  <c:v>0.10964912280701754</c:v>
                </c:pt>
                <c:pt idx="246">
                  <c:v>0.10964912280701754</c:v>
                </c:pt>
                <c:pt idx="247">
                  <c:v>0.10964912280701754</c:v>
                </c:pt>
                <c:pt idx="248">
                  <c:v>0.10964912280701754</c:v>
                </c:pt>
                <c:pt idx="249">
                  <c:v>0.10964912280701754</c:v>
                </c:pt>
                <c:pt idx="250">
                  <c:v>0.10964912280701754</c:v>
                </c:pt>
                <c:pt idx="251">
                  <c:v>0.10964912280701754</c:v>
                </c:pt>
                <c:pt idx="252">
                  <c:v>0.10964912280701754</c:v>
                </c:pt>
                <c:pt idx="253">
                  <c:v>0.10964912280701754</c:v>
                </c:pt>
                <c:pt idx="254">
                  <c:v>0.10964912280701754</c:v>
                </c:pt>
                <c:pt idx="255">
                  <c:v>0.10964912280701754</c:v>
                </c:pt>
                <c:pt idx="256">
                  <c:v>0.10964912280701754</c:v>
                </c:pt>
                <c:pt idx="257">
                  <c:v>0.10964912280701754</c:v>
                </c:pt>
                <c:pt idx="258">
                  <c:v>0.10964912280701754</c:v>
                </c:pt>
                <c:pt idx="259">
                  <c:v>0.10964912280701754</c:v>
                </c:pt>
                <c:pt idx="260">
                  <c:v>0.10964912280701754</c:v>
                </c:pt>
                <c:pt idx="261">
                  <c:v>0.10964912280701754</c:v>
                </c:pt>
                <c:pt idx="262">
                  <c:v>0.10964912280701754</c:v>
                </c:pt>
                <c:pt idx="263">
                  <c:v>0.10964912280701754</c:v>
                </c:pt>
                <c:pt idx="264">
                  <c:v>0.10964912280701754</c:v>
                </c:pt>
                <c:pt idx="265">
                  <c:v>0.10964912280701754</c:v>
                </c:pt>
                <c:pt idx="266">
                  <c:v>0.10964912280701754</c:v>
                </c:pt>
                <c:pt idx="267">
                  <c:v>0.10964912280701754</c:v>
                </c:pt>
                <c:pt idx="268">
                  <c:v>0.10964912280701754</c:v>
                </c:pt>
                <c:pt idx="269">
                  <c:v>0.10964912280701754</c:v>
                </c:pt>
                <c:pt idx="270">
                  <c:v>0.10964912280701754</c:v>
                </c:pt>
                <c:pt idx="271">
                  <c:v>0.10964912280701754</c:v>
                </c:pt>
                <c:pt idx="272">
                  <c:v>0.10964912280701754</c:v>
                </c:pt>
                <c:pt idx="273">
                  <c:v>0.10964912280701754</c:v>
                </c:pt>
                <c:pt idx="274">
                  <c:v>0.10964912280701754</c:v>
                </c:pt>
                <c:pt idx="275">
                  <c:v>0.10964912280701754</c:v>
                </c:pt>
                <c:pt idx="276">
                  <c:v>0.10964912280701754</c:v>
                </c:pt>
                <c:pt idx="277">
                  <c:v>0.10964912280701754</c:v>
                </c:pt>
                <c:pt idx="278">
                  <c:v>0.10964912280701754</c:v>
                </c:pt>
                <c:pt idx="279">
                  <c:v>0.10964912280701754</c:v>
                </c:pt>
                <c:pt idx="280">
                  <c:v>0.10964912280701754</c:v>
                </c:pt>
                <c:pt idx="281">
                  <c:v>0.10964912280701754</c:v>
                </c:pt>
                <c:pt idx="282">
                  <c:v>0.10964912280701754</c:v>
                </c:pt>
                <c:pt idx="283">
                  <c:v>0.10964912280701754</c:v>
                </c:pt>
                <c:pt idx="284">
                  <c:v>0.10964912280701754</c:v>
                </c:pt>
                <c:pt idx="285">
                  <c:v>0.10964912280701754</c:v>
                </c:pt>
                <c:pt idx="286">
                  <c:v>0.10964912280701754</c:v>
                </c:pt>
                <c:pt idx="287">
                  <c:v>0.10964912280701754</c:v>
                </c:pt>
                <c:pt idx="288">
                  <c:v>0.10964912280701754</c:v>
                </c:pt>
                <c:pt idx="289">
                  <c:v>0.10964912280701754</c:v>
                </c:pt>
                <c:pt idx="290">
                  <c:v>0.10964912280701754</c:v>
                </c:pt>
                <c:pt idx="291">
                  <c:v>0.10964912280701754</c:v>
                </c:pt>
                <c:pt idx="292">
                  <c:v>0.10964912280701754</c:v>
                </c:pt>
                <c:pt idx="293">
                  <c:v>0.10964912280701754</c:v>
                </c:pt>
                <c:pt idx="294">
                  <c:v>0.10964912280701754</c:v>
                </c:pt>
                <c:pt idx="295">
                  <c:v>0.10964912280701754</c:v>
                </c:pt>
                <c:pt idx="296">
                  <c:v>0.10964912280701754</c:v>
                </c:pt>
                <c:pt idx="297">
                  <c:v>0.10964912280701754</c:v>
                </c:pt>
                <c:pt idx="298">
                  <c:v>0.10964912280701754</c:v>
                </c:pt>
                <c:pt idx="299">
                  <c:v>0.10964912280701754</c:v>
                </c:pt>
                <c:pt idx="300">
                  <c:v>0.10964912280701754</c:v>
                </c:pt>
                <c:pt idx="301">
                  <c:v>0.10964912280701754</c:v>
                </c:pt>
                <c:pt idx="302">
                  <c:v>0.10964912280701754</c:v>
                </c:pt>
                <c:pt idx="303">
                  <c:v>0.10964912280701754</c:v>
                </c:pt>
                <c:pt idx="304">
                  <c:v>0.10964912280701754</c:v>
                </c:pt>
                <c:pt idx="305">
                  <c:v>0.10964912280701754</c:v>
                </c:pt>
                <c:pt idx="306">
                  <c:v>0.10964912280701754</c:v>
                </c:pt>
                <c:pt idx="307">
                  <c:v>0.10964912280701754</c:v>
                </c:pt>
                <c:pt idx="308">
                  <c:v>0.10964912280701754</c:v>
                </c:pt>
                <c:pt idx="309">
                  <c:v>0.10964912280701754</c:v>
                </c:pt>
                <c:pt idx="310">
                  <c:v>0.10964912280701754</c:v>
                </c:pt>
                <c:pt idx="311">
                  <c:v>0.10964912280701754</c:v>
                </c:pt>
                <c:pt idx="312">
                  <c:v>0.10964912280701754</c:v>
                </c:pt>
                <c:pt idx="313">
                  <c:v>0.10964912280701754</c:v>
                </c:pt>
                <c:pt idx="314">
                  <c:v>0.10964912280701754</c:v>
                </c:pt>
                <c:pt idx="315">
                  <c:v>0.10964912280701754</c:v>
                </c:pt>
                <c:pt idx="316">
                  <c:v>0.10964912280701754</c:v>
                </c:pt>
                <c:pt idx="317">
                  <c:v>0.10964912280701754</c:v>
                </c:pt>
                <c:pt idx="318">
                  <c:v>0.10964912280701754</c:v>
                </c:pt>
                <c:pt idx="319">
                  <c:v>0.10964912280701754</c:v>
                </c:pt>
                <c:pt idx="320">
                  <c:v>0.10964912280701754</c:v>
                </c:pt>
                <c:pt idx="321">
                  <c:v>0.10964912280701754</c:v>
                </c:pt>
                <c:pt idx="322">
                  <c:v>0.10964912280701754</c:v>
                </c:pt>
                <c:pt idx="323">
                  <c:v>0.10964912280701754</c:v>
                </c:pt>
                <c:pt idx="324">
                  <c:v>0.10964912280701754</c:v>
                </c:pt>
                <c:pt idx="325">
                  <c:v>0.10964912280701754</c:v>
                </c:pt>
                <c:pt idx="326">
                  <c:v>0.10964912280701754</c:v>
                </c:pt>
                <c:pt idx="327">
                  <c:v>0.10964912280701754</c:v>
                </c:pt>
                <c:pt idx="328">
                  <c:v>0.10964912280701754</c:v>
                </c:pt>
                <c:pt idx="329">
                  <c:v>0.10964912280701754</c:v>
                </c:pt>
                <c:pt idx="330">
                  <c:v>0.10964912280701754</c:v>
                </c:pt>
                <c:pt idx="331">
                  <c:v>0.10964912280701754</c:v>
                </c:pt>
                <c:pt idx="332">
                  <c:v>0.10964912280701754</c:v>
                </c:pt>
                <c:pt idx="333">
                  <c:v>0.10964912280701754</c:v>
                </c:pt>
                <c:pt idx="334">
                  <c:v>0.10964912280701754</c:v>
                </c:pt>
                <c:pt idx="335">
                  <c:v>0.10964912280701754</c:v>
                </c:pt>
                <c:pt idx="336">
                  <c:v>0.10964912280701754</c:v>
                </c:pt>
                <c:pt idx="337">
                  <c:v>0.10964912280701754</c:v>
                </c:pt>
                <c:pt idx="338">
                  <c:v>0.10964912280701754</c:v>
                </c:pt>
                <c:pt idx="339">
                  <c:v>0.10964912280701754</c:v>
                </c:pt>
                <c:pt idx="340">
                  <c:v>0.10964912280701754</c:v>
                </c:pt>
                <c:pt idx="341">
                  <c:v>0.10964912280701754</c:v>
                </c:pt>
                <c:pt idx="342">
                  <c:v>0.10964912280701754</c:v>
                </c:pt>
                <c:pt idx="343">
                  <c:v>0.10964912280701754</c:v>
                </c:pt>
                <c:pt idx="344">
                  <c:v>0.10964912280701754</c:v>
                </c:pt>
                <c:pt idx="345">
                  <c:v>0.10964912280701754</c:v>
                </c:pt>
                <c:pt idx="346">
                  <c:v>0.10964912280701754</c:v>
                </c:pt>
                <c:pt idx="347">
                  <c:v>0.10964912280701754</c:v>
                </c:pt>
                <c:pt idx="348">
                  <c:v>0.10964912280701754</c:v>
                </c:pt>
                <c:pt idx="349">
                  <c:v>0.10964912280701754</c:v>
                </c:pt>
                <c:pt idx="350">
                  <c:v>0.10964912280701754</c:v>
                </c:pt>
                <c:pt idx="351">
                  <c:v>0.10964912280701754</c:v>
                </c:pt>
                <c:pt idx="352">
                  <c:v>0.10964912280701754</c:v>
                </c:pt>
                <c:pt idx="353">
                  <c:v>0.10964912280701754</c:v>
                </c:pt>
                <c:pt idx="354">
                  <c:v>0.10964912280701754</c:v>
                </c:pt>
                <c:pt idx="355">
                  <c:v>0.10964912280701754</c:v>
                </c:pt>
                <c:pt idx="356">
                  <c:v>0.10964912280701754</c:v>
                </c:pt>
                <c:pt idx="357">
                  <c:v>0.10964912280701754</c:v>
                </c:pt>
                <c:pt idx="358">
                  <c:v>0.10964912280701754</c:v>
                </c:pt>
                <c:pt idx="359">
                  <c:v>0.10964912280701754</c:v>
                </c:pt>
                <c:pt idx="360">
                  <c:v>0.10964912280701754</c:v>
                </c:pt>
                <c:pt idx="361">
                  <c:v>0.10964912280701754</c:v>
                </c:pt>
                <c:pt idx="362">
                  <c:v>0.10964912280701754</c:v>
                </c:pt>
                <c:pt idx="363">
                  <c:v>0.10964912280701754</c:v>
                </c:pt>
                <c:pt idx="364">
                  <c:v>0.10964912280701754</c:v>
                </c:pt>
                <c:pt idx="365">
                  <c:v>0.10964912280701754</c:v>
                </c:pt>
                <c:pt idx="366">
                  <c:v>0.10964912280701754</c:v>
                </c:pt>
                <c:pt idx="367">
                  <c:v>0.10964912280701754</c:v>
                </c:pt>
                <c:pt idx="368">
                  <c:v>0.10964912280701754</c:v>
                </c:pt>
                <c:pt idx="369">
                  <c:v>0.10964912280701754</c:v>
                </c:pt>
                <c:pt idx="370">
                  <c:v>0.10964912280701754</c:v>
                </c:pt>
                <c:pt idx="371">
                  <c:v>0.10964912280701754</c:v>
                </c:pt>
                <c:pt idx="372">
                  <c:v>0.10964912280701754</c:v>
                </c:pt>
                <c:pt idx="373">
                  <c:v>0.10964912280701754</c:v>
                </c:pt>
                <c:pt idx="374">
                  <c:v>0.10964912280701754</c:v>
                </c:pt>
                <c:pt idx="375">
                  <c:v>0.10964912280701754</c:v>
                </c:pt>
                <c:pt idx="376">
                  <c:v>0.10964912280701754</c:v>
                </c:pt>
                <c:pt idx="377">
                  <c:v>0.10964912280701754</c:v>
                </c:pt>
                <c:pt idx="378">
                  <c:v>0.10964912280701754</c:v>
                </c:pt>
                <c:pt idx="379">
                  <c:v>0.10964912280701754</c:v>
                </c:pt>
                <c:pt idx="380">
                  <c:v>0.10964912280701754</c:v>
                </c:pt>
                <c:pt idx="381">
                  <c:v>0.10964912280701754</c:v>
                </c:pt>
                <c:pt idx="382">
                  <c:v>0.10964912280701754</c:v>
                </c:pt>
                <c:pt idx="383">
                  <c:v>0.10964912280701754</c:v>
                </c:pt>
                <c:pt idx="384">
                  <c:v>0.10964912280701754</c:v>
                </c:pt>
                <c:pt idx="385">
                  <c:v>0.10964912280701754</c:v>
                </c:pt>
                <c:pt idx="386">
                  <c:v>0.10964912280701754</c:v>
                </c:pt>
                <c:pt idx="387">
                  <c:v>0.10964912280701754</c:v>
                </c:pt>
                <c:pt idx="388">
                  <c:v>0.10964912280701754</c:v>
                </c:pt>
                <c:pt idx="389">
                  <c:v>0.10964912280701754</c:v>
                </c:pt>
                <c:pt idx="390">
                  <c:v>0.10964912280701754</c:v>
                </c:pt>
                <c:pt idx="391">
                  <c:v>0.10964912280701754</c:v>
                </c:pt>
                <c:pt idx="392">
                  <c:v>0.10964912280701754</c:v>
                </c:pt>
                <c:pt idx="393">
                  <c:v>0.10964912280701754</c:v>
                </c:pt>
                <c:pt idx="394">
                  <c:v>0.10964912280701754</c:v>
                </c:pt>
                <c:pt idx="395">
                  <c:v>0.10964912280701754</c:v>
                </c:pt>
                <c:pt idx="396">
                  <c:v>0.10964912280701754</c:v>
                </c:pt>
                <c:pt idx="397">
                  <c:v>0.10964912280701754</c:v>
                </c:pt>
                <c:pt idx="398">
                  <c:v>0.10964912280701754</c:v>
                </c:pt>
                <c:pt idx="399">
                  <c:v>0.10964912280701754</c:v>
                </c:pt>
                <c:pt idx="400">
                  <c:v>0.10964912280701754</c:v>
                </c:pt>
                <c:pt idx="401">
                  <c:v>0.10964912280701754</c:v>
                </c:pt>
                <c:pt idx="402">
                  <c:v>0.10964912280701754</c:v>
                </c:pt>
                <c:pt idx="403">
                  <c:v>0.10964912280701754</c:v>
                </c:pt>
                <c:pt idx="404">
                  <c:v>0.10964912280701754</c:v>
                </c:pt>
                <c:pt idx="405">
                  <c:v>0.10964912280701754</c:v>
                </c:pt>
                <c:pt idx="406">
                  <c:v>0.10964912280701754</c:v>
                </c:pt>
                <c:pt idx="407">
                  <c:v>0.10964912280701754</c:v>
                </c:pt>
                <c:pt idx="408">
                  <c:v>0.10964912280701754</c:v>
                </c:pt>
                <c:pt idx="409">
                  <c:v>0.10964912280701754</c:v>
                </c:pt>
                <c:pt idx="410">
                  <c:v>0.10964912280701754</c:v>
                </c:pt>
                <c:pt idx="411">
                  <c:v>0.10964912280701754</c:v>
                </c:pt>
                <c:pt idx="412">
                  <c:v>0.10964912280701754</c:v>
                </c:pt>
                <c:pt idx="413">
                  <c:v>0.10964912280701754</c:v>
                </c:pt>
                <c:pt idx="414">
                  <c:v>0.10964912280701754</c:v>
                </c:pt>
                <c:pt idx="415">
                  <c:v>0.10964912280701754</c:v>
                </c:pt>
                <c:pt idx="416">
                  <c:v>0.10964912280701754</c:v>
                </c:pt>
                <c:pt idx="417">
                  <c:v>0.10964912280701754</c:v>
                </c:pt>
                <c:pt idx="418">
                  <c:v>0.10964912280701754</c:v>
                </c:pt>
                <c:pt idx="419">
                  <c:v>0.10964912280701754</c:v>
                </c:pt>
                <c:pt idx="420">
                  <c:v>0.10964912280701754</c:v>
                </c:pt>
                <c:pt idx="421">
                  <c:v>0.10964912280701754</c:v>
                </c:pt>
                <c:pt idx="422">
                  <c:v>0.10964912280701754</c:v>
                </c:pt>
                <c:pt idx="423">
                  <c:v>0.10964912280701754</c:v>
                </c:pt>
                <c:pt idx="424">
                  <c:v>0.10964912280701754</c:v>
                </c:pt>
                <c:pt idx="425">
                  <c:v>0.10964912280701754</c:v>
                </c:pt>
                <c:pt idx="426">
                  <c:v>0.10964912280701754</c:v>
                </c:pt>
                <c:pt idx="427">
                  <c:v>0.10964912280701754</c:v>
                </c:pt>
                <c:pt idx="428">
                  <c:v>0.10964912280701754</c:v>
                </c:pt>
                <c:pt idx="429">
                  <c:v>0.10964912280701754</c:v>
                </c:pt>
                <c:pt idx="430">
                  <c:v>0.10964912280701754</c:v>
                </c:pt>
                <c:pt idx="431">
                  <c:v>0.10964912280701754</c:v>
                </c:pt>
                <c:pt idx="432">
                  <c:v>0.10964912280701754</c:v>
                </c:pt>
                <c:pt idx="433">
                  <c:v>0.10964912280701754</c:v>
                </c:pt>
                <c:pt idx="434">
                  <c:v>0.10964912280701754</c:v>
                </c:pt>
                <c:pt idx="435">
                  <c:v>0.10964912280701754</c:v>
                </c:pt>
                <c:pt idx="436">
                  <c:v>0.10964912280701754</c:v>
                </c:pt>
                <c:pt idx="437">
                  <c:v>0.10964912280701754</c:v>
                </c:pt>
                <c:pt idx="438">
                  <c:v>0.10964912280701754</c:v>
                </c:pt>
                <c:pt idx="439">
                  <c:v>0.10964912280701754</c:v>
                </c:pt>
                <c:pt idx="440">
                  <c:v>0.10964912280701754</c:v>
                </c:pt>
                <c:pt idx="441">
                  <c:v>0.10964912280701754</c:v>
                </c:pt>
                <c:pt idx="442">
                  <c:v>0.10964912280701754</c:v>
                </c:pt>
                <c:pt idx="443">
                  <c:v>0.10964912280701754</c:v>
                </c:pt>
                <c:pt idx="444">
                  <c:v>0.10964912280701754</c:v>
                </c:pt>
                <c:pt idx="445">
                  <c:v>0.10964912280701754</c:v>
                </c:pt>
                <c:pt idx="446">
                  <c:v>0.10964912280701754</c:v>
                </c:pt>
                <c:pt idx="447">
                  <c:v>0.10964912280701754</c:v>
                </c:pt>
                <c:pt idx="448">
                  <c:v>0.10964912280701754</c:v>
                </c:pt>
                <c:pt idx="449">
                  <c:v>0.10964912280701754</c:v>
                </c:pt>
                <c:pt idx="450">
                  <c:v>0.10964912280701754</c:v>
                </c:pt>
                <c:pt idx="451">
                  <c:v>0.10964912280701754</c:v>
                </c:pt>
                <c:pt idx="452">
                  <c:v>0.10964912280701754</c:v>
                </c:pt>
                <c:pt idx="453">
                  <c:v>0.10964912280701754</c:v>
                </c:pt>
                <c:pt idx="454">
                  <c:v>0.10964912280701754</c:v>
                </c:pt>
                <c:pt idx="455">
                  <c:v>0.10964912280701754</c:v>
                </c:pt>
                <c:pt idx="456">
                  <c:v>0.10964912280701754</c:v>
                </c:pt>
                <c:pt idx="457">
                  <c:v>0.10964912280701754</c:v>
                </c:pt>
                <c:pt idx="458">
                  <c:v>0.10964912280701754</c:v>
                </c:pt>
                <c:pt idx="459">
                  <c:v>0.10964912280701754</c:v>
                </c:pt>
                <c:pt idx="460">
                  <c:v>0.10964912280701754</c:v>
                </c:pt>
                <c:pt idx="461">
                  <c:v>0.10964912280701754</c:v>
                </c:pt>
                <c:pt idx="462">
                  <c:v>0.10964912280701754</c:v>
                </c:pt>
                <c:pt idx="463">
                  <c:v>0.10964912280701754</c:v>
                </c:pt>
                <c:pt idx="464">
                  <c:v>0.10964912280701754</c:v>
                </c:pt>
                <c:pt idx="465">
                  <c:v>0.10964912280701754</c:v>
                </c:pt>
                <c:pt idx="466">
                  <c:v>0.10964912280701754</c:v>
                </c:pt>
                <c:pt idx="467">
                  <c:v>0.10964912280701754</c:v>
                </c:pt>
                <c:pt idx="468">
                  <c:v>0.10964912280701754</c:v>
                </c:pt>
                <c:pt idx="469">
                  <c:v>0.10964912280701754</c:v>
                </c:pt>
                <c:pt idx="470">
                  <c:v>0.10964912280701754</c:v>
                </c:pt>
                <c:pt idx="471">
                  <c:v>0.10964912280701754</c:v>
                </c:pt>
                <c:pt idx="472">
                  <c:v>0.10964912280701754</c:v>
                </c:pt>
                <c:pt idx="473">
                  <c:v>0.10964912280701754</c:v>
                </c:pt>
                <c:pt idx="474">
                  <c:v>0.10964912280701754</c:v>
                </c:pt>
                <c:pt idx="475">
                  <c:v>0.10964912280701754</c:v>
                </c:pt>
                <c:pt idx="476">
                  <c:v>0.10964912280701754</c:v>
                </c:pt>
                <c:pt idx="477">
                  <c:v>0.10964912280701754</c:v>
                </c:pt>
                <c:pt idx="478">
                  <c:v>0.10964912280701754</c:v>
                </c:pt>
                <c:pt idx="479">
                  <c:v>0.10964912280701754</c:v>
                </c:pt>
                <c:pt idx="480">
                  <c:v>0.10964912280701754</c:v>
                </c:pt>
                <c:pt idx="481">
                  <c:v>0.10964912280701754</c:v>
                </c:pt>
                <c:pt idx="482">
                  <c:v>0.10964912280701754</c:v>
                </c:pt>
                <c:pt idx="483">
                  <c:v>0.10964912280701754</c:v>
                </c:pt>
                <c:pt idx="484">
                  <c:v>0.10964912280701754</c:v>
                </c:pt>
                <c:pt idx="485">
                  <c:v>0.10964912280701754</c:v>
                </c:pt>
                <c:pt idx="486">
                  <c:v>0.10964912280701754</c:v>
                </c:pt>
                <c:pt idx="487">
                  <c:v>0.10964912280701754</c:v>
                </c:pt>
                <c:pt idx="488">
                  <c:v>0.10964912280701754</c:v>
                </c:pt>
                <c:pt idx="489">
                  <c:v>0.10964912280701754</c:v>
                </c:pt>
                <c:pt idx="490">
                  <c:v>0.10964912280701754</c:v>
                </c:pt>
                <c:pt idx="491">
                  <c:v>0.10964912280701754</c:v>
                </c:pt>
                <c:pt idx="492">
                  <c:v>0.10964912280701754</c:v>
                </c:pt>
                <c:pt idx="493">
                  <c:v>0.10964912280701754</c:v>
                </c:pt>
                <c:pt idx="494">
                  <c:v>0.10964912280701754</c:v>
                </c:pt>
                <c:pt idx="495">
                  <c:v>0.10964912280701754</c:v>
                </c:pt>
                <c:pt idx="496">
                  <c:v>0.10964912280701754</c:v>
                </c:pt>
                <c:pt idx="497">
                  <c:v>0.10964912280701754</c:v>
                </c:pt>
                <c:pt idx="498">
                  <c:v>0.10964912280701754</c:v>
                </c:pt>
                <c:pt idx="499">
                  <c:v>0.10964912280701754</c:v>
                </c:pt>
                <c:pt idx="500">
                  <c:v>0.10964912280701754</c:v>
                </c:pt>
                <c:pt idx="501">
                  <c:v>0.10964912280701754</c:v>
                </c:pt>
                <c:pt idx="502">
                  <c:v>0.10964912280701754</c:v>
                </c:pt>
                <c:pt idx="503">
                  <c:v>0.10964912280701754</c:v>
                </c:pt>
                <c:pt idx="504">
                  <c:v>0.10964912280701754</c:v>
                </c:pt>
                <c:pt idx="505">
                  <c:v>0.10964912280701754</c:v>
                </c:pt>
                <c:pt idx="506">
                  <c:v>0.10964912280701754</c:v>
                </c:pt>
                <c:pt idx="507">
                  <c:v>0.10964912280701754</c:v>
                </c:pt>
                <c:pt idx="508">
                  <c:v>0.10964912280701754</c:v>
                </c:pt>
                <c:pt idx="509">
                  <c:v>0.10964912280701754</c:v>
                </c:pt>
                <c:pt idx="510">
                  <c:v>0.10964912280701754</c:v>
                </c:pt>
                <c:pt idx="511">
                  <c:v>0.10964912280701754</c:v>
                </c:pt>
                <c:pt idx="512">
                  <c:v>0.10964912280701754</c:v>
                </c:pt>
                <c:pt idx="513">
                  <c:v>0.10964912280701754</c:v>
                </c:pt>
                <c:pt idx="514">
                  <c:v>0.10964912280701754</c:v>
                </c:pt>
                <c:pt idx="515">
                  <c:v>0.10964912280701754</c:v>
                </c:pt>
                <c:pt idx="516">
                  <c:v>0.10964912280701754</c:v>
                </c:pt>
                <c:pt idx="517">
                  <c:v>0.10964912280701754</c:v>
                </c:pt>
                <c:pt idx="518">
                  <c:v>0.10964912280701754</c:v>
                </c:pt>
                <c:pt idx="519">
                  <c:v>0.10964912280701754</c:v>
                </c:pt>
                <c:pt idx="520">
                  <c:v>0.10964912280701754</c:v>
                </c:pt>
                <c:pt idx="521">
                  <c:v>0.10964912280701754</c:v>
                </c:pt>
                <c:pt idx="522">
                  <c:v>0.10964912280701754</c:v>
                </c:pt>
                <c:pt idx="523">
                  <c:v>0.10964912280701754</c:v>
                </c:pt>
                <c:pt idx="524">
                  <c:v>0.10964912280701754</c:v>
                </c:pt>
                <c:pt idx="525">
                  <c:v>0.10964912280701754</c:v>
                </c:pt>
                <c:pt idx="526">
                  <c:v>0.10964912280701754</c:v>
                </c:pt>
                <c:pt idx="527">
                  <c:v>0.10964912280701754</c:v>
                </c:pt>
                <c:pt idx="528">
                  <c:v>0.10964912280701754</c:v>
                </c:pt>
                <c:pt idx="529">
                  <c:v>0.10964912280701754</c:v>
                </c:pt>
                <c:pt idx="530">
                  <c:v>0.10964912280701754</c:v>
                </c:pt>
                <c:pt idx="531">
                  <c:v>0.10964912280701754</c:v>
                </c:pt>
                <c:pt idx="532">
                  <c:v>0.10964912280701754</c:v>
                </c:pt>
                <c:pt idx="533">
                  <c:v>0.10964912280701754</c:v>
                </c:pt>
                <c:pt idx="534">
                  <c:v>0.10964912280701754</c:v>
                </c:pt>
                <c:pt idx="535">
                  <c:v>0.10964912280701754</c:v>
                </c:pt>
                <c:pt idx="536">
                  <c:v>0.10964912280701754</c:v>
                </c:pt>
                <c:pt idx="537">
                  <c:v>0.10964912280701754</c:v>
                </c:pt>
                <c:pt idx="538">
                  <c:v>0.10964912280701754</c:v>
                </c:pt>
                <c:pt idx="539">
                  <c:v>0.10964912280701754</c:v>
                </c:pt>
                <c:pt idx="540">
                  <c:v>0.10964912280701754</c:v>
                </c:pt>
                <c:pt idx="541">
                  <c:v>0.10964912280701754</c:v>
                </c:pt>
                <c:pt idx="542">
                  <c:v>0.10964912280701754</c:v>
                </c:pt>
                <c:pt idx="543">
                  <c:v>0.10964912280701754</c:v>
                </c:pt>
                <c:pt idx="544">
                  <c:v>0.10964912280701754</c:v>
                </c:pt>
                <c:pt idx="545">
                  <c:v>0.10964912280701754</c:v>
                </c:pt>
                <c:pt idx="546">
                  <c:v>0.10964912280701754</c:v>
                </c:pt>
                <c:pt idx="547">
                  <c:v>0.10964912280701754</c:v>
                </c:pt>
                <c:pt idx="548">
                  <c:v>0.10964912280701754</c:v>
                </c:pt>
                <c:pt idx="549">
                  <c:v>0.10964912280701754</c:v>
                </c:pt>
                <c:pt idx="550">
                  <c:v>0.10964912280701754</c:v>
                </c:pt>
                <c:pt idx="551">
                  <c:v>0.10964912280701754</c:v>
                </c:pt>
                <c:pt idx="552">
                  <c:v>0.10964912280701754</c:v>
                </c:pt>
                <c:pt idx="553">
                  <c:v>0.10964912280701754</c:v>
                </c:pt>
                <c:pt idx="554">
                  <c:v>0.10964912280701754</c:v>
                </c:pt>
                <c:pt idx="555">
                  <c:v>0.10964912280701754</c:v>
                </c:pt>
                <c:pt idx="556">
                  <c:v>0.10964912280701754</c:v>
                </c:pt>
                <c:pt idx="557">
                  <c:v>0.10964912280701754</c:v>
                </c:pt>
                <c:pt idx="558">
                  <c:v>0.10964912280701754</c:v>
                </c:pt>
                <c:pt idx="559">
                  <c:v>0.10964912280701754</c:v>
                </c:pt>
                <c:pt idx="560">
                  <c:v>0.10964912280701754</c:v>
                </c:pt>
                <c:pt idx="561">
                  <c:v>0.10964912280701754</c:v>
                </c:pt>
                <c:pt idx="562">
                  <c:v>0.10964912280701754</c:v>
                </c:pt>
                <c:pt idx="563">
                  <c:v>0.10964912280701754</c:v>
                </c:pt>
                <c:pt idx="564">
                  <c:v>0.10964912280701754</c:v>
                </c:pt>
                <c:pt idx="565">
                  <c:v>0.10964912280701754</c:v>
                </c:pt>
                <c:pt idx="566">
                  <c:v>0.10964912280701754</c:v>
                </c:pt>
                <c:pt idx="567">
                  <c:v>0.10964912280701754</c:v>
                </c:pt>
                <c:pt idx="568">
                  <c:v>0.10964912280701754</c:v>
                </c:pt>
                <c:pt idx="569">
                  <c:v>0.10964912280701754</c:v>
                </c:pt>
                <c:pt idx="570">
                  <c:v>0.10964912280701754</c:v>
                </c:pt>
                <c:pt idx="571">
                  <c:v>0.10964912280701754</c:v>
                </c:pt>
                <c:pt idx="572">
                  <c:v>0.10964912280701754</c:v>
                </c:pt>
                <c:pt idx="573">
                  <c:v>0.10964912280701754</c:v>
                </c:pt>
                <c:pt idx="574">
                  <c:v>0.10964912280701754</c:v>
                </c:pt>
                <c:pt idx="575">
                  <c:v>0.10964912280701754</c:v>
                </c:pt>
                <c:pt idx="576">
                  <c:v>0.10964912280701754</c:v>
                </c:pt>
                <c:pt idx="577">
                  <c:v>0.10964912280701754</c:v>
                </c:pt>
                <c:pt idx="578">
                  <c:v>0.10964912280701754</c:v>
                </c:pt>
                <c:pt idx="579">
                  <c:v>0.10964912280701754</c:v>
                </c:pt>
                <c:pt idx="580">
                  <c:v>0.10964912280701754</c:v>
                </c:pt>
                <c:pt idx="581">
                  <c:v>0.10964912280701754</c:v>
                </c:pt>
                <c:pt idx="582">
                  <c:v>0.10964912280701754</c:v>
                </c:pt>
                <c:pt idx="583">
                  <c:v>0.10964912280701754</c:v>
                </c:pt>
                <c:pt idx="584">
                  <c:v>0.10964912280701754</c:v>
                </c:pt>
                <c:pt idx="585">
                  <c:v>0.10964912280701754</c:v>
                </c:pt>
                <c:pt idx="586">
                  <c:v>0.10964912280701754</c:v>
                </c:pt>
                <c:pt idx="587">
                  <c:v>0.10964912280701754</c:v>
                </c:pt>
                <c:pt idx="588">
                  <c:v>0.10964912280701754</c:v>
                </c:pt>
                <c:pt idx="589">
                  <c:v>0.10964912280701754</c:v>
                </c:pt>
                <c:pt idx="590">
                  <c:v>0.10964912280701754</c:v>
                </c:pt>
                <c:pt idx="591">
                  <c:v>0.10964912280701754</c:v>
                </c:pt>
                <c:pt idx="592">
                  <c:v>0.10964912280701754</c:v>
                </c:pt>
                <c:pt idx="593">
                  <c:v>0.10964912280701754</c:v>
                </c:pt>
                <c:pt idx="594">
                  <c:v>0.10964912280701754</c:v>
                </c:pt>
                <c:pt idx="595">
                  <c:v>0.10964912280701754</c:v>
                </c:pt>
                <c:pt idx="596">
                  <c:v>0.10964912280701754</c:v>
                </c:pt>
                <c:pt idx="597">
                  <c:v>0.10964912280701754</c:v>
                </c:pt>
                <c:pt idx="598">
                  <c:v>0.10964912280701754</c:v>
                </c:pt>
                <c:pt idx="599">
                  <c:v>0.10964912280701754</c:v>
                </c:pt>
                <c:pt idx="600">
                  <c:v>0.10964912280701754</c:v>
                </c:pt>
                <c:pt idx="601">
                  <c:v>0.10964912280701754</c:v>
                </c:pt>
                <c:pt idx="602">
                  <c:v>0.10964912280701754</c:v>
                </c:pt>
                <c:pt idx="603">
                  <c:v>0.10964912280701754</c:v>
                </c:pt>
                <c:pt idx="604">
                  <c:v>0.10964912280701754</c:v>
                </c:pt>
                <c:pt idx="605">
                  <c:v>0.10964912280701754</c:v>
                </c:pt>
                <c:pt idx="606">
                  <c:v>0.10964912280701754</c:v>
                </c:pt>
                <c:pt idx="607">
                  <c:v>0.10964912280701754</c:v>
                </c:pt>
                <c:pt idx="608">
                  <c:v>0.10964912280701754</c:v>
                </c:pt>
                <c:pt idx="609">
                  <c:v>0.10964912280701754</c:v>
                </c:pt>
                <c:pt idx="610">
                  <c:v>0.10964912280701754</c:v>
                </c:pt>
                <c:pt idx="611">
                  <c:v>0.10964912280701754</c:v>
                </c:pt>
                <c:pt idx="612">
                  <c:v>0.10964912280701754</c:v>
                </c:pt>
                <c:pt idx="613">
                  <c:v>0.10964912280701754</c:v>
                </c:pt>
                <c:pt idx="614">
                  <c:v>0.10964912280701754</c:v>
                </c:pt>
                <c:pt idx="615">
                  <c:v>0.10964912280701754</c:v>
                </c:pt>
                <c:pt idx="616">
                  <c:v>0.10964912280701754</c:v>
                </c:pt>
                <c:pt idx="617">
                  <c:v>0.10964912280701754</c:v>
                </c:pt>
                <c:pt idx="618">
                  <c:v>0.10964912280701754</c:v>
                </c:pt>
                <c:pt idx="619">
                  <c:v>0.10964912280701754</c:v>
                </c:pt>
                <c:pt idx="620">
                  <c:v>0.10964912280701754</c:v>
                </c:pt>
                <c:pt idx="621">
                  <c:v>0.10964912280701754</c:v>
                </c:pt>
                <c:pt idx="622">
                  <c:v>0.10964912280701754</c:v>
                </c:pt>
                <c:pt idx="623">
                  <c:v>0.10964912280701754</c:v>
                </c:pt>
                <c:pt idx="624">
                  <c:v>0.10964912280701754</c:v>
                </c:pt>
                <c:pt idx="625">
                  <c:v>0.10964912280701754</c:v>
                </c:pt>
                <c:pt idx="626">
                  <c:v>0.10964912280701754</c:v>
                </c:pt>
                <c:pt idx="627">
                  <c:v>0.10964912280701754</c:v>
                </c:pt>
                <c:pt idx="628">
                  <c:v>0.10964912280701754</c:v>
                </c:pt>
                <c:pt idx="629">
                  <c:v>0.10964912280701754</c:v>
                </c:pt>
                <c:pt idx="630">
                  <c:v>0.10964912280701754</c:v>
                </c:pt>
                <c:pt idx="631">
                  <c:v>0.10964912280701754</c:v>
                </c:pt>
                <c:pt idx="632">
                  <c:v>0.10964912280701754</c:v>
                </c:pt>
                <c:pt idx="633">
                  <c:v>0.10964912280701754</c:v>
                </c:pt>
                <c:pt idx="634">
                  <c:v>0.10964912280701754</c:v>
                </c:pt>
                <c:pt idx="635">
                  <c:v>0.10964912280701754</c:v>
                </c:pt>
                <c:pt idx="636">
                  <c:v>0.10964912280701754</c:v>
                </c:pt>
                <c:pt idx="637">
                  <c:v>0.10964912280701754</c:v>
                </c:pt>
                <c:pt idx="638">
                  <c:v>0.10964912280701754</c:v>
                </c:pt>
                <c:pt idx="639">
                  <c:v>0.10964912280701754</c:v>
                </c:pt>
                <c:pt idx="640">
                  <c:v>0.10964912280701754</c:v>
                </c:pt>
                <c:pt idx="641">
                  <c:v>0.10964912280701754</c:v>
                </c:pt>
                <c:pt idx="642">
                  <c:v>0.10964912280701754</c:v>
                </c:pt>
                <c:pt idx="643">
                  <c:v>0.10964912280701754</c:v>
                </c:pt>
                <c:pt idx="644">
                  <c:v>0.10964912280701754</c:v>
                </c:pt>
                <c:pt idx="645">
                  <c:v>0.10964912280701754</c:v>
                </c:pt>
                <c:pt idx="646">
                  <c:v>0.10964912280701754</c:v>
                </c:pt>
                <c:pt idx="647">
                  <c:v>0.10964912280701754</c:v>
                </c:pt>
                <c:pt idx="648">
                  <c:v>0.10964912280701754</c:v>
                </c:pt>
                <c:pt idx="649">
                  <c:v>0.10964912280701754</c:v>
                </c:pt>
                <c:pt idx="650">
                  <c:v>0.10964912280701754</c:v>
                </c:pt>
                <c:pt idx="651">
                  <c:v>0.10964912280701754</c:v>
                </c:pt>
                <c:pt idx="652">
                  <c:v>0.10964912280701754</c:v>
                </c:pt>
                <c:pt idx="653">
                  <c:v>0.10964912280701754</c:v>
                </c:pt>
                <c:pt idx="654">
                  <c:v>0.10964912280701754</c:v>
                </c:pt>
                <c:pt idx="655">
                  <c:v>0.10964912280701754</c:v>
                </c:pt>
                <c:pt idx="656">
                  <c:v>0.10964912280701754</c:v>
                </c:pt>
                <c:pt idx="657">
                  <c:v>0.10964912280701754</c:v>
                </c:pt>
                <c:pt idx="658">
                  <c:v>0.10964912280701754</c:v>
                </c:pt>
                <c:pt idx="659">
                  <c:v>0.10964912280701754</c:v>
                </c:pt>
                <c:pt idx="660">
                  <c:v>0.10964912280701754</c:v>
                </c:pt>
                <c:pt idx="661">
                  <c:v>0.10964912280701754</c:v>
                </c:pt>
                <c:pt idx="662">
                  <c:v>0.10964912280701754</c:v>
                </c:pt>
                <c:pt idx="663">
                  <c:v>0.10964912280701754</c:v>
                </c:pt>
                <c:pt idx="664">
                  <c:v>0.10964912280701754</c:v>
                </c:pt>
                <c:pt idx="665">
                  <c:v>0.10964912280701754</c:v>
                </c:pt>
                <c:pt idx="666">
                  <c:v>0.10964912280701754</c:v>
                </c:pt>
                <c:pt idx="667">
                  <c:v>0.10964912280701754</c:v>
                </c:pt>
                <c:pt idx="668">
                  <c:v>0.10964912280701754</c:v>
                </c:pt>
                <c:pt idx="669">
                  <c:v>0.10964912280701754</c:v>
                </c:pt>
                <c:pt idx="670">
                  <c:v>0.10964912280701754</c:v>
                </c:pt>
                <c:pt idx="671">
                  <c:v>0.10964912280701754</c:v>
                </c:pt>
                <c:pt idx="672">
                  <c:v>0.10964912280701754</c:v>
                </c:pt>
                <c:pt idx="673">
                  <c:v>0.10964912280701754</c:v>
                </c:pt>
                <c:pt idx="674">
                  <c:v>0.10964912280701754</c:v>
                </c:pt>
                <c:pt idx="675">
                  <c:v>0.10964912280701754</c:v>
                </c:pt>
                <c:pt idx="676">
                  <c:v>0.10964912280701754</c:v>
                </c:pt>
                <c:pt idx="677">
                  <c:v>0.10964912280701754</c:v>
                </c:pt>
                <c:pt idx="678">
                  <c:v>0.10964912280701754</c:v>
                </c:pt>
                <c:pt idx="679">
                  <c:v>0.10964912280701754</c:v>
                </c:pt>
                <c:pt idx="680">
                  <c:v>0.10964912280701754</c:v>
                </c:pt>
                <c:pt idx="681">
                  <c:v>0.10964912280701754</c:v>
                </c:pt>
                <c:pt idx="682">
                  <c:v>0.10964912280701754</c:v>
                </c:pt>
                <c:pt idx="683">
                  <c:v>0.10964912280701754</c:v>
                </c:pt>
                <c:pt idx="684">
                  <c:v>0.10964912280701754</c:v>
                </c:pt>
                <c:pt idx="685">
                  <c:v>0.10964912280701754</c:v>
                </c:pt>
                <c:pt idx="686">
                  <c:v>0.10964912280701754</c:v>
                </c:pt>
                <c:pt idx="687">
                  <c:v>0.10964912280701754</c:v>
                </c:pt>
                <c:pt idx="688">
                  <c:v>0.10964912280701754</c:v>
                </c:pt>
                <c:pt idx="689">
                  <c:v>0.10964912280701754</c:v>
                </c:pt>
                <c:pt idx="690">
                  <c:v>0.10964912280701754</c:v>
                </c:pt>
                <c:pt idx="691">
                  <c:v>0.10964912280701754</c:v>
                </c:pt>
                <c:pt idx="692">
                  <c:v>0.10964912280701754</c:v>
                </c:pt>
                <c:pt idx="693">
                  <c:v>0.10964912280701754</c:v>
                </c:pt>
                <c:pt idx="694">
                  <c:v>0.10964912280701754</c:v>
                </c:pt>
                <c:pt idx="695">
                  <c:v>0.10964912280701754</c:v>
                </c:pt>
                <c:pt idx="696">
                  <c:v>0.10964912280701754</c:v>
                </c:pt>
                <c:pt idx="697">
                  <c:v>0.10964912280701754</c:v>
                </c:pt>
                <c:pt idx="698">
                  <c:v>0.10964912280701754</c:v>
                </c:pt>
                <c:pt idx="699">
                  <c:v>0.10964912280701754</c:v>
                </c:pt>
                <c:pt idx="700">
                  <c:v>0.10964912280701754</c:v>
                </c:pt>
                <c:pt idx="701">
                  <c:v>0.10964912280701754</c:v>
                </c:pt>
                <c:pt idx="702">
                  <c:v>0.10964912280701754</c:v>
                </c:pt>
                <c:pt idx="703">
                  <c:v>0.10964912280701754</c:v>
                </c:pt>
                <c:pt idx="704">
                  <c:v>0.10964912280701754</c:v>
                </c:pt>
                <c:pt idx="705">
                  <c:v>0.10964912280701754</c:v>
                </c:pt>
                <c:pt idx="706">
                  <c:v>0.10964912280701754</c:v>
                </c:pt>
                <c:pt idx="707">
                  <c:v>0.10964912280701754</c:v>
                </c:pt>
                <c:pt idx="708">
                  <c:v>0.10964912280701754</c:v>
                </c:pt>
                <c:pt idx="709">
                  <c:v>0.10964912280701754</c:v>
                </c:pt>
                <c:pt idx="710">
                  <c:v>0.10964912280701754</c:v>
                </c:pt>
                <c:pt idx="711">
                  <c:v>0.10964912280701754</c:v>
                </c:pt>
                <c:pt idx="712">
                  <c:v>0.10964912280701754</c:v>
                </c:pt>
                <c:pt idx="713">
                  <c:v>0.10964912280701754</c:v>
                </c:pt>
                <c:pt idx="714">
                  <c:v>0.10964912280701754</c:v>
                </c:pt>
                <c:pt idx="715">
                  <c:v>0.10964912280701754</c:v>
                </c:pt>
                <c:pt idx="716">
                  <c:v>0.10964912280701754</c:v>
                </c:pt>
                <c:pt idx="717">
                  <c:v>0.10964912280701754</c:v>
                </c:pt>
                <c:pt idx="718">
                  <c:v>0.10964912280701754</c:v>
                </c:pt>
                <c:pt idx="719">
                  <c:v>0.10964912280701754</c:v>
                </c:pt>
                <c:pt idx="720">
                  <c:v>0.10964912280701754</c:v>
                </c:pt>
                <c:pt idx="721">
                  <c:v>0.10964912280701754</c:v>
                </c:pt>
                <c:pt idx="722">
                  <c:v>0.10964912280701754</c:v>
                </c:pt>
                <c:pt idx="723">
                  <c:v>0.10964912280701754</c:v>
                </c:pt>
                <c:pt idx="724">
                  <c:v>0.10964912280701754</c:v>
                </c:pt>
                <c:pt idx="725">
                  <c:v>0.10964912280701754</c:v>
                </c:pt>
                <c:pt idx="726">
                  <c:v>0.10964912280701754</c:v>
                </c:pt>
                <c:pt idx="727">
                  <c:v>0.10964912280701754</c:v>
                </c:pt>
                <c:pt idx="728">
                  <c:v>0.10964912280701754</c:v>
                </c:pt>
                <c:pt idx="729">
                  <c:v>0.10964912280701754</c:v>
                </c:pt>
                <c:pt idx="730">
                  <c:v>0.10964912280701754</c:v>
                </c:pt>
                <c:pt idx="731">
                  <c:v>0.10964912280701754</c:v>
                </c:pt>
                <c:pt idx="732">
                  <c:v>0.10964912280701754</c:v>
                </c:pt>
                <c:pt idx="733">
                  <c:v>0.10964912280701754</c:v>
                </c:pt>
                <c:pt idx="734">
                  <c:v>0.10964912280701754</c:v>
                </c:pt>
                <c:pt idx="735">
                  <c:v>0.10964912280701754</c:v>
                </c:pt>
                <c:pt idx="736">
                  <c:v>0.10964912280701754</c:v>
                </c:pt>
                <c:pt idx="737">
                  <c:v>0.10964912280701754</c:v>
                </c:pt>
                <c:pt idx="738">
                  <c:v>0.10964912280701754</c:v>
                </c:pt>
                <c:pt idx="739">
                  <c:v>0.10964912280701754</c:v>
                </c:pt>
                <c:pt idx="740">
                  <c:v>0.10964912280701754</c:v>
                </c:pt>
                <c:pt idx="741">
                  <c:v>0.10964912280701754</c:v>
                </c:pt>
                <c:pt idx="742">
                  <c:v>0.10964912280701754</c:v>
                </c:pt>
                <c:pt idx="743">
                  <c:v>0.10964912280701754</c:v>
                </c:pt>
                <c:pt idx="744">
                  <c:v>0.10964912280701754</c:v>
                </c:pt>
                <c:pt idx="745">
                  <c:v>0.10964912280701754</c:v>
                </c:pt>
                <c:pt idx="746">
                  <c:v>0.10964912280701754</c:v>
                </c:pt>
                <c:pt idx="747">
                  <c:v>0.10964912280701754</c:v>
                </c:pt>
                <c:pt idx="748">
                  <c:v>0.10964912280701754</c:v>
                </c:pt>
                <c:pt idx="749">
                  <c:v>0.10964912280701754</c:v>
                </c:pt>
                <c:pt idx="750">
                  <c:v>0.10964912280701754</c:v>
                </c:pt>
                <c:pt idx="751">
                  <c:v>0.10964912280701754</c:v>
                </c:pt>
                <c:pt idx="752">
                  <c:v>0.10964912280701754</c:v>
                </c:pt>
                <c:pt idx="753">
                  <c:v>0.10964912280701754</c:v>
                </c:pt>
                <c:pt idx="754">
                  <c:v>0.10964912280701754</c:v>
                </c:pt>
                <c:pt idx="755">
                  <c:v>0.10964912280701754</c:v>
                </c:pt>
                <c:pt idx="756">
                  <c:v>0.10964912280701754</c:v>
                </c:pt>
                <c:pt idx="757">
                  <c:v>0.10964912280701754</c:v>
                </c:pt>
                <c:pt idx="758">
                  <c:v>0.10964912280701754</c:v>
                </c:pt>
                <c:pt idx="759">
                  <c:v>0.10964912280701754</c:v>
                </c:pt>
                <c:pt idx="760">
                  <c:v>0.10964912280701754</c:v>
                </c:pt>
                <c:pt idx="761">
                  <c:v>0.10964912280701754</c:v>
                </c:pt>
                <c:pt idx="762">
                  <c:v>0.10964912280701754</c:v>
                </c:pt>
                <c:pt idx="763">
                  <c:v>0.10964912280701754</c:v>
                </c:pt>
                <c:pt idx="764">
                  <c:v>0.10964912280701754</c:v>
                </c:pt>
                <c:pt idx="765">
                  <c:v>0.10964912280701754</c:v>
                </c:pt>
                <c:pt idx="766">
                  <c:v>0.10964912280701754</c:v>
                </c:pt>
                <c:pt idx="767">
                  <c:v>0.10964912280701754</c:v>
                </c:pt>
                <c:pt idx="768">
                  <c:v>0.10964912280701754</c:v>
                </c:pt>
                <c:pt idx="769">
                  <c:v>0.10964912280701754</c:v>
                </c:pt>
                <c:pt idx="770">
                  <c:v>0.10964912280701754</c:v>
                </c:pt>
                <c:pt idx="771">
                  <c:v>0.10964912280701754</c:v>
                </c:pt>
                <c:pt idx="772">
                  <c:v>0.10964912280701754</c:v>
                </c:pt>
                <c:pt idx="773">
                  <c:v>0.10964912280701754</c:v>
                </c:pt>
                <c:pt idx="774">
                  <c:v>0.10964912280701754</c:v>
                </c:pt>
                <c:pt idx="775">
                  <c:v>0.10964912280701754</c:v>
                </c:pt>
                <c:pt idx="776">
                  <c:v>0.10964912280701754</c:v>
                </c:pt>
                <c:pt idx="777">
                  <c:v>0.10964912280701754</c:v>
                </c:pt>
                <c:pt idx="778">
                  <c:v>0.10964912280701754</c:v>
                </c:pt>
                <c:pt idx="779">
                  <c:v>0.10964912280701754</c:v>
                </c:pt>
                <c:pt idx="780">
                  <c:v>0.10964912280701754</c:v>
                </c:pt>
                <c:pt idx="781">
                  <c:v>0.10964912280701754</c:v>
                </c:pt>
                <c:pt idx="782">
                  <c:v>0.10964912280701754</c:v>
                </c:pt>
                <c:pt idx="783">
                  <c:v>0.10964912280701754</c:v>
                </c:pt>
                <c:pt idx="784">
                  <c:v>0.10964912280701754</c:v>
                </c:pt>
                <c:pt idx="785">
                  <c:v>0.10964912280701754</c:v>
                </c:pt>
                <c:pt idx="786">
                  <c:v>0.10964912280701754</c:v>
                </c:pt>
                <c:pt idx="787">
                  <c:v>0.10964912280701754</c:v>
                </c:pt>
                <c:pt idx="788">
                  <c:v>0.10964912280701754</c:v>
                </c:pt>
                <c:pt idx="789">
                  <c:v>0.10964912280701754</c:v>
                </c:pt>
                <c:pt idx="790">
                  <c:v>0.10964912280701754</c:v>
                </c:pt>
                <c:pt idx="791">
                  <c:v>0.10964912280701754</c:v>
                </c:pt>
                <c:pt idx="792">
                  <c:v>0.10964912280701754</c:v>
                </c:pt>
                <c:pt idx="793">
                  <c:v>0.10964912280701754</c:v>
                </c:pt>
                <c:pt idx="794">
                  <c:v>0.10964912280701754</c:v>
                </c:pt>
                <c:pt idx="795">
                  <c:v>0.10964912280701754</c:v>
                </c:pt>
                <c:pt idx="796">
                  <c:v>0.10964912280701754</c:v>
                </c:pt>
                <c:pt idx="797">
                  <c:v>0.10964912280701754</c:v>
                </c:pt>
                <c:pt idx="798">
                  <c:v>0.10964912280701754</c:v>
                </c:pt>
                <c:pt idx="799">
                  <c:v>0.10964912280701754</c:v>
                </c:pt>
                <c:pt idx="800">
                  <c:v>0.10964912280701754</c:v>
                </c:pt>
                <c:pt idx="801">
                  <c:v>0.10964912280701754</c:v>
                </c:pt>
                <c:pt idx="802">
                  <c:v>0.10964912280701754</c:v>
                </c:pt>
                <c:pt idx="803">
                  <c:v>0.10964912280701754</c:v>
                </c:pt>
                <c:pt idx="804">
                  <c:v>0.10964912280701754</c:v>
                </c:pt>
                <c:pt idx="805">
                  <c:v>0.10964912280701754</c:v>
                </c:pt>
                <c:pt idx="806">
                  <c:v>0.10964912280701754</c:v>
                </c:pt>
                <c:pt idx="807">
                  <c:v>0.10964912280701754</c:v>
                </c:pt>
                <c:pt idx="808">
                  <c:v>0.10964912280701754</c:v>
                </c:pt>
                <c:pt idx="809">
                  <c:v>0.10964912280701754</c:v>
                </c:pt>
                <c:pt idx="810">
                  <c:v>0.10964912280701754</c:v>
                </c:pt>
                <c:pt idx="811">
                  <c:v>0.10964912280701754</c:v>
                </c:pt>
                <c:pt idx="812">
                  <c:v>0.10964912280701754</c:v>
                </c:pt>
                <c:pt idx="813">
                  <c:v>0.10964912280701754</c:v>
                </c:pt>
                <c:pt idx="814">
                  <c:v>0.10964912280701754</c:v>
                </c:pt>
                <c:pt idx="815">
                  <c:v>0.10964912280701754</c:v>
                </c:pt>
                <c:pt idx="816">
                  <c:v>0.10964912280701754</c:v>
                </c:pt>
                <c:pt idx="817">
                  <c:v>0.10964912280701754</c:v>
                </c:pt>
                <c:pt idx="818">
                  <c:v>0.10964912280701754</c:v>
                </c:pt>
                <c:pt idx="819">
                  <c:v>0.10964912280701754</c:v>
                </c:pt>
                <c:pt idx="820">
                  <c:v>0.10964912280701754</c:v>
                </c:pt>
                <c:pt idx="821">
                  <c:v>0.10964912280701754</c:v>
                </c:pt>
                <c:pt idx="822">
                  <c:v>0.10964912280701754</c:v>
                </c:pt>
                <c:pt idx="823">
                  <c:v>0.10964912280701754</c:v>
                </c:pt>
                <c:pt idx="824">
                  <c:v>0.10964912280701754</c:v>
                </c:pt>
                <c:pt idx="825">
                  <c:v>0.10964912280701754</c:v>
                </c:pt>
                <c:pt idx="826">
                  <c:v>0.10964912280701754</c:v>
                </c:pt>
                <c:pt idx="827">
                  <c:v>0.10964912280701754</c:v>
                </c:pt>
                <c:pt idx="828">
                  <c:v>0.10964912280701754</c:v>
                </c:pt>
                <c:pt idx="829">
                  <c:v>0.10964912280701754</c:v>
                </c:pt>
                <c:pt idx="830">
                  <c:v>0.10964912280701754</c:v>
                </c:pt>
                <c:pt idx="831">
                  <c:v>0.10964912280701754</c:v>
                </c:pt>
                <c:pt idx="832">
                  <c:v>0.10964912280701754</c:v>
                </c:pt>
                <c:pt idx="833">
                  <c:v>0.10964912280701754</c:v>
                </c:pt>
                <c:pt idx="834">
                  <c:v>0.10964912280701754</c:v>
                </c:pt>
                <c:pt idx="835">
                  <c:v>0.10964912280701754</c:v>
                </c:pt>
                <c:pt idx="836">
                  <c:v>0.10964912280701754</c:v>
                </c:pt>
                <c:pt idx="837">
                  <c:v>0.10964912280701754</c:v>
                </c:pt>
                <c:pt idx="838">
                  <c:v>0.10964912280701754</c:v>
                </c:pt>
                <c:pt idx="839">
                  <c:v>0.10964912280701754</c:v>
                </c:pt>
                <c:pt idx="840">
                  <c:v>0.10964912280701754</c:v>
                </c:pt>
                <c:pt idx="841">
                  <c:v>0.10964912280701754</c:v>
                </c:pt>
                <c:pt idx="842">
                  <c:v>0.10964912280701754</c:v>
                </c:pt>
                <c:pt idx="843">
                  <c:v>0.10964912280701754</c:v>
                </c:pt>
                <c:pt idx="844">
                  <c:v>0.10964912280701754</c:v>
                </c:pt>
                <c:pt idx="845">
                  <c:v>0.10964912280701754</c:v>
                </c:pt>
                <c:pt idx="846">
                  <c:v>0.10964912280701754</c:v>
                </c:pt>
                <c:pt idx="847">
                  <c:v>0.10964912280701754</c:v>
                </c:pt>
                <c:pt idx="848">
                  <c:v>0.10964912280701754</c:v>
                </c:pt>
                <c:pt idx="849">
                  <c:v>0.10964912280701754</c:v>
                </c:pt>
                <c:pt idx="850">
                  <c:v>0.10964912280701754</c:v>
                </c:pt>
                <c:pt idx="851">
                  <c:v>0.10964912280701754</c:v>
                </c:pt>
                <c:pt idx="852">
                  <c:v>0.10964912280701754</c:v>
                </c:pt>
                <c:pt idx="853">
                  <c:v>0.10964912280701754</c:v>
                </c:pt>
                <c:pt idx="854">
                  <c:v>0.10964912280701754</c:v>
                </c:pt>
                <c:pt idx="855">
                  <c:v>0.10964912280701754</c:v>
                </c:pt>
                <c:pt idx="856">
                  <c:v>0.10964912280701754</c:v>
                </c:pt>
                <c:pt idx="857">
                  <c:v>0.10964912280701754</c:v>
                </c:pt>
                <c:pt idx="858">
                  <c:v>0.10964912280701754</c:v>
                </c:pt>
                <c:pt idx="859">
                  <c:v>0.10964912280701754</c:v>
                </c:pt>
                <c:pt idx="860">
                  <c:v>0.10964912280701754</c:v>
                </c:pt>
                <c:pt idx="861">
                  <c:v>0.10964912280701754</c:v>
                </c:pt>
                <c:pt idx="862">
                  <c:v>0.10964912280701754</c:v>
                </c:pt>
                <c:pt idx="863">
                  <c:v>0.10964912280701754</c:v>
                </c:pt>
                <c:pt idx="864">
                  <c:v>0.10964912280701754</c:v>
                </c:pt>
                <c:pt idx="865">
                  <c:v>0.10964912280701754</c:v>
                </c:pt>
                <c:pt idx="866">
                  <c:v>0.10964912280701754</c:v>
                </c:pt>
                <c:pt idx="867">
                  <c:v>0.10964912280701754</c:v>
                </c:pt>
                <c:pt idx="868">
                  <c:v>0.10964912280701754</c:v>
                </c:pt>
                <c:pt idx="869">
                  <c:v>0.10964912280701754</c:v>
                </c:pt>
                <c:pt idx="870">
                  <c:v>0.10964912280701754</c:v>
                </c:pt>
                <c:pt idx="871">
                  <c:v>0.10964912280701754</c:v>
                </c:pt>
                <c:pt idx="872">
                  <c:v>0.10964912280701754</c:v>
                </c:pt>
                <c:pt idx="873">
                  <c:v>0.10964912280701754</c:v>
                </c:pt>
                <c:pt idx="874">
                  <c:v>0.10964912280701754</c:v>
                </c:pt>
                <c:pt idx="875">
                  <c:v>0.10964912280701754</c:v>
                </c:pt>
                <c:pt idx="876">
                  <c:v>0.10964912280701754</c:v>
                </c:pt>
                <c:pt idx="877">
                  <c:v>0.10964912280701754</c:v>
                </c:pt>
                <c:pt idx="878">
                  <c:v>0.10964912280701754</c:v>
                </c:pt>
                <c:pt idx="879">
                  <c:v>0.10964912280701754</c:v>
                </c:pt>
                <c:pt idx="880">
                  <c:v>0.10964912280701754</c:v>
                </c:pt>
                <c:pt idx="881">
                  <c:v>0.10964912280701754</c:v>
                </c:pt>
                <c:pt idx="882">
                  <c:v>0.10964912280701754</c:v>
                </c:pt>
                <c:pt idx="883">
                  <c:v>0.10964912280701754</c:v>
                </c:pt>
                <c:pt idx="884">
                  <c:v>0.10964912280701754</c:v>
                </c:pt>
                <c:pt idx="885">
                  <c:v>0.10964912280701754</c:v>
                </c:pt>
                <c:pt idx="886">
                  <c:v>0.10964912280701754</c:v>
                </c:pt>
                <c:pt idx="887">
                  <c:v>0.10964912280701754</c:v>
                </c:pt>
                <c:pt idx="888">
                  <c:v>0.10964912280701754</c:v>
                </c:pt>
                <c:pt idx="889">
                  <c:v>0.10964912280701754</c:v>
                </c:pt>
                <c:pt idx="890">
                  <c:v>0.10964912280701754</c:v>
                </c:pt>
                <c:pt idx="891">
                  <c:v>0.10964912280701754</c:v>
                </c:pt>
                <c:pt idx="892">
                  <c:v>0.10964912280701754</c:v>
                </c:pt>
                <c:pt idx="893">
                  <c:v>0.10964912280701754</c:v>
                </c:pt>
                <c:pt idx="894">
                  <c:v>0.10964912280701754</c:v>
                </c:pt>
                <c:pt idx="895">
                  <c:v>0.10964912280701754</c:v>
                </c:pt>
                <c:pt idx="896">
                  <c:v>0.10964912280701754</c:v>
                </c:pt>
                <c:pt idx="897">
                  <c:v>0.10964912280701754</c:v>
                </c:pt>
                <c:pt idx="898">
                  <c:v>0.10964912280701754</c:v>
                </c:pt>
                <c:pt idx="899">
                  <c:v>0.10964912280701754</c:v>
                </c:pt>
                <c:pt idx="900">
                  <c:v>0.10964912280701754</c:v>
                </c:pt>
                <c:pt idx="901">
                  <c:v>0.10964912280701754</c:v>
                </c:pt>
                <c:pt idx="902">
                  <c:v>0.10964912280701754</c:v>
                </c:pt>
                <c:pt idx="903">
                  <c:v>0.10964912280701754</c:v>
                </c:pt>
                <c:pt idx="904">
                  <c:v>0.10964912280701754</c:v>
                </c:pt>
                <c:pt idx="905">
                  <c:v>0.10964912280701754</c:v>
                </c:pt>
                <c:pt idx="906">
                  <c:v>0.10964912280701754</c:v>
                </c:pt>
                <c:pt idx="907">
                  <c:v>0.10964912280701754</c:v>
                </c:pt>
                <c:pt idx="908">
                  <c:v>0.10964912280701754</c:v>
                </c:pt>
                <c:pt idx="909">
                  <c:v>0.10964912280701754</c:v>
                </c:pt>
                <c:pt idx="910">
                  <c:v>0.10964912280701754</c:v>
                </c:pt>
                <c:pt idx="911">
                  <c:v>0.10964912280701754</c:v>
                </c:pt>
                <c:pt idx="912">
                  <c:v>0.10964912280701754</c:v>
                </c:pt>
                <c:pt idx="913">
                  <c:v>0.10964912280701754</c:v>
                </c:pt>
                <c:pt idx="914">
                  <c:v>0.10964912280701754</c:v>
                </c:pt>
                <c:pt idx="915">
                  <c:v>0.10964912280701754</c:v>
                </c:pt>
                <c:pt idx="916">
                  <c:v>0.10964912280701754</c:v>
                </c:pt>
                <c:pt idx="917">
                  <c:v>0.10964912280701754</c:v>
                </c:pt>
                <c:pt idx="918">
                  <c:v>0.10964912280701754</c:v>
                </c:pt>
                <c:pt idx="919">
                  <c:v>0.10964912280701754</c:v>
                </c:pt>
                <c:pt idx="920">
                  <c:v>0.10964912280701754</c:v>
                </c:pt>
                <c:pt idx="921">
                  <c:v>0.10964912280701754</c:v>
                </c:pt>
                <c:pt idx="922">
                  <c:v>0.10964912280701754</c:v>
                </c:pt>
                <c:pt idx="923">
                  <c:v>0.10964912280701754</c:v>
                </c:pt>
                <c:pt idx="924">
                  <c:v>0.10964912280701754</c:v>
                </c:pt>
                <c:pt idx="925">
                  <c:v>0.10964912280701754</c:v>
                </c:pt>
                <c:pt idx="926">
                  <c:v>0.10964912280701754</c:v>
                </c:pt>
                <c:pt idx="927">
                  <c:v>0.10964912280701754</c:v>
                </c:pt>
                <c:pt idx="928">
                  <c:v>0.10964912280701754</c:v>
                </c:pt>
                <c:pt idx="929">
                  <c:v>0.10964912280701754</c:v>
                </c:pt>
                <c:pt idx="930">
                  <c:v>0.10964912280701754</c:v>
                </c:pt>
                <c:pt idx="931">
                  <c:v>0.10964912280701754</c:v>
                </c:pt>
                <c:pt idx="932">
                  <c:v>0.10964912280701754</c:v>
                </c:pt>
                <c:pt idx="933">
                  <c:v>0.10964912280701754</c:v>
                </c:pt>
                <c:pt idx="934">
                  <c:v>0.10964912280701754</c:v>
                </c:pt>
                <c:pt idx="935">
                  <c:v>0.10964912280701754</c:v>
                </c:pt>
                <c:pt idx="936">
                  <c:v>0.10964912280701754</c:v>
                </c:pt>
                <c:pt idx="937">
                  <c:v>0.10964912280701754</c:v>
                </c:pt>
                <c:pt idx="938">
                  <c:v>0.10964912280701754</c:v>
                </c:pt>
                <c:pt idx="939">
                  <c:v>0.10964912280701754</c:v>
                </c:pt>
                <c:pt idx="940">
                  <c:v>0.10964912280701754</c:v>
                </c:pt>
                <c:pt idx="941">
                  <c:v>0.10964912280701754</c:v>
                </c:pt>
                <c:pt idx="942">
                  <c:v>0.10964912280701754</c:v>
                </c:pt>
                <c:pt idx="943">
                  <c:v>0.10964912280701754</c:v>
                </c:pt>
                <c:pt idx="944">
                  <c:v>0.10964912280701754</c:v>
                </c:pt>
                <c:pt idx="945">
                  <c:v>0.10964912280701754</c:v>
                </c:pt>
                <c:pt idx="946">
                  <c:v>0.10964912280701754</c:v>
                </c:pt>
                <c:pt idx="947">
                  <c:v>0.10964912280701754</c:v>
                </c:pt>
                <c:pt idx="948">
                  <c:v>0.10964912280701754</c:v>
                </c:pt>
                <c:pt idx="949">
                  <c:v>0.10964912280701754</c:v>
                </c:pt>
                <c:pt idx="950">
                  <c:v>0.10964912280701754</c:v>
                </c:pt>
                <c:pt idx="951">
                  <c:v>0.10964912280701754</c:v>
                </c:pt>
                <c:pt idx="952">
                  <c:v>0.10964912280701754</c:v>
                </c:pt>
                <c:pt idx="953">
                  <c:v>0.10964912280701754</c:v>
                </c:pt>
                <c:pt idx="954">
                  <c:v>0.10964912280701754</c:v>
                </c:pt>
                <c:pt idx="955">
                  <c:v>0.10964912280701754</c:v>
                </c:pt>
                <c:pt idx="956">
                  <c:v>0.10964912280701754</c:v>
                </c:pt>
                <c:pt idx="957">
                  <c:v>0.10964912280701754</c:v>
                </c:pt>
                <c:pt idx="958">
                  <c:v>0.10964912280701754</c:v>
                </c:pt>
                <c:pt idx="959">
                  <c:v>0.10964912280701754</c:v>
                </c:pt>
                <c:pt idx="960">
                  <c:v>0.10964912280701754</c:v>
                </c:pt>
                <c:pt idx="961">
                  <c:v>0.10964912280701754</c:v>
                </c:pt>
                <c:pt idx="962">
                  <c:v>0.10964912280701754</c:v>
                </c:pt>
                <c:pt idx="963">
                  <c:v>0.10964912280701754</c:v>
                </c:pt>
                <c:pt idx="964">
                  <c:v>0.10964912280701754</c:v>
                </c:pt>
                <c:pt idx="965">
                  <c:v>0.10964912280701754</c:v>
                </c:pt>
                <c:pt idx="966">
                  <c:v>0.10964912280701754</c:v>
                </c:pt>
                <c:pt idx="967">
                  <c:v>0.10964912280701754</c:v>
                </c:pt>
                <c:pt idx="968">
                  <c:v>0.10964912280701754</c:v>
                </c:pt>
                <c:pt idx="969">
                  <c:v>0.10964912280701754</c:v>
                </c:pt>
                <c:pt idx="970">
                  <c:v>0.10964912280701754</c:v>
                </c:pt>
                <c:pt idx="971">
                  <c:v>0.10964912280701754</c:v>
                </c:pt>
                <c:pt idx="972">
                  <c:v>0.10964912280701754</c:v>
                </c:pt>
                <c:pt idx="973">
                  <c:v>0.10964912280701754</c:v>
                </c:pt>
                <c:pt idx="974">
                  <c:v>0.10964912280701754</c:v>
                </c:pt>
                <c:pt idx="975">
                  <c:v>0.10964912280701754</c:v>
                </c:pt>
                <c:pt idx="976">
                  <c:v>0.10964912280701754</c:v>
                </c:pt>
                <c:pt idx="977">
                  <c:v>0.10964912280701754</c:v>
                </c:pt>
                <c:pt idx="978">
                  <c:v>0.10964912280701754</c:v>
                </c:pt>
                <c:pt idx="979">
                  <c:v>0.10964912280701754</c:v>
                </c:pt>
                <c:pt idx="980">
                  <c:v>0.10964912280701754</c:v>
                </c:pt>
                <c:pt idx="981">
                  <c:v>0.10964912280701754</c:v>
                </c:pt>
                <c:pt idx="982">
                  <c:v>0.10964912280701754</c:v>
                </c:pt>
                <c:pt idx="983">
                  <c:v>0.10964912280701754</c:v>
                </c:pt>
                <c:pt idx="984">
                  <c:v>0.10964912280701754</c:v>
                </c:pt>
                <c:pt idx="985">
                  <c:v>0.10964912280701754</c:v>
                </c:pt>
                <c:pt idx="986">
                  <c:v>0.10964912280701754</c:v>
                </c:pt>
                <c:pt idx="987">
                  <c:v>0.10964912280701754</c:v>
                </c:pt>
                <c:pt idx="988">
                  <c:v>0.10964912280701754</c:v>
                </c:pt>
                <c:pt idx="989">
                  <c:v>0.10964912280701754</c:v>
                </c:pt>
                <c:pt idx="990">
                  <c:v>0.10964912280701754</c:v>
                </c:pt>
                <c:pt idx="991">
                  <c:v>0.10964912280701754</c:v>
                </c:pt>
                <c:pt idx="992">
                  <c:v>0.10964912280701754</c:v>
                </c:pt>
                <c:pt idx="993">
                  <c:v>0.10964912280701754</c:v>
                </c:pt>
                <c:pt idx="994">
                  <c:v>0.10964912280701754</c:v>
                </c:pt>
                <c:pt idx="995">
                  <c:v>0.10964912280701754</c:v>
                </c:pt>
                <c:pt idx="996">
                  <c:v>0.10964912280701754</c:v>
                </c:pt>
                <c:pt idx="997">
                  <c:v>0.10964912280701754</c:v>
                </c:pt>
                <c:pt idx="998">
                  <c:v>0.10964912280701754</c:v>
                </c:pt>
                <c:pt idx="999">
                  <c:v>0.10964912280701754</c:v>
                </c:pt>
                <c:pt idx="1000">
                  <c:v>0.10964912280701754</c:v>
                </c:pt>
                <c:pt idx="1001">
                  <c:v>0.10964912280701754</c:v>
                </c:pt>
                <c:pt idx="1002">
                  <c:v>0.10964912280701754</c:v>
                </c:pt>
                <c:pt idx="1003">
                  <c:v>0.10964912280701754</c:v>
                </c:pt>
                <c:pt idx="1004">
                  <c:v>0.10964912280701754</c:v>
                </c:pt>
                <c:pt idx="1005">
                  <c:v>0.10964912280701754</c:v>
                </c:pt>
                <c:pt idx="1006">
                  <c:v>0.10964912280701754</c:v>
                </c:pt>
                <c:pt idx="1007">
                  <c:v>0.10964912280701754</c:v>
                </c:pt>
                <c:pt idx="1008">
                  <c:v>0.10964912280701754</c:v>
                </c:pt>
                <c:pt idx="1009">
                  <c:v>0.10964912280701754</c:v>
                </c:pt>
                <c:pt idx="1010">
                  <c:v>0.10964912280701754</c:v>
                </c:pt>
                <c:pt idx="1011">
                  <c:v>0.10964912280701754</c:v>
                </c:pt>
                <c:pt idx="1012">
                  <c:v>0.10964912280701754</c:v>
                </c:pt>
                <c:pt idx="1013">
                  <c:v>0.10964912280701754</c:v>
                </c:pt>
                <c:pt idx="1014">
                  <c:v>0.10964912280701754</c:v>
                </c:pt>
                <c:pt idx="1015">
                  <c:v>0.10964912280701754</c:v>
                </c:pt>
                <c:pt idx="1016">
                  <c:v>0.10964912280701754</c:v>
                </c:pt>
                <c:pt idx="1017">
                  <c:v>0.10964912280701754</c:v>
                </c:pt>
                <c:pt idx="1018">
                  <c:v>0.10964912280701754</c:v>
                </c:pt>
                <c:pt idx="1019">
                  <c:v>0.10964912280701754</c:v>
                </c:pt>
                <c:pt idx="1020">
                  <c:v>0.10964912280701754</c:v>
                </c:pt>
                <c:pt idx="1021">
                  <c:v>0.10964912280701754</c:v>
                </c:pt>
                <c:pt idx="1022">
                  <c:v>0.10964912280701754</c:v>
                </c:pt>
                <c:pt idx="1023">
                  <c:v>0.10964912280701754</c:v>
                </c:pt>
                <c:pt idx="1024">
                  <c:v>0.10964912280701754</c:v>
                </c:pt>
                <c:pt idx="1025">
                  <c:v>0.10964912280701754</c:v>
                </c:pt>
                <c:pt idx="1026">
                  <c:v>0.10964912280701754</c:v>
                </c:pt>
                <c:pt idx="1027">
                  <c:v>0.10964912280701754</c:v>
                </c:pt>
                <c:pt idx="1028">
                  <c:v>0.10964912280701754</c:v>
                </c:pt>
                <c:pt idx="1029">
                  <c:v>0.10964912280701754</c:v>
                </c:pt>
                <c:pt idx="1030">
                  <c:v>0.10964912280701754</c:v>
                </c:pt>
                <c:pt idx="1031">
                  <c:v>0.10964912280701754</c:v>
                </c:pt>
                <c:pt idx="1032">
                  <c:v>0.10964912280701754</c:v>
                </c:pt>
                <c:pt idx="1033">
                  <c:v>0.10964912280701754</c:v>
                </c:pt>
                <c:pt idx="1034">
                  <c:v>0.10964912280701754</c:v>
                </c:pt>
                <c:pt idx="1035">
                  <c:v>0.10964912280701754</c:v>
                </c:pt>
                <c:pt idx="1036">
                  <c:v>0.10964912280701754</c:v>
                </c:pt>
                <c:pt idx="1037">
                  <c:v>0.10964912280701754</c:v>
                </c:pt>
                <c:pt idx="1038">
                  <c:v>0.10964912280701754</c:v>
                </c:pt>
                <c:pt idx="1039">
                  <c:v>0.10964912280701754</c:v>
                </c:pt>
                <c:pt idx="1040">
                  <c:v>0.10964912280701754</c:v>
                </c:pt>
                <c:pt idx="1041">
                  <c:v>0.10964912280701754</c:v>
                </c:pt>
                <c:pt idx="1042">
                  <c:v>0.10964912280701754</c:v>
                </c:pt>
                <c:pt idx="1043">
                  <c:v>0.10964912280701754</c:v>
                </c:pt>
                <c:pt idx="1044">
                  <c:v>0.10964912280701754</c:v>
                </c:pt>
                <c:pt idx="1045">
                  <c:v>0.10964912280701754</c:v>
                </c:pt>
                <c:pt idx="1046">
                  <c:v>0.10964912280701754</c:v>
                </c:pt>
                <c:pt idx="1047">
                  <c:v>0.10964912280701754</c:v>
                </c:pt>
                <c:pt idx="1048">
                  <c:v>0.10964912280701754</c:v>
                </c:pt>
                <c:pt idx="1049">
                  <c:v>0.10964912280701754</c:v>
                </c:pt>
                <c:pt idx="1050">
                  <c:v>0.10964912280701754</c:v>
                </c:pt>
                <c:pt idx="1051">
                  <c:v>0.10964912280701754</c:v>
                </c:pt>
                <c:pt idx="1052">
                  <c:v>0.10964912280701754</c:v>
                </c:pt>
                <c:pt idx="1053">
                  <c:v>0.10964912280701754</c:v>
                </c:pt>
                <c:pt idx="1054">
                  <c:v>0.10964912280701754</c:v>
                </c:pt>
                <c:pt idx="1055">
                  <c:v>0.10964912280701754</c:v>
                </c:pt>
                <c:pt idx="1056">
                  <c:v>0</c:v>
                </c:pt>
                <c:pt idx="1057">
                  <c:v>0</c:v>
                </c:pt>
              </c:numCache>
            </c:numRef>
          </c:val>
          <c:extLst xmlns:c16r2="http://schemas.microsoft.com/office/drawing/2015/06/chart">
            <c:ext xmlns:c16="http://schemas.microsoft.com/office/drawing/2014/chart" uri="{C3380CC4-5D6E-409C-BE32-E72D297353CC}">
              <c16:uniqueId val="{00000000-6484-4791-991D-5E362FC0939B}"/>
            </c:ext>
          </c:extLst>
        </c:ser>
        <c:ser>
          <c:idx val="7"/>
          <c:order val="9"/>
          <c:tx>
            <c:v>Delta Profit</c:v>
          </c:tx>
          <c:spPr>
            <a:solidFill>
              <a:srgbClr val="31B784"/>
            </a:solidFill>
          </c:spPr>
          <c:cat>
            <c:numRef>
              <c:f>'Arbitrage Payback Engine'!$AD$8:$AD$1065</c:f>
              <c:numCache>
                <c:formatCode>_(* #,##0.00_);_(* \(#,##0.00\);_(* "-"??_);_(@_)</c:formatCode>
                <c:ptCount val="1058"/>
                <c:pt idx="0">
                  <c:v>0</c:v>
                </c:pt>
                <c:pt idx="1">
                  <c:v>0.94876660341555974</c:v>
                </c:pt>
                <c:pt idx="2">
                  <c:v>0.94876660341555974</c:v>
                </c:pt>
                <c:pt idx="3">
                  <c:v>1.8975332068311195</c:v>
                </c:pt>
                <c:pt idx="4">
                  <c:v>2.8462998102466797</c:v>
                </c:pt>
                <c:pt idx="5">
                  <c:v>3.795066413662239</c:v>
                </c:pt>
                <c:pt idx="6">
                  <c:v>4.7438330170777983</c:v>
                </c:pt>
                <c:pt idx="7">
                  <c:v>5.6925996204933593</c:v>
                </c:pt>
                <c:pt idx="8">
                  <c:v>6.6413662239089177</c:v>
                </c:pt>
                <c:pt idx="9">
                  <c:v>7.5901328273244779</c:v>
                </c:pt>
                <c:pt idx="10">
                  <c:v>8.5388994307400381</c:v>
                </c:pt>
                <c:pt idx="11">
                  <c:v>9.4876660341555965</c:v>
                </c:pt>
                <c:pt idx="12">
                  <c:v>10.436432637571157</c:v>
                </c:pt>
                <c:pt idx="13">
                  <c:v>11.385199240986719</c:v>
                </c:pt>
                <c:pt idx="14">
                  <c:v>12.333965844402279</c:v>
                </c:pt>
                <c:pt idx="15">
                  <c:v>13.282732447817835</c:v>
                </c:pt>
                <c:pt idx="16">
                  <c:v>14.231499051233396</c:v>
                </c:pt>
                <c:pt idx="17">
                  <c:v>15.180265654648956</c:v>
                </c:pt>
                <c:pt idx="18">
                  <c:v>16.129032258064516</c:v>
                </c:pt>
                <c:pt idx="19">
                  <c:v>17.077798861480076</c:v>
                </c:pt>
                <c:pt idx="20">
                  <c:v>18.02656546489564</c:v>
                </c:pt>
                <c:pt idx="21">
                  <c:v>18.975332068311193</c:v>
                </c:pt>
                <c:pt idx="22">
                  <c:v>19.924098671726757</c:v>
                </c:pt>
                <c:pt idx="23">
                  <c:v>20.872865275142313</c:v>
                </c:pt>
                <c:pt idx="24">
                  <c:v>21.821631878557874</c:v>
                </c:pt>
                <c:pt idx="25">
                  <c:v>22.770398481973437</c:v>
                </c:pt>
                <c:pt idx="26">
                  <c:v>23.719165085388994</c:v>
                </c:pt>
                <c:pt idx="27">
                  <c:v>24.667931688804558</c:v>
                </c:pt>
                <c:pt idx="28">
                  <c:v>25.616698292220114</c:v>
                </c:pt>
                <c:pt idx="29">
                  <c:v>26.565464895635671</c:v>
                </c:pt>
                <c:pt idx="30">
                  <c:v>27.514231499051235</c:v>
                </c:pt>
                <c:pt idx="31">
                  <c:v>28.462998102466791</c:v>
                </c:pt>
                <c:pt idx="32">
                  <c:v>29.411764705882355</c:v>
                </c:pt>
                <c:pt idx="33">
                  <c:v>30.360531309297912</c:v>
                </c:pt>
                <c:pt idx="34">
                  <c:v>31.309297912713475</c:v>
                </c:pt>
                <c:pt idx="35">
                  <c:v>32.258064516129032</c:v>
                </c:pt>
                <c:pt idx="36">
                  <c:v>33.206831119544596</c:v>
                </c:pt>
                <c:pt idx="37">
                  <c:v>34.155597722960152</c:v>
                </c:pt>
                <c:pt idx="38">
                  <c:v>35.104364326375709</c:v>
                </c:pt>
                <c:pt idx="39">
                  <c:v>36.05313092979128</c:v>
                </c:pt>
                <c:pt idx="40">
                  <c:v>37.001897533206829</c:v>
                </c:pt>
                <c:pt idx="41">
                  <c:v>37.950664136622386</c:v>
                </c:pt>
                <c:pt idx="42">
                  <c:v>38.89943074003795</c:v>
                </c:pt>
                <c:pt idx="43">
                  <c:v>39.848197343453513</c:v>
                </c:pt>
                <c:pt idx="44">
                  <c:v>40.79696394686907</c:v>
                </c:pt>
                <c:pt idx="45">
                  <c:v>41.745730550284627</c:v>
                </c:pt>
                <c:pt idx="46">
                  <c:v>42.694497153700198</c:v>
                </c:pt>
                <c:pt idx="47">
                  <c:v>43.643263757115747</c:v>
                </c:pt>
                <c:pt idx="48">
                  <c:v>44.592030360531311</c:v>
                </c:pt>
                <c:pt idx="49">
                  <c:v>45.540796963946875</c:v>
                </c:pt>
                <c:pt idx="50">
                  <c:v>46.489563567362431</c:v>
                </c:pt>
                <c:pt idx="51">
                  <c:v>47.438330170777988</c:v>
                </c:pt>
                <c:pt idx="52">
                  <c:v>48.387096774193544</c:v>
                </c:pt>
                <c:pt idx="53">
                  <c:v>49.335863377609115</c:v>
                </c:pt>
                <c:pt idx="54">
                  <c:v>50.284629981024665</c:v>
                </c:pt>
                <c:pt idx="55">
                  <c:v>51.233396584440229</c:v>
                </c:pt>
                <c:pt idx="56">
                  <c:v>52.182163187855792</c:v>
                </c:pt>
                <c:pt idx="57">
                  <c:v>53.130929791271342</c:v>
                </c:pt>
                <c:pt idx="58">
                  <c:v>54.079696394686906</c:v>
                </c:pt>
                <c:pt idx="59">
                  <c:v>55.028462998102469</c:v>
                </c:pt>
                <c:pt idx="60">
                  <c:v>55.977229601518033</c:v>
                </c:pt>
                <c:pt idx="61">
                  <c:v>56.925996204933583</c:v>
                </c:pt>
                <c:pt idx="62">
                  <c:v>57.874762808349153</c:v>
                </c:pt>
                <c:pt idx="63">
                  <c:v>58.82352941176471</c:v>
                </c:pt>
                <c:pt idx="64">
                  <c:v>59.772296015180267</c:v>
                </c:pt>
                <c:pt idx="65">
                  <c:v>60.721062618595823</c:v>
                </c:pt>
                <c:pt idx="66">
                  <c:v>61.669829222011387</c:v>
                </c:pt>
                <c:pt idx="67">
                  <c:v>62.618595825426951</c:v>
                </c:pt>
                <c:pt idx="68">
                  <c:v>63.5673624288425</c:v>
                </c:pt>
                <c:pt idx="69">
                  <c:v>64.516129032258064</c:v>
                </c:pt>
                <c:pt idx="70">
                  <c:v>65.464895635673628</c:v>
                </c:pt>
                <c:pt idx="71">
                  <c:v>66.413662239089192</c:v>
                </c:pt>
                <c:pt idx="72">
                  <c:v>67.362428842504741</c:v>
                </c:pt>
                <c:pt idx="73">
                  <c:v>68.311195445920305</c:v>
                </c:pt>
                <c:pt idx="74">
                  <c:v>69.259962049335869</c:v>
                </c:pt>
                <c:pt idx="75">
                  <c:v>70.208728652751418</c:v>
                </c:pt>
                <c:pt idx="76">
                  <c:v>71.157495256166982</c:v>
                </c:pt>
                <c:pt idx="77">
                  <c:v>72.10626185958256</c:v>
                </c:pt>
                <c:pt idx="78">
                  <c:v>73.055028462998095</c:v>
                </c:pt>
                <c:pt idx="79">
                  <c:v>74.003795066413659</c:v>
                </c:pt>
                <c:pt idx="80">
                  <c:v>74.952561669829237</c:v>
                </c:pt>
                <c:pt idx="81">
                  <c:v>75.901328273244772</c:v>
                </c:pt>
                <c:pt idx="82">
                  <c:v>76.85009487666035</c:v>
                </c:pt>
                <c:pt idx="83">
                  <c:v>77.7988614800759</c:v>
                </c:pt>
                <c:pt idx="84">
                  <c:v>78.747628083491463</c:v>
                </c:pt>
                <c:pt idx="85">
                  <c:v>79.696394686907027</c:v>
                </c:pt>
                <c:pt idx="86">
                  <c:v>80.645161290322577</c:v>
                </c:pt>
                <c:pt idx="87">
                  <c:v>81.59392789373814</c:v>
                </c:pt>
                <c:pt idx="88">
                  <c:v>82.542694497153704</c:v>
                </c:pt>
                <c:pt idx="89">
                  <c:v>83.491461100569254</c:v>
                </c:pt>
                <c:pt idx="90">
                  <c:v>84.440227703984817</c:v>
                </c:pt>
                <c:pt idx="91">
                  <c:v>85.388994307400395</c:v>
                </c:pt>
                <c:pt idx="92">
                  <c:v>86.337760910815931</c:v>
                </c:pt>
                <c:pt idx="93">
                  <c:v>87.286527514231494</c:v>
                </c:pt>
                <c:pt idx="94">
                  <c:v>88.235294117647072</c:v>
                </c:pt>
                <c:pt idx="95">
                  <c:v>89.184060721062622</c:v>
                </c:pt>
                <c:pt idx="96">
                  <c:v>90.132827324478171</c:v>
                </c:pt>
                <c:pt idx="97">
                  <c:v>91.081593927893749</c:v>
                </c:pt>
                <c:pt idx="98">
                  <c:v>92.030360531309299</c:v>
                </c:pt>
                <c:pt idx="99">
                  <c:v>92.979127134724862</c:v>
                </c:pt>
                <c:pt idx="100">
                  <c:v>93.927893738140426</c:v>
                </c:pt>
                <c:pt idx="101">
                  <c:v>94.876660341555976</c:v>
                </c:pt>
                <c:pt idx="102">
                  <c:v>95.825426944971554</c:v>
                </c:pt>
                <c:pt idx="103">
                  <c:v>96.774193548387089</c:v>
                </c:pt>
                <c:pt idx="104">
                  <c:v>97.722960151802653</c:v>
                </c:pt>
                <c:pt idx="105">
                  <c:v>98.671726755218231</c:v>
                </c:pt>
                <c:pt idx="106">
                  <c:v>99.620493358633766</c:v>
                </c:pt>
                <c:pt idx="107">
                  <c:v>100.56925996204933</c:v>
                </c:pt>
                <c:pt idx="108">
                  <c:v>101.51802656546491</c:v>
                </c:pt>
                <c:pt idx="109">
                  <c:v>102.46679316888046</c:v>
                </c:pt>
                <c:pt idx="110">
                  <c:v>103.41555977229601</c:v>
                </c:pt>
                <c:pt idx="111">
                  <c:v>104.36432637571158</c:v>
                </c:pt>
                <c:pt idx="112">
                  <c:v>105.31309297912713</c:v>
                </c:pt>
                <c:pt idx="113">
                  <c:v>106.26185958254268</c:v>
                </c:pt>
                <c:pt idx="114">
                  <c:v>107.21062618595826</c:v>
                </c:pt>
                <c:pt idx="115">
                  <c:v>108.15939278937381</c:v>
                </c:pt>
                <c:pt idx="116">
                  <c:v>109.10815939278939</c:v>
                </c:pt>
                <c:pt idx="117">
                  <c:v>110.05692599620494</c:v>
                </c:pt>
                <c:pt idx="118">
                  <c:v>111.00569259962049</c:v>
                </c:pt>
                <c:pt idx="119">
                  <c:v>111.95445920303607</c:v>
                </c:pt>
                <c:pt idx="120">
                  <c:v>112.90322580645162</c:v>
                </c:pt>
                <c:pt idx="121">
                  <c:v>113.85199240986717</c:v>
                </c:pt>
                <c:pt idx="122">
                  <c:v>114.80075901328274</c:v>
                </c:pt>
                <c:pt idx="123">
                  <c:v>115.74952561669831</c:v>
                </c:pt>
                <c:pt idx="124">
                  <c:v>116.69829222011384</c:v>
                </c:pt>
                <c:pt idx="125">
                  <c:v>117.64705882352942</c:v>
                </c:pt>
                <c:pt idx="126">
                  <c:v>118.59582542694497</c:v>
                </c:pt>
                <c:pt idx="127">
                  <c:v>119.54459203036053</c:v>
                </c:pt>
                <c:pt idx="128">
                  <c:v>120.4933586337761</c:v>
                </c:pt>
                <c:pt idx="129">
                  <c:v>121.44212523719165</c:v>
                </c:pt>
                <c:pt idx="130">
                  <c:v>122.39089184060721</c:v>
                </c:pt>
                <c:pt idx="131">
                  <c:v>123.33965844402277</c:v>
                </c:pt>
                <c:pt idx="132">
                  <c:v>124.28842504743832</c:v>
                </c:pt>
                <c:pt idx="133">
                  <c:v>125.2371916508539</c:v>
                </c:pt>
                <c:pt idx="134">
                  <c:v>126.18595825426947</c:v>
                </c:pt>
                <c:pt idx="135">
                  <c:v>127.134724857685</c:v>
                </c:pt>
                <c:pt idx="136">
                  <c:v>128.08349146110058</c:v>
                </c:pt>
                <c:pt idx="137">
                  <c:v>129.03225806451613</c:v>
                </c:pt>
                <c:pt idx="138">
                  <c:v>129.98102466793168</c:v>
                </c:pt>
                <c:pt idx="139">
                  <c:v>130.92979127134726</c:v>
                </c:pt>
                <c:pt idx="140">
                  <c:v>131.87855787476281</c:v>
                </c:pt>
                <c:pt idx="141">
                  <c:v>132.82732447817838</c:v>
                </c:pt>
                <c:pt idx="142">
                  <c:v>133.77609108159393</c:v>
                </c:pt>
                <c:pt idx="143">
                  <c:v>134.72485768500948</c:v>
                </c:pt>
                <c:pt idx="144">
                  <c:v>135.67362428842506</c:v>
                </c:pt>
                <c:pt idx="145">
                  <c:v>136.62239089184061</c:v>
                </c:pt>
                <c:pt idx="146">
                  <c:v>137.57115749525616</c:v>
                </c:pt>
                <c:pt idx="147">
                  <c:v>138.51992409867174</c:v>
                </c:pt>
                <c:pt idx="148">
                  <c:v>139.46869070208729</c:v>
                </c:pt>
                <c:pt idx="149">
                  <c:v>140.41745730550284</c:v>
                </c:pt>
                <c:pt idx="150">
                  <c:v>141.36622390891841</c:v>
                </c:pt>
                <c:pt idx="151">
                  <c:v>142.31499051233396</c:v>
                </c:pt>
                <c:pt idx="152">
                  <c:v>143.26375711574951</c:v>
                </c:pt>
                <c:pt idx="153">
                  <c:v>144.21252371916512</c:v>
                </c:pt>
                <c:pt idx="154">
                  <c:v>145.16129032258064</c:v>
                </c:pt>
                <c:pt idx="155">
                  <c:v>146.11005692599619</c:v>
                </c:pt>
                <c:pt idx="156">
                  <c:v>147.0588235294118</c:v>
                </c:pt>
                <c:pt idx="157">
                  <c:v>148.00759013282732</c:v>
                </c:pt>
                <c:pt idx="158">
                  <c:v>148.95635673624287</c:v>
                </c:pt>
                <c:pt idx="159">
                  <c:v>149.90512333965847</c:v>
                </c:pt>
                <c:pt idx="160">
                  <c:v>150.85388994307402</c:v>
                </c:pt>
                <c:pt idx="161">
                  <c:v>151.80265654648954</c:v>
                </c:pt>
                <c:pt idx="162">
                  <c:v>152.75142314990515</c:v>
                </c:pt>
                <c:pt idx="163">
                  <c:v>153.7001897533207</c:v>
                </c:pt>
                <c:pt idx="164">
                  <c:v>154.64895635673625</c:v>
                </c:pt>
                <c:pt idx="165">
                  <c:v>155.5977229601518</c:v>
                </c:pt>
                <c:pt idx="166">
                  <c:v>156.54648956356738</c:v>
                </c:pt>
                <c:pt idx="167">
                  <c:v>157.49525616698293</c:v>
                </c:pt>
                <c:pt idx="168">
                  <c:v>158.44402277039848</c:v>
                </c:pt>
                <c:pt idx="169">
                  <c:v>159.39278937381405</c:v>
                </c:pt>
                <c:pt idx="170">
                  <c:v>160.3415559772296</c:v>
                </c:pt>
                <c:pt idx="171">
                  <c:v>161.29032258064515</c:v>
                </c:pt>
                <c:pt idx="172">
                  <c:v>162.23908918406073</c:v>
                </c:pt>
                <c:pt idx="173">
                  <c:v>163.18785578747628</c:v>
                </c:pt>
                <c:pt idx="174">
                  <c:v>164.13662239089183</c:v>
                </c:pt>
                <c:pt idx="175">
                  <c:v>165.08538899430741</c:v>
                </c:pt>
                <c:pt idx="176">
                  <c:v>166.03415559772296</c:v>
                </c:pt>
                <c:pt idx="177">
                  <c:v>166.98292220113851</c:v>
                </c:pt>
                <c:pt idx="178">
                  <c:v>167.93168880455411</c:v>
                </c:pt>
                <c:pt idx="179">
                  <c:v>168.88045540796963</c:v>
                </c:pt>
                <c:pt idx="180">
                  <c:v>169.82922201138518</c:v>
                </c:pt>
                <c:pt idx="181">
                  <c:v>170.77798861480079</c:v>
                </c:pt>
                <c:pt idx="182">
                  <c:v>171.72675521821631</c:v>
                </c:pt>
                <c:pt idx="183">
                  <c:v>172.67552182163186</c:v>
                </c:pt>
                <c:pt idx="184">
                  <c:v>173.62428842504747</c:v>
                </c:pt>
                <c:pt idx="185">
                  <c:v>174.57305502846299</c:v>
                </c:pt>
                <c:pt idx="186">
                  <c:v>175.52182163187854</c:v>
                </c:pt>
                <c:pt idx="187">
                  <c:v>176.47058823529414</c:v>
                </c:pt>
                <c:pt idx="188">
                  <c:v>177.41935483870967</c:v>
                </c:pt>
                <c:pt idx="189">
                  <c:v>178.36812144212524</c:v>
                </c:pt>
                <c:pt idx="190">
                  <c:v>179.31688804554082</c:v>
                </c:pt>
                <c:pt idx="191">
                  <c:v>180.26565464895634</c:v>
                </c:pt>
                <c:pt idx="192">
                  <c:v>181.21442125237192</c:v>
                </c:pt>
                <c:pt idx="193">
                  <c:v>182.1631878557875</c:v>
                </c:pt>
                <c:pt idx="194">
                  <c:v>183.11195445920305</c:v>
                </c:pt>
                <c:pt idx="195">
                  <c:v>184.0607210626186</c:v>
                </c:pt>
                <c:pt idx="196">
                  <c:v>185.00948766603418</c:v>
                </c:pt>
                <c:pt idx="197">
                  <c:v>185.95825426944972</c:v>
                </c:pt>
                <c:pt idx="198">
                  <c:v>186.90702087286527</c:v>
                </c:pt>
                <c:pt idx="199">
                  <c:v>187.85578747628085</c:v>
                </c:pt>
                <c:pt idx="200">
                  <c:v>188.8045540796964</c:v>
                </c:pt>
                <c:pt idx="201">
                  <c:v>189.75332068311195</c:v>
                </c:pt>
                <c:pt idx="202">
                  <c:v>190.7020872865275</c:v>
                </c:pt>
                <c:pt idx="203">
                  <c:v>191.65085388994311</c:v>
                </c:pt>
                <c:pt idx="204">
                  <c:v>192.59962049335863</c:v>
                </c:pt>
                <c:pt idx="205">
                  <c:v>193.54838709677418</c:v>
                </c:pt>
                <c:pt idx="206">
                  <c:v>194.49715370018978</c:v>
                </c:pt>
                <c:pt idx="207">
                  <c:v>195.44592030360531</c:v>
                </c:pt>
                <c:pt idx="208">
                  <c:v>196.39468690702085</c:v>
                </c:pt>
                <c:pt idx="209">
                  <c:v>197.34345351043646</c:v>
                </c:pt>
                <c:pt idx="210">
                  <c:v>198.29222011385198</c:v>
                </c:pt>
                <c:pt idx="211">
                  <c:v>199.24098671726753</c:v>
                </c:pt>
                <c:pt idx="212">
                  <c:v>200.18975332068314</c:v>
                </c:pt>
                <c:pt idx="213">
                  <c:v>201.13851992409866</c:v>
                </c:pt>
                <c:pt idx="214">
                  <c:v>202.08728652751421</c:v>
                </c:pt>
                <c:pt idx="215">
                  <c:v>203.03605313092982</c:v>
                </c:pt>
                <c:pt idx="216">
                  <c:v>203.98481973434534</c:v>
                </c:pt>
                <c:pt idx="217">
                  <c:v>204.93358633776091</c:v>
                </c:pt>
                <c:pt idx="218">
                  <c:v>205.88235294117649</c:v>
                </c:pt>
                <c:pt idx="219">
                  <c:v>206.83111954459201</c:v>
                </c:pt>
                <c:pt idx="220">
                  <c:v>207.77988614800759</c:v>
                </c:pt>
                <c:pt idx="221">
                  <c:v>208.72865275142317</c:v>
                </c:pt>
                <c:pt idx="222">
                  <c:v>209.67741935483869</c:v>
                </c:pt>
                <c:pt idx="223">
                  <c:v>210.62618595825427</c:v>
                </c:pt>
                <c:pt idx="224">
                  <c:v>211.57495256166985</c:v>
                </c:pt>
                <c:pt idx="225">
                  <c:v>212.52371916508537</c:v>
                </c:pt>
                <c:pt idx="226">
                  <c:v>213.47248576850095</c:v>
                </c:pt>
                <c:pt idx="227">
                  <c:v>214.42125237191652</c:v>
                </c:pt>
                <c:pt idx="228">
                  <c:v>215.37001897533207</c:v>
                </c:pt>
                <c:pt idx="229">
                  <c:v>216.31878557874762</c:v>
                </c:pt>
                <c:pt idx="230">
                  <c:v>217.2675521821632</c:v>
                </c:pt>
                <c:pt idx="231">
                  <c:v>218.21631878557878</c:v>
                </c:pt>
                <c:pt idx="232">
                  <c:v>219.1650853889943</c:v>
                </c:pt>
                <c:pt idx="233">
                  <c:v>220.11385199240988</c:v>
                </c:pt>
                <c:pt idx="234">
                  <c:v>221.06261859582546</c:v>
                </c:pt>
                <c:pt idx="235">
                  <c:v>222.01138519924098</c:v>
                </c:pt>
                <c:pt idx="236">
                  <c:v>222.96015180265655</c:v>
                </c:pt>
                <c:pt idx="237">
                  <c:v>223.90891840607213</c:v>
                </c:pt>
                <c:pt idx="238">
                  <c:v>224.85768500948765</c:v>
                </c:pt>
                <c:pt idx="239">
                  <c:v>225.80645161290323</c:v>
                </c:pt>
                <c:pt idx="240">
                  <c:v>226.75521821631881</c:v>
                </c:pt>
                <c:pt idx="241">
                  <c:v>227.70398481973433</c:v>
                </c:pt>
                <c:pt idx="242">
                  <c:v>228.65275142314994</c:v>
                </c:pt>
                <c:pt idx="243">
                  <c:v>229.60151802656549</c:v>
                </c:pt>
                <c:pt idx="244">
                  <c:v>230.55028462998101</c:v>
                </c:pt>
                <c:pt idx="245">
                  <c:v>231.49905123339661</c:v>
                </c:pt>
                <c:pt idx="246">
                  <c:v>232.44781783681216</c:v>
                </c:pt>
                <c:pt idx="247">
                  <c:v>233.39658444022768</c:v>
                </c:pt>
                <c:pt idx="248">
                  <c:v>234.34535104364329</c:v>
                </c:pt>
                <c:pt idx="249">
                  <c:v>235.29411764705884</c:v>
                </c:pt>
                <c:pt idx="250">
                  <c:v>236.24288425047436</c:v>
                </c:pt>
                <c:pt idx="251">
                  <c:v>237.19165085388994</c:v>
                </c:pt>
                <c:pt idx="252">
                  <c:v>238.14041745730552</c:v>
                </c:pt>
                <c:pt idx="253">
                  <c:v>239.08918406072107</c:v>
                </c:pt>
                <c:pt idx="254">
                  <c:v>240.03795066413662</c:v>
                </c:pt>
                <c:pt idx="255">
                  <c:v>240.98671726755219</c:v>
                </c:pt>
                <c:pt idx="256">
                  <c:v>241.93548387096774</c:v>
                </c:pt>
                <c:pt idx="257">
                  <c:v>242.88425047438329</c:v>
                </c:pt>
                <c:pt idx="258">
                  <c:v>243.83301707779887</c:v>
                </c:pt>
                <c:pt idx="259">
                  <c:v>244.78178368121442</c:v>
                </c:pt>
                <c:pt idx="260">
                  <c:v>245.73055028462997</c:v>
                </c:pt>
                <c:pt idx="261">
                  <c:v>246.67931688804555</c:v>
                </c:pt>
                <c:pt idx="262">
                  <c:v>247.6280834914611</c:v>
                </c:pt>
                <c:pt idx="263">
                  <c:v>248.57685009487665</c:v>
                </c:pt>
                <c:pt idx="264">
                  <c:v>249.52561669829223</c:v>
                </c:pt>
                <c:pt idx="265">
                  <c:v>250.4743833017078</c:v>
                </c:pt>
                <c:pt idx="266">
                  <c:v>251.42314990512332</c:v>
                </c:pt>
                <c:pt idx="267">
                  <c:v>252.37191650853893</c:v>
                </c:pt>
                <c:pt idx="268">
                  <c:v>253.32068311195448</c:v>
                </c:pt>
                <c:pt idx="269">
                  <c:v>254.26944971537</c:v>
                </c:pt>
                <c:pt idx="270">
                  <c:v>255.21821631878561</c:v>
                </c:pt>
                <c:pt idx="271">
                  <c:v>256.16698292220116</c:v>
                </c:pt>
                <c:pt idx="272">
                  <c:v>257.11574952561671</c:v>
                </c:pt>
                <c:pt idx="273">
                  <c:v>258.06451612903226</c:v>
                </c:pt>
                <c:pt idx="274">
                  <c:v>259.01328273244786</c:v>
                </c:pt>
                <c:pt idx="275">
                  <c:v>259.96204933586336</c:v>
                </c:pt>
                <c:pt idx="276">
                  <c:v>260.91081593927896</c:v>
                </c:pt>
                <c:pt idx="277">
                  <c:v>261.85958254269451</c:v>
                </c:pt>
                <c:pt idx="278">
                  <c:v>262.80834914611006</c:v>
                </c:pt>
                <c:pt idx="279">
                  <c:v>263.75711574952561</c:v>
                </c:pt>
                <c:pt idx="280">
                  <c:v>264.70588235294116</c:v>
                </c:pt>
                <c:pt idx="281">
                  <c:v>265.65464895635677</c:v>
                </c:pt>
                <c:pt idx="282">
                  <c:v>266.60341555977232</c:v>
                </c:pt>
                <c:pt idx="283">
                  <c:v>267.55218216318787</c:v>
                </c:pt>
                <c:pt idx="284">
                  <c:v>268.50094876660341</c:v>
                </c:pt>
                <c:pt idx="285">
                  <c:v>269.44971537001896</c:v>
                </c:pt>
                <c:pt idx="286">
                  <c:v>270.39848197343451</c:v>
                </c:pt>
                <c:pt idx="287">
                  <c:v>271.34724857685012</c:v>
                </c:pt>
                <c:pt idx="288">
                  <c:v>272.29601518026567</c:v>
                </c:pt>
                <c:pt idx="289">
                  <c:v>273.24478178368122</c:v>
                </c:pt>
                <c:pt idx="290">
                  <c:v>274.19354838709677</c:v>
                </c:pt>
                <c:pt idx="291">
                  <c:v>275.14231499051232</c:v>
                </c:pt>
                <c:pt idx="292">
                  <c:v>276.09108159392792</c:v>
                </c:pt>
                <c:pt idx="293">
                  <c:v>277.03984819734347</c:v>
                </c:pt>
                <c:pt idx="294">
                  <c:v>277.98861480075902</c:v>
                </c:pt>
                <c:pt idx="295">
                  <c:v>278.93738140417457</c:v>
                </c:pt>
                <c:pt idx="296">
                  <c:v>279.88614800759018</c:v>
                </c:pt>
                <c:pt idx="297">
                  <c:v>280.83491461100567</c:v>
                </c:pt>
                <c:pt idx="298">
                  <c:v>281.78368121442122</c:v>
                </c:pt>
                <c:pt idx="299">
                  <c:v>282.73244781783683</c:v>
                </c:pt>
                <c:pt idx="300">
                  <c:v>283.68121442125238</c:v>
                </c:pt>
                <c:pt idx="301">
                  <c:v>284.62998102466793</c:v>
                </c:pt>
                <c:pt idx="302">
                  <c:v>285.57874762808353</c:v>
                </c:pt>
                <c:pt idx="303">
                  <c:v>286.52751423149903</c:v>
                </c:pt>
                <c:pt idx="304">
                  <c:v>287.47628083491458</c:v>
                </c:pt>
                <c:pt idx="305">
                  <c:v>288.42504743833024</c:v>
                </c:pt>
                <c:pt idx="306">
                  <c:v>289.37381404174573</c:v>
                </c:pt>
                <c:pt idx="307">
                  <c:v>290.32258064516128</c:v>
                </c:pt>
                <c:pt idx="308">
                  <c:v>291.27134724857689</c:v>
                </c:pt>
                <c:pt idx="309">
                  <c:v>292.22011385199238</c:v>
                </c:pt>
                <c:pt idx="310">
                  <c:v>293.16888045540793</c:v>
                </c:pt>
                <c:pt idx="311">
                  <c:v>294.11764705882359</c:v>
                </c:pt>
                <c:pt idx="312">
                  <c:v>295.06641366223909</c:v>
                </c:pt>
                <c:pt idx="313">
                  <c:v>296.01518026565464</c:v>
                </c:pt>
                <c:pt idx="314">
                  <c:v>296.96394686907024</c:v>
                </c:pt>
                <c:pt idx="315">
                  <c:v>297.91271347248573</c:v>
                </c:pt>
                <c:pt idx="316">
                  <c:v>298.8614800759014</c:v>
                </c:pt>
                <c:pt idx="317">
                  <c:v>299.81024667931695</c:v>
                </c:pt>
                <c:pt idx="318">
                  <c:v>300.75901328273244</c:v>
                </c:pt>
                <c:pt idx="319">
                  <c:v>301.70777988614805</c:v>
                </c:pt>
                <c:pt idx="320">
                  <c:v>302.65654648956354</c:v>
                </c:pt>
                <c:pt idx="321">
                  <c:v>303.60531309297909</c:v>
                </c:pt>
                <c:pt idx="322">
                  <c:v>304.55407969639475</c:v>
                </c:pt>
                <c:pt idx="323">
                  <c:v>305.5028462998103</c:v>
                </c:pt>
                <c:pt idx="324">
                  <c:v>306.45161290322579</c:v>
                </c:pt>
                <c:pt idx="325">
                  <c:v>307.4003795066414</c:v>
                </c:pt>
                <c:pt idx="326">
                  <c:v>308.34914611005689</c:v>
                </c:pt>
                <c:pt idx="327">
                  <c:v>309.2979127134725</c:v>
                </c:pt>
                <c:pt idx="328">
                  <c:v>310.24667931688811</c:v>
                </c:pt>
                <c:pt idx="329">
                  <c:v>311.1954459203036</c:v>
                </c:pt>
                <c:pt idx="330">
                  <c:v>312.14421252371915</c:v>
                </c:pt>
                <c:pt idx="331">
                  <c:v>313.09297912713475</c:v>
                </c:pt>
                <c:pt idx="332">
                  <c:v>314.04174573055025</c:v>
                </c:pt>
                <c:pt idx="333">
                  <c:v>314.99051233396585</c:v>
                </c:pt>
                <c:pt idx="334">
                  <c:v>315.93927893738146</c:v>
                </c:pt>
                <c:pt idx="335">
                  <c:v>316.88804554079695</c:v>
                </c:pt>
                <c:pt idx="336">
                  <c:v>317.8368121442125</c:v>
                </c:pt>
                <c:pt idx="337">
                  <c:v>318.78557874762811</c:v>
                </c:pt>
                <c:pt idx="338">
                  <c:v>319.73434535104366</c:v>
                </c:pt>
                <c:pt idx="339">
                  <c:v>320.68311195445921</c:v>
                </c:pt>
                <c:pt idx="340">
                  <c:v>321.63187855787481</c:v>
                </c:pt>
                <c:pt idx="341">
                  <c:v>322.58064516129031</c:v>
                </c:pt>
                <c:pt idx="342">
                  <c:v>323.52941176470586</c:v>
                </c:pt>
                <c:pt idx="343">
                  <c:v>324.47817836812146</c:v>
                </c:pt>
                <c:pt idx="344">
                  <c:v>325.42694497153701</c:v>
                </c:pt>
                <c:pt idx="345">
                  <c:v>326.37571157495256</c:v>
                </c:pt>
                <c:pt idx="346">
                  <c:v>327.32447817836817</c:v>
                </c:pt>
                <c:pt idx="347">
                  <c:v>328.27324478178366</c:v>
                </c:pt>
                <c:pt idx="348">
                  <c:v>329.22201138519921</c:v>
                </c:pt>
                <c:pt idx="349">
                  <c:v>330.17077798861482</c:v>
                </c:pt>
                <c:pt idx="350">
                  <c:v>331.11954459203037</c:v>
                </c:pt>
                <c:pt idx="351">
                  <c:v>332.06831119544592</c:v>
                </c:pt>
                <c:pt idx="352">
                  <c:v>333.01707779886152</c:v>
                </c:pt>
                <c:pt idx="353">
                  <c:v>333.96584440227701</c:v>
                </c:pt>
                <c:pt idx="354">
                  <c:v>334.91461100569256</c:v>
                </c:pt>
                <c:pt idx="355">
                  <c:v>335.86337760910823</c:v>
                </c:pt>
                <c:pt idx="356">
                  <c:v>336.81214421252372</c:v>
                </c:pt>
                <c:pt idx="357">
                  <c:v>337.76091081593927</c:v>
                </c:pt>
                <c:pt idx="358">
                  <c:v>338.70967741935488</c:v>
                </c:pt>
                <c:pt idx="359">
                  <c:v>339.65844402277037</c:v>
                </c:pt>
                <c:pt idx="360">
                  <c:v>340.60721062618592</c:v>
                </c:pt>
                <c:pt idx="361">
                  <c:v>341.55597722960158</c:v>
                </c:pt>
                <c:pt idx="362">
                  <c:v>342.50474383301707</c:v>
                </c:pt>
                <c:pt idx="363">
                  <c:v>343.45351043643262</c:v>
                </c:pt>
                <c:pt idx="364">
                  <c:v>344.40227703984823</c:v>
                </c:pt>
                <c:pt idx="365">
                  <c:v>345.35104364326372</c:v>
                </c:pt>
                <c:pt idx="366">
                  <c:v>346.29981024667933</c:v>
                </c:pt>
                <c:pt idx="367">
                  <c:v>347.24857685009493</c:v>
                </c:pt>
                <c:pt idx="368">
                  <c:v>348.19734345351043</c:v>
                </c:pt>
                <c:pt idx="369">
                  <c:v>349.14611005692598</c:v>
                </c:pt>
                <c:pt idx="370">
                  <c:v>350.09487666034158</c:v>
                </c:pt>
                <c:pt idx="371">
                  <c:v>351.04364326375708</c:v>
                </c:pt>
                <c:pt idx="372">
                  <c:v>351.99240986717268</c:v>
                </c:pt>
                <c:pt idx="373">
                  <c:v>352.94117647058829</c:v>
                </c:pt>
                <c:pt idx="374">
                  <c:v>353.88994307400378</c:v>
                </c:pt>
                <c:pt idx="375">
                  <c:v>354.83870967741933</c:v>
                </c:pt>
                <c:pt idx="376">
                  <c:v>355.78747628083494</c:v>
                </c:pt>
                <c:pt idx="377">
                  <c:v>356.73624288425049</c:v>
                </c:pt>
                <c:pt idx="378">
                  <c:v>357.68500948766604</c:v>
                </c:pt>
                <c:pt idx="379">
                  <c:v>358.63377609108164</c:v>
                </c:pt>
                <c:pt idx="380">
                  <c:v>359.58254269449714</c:v>
                </c:pt>
                <c:pt idx="381">
                  <c:v>360.53130929791268</c:v>
                </c:pt>
                <c:pt idx="382">
                  <c:v>361.48007590132829</c:v>
                </c:pt>
                <c:pt idx="383">
                  <c:v>362.42884250474384</c:v>
                </c:pt>
                <c:pt idx="384">
                  <c:v>363.37760910815939</c:v>
                </c:pt>
                <c:pt idx="385">
                  <c:v>364.326375711575</c:v>
                </c:pt>
                <c:pt idx="386">
                  <c:v>365.27514231499049</c:v>
                </c:pt>
                <c:pt idx="387">
                  <c:v>366.2239089184061</c:v>
                </c:pt>
                <c:pt idx="388">
                  <c:v>367.17267552182165</c:v>
                </c:pt>
                <c:pt idx="389">
                  <c:v>368.12144212523719</c:v>
                </c:pt>
                <c:pt idx="390">
                  <c:v>369.0702087286528</c:v>
                </c:pt>
                <c:pt idx="391">
                  <c:v>370.01897533206835</c:v>
                </c:pt>
                <c:pt idx="392">
                  <c:v>370.96774193548384</c:v>
                </c:pt>
                <c:pt idx="393">
                  <c:v>371.91650853889945</c:v>
                </c:pt>
                <c:pt idx="394">
                  <c:v>372.86527514231506</c:v>
                </c:pt>
                <c:pt idx="395">
                  <c:v>373.81404174573055</c:v>
                </c:pt>
                <c:pt idx="396">
                  <c:v>374.76280834914616</c:v>
                </c:pt>
                <c:pt idx="397">
                  <c:v>375.7115749525617</c:v>
                </c:pt>
                <c:pt idx="398">
                  <c:v>376.6603415559772</c:v>
                </c:pt>
                <c:pt idx="399">
                  <c:v>377.6091081593928</c:v>
                </c:pt>
                <c:pt idx="400">
                  <c:v>378.55787476280841</c:v>
                </c:pt>
                <c:pt idx="401">
                  <c:v>379.5066413662239</c:v>
                </c:pt>
                <c:pt idx="402">
                  <c:v>380.45540796963951</c:v>
                </c:pt>
                <c:pt idx="403">
                  <c:v>381.404174573055</c:v>
                </c:pt>
                <c:pt idx="404">
                  <c:v>382.35294117647055</c:v>
                </c:pt>
                <c:pt idx="405">
                  <c:v>383.30170777988621</c:v>
                </c:pt>
                <c:pt idx="406">
                  <c:v>384.25047438330176</c:v>
                </c:pt>
                <c:pt idx="407">
                  <c:v>385.19924098671726</c:v>
                </c:pt>
                <c:pt idx="408">
                  <c:v>386.14800759013286</c:v>
                </c:pt>
                <c:pt idx="409">
                  <c:v>387.09677419354836</c:v>
                </c:pt>
                <c:pt idx="410">
                  <c:v>388.04554079696391</c:v>
                </c:pt>
                <c:pt idx="411">
                  <c:v>388.99430740037957</c:v>
                </c:pt>
                <c:pt idx="412">
                  <c:v>389.94307400379512</c:v>
                </c:pt>
                <c:pt idx="413">
                  <c:v>390.89184060721061</c:v>
                </c:pt>
                <c:pt idx="414">
                  <c:v>391.84060721062622</c:v>
                </c:pt>
                <c:pt idx="415">
                  <c:v>392.78937381404171</c:v>
                </c:pt>
                <c:pt idx="416">
                  <c:v>393.73814041745732</c:v>
                </c:pt>
                <c:pt idx="417">
                  <c:v>394.68690702087292</c:v>
                </c:pt>
                <c:pt idx="418">
                  <c:v>395.63567362428842</c:v>
                </c:pt>
                <c:pt idx="419">
                  <c:v>396.58444022770396</c:v>
                </c:pt>
                <c:pt idx="420">
                  <c:v>397.53320683111957</c:v>
                </c:pt>
                <c:pt idx="421">
                  <c:v>398.48197343453506</c:v>
                </c:pt>
                <c:pt idx="422">
                  <c:v>399.43074003795067</c:v>
                </c:pt>
                <c:pt idx="423">
                  <c:v>400.37950664136628</c:v>
                </c:pt>
                <c:pt idx="424">
                  <c:v>401.32827324478177</c:v>
                </c:pt>
                <c:pt idx="425">
                  <c:v>402.27703984819732</c:v>
                </c:pt>
                <c:pt idx="426">
                  <c:v>403.22580645161293</c:v>
                </c:pt>
                <c:pt idx="427">
                  <c:v>404.17457305502842</c:v>
                </c:pt>
                <c:pt idx="428">
                  <c:v>405.12333965844402</c:v>
                </c:pt>
                <c:pt idx="429">
                  <c:v>406.07210626185963</c:v>
                </c:pt>
                <c:pt idx="430">
                  <c:v>407.02087286527512</c:v>
                </c:pt>
                <c:pt idx="431">
                  <c:v>407.96963946869067</c:v>
                </c:pt>
                <c:pt idx="432">
                  <c:v>408.91840607210628</c:v>
                </c:pt>
                <c:pt idx="433">
                  <c:v>409.86717267552183</c:v>
                </c:pt>
                <c:pt idx="434">
                  <c:v>410.81593927893738</c:v>
                </c:pt>
                <c:pt idx="435">
                  <c:v>411.76470588235298</c:v>
                </c:pt>
                <c:pt idx="436">
                  <c:v>412.71347248576848</c:v>
                </c:pt>
                <c:pt idx="437">
                  <c:v>413.66223908918403</c:v>
                </c:pt>
                <c:pt idx="438">
                  <c:v>414.61100569259963</c:v>
                </c:pt>
                <c:pt idx="439">
                  <c:v>415.55977229601518</c:v>
                </c:pt>
                <c:pt idx="440">
                  <c:v>416.50853889943073</c:v>
                </c:pt>
                <c:pt idx="441">
                  <c:v>417.45730550284634</c:v>
                </c:pt>
                <c:pt idx="442">
                  <c:v>418.40607210626183</c:v>
                </c:pt>
                <c:pt idx="443">
                  <c:v>419.35483870967738</c:v>
                </c:pt>
                <c:pt idx="444">
                  <c:v>420.30360531309304</c:v>
                </c:pt>
                <c:pt idx="445">
                  <c:v>421.25237191650854</c:v>
                </c:pt>
                <c:pt idx="446">
                  <c:v>422.20113851992409</c:v>
                </c:pt>
                <c:pt idx="447">
                  <c:v>423.14990512333969</c:v>
                </c:pt>
                <c:pt idx="448">
                  <c:v>424.09867172675519</c:v>
                </c:pt>
                <c:pt idx="449">
                  <c:v>425.04743833017073</c:v>
                </c:pt>
                <c:pt idx="450">
                  <c:v>425.9962049335864</c:v>
                </c:pt>
                <c:pt idx="451">
                  <c:v>426.94497153700189</c:v>
                </c:pt>
                <c:pt idx="452">
                  <c:v>427.89373814041744</c:v>
                </c:pt>
                <c:pt idx="453">
                  <c:v>428.84250474383305</c:v>
                </c:pt>
                <c:pt idx="454">
                  <c:v>429.79127134724854</c:v>
                </c:pt>
                <c:pt idx="455">
                  <c:v>430.74003795066415</c:v>
                </c:pt>
                <c:pt idx="456">
                  <c:v>431.68880455407975</c:v>
                </c:pt>
                <c:pt idx="457">
                  <c:v>432.63757115749524</c:v>
                </c:pt>
                <c:pt idx="458">
                  <c:v>433.58633776091085</c:v>
                </c:pt>
                <c:pt idx="459">
                  <c:v>434.5351043643264</c:v>
                </c:pt>
                <c:pt idx="460">
                  <c:v>435.48387096774189</c:v>
                </c:pt>
                <c:pt idx="461">
                  <c:v>436.43263757115756</c:v>
                </c:pt>
                <c:pt idx="462">
                  <c:v>437.38140417457311</c:v>
                </c:pt>
                <c:pt idx="463">
                  <c:v>438.3301707779886</c:v>
                </c:pt>
                <c:pt idx="464">
                  <c:v>439.27893738140421</c:v>
                </c:pt>
                <c:pt idx="465">
                  <c:v>440.22770398481975</c:v>
                </c:pt>
                <c:pt idx="466">
                  <c:v>441.1764705882353</c:v>
                </c:pt>
                <c:pt idx="467">
                  <c:v>442.12523719165091</c:v>
                </c:pt>
                <c:pt idx="468">
                  <c:v>443.07400379506646</c:v>
                </c:pt>
                <c:pt idx="469">
                  <c:v>444.02277039848195</c:v>
                </c:pt>
                <c:pt idx="470">
                  <c:v>444.97153700189756</c:v>
                </c:pt>
                <c:pt idx="471">
                  <c:v>445.92030360531311</c:v>
                </c:pt>
                <c:pt idx="472">
                  <c:v>446.86907020872866</c:v>
                </c:pt>
                <c:pt idx="473">
                  <c:v>447.81783681214426</c:v>
                </c:pt>
                <c:pt idx="474">
                  <c:v>448.76660341555981</c:v>
                </c:pt>
                <c:pt idx="475">
                  <c:v>449.71537001897531</c:v>
                </c:pt>
                <c:pt idx="476">
                  <c:v>450.66413662239091</c:v>
                </c:pt>
                <c:pt idx="477">
                  <c:v>451.61290322580646</c:v>
                </c:pt>
                <c:pt idx="478">
                  <c:v>452.56166982922201</c:v>
                </c:pt>
                <c:pt idx="479">
                  <c:v>453.51043643263762</c:v>
                </c:pt>
                <c:pt idx="480">
                  <c:v>454.45920303605317</c:v>
                </c:pt>
                <c:pt idx="481">
                  <c:v>455.40796963946866</c:v>
                </c:pt>
                <c:pt idx="482">
                  <c:v>456.35673624288427</c:v>
                </c:pt>
                <c:pt idx="483">
                  <c:v>457.30550284629987</c:v>
                </c:pt>
                <c:pt idx="484">
                  <c:v>458.25426944971537</c:v>
                </c:pt>
                <c:pt idx="485">
                  <c:v>459.20303605313097</c:v>
                </c:pt>
                <c:pt idx="486">
                  <c:v>460.15180265654652</c:v>
                </c:pt>
                <c:pt idx="487">
                  <c:v>461.10056925996201</c:v>
                </c:pt>
                <c:pt idx="488">
                  <c:v>462.04933586337762</c:v>
                </c:pt>
                <c:pt idx="489">
                  <c:v>462.99810246679323</c:v>
                </c:pt>
                <c:pt idx="490">
                  <c:v>463.94686907020872</c:v>
                </c:pt>
                <c:pt idx="491">
                  <c:v>464.89563567362433</c:v>
                </c:pt>
                <c:pt idx="492">
                  <c:v>465.84440227703982</c:v>
                </c:pt>
                <c:pt idx="493">
                  <c:v>466.79316888045537</c:v>
                </c:pt>
                <c:pt idx="494">
                  <c:v>467.74193548387103</c:v>
                </c:pt>
                <c:pt idx="495">
                  <c:v>468.69070208728658</c:v>
                </c:pt>
                <c:pt idx="496">
                  <c:v>469.63946869070207</c:v>
                </c:pt>
                <c:pt idx="497">
                  <c:v>470.58823529411768</c:v>
                </c:pt>
                <c:pt idx="498">
                  <c:v>471.53700189753317</c:v>
                </c:pt>
                <c:pt idx="499">
                  <c:v>472.48576850094872</c:v>
                </c:pt>
                <c:pt idx="500">
                  <c:v>473.43453510436439</c:v>
                </c:pt>
                <c:pt idx="501">
                  <c:v>474.38330170777988</c:v>
                </c:pt>
                <c:pt idx="502">
                  <c:v>475.33206831119543</c:v>
                </c:pt>
                <c:pt idx="503">
                  <c:v>476.28083491461103</c:v>
                </c:pt>
                <c:pt idx="504">
                  <c:v>477.22960151802653</c:v>
                </c:pt>
                <c:pt idx="505">
                  <c:v>478.17836812144213</c:v>
                </c:pt>
                <c:pt idx="506">
                  <c:v>479.12713472485774</c:v>
                </c:pt>
                <c:pt idx="507">
                  <c:v>480.07590132827323</c:v>
                </c:pt>
                <c:pt idx="508">
                  <c:v>481.02466793168878</c:v>
                </c:pt>
                <c:pt idx="509">
                  <c:v>481.97343453510439</c:v>
                </c:pt>
                <c:pt idx="510">
                  <c:v>482.92220113851988</c:v>
                </c:pt>
                <c:pt idx="511">
                  <c:v>483.87096774193549</c:v>
                </c:pt>
                <c:pt idx="512">
                  <c:v>484.81973434535109</c:v>
                </c:pt>
                <c:pt idx="513">
                  <c:v>485.76850094876659</c:v>
                </c:pt>
                <c:pt idx="514">
                  <c:v>486.71726755218214</c:v>
                </c:pt>
                <c:pt idx="515">
                  <c:v>487.66603415559774</c:v>
                </c:pt>
                <c:pt idx="516">
                  <c:v>488.61480075901324</c:v>
                </c:pt>
                <c:pt idx="517">
                  <c:v>489.56356736242884</c:v>
                </c:pt>
                <c:pt idx="518">
                  <c:v>490.51233396584445</c:v>
                </c:pt>
                <c:pt idx="519">
                  <c:v>491.46110056925994</c:v>
                </c:pt>
                <c:pt idx="520">
                  <c:v>492.40986717267549</c:v>
                </c:pt>
                <c:pt idx="521">
                  <c:v>493.3586337760911</c:v>
                </c:pt>
                <c:pt idx="522">
                  <c:v>494.30740037950665</c:v>
                </c:pt>
                <c:pt idx="523">
                  <c:v>495.2561669829222</c:v>
                </c:pt>
                <c:pt idx="524">
                  <c:v>496.2049335863378</c:v>
                </c:pt>
                <c:pt idx="525">
                  <c:v>497.15370018975329</c:v>
                </c:pt>
                <c:pt idx="526">
                  <c:v>498.1024667931689</c:v>
                </c:pt>
                <c:pt idx="527">
                  <c:v>499.05123339658445</c:v>
                </c:pt>
                <c:pt idx="528">
                  <c:v>500</c:v>
                </c:pt>
                <c:pt idx="529">
                  <c:v>500.94876660341561</c:v>
                </c:pt>
                <c:pt idx="530">
                  <c:v>501.89753320683116</c:v>
                </c:pt>
                <c:pt idx="531">
                  <c:v>502.84629981024665</c:v>
                </c:pt>
                <c:pt idx="532">
                  <c:v>503.79506641366225</c:v>
                </c:pt>
                <c:pt idx="533">
                  <c:v>504.74383301707786</c:v>
                </c:pt>
                <c:pt idx="534">
                  <c:v>505.69259962049335</c:v>
                </c:pt>
                <c:pt idx="535">
                  <c:v>506.64136622390896</c:v>
                </c:pt>
                <c:pt idx="536">
                  <c:v>507.59013282732451</c:v>
                </c:pt>
                <c:pt idx="537">
                  <c:v>508.53889943074</c:v>
                </c:pt>
                <c:pt idx="538">
                  <c:v>509.48766603415561</c:v>
                </c:pt>
                <c:pt idx="539">
                  <c:v>510.43643263757122</c:v>
                </c:pt>
                <c:pt idx="540">
                  <c:v>511.38519924098671</c:v>
                </c:pt>
                <c:pt idx="541">
                  <c:v>512.33396584440231</c:v>
                </c:pt>
                <c:pt idx="542">
                  <c:v>513.28273244781781</c:v>
                </c:pt>
                <c:pt idx="543">
                  <c:v>514.23149905123341</c:v>
                </c:pt>
                <c:pt idx="544">
                  <c:v>515.18026565464891</c:v>
                </c:pt>
                <c:pt idx="545">
                  <c:v>516.12903225806451</c:v>
                </c:pt>
                <c:pt idx="546">
                  <c:v>517.07779886148012</c:v>
                </c:pt>
                <c:pt idx="547">
                  <c:v>518.02656546489573</c:v>
                </c:pt>
                <c:pt idx="548">
                  <c:v>518.97533206831122</c:v>
                </c:pt>
                <c:pt idx="549">
                  <c:v>519.92409867172671</c:v>
                </c:pt>
                <c:pt idx="550">
                  <c:v>520.87286527514243</c:v>
                </c:pt>
                <c:pt idx="551">
                  <c:v>521.82163187855792</c:v>
                </c:pt>
                <c:pt idx="552">
                  <c:v>522.77039848197342</c:v>
                </c:pt>
                <c:pt idx="553">
                  <c:v>523.71916508538902</c:v>
                </c:pt>
                <c:pt idx="554">
                  <c:v>524.66793168880452</c:v>
                </c:pt>
                <c:pt idx="555">
                  <c:v>525.61669829222012</c:v>
                </c:pt>
                <c:pt idx="556">
                  <c:v>526.56546489563573</c:v>
                </c:pt>
                <c:pt idx="557">
                  <c:v>527.51423149905122</c:v>
                </c:pt>
                <c:pt idx="558">
                  <c:v>528.46299810246683</c:v>
                </c:pt>
                <c:pt idx="559">
                  <c:v>529.41176470588232</c:v>
                </c:pt>
                <c:pt idx="560">
                  <c:v>530.36053130929793</c:v>
                </c:pt>
                <c:pt idx="561">
                  <c:v>531.30929791271353</c:v>
                </c:pt>
                <c:pt idx="562">
                  <c:v>532.25806451612902</c:v>
                </c:pt>
                <c:pt idx="563">
                  <c:v>533.20683111954463</c:v>
                </c:pt>
                <c:pt idx="564">
                  <c:v>534.15559772296012</c:v>
                </c:pt>
                <c:pt idx="565">
                  <c:v>535.10436432637573</c:v>
                </c:pt>
                <c:pt idx="566">
                  <c:v>536.05313092979122</c:v>
                </c:pt>
                <c:pt idx="567">
                  <c:v>537.00189753320683</c:v>
                </c:pt>
                <c:pt idx="568">
                  <c:v>537.95066413662244</c:v>
                </c:pt>
                <c:pt idx="569">
                  <c:v>538.89943074003793</c:v>
                </c:pt>
                <c:pt idx="570">
                  <c:v>539.84819734345353</c:v>
                </c:pt>
                <c:pt idx="571">
                  <c:v>540.79696394686903</c:v>
                </c:pt>
                <c:pt idx="572">
                  <c:v>541.74573055028463</c:v>
                </c:pt>
                <c:pt idx="573">
                  <c:v>542.69449715370024</c:v>
                </c:pt>
                <c:pt idx="574">
                  <c:v>543.64326375711573</c:v>
                </c:pt>
                <c:pt idx="575">
                  <c:v>544.59203036053134</c:v>
                </c:pt>
                <c:pt idx="576">
                  <c:v>545.54079696394683</c:v>
                </c:pt>
                <c:pt idx="577">
                  <c:v>546.48956356736244</c:v>
                </c:pt>
                <c:pt idx="578">
                  <c:v>547.43833017077804</c:v>
                </c:pt>
                <c:pt idx="579">
                  <c:v>548.38709677419354</c:v>
                </c:pt>
                <c:pt idx="580">
                  <c:v>549.33586337760914</c:v>
                </c:pt>
                <c:pt idx="581">
                  <c:v>550.28462998102464</c:v>
                </c:pt>
                <c:pt idx="582">
                  <c:v>551.23339658444024</c:v>
                </c:pt>
                <c:pt idx="583">
                  <c:v>552.18216318785585</c:v>
                </c:pt>
                <c:pt idx="584">
                  <c:v>553.13092979127134</c:v>
                </c:pt>
                <c:pt idx="585">
                  <c:v>554.07969639468695</c:v>
                </c:pt>
                <c:pt idx="586">
                  <c:v>555.02846299810244</c:v>
                </c:pt>
                <c:pt idx="587">
                  <c:v>555.97722960151805</c:v>
                </c:pt>
                <c:pt idx="588">
                  <c:v>556.92599620493354</c:v>
                </c:pt>
                <c:pt idx="589">
                  <c:v>557.87476280834915</c:v>
                </c:pt>
                <c:pt idx="590">
                  <c:v>558.82352941176475</c:v>
                </c:pt>
                <c:pt idx="591">
                  <c:v>559.77229601518036</c:v>
                </c:pt>
                <c:pt idx="592">
                  <c:v>560.72106261859585</c:v>
                </c:pt>
                <c:pt idx="593">
                  <c:v>561.66982922201134</c:v>
                </c:pt>
                <c:pt idx="594">
                  <c:v>562.61859582542695</c:v>
                </c:pt>
                <c:pt idx="595">
                  <c:v>563.56736242884244</c:v>
                </c:pt>
                <c:pt idx="596">
                  <c:v>564.51612903225816</c:v>
                </c:pt>
                <c:pt idx="597">
                  <c:v>565.46489563567366</c:v>
                </c:pt>
                <c:pt idx="598">
                  <c:v>566.41366223908915</c:v>
                </c:pt>
                <c:pt idx="599">
                  <c:v>567.36242884250476</c:v>
                </c:pt>
                <c:pt idx="600">
                  <c:v>568.31119544592025</c:v>
                </c:pt>
                <c:pt idx="601">
                  <c:v>569.25996204933585</c:v>
                </c:pt>
                <c:pt idx="602">
                  <c:v>570.20872865275146</c:v>
                </c:pt>
                <c:pt idx="603">
                  <c:v>571.15749525616707</c:v>
                </c:pt>
                <c:pt idx="604">
                  <c:v>572.10626185958256</c:v>
                </c:pt>
                <c:pt idx="605">
                  <c:v>573.05502846299805</c:v>
                </c:pt>
                <c:pt idx="606">
                  <c:v>574.00379506641366</c:v>
                </c:pt>
                <c:pt idx="607">
                  <c:v>574.95256166982915</c:v>
                </c:pt>
                <c:pt idx="608">
                  <c:v>575.90132827324487</c:v>
                </c:pt>
                <c:pt idx="609">
                  <c:v>576.85009487666048</c:v>
                </c:pt>
                <c:pt idx="610">
                  <c:v>577.79886148007586</c:v>
                </c:pt>
                <c:pt idx="611">
                  <c:v>578.74762808349146</c:v>
                </c:pt>
                <c:pt idx="612">
                  <c:v>579.69639468690696</c:v>
                </c:pt>
                <c:pt idx="613">
                  <c:v>580.64516129032256</c:v>
                </c:pt>
                <c:pt idx="614">
                  <c:v>581.59392789373828</c:v>
                </c:pt>
                <c:pt idx="615">
                  <c:v>582.54269449715378</c:v>
                </c:pt>
                <c:pt idx="616">
                  <c:v>583.49146110056927</c:v>
                </c:pt>
                <c:pt idx="617">
                  <c:v>584.44022770398476</c:v>
                </c:pt>
                <c:pt idx="618">
                  <c:v>585.38899430740037</c:v>
                </c:pt>
                <c:pt idx="619">
                  <c:v>586.33776091081586</c:v>
                </c:pt>
                <c:pt idx="620">
                  <c:v>587.28652751423158</c:v>
                </c:pt>
                <c:pt idx="621">
                  <c:v>588.23529411764719</c:v>
                </c:pt>
                <c:pt idx="622">
                  <c:v>589.18406072106256</c:v>
                </c:pt>
                <c:pt idx="623">
                  <c:v>590.13282732447817</c:v>
                </c:pt>
                <c:pt idx="624">
                  <c:v>591.08159392789366</c:v>
                </c:pt>
                <c:pt idx="625">
                  <c:v>592.03036053130927</c:v>
                </c:pt>
                <c:pt idx="626">
                  <c:v>592.97912713472499</c:v>
                </c:pt>
                <c:pt idx="627">
                  <c:v>593.92789373814048</c:v>
                </c:pt>
                <c:pt idx="628">
                  <c:v>594.87666034155598</c:v>
                </c:pt>
                <c:pt idx="629">
                  <c:v>595.82542694497147</c:v>
                </c:pt>
                <c:pt idx="630">
                  <c:v>596.77419354838707</c:v>
                </c:pt>
                <c:pt idx="631">
                  <c:v>597.72296015180279</c:v>
                </c:pt>
                <c:pt idx="632">
                  <c:v>598.67172675521829</c:v>
                </c:pt>
                <c:pt idx="633">
                  <c:v>599.62049335863389</c:v>
                </c:pt>
                <c:pt idx="634">
                  <c:v>600.56925996204927</c:v>
                </c:pt>
                <c:pt idx="635">
                  <c:v>601.51802656546488</c:v>
                </c:pt>
                <c:pt idx="636">
                  <c:v>602.46679316888049</c:v>
                </c:pt>
                <c:pt idx="637">
                  <c:v>603.41555977229609</c:v>
                </c:pt>
                <c:pt idx="638">
                  <c:v>604.3643263757117</c:v>
                </c:pt>
                <c:pt idx="639">
                  <c:v>605.31309297912708</c:v>
                </c:pt>
                <c:pt idx="640">
                  <c:v>606.26185958254268</c:v>
                </c:pt>
                <c:pt idx="641">
                  <c:v>607.21062618595818</c:v>
                </c:pt>
                <c:pt idx="642">
                  <c:v>608.15939278937378</c:v>
                </c:pt>
                <c:pt idx="643">
                  <c:v>609.1081593927895</c:v>
                </c:pt>
                <c:pt idx="644">
                  <c:v>610.056925996205</c:v>
                </c:pt>
                <c:pt idx="645">
                  <c:v>611.0056925996206</c:v>
                </c:pt>
                <c:pt idx="646">
                  <c:v>611.95445920303598</c:v>
                </c:pt>
                <c:pt idx="647">
                  <c:v>612.90322580645159</c:v>
                </c:pt>
                <c:pt idx="648">
                  <c:v>613.85199240986719</c:v>
                </c:pt>
                <c:pt idx="649">
                  <c:v>614.8007590132828</c:v>
                </c:pt>
                <c:pt idx="650">
                  <c:v>615.74952561669841</c:v>
                </c:pt>
                <c:pt idx="651">
                  <c:v>616.69829222011379</c:v>
                </c:pt>
                <c:pt idx="652">
                  <c:v>617.64705882352939</c:v>
                </c:pt>
                <c:pt idx="653">
                  <c:v>618.595825426945</c:v>
                </c:pt>
                <c:pt idx="654">
                  <c:v>619.54459203036049</c:v>
                </c:pt>
                <c:pt idx="655">
                  <c:v>620.49335863377621</c:v>
                </c:pt>
                <c:pt idx="656">
                  <c:v>621.4421252371917</c:v>
                </c:pt>
                <c:pt idx="657">
                  <c:v>622.3908918406072</c:v>
                </c:pt>
                <c:pt idx="658">
                  <c:v>623.33965844402269</c:v>
                </c:pt>
                <c:pt idx="659">
                  <c:v>624.2884250474383</c:v>
                </c:pt>
                <c:pt idx="660">
                  <c:v>625.2371916508539</c:v>
                </c:pt>
                <c:pt idx="661">
                  <c:v>626.18595825426951</c:v>
                </c:pt>
                <c:pt idx="662">
                  <c:v>627.13472485768511</c:v>
                </c:pt>
                <c:pt idx="663">
                  <c:v>628.08349146110049</c:v>
                </c:pt>
                <c:pt idx="664">
                  <c:v>629.0322580645161</c:v>
                </c:pt>
                <c:pt idx="665">
                  <c:v>629.98102466793171</c:v>
                </c:pt>
                <c:pt idx="666">
                  <c:v>630.9297912713472</c:v>
                </c:pt>
                <c:pt idx="667">
                  <c:v>631.87855787476292</c:v>
                </c:pt>
                <c:pt idx="668">
                  <c:v>632.82732447817841</c:v>
                </c:pt>
                <c:pt idx="669">
                  <c:v>633.7760910815939</c:v>
                </c:pt>
                <c:pt idx="670">
                  <c:v>634.72485768500951</c:v>
                </c:pt>
                <c:pt idx="671">
                  <c:v>635.673624288425</c:v>
                </c:pt>
                <c:pt idx="672">
                  <c:v>636.62239089184061</c:v>
                </c:pt>
                <c:pt idx="673">
                  <c:v>637.57115749525622</c:v>
                </c:pt>
                <c:pt idx="674">
                  <c:v>638.51992409867182</c:v>
                </c:pt>
                <c:pt idx="675">
                  <c:v>639.46869070208732</c:v>
                </c:pt>
                <c:pt idx="676">
                  <c:v>640.41745730550281</c:v>
                </c:pt>
                <c:pt idx="677">
                  <c:v>641.36622390891841</c:v>
                </c:pt>
                <c:pt idx="678">
                  <c:v>642.31499051233391</c:v>
                </c:pt>
                <c:pt idx="679">
                  <c:v>643.26375711574963</c:v>
                </c:pt>
                <c:pt idx="680">
                  <c:v>644.21252371916512</c:v>
                </c:pt>
                <c:pt idx="681">
                  <c:v>645.16129032258061</c:v>
                </c:pt>
                <c:pt idx="682">
                  <c:v>646.11005692599622</c:v>
                </c:pt>
                <c:pt idx="683">
                  <c:v>647.05882352941171</c:v>
                </c:pt>
                <c:pt idx="684">
                  <c:v>648.00759013282732</c:v>
                </c:pt>
                <c:pt idx="685">
                  <c:v>648.95635673624292</c:v>
                </c:pt>
                <c:pt idx="686">
                  <c:v>649.90512333965853</c:v>
                </c:pt>
                <c:pt idx="687">
                  <c:v>650.85388994307402</c:v>
                </c:pt>
                <c:pt idx="688">
                  <c:v>651.80265654648952</c:v>
                </c:pt>
                <c:pt idx="689">
                  <c:v>652.75142314990512</c:v>
                </c:pt>
                <c:pt idx="690">
                  <c:v>653.70018975332061</c:v>
                </c:pt>
                <c:pt idx="691">
                  <c:v>654.64895635673633</c:v>
                </c:pt>
                <c:pt idx="692">
                  <c:v>655.59772296015194</c:v>
                </c:pt>
                <c:pt idx="693">
                  <c:v>656.54648956356732</c:v>
                </c:pt>
                <c:pt idx="694">
                  <c:v>657.49525616698293</c:v>
                </c:pt>
                <c:pt idx="695">
                  <c:v>658.44402277039842</c:v>
                </c:pt>
                <c:pt idx="696">
                  <c:v>659.39278937381403</c:v>
                </c:pt>
                <c:pt idx="697">
                  <c:v>660.34155597722963</c:v>
                </c:pt>
                <c:pt idx="698">
                  <c:v>661.29032258064524</c:v>
                </c:pt>
                <c:pt idx="699">
                  <c:v>662.23908918406073</c:v>
                </c:pt>
                <c:pt idx="700">
                  <c:v>663.18785578747622</c:v>
                </c:pt>
                <c:pt idx="701">
                  <c:v>664.13662239089183</c:v>
                </c:pt>
                <c:pt idx="702">
                  <c:v>665.08538899430744</c:v>
                </c:pt>
                <c:pt idx="703">
                  <c:v>666.03415559772304</c:v>
                </c:pt>
                <c:pt idx="704">
                  <c:v>666.98292220113865</c:v>
                </c:pt>
                <c:pt idx="705">
                  <c:v>667.93168880455403</c:v>
                </c:pt>
                <c:pt idx="706">
                  <c:v>668.88045540796963</c:v>
                </c:pt>
                <c:pt idx="707">
                  <c:v>669.82922201138513</c:v>
                </c:pt>
                <c:pt idx="708">
                  <c:v>670.77798861480085</c:v>
                </c:pt>
                <c:pt idx="709">
                  <c:v>671.72675521821645</c:v>
                </c:pt>
                <c:pt idx="710">
                  <c:v>672.67552182163195</c:v>
                </c:pt>
                <c:pt idx="711">
                  <c:v>673.62428842504744</c:v>
                </c:pt>
                <c:pt idx="712">
                  <c:v>674.57305502846293</c:v>
                </c:pt>
                <c:pt idx="713">
                  <c:v>675.52182163187854</c:v>
                </c:pt>
                <c:pt idx="714">
                  <c:v>676.47058823529426</c:v>
                </c:pt>
                <c:pt idx="715">
                  <c:v>677.41935483870975</c:v>
                </c:pt>
                <c:pt idx="716">
                  <c:v>678.36812144212536</c:v>
                </c:pt>
                <c:pt idx="717">
                  <c:v>679.31688804554074</c:v>
                </c:pt>
                <c:pt idx="718">
                  <c:v>680.26565464895634</c:v>
                </c:pt>
                <c:pt idx="719">
                  <c:v>681.21442125237184</c:v>
                </c:pt>
                <c:pt idx="720">
                  <c:v>682.16318785578756</c:v>
                </c:pt>
                <c:pt idx="721">
                  <c:v>683.11195445920316</c:v>
                </c:pt>
                <c:pt idx="722">
                  <c:v>684.06072106261854</c:v>
                </c:pt>
                <c:pt idx="723">
                  <c:v>685.00948766603415</c:v>
                </c:pt>
                <c:pt idx="724">
                  <c:v>685.95825426944964</c:v>
                </c:pt>
                <c:pt idx="725">
                  <c:v>686.90702087286525</c:v>
                </c:pt>
                <c:pt idx="726">
                  <c:v>687.85578747628097</c:v>
                </c:pt>
                <c:pt idx="727">
                  <c:v>688.80455407969646</c:v>
                </c:pt>
                <c:pt idx="728">
                  <c:v>689.75332068311207</c:v>
                </c:pt>
                <c:pt idx="729">
                  <c:v>690.70208728652744</c:v>
                </c:pt>
                <c:pt idx="730">
                  <c:v>691.65085388994305</c:v>
                </c:pt>
                <c:pt idx="731">
                  <c:v>692.59962049335866</c:v>
                </c:pt>
                <c:pt idx="732">
                  <c:v>693.54838709677426</c:v>
                </c:pt>
                <c:pt idx="733">
                  <c:v>694.49715370018987</c:v>
                </c:pt>
                <c:pt idx="734">
                  <c:v>695.44592030360525</c:v>
                </c:pt>
                <c:pt idx="735">
                  <c:v>696.39468690702085</c:v>
                </c:pt>
                <c:pt idx="736">
                  <c:v>697.34345351043646</c:v>
                </c:pt>
                <c:pt idx="737">
                  <c:v>698.29222011385195</c:v>
                </c:pt>
                <c:pt idx="738">
                  <c:v>699.24098671726767</c:v>
                </c:pt>
                <c:pt idx="739">
                  <c:v>700.18975332068317</c:v>
                </c:pt>
                <c:pt idx="740">
                  <c:v>701.13851992409866</c:v>
                </c:pt>
                <c:pt idx="741">
                  <c:v>702.08728652751415</c:v>
                </c:pt>
                <c:pt idx="742">
                  <c:v>703.03605313092976</c:v>
                </c:pt>
                <c:pt idx="743">
                  <c:v>703.98481973434536</c:v>
                </c:pt>
                <c:pt idx="744">
                  <c:v>704.93358633776097</c:v>
                </c:pt>
                <c:pt idx="745">
                  <c:v>705.88235294117658</c:v>
                </c:pt>
                <c:pt idx="746">
                  <c:v>706.83111954459196</c:v>
                </c:pt>
                <c:pt idx="747">
                  <c:v>707.77988614800756</c:v>
                </c:pt>
                <c:pt idx="748">
                  <c:v>708.72865275142317</c:v>
                </c:pt>
                <c:pt idx="749">
                  <c:v>709.67741935483866</c:v>
                </c:pt>
                <c:pt idx="750">
                  <c:v>710.62618595825438</c:v>
                </c:pt>
                <c:pt idx="751">
                  <c:v>711.57495256166987</c:v>
                </c:pt>
                <c:pt idx="752">
                  <c:v>712.52371916508537</c:v>
                </c:pt>
                <c:pt idx="753">
                  <c:v>713.47248576850097</c:v>
                </c:pt>
                <c:pt idx="754">
                  <c:v>714.42125237191647</c:v>
                </c:pt>
                <c:pt idx="755">
                  <c:v>715.37001897533207</c:v>
                </c:pt>
                <c:pt idx="756">
                  <c:v>716.31878557874768</c:v>
                </c:pt>
                <c:pt idx="757">
                  <c:v>717.26755218216329</c:v>
                </c:pt>
                <c:pt idx="758">
                  <c:v>718.21631878557866</c:v>
                </c:pt>
                <c:pt idx="759">
                  <c:v>719.16508538899427</c:v>
                </c:pt>
                <c:pt idx="760">
                  <c:v>720.11385199240988</c:v>
                </c:pt>
                <c:pt idx="761">
                  <c:v>721.06261859582537</c:v>
                </c:pt>
                <c:pt idx="762">
                  <c:v>722.01138519924109</c:v>
                </c:pt>
                <c:pt idx="763">
                  <c:v>722.96015180265658</c:v>
                </c:pt>
                <c:pt idx="764">
                  <c:v>723.90891840607208</c:v>
                </c:pt>
                <c:pt idx="765">
                  <c:v>724.85768500948768</c:v>
                </c:pt>
                <c:pt idx="766">
                  <c:v>725.80645161290317</c:v>
                </c:pt>
                <c:pt idx="767">
                  <c:v>726.75521821631878</c:v>
                </c:pt>
                <c:pt idx="768">
                  <c:v>727.70398481973439</c:v>
                </c:pt>
                <c:pt idx="769">
                  <c:v>728.65275142314999</c:v>
                </c:pt>
                <c:pt idx="770">
                  <c:v>729.60151802656549</c:v>
                </c:pt>
                <c:pt idx="771">
                  <c:v>730.55028462998098</c:v>
                </c:pt>
                <c:pt idx="772">
                  <c:v>731.49905123339659</c:v>
                </c:pt>
                <c:pt idx="773">
                  <c:v>732.44781783681219</c:v>
                </c:pt>
                <c:pt idx="774">
                  <c:v>733.3965844402278</c:v>
                </c:pt>
                <c:pt idx="775">
                  <c:v>734.34535104364329</c:v>
                </c:pt>
                <c:pt idx="776">
                  <c:v>735.29411764705878</c:v>
                </c:pt>
                <c:pt idx="777">
                  <c:v>736.24288425047439</c:v>
                </c:pt>
                <c:pt idx="778">
                  <c:v>737.19165085388988</c:v>
                </c:pt>
                <c:pt idx="779">
                  <c:v>738.1404174573056</c:v>
                </c:pt>
                <c:pt idx="780">
                  <c:v>739.0891840607211</c:v>
                </c:pt>
                <c:pt idx="781">
                  <c:v>740.0379506641367</c:v>
                </c:pt>
                <c:pt idx="782">
                  <c:v>740.98671726755219</c:v>
                </c:pt>
                <c:pt idx="783">
                  <c:v>741.93548387096769</c:v>
                </c:pt>
                <c:pt idx="784">
                  <c:v>742.88425047438329</c:v>
                </c:pt>
                <c:pt idx="785">
                  <c:v>743.8330170777989</c:v>
                </c:pt>
                <c:pt idx="786">
                  <c:v>744.78178368121451</c:v>
                </c:pt>
                <c:pt idx="787">
                  <c:v>745.73055028463011</c:v>
                </c:pt>
                <c:pt idx="788">
                  <c:v>746.67931688804549</c:v>
                </c:pt>
                <c:pt idx="789">
                  <c:v>747.6280834914611</c:v>
                </c:pt>
                <c:pt idx="790">
                  <c:v>748.57685009487659</c:v>
                </c:pt>
                <c:pt idx="791">
                  <c:v>749.52561669829231</c:v>
                </c:pt>
                <c:pt idx="792">
                  <c:v>750.47438330170792</c:v>
                </c:pt>
                <c:pt idx="793">
                  <c:v>751.42314990512341</c:v>
                </c:pt>
                <c:pt idx="794">
                  <c:v>752.3719165085389</c:v>
                </c:pt>
                <c:pt idx="795">
                  <c:v>753.32068311195439</c:v>
                </c:pt>
                <c:pt idx="796">
                  <c:v>754.26944971537</c:v>
                </c:pt>
                <c:pt idx="797">
                  <c:v>755.21821631878561</c:v>
                </c:pt>
                <c:pt idx="798">
                  <c:v>756.16698292220121</c:v>
                </c:pt>
                <c:pt idx="799">
                  <c:v>757.11574952561682</c:v>
                </c:pt>
                <c:pt idx="800">
                  <c:v>758.0645161290322</c:v>
                </c:pt>
                <c:pt idx="801">
                  <c:v>759.01328273244781</c:v>
                </c:pt>
                <c:pt idx="802">
                  <c:v>759.9620493358633</c:v>
                </c:pt>
                <c:pt idx="803">
                  <c:v>760.91081593927902</c:v>
                </c:pt>
                <c:pt idx="804">
                  <c:v>761.85958254269462</c:v>
                </c:pt>
                <c:pt idx="805">
                  <c:v>762.80834914611</c:v>
                </c:pt>
                <c:pt idx="806">
                  <c:v>763.75711574952561</c:v>
                </c:pt>
                <c:pt idx="807">
                  <c:v>764.7058823529411</c:v>
                </c:pt>
                <c:pt idx="808">
                  <c:v>765.65464895635671</c:v>
                </c:pt>
                <c:pt idx="809">
                  <c:v>766.60341555977243</c:v>
                </c:pt>
                <c:pt idx="810">
                  <c:v>767.55218216318792</c:v>
                </c:pt>
                <c:pt idx="811">
                  <c:v>768.50094876660353</c:v>
                </c:pt>
                <c:pt idx="812">
                  <c:v>769.44971537001891</c:v>
                </c:pt>
                <c:pt idx="813">
                  <c:v>770.39848197343451</c:v>
                </c:pt>
                <c:pt idx="814">
                  <c:v>771.34724857685012</c:v>
                </c:pt>
                <c:pt idx="815">
                  <c:v>772.29601518026573</c:v>
                </c:pt>
                <c:pt idx="816">
                  <c:v>773.24478178368133</c:v>
                </c:pt>
                <c:pt idx="817">
                  <c:v>774.19354838709671</c:v>
                </c:pt>
                <c:pt idx="818">
                  <c:v>775.14231499051232</c:v>
                </c:pt>
                <c:pt idx="819">
                  <c:v>776.09108159392781</c:v>
                </c:pt>
                <c:pt idx="820">
                  <c:v>777.03984819734342</c:v>
                </c:pt>
                <c:pt idx="821">
                  <c:v>777.98861480075914</c:v>
                </c:pt>
                <c:pt idx="822">
                  <c:v>778.93738140417463</c:v>
                </c:pt>
                <c:pt idx="823">
                  <c:v>779.88614800759024</c:v>
                </c:pt>
                <c:pt idx="824">
                  <c:v>780.83491461100562</c:v>
                </c:pt>
                <c:pt idx="825">
                  <c:v>781.78368121442122</c:v>
                </c:pt>
                <c:pt idx="826">
                  <c:v>782.73244781783683</c:v>
                </c:pt>
                <c:pt idx="827">
                  <c:v>783.68121442125243</c:v>
                </c:pt>
                <c:pt idx="828">
                  <c:v>784.62998102466804</c:v>
                </c:pt>
                <c:pt idx="829">
                  <c:v>785.57874762808342</c:v>
                </c:pt>
                <c:pt idx="830">
                  <c:v>786.52751423149903</c:v>
                </c:pt>
                <c:pt idx="831">
                  <c:v>787.47628083491463</c:v>
                </c:pt>
                <c:pt idx="832">
                  <c:v>788.42504743833013</c:v>
                </c:pt>
                <c:pt idx="833">
                  <c:v>789.37381404174585</c:v>
                </c:pt>
                <c:pt idx="834">
                  <c:v>790.32258064516134</c:v>
                </c:pt>
                <c:pt idx="835">
                  <c:v>791.27134724857683</c:v>
                </c:pt>
                <c:pt idx="836">
                  <c:v>792.22011385199232</c:v>
                </c:pt>
                <c:pt idx="837">
                  <c:v>793.16888045540793</c:v>
                </c:pt>
                <c:pt idx="838">
                  <c:v>794.11764705882354</c:v>
                </c:pt>
                <c:pt idx="839">
                  <c:v>795.06641366223914</c:v>
                </c:pt>
                <c:pt idx="840">
                  <c:v>796.01518026565475</c:v>
                </c:pt>
                <c:pt idx="841">
                  <c:v>796.96394686907013</c:v>
                </c:pt>
                <c:pt idx="842">
                  <c:v>797.91271347248573</c:v>
                </c:pt>
                <c:pt idx="843">
                  <c:v>798.86148007590134</c:v>
                </c:pt>
                <c:pt idx="844">
                  <c:v>799.81024667931695</c:v>
                </c:pt>
                <c:pt idx="845">
                  <c:v>800.75901328273255</c:v>
                </c:pt>
                <c:pt idx="846">
                  <c:v>801.70777988614805</c:v>
                </c:pt>
                <c:pt idx="847">
                  <c:v>802.65654648956354</c:v>
                </c:pt>
                <c:pt idx="848">
                  <c:v>803.60531309297915</c:v>
                </c:pt>
                <c:pt idx="849">
                  <c:v>804.55407969639464</c:v>
                </c:pt>
                <c:pt idx="850">
                  <c:v>805.50284629981036</c:v>
                </c:pt>
                <c:pt idx="851">
                  <c:v>806.45161290322585</c:v>
                </c:pt>
                <c:pt idx="852">
                  <c:v>807.40037950664146</c:v>
                </c:pt>
                <c:pt idx="853">
                  <c:v>808.34914611005684</c:v>
                </c:pt>
                <c:pt idx="854">
                  <c:v>809.29791271347244</c:v>
                </c:pt>
                <c:pt idx="855">
                  <c:v>810.24667931688805</c:v>
                </c:pt>
                <c:pt idx="856">
                  <c:v>811.19544592030365</c:v>
                </c:pt>
                <c:pt idx="857">
                  <c:v>812.14421252371926</c:v>
                </c:pt>
                <c:pt idx="858">
                  <c:v>813.09297912713475</c:v>
                </c:pt>
                <c:pt idx="859">
                  <c:v>814.04174573055025</c:v>
                </c:pt>
                <c:pt idx="860">
                  <c:v>814.99051233396585</c:v>
                </c:pt>
                <c:pt idx="861">
                  <c:v>815.93927893738135</c:v>
                </c:pt>
                <c:pt idx="862">
                  <c:v>816.88804554079707</c:v>
                </c:pt>
                <c:pt idx="863">
                  <c:v>817.83681214421256</c:v>
                </c:pt>
                <c:pt idx="864">
                  <c:v>818.78557874762816</c:v>
                </c:pt>
                <c:pt idx="865">
                  <c:v>819.73434535104366</c:v>
                </c:pt>
                <c:pt idx="866">
                  <c:v>820.68311195445915</c:v>
                </c:pt>
                <c:pt idx="867">
                  <c:v>821.63187855787476</c:v>
                </c:pt>
                <c:pt idx="868">
                  <c:v>822.58064516129036</c:v>
                </c:pt>
                <c:pt idx="869">
                  <c:v>823.52941176470597</c:v>
                </c:pt>
                <c:pt idx="870">
                  <c:v>824.47817836812158</c:v>
                </c:pt>
                <c:pt idx="871">
                  <c:v>825.42694497153695</c:v>
                </c:pt>
                <c:pt idx="872">
                  <c:v>826.37571157495256</c:v>
                </c:pt>
                <c:pt idx="873">
                  <c:v>827.32447817836805</c:v>
                </c:pt>
                <c:pt idx="874">
                  <c:v>828.27324478178377</c:v>
                </c:pt>
                <c:pt idx="875">
                  <c:v>829.22201138519927</c:v>
                </c:pt>
                <c:pt idx="876">
                  <c:v>830.17077798861487</c:v>
                </c:pt>
                <c:pt idx="877">
                  <c:v>831.11954459203037</c:v>
                </c:pt>
                <c:pt idx="878">
                  <c:v>832.06831119544586</c:v>
                </c:pt>
                <c:pt idx="879">
                  <c:v>833.01707779886146</c:v>
                </c:pt>
                <c:pt idx="880">
                  <c:v>833.96584440227707</c:v>
                </c:pt>
                <c:pt idx="881">
                  <c:v>834.91461100569268</c:v>
                </c:pt>
                <c:pt idx="882">
                  <c:v>835.86337760910828</c:v>
                </c:pt>
                <c:pt idx="883">
                  <c:v>836.81214421252366</c:v>
                </c:pt>
                <c:pt idx="884">
                  <c:v>837.76091081593927</c:v>
                </c:pt>
                <c:pt idx="885">
                  <c:v>838.70967741935476</c:v>
                </c:pt>
                <c:pt idx="886">
                  <c:v>839.65844402277048</c:v>
                </c:pt>
                <c:pt idx="887">
                  <c:v>840.60721062618609</c:v>
                </c:pt>
                <c:pt idx="888">
                  <c:v>841.55597722960158</c:v>
                </c:pt>
                <c:pt idx="889">
                  <c:v>842.50474383301707</c:v>
                </c:pt>
                <c:pt idx="890">
                  <c:v>843.45351043643257</c:v>
                </c:pt>
                <c:pt idx="891">
                  <c:v>844.40227703984817</c:v>
                </c:pt>
                <c:pt idx="892">
                  <c:v>845.35104364326378</c:v>
                </c:pt>
                <c:pt idx="893">
                  <c:v>846.29981024667939</c:v>
                </c:pt>
                <c:pt idx="894">
                  <c:v>847.24857685009499</c:v>
                </c:pt>
                <c:pt idx="895">
                  <c:v>848.19734345351037</c:v>
                </c:pt>
                <c:pt idx="896">
                  <c:v>849.14611005692598</c:v>
                </c:pt>
                <c:pt idx="897">
                  <c:v>850.09487666034147</c:v>
                </c:pt>
                <c:pt idx="898">
                  <c:v>851.04364326375719</c:v>
                </c:pt>
                <c:pt idx="899">
                  <c:v>851.9924098671728</c:v>
                </c:pt>
                <c:pt idx="900">
                  <c:v>852.94117647058818</c:v>
                </c:pt>
                <c:pt idx="901">
                  <c:v>853.88994307400378</c:v>
                </c:pt>
                <c:pt idx="902">
                  <c:v>854.83870967741927</c:v>
                </c:pt>
                <c:pt idx="903">
                  <c:v>855.78747628083488</c:v>
                </c:pt>
                <c:pt idx="904">
                  <c:v>856.7362428842506</c:v>
                </c:pt>
                <c:pt idx="905">
                  <c:v>857.68500948766609</c:v>
                </c:pt>
                <c:pt idx="906">
                  <c:v>858.6337760910817</c:v>
                </c:pt>
                <c:pt idx="907">
                  <c:v>859.58254269449708</c:v>
                </c:pt>
                <c:pt idx="908">
                  <c:v>860.53130929791268</c:v>
                </c:pt>
                <c:pt idx="909">
                  <c:v>861.48007590132829</c:v>
                </c:pt>
                <c:pt idx="910">
                  <c:v>862.4288425047439</c:v>
                </c:pt>
                <c:pt idx="911">
                  <c:v>863.3776091081595</c:v>
                </c:pt>
                <c:pt idx="912">
                  <c:v>864.32637571157488</c:v>
                </c:pt>
                <c:pt idx="913">
                  <c:v>865.27514231499049</c:v>
                </c:pt>
                <c:pt idx="914">
                  <c:v>866.22390891840598</c:v>
                </c:pt>
                <c:pt idx="915">
                  <c:v>867.1726755218217</c:v>
                </c:pt>
                <c:pt idx="916">
                  <c:v>868.12144212523731</c:v>
                </c:pt>
                <c:pt idx="917">
                  <c:v>869.0702087286528</c:v>
                </c:pt>
                <c:pt idx="918">
                  <c:v>870.01897533206829</c:v>
                </c:pt>
                <c:pt idx="919">
                  <c:v>870.96774193548379</c:v>
                </c:pt>
                <c:pt idx="920">
                  <c:v>871.91650853889939</c:v>
                </c:pt>
                <c:pt idx="921">
                  <c:v>872.86527514231511</c:v>
                </c:pt>
                <c:pt idx="922">
                  <c:v>873.81404174573061</c:v>
                </c:pt>
                <c:pt idx="923">
                  <c:v>874.76280834914621</c:v>
                </c:pt>
                <c:pt idx="924">
                  <c:v>875.71157495256159</c:v>
                </c:pt>
                <c:pt idx="925">
                  <c:v>876.6603415559772</c:v>
                </c:pt>
                <c:pt idx="926">
                  <c:v>877.6091081593928</c:v>
                </c:pt>
                <c:pt idx="927">
                  <c:v>878.55787476280841</c:v>
                </c:pt>
                <c:pt idx="928">
                  <c:v>879.50664136622402</c:v>
                </c:pt>
                <c:pt idx="929">
                  <c:v>880.45540796963951</c:v>
                </c:pt>
                <c:pt idx="930">
                  <c:v>881.404174573055</c:v>
                </c:pt>
                <c:pt idx="931">
                  <c:v>882.35294117647061</c:v>
                </c:pt>
                <c:pt idx="932">
                  <c:v>883.3017077798861</c:v>
                </c:pt>
                <c:pt idx="933">
                  <c:v>884.25047438330182</c:v>
                </c:pt>
                <c:pt idx="934">
                  <c:v>885.19924098671731</c:v>
                </c:pt>
                <c:pt idx="935">
                  <c:v>886.14800759013292</c:v>
                </c:pt>
                <c:pt idx="936">
                  <c:v>887.0967741935483</c:v>
                </c:pt>
                <c:pt idx="937">
                  <c:v>888.04554079696391</c:v>
                </c:pt>
                <c:pt idx="938">
                  <c:v>888.99430740037951</c:v>
                </c:pt>
                <c:pt idx="939">
                  <c:v>889.94307400379512</c:v>
                </c:pt>
                <c:pt idx="940">
                  <c:v>890.89184060721072</c:v>
                </c:pt>
                <c:pt idx="941">
                  <c:v>891.84060721062622</c:v>
                </c:pt>
                <c:pt idx="942">
                  <c:v>892.78937381404171</c:v>
                </c:pt>
                <c:pt idx="943">
                  <c:v>893.73814041745732</c:v>
                </c:pt>
                <c:pt idx="944">
                  <c:v>894.68690702087281</c:v>
                </c:pt>
                <c:pt idx="945">
                  <c:v>895.63567362428853</c:v>
                </c:pt>
                <c:pt idx="946">
                  <c:v>896.58444022770402</c:v>
                </c:pt>
                <c:pt idx="947">
                  <c:v>897.53320683111963</c:v>
                </c:pt>
                <c:pt idx="948">
                  <c:v>898.48197343453512</c:v>
                </c:pt>
                <c:pt idx="949">
                  <c:v>899.43074003795061</c:v>
                </c:pt>
                <c:pt idx="950">
                  <c:v>900.37950664136622</c:v>
                </c:pt>
                <c:pt idx="951">
                  <c:v>901.32827324478183</c:v>
                </c:pt>
                <c:pt idx="952">
                  <c:v>902.27703984819743</c:v>
                </c:pt>
                <c:pt idx="953">
                  <c:v>903.22580645161293</c:v>
                </c:pt>
                <c:pt idx="954">
                  <c:v>904.17457305502842</c:v>
                </c:pt>
                <c:pt idx="955">
                  <c:v>905.12333965844402</c:v>
                </c:pt>
                <c:pt idx="956">
                  <c:v>906.07210626185952</c:v>
                </c:pt>
                <c:pt idx="957">
                  <c:v>907.02087286527524</c:v>
                </c:pt>
                <c:pt idx="958">
                  <c:v>907.96963946869073</c:v>
                </c:pt>
                <c:pt idx="959">
                  <c:v>908.91840607210634</c:v>
                </c:pt>
                <c:pt idx="960">
                  <c:v>909.86717267552183</c:v>
                </c:pt>
                <c:pt idx="961">
                  <c:v>910.81593927893732</c:v>
                </c:pt>
                <c:pt idx="962">
                  <c:v>911.76470588235293</c:v>
                </c:pt>
                <c:pt idx="963">
                  <c:v>912.71347248576853</c:v>
                </c:pt>
                <c:pt idx="964">
                  <c:v>913.66223908918414</c:v>
                </c:pt>
                <c:pt idx="965">
                  <c:v>914.61100569259975</c:v>
                </c:pt>
                <c:pt idx="966">
                  <c:v>915.55977229601513</c:v>
                </c:pt>
                <c:pt idx="967">
                  <c:v>916.50853889943073</c:v>
                </c:pt>
                <c:pt idx="968">
                  <c:v>917.45730550284622</c:v>
                </c:pt>
                <c:pt idx="969">
                  <c:v>918.40607210626195</c:v>
                </c:pt>
                <c:pt idx="970">
                  <c:v>919.35483870967755</c:v>
                </c:pt>
                <c:pt idx="971">
                  <c:v>920.30360531309304</c:v>
                </c:pt>
                <c:pt idx="972">
                  <c:v>921.25237191650854</c:v>
                </c:pt>
                <c:pt idx="973">
                  <c:v>922.20113851992403</c:v>
                </c:pt>
                <c:pt idx="974">
                  <c:v>923.14990512333964</c:v>
                </c:pt>
                <c:pt idx="975">
                  <c:v>924.09867172675524</c:v>
                </c:pt>
                <c:pt idx="976">
                  <c:v>925.04743833017085</c:v>
                </c:pt>
                <c:pt idx="977">
                  <c:v>925.99620493358645</c:v>
                </c:pt>
                <c:pt idx="978">
                  <c:v>926.94497153700183</c:v>
                </c:pt>
                <c:pt idx="979">
                  <c:v>927.89373814041744</c:v>
                </c:pt>
                <c:pt idx="980">
                  <c:v>928.84250474383305</c:v>
                </c:pt>
                <c:pt idx="981">
                  <c:v>929.79127134724865</c:v>
                </c:pt>
                <c:pt idx="982">
                  <c:v>930.74003795066426</c:v>
                </c:pt>
                <c:pt idx="983">
                  <c:v>931.68880455407964</c:v>
                </c:pt>
                <c:pt idx="984">
                  <c:v>932.63757115749524</c:v>
                </c:pt>
                <c:pt idx="985">
                  <c:v>933.58633776091074</c:v>
                </c:pt>
                <c:pt idx="986">
                  <c:v>934.53510436432646</c:v>
                </c:pt>
                <c:pt idx="987">
                  <c:v>935.48387096774206</c:v>
                </c:pt>
                <c:pt idx="988">
                  <c:v>936.43263757115756</c:v>
                </c:pt>
                <c:pt idx="989">
                  <c:v>937.38140417457316</c:v>
                </c:pt>
                <c:pt idx="990">
                  <c:v>938.33017077798854</c:v>
                </c:pt>
                <c:pt idx="991">
                  <c:v>939.27893738140415</c:v>
                </c:pt>
                <c:pt idx="992">
                  <c:v>940.22770398481975</c:v>
                </c:pt>
                <c:pt idx="993">
                  <c:v>941.17647058823536</c:v>
                </c:pt>
                <c:pt idx="994">
                  <c:v>942.12523719165097</c:v>
                </c:pt>
                <c:pt idx="995">
                  <c:v>943.07400379506635</c:v>
                </c:pt>
                <c:pt idx="996">
                  <c:v>944.02277039848195</c:v>
                </c:pt>
                <c:pt idx="997">
                  <c:v>944.97153700189745</c:v>
                </c:pt>
                <c:pt idx="998">
                  <c:v>945.92030360531317</c:v>
                </c:pt>
                <c:pt idx="999">
                  <c:v>946.86907020872877</c:v>
                </c:pt>
                <c:pt idx="1000">
                  <c:v>947.81783681214426</c:v>
                </c:pt>
                <c:pt idx="1001">
                  <c:v>948.76660341555976</c:v>
                </c:pt>
                <c:pt idx="1002">
                  <c:v>949.71537001897525</c:v>
                </c:pt>
                <c:pt idx="1003">
                  <c:v>950.66413662239086</c:v>
                </c:pt>
                <c:pt idx="1004">
                  <c:v>951.61290322580658</c:v>
                </c:pt>
                <c:pt idx="1005">
                  <c:v>952.56166982922207</c:v>
                </c:pt>
                <c:pt idx="1006">
                  <c:v>953.51043643263768</c:v>
                </c:pt>
                <c:pt idx="1007">
                  <c:v>954.45920303605305</c:v>
                </c:pt>
                <c:pt idx="1008">
                  <c:v>955.40796963946866</c:v>
                </c:pt>
                <c:pt idx="1009">
                  <c:v>956.35673624288427</c:v>
                </c:pt>
                <c:pt idx="1010">
                  <c:v>957.30550284629987</c:v>
                </c:pt>
                <c:pt idx="1011">
                  <c:v>958.25426944971548</c:v>
                </c:pt>
                <c:pt idx="1012">
                  <c:v>959.20303605313097</c:v>
                </c:pt>
                <c:pt idx="1013">
                  <c:v>960.15180265654647</c:v>
                </c:pt>
                <c:pt idx="1014">
                  <c:v>961.10056925996196</c:v>
                </c:pt>
                <c:pt idx="1015">
                  <c:v>962.04933586337756</c:v>
                </c:pt>
                <c:pt idx="1016">
                  <c:v>962.99810246679328</c:v>
                </c:pt>
                <c:pt idx="1017">
                  <c:v>963.94686907020878</c:v>
                </c:pt>
                <c:pt idx="1018">
                  <c:v>964.89563567362438</c:v>
                </c:pt>
                <c:pt idx="1019">
                  <c:v>965.84440227703976</c:v>
                </c:pt>
                <c:pt idx="1020">
                  <c:v>966.79316888045537</c:v>
                </c:pt>
                <c:pt idx="1021">
                  <c:v>967.74193548387098</c:v>
                </c:pt>
                <c:pt idx="1022">
                  <c:v>968.69070208728658</c:v>
                </c:pt>
                <c:pt idx="1023">
                  <c:v>969.63946869070219</c:v>
                </c:pt>
                <c:pt idx="1024">
                  <c:v>970.58823529411768</c:v>
                </c:pt>
                <c:pt idx="1025">
                  <c:v>971.53700189753317</c:v>
                </c:pt>
                <c:pt idx="1026">
                  <c:v>972.48576850094878</c:v>
                </c:pt>
                <c:pt idx="1027">
                  <c:v>973.43453510436427</c:v>
                </c:pt>
                <c:pt idx="1028">
                  <c:v>974.38330170777999</c:v>
                </c:pt>
                <c:pt idx="1029">
                  <c:v>975.33206831119548</c:v>
                </c:pt>
                <c:pt idx="1030">
                  <c:v>976.28083491461109</c:v>
                </c:pt>
                <c:pt idx="1031">
                  <c:v>977.22960151802647</c:v>
                </c:pt>
                <c:pt idx="1032">
                  <c:v>978.17836812144208</c:v>
                </c:pt>
                <c:pt idx="1033">
                  <c:v>979.12713472485768</c:v>
                </c:pt>
                <c:pt idx="1034">
                  <c:v>980.07590132827329</c:v>
                </c:pt>
                <c:pt idx="1035">
                  <c:v>981.0246679316889</c:v>
                </c:pt>
                <c:pt idx="1036">
                  <c:v>981.97343453510439</c:v>
                </c:pt>
                <c:pt idx="1037">
                  <c:v>982.92220113851988</c:v>
                </c:pt>
                <c:pt idx="1038">
                  <c:v>983.87096774193549</c:v>
                </c:pt>
                <c:pt idx="1039">
                  <c:v>984.81973434535098</c:v>
                </c:pt>
                <c:pt idx="1040">
                  <c:v>985.7685009487667</c:v>
                </c:pt>
                <c:pt idx="1041">
                  <c:v>986.71726755218219</c:v>
                </c:pt>
                <c:pt idx="1042">
                  <c:v>987.6660341555978</c:v>
                </c:pt>
                <c:pt idx="1043">
                  <c:v>988.61480075901329</c:v>
                </c:pt>
                <c:pt idx="1044">
                  <c:v>989.56356736242878</c:v>
                </c:pt>
                <c:pt idx="1045">
                  <c:v>990.51233396584439</c:v>
                </c:pt>
                <c:pt idx="1046">
                  <c:v>991.46110056926</c:v>
                </c:pt>
                <c:pt idx="1047">
                  <c:v>992.4098671726756</c:v>
                </c:pt>
                <c:pt idx="1048">
                  <c:v>993.35863377609121</c:v>
                </c:pt>
                <c:pt idx="1049">
                  <c:v>994.30740037950659</c:v>
                </c:pt>
                <c:pt idx="1050">
                  <c:v>995.2561669829222</c:v>
                </c:pt>
                <c:pt idx="1051">
                  <c:v>996.2049335863378</c:v>
                </c:pt>
                <c:pt idx="1052">
                  <c:v>997.15370018975341</c:v>
                </c:pt>
                <c:pt idx="1053">
                  <c:v>998.1024667931689</c:v>
                </c:pt>
                <c:pt idx="1054">
                  <c:v>999.05123339658451</c:v>
                </c:pt>
                <c:pt idx="1055">
                  <c:v>1000</c:v>
                </c:pt>
                <c:pt idx="1056">
                  <c:v>1000</c:v>
                </c:pt>
                <c:pt idx="1057">
                  <c:v>1000</c:v>
                </c:pt>
              </c:numCache>
            </c:numRef>
          </c:cat>
          <c:val>
            <c:numRef>
              <c:f>'Arbitrage Payback Engine'!$AF$8:$AF$1065</c:f>
              <c:numCache>
                <c:formatCode>_("$"* #,##0.00_);_("$"* \(#,##0.00\);_("$"* "-"??_);_(@_)</c:formatCode>
                <c:ptCount val="1058"/>
                <c:pt idx="0" formatCode="General">
                  <c:v>0</c:v>
                </c:pt>
                <c:pt idx="1">
                  <c:v>0</c:v>
                </c:pt>
                <c:pt idx="2">
                  <c:v>0.26631726374760428</c:v>
                </c:pt>
                <c:pt idx="3">
                  <c:v>0.26631726374760428</c:v>
                </c:pt>
                <c:pt idx="4">
                  <c:v>0.26631726374760428</c:v>
                </c:pt>
                <c:pt idx="5">
                  <c:v>0.26631726374760428</c:v>
                </c:pt>
                <c:pt idx="6">
                  <c:v>0.26631726374760428</c:v>
                </c:pt>
                <c:pt idx="7">
                  <c:v>0.26631726374760428</c:v>
                </c:pt>
                <c:pt idx="8">
                  <c:v>0.26631726374760428</c:v>
                </c:pt>
                <c:pt idx="9">
                  <c:v>0.26631726374760428</c:v>
                </c:pt>
                <c:pt idx="10">
                  <c:v>0.26631726374760428</c:v>
                </c:pt>
                <c:pt idx="11">
                  <c:v>0.26631726374760428</c:v>
                </c:pt>
                <c:pt idx="12">
                  <c:v>0.26631726374760428</c:v>
                </c:pt>
                <c:pt idx="13">
                  <c:v>0.26631726374760428</c:v>
                </c:pt>
                <c:pt idx="14">
                  <c:v>0.26631726374760428</c:v>
                </c:pt>
                <c:pt idx="15">
                  <c:v>0.26631726374760428</c:v>
                </c:pt>
                <c:pt idx="16">
                  <c:v>0.26631726374760428</c:v>
                </c:pt>
                <c:pt idx="17">
                  <c:v>0.26631726374760428</c:v>
                </c:pt>
                <c:pt idx="18">
                  <c:v>0.26631726374760428</c:v>
                </c:pt>
                <c:pt idx="19">
                  <c:v>0.26631726374760428</c:v>
                </c:pt>
                <c:pt idx="20">
                  <c:v>0.26631726374760428</c:v>
                </c:pt>
                <c:pt idx="21">
                  <c:v>0.26631726374760428</c:v>
                </c:pt>
                <c:pt idx="22">
                  <c:v>0.26631726374760428</c:v>
                </c:pt>
                <c:pt idx="23">
                  <c:v>0.26631726374760428</c:v>
                </c:pt>
                <c:pt idx="24">
                  <c:v>0.26631726374760428</c:v>
                </c:pt>
                <c:pt idx="25">
                  <c:v>0.26631726374760428</c:v>
                </c:pt>
                <c:pt idx="26">
                  <c:v>0.26631726374760428</c:v>
                </c:pt>
                <c:pt idx="27">
                  <c:v>0.26631726374760428</c:v>
                </c:pt>
                <c:pt idx="28">
                  <c:v>0.26631726374760428</c:v>
                </c:pt>
                <c:pt idx="29">
                  <c:v>0.26631726374760428</c:v>
                </c:pt>
                <c:pt idx="30">
                  <c:v>0.26631726374760428</c:v>
                </c:pt>
                <c:pt idx="31">
                  <c:v>0.26631726374760428</c:v>
                </c:pt>
                <c:pt idx="32">
                  <c:v>0.26631726374760428</c:v>
                </c:pt>
                <c:pt idx="33">
                  <c:v>0.26631726374760428</c:v>
                </c:pt>
                <c:pt idx="34">
                  <c:v>0.26631726374760428</c:v>
                </c:pt>
                <c:pt idx="35">
                  <c:v>0.26631726374760428</c:v>
                </c:pt>
                <c:pt idx="36">
                  <c:v>0.26631726374760428</c:v>
                </c:pt>
                <c:pt idx="37">
                  <c:v>0.26631726374760428</c:v>
                </c:pt>
                <c:pt idx="38">
                  <c:v>0.27724583517617568</c:v>
                </c:pt>
                <c:pt idx="39">
                  <c:v>0.27724583517617568</c:v>
                </c:pt>
                <c:pt idx="40">
                  <c:v>0.27724583517617568</c:v>
                </c:pt>
                <c:pt idx="41">
                  <c:v>0.27724583517617568</c:v>
                </c:pt>
                <c:pt idx="42">
                  <c:v>0.27724583517617568</c:v>
                </c:pt>
                <c:pt idx="43">
                  <c:v>0.27724583517617568</c:v>
                </c:pt>
                <c:pt idx="44">
                  <c:v>0.27724583517617568</c:v>
                </c:pt>
                <c:pt idx="45">
                  <c:v>0.27724583517617568</c:v>
                </c:pt>
                <c:pt idx="46">
                  <c:v>0.27724583517617568</c:v>
                </c:pt>
                <c:pt idx="47">
                  <c:v>0.27724583517617568</c:v>
                </c:pt>
                <c:pt idx="48">
                  <c:v>0.27724583517617568</c:v>
                </c:pt>
                <c:pt idx="49">
                  <c:v>0.27724583517617568</c:v>
                </c:pt>
                <c:pt idx="50">
                  <c:v>0.27724583517617568</c:v>
                </c:pt>
                <c:pt idx="51">
                  <c:v>0.27724583517617568</c:v>
                </c:pt>
                <c:pt idx="52">
                  <c:v>0.27724583517617568</c:v>
                </c:pt>
                <c:pt idx="53">
                  <c:v>0.27724583517617568</c:v>
                </c:pt>
                <c:pt idx="54">
                  <c:v>0.27724583517617568</c:v>
                </c:pt>
                <c:pt idx="55">
                  <c:v>0.27724583517617568</c:v>
                </c:pt>
                <c:pt idx="56">
                  <c:v>0.27724583517617568</c:v>
                </c:pt>
                <c:pt idx="57">
                  <c:v>0.27724583517617568</c:v>
                </c:pt>
                <c:pt idx="58">
                  <c:v>0.27724583517617568</c:v>
                </c:pt>
                <c:pt idx="59">
                  <c:v>0.27724583517617568</c:v>
                </c:pt>
                <c:pt idx="60">
                  <c:v>0.27724583517617568</c:v>
                </c:pt>
                <c:pt idx="61">
                  <c:v>0.27724583517617568</c:v>
                </c:pt>
                <c:pt idx="62">
                  <c:v>0.27724583517617568</c:v>
                </c:pt>
                <c:pt idx="63">
                  <c:v>0.27724583517617568</c:v>
                </c:pt>
                <c:pt idx="64">
                  <c:v>0.27724583517617568</c:v>
                </c:pt>
                <c:pt idx="65">
                  <c:v>0.27724583517617568</c:v>
                </c:pt>
                <c:pt idx="66">
                  <c:v>0.27724583517617568</c:v>
                </c:pt>
                <c:pt idx="67">
                  <c:v>0.27724583517617568</c:v>
                </c:pt>
                <c:pt idx="68">
                  <c:v>0.27724583517617568</c:v>
                </c:pt>
                <c:pt idx="69">
                  <c:v>0.27724583517617568</c:v>
                </c:pt>
                <c:pt idx="70">
                  <c:v>0.27724583517617568</c:v>
                </c:pt>
                <c:pt idx="71">
                  <c:v>0.27724583517617568</c:v>
                </c:pt>
                <c:pt idx="72">
                  <c:v>0.27724583517617568</c:v>
                </c:pt>
                <c:pt idx="73">
                  <c:v>0.27724583517617568</c:v>
                </c:pt>
                <c:pt idx="74">
                  <c:v>0.27724583517617568</c:v>
                </c:pt>
                <c:pt idx="75">
                  <c:v>0.28844762089046144</c:v>
                </c:pt>
                <c:pt idx="76">
                  <c:v>0.28844762089046144</c:v>
                </c:pt>
                <c:pt idx="77">
                  <c:v>0.28844762089046144</c:v>
                </c:pt>
                <c:pt idx="78">
                  <c:v>0.28844762089046144</c:v>
                </c:pt>
                <c:pt idx="79">
                  <c:v>0.28844762089046144</c:v>
                </c:pt>
                <c:pt idx="80">
                  <c:v>0.28844762089046144</c:v>
                </c:pt>
                <c:pt idx="81">
                  <c:v>0.28844762089046144</c:v>
                </c:pt>
                <c:pt idx="82">
                  <c:v>0.28844762089046144</c:v>
                </c:pt>
                <c:pt idx="83">
                  <c:v>0.28844762089046144</c:v>
                </c:pt>
                <c:pt idx="84">
                  <c:v>0.28844762089046144</c:v>
                </c:pt>
                <c:pt idx="85">
                  <c:v>0.28844762089046144</c:v>
                </c:pt>
                <c:pt idx="86">
                  <c:v>0.28844762089046144</c:v>
                </c:pt>
                <c:pt idx="87">
                  <c:v>0.28844762089046144</c:v>
                </c:pt>
                <c:pt idx="88">
                  <c:v>0.28844762089046144</c:v>
                </c:pt>
                <c:pt idx="89">
                  <c:v>0.28844762089046144</c:v>
                </c:pt>
                <c:pt idx="90">
                  <c:v>0.28844762089046144</c:v>
                </c:pt>
                <c:pt idx="91">
                  <c:v>0.28844762089046144</c:v>
                </c:pt>
                <c:pt idx="92">
                  <c:v>0.28844762089046144</c:v>
                </c:pt>
                <c:pt idx="93">
                  <c:v>0.28844762089046144</c:v>
                </c:pt>
                <c:pt idx="94">
                  <c:v>0.28844762089046144</c:v>
                </c:pt>
                <c:pt idx="95">
                  <c:v>0.28844762089046144</c:v>
                </c:pt>
                <c:pt idx="96">
                  <c:v>0.28844762089046144</c:v>
                </c:pt>
                <c:pt idx="97">
                  <c:v>0.28844762089046144</c:v>
                </c:pt>
                <c:pt idx="98">
                  <c:v>0.28844762089046144</c:v>
                </c:pt>
                <c:pt idx="99">
                  <c:v>0.28844762089046144</c:v>
                </c:pt>
                <c:pt idx="100">
                  <c:v>0.28844762089046144</c:v>
                </c:pt>
                <c:pt idx="101">
                  <c:v>0.28844762089046144</c:v>
                </c:pt>
                <c:pt idx="102">
                  <c:v>0.28844762089046144</c:v>
                </c:pt>
                <c:pt idx="103">
                  <c:v>0.28844762089046144</c:v>
                </c:pt>
                <c:pt idx="104">
                  <c:v>0.28844762089046144</c:v>
                </c:pt>
                <c:pt idx="105">
                  <c:v>0.28844762089046144</c:v>
                </c:pt>
                <c:pt idx="106">
                  <c:v>0.28844762089046144</c:v>
                </c:pt>
                <c:pt idx="107">
                  <c:v>0.28844762089046144</c:v>
                </c:pt>
                <c:pt idx="108">
                  <c:v>0.28844762089046144</c:v>
                </c:pt>
                <c:pt idx="109">
                  <c:v>0.28844762089046144</c:v>
                </c:pt>
                <c:pt idx="110">
                  <c:v>0.28844762089046144</c:v>
                </c:pt>
                <c:pt idx="111">
                  <c:v>0.29992945124760428</c:v>
                </c:pt>
                <c:pt idx="112">
                  <c:v>0.29992945124760428</c:v>
                </c:pt>
                <c:pt idx="113">
                  <c:v>0.29992945124760428</c:v>
                </c:pt>
                <c:pt idx="114">
                  <c:v>0.29992945124760428</c:v>
                </c:pt>
                <c:pt idx="115">
                  <c:v>0.29992945124760428</c:v>
                </c:pt>
                <c:pt idx="116">
                  <c:v>0.29992945124760428</c:v>
                </c:pt>
                <c:pt idx="117">
                  <c:v>0.29992945124760428</c:v>
                </c:pt>
                <c:pt idx="118">
                  <c:v>0.29992945124760428</c:v>
                </c:pt>
                <c:pt idx="119">
                  <c:v>0.29992945124760428</c:v>
                </c:pt>
                <c:pt idx="120">
                  <c:v>0.29992945124760428</c:v>
                </c:pt>
                <c:pt idx="121">
                  <c:v>0.29992945124760428</c:v>
                </c:pt>
                <c:pt idx="122">
                  <c:v>0.29992945124760428</c:v>
                </c:pt>
                <c:pt idx="123">
                  <c:v>0.29992945124760428</c:v>
                </c:pt>
                <c:pt idx="124">
                  <c:v>0.29992945124760428</c:v>
                </c:pt>
                <c:pt idx="125">
                  <c:v>0.29992945124760428</c:v>
                </c:pt>
                <c:pt idx="126">
                  <c:v>0.29992945124760428</c:v>
                </c:pt>
                <c:pt idx="127">
                  <c:v>0.29992945124760428</c:v>
                </c:pt>
                <c:pt idx="128">
                  <c:v>0.29992945124760428</c:v>
                </c:pt>
                <c:pt idx="129">
                  <c:v>0.29992945124760428</c:v>
                </c:pt>
                <c:pt idx="130">
                  <c:v>0.29992945124760428</c:v>
                </c:pt>
                <c:pt idx="131">
                  <c:v>0.29992945124760428</c:v>
                </c:pt>
                <c:pt idx="132">
                  <c:v>0.29992945124760428</c:v>
                </c:pt>
                <c:pt idx="133">
                  <c:v>0.29992945124760428</c:v>
                </c:pt>
                <c:pt idx="134">
                  <c:v>0.29992945124760428</c:v>
                </c:pt>
                <c:pt idx="135">
                  <c:v>0.29992945124760428</c:v>
                </c:pt>
                <c:pt idx="136">
                  <c:v>0.29992945124760428</c:v>
                </c:pt>
                <c:pt idx="137">
                  <c:v>0.29992945124760428</c:v>
                </c:pt>
                <c:pt idx="138">
                  <c:v>0.29992945124760428</c:v>
                </c:pt>
                <c:pt idx="139">
                  <c:v>0.29992945124760428</c:v>
                </c:pt>
                <c:pt idx="140">
                  <c:v>0.29992945124760428</c:v>
                </c:pt>
                <c:pt idx="141">
                  <c:v>0.29992945124760428</c:v>
                </c:pt>
                <c:pt idx="142">
                  <c:v>0.29992945124760428</c:v>
                </c:pt>
                <c:pt idx="143">
                  <c:v>0.29992945124760428</c:v>
                </c:pt>
                <c:pt idx="144">
                  <c:v>0.29992945124760428</c:v>
                </c:pt>
                <c:pt idx="145">
                  <c:v>0.29992945124760428</c:v>
                </c:pt>
                <c:pt idx="146">
                  <c:v>0.29992945124760428</c:v>
                </c:pt>
                <c:pt idx="147">
                  <c:v>0.29992945124760428</c:v>
                </c:pt>
                <c:pt idx="148">
                  <c:v>0.31169832736367564</c:v>
                </c:pt>
                <c:pt idx="149">
                  <c:v>0.31169832736367564</c:v>
                </c:pt>
                <c:pt idx="150">
                  <c:v>0.31169832736367564</c:v>
                </c:pt>
                <c:pt idx="151">
                  <c:v>0.31169832736367564</c:v>
                </c:pt>
                <c:pt idx="152">
                  <c:v>0.31169832736367564</c:v>
                </c:pt>
                <c:pt idx="153">
                  <c:v>0.31169832736367564</c:v>
                </c:pt>
                <c:pt idx="154">
                  <c:v>0.31169832736367564</c:v>
                </c:pt>
                <c:pt idx="155">
                  <c:v>0.31169832736367564</c:v>
                </c:pt>
                <c:pt idx="156">
                  <c:v>0.31169832736367564</c:v>
                </c:pt>
                <c:pt idx="157">
                  <c:v>0.31169832736367564</c:v>
                </c:pt>
                <c:pt idx="158">
                  <c:v>0.31169832736367564</c:v>
                </c:pt>
                <c:pt idx="159">
                  <c:v>0.31169832736367564</c:v>
                </c:pt>
                <c:pt idx="160">
                  <c:v>0.31169832736367564</c:v>
                </c:pt>
                <c:pt idx="161">
                  <c:v>0.31169832736367564</c:v>
                </c:pt>
                <c:pt idx="162">
                  <c:v>0.31169832736367564</c:v>
                </c:pt>
                <c:pt idx="163">
                  <c:v>0.31169832736367564</c:v>
                </c:pt>
                <c:pt idx="164">
                  <c:v>0.31169832736367564</c:v>
                </c:pt>
                <c:pt idx="165">
                  <c:v>0.31169832736367564</c:v>
                </c:pt>
                <c:pt idx="166">
                  <c:v>0.31169832736367564</c:v>
                </c:pt>
                <c:pt idx="167">
                  <c:v>0.31169832736367564</c:v>
                </c:pt>
                <c:pt idx="168">
                  <c:v>0.31169832736367564</c:v>
                </c:pt>
                <c:pt idx="169">
                  <c:v>0.31169832736367564</c:v>
                </c:pt>
                <c:pt idx="170">
                  <c:v>0.31169832736367564</c:v>
                </c:pt>
                <c:pt idx="171">
                  <c:v>0.31169832736367564</c:v>
                </c:pt>
                <c:pt idx="172">
                  <c:v>0.31169832736367564</c:v>
                </c:pt>
                <c:pt idx="173">
                  <c:v>0.31169832736367564</c:v>
                </c:pt>
                <c:pt idx="174">
                  <c:v>0.31169832736367564</c:v>
                </c:pt>
                <c:pt idx="175">
                  <c:v>0.31169832736367564</c:v>
                </c:pt>
                <c:pt idx="176">
                  <c:v>0.31169832736367564</c:v>
                </c:pt>
                <c:pt idx="177">
                  <c:v>0.31169832736367564</c:v>
                </c:pt>
                <c:pt idx="178">
                  <c:v>0.31169832736367564</c:v>
                </c:pt>
                <c:pt idx="179">
                  <c:v>0.31169832736367564</c:v>
                </c:pt>
                <c:pt idx="180">
                  <c:v>0.31169832736367564</c:v>
                </c:pt>
                <c:pt idx="181">
                  <c:v>0.31169832736367564</c:v>
                </c:pt>
                <c:pt idx="182">
                  <c:v>0.31169832736367564</c:v>
                </c:pt>
                <c:pt idx="183">
                  <c:v>0.31169832736367564</c:v>
                </c:pt>
                <c:pt idx="184">
                  <c:v>0.32376142538264879</c:v>
                </c:pt>
                <c:pt idx="185">
                  <c:v>0.32376142538264879</c:v>
                </c:pt>
                <c:pt idx="186">
                  <c:v>0.32376142538264879</c:v>
                </c:pt>
                <c:pt idx="187">
                  <c:v>0.32376142538264879</c:v>
                </c:pt>
                <c:pt idx="188">
                  <c:v>0.32376142538264879</c:v>
                </c:pt>
                <c:pt idx="189">
                  <c:v>0.32376142538264879</c:v>
                </c:pt>
                <c:pt idx="190">
                  <c:v>0.32376142538264879</c:v>
                </c:pt>
                <c:pt idx="191">
                  <c:v>0.32376142538264879</c:v>
                </c:pt>
                <c:pt idx="192">
                  <c:v>0.32376142538264879</c:v>
                </c:pt>
                <c:pt idx="193">
                  <c:v>0.32376142538264879</c:v>
                </c:pt>
                <c:pt idx="194">
                  <c:v>0.32376142538264879</c:v>
                </c:pt>
                <c:pt idx="195">
                  <c:v>0.32376142538264879</c:v>
                </c:pt>
                <c:pt idx="196">
                  <c:v>0.32376142538264879</c:v>
                </c:pt>
                <c:pt idx="197">
                  <c:v>0.32376142538264879</c:v>
                </c:pt>
                <c:pt idx="198">
                  <c:v>0.32376142538264879</c:v>
                </c:pt>
                <c:pt idx="199">
                  <c:v>0.32376142538264879</c:v>
                </c:pt>
                <c:pt idx="200">
                  <c:v>0.32376142538264879</c:v>
                </c:pt>
                <c:pt idx="201">
                  <c:v>0.32376142538264879</c:v>
                </c:pt>
                <c:pt idx="202">
                  <c:v>0.32376142538264879</c:v>
                </c:pt>
                <c:pt idx="203">
                  <c:v>0.32376142538264879</c:v>
                </c:pt>
                <c:pt idx="204">
                  <c:v>0.32376142538264879</c:v>
                </c:pt>
                <c:pt idx="205">
                  <c:v>0.32376142538264879</c:v>
                </c:pt>
                <c:pt idx="206">
                  <c:v>0.32376142538264879</c:v>
                </c:pt>
                <c:pt idx="207">
                  <c:v>0.32376142538264879</c:v>
                </c:pt>
                <c:pt idx="208">
                  <c:v>0.32376142538264879</c:v>
                </c:pt>
                <c:pt idx="209">
                  <c:v>0.32376142538264879</c:v>
                </c:pt>
                <c:pt idx="210">
                  <c:v>0.32376142538264879</c:v>
                </c:pt>
                <c:pt idx="211">
                  <c:v>0.32376142538264879</c:v>
                </c:pt>
                <c:pt idx="212">
                  <c:v>0.32376142538264879</c:v>
                </c:pt>
                <c:pt idx="213">
                  <c:v>0.32376142538264879</c:v>
                </c:pt>
                <c:pt idx="214">
                  <c:v>0.32376142538264879</c:v>
                </c:pt>
                <c:pt idx="215">
                  <c:v>0.32376142538264879</c:v>
                </c:pt>
                <c:pt idx="216">
                  <c:v>0.32376142538264879</c:v>
                </c:pt>
                <c:pt idx="217">
                  <c:v>0.32376142538264879</c:v>
                </c:pt>
                <c:pt idx="218">
                  <c:v>0.32376142538264879</c:v>
                </c:pt>
                <c:pt idx="219">
                  <c:v>0.32376142538264879</c:v>
                </c:pt>
                <c:pt idx="220">
                  <c:v>0.32376142538264879</c:v>
                </c:pt>
                <c:pt idx="221">
                  <c:v>0.33612610085209632</c:v>
                </c:pt>
                <c:pt idx="222">
                  <c:v>0.33612610085209632</c:v>
                </c:pt>
                <c:pt idx="223">
                  <c:v>0.33612610085209632</c:v>
                </c:pt>
                <c:pt idx="224">
                  <c:v>0.33612610085209632</c:v>
                </c:pt>
                <c:pt idx="225">
                  <c:v>0.33612610085209632</c:v>
                </c:pt>
                <c:pt idx="226">
                  <c:v>0.33612610085209632</c:v>
                </c:pt>
                <c:pt idx="227">
                  <c:v>0.33612610085209632</c:v>
                </c:pt>
                <c:pt idx="228">
                  <c:v>0.33612610085209632</c:v>
                </c:pt>
                <c:pt idx="229">
                  <c:v>0.33612610085209632</c:v>
                </c:pt>
                <c:pt idx="230">
                  <c:v>0.33612610085209632</c:v>
                </c:pt>
                <c:pt idx="231">
                  <c:v>0.33612610085209632</c:v>
                </c:pt>
                <c:pt idx="232">
                  <c:v>0.33612610085209632</c:v>
                </c:pt>
                <c:pt idx="233">
                  <c:v>0.33612610085209632</c:v>
                </c:pt>
                <c:pt idx="234">
                  <c:v>0.33612610085209632</c:v>
                </c:pt>
                <c:pt idx="235">
                  <c:v>0.33612610085209632</c:v>
                </c:pt>
                <c:pt idx="236">
                  <c:v>0.33612610085209632</c:v>
                </c:pt>
                <c:pt idx="237">
                  <c:v>0.33612610085209632</c:v>
                </c:pt>
                <c:pt idx="238">
                  <c:v>0.33612610085209632</c:v>
                </c:pt>
                <c:pt idx="239">
                  <c:v>0.33612610085209632</c:v>
                </c:pt>
                <c:pt idx="240">
                  <c:v>0.33612610085209632</c:v>
                </c:pt>
                <c:pt idx="241">
                  <c:v>0.33612610085209632</c:v>
                </c:pt>
                <c:pt idx="242">
                  <c:v>0.33612610085209632</c:v>
                </c:pt>
                <c:pt idx="243">
                  <c:v>0.33612610085209632</c:v>
                </c:pt>
                <c:pt idx="244">
                  <c:v>0.33612610085209632</c:v>
                </c:pt>
                <c:pt idx="245">
                  <c:v>0.33612610085209632</c:v>
                </c:pt>
                <c:pt idx="246">
                  <c:v>0.33612610085209632</c:v>
                </c:pt>
                <c:pt idx="247">
                  <c:v>0.33612610085209632</c:v>
                </c:pt>
                <c:pt idx="248">
                  <c:v>0.33612610085209632</c:v>
                </c:pt>
                <c:pt idx="249">
                  <c:v>0.33612610085209632</c:v>
                </c:pt>
                <c:pt idx="250">
                  <c:v>0.33612610085209632</c:v>
                </c:pt>
                <c:pt idx="251">
                  <c:v>0.33612610085209632</c:v>
                </c:pt>
                <c:pt idx="252">
                  <c:v>0.33612610085209632</c:v>
                </c:pt>
                <c:pt idx="253">
                  <c:v>0.33612610085209632</c:v>
                </c:pt>
                <c:pt idx="254">
                  <c:v>0.33612610085209632</c:v>
                </c:pt>
                <c:pt idx="255">
                  <c:v>0.33612610085209632</c:v>
                </c:pt>
                <c:pt idx="256">
                  <c:v>0.33612610085209632</c:v>
                </c:pt>
                <c:pt idx="257">
                  <c:v>0.34879989320828003</c:v>
                </c:pt>
                <c:pt idx="258">
                  <c:v>0.34879989320828003</c:v>
                </c:pt>
                <c:pt idx="259">
                  <c:v>0.34879989320828003</c:v>
                </c:pt>
                <c:pt idx="260">
                  <c:v>0.34879989320828003</c:v>
                </c:pt>
                <c:pt idx="261">
                  <c:v>0.34879989320828003</c:v>
                </c:pt>
                <c:pt idx="262">
                  <c:v>0.34879989320828003</c:v>
                </c:pt>
                <c:pt idx="263">
                  <c:v>0.34879989320828003</c:v>
                </c:pt>
                <c:pt idx="264">
                  <c:v>0.34879989320828003</c:v>
                </c:pt>
                <c:pt idx="265">
                  <c:v>0.34879989320828003</c:v>
                </c:pt>
                <c:pt idx="266">
                  <c:v>0.34879989320828003</c:v>
                </c:pt>
                <c:pt idx="267">
                  <c:v>0.34879989320828003</c:v>
                </c:pt>
                <c:pt idx="268">
                  <c:v>0.34879989320828003</c:v>
                </c:pt>
                <c:pt idx="269">
                  <c:v>0.34879989320828003</c:v>
                </c:pt>
                <c:pt idx="270">
                  <c:v>0.34879989320828003</c:v>
                </c:pt>
                <c:pt idx="271">
                  <c:v>0.34879989320828003</c:v>
                </c:pt>
                <c:pt idx="272">
                  <c:v>0.34879989320828003</c:v>
                </c:pt>
                <c:pt idx="273">
                  <c:v>0.34879989320828003</c:v>
                </c:pt>
                <c:pt idx="274">
                  <c:v>0.34879989320828003</c:v>
                </c:pt>
                <c:pt idx="275">
                  <c:v>0.34879989320828003</c:v>
                </c:pt>
                <c:pt idx="276">
                  <c:v>0.34879989320828003</c:v>
                </c:pt>
                <c:pt idx="277">
                  <c:v>0.34879989320828003</c:v>
                </c:pt>
                <c:pt idx="278">
                  <c:v>0.34879989320828003</c:v>
                </c:pt>
                <c:pt idx="279">
                  <c:v>0.34879989320828003</c:v>
                </c:pt>
                <c:pt idx="280">
                  <c:v>0.34879989320828003</c:v>
                </c:pt>
                <c:pt idx="281">
                  <c:v>0.34879989320828003</c:v>
                </c:pt>
                <c:pt idx="282">
                  <c:v>0.34879989320828003</c:v>
                </c:pt>
                <c:pt idx="283">
                  <c:v>0.34879989320828003</c:v>
                </c:pt>
                <c:pt idx="284">
                  <c:v>0.34879989320828003</c:v>
                </c:pt>
                <c:pt idx="285">
                  <c:v>0.34879989320828003</c:v>
                </c:pt>
                <c:pt idx="286">
                  <c:v>0.34879989320828003</c:v>
                </c:pt>
                <c:pt idx="287">
                  <c:v>0.34879989320828003</c:v>
                </c:pt>
                <c:pt idx="288">
                  <c:v>0.34879989320828003</c:v>
                </c:pt>
                <c:pt idx="289">
                  <c:v>0.34879989320828003</c:v>
                </c:pt>
                <c:pt idx="290">
                  <c:v>0.34879989320828003</c:v>
                </c:pt>
                <c:pt idx="291">
                  <c:v>0.34879989320828003</c:v>
                </c:pt>
                <c:pt idx="292">
                  <c:v>0.34879989320828003</c:v>
                </c:pt>
                <c:pt idx="293">
                  <c:v>0.34879989320828003</c:v>
                </c:pt>
                <c:pt idx="294">
                  <c:v>0.36179053037336834</c:v>
                </c:pt>
                <c:pt idx="295">
                  <c:v>0.36179053037336834</c:v>
                </c:pt>
                <c:pt idx="296">
                  <c:v>0.36179053037336834</c:v>
                </c:pt>
                <c:pt idx="297">
                  <c:v>0.36179053037336834</c:v>
                </c:pt>
                <c:pt idx="298">
                  <c:v>0.36179053037336834</c:v>
                </c:pt>
                <c:pt idx="299">
                  <c:v>0.36179053037336834</c:v>
                </c:pt>
                <c:pt idx="300">
                  <c:v>0.36179053037336834</c:v>
                </c:pt>
                <c:pt idx="301">
                  <c:v>0.36179053037336834</c:v>
                </c:pt>
                <c:pt idx="302">
                  <c:v>0.36179053037336834</c:v>
                </c:pt>
                <c:pt idx="303">
                  <c:v>0.36179053037336834</c:v>
                </c:pt>
                <c:pt idx="304">
                  <c:v>0.36179053037336834</c:v>
                </c:pt>
                <c:pt idx="305">
                  <c:v>0.36179053037336834</c:v>
                </c:pt>
                <c:pt idx="306">
                  <c:v>0.36179053037336834</c:v>
                </c:pt>
                <c:pt idx="307">
                  <c:v>0.36179053037336834</c:v>
                </c:pt>
                <c:pt idx="308">
                  <c:v>0.36179053037336834</c:v>
                </c:pt>
                <c:pt idx="309">
                  <c:v>0.36179053037336834</c:v>
                </c:pt>
                <c:pt idx="310">
                  <c:v>0.36179053037336834</c:v>
                </c:pt>
                <c:pt idx="311">
                  <c:v>0.36179053037336834</c:v>
                </c:pt>
                <c:pt idx="312">
                  <c:v>0.36179053037336834</c:v>
                </c:pt>
                <c:pt idx="313">
                  <c:v>0.36179053037336834</c:v>
                </c:pt>
                <c:pt idx="314">
                  <c:v>0.36179053037336834</c:v>
                </c:pt>
                <c:pt idx="315">
                  <c:v>0.36179053037336834</c:v>
                </c:pt>
                <c:pt idx="316">
                  <c:v>0.36179053037336834</c:v>
                </c:pt>
                <c:pt idx="317">
                  <c:v>0.36179053037336834</c:v>
                </c:pt>
                <c:pt idx="318">
                  <c:v>0.36179053037336834</c:v>
                </c:pt>
                <c:pt idx="319">
                  <c:v>0.36179053037336834</c:v>
                </c:pt>
                <c:pt idx="320">
                  <c:v>0.36179053037336834</c:v>
                </c:pt>
                <c:pt idx="321">
                  <c:v>0.36179053037336834</c:v>
                </c:pt>
                <c:pt idx="322">
                  <c:v>0.36179053037336834</c:v>
                </c:pt>
                <c:pt idx="323">
                  <c:v>0.36179053037336834</c:v>
                </c:pt>
                <c:pt idx="324">
                  <c:v>0.36179053037336834</c:v>
                </c:pt>
                <c:pt idx="325">
                  <c:v>0.36179053037336834</c:v>
                </c:pt>
                <c:pt idx="326">
                  <c:v>0.36179053037336834</c:v>
                </c:pt>
                <c:pt idx="327">
                  <c:v>0.36179053037336834</c:v>
                </c:pt>
                <c:pt idx="328">
                  <c:v>0.36179053037336834</c:v>
                </c:pt>
                <c:pt idx="329">
                  <c:v>0.36179053037336834</c:v>
                </c:pt>
                <c:pt idx="330">
                  <c:v>0.37510593346758381</c:v>
                </c:pt>
                <c:pt idx="331">
                  <c:v>0.37510593346758381</c:v>
                </c:pt>
                <c:pt idx="332">
                  <c:v>0.37510593346758381</c:v>
                </c:pt>
                <c:pt idx="333">
                  <c:v>0.37510593346758381</c:v>
                </c:pt>
                <c:pt idx="334">
                  <c:v>0.37510593346758381</c:v>
                </c:pt>
                <c:pt idx="335">
                  <c:v>0.37510593346758381</c:v>
                </c:pt>
                <c:pt idx="336">
                  <c:v>0.37510593346758381</c:v>
                </c:pt>
                <c:pt idx="337">
                  <c:v>0.37510593346758381</c:v>
                </c:pt>
                <c:pt idx="338">
                  <c:v>0.37510593346758381</c:v>
                </c:pt>
                <c:pt idx="339">
                  <c:v>0.37510593346758381</c:v>
                </c:pt>
                <c:pt idx="340">
                  <c:v>0.37510593346758381</c:v>
                </c:pt>
                <c:pt idx="341">
                  <c:v>0.37510593346758381</c:v>
                </c:pt>
                <c:pt idx="342">
                  <c:v>0.37510593346758381</c:v>
                </c:pt>
                <c:pt idx="343">
                  <c:v>0.37510593346758381</c:v>
                </c:pt>
                <c:pt idx="344">
                  <c:v>0.37510593346758381</c:v>
                </c:pt>
                <c:pt idx="345">
                  <c:v>0.37510593346758381</c:v>
                </c:pt>
                <c:pt idx="346">
                  <c:v>0.37510593346758381</c:v>
                </c:pt>
                <c:pt idx="347">
                  <c:v>0.37510593346758381</c:v>
                </c:pt>
                <c:pt idx="348">
                  <c:v>0.37510593346758381</c:v>
                </c:pt>
                <c:pt idx="349">
                  <c:v>0.37510593346758381</c:v>
                </c:pt>
                <c:pt idx="350">
                  <c:v>0.37510593346758381</c:v>
                </c:pt>
                <c:pt idx="351">
                  <c:v>0.37510593346758381</c:v>
                </c:pt>
                <c:pt idx="352">
                  <c:v>0.37510593346758381</c:v>
                </c:pt>
                <c:pt idx="353">
                  <c:v>0.37510593346758381</c:v>
                </c:pt>
                <c:pt idx="354">
                  <c:v>0.37510593346758381</c:v>
                </c:pt>
                <c:pt idx="355">
                  <c:v>0.37510593346758381</c:v>
                </c:pt>
                <c:pt idx="356">
                  <c:v>0.37510593346758381</c:v>
                </c:pt>
                <c:pt idx="357">
                  <c:v>0.37510593346758381</c:v>
                </c:pt>
                <c:pt idx="358">
                  <c:v>0.37510593346758381</c:v>
                </c:pt>
                <c:pt idx="359">
                  <c:v>0.37510593346758381</c:v>
                </c:pt>
                <c:pt idx="360">
                  <c:v>0.37510593346758381</c:v>
                </c:pt>
                <c:pt idx="361">
                  <c:v>0.37510593346758381</c:v>
                </c:pt>
                <c:pt idx="362">
                  <c:v>0.37510593346758381</c:v>
                </c:pt>
                <c:pt idx="363">
                  <c:v>0.37510593346758381</c:v>
                </c:pt>
                <c:pt idx="364">
                  <c:v>0.37510593346758381</c:v>
                </c:pt>
                <c:pt idx="365">
                  <c:v>0.37510593346758381</c:v>
                </c:pt>
                <c:pt idx="366">
                  <c:v>0.37510593346758381</c:v>
                </c:pt>
                <c:pt idx="367">
                  <c:v>0.38875422163915474</c:v>
                </c:pt>
                <c:pt idx="368">
                  <c:v>0.38875422163915474</c:v>
                </c:pt>
                <c:pt idx="369">
                  <c:v>0.38875422163915474</c:v>
                </c:pt>
                <c:pt idx="370">
                  <c:v>0.38875422163915474</c:v>
                </c:pt>
                <c:pt idx="371">
                  <c:v>0.38875422163915474</c:v>
                </c:pt>
                <c:pt idx="372">
                  <c:v>0.38875422163915474</c:v>
                </c:pt>
                <c:pt idx="373">
                  <c:v>0.38875422163915474</c:v>
                </c:pt>
                <c:pt idx="374">
                  <c:v>0.38875422163915474</c:v>
                </c:pt>
                <c:pt idx="375">
                  <c:v>0.38875422163915474</c:v>
                </c:pt>
                <c:pt idx="376">
                  <c:v>0.38875422163915474</c:v>
                </c:pt>
                <c:pt idx="377">
                  <c:v>0.38875422163915474</c:v>
                </c:pt>
                <c:pt idx="378">
                  <c:v>0.38875422163915474</c:v>
                </c:pt>
                <c:pt idx="379">
                  <c:v>0.38875422163915474</c:v>
                </c:pt>
                <c:pt idx="380">
                  <c:v>0.38875422163915474</c:v>
                </c:pt>
                <c:pt idx="381">
                  <c:v>0.38875422163915474</c:v>
                </c:pt>
                <c:pt idx="382">
                  <c:v>0.38875422163915474</c:v>
                </c:pt>
                <c:pt idx="383">
                  <c:v>0.38875422163915474</c:v>
                </c:pt>
                <c:pt idx="384">
                  <c:v>0.38875422163915474</c:v>
                </c:pt>
                <c:pt idx="385">
                  <c:v>0.38875422163915474</c:v>
                </c:pt>
                <c:pt idx="386">
                  <c:v>0.38875422163915474</c:v>
                </c:pt>
                <c:pt idx="387">
                  <c:v>0.38875422163915474</c:v>
                </c:pt>
                <c:pt idx="388">
                  <c:v>0.38875422163915474</c:v>
                </c:pt>
                <c:pt idx="389">
                  <c:v>0.38875422163915474</c:v>
                </c:pt>
                <c:pt idx="390">
                  <c:v>0.38875422163915474</c:v>
                </c:pt>
                <c:pt idx="391">
                  <c:v>0.38875422163915474</c:v>
                </c:pt>
                <c:pt idx="392">
                  <c:v>0.38875422163915474</c:v>
                </c:pt>
                <c:pt idx="393">
                  <c:v>0.38875422163915474</c:v>
                </c:pt>
                <c:pt idx="394">
                  <c:v>0.38875422163915474</c:v>
                </c:pt>
                <c:pt idx="395">
                  <c:v>0.38875422163915474</c:v>
                </c:pt>
                <c:pt idx="396">
                  <c:v>0.38875422163915474</c:v>
                </c:pt>
                <c:pt idx="397">
                  <c:v>0.38875422163915474</c:v>
                </c:pt>
                <c:pt idx="398">
                  <c:v>0.38875422163915474</c:v>
                </c:pt>
                <c:pt idx="399">
                  <c:v>0.38875422163915474</c:v>
                </c:pt>
                <c:pt idx="400">
                  <c:v>0.38875422163915474</c:v>
                </c:pt>
                <c:pt idx="401">
                  <c:v>0.38875422163915474</c:v>
                </c:pt>
                <c:pt idx="402">
                  <c:v>0.38875422163915474</c:v>
                </c:pt>
                <c:pt idx="403">
                  <c:v>0.40274371701501488</c:v>
                </c:pt>
                <c:pt idx="404">
                  <c:v>0.40274371701501488</c:v>
                </c:pt>
                <c:pt idx="405">
                  <c:v>0.40274371701501488</c:v>
                </c:pt>
                <c:pt idx="406">
                  <c:v>0.40274371701501488</c:v>
                </c:pt>
                <c:pt idx="407">
                  <c:v>0.40274371701501488</c:v>
                </c:pt>
                <c:pt idx="408">
                  <c:v>0.40274371701501488</c:v>
                </c:pt>
                <c:pt idx="409">
                  <c:v>0.40274371701501488</c:v>
                </c:pt>
                <c:pt idx="410">
                  <c:v>0.40274371701501488</c:v>
                </c:pt>
                <c:pt idx="411">
                  <c:v>0.40274371701501488</c:v>
                </c:pt>
                <c:pt idx="412">
                  <c:v>0.40274371701501488</c:v>
                </c:pt>
                <c:pt idx="413">
                  <c:v>0.40274371701501488</c:v>
                </c:pt>
                <c:pt idx="414">
                  <c:v>0.40274371701501488</c:v>
                </c:pt>
                <c:pt idx="415">
                  <c:v>0.40274371701501488</c:v>
                </c:pt>
                <c:pt idx="416">
                  <c:v>0.40274371701501488</c:v>
                </c:pt>
                <c:pt idx="417">
                  <c:v>0.40274371701501488</c:v>
                </c:pt>
                <c:pt idx="418">
                  <c:v>0.40274371701501488</c:v>
                </c:pt>
                <c:pt idx="419">
                  <c:v>0.40274371701501488</c:v>
                </c:pt>
                <c:pt idx="420">
                  <c:v>0.40274371701501488</c:v>
                </c:pt>
                <c:pt idx="421">
                  <c:v>0.40274371701501488</c:v>
                </c:pt>
                <c:pt idx="422">
                  <c:v>0.40274371701501488</c:v>
                </c:pt>
                <c:pt idx="423">
                  <c:v>0.40274371701501488</c:v>
                </c:pt>
                <c:pt idx="424">
                  <c:v>0.40274371701501488</c:v>
                </c:pt>
                <c:pt idx="425">
                  <c:v>0.40274371701501488</c:v>
                </c:pt>
                <c:pt idx="426">
                  <c:v>0.40274371701501488</c:v>
                </c:pt>
                <c:pt idx="427">
                  <c:v>0.40274371701501488</c:v>
                </c:pt>
                <c:pt idx="428">
                  <c:v>0.40274371701501488</c:v>
                </c:pt>
                <c:pt idx="429">
                  <c:v>0.40274371701501488</c:v>
                </c:pt>
                <c:pt idx="430">
                  <c:v>0.40274371701501488</c:v>
                </c:pt>
                <c:pt idx="431">
                  <c:v>0.40274371701501488</c:v>
                </c:pt>
                <c:pt idx="432">
                  <c:v>0.40274371701501488</c:v>
                </c:pt>
                <c:pt idx="433">
                  <c:v>0.40274371701501488</c:v>
                </c:pt>
                <c:pt idx="434">
                  <c:v>0.40274371701501488</c:v>
                </c:pt>
                <c:pt idx="435">
                  <c:v>0.40274371701501488</c:v>
                </c:pt>
                <c:pt idx="436">
                  <c:v>0.40274371701501488</c:v>
                </c:pt>
                <c:pt idx="437">
                  <c:v>0.40274371701501488</c:v>
                </c:pt>
                <c:pt idx="438">
                  <c:v>0.40274371701501488</c:v>
                </c:pt>
                <c:pt idx="439">
                  <c:v>0.40274371701501488</c:v>
                </c:pt>
                <c:pt idx="440">
                  <c:v>0.41708294977527149</c:v>
                </c:pt>
                <c:pt idx="441">
                  <c:v>0.41708294977527149</c:v>
                </c:pt>
                <c:pt idx="442">
                  <c:v>0.41708294977527149</c:v>
                </c:pt>
                <c:pt idx="443">
                  <c:v>0.41708294977527149</c:v>
                </c:pt>
                <c:pt idx="444">
                  <c:v>0.41708294977527149</c:v>
                </c:pt>
                <c:pt idx="445">
                  <c:v>0.41708294977527149</c:v>
                </c:pt>
                <c:pt idx="446">
                  <c:v>0.41708294977527149</c:v>
                </c:pt>
                <c:pt idx="447">
                  <c:v>0.41708294977527149</c:v>
                </c:pt>
                <c:pt idx="448">
                  <c:v>0.41708294977527149</c:v>
                </c:pt>
                <c:pt idx="449">
                  <c:v>0.41708294977527149</c:v>
                </c:pt>
                <c:pt idx="450">
                  <c:v>0.41708294977527149</c:v>
                </c:pt>
                <c:pt idx="451">
                  <c:v>0.41708294977527149</c:v>
                </c:pt>
                <c:pt idx="452">
                  <c:v>0.41708294977527149</c:v>
                </c:pt>
                <c:pt idx="453">
                  <c:v>0.41708294977527149</c:v>
                </c:pt>
                <c:pt idx="454">
                  <c:v>0.41708294977527149</c:v>
                </c:pt>
                <c:pt idx="455">
                  <c:v>0.41708294977527149</c:v>
                </c:pt>
                <c:pt idx="456">
                  <c:v>0.41708294977527149</c:v>
                </c:pt>
                <c:pt idx="457">
                  <c:v>0.41708294977527149</c:v>
                </c:pt>
                <c:pt idx="458">
                  <c:v>0.41708294977527149</c:v>
                </c:pt>
                <c:pt idx="459">
                  <c:v>0.41708294977527149</c:v>
                </c:pt>
                <c:pt idx="460">
                  <c:v>0.41708294977527149</c:v>
                </c:pt>
                <c:pt idx="461">
                  <c:v>0.41708294977527149</c:v>
                </c:pt>
                <c:pt idx="462">
                  <c:v>0.41708294977527149</c:v>
                </c:pt>
                <c:pt idx="463">
                  <c:v>0.41708294977527149</c:v>
                </c:pt>
                <c:pt idx="464">
                  <c:v>0.41708294977527149</c:v>
                </c:pt>
                <c:pt idx="465">
                  <c:v>0.41708294977527149</c:v>
                </c:pt>
                <c:pt idx="466">
                  <c:v>0.41708294977527149</c:v>
                </c:pt>
                <c:pt idx="467">
                  <c:v>0.41708294977527149</c:v>
                </c:pt>
                <c:pt idx="468">
                  <c:v>0.41708294977527149</c:v>
                </c:pt>
                <c:pt idx="469">
                  <c:v>0.41708294977527149</c:v>
                </c:pt>
                <c:pt idx="470">
                  <c:v>0.41708294977527149</c:v>
                </c:pt>
                <c:pt idx="471">
                  <c:v>0.41708294977527149</c:v>
                </c:pt>
                <c:pt idx="472">
                  <c:v>0.41708294977527149</c:v>
                </c:pt>
                <c:pt idx="473">
                  <c:v>0.41708294977527149</c:v>
                </c:pt>
                <c:pt idx="474">
                  <c:v>0.41708294977527149</c:v>
                </c:pt>
                <c:pt idx="475">
                  <c:v>0.41708294977527149</c:v>
                </c:pt>
                <c:pt idx="476">
                  <c:v>0.43178066335453458</c:v>
                </c:pt>
                <c:pt idx="477">
                  <c:v>0.43178066335453458</c:v>
                </c:pt>
                <c:pt idx="478">
                  <c:v>0.43178066335453458</c:v>
                </c:pt>
                <c:pt idx="479">
                  <c:v>0.43178066335453458</c:v>
                </c:pt>
                <c:pt idx="480">
                  <c:v>0.43178066335453458</c:v>
                </c:pt>
                <c:pt idx="481">
                  <c:v>0.43178066335453458</c:v>
                </c:pt>
                <c:pt idx="482">
                  <c:v>0.43178066335453458</c:v>
                </c:pt>
                <c:pt idx="483">
                  <c:v>0.43178066335453458</c:v>
                </c:pt>
                <c:pt idx="484">
                  <c:v>0.43178066335453458</c:v>
                </c:pt>
                <c:pt idx="485">
                  <c:v>0.43178066335453458</c:v>
                </c:pt>
                <c:pt idx="486">
                  <c:v>0.43178066335453458</c:v>
                </c:pt>
                <c:pt idx="487">
                  <c:v>0.43178066335453458</c:v>
                </c:pt>
                <c:pt idx="488">
                  <c:v>0.43178066335453458</c:v>
                </c:pt>
                <c:pt idx="489">
                  <c:v>0.43178066335453458</c:v>
                </c:pt>
                <c:pt idx="490">
                  <c:v>0.43178066335453458</c:v>
                </c:pt>
                <c:pt idx="491">
                  <c:v>0.43178066335453458</c:v>
                </c:pt>
                <c:pt idx="492">
                  <c:v>0.43178066335453458</c:v>
                </c:pt>
                <c:pt idx="493">
                  <c:v>0.43178066335453458</c:v>
                </c:pt>
                <c:pt idx="494">
                  <c:v>0.43178066335453458</c:v>
                </c:pt>
                <c:pt idx="495">
                  <c:v>0.43178066335453458</c:v>
                </c:pt>
                <c:pt idx="496">
                  <c:v>0.43178066335453458</c:v>
                </c:pt>
                <c:pt idx="497">
                  <c:v>0.43178066335453458</c:v>
                </c:pt>
                <c:pt idx="498">
                  <c:v>0.43178066335453458</c:v>
                </c:pt>
                <c:pt idx="499">
                  <c:v>0.43178066335453458</c:v>
                </c:pt>
                <c:pt idx="500">
                  <c:v>0.43178066335453458</c:v>
                </c:pt>
                <c:pt idx="501">
                  <c:v>0.43178066335453458</c:v>
                </c:pt>
                <c:pt idx="502">
                  <c:v>0.43178066335453458</c:v>
                </c:pt>
                <c:pt idx="503">
                  <c:v>0.43178066335453458</c:v>
                </c:pt>
                <c:pt idx="504">
                  <c:v>0.43178066335453458</c:v>
                </c:pt>
                <c:pt idx="505">
                  <c:v>0.43178066335453458</c:v>
                </c:pt>
                <c:pt idx="506">
                  <c:v>0.43178066335453458</c:v>
                </c:pt>
                <c:pt idx="507">
                  <c:v>0.43178066335453458</c:v>
                </c:pt>
                <c:pt idx="508">
                  <c:v>0.43178066335453458</c:v>
                </c:pt>
                <c:pt idx="509">
                  <c:v>0.43178066335453458</c:v>
                </c:pt>
                <c:pt idx="510">
                  <c:v>0.43178066335453458</c:v>
                </c:pt>
                <c:pt idx="511">
                  <c:v>0.43178066335453458</c:v>
                </c:pt>
                <c:pt idx="512">
                  <c:v>0.43178066335453458</c:v>
                </c:pt>
                <c:pt idx="513">
                  <c:v>0.4468458197732792</c:v>
                </c:pt>
                <c:pt idx="514">
                  <c:v>0.4468458197732792</c:v>
                </c:pt>
                <c:pt idx="515">
                  <c:v>0.4468458197732792</c:v>
                </c:pt>
                <c:pt idx="516">
                  <c:v>0.4468458197732792</c:v>
                </c:pt>
                <c:pt idx="517">
                  <c:v>0.4468458197732792</c:v>
                </c:pt>
                <c:pt idx="518">
                  <c:v>0.4468458197732792</c:v>
                </c:pt>
                <c:pt idx="519">
                  <c:v>0.4468458197732792</c:v>
                </c:pt>
                <c:pt idx="520">
                  <c:v>0.4468458197732792</c:v>
                </c:pt>
                <c:pt idx="521">
                  <c:v>0.4468458197732792</c:v>
                </c:pt>
                <c:pt idx="522">
                  <c:v>0.4468458197732792</c:v>
                </c:pt>
                <c:pt idx="523">
                  <c:v>0.4468458197732792</c:v>
                </c:pt>
                <c:pt idx="524">
                  <c:v>0.4468458197732792</c:v>
                </c:pt>
                <c:pt idx="525">
                  <c:v>0.4468458197732792</c:v>
                </c:pt>
                <c:pt idx="526">
                  <c:v>0.4468458197732792</c:v>
                </c:pt>
                <c:pt idx="527">
                  <c:v>0.4468458197732792</c:v>
                </c:pt>
                <c:pt idx="528">
                  <c:v>0.4468458197732792</c:v>
                </c:pt>
                <c:pt idx="529">
                  <c:v>0.4468458197732792</c:v>
                </c:pt>
                <c:pt idx="530">
                  <c:v>0.4468458197732792</c:v>
                </c:pt>
                <c:pt idx="531">
                  <c:v>0.4468458197732792</c:v>
                </c:pt>
                <c:pt idx="532">
                  <c:v>0.4468458197732792</c:v>
                </c:pt>
                <c:pt idx="533">
                  <c:v>0.4468458197732792</c:v>
                </c:pt>
                <c:pt idx="534">
                  <c:v>0.4468458197732792</c:v>
                </c:pt>
                <c:pt idx="535">
                  <c:v>0.4468458197732792</c:v>
                </c:pt>
                <c:pt idx="536">
                  <c:v>0.4468458197732792</c:v>
                </c:pt>
                <c:pt idx="537">
                  <c:v>0.4468458197732792</c:v>
                </c:pt>
                <c:pt idx="538">
                  <c:v>0.4468458197732792</c:v>
                </c:pt>
                <c:pt idx="539">
                  <c:v>0.4468458197732792</c:v>
                </c:pt>
                <c:pt idx="540">
                  <c:v>0.4468458197732792</c:v>
                </c:pt>
                <c:pt idx="541">
                  <c:v>0.4468458197732792</c:v>
                </c:pt>
                <c:pt idx="542">
                  <c:v>0.4468458197732792</c:v>
                </c:pt>
                <c:pt idx="543">
                  <c:v>0.4468458197732792</c:v>
                </c:pt>
                <c:pt idx="544">
                  <c:v>0.4468458197732792</c:v>
                </c:pt>
                <c:pt idx="545">
                  <c:v>0.4468458197732792</c:v>
                </c:pt>
                <c:pt idx="546">
                  <c:v>0.4468458197732792</c:v>
                </c:pt>
                <c:pt idx="547">
                  <c:v>0.4468458197732792</c:v>
                </c:pt>
                <c:pt idx="548">
                  <c:v>0.4468458197732792</c:v>
                </c:pt>
                <c:pt idx="549">
                  <c:v>0.46228760510249256</c:v>
                </c:pt>
                <c:pt idx="550">
                  <c:v>0.46228760510249256</c:v>
                </c:pt>
                <c:pt idx="551">
                  <c:v>0.46228760510249256</c:v>
                </c:pt>
                <c:pt idx="552">
                  <c:v>0.46228760510249256</c:v>
                </c:pt>
                <c:pt idx="553">
                  <c:v>0.46228760510249256</c:v>
                </c:pt>
                <c:pt idx="554">
                  <c:v>0.46228760510249256</c:v>
                </c:pt>
                <c:pt idx="555">
                  <c:v>0.46228760510249256</c:v>
                </c:pt>
                <c:pt idx="556">
                  <c:v>0.46228760510249256</c:v>
                </c:pt>
                <c:pt idx="557">
                  <c:v>0.46228760510249256</c:v>
                </c:pt>
                <c:pt idx="558">
                  <c:v>0.46228760510249256</c:v>
                </c:pt>
                <c:pt idx="559">
                  <c:v>0.46228760510249256</c:v>
                </c:pt>
                <c:pt idx="560">
                  <c:v>0.46228760510249256</c:v>
                </c:pt>
                <c:pt idx="561">
                  <c:v>0.46228760510249256</c:v>
                </c:pt>
                <c:pt idx="562">
                  <c:v>0.46228760510249256</c:v>
                </c:pt>
                <c:pt idx="563">
                  <c:v>0.46228760510249256</c:v>
                </c:pt>
                <c:pt idx="564">
                  <c:v>0.46228760510249256</c:v>
                </c:pt>
                <c:pt idx="565">
                  <c:v>0.46228760510249256</c:v>
                </c:pt>
                <c:pt idx="566">
                  <c:v>0.46228760510249256</c:v>
                </c:pt>
                <c:pt idx="567">
                  <c:v>0.46228760510249256</c:v>
                </c:pt>
                <c:pt idx="568">
                  <c:v>0.46228760510249256</c:v>
                </c:pt>
                <c:pt idx="569">
                  <c:v>0.46228760510249256</c:v>
                </c:pt>
                <c:pt idx="570">
                  <c:v>0.46228760510249256</c:v>
                </c:pt>
                <c:pt idx="571">
                  <c:v>0.46228760510249256</c:v>
                </c:pt>
                <c:pt idx="572">
                  <c:v>0.46228760510249256</c:v>
                </c:pt>
                <c:pt idx="573">
                  <c:v>0.46228760510249256</c:v>
                </c:pt>
                <c:pt idx="574">
                  <c:v>0.46228760510249256</c:v>
                </c:pt>
                <c:pt idx="575">
                  <c:v>0.46228760510249256</c:v>
                </c:pt>
                <c:pt idx="576">
                  <c:v>0.46228760510249256</c:v>
                </c:pt>
                <c:pt idx="577">
                  <c:v>0.46228760510249256</c:v>
                </c:pt>
                <c:pt idx="578">
                  <c:v>0.46228760510249256</c:v>
                </c:pt>
                <c:pt idx="579">
                  <c:v>0.46228760510249256</c:v>
                </c:pt>
                <c:pt idx="580">
                  <c:v>0.46228760510249256</c:v>
                </c:pt>
                <c:pt idx="581">
                  <c:v>0.46228760510249256</c:v>
                </c:pt>
                <c:pt idx="582">
                  <c:v>0.46228760510249256</c:v>
                </c:pt>
                <c:pt idx="583">
                  <c:v>0.46228760510249256</c:v>
                </c:pt>
                <c:pt idx="584">
                  <c:v>0.46228760510249256</c:v>
                </c:pt>
                <c:pt idx="585">
                  <c:v>0.46228760510249256</c:v>
                </c:pt>
                <c:pt idx="586">
                  <c:v>0.47811543506493626</c:v>
                </c:pt>
                <c:pt idx="587">
                  <c:v>0.47811543506493626</c:v>
                </c:pt>
                <c:pt idx="588">
                  <c:v>0.47811543506493626</c:v>
                </c:pt>
                <c:pt idx="589">
                  <c:v>0.47811543506493626</c:v>
                </c:pt>
                <c:pt idx="590">
                  <c:v>0.47811543506493626</c:v>
                </c:pt>
                <c:pt idx="591">
                  <c:v>0.47811543506493626</c:v>
                </c:pt>
                <c:pt idx="592">
                  <c:v>0.47811543506493626</c:v>
                </c:pt>
                <c:pt idx="593">
                  <c:v>0.47811543506493626</c:v>
                </c:pt>
                <c:pt idx="594">
                  <c:v>0.47811543506493626</c:v>
                </c:pt>
                <c:pt idx="595">
                  <c:v>0.47811543506493626</c:v>
                </c:pt>
                <c:pt idx="596">
                  <c:v>0.47811543506493626</c:v>
                </c:pt>
                <c:pt idx="597">
                  <c:v>0.47811543506493626</c:v>
                </c:pt>
                <c:pt idx="598">
                  <c:v>0.47811543506493626</c:v>
                </c:pt>
                <c:pt idx="599">
                  <c:v>0.47811543506493626</c:v>
                </c:pt>
                <c:pt idx="600">
                  <c:v>0.47811543506493626</c:v>
                </c:pt>
                <c:pt idx="601">
                  <c:v>0.47811543506493626</c:v>
                </c:pt>
                <c:pt idx="602">
                  <c:v>0.47811543506493626</c:v>
                </c:pt>
                <c:pt idx="603">
                  <c:v>0.47811543506493626</c:v>
                </c:pt>
                <c:pt idx="604">
                  <c:v>0.47811543506493626</c:v>
                </c:pt>
                <c:pt idx="605">
                  <c:v>0.47811543506493626</c:v>
                </c:pt>
                <c:pt idx="606">
                  <c:v>0.47811543506493626</c:v>
                </c:pt>
                <c:pt idx="607">
                  <c:v>0.47811543506493626</c:v>
                </c:pt>
                <c:pt idx="608">
                  <c:v>0.47811543506493626</c:v>
                </c:pt>
                <c:pt idx="609">
                  <c:v>0.47811543506493626</c:v>
                </c:pt>
                <c:pt idx="610">
                  <c:v>0.47811543506493626</c:v>
                </c:pt>
                <c:pt idx="611">
                  <c:v>0.47811543506493626</c:v>
                </c:pt>
                <c:pt idx="612">
                  <c:v>0.47811543506493626</c:v>
                </c:pt>
                <c:pt idx="613">
                  <c:v>0.47811543506493626</c:v>
                </c:pt>
                <c:pt idx="614">
                  <c:v>0.47811543506493626</c:v>
                </c:pt>
                <c:pt idx="615">
                  <c:v>0.47811543506493626</c:v>
                </c:pt>
                <c:pt idx="616">
                  <c:v>0.47811543506493626</c:v>
                </c:pt>
                <c:pt idx="617">
                  <c:v>0.47811543506493626</c:v>
                </c:pt>
                <c:pt idx="618">
                  <c:v>0.47811543506493626</c:v>
                </c:pt>
                <c:pt idx="619">
                  <c:v>0.47811543506493626</c:v>
                </c:pt>
                <c:pt idx="620">
                  <c:v>0.47811543506493626</c:v>
                </c:pt>
                <c:pt idx="621">
                  <c:v>0.47811543506493626</c:v>
                </c:pt>
                <c:pt idx="622">
                  <c:v>0.49433896077644079</c:v>
                </c:pt>
                <c:pt idx="623">
                  <c:v>0.49433896077644079</c:v>
                </c:pt>
                <c:pt idx="624">
                  <c:v>0.49433896077644079</c:v>
                </c:pt>
                <c:pt idx="625">
                  <c:v>0.49433896077644079</c:v>
                </c:pt>
                <c:pt idx="626">
                  <c:v>0.49433896077644079</c:v>
                </c:pt>
                <c:pt idx="627">
                  <c:v>0.49433896077644079</c:v>
                </c:pt>
                <c:pt idx="628">
                  <c:v>0.49433896077644079</c:v>
                </c:pt>
                <c:pt idx="629">
                  <c:v>0.49433896077644079</c:v>
                </c:pt>
                <c:pt idx="630">
                  <c:v>0.49433896077644079</c:v>
                </c:pt>
                <c:pt idx="631">
                  <c:v>0.49433896077644079</c:v>
                </c:pt>
                <c:pt idx="632">
                  <c:v>0.49433896077644079</c:v>
                </c:pt>
                <c:pt idx="633">
                  <c:v>0.49433896077644079</c:v>
                </c:pt>
                <c:pt idx="634">
                  <c:v>0.49433896077644079</c:v>
                </c:pt>
                <c:pt idx="635">
                  <c:v>0.49433896077644079</c:v>
                </c:pt>
                <c:pt idx="636">
                  <c:v>0.49433896077644079</c:v>
                </c:pt>
                <c:pt idx="637">
                  <c:v>0.49433896077644079</c:v>
                </c:pt>
                <c:pt idx="638">
                  <c:v>0.49433896077644079</c:v>
                </c:pt>
                <c:pt idx="639">
                  <c:v>0.49433896077644079</c:v>
                </c:pt>
                <c:pt idx="640">
                  <c:v>0.49433896077644079</c:v>
                </c:pt>
                <c:pt idx="641">
                  <c:v>0.49433896077644079</c:v>
                </c:pt>
                <c:pt idx="642">
                  <c:v>0.49433896077644079</c:v>
                </c:pt>
                <c:pt idx="643">
                  <c:v>0.49433896077644079</c:v>
                </c:pt>
                <c:pt idx="644">
                  <c:v>0.49433896077644079</c:v>
                </c:pt>
                <c:pt idx="645">
                  <c:v>0.49433896077644079</c:v>
                </c:pt>
                <c:pt idx="646">
                  <c:v>0.49433896077644079</c:v>
                </c:pt>
                <c:pt idx="647">
                  <c:v>0.49433896077644079</c:v>
                </c:pt>
                <c:pt idx="648">
                  <c:v>0.49433896077644079</c:v>
                </c:pt>
                <c:pt idx="649">
                  <c:v>0.49433896077644079</c:v>
                </c:pt>
                <c:pt idx="650">
                  <c:v>0.49433896077644079</c:v>
                </c:pt>
                <c:pt idx="651">
                  <c:v>0.49433896077644079</c:v>
                </c:pt>
                <c:pt idx="652">
                  <c:v>0.49433896077644079</c:v>
                </c:pt>
                <c:pt idx="653">
                  <c:v>0.49433896077644079</c:v>
                </c:pt>
                <c:pt idx="654">
                  <c:v>0.49433896077644079</c:v>
                </c:pt>
                <c:pt idx="655">
                  <c:v>0.49433896077644079</c:v>
                </c:pt>
                <c:pt idx="656">
                  <c:v>0.49433896077644079</c:v>
                </c:pt>
                <c:pt idx="657">
                  <c:v>0.49433896077644079</c:v>
                </c:pt>
                <c:pt idx="658">
                  <c:v>0.49433896077644079</c:v>
                </c:pt>
                <c:pt idx="659">
                  <c:v>0.51096807463073324</c:v>
                </c:pt>
                <c:pt idx="660">
                  <c:v>0.51096807463073324</c:v>
                </c:pt>
                <c:pt idx="661">
                  <c:v>0.51096807463073324</c:v>
                </c:pt>
                <c:pt idx="662">
                  <c:v>0.51096807463073324</c:v>
                </c:pt>
                <c:pt idx="663">
                  <c:v>0.51096807463073324</c:v>
                </c:pt>
                <c:pt idx="664">
                  <c:v>0.51096807463073324</c:v>
                </c:pt>
                <c:pt idx="665">
                  <c:v>0.51096807463073324</c:v>
                </c:pt>
                <c:pt idx="666">
                  <c:v>0.51096807463073324</c:v>
                </c:pt>
                <c:pt idx="667">
                  <c:v>0.51096807463073324</c:v>
                </c:pt>
                <c:pt idx="668">
                  <c:v>0.51096807463073324</c:v>
                </c:pt>
                <c:pt idx="669">
                  <c:v>0.51096807463073324</c:v>
                </c:pt>
                <c:pt idx="670">
                  <c:v>0.51096807463073324</c:v>
                </c:pt>
                <c:pt idx="671">
                  <c:v>0.51096807463073324</c:v>
                </c:pt>
                <c:pt idx="672">
                  <c:v>0.51096807463073324</c:v>
                </c:pt>
                <c:pt idx="673">
                  <c:v>0.51096807463073324</c:v>
                </c:pt>
                <c:pt idx="674">
                  <c:v>0.51096807463073324</c:v>
                </c:pt>
                <c:pt idx="675">
                  <c:v>0.51096807463073324</c:v>
                </c:pt>
                <c:pt idx="676">
                  <c:v>0.51096807463073324</c:v>
                </c:pt>
                <c:pt idx="677">
                  <c:v>0.51096807463073324</c:v>
                </c:pt>
                <c:pt idx="678">
                  <c:v>0.51096807463073324</c:v>
                </c:pt>
                <c:pt idx="679">
                  <c:v>0.51096807463073324</c:v>
                </c:pt>
                <c:pt idx="680">
                  <c:v>0.51096807463073324</c:v>
                </c:pt>
                <c:pt idx="681">
                  <c:v>0.51096807463073324</c:v>
                </c:pt>
                <c:pt idx="682">
                  <c:v>0.51096807463073324</c:v>
                </c:pt>
                <c:pt idx="683">
                  <c:v>0.51096807463073324</c:v>
                </c:pt>
                <c:pt idx="684">
                  <c:v>0.51096807463073324</c:v>
                </c:pt>
                <c:pt idx="685">
                  <c:v>0.51096807463073324</c:v>
                </c:pt>
                <c:pt idx="686">
                  <c:v>0.51096807463073324</c:v>
                </c:pt>
                <c:pt idx="687">
                  <c:v>0.51096807463073324</c:v>
                </c:pt>
                <c:pt idx="688">
                  <c:v>0.51096807463073324</c:v>
                </c:pt>
                <c:pt idx="689">
                  <c:v>0.51096807463073324</c:v>
                </c:pt>
                <c:pt idx="690">
                  <c:v>0.51096807463073324</c:v>
                </c:pt>
                <c:pt idx="691">
                  <c:v>0.51096807463073324</c:v>
                </c:pt>
                <c:pt idx="692">
                  <c:v>0.51096807463073324</c:v>
                </c:pt>
                <c:pt idx="693">
                  <c:v>0.51096807463073324</c:v>
                </c:pt>
                <c:pt idx="694">
                  <c:v>0.51096807463073324</c:v>
                </c:pt>
                <c:pt idx="695">
                  <c:v>0.52801291633138281</c:v>
                </c:pt>
                <c:pt idx="696">
                  <c:v>0.52801291633138281</c:v>
                </c:pt>
                <c:pt idx="697">
                  <c:v>0.52801291633138281</c:v>
                </c:pt>
                <c:pt idx="698">
                  <c:v>0.52801291633138281</c:v>
                </c:pt>
                <c:pt idx="699">
                  <c:v>0.52801291633138281</c:v>
                </c:pt>
                <c:pt idx="700">
                  <c:v>0.52801291633138281</c:v>
                </c:pt>
                <c:pt idx="701">
                  <c:v>0.52801291633138281</c:v>
                </c:pt>
                <c:pt idx="702">
                  <c:v>0.52801291633138281</c:v>
                </c:pt>
                <c:pt idx="703">
                  <c:v>0.52801291633138281</c:v>
                </c:pt>
                <c:pt idx="704">
                  <c:v>0.52801291633138281</c:v>
                </c:pt>
                <c:pt idx="705">
                  <c:v>0.52801291633138281</c:v>
                </c:pt>
                <c:pt idx="706">
                  <c:v>0.52801291633138281</c:v>
                </c:pt>
                <c:pt idx="707">
                  <c:v>0.52801291633138281</c:v>
                </c:pt>
                <c:pt idx="708">
                  <c:v>0.52801291633138281</c:v>
                </c:pt>
                <c:pt idx="709">
                  <c:v>0.52801291633138281</c:v>
                </c:pt>
                <c:pt idx="710">
                  <c:v>0.52801291633138281</c:v>
                </c:pt>
                <c:pt idx="711">
                  <c:v>0.52801291633138281</c:v>
                </c:pt>
                <c:pt idx="712">
                  <c:v>0.52801291633138281</c:v>
                </c:pt>
                <c:pt idx="713">
                  <c:v>0.52801291633138281</c:v>
                </c:pt>
                <c:pt idx="714">
                  <c:v>0.52801291633138281</c:v>
                </c:pt>
                <c:pt idx="715">
                  <c:v>0.52801291633138281</c:v>
                </c:pt>
                <c:pt idx="716">
                  <c:v>0.52801291633138281</c:v>
                </c:pt>
                <c:pt idx="717">
                  <c:v>0.52801291633138281</c:v>
                </c:pt>
                <c:pt idx="718">
                  <c:v>0.52801291633138281</c:v>
                </c:pt>
                <c:pt idx="719">
                  <c:v>0.52801291633138281</c:v>
                </c:pt>
                <c:pt idx="720">
                  <c:v>0.52801291633138281</c:v>
                </c:pt>
                <c:pt idx="721">
                  <c:v>0.52801291633138281</c:v>
                </c:pt>
                <c:pt idx="722">
                  <c:v>0.52801291633138281</c:v>
                </c:pt>
                <c:pt idx="723">
                  <c:v>0.52801291633138281</c:v>
                </c:pt>
                <c:pt idx="724">
                  <c:v>0.52801291633138281</c:v>
                </c:pt>
                <c:pt idx="725">
                  <c:v>0.52801291633138281</c:v>
                </c:pt>
                <c:pt idx="726">
                  <c:v>0.52801291633138281</c:v>
                </c:pt>
                <c:pt idx="727">
                  <c:v>0.52801291633138281</c:v>
                </c:pt>
                <c:pt idx="728">
                  <c:v>0.52801291633138281</c:v>
                </c:pt>
                <c:pt idx="729">
                  <c:v>0.52801291633138281</c:v>
                </c:pt>
                <c:pt idx="730">
                  <c:v>0.52801291633138281</c:v>
                </c:pt>
                <c:pt idx="731">
                  <c:v>0.52801291633138281</c:v>
                </c:pt>
                <c:pt idx="732">
                  <c:v>0.54548387907454865</c:v>
                </c:pt>
                <c:pt idx="733">
                  <c:v>0.54548387907454865</c:v>
                </c:pt>
                <c:pt idx="734">
                  <c:v>0.54548387907454865</c:v>
                </c:pt>
                <c:pt idx="735">
                  <c:v>0.54548387907454865</c:v>
                </c:pt>
                <c:pt idx="736">
                  <c:v>0.54548387907454865</c:v>
                </c:pt>
                <c:pt idx="737">
                  <c:v>0.54548387907454865</c:v>
                </c:pt>
                <c:pt idx="738">
                  <c:v>0.54548387907454865</c:v>
                </c:pt>
                <c:pt idx="739">
                  <c:v>0.54548387907454865</c:v>
                </c:pt>
                <c:pt idx="740">
                  <c:v>0.54548387907454865</c:v>
                </c:pt>
                <c:pt idx="741">
                  <c:v>0.54548387907454865</c:v>
                </c:pt>
                <c:pt idx="742">
                  <c:v>0.54548387907454865</c:v>
                </c:pt>
                <c:pt idx="743">
                  <c:v>0.54548387907454865</c:v>
                </c:pt>
                <c:pt idx="744">
                  <c:v>0.54548387907454865</c:v>
                </c:pt>
                <c:pt idx="745">
                  <c:v>0.54548387907454865</c:v>
                </c:pt>
                <c:pt idx="746">
                  <c:v>0.54548387907454865</c:v>
                </c:pt>
                <c:pt idx="747">
                  <c:v>0.54548387907454865</c:v>
                </c:pt>
                <c:pt idx="748">
                  <c:v>0.54548387907454865</c:v>
                </c:pt>
                <c:pt idx="749">
                  <c:v>0.54548387907454865</c:v>
                </c:pt>
                <c:pt idx="750">
                  <c:v>0.54548387907454865</c:v>
                </c:pt>
                <c:pt idx="751">
                  <c:v>0.54548387907454865</c:v>
                </c:pt>
                <c:pt idx="752">
                  <c:v>0.54548387907454865</c:v>
                </c:pt>
                <c:pt idx="753">
                  <c:v>0.54548387907454865</c:v>
                </c:pt>
                <c:pt idx="754">
                  <c:v>0.54548387907454865</c:v>
                </c:pt>
                <c:pt idx="755">
                  <c:v>0.54548387907454865</c:v>
                </c:pt>
                <c:pt idx="756">
                  <c:v>0.54548387907454865</c:v>
                </c:pt>
                <c:pt idx="757">
                  <c:v>0.54548387907454865</c:v>
                </c:pt>
                <c:pt idx="758">
                  <c:v>0.54548387907454865</c:v>
                </c:pt>
                <c:pt idx="759">
                  <c:v>0.54548387907454865</c:v>
                </c:pt>
                <c:pt idx="760">
                  <c:v>0.54548387907454865</c:v>
                </c:pt>
                <c:pt idx="761">
                  <c:v>0.54548387907454865</c:v>
                </c:pt>
                <c:pt idx="762">
                  <c:v>0.54548387907454865</c:v>
                </c:pt>
                <c:pt idx="763">
                  <c:v>0.54548387907454865</c:v>
                </c:pt>
                <c:pt idx="764">
                  <c:v>0.54548387907454865</c:v>
                </c:pt>
                <c:pt idx="765">
                  <c:v>0.54548387907454865</c:v>
                </c:pt>
                <c:pt idx="766">
                  <c:v>0.54548387907454865</c:v>
                </c:pt>
                <c:pt idx="767">
                  <c:v>0.54548387907454865</c:v>
                </c:pt>
                <c:pt idx="768">
                  <c:v>0.5633916158862935</c:v>
                </c:pt>
                <c:pt idx="769">
                  <c:v>0.5633916158862935</c:v>
                </c:pt>
                <c:pt idx="770">
                  <c:v>0.5633916158862935</c:v>
                </c:pt>
                <c:pt idx="771">
                  <c:v>0.5633916158862935</c:v>
                </c:pt>
                <c:pt idx="772">
                  <c:v>0.5633916158862935</c:v>
                </c:pt>
                <c:pt idx="773">
                  <c:v>0.5633916158862935</c:v>
                </c:pt>
                <c:pt idx="774">
                  <c:v>0.5633916158862935</c:v>
                </c:pt>
                <c:pt idx="775">
                  <c:v>0.5633916158862935</c:v>
                </c:pt>
                <c:pt idx="776">
                  <c:v>0.5633916158862935</c:v>
                </c:pt>
                <c:pt idx="777">
                  <c:v>0.5633916158862935</c:v>
                </c:pt>
                <c:pt idx="778">
                  <c:v>0.5633916158862935</c:v>
                </c:pt>
                <c:pt idx="779">
                  <c:v>0.5633916158862935</c:v>
                </c:pt>
                <c:pt idx="780">
                  <c:v>0.5633916158862935</c:v>
                </c:pt>
                <c:pt idx="781">
                  <c:v>0.5633916158862935</c:v>
                </c:pt>
                <c:pt idx="782">
                  <c:v>0.5633916158862935</c:v>
                </c:pt>
                <c:pt idx="783">
                  <c:v>0.5633916158862935</c:v>
                </c:pt>
                <c:pt idx="784">
                  <c:v>0.5633916158862935</c:v>
                </c:pt>
                <c:pt idx="785">
                  <c:v>0.5633916158862935</c:v>
                </c:pt>
                <c:pt idx="786">
                  <c:v>0.5633916158862935</c:v>
                </c:pt>
                <c:pt idx="787">
                  <c:v>0.5633916158862935</c:v>
                </c:pt>
                <c:pt idx="788">
                  <c:v>0.5633916158862935</c:v>
                </c:pt>
                <c:pt idx="789">
                  <c:v>0.5633916158862935</c:v>
                </c:pt>
                <c:pt idx="790">
                  <c:v>0.5633916158862935</c:v>
                </c:pt>
                <c:pt idx="791">
                  <c:v>0.5633916158862935</c:v>
                </c:pt>
                <c:pt idx="792">
                  <c:v>0.5633916158862935</c:v>
                </c:pt>
                <c:pt idx="793">
                  <c:v>0.5633916158862935</c:v>
                </c:pt>
                <c:pt idx="794">
                  <c:v>0.5633916158862935</c:v>
                </c:pt>
                <c:pt idx="795">
                  <c:v>0.5633916158862935</c:v>
                </c:pt>
                <c:pt idx="796">
                  <c:v>0.5633916158862935</c:v>
                </c:pt>
                <c:pt idx="797">
                  <c:v>0.5633916158862935</c:v>
                </c:pt>
                <c:pt idx="798">
                  <c:v>0.5633916158862935</c:v>
                </c:pt>
                <c:pt idx="799">
                  <c:v>0.5633916158862935</c:v>
                </c:pt>
                <c:pt idx="800">
                  <c:v>0.5633916158862935</c:v>
                </c:pt>
                <c:pt idx="801">
                  <c:v>0.5633916158862935</c:v>
                </c:pt>
                <c:pt idx="802">
                  <c:v>0.5633916158862935</c:v>
                </c:pt>
                <c:pt idx="803">
                  <c:v>0.5633916158862935</c:v>
                </c:pt>
                <c:pt idx="804">
                  <c:v>0.5633916158862935</c:v>
                </c:pt>
                <c:pt idx="805">
                  <c:v>0.58174704611833217</c:v>
                </c:pt>
                <c:pt idx="806">
                  <c:v>0.58174704611833217</c:v>
                </c:pt>
                <c:pt idx="807">
                  <c:v>0.58174704611833217</c:v>
                </c:pt>
                <c:pt idx="808">
                  <c:v>0.58174704611833217</c:v>
                </c:pt>
                <c:pt idx="809">
                  <c:v>0.58174704611833217</c:v>
                </c:pt>
                <c:pt idx="810">
                  <c:v>0.58174704611833217</c:v>
                </c:pt>
                <c:pt idx="811">
                  <c:v>0.58174704611833217</c:v>
                </c:pt>
                <c:pt idx="812">
                  <c:v>0.58174704611833217</c:v>
                </c:pt>
                <c:pt idx="813">
                  <c:v>0.58174704611833217</c:v>
                </c:pt>
                <c:pt idx="814">
                  <c:v>0.58174704611833217</c:v>
                </c:pt>
                <c:pt idx="815">
                  <c:v>0.58174704611833217</c:v>
                </c:pt>
                <c:pt idx="816">
                  <c:v>0.58174704611833217</c:v>
                </c:pt>
                <c:pt idx="817">
                  <c:v>0.58174704611833217</c:v>
                </c:pt>
                <c:pt idx="818">
                  <c:v>0.58174704611833217</c:v>
                </c:pt>
                <c:pt idx="819">
                  <c:v>0.58174704611833217</c:v>
                </c:pt>
                <c:pt idx="820">
                  <c:v>0.58174704611833217</c:v>
                </c:pt>
                <c:pt idx="821">
                  <c:v>0.58174704611833217</c:v>
                </c:pt>
                <c:pt idx="822">
                  <c:v>0.58174704611833217</c:v>
                </c:pt>
                <c:pt idx="823">
                  <c:v>0.58174704611833217</c:v>
                </c:pt>
                <c:pt idx="824">
                  <c:v>0.58174704611833217</c:v>
                </c:pt>
                <c:pt idx="825">
                  <c:v>0.58174704611833217</c:v>
                </c:pt>
                <c:pt idx="826">
                  <c:v>0.58174704611833217</c:v>
                </c:pt>
                <c:pt idx="827">
                  <c:v>0.58174704611833217</c:v>
                </c:pt>
                <c:pt idx="828">
                  <c:v>0.58174704611833217</c:v>
                </c:pt>
                <c:pt idx="829">
                  <c:v>0.58174704611833217</c:v>
                </c:pt>
                <c:pt idx="830">
                  <c:v>0.58174704611833217</c:v>
                </c:pt>
                <c:pt idx="831">
                  <c:v>0.58174704611833217</c:v>
                </c:pt>
                <c:pt idx="832">
                  <c:v>0.58174704611833217</c:v>
                </c:pt>
                <c:pt idx="833">
                  <c:v>0.58174704611833217</c:v>
                </c:pt>
                <c:pt idx="834">
                  <c:v>0.58174704611833217</c:v>
                </c:pt>
                <c:pt idx="835">
                  <c:v>0.58174704611833217</c:v>
                </c:pt>
                <c:pt idx="836">
                  <c:v>0.58174704611833217</c:v>
                </c:pt>
                <c:pt idx="837">
                  <c:v>0.58174704611833217</c:v>
                </c:pt>
                <c:pt idx="838">
                  <c:v>0.58174704611833217</c:v>
                </c:pt>
                <c:pt idx="839">
                  <c:v>0.58174704611833217</c:v>
                </c:pt>
                <c:pt idx="840">
                  <c:v>0.58174704611833217</c:v>
                </c:pt>
                <c:pt idx="841">
                  <c:v>0.60056136210617184</c:v>
                </c:pt>
                <c:pt idx="842">
                  <c:v>0.60056136210617184</c:v>
                </c:pt>
                <c:pt idx="843">
                  <c:v>0.60056136210617184</c:v>
                </c:pt>
                <c:pt idx="844">
                  <c:v>0.60056136210617184</c:v>
                </c:pt>
                <c:pt idx="845">
                  <c:v>0.60056136210617184</c:v>
                </c:pt>
                <c:pt idx="846">
                  <c:v>0.60056136210617184</c:v>
                </c:pt>
                <c:pt idx="847">
                  <c:v>0.60056136210617184</c:v>
                </c:pt>
                <c:pt idx="848">
                  <c:v>0.60056136210617184</c:v>
                </c:pt>
                <c:pt idx="849">
                  <c:v>0.60056136210617184</c:v>
                </c:pt>
                <c:pt idx="850">
                  <c:v>0.60056136210617184</c:v>
                </c:pt>
                <c:pt idx="851">
                  <c:v>0.60056136210617184</c:v>
                </c:pt>
                <c:pt idx="852">
                  <c:v>0.60056136210617184</c:v>
                </c:pt>
                <c:pt idx="853">
                  <c:v>0.60056136210617184</c:v>
                </c:pt>
                <c:pt idx="854">
                  <c:v>0.60056136210617184</c:v>
                </c:pt>
                <c:pt idx="855">
                  <c:v>0.60056136210617184</c:v>
                </c:pt>
                <c:pt idx="856">
                  <c:v>0.60056136210617184</c:v>
                </c:pt>
                <c:pt idx="857">
                  <c:v>0.60056136210617184</c:v>
                </c:pt>
                <c:pt idx="858">
                  <c:v>0.60056136210617184</c:v>
                </c:pt>
                <c:pt idx="859">
                  <c:v>0.60056136210617184</c:v>
                </c:pt>
                <c:pt idx="860">
                  <c:v>0.60056136210617184</c:v>
                </c:pt>
                <c:pt idx="861">
                  <c:v>0.60056136210617184</c:v>
                </c:pt>
                <c:pt idx="862">
                  <c:v>0.60056136210617184</c:v>
                </c:pt>
                <c:pt idx="863">
                  <c:v>0.60056136210617184</c:v>
                </c:pt>
                <c:pt idx="864">
                  <c:v>0.60056136210617184</c:v>
                </c:pt>
                <c:pt idx="865">
                  <c:v>0.60056136210617184</c:v>
                </c:pt>
                <c:pt idx="866">
                  <c:v>0.60056136210617184</c:v>
                </c:pt>
                <c:pt idx="867">
                  <c:v>0.60056136210617184</c:v>
                </c:pt>
                <c:pt idx="868">
                  <c:v>0.60056136210617184</c:v>
                </c:pt>
                <c:pt idx="869">
                  <c:v>0.60056136210617184</c:v>
                </c:pt>
                <c:pt idx="870">
                  <c:v>0.60056136210617184</c:v>
                </c:pt>
                <c:pt idx="871">
                  <c:v>0.60056136210617184</c:v>
                </c:pt>
                <c:pt idx="872">
                  <c:v>0.60056136210617184</c:v>
                </c:pt>
                <c:pt idx="873">
                  <c:v>0.60056136210617184</c:v>
                </c:pt>
                <c:pt idx="874">
                  <c:v>0.60056136210617184</c:v>
                </c:pt>
                <c:pt idx="875">
                  <c:v>0.60056136210617184</c:v>
                </c:pt>
                <c:pt idx="876">
                  <c:v>0.60056136210617184</c:v>
                </c:pt>
                <c:pt idx="877">
                  <c:v>0.60056136210617184</c:v>
                </c:pt>
                <c:pt idx="878">
                  <c:v>0.61984603599370736</c:v>
                </c:pt>
                <c:pt idx="879">
                  <c:v>0.61984603599370736</c:v>
                </c:pt>
                <c:pt idx="880">
                  <c:v>0.61984603599370736</c:v>
                </c:pt>
                <c:pt idx="881">
                  <c:v>0.61984603599370736</c:v>
                </c:pt>
                <c:pt idx="882">
                  <c:v>0.61984603599370736</c:v>
                </c:pt>
                <c:pt idx="883">
                  <c:v>0.61984603599370736</c:v>
                </c:pt>
                <c:pt idx="884">
                  <c:v>0.61984603599370736</c:v>
                </c:pt>
                <c:pt idx="885">
                  <c:v>0.61984603599370736</c:v>
                </c:pt>
                <c:pt idx="886">
                  <c:v>0.61984603599370736</c:v>
                </c:pt>
                <c:pt idx="887">
                  <c:v>0.61984603599370736</c:v>
                </c:pt>
                <c:pt idx="888">
                  <c:v>0.61984603599370736</c:v>
                </c:pt>
                <c:pt idx="889">
                  <c:v>0.61984603599370736</c:v>
                </c:pt>
                <c:pt idx="890">
                  <c:v>0.61984603599370736</c:v>
                </c:pt>
                <c:pt idx="891">
                  <c:v>0.61984603599370736</c:v>
                </c:pt>
                <c:pt idx="892">
                  <c:v>0.61984603599370736</c:v>
                </c:pt>
                <c:pt idx="893">
                  <c:v>0.61984603599370736</c:v>
                </c:pt>
                <c:pt idx="894">
                  <c:v>0.61984603599370736</c:v>
                </c:pt>
                <c:pt idx="895">
                  <c:v>0.61984603599370736</c:v>
                </c:pt>
                <c:pt idx="896">
                  <c:v>0.61984603599370736</c:v>
                </c:pt>
                <c:pt idx="897">
                  <c:v>0.61984603599370736</c:v>
                </c:pt>
                <c:pt idx="898">
                  <c:v>0.61984603599370736</c:v>
                </c:pt>
                <c:pt idx="899">
                  <c:v>0.61984603599370736</c:v>
                </c:pt>
                <c:pt idx="900">
                  <c:v>0.61984603599370736</c:v>
                </c:pt>
                <c:pt idx="901">
                  <c:v>0.61984603599370736</c:v>
                </c:pt>
                <c:pt idx="902">
                  <c:v>0.61984603599370736</c:v>
                </c:pt>
                <c:pt idx="903">
                  <c:v>0.61984603599370736</c:v>
                </c:pt>
                <c:pt idx="904">
                  <c:v>0.61984603599370736</c:v>
                </c:pt>
                <c:pt idx="905">
                  <c:v>0.61984603599370736</c:v>
                </c:pt>
                <c:pt idx="906">
                  <c:v>0.61984603599370736</c:v>
                </c:pt>
                <c:pt idx="907">
                  <c:v>0.61984603599370736</c:v>
                </c:pt>
                <c:pt idx="908">
                  <c:v>0.61984603599370736</c:v>
                </c:pt>
                <c:pt idx="909">
                  <c:v>0.61984603599370736</c:v>
                </c:pt>
                <c:pt idx="910">
                  <c:v>0.61984603599370736</c:v>
                </c:pt>
                <c:pt idx="911">
                  <c:v>0.61984603599370736</c:v>
                </c:pt>
                <c:pt idx="912">
                  <c:v>0.61984603599370736</c:v>
                </c:pt>
                <c:pt idx="913">
                  <c:v>0.61984603599370736</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pt idx="994">
                  <c:v>0</c:v>
                </c:pt>
                <c:pt idx="995">
                  <c:v>0</c:v>
                </c:pt>
                <c:pt idx="996">
                  <c:v>0</c:v>
                </c:pt>
                <c:pt idx="997">
                  <c:v>0</c:v>
                </c:pt>
                <c:pt idx="998">
                  <c:v>0</c:v>
                </c:pt>
                <c:pt idx="999">
                  <c:v>0</c:v>
                </c:pt>
                <c:pt idx="1000">
                  <c:v>0</c:v>
                </c:pt>
                <c:pt idx="1001">
                  <c:v>0</c:v>
                </c:pt>
                <c:pt idx="1002">
                  <c:v>0</c:v>
                </c:pt>
                <c:pt idx="1003">
                  <c:v>0</c:v>
                </c:pt>
                <c:pt idx="1004">
                  <c:v>0</c:v>
                </c:pt>
                <c:pt idx="1005">
                  <c:v>0</c:v>
                </c:pt>
                <c:pt idx="1006">
                  <c:v>0</c:v>
                </c:pt>
                <c:pt idx="1007">
                  <c:v>0</c:v>
                </c:pt>
                <c:pt idx="1008">
                  <c:v>0</c:v>
                </c:pt>
                <c:pt idx="1009">
                  <c:v>0</c:v>
                </c:pt>
                <c:pt idx="1010">
                  <c:v>0</c:v>
                </c:pt>
                <c:pt idx="1011">
                  <c:v>0</c:v>
                </c:pt>
                <c:pt idx="1012">
                  <c:v>0</c:v>
                </c:pt>
                <c:pt idx="1013">
                  <c:v>0</c:v>
                </c:pt>
                <c:pt idx="1014">
                  <c:v>0</c:v>
                </c:pt>
                <c:pt idx="1015">
                  <c:v>0</c:v>
                </c:pt>
                <c:pt idx="1016">
                  <c:v>0</c:v>
                </c:pt>
                <c:pt idx="1017">
                  <c:v>0</c:v>
                </c:pt>
                <c:pt idx="1018">
                  <c:v>0</c:v>
                </c:pt>
                <c:pt idx="1019">
                  <c:v>0</c:v>
                </c:pt>
                <c:pt idx="1020">
                  <c:v>0</c:v>
                </c:pt>
                <c:pt idx="1021">
                  <c:v>0</c:v>
                </c:pt>
                <c:pt idx="1022">
                  <c:v>0</c:v>
                </c:pt>
                <c:pt idx="1023">
                  <c:v>0</c:v>
                </c:pt>
                <c:pt idx="1024">
                  <c:v>0</c:v>
                </c:pt>
                <c:pt idx="1025">
                  <c:v>0</c:v>
                </c:pt>
                <c:pt idx="1026">
                  <c:v>0</c:v>
                </c:pt>
                <c:pt idx="1027">
                  <c:v>0</c:v>
                </c:pt>
                <c:pt idx="1028">
                  <c:v>0</c:v>
                </c:pt>
                <c:pt idx="1029">
                  <c:v>0</c:v>
                </c:pt>
                <c:pt idx="1030">
                  <c:v>0</c:v>
                </c:pt>
                <c:pt idx="1031">
                  <c:v>0</c:v>
                </c:pt>
                <c:pt idx="1032">
                  <c:v>0</c:v>
                </c:pt>
                <c:pt idx="1033">
                  <c:v>0</c:v>
                </c:pt>
                <c:pt idx="1034">
                  <c:v>0</c:v>
                </c:pt>
                <c:pt idx="1035">
                  <c:v>0</c:v>
                </c:pt>
                <c:pt idx="1036">
                  <c:v>0</c:v>
                </c:pt>
                <c:pt idx="1037">
                  <c:v>0</c:v>
                </c:pt>
                <c:pt idx="1038">
                  <c:v>0</c:v>
                </c:pt>
                <c:pt idx="1039">
                  <c:v>0</c:v>
                </c:pt>
                <c:pt idx="1040">
                  <c:v>0</c:v>
                </c:pt>
                <c:pt idx="1041">
                  <c:v>0</c:v>
                </c:pt>
                <c:pt idx="1042">
                  <c:v>0</c:v>
                </c:pt>
                <c:pt idx="1043">
                  <c:v>0</c:v>
                </c:pt>
                <c:pt idx="1044">
                  <c:v>0</c:v>
                </c:pt>
                <c:pt idx="1045">
                  <c:v>0</c:v>
                </c:pt>
                <c:pt idx="1046">
                  <c:v>0</c:v>
                </c:pt>
                <c:pt idx="1047">
                  <c:v>0</c:v>
                </c:pt>
                <c:pt idx="1048">
                  <c:v>0</c:v>
                </c:pt>
                <c:pt idx="1049">
                  <c:v>0</c:v>
                </c:pt>
                <c:pt idx="1050">
                  <c:v>0</c:v>
                </c:pt>
                <c:pt idx="1051">
                  <c:v>0</c:v>
                </c:pt>
                <c:pt idx="1052">
                  <c:v>0</c:v>
                </c:pt>
                <c:pt idx="1053">
                  <c:v>0</c:v>
                </c:pt>
                <c:pt idx="1054">
                  <c:v>0</c:v>
                </c:pt>
                <c:pt idx="1055">
                  <c:v>0</c:v>
                </c:pt>
                <c:pt idx="1056">
                  <c:v>0</c:v>
                </c:pt>
                <c:pt idx="1057">
                  <c:v>0</c:v>
                </c:pt>
              </c:numCache>
            </c:numRef>
          </c:val>
          <c:extLst xmlns:c16r2="http://schemas.microsoft.com/office/drawing/2015/06/chart">
            <c:ext xmlns:c16="http://schemas.microsoft.com/office/drawing/2014/chart" uri="{C3380CC4-5D6E-409C-BE32-E72D297353CC}">
              <c16:uniqueId val="{00000001-6484-4791-991D-5E362FC0939B}"/>
            </c:ext>
          </c:extLst>
        </c:ser>
        <c:ser>
          <c:idx val="10"/>
          <c:order val="10"/>
          <c:tx>
            <c:v>Delta Loss</c:v>
          </c:tx>
          <c:spPr>
            <a:solidFill>
              <a:srgbClr val="E2173D"/>
            </a:solidFill>
          </c:spPr>
          <c:cat>
            <c:numRef>
              <c:f>'Arbitrage Payback Engine'!$AD$8:$AD$1065</c:f>
              <c:numCache>
                <c:formatCode>_(* #,##0.00_);_(* \(#,##0.00\);_(* "-"??_);_(@_)</c:formatCode>
                <c:ptCount val="1058"/>
                <c:pt idx="0">
                  <c:v>0</c:v>
                </c:pt>
                <c:pt idx="1">
                  <c:v>0.94876660341555974</c:v>
                </c:pt>
                <c:pt idx="2">
                  <c:v>0.94876660341555974</c:v>
                </c:pt>
                <c:pt idx="3">
                  <c:v>1.8975332068311195</c:v>
                </c:pt>
                <c:pt idx="4">
                  <c:v>2.8462998102466797</c:v>
                </c:pt>
                <c:pt idx="5">
                  <c:v>3.795066413662239</c:v>
                </c:pt>
                <c:pt idx="6">
                  <c:v>4.7438330170777983</c:v>
                </c:pt>
                <c:pt idx="7">
                  <c:v>5.6925996204933593</c:v>
                </c:pt>
                <c:pt idx="8">
                  <c:v>6.6413662239089177</c:v>
                </c:pt>
                <c:pt idx="9">
                  <c:v>7.5901328273244779</c:v>
                </c:pt>
                <c:pt idx="10">
                  <c:v>8.5388994307400381</c:v>
                </c:pt>
                <c:pt idx="11">
                  <c:v>9.4876660341555965</c:v>
                </c:pt>
                <c:pt idx="12">
                  <c:v>10.436432637571157</c:v>
                </c:pt>
                <c:pt idx="13">
                  <c:v>11.385199240986719</c:v>
                </c:pt>
                <c:pt idx="14">
                  <c:v>12.333965844402279</c:v>
                </c:pt>
                <c:pt idx="15">
                  <c:v>13.282732447817835</c:v>
                </c:pt>
                <c:pt idx="16">
                  <c:v>14.231499051233396</c:v>
                </c:pt>
                <c:pt idx="17">
                  <c:v>15.180265654648956</c:v>
                </c:pt>
                <c:pt idx="18">
                  <c:v>16.129032258064516</c:v>
                </c:pt>
                <c:pt idx="19">
                  <c:v>17.077798861480076</c:v>
                </c:pt>
                <c:pt idx="20">
                  <c:v>18.02656546489564</c:v>
                </c:pt>
                <c:pt idx="21">
                  <c:v>18.975332068311193</c:v>
                </c:pt>
                <c:pt idx="22">
                  <c:v>19.924098671726757</c:v>
                </c:pt>
                <c:pt idx="23">
                  <c:v>20.872865275142313</c:v>
                </c:pt>
                <c:pt idx="24">
                  <c:v>21.821631878557874</c:v>
                </c:pt>
                <c:pt idx="25">
                  <c:v>22.770398481973437</c:v>
                </c:pt>
                <c:pt idx="26">
                  <c:v>23.719165085388994</c:v>
                </c:pt>
                <c:pt idx="27">
                  <c:v>24.667931688804558</c:v>
                </c:pt>
                <c:pt idx="28">
                  <c:v>25.616698292220114</c:v>
                </c:pt>
                <c:pt idx="29">
                  <c:v>26.565464895635671</c:v>
                </c:pt>
                <c:pt idx="30">
                  <c:v>27.514231499051235</c:v>
                </c:pt>
                <c:pt idx="31">
                  <c:v>28.462998102466791</c:v>
                </c:pt>
                <c:pt idx="32">
                  <c:v>29.411764705882355</c:v>
                </c:pt>
                <c:pt idx="33">
                  <c:v>30.360531309297912</c:v>
                </c:pt>
                <c:pt idx="34">
                  <c:v>31.309297912713475</c:v>
                </c:pt>
                <c:pt idx="35">
                  <c:v>32.258064516129032</c:v>
                </c:pt>
                <c:pt idx="36">
                  <c:v>33.206831119544596</c:v>
                </c:pt>
                <c:pt idx="37">
                  <c:v>34.155597722960152</c:v>
                </c:pt>
                <c:pt idx="38">
                  <c:v>35.104364326375709</c:v>
                </c:pt>
                <c:pt idx="39">
                  <c:v>36.05313092979128</c:v>
                </c:pt>
                <c:pt idx="40">
                  <c:v>37.001897533206829</c:v>
                </c:pt>
                <c:pt idx="41">
                  <c:v>37.950664136622386</c:v>
                </c:pt>
                <c:pt idx="42">
                  <c:v>38.89943074003795</c:v>
                </c:pt>
                <c:pt idx="43">
                  <c:v>39.848197343453513</c:v>
                </c:pt>
                <c:pt idx="44">
                  <c:v>40.79696394686907</c:v>
                </c:pt>
                <c:pt idx="45">
                  <c:v>41.745730550284627</c:v>
                </c:pt>
                <c:pt idx="46">
                  <c:v>42.694497153700198</c:v>
                </c:pt>
                <c:pt idx="47">
                  <c:v>43.643263757115747</c:v>
                </c:pt>
                <c:pt idx="48">
                  <c:v>44.592030360531311</c:v>
                </c:pt>
                <c:pt idx="49">
                  <c:v>45.540796963946875</c:v>
                </c:pt>
                <c:pt idx="50">
                  <c:v>46.489563567362431</c:v>
                </c:pt>
                <c:pt idx="51">
                  <c:v>47.438330170777988</c:v>
                </c:pt>
                <c:pt idx="52">
                  <c:v>48.387096774193544</c:v>
                </c:pt>
                <c:pt idx="53">
                  <c:v>49.335863377609115</c:v>
                </c:pt>
                <c:pt idx="54">
                  <c:v>50.284629981024665</c:v>
                </c:pt>
                <c:pt idx="55">
                  <c:v>51.233396584440229</c:v>
                </c:pt>
                <c:pt idx="56">
                  <c:v>52.182163187855792</c:v>
                </c:pt>
                <c:pt idx="57">
                  <c:v>53.130929791271342</c:v>
                </c:pt>
                <c:pt idx="58">
                  <c:v>54.079696394686906</c:v>
                </c:pt>
                <c:pt idx="59">
                  <c:v>55.028462998102469</c:v>
                </c:pt>
                <c:pt idx="60">
                  <c:v>55.977229601518033</c:v>
                </c:pt>
                <c:pt idx="61">
                  <c:v>56.925996204933583</c:v>
                </c:pt>
                <c:pt idx="62">
                  <c:v>57.874762808349153</c:v>
                </c:pt>
                <c:pt idx="63">
                  <c:v>58.82352941176471</c:v>
                </c:pt>
                <c:pt idx="64">
                  <c:v>59.772296015180267</c:v>
                </c:pt>
                <c:pt idx="65">
                  <c:v>60.721062618595823</c:v>
                </c:pt>
                <c:pt idx="66">
                  <c:v>61.669829222011387</c:v>
                </c:pt>
                <c:pt idx="67">
                  <c:v>62.618595825426951</c:v>
                </c:pt>
                <c:pt idx="68">
                  <c:v>63.5673624288425</c:v>
                </c:pt>
                <c:pt idx="69">
                  <c:v>64.516129032258064</c:v>
                </c:pt>
                <c:pt idx="70">
                  <c:v>65.464895635673628</c:v>
                </c:pt>
                <c:pt idx="71">
                  <c:v>66.413662239089192</c:v>
                </c:pt>
                <c:pt idx="72">
                  <c:v>67.362428842504741</c:v>
                </c:pt>
                <c:pt idx="73">
                  <c:v>68.311195445920305</c:v>
                </c:pt>
                <c:pt idx="74">
                  <c:v>69.259962049335869</c:v>
                </c:pt>
                <c:pt idx="75">
                  <c:v>70.208728652751418</c:v>
                </c:pt>
                <c:pt idx="76">
                  <c:v>71.157495256166982</c:v>
                </c:pt>
                <c:pt idx="77">
                  <c:v>72.10626185958256</c:v>
                </c:pt>
                <c:pt idx="78">
                  <c:v>73.055028462998095</c:v>
                </c:pt>
                <c:pt idx="79">
                  <c:v>74.003795066413659</c:v>
                </c:pt>
                <c:pt idx="80">
                  <c:v>74.952561669829237</c:v>
                </c:pt>
                <c:pt idx="81">
                  <c:v>75.901328273244772</c:v>
                </c:pt>
                <c:pt idx="82">
                  <c:v>76.85009487666035</c:v>
                </c:pt>
                <c:pt idx="83">
                  <c:v>77.7988614800759</c:v>
                </c:pt>
                <c:pt idx="84">
                  <c:v>78.747628083491463</c:v>
                </c:pt>
                <c:pt idx="85">
                  <c:v>79.696394686907027</c:v>
                </c:pt>
                <c:pt idx="86">
                  <c:v>80.645161290322577</c:v>
                </c:pt>
                <c:pt idx="87">
                  <c:v>81.59392789373814</c:v>
                </c:pt>
                <c:pt idx="88">
                  <c:v>82.542694497153704</c:v>
                </c:pt>
                <c:pt idx="89">
                  <c:v>83.491461100569254</c:v>
                </c:pt>
                <c:pt idx="90">
                  <c:v>84.440227703984817</c:v>
                </c:pt>
                <c:pt idx="91">
                  <c:v>85.388994307400395</c:v>
                </c:pt>
                <c:pt idx="92">
                  <c:v>86.337760910815931</c:v>
                </c:pt>
                <c:pt idx="93">
                  <c:v>87.286527514231494</c:v>
                </c:pt>
                <c:pt idx="94">
                  <c:v>88.235294117647072</c:v>
                </c:pt>
                <c:pt idx="95">
                  <c:v>89.184060721062622</c:v>
                </c:pt>
                <c:pt idx="96">
                  <c:v>90.132827324478171</c:v>
                </c:pt>
                <c:pt idx="97">
                  <c:v>91.081593927893749</c:v>
                </c:pt>
                <c:pt idx="98">
                  <c:v>92.030360531309299</c:v>
                </c:pt>
                <c:pt idx="99">
                  <c:v>92.979127134724862</c:v>
                </c:pt>
                <c:pt idx="100">
                  <c:v>93.927893738140426</c:v>
                </c:pt>
                <c:pt idx="101">
                  <c:v>94.876660341555976</c:v>
                </c:pt>
                <c:pt idx="102">
                  <c:v>95.825426944971554</c:v>
                </c:pt>
                <c:pt idx="103">
                  <c:v>96.774193548387089</c:v>
                </c:pt>
                <c:pt idx="104">
                  <c:v>97.722960151802653</c:v>
                </c:pt>
                <c:pt idx="105">
                  <c:v>98.671726755218231</c:v>
                </c:pt>
                <c:pt idx="106">
                  <c:v>99.620493358633766</c:v>
                </c:pt>
                <c:pt idx="107">
                  <c:v>100.56925996204933</c:v>
                </c:pt>
                <c:pt idx="108">
                  <c:v>101.51802656546491</c:v>
                </c:pt>
                <c:pt idx="109">
                  <c:v>102.46679316888046</c:v>
                </c:pt>
                <c:pt idx="110">
                  <c:v>103.41555977229601</c:v>
                </c:pt>
                <c:pt idx="111">
                  <c:v>104.36432637571158</c:v>
                </c:pt>
                <c:pt idx="112">
                  <c:v>105.31309297912713</c:v>
                </c:pt>
                <c:pt idx="113">
                  <c:v>106.26185958254268</c:v>
                </c:pt>
                <c:pt idx="114">
                  <c:v>107.21062618595826</c:v>
                </c:pt>
                <c:pt idx="115">
                  <c:v>108.15939278937381</c:v>
                </c:pt>
                <c:pt idx="116">
                  <c:v>109.10815939278939</c:v>
                </c:pt>
                <c:pt idx="117">
                  <c:v>110.05692599620494</c:v>
                </c:pt>
                <c:pt idx="118">
                  <c:v>111.00569259962049</c:v>
                </c:pt>
                <c:pt idx="119">
                  <c:v>111.95445920303607</c:v>
                </c:pt>
                <c:pt idx="120">
                  <c:v>112.90322580645162</c:v>
                </c:pt>
                <c:pt idx="121">
                  <c:v>113.85199240986717</c:v>
                </c:pt>
                <c:pt idx="122">
                  <c:v>114.80075901328274</c:v>
                </c:pt>
                <c:pt idx="123">
                  <c:v>115.74952561669831</c:v>
                </c:pt>
                <c:pt idx="124">
                  <c:v>116.69829222011384</c:v>
                </c:pt>
                <c:pt idx="125">
                  <c:v>117.64705882352942</c:v>
                </c:pt>
                <c:pt idx="126">
                  <c:v>118.59582542694497</c:v>
                </c:pt>
                <c:pt idx="127">
                  <c:v>119.54459203036053</c:v>
                </c:pt>
                <c:pt idx="128">
                  <c:v>120.4933586337761</c:v>
                </c:pt>
                <c:pt idx="129">
                  <c:v>121.44212523719165</c:v>
                </c:pt>
                <c:pt idx="130">
                  <c:v>122.39089184060721</c:v>
                </c:pt>
                <c:pt idx="131">
                  <c:v>123.33965844402277</c:v>
                </c:pt>
                <c:pt idx="132">
                  <c:v>124.28842504743832</c:v>
                </c:pt>
                <c:pt idx="133">
                  <c:v>125.2371916508539</c:v>
                </c:pt>
                <c:pt idx="134">
                  <c:v>126.18595825426947</c:v>
                </c:pt>
                <c:pt idx="135">
                  <c:v>127.134724857685</c:v>
                </c:pt>
                <c:pt idx="136">
                  <c:v>128.08349146110058</c:v>
                </c:pt>
                <c:pt idx="137">
                  <c:v>129.03225806451613</c:v>
                </c:pt>
                <c:pt idx="138">
                  <c:v>129.98102466793168</c:v>
                </c:pt>
                <c:pt idx="139">
                  <c:v>130.92979127134726</c:v>
                </c:pt>
                <c:pt idx="140">
                  <c:v>131.87855787476281</c:v>
                </c:pt>
                <c:pt idx="141">
                  <c:v>132.82732447817838</c:v>
                </c:pt>
                <c:pt idx="142">
                  <c:v>133.77609108159393</c:v>
                </c:pt>
                <c:pt idx="143">
                  <c:v>134.72485768500948</c:v>
                </c:pt>
                <c:pt idx="144">
                  <c:v>135.67362428842506</c:v>
                </c:pt>
                <c:pt idx="145">
                  <c:v>136.62239089184061</c:v>
                </c:pt>
                <c:pt idx="146">
                  <c:v>137.57115749525616</c:v>
                </c:pt>
                <c:pt idx="147">
                  <c:v>138.51992409867174</c:v>
                </c:pt>
                <c:pt idx="148">
                  <c:v>139.46869070208729</c:v>
                </c:pt>
                <c:pt idx="149">
                  <c:v>140.41745730550284</c:v>
                </c:pt>
                <c:pt idx="150">
                  <c:v>141.36622390891841</c:v>
                </c:pt>
                <c:pt idx="151">
                  <c:v>142.31499051233396</c:v>
                </c:pt>
                <c:pt idx="152">
                  <c:v>143.26375711574951</c:v>
                </c:pt>
                <c:pt idx="153">
                  <c:v>144.21252371916512</c:v>
                </c:pt>
                <c:pt idx="154">
                  <c:v>145.16129032258064</c:v>
                </c:pt>
                <c:pt idx="155">
                  <c:v>146.11005692599619</c:v>
                </c:pt>
                <c:pt idx="156">
                  <c:v>147.0588235294118</c:v>
                </c:pt>
                <c:pt idx="157">
                  <c:v>148.00759013282732</c:v>
                </c:pt>
                <c:pt idx="158">
                  <c:v>148.95635673624287</c:v>
                </c:pt>
                <c:pt idx="159">
                  <c:v>149.90512333965847</c:v>
                </c:pt>
                <c:pt idx="160">
                  <c:v>150.85388994307402</c:v>
                </c:pt>
                <c:pt idx="161">
                  <c:v>151.80265654648954</c:v>
                </c:pt>
                <c:pt idx="162">
                  <c:v>152.75142314990515</c:v>
                </c:pt>
                <c:pt idx="163">
                  <c:v>153.7001897533207</c:v>
                </c:pt>
                <c:pt idx="164">
                  <c:v>154.64895635673625</c:v>
                </c:pt>
                <c:pt idx="165">
                  <c:v>155.5977229601518</c:v>
                </c:pt>
                <c:pt idx="166">
                  <c:v>156.54648956356738</c:v>
                </c:pt>
                <c:pt idx="167">
                  <c:v>157.49525616698293</c:v>
                </c:pt>
                <c:pt idx="168">
                  <c:v>158.44402277039848</c:v>
                </c:pt>
                <c:pt idx="169">
                  <c:v>159.39278937381405</c:v>
                </c:pt>
                <c:pt idx="170">
                  <c:v>160.3415559772296</c:v>
                </c:pt>
                <c:pt idx="171">
                  <c:v>161.29032258064515</c:v>
                </c:pt>
                <c:pt idx="172">
                  <c:v>162.23908918406073</c:v>
                </c:pt>
                <c:pt idx="173">
                  <c:v>163.18785578747628</c:v>
                </c:pt>
                <c:pt idx="174">
                  <c:v>164.13662239089183</c:v>
                </c:pt>
                <c:pt idx="175">
                  <c:v>165.08538899430741</c:v>
                </c:pt>
                <c:pt idx="176">
                  <c:v>166.03415559772296</c:v>
                </c:pt>
                <c:pt idx="177">
                  <c:v>166.98292220113851</c:v>
                </c:pt>
                <c:pt idx="178">
                  <c:v>167.93168880455411</c:v>
                </c:pt>
                <c:pt idx="179">
                  <c:v>168.88045540796963</c:v>
                </c:pt>
                <c:pt idx="180">
                  <c:v>169.82922201138518</c:v>
                </c:pt>
                <c:pt idx="181">
                  <c:v>170.77798861480079</c:v>
                </c:pt>
                <c:pt idx="182">
                  <c:v>171.72675521821631</c:v>
                </c:pt>
                <c:pt idx="183">
                  <c:v>172.67552182163186</c:v>
                </c:pt>
                <c:pt idx="184">
                  <c:v>173.62428842504747</c:v>
                </c:pt>
                <c:pt idx="185">
                  <c:v>174.57305502846299</c:v>
                </c:pt>
                <c:pt idx="186">
                  <c:v>175.52182163187854</c:v>
                </c:pt>
                <c:pt idx="187">
                  <c:v>176.47058823529414</c:v>
                </c:pt>
                <c:pt idx="188">
                  <c:v>177.41935483870967</c:v>
                </c:pt>
                <c:pt idx="189">
                  <c:v>178.36812144212524</c:v>
                </c:pt>
                <c:pt idx="190">
                  <c:v>179.31688804554082</c:v>
                </c:pt>
                <c:pt idx="191">
                  <c:v>180.26565464895634</c:v>
                </c:pt>
                <c:pt idx="192">
                  <c:v>181.21442125237192</c:v>
                </c:pt>
                <c:pt idx="193">
                  <c:v>182.1631878557875</c:v>
                </c:pt>
                <c:pt idx="194">
                  <c:v>183.11195445920305</c:v>
                </c:pt>
                <c:pt idx="195">
                  <c:v>184.0607210626186</c:v>
                </c:pt>
                <c:pt idx="196">
                  <c:v>185.00948766603418</c:v>
                </c:pt>
                <c:pt idx="197">
                  <c:v>185.95825426944972</c:v>
                </c:pt>
                <c:pt idx="198">
                  <c:v>186.90702087286527</c:v>
                </c:pt>
                <c:pt idx="199">
                  <c:v>187.85578747628085</c:v>
                </c:pt>
                <c:pt idx="200">
                  <c:v>188.8045540796964</c:v>
                </c:pt>
                <c:pt idx="201">
                  <c:v>189.75332068311195</c:v>
                </c:pt>
                <c:pt idx="202">
                  <c:v>190.7020872865275</c:v>
                </c:pt>
                <c:pt idx="203">
                  <c:v>191.65085388994311</c:v>
                </c:pt>
                <c:pt idx="204">
                  <c:v>192.59962049335863</c:v>
                </c:pt>
                <c:pt idx="205">
                  <c:v>193.54838709677418</c:v>
                </c:pt>
                <c:pt idx="206">
                  <c:v>194.49715370018978</c:v>
                </c:pt>
                <c:pt idx="207">
                  <c:v>195.44592030360531</c:v>
                </c:pt>
                <c:pt idx="208">
                  <c:v>196.39468690702085</c:v>
                </c:pt>
                <c:pt idx="209">
                  <c:v>197.34345351043646</c:v>
                </c:pt>
                <c:pt idx="210">
                  <c:v>198.29222011385198</c:v>
                </c:pt>
                <c:pt idx="211">
                  <c:v>199.24098671726753</c:v>
                </c:pt>
                <c:pt idx="212">
                  <c:v>200.18975332068314</c:v>
                </c:pt>
                <c:pt idx="213">
                  <c:v>201.13851992409866</c:v>
                </c:pt>
                <c:pt idx="214">
                  <c:v>202.08728652751421</c:v>
                </c:pt>
                <c:pt idx="215">
                  <c:v>203.03605313092982</c:v>
                </c:pt>
                <c:pt idx="216">
                  <c:v>203.98481973434534</c:v>
                </c:pt>
                <c:pt idx="217">
                  <c:v>204.93358633776091</c:v>
                </c:pt>
                <c:pt idx="218">
                  <c:v>205.88235294117649</c:v>
                </c:pt>
                <c:pt idx="219">
                  <c:v>206.83111954459201</c:v>
                </c:pt>
                <c:pt idx="220">
                  <c:v>207.77988614800759</c:v>
                </c:pt>
                <c:pt idx="221">
                  <c:v>208.72865275142317</c:v>
                </c:pt>
                <c:pt idx="222">
                  <c:v>209.67741935483869</c:v>
                </c:pt>
                <c:pt idx="223">
                  <c:v>210.62618595825427</c:v>
                </c:pt>
                <c:pt idx="224">
                  <c:v>211.57495256166985</c:v>
                </c:pt>
                <c:pt idx="225">
                  <c:v>212.52371916508537</c:v>
                </c:pt>
                <c:pt idx="226">
                  <c:v>213.47248576850095</c:v>
                </c:pt>
                <c:pt idx="227">
                  <c:v>214.42125237191652</c:v>
                </c:pt>
                <c:pt idx="228">
                  <c:v>215.37001897533207</c:v>
                </c:pt>
                <c:pt idx="229">
                  <c:v>216.31878557874762</c:v>
                </c:pt>
                <c:pt idx="230">
                  <c:v>217.2675521821632</c:v>
                </c:pt>
                <c:pt idx="231">
                  <c:v>218.21631878557878</c:v>
                </c:pt>
                <c:pt idx="232">
                  <c:v>219.1650853889943</c:v>
                </c:pt>
                <c:pt idx="233">
                  <c:v>220.11385199240988</c:v>
                </c:pt>
                <c:pt idx="234">
                  <c:v>221.06261859582546</c:v>
                </c:pt>
                <c:pt idx="235">
                  <c:v>222.01138519924098</c:v>
                </c:pt>
                <c:pt idx="236">
                  <c:v>222.96015180265655</c:v>
                </c:pt>
                <c:pt idx="237">
                  <c:v>223.90891840607213</c:v>
                </c:pt>
                <c:pt idx="238">
                  <c:v>224.85768500948765</c:v>
                </c:pt>
                <c:pt idx="239">
                  <c:v>225.80645161290323</c:v>
                </c:pt>
                <c:pt idx="240">
                  <c:v>226.75521821631881</c:v>
                </c:pt>
                <c:pt idx="241">
                  <c:v>227.70398481973433</c:v>
                </c:pt>
                <c:pt idx="242">
                  <c:v>228.65275142314994</c:v>
                </c:pt>
                <c:pt idx="243">
                  <c:v>229.60151802656549</c:v>
                </c:pt>
                <c:pt idx="244">
                  <c:v>230.55028462998101</c:v>
                </c:pt>
                <c:pt idx="245">
                  <c:v>231.49905123339661</c:v>
                </c:pt>
                <c:pt idx="246">
                  <c:v>232.44781783681216</c:v>
                </c:pt>
                <c:pt idx="247">
                  <c:v>233.39658444022768</c:v>
                </c:pt>
                <c:pt idx="248">
                  <c:v>234.34535104364329</c:v>
                </c:pt>
                <c:pt idx="249">
                  <c:v>235.29411764705884</c:v>
                </c:pt>
                <c:pt idx="250">
                  <c:v>236.24288425047436</c:v>
                </c:pt>
                <c:pt idx="251">
                  <c:v>237.19165085388994</c:v>
                </c:pt>
                <c:pt idx="252">
                  <c:v>238.14041745730552</c:v>
                </c:pt>
                <c:pt idx="253">
                  <c:v>239.08918406072107</c:v>
                </c:pt>
                <c:pt idx="254">
                  <c:v>240.03795066413662</c:v>
                </c:pt>
                <c:pt idx="255">
                  <c:v>240.98671726755219</c:v>
                </c:pt>
                <c:pt idx="256">
                  <c:v>241.93548387096774</c:v>
                </c:pt>
                <c:pt idx="257">
                  <c:v>242.88425047438329</c:v>
                </c:pt>
                <c:pt idx="258">
                  <c:v>243.83301707779887</c:v>
                </c:pt>
                <c:pt idx="259">
                  <c:v>244.78178368121442</c:v>
                </c:pt>
                <c:pt idx="260">
                  <c:v>245.73055028462997</c:v>
                </c:pt>
                <c:pt idx="261">
                  <c:v>246.67931688804555</c:v>
                </c:pt>
                <c:pt idx="262">
                  <c:v>247.6280834914611</c:v>
                </c:pt>
                <c:pt idx="263">
                  <c:v>248.57685009487665</c:v>
                </c:pt>
                <c:pt idx="264">
                  <c:v>249.52561669829223</c:v>
                </c:pt>
                <c:pt idx="265">
                  <c:v>250.4743833017078</c:v>
                </c:pt>
                <c:pt idx="266">
                  <c:v>251.42314990512332</c:v>
                </c:pt>
                <c:pt idx="267">
                  <c:v>252.37191650853893</c:v>
                </c:pt>
                <c:pt idx="268">
                  <c:v>253.32068311195448</c:v>
                </c:pt>
                <c:pt idx="269">
                  <c:v>254.26944971537</c:v>
                </c:pt>
                <c:pt idx="270">
                  <c:v>255.21821631878561</c:v>
                </c:pt>
                <c:pt idx="271">
                  <c:v>256.16698292220116</c:v>
                </c:pt>
                <c:pt idx="272">
                  <c:v>257.11574952561671</c:v>
                </c:pt>
                <c:pt idx="273">
                  <c:v>258.06451612903226</c:v>
                </c:pt>
                <c:pt idx="274">
                  <c:v>259.01328273244786</c:v>
                </c:pt>
                <c:pt idx="275">
                  <c:v>259.96204933586336</c:v>
                </c:pt>
                <c:pt idx="276">
                  <c:v>260.91081593927896</c:v>
                </c:pt>
                <c:pt idx="277">
                  <c:v>261.85958254269451</c:v>
                </c:pt>
                <c:pt idx="278">
                  <c:v>262.80834914611006</c:v>
                </c:pt>
                <c:pt idx="279">
                  <c:v>263.75711574952561</c:v>
                </c:pt>
                <c:pt idx="280">
                  <c:v>264.70588235294116</c:v>
                </c:pt>
                <c:pt idx="281">
                  <c:v>265.65464895635677</c:v>
                </c:pt>
                <c:pt idx="282">
                  <c:v>266.60341555977232</c:v>
                </c:pt>
                <c:pt idx="283">
                  <c:v>267.55218216318787</c:v>
                </c:pt>
                <c:pt idx="284">
                  <c:v>268.50094876660341</c:v>
                </c:pt>
                <c:pt idx="285">
                  <c:v>269.44971537001896</c:v>
                </c:pt>
                <c:pt idx="286">
                  <c:v>270.39848197343451</c:v>
                </c:pt>
                <c:pt idx="287">
                  <c:v>271.34724857685012</c:v>
                </c:pt>
                <c:pt idx="288">
                  <c:v>272.29601518026567</c:v>
                </c:pt>
                <c:pt idx="289">
                  <c:v>273.24478178368122</c:v>
                </c:pt>
                <c:pt idx="290">
                  <c:v>274.19354838709677</c:v>
                </c:pt>
                <c:pt idx="291">
                  <c:v>275.14231499051232</c:v>
                </c:pt>
                <c:pt idx="292">
                  <c:v>276.09108159392792</c:v>
                </c:pt>
                <c:pt idx="293">
                  <c:v>277.03984819734347</c:v>
                </c:pt>
                <c:pt idx="294">
                  <c:v>277.98861480075902</c:v>
                </c:pt>
                <c:pt idx="295">
                  <c:v>278.93738140417457</c:v>
                </c:pt>
                <c:pt idx="296">
                  <c:v>279.88614800759018</c:v>
                </c:pt>
                <c:pt idx="297">
                  <c:v>280.83491461100567</c:v>
                </c:pt>
                <c:pt idx="298">
                  <c:v>281.78368121442122</c:v>
                </c:pt>
                <c:pt idx="299">
                  <c:v>282.73244781783683</c:v>
                </c:pt>
                <c:pt idx="300">
                  <c:v>283.68121442125238</c:v>
                </c:pt>
                <c:pt idx="301">
                  <c:v>284.62998102466793</c:v>
                </c:pt>
                <c:pt idx="302">
                  <c:v>285.57874762808353</c:v>
                </c:pt>
                <c:pt idx="303">
                  <c:v>286.52751423149903</c:v>
                </c:pt>
                <c:pt idx="304">
                  <c:v>287.47628083491458</c:v>
                </c:pt>
                <c:pt idx="305">
                  <c:v>288.42504743833024</c:v>
                </c:pt>
                <c:pt idx="306">
                  <c:v>289.37381404174573</c:v>
                </c:pt>
                <c:pt idx="307">
                  <c:v>290.32258064516128</c:v>
                </c:pt>
                <c:pt idx="308">
                  <c:v>291.27134724857689</c:v>
                </c:pt>
                <c:pt idx="309">
                  <c:v>292.22011385199238</c:v>
                </c:pt>
                <c:pt idx="310">
                  <c:v>293.16888045540793</c:v>
                </c:pt>
                <c:pt idx="311">
                  <c:v>294.11764705882359</c:v>
                </c:pt>
                <c:pt idx="312">
                  <c:v>295.06641366223909</c:v>
                </c:pt>
                <c:pt idx="313">
                  <c:v>296.01518026565464</c:v>
                </c:pt>
                <c:pt idx="314">
                  <c:v>296.96394686907024</c:v>
                </c:pt>
                <c:pt idx="315">
                  <c:v>297.91271347248573</c:v>
                </c:pt>
                <c:pt idx="316">
                  <c:v>298.8614800759014</c:v>
                </c:pt>
                <c:pt idx="317">
                  <c:v>299.81024667931695</c:v>
                </c:pt>
                <c:pt idx="318">
                  <c:v>300.75901328273244</c:v>
                </c:pt>
                <c:pt idx="319">
                  <c:v>301.70777988614805</c:v>
                </c:pt>
                <c:pt idx="320">
                  <c:v>302.65654648956354</c:v>
                </c:pt>
                <c:pt idx="321">
                  <c:v>303.60531309297909</c:v>
                </c:pt>
                <c:pt idx="322">
                  <c:v>304.55407969639475</c:v>
                </c:pt>
                <c:pt idx="323">
                  <c:v>305.5028462998103</c:v>
                </c:pt>
                <c:pt idx="324">
                  <c:v>306.45161290322579</c:v>
                </c:pt>
                <c:pt idx="325">
                  <c:v>307.4003795066414</c:v>
                </c:pt>
                <c:pt idx="326">
                  <c:v>308.34914611005689</c:v>
                </c:pt>
                <c:pt idx="327">
                  <c:v>309.2979127134725</c:v>
                </c:pt>
                <c:pt idx="328">
                  <c:v>310.24667931688811</c:v>
                </c:pt>
                <c:pt idx="329">
                  <c:v>311.1954459203036</c:v>
                </c:pt>
                <c:pt idx="330">
                  <c:v>312.14421252371915</c:v>
                </c:pt>
                <c:pt idx="331">
                  <c:v>313.09297912713475</c:v>
                </c:pt>
                <c:pt idx="332">
                  <c:v>314.04174573055025</c:v>
                </c:pt>
                <c:pt idx="333">
                  <c:v>314.99051233396585</c:v>
                </c:pt>
                <c:pt idx="334">
                  <c:v>315.93927893738146</c:v>
                </c:pt>
                <c:pt idx="335">
                  <c:v>316.88804554079695</c:v>
                </c:pt>
                <c:pt idx="336">
                  <c:v>317.8368121442125</c:v>
                </c:pt>
                <c:pt idx="337">
                  <c:v>318.78557874762811</c:v>
                </c:pt>
                <c:pt idx="338">
                  <c:v>319.73434535104366</c:v>
                </c:pt>
                <c:pt idx="339">
                  <c:v>320.68311195445921</c:v>
                </c:pt>
                <c:pt idx="340">
                  <c:v>321.63187855787481</c:v>
                </c:pt>
                <c:pt idx="341">
                  <c:v>322.58064516129031</c:v>
                </c:pt>
                <c:pt idx="342">
                  <c:v>323.52941176470586</c:v>
                </c:pt>
                <c:pt idx="343">
                  <c:v>324.47817836812146</c:v>
                </c:pt>
                <c:pt idx="344">
                  <c:v>325.42694497153701</c:v>
                </c:pt>
                <c:pt idx="345">
                  <c:v>326.37571157495256</c:v>
                </c:pt>
                <c:pt idx="346">
                  <c:v>327.32447817836817</c:v>
                </c:pt>
                <c:pt idx="347">
                  <c:v>328.27324478178366</c:v>
                </c:pt>
                <c:pt idx="348">
                  <c:v>329.22201138519921</c:v>
                </c:pt>
                <c:pt idx="349">
                  <c:v>330.17077798861482</c:v>
                </c:pt>
                <c:pt idx="350">
                  <c:v>331.11954459203037</c:v>
                </c:pt>
                <c:pt idx="351">
                  <c:v>332.06831119544592</c:v>
                </c:pt>
                <c:pt idx="352">
                  <c:v>333.01707779886152</c:v>
                </c:pt>
                <c:pt idx="353">
                  <c:v>333.96584440227701</c:v>
                </c:pt>
                <c:pt idx="354">
                  <c:v>334.91461100569256</c:v>
                </c:pt>
                <c:pt idx="355">
                  <c:v>335.86337760910823</c:v>
                </c:pt>
                <c:pt idx="356">
                  <c:v>336.81214421252372</c:v>
                </c:pt>
                <c:pt idx="357">
                  <c:v>337.76091081593927</c:v>
                </c:pt>
                <c:pt idx="358">
                  <c:v>338.70967741935488</c:v>
                </c:pt>
                <c:pt idx="359">
                  <c:v>339.65844402277037</c:v>
                </c:pt>
                <c:pt idx="360">
                  <c:v>340.60721062618592</c:v>
                </c:pt>
                <c:pt idx="361">
                  <c:v>341.55597722960158</c:v>
                </c:pt>
                <c:pt idx="362">
                  <c:v>342.50474383301707</c:v>
                </c:pt>
                <c:pt idx="363">
                  <c:v>343.45351043643262</c:v>
                </c:pt>
                <c:pt idx="364">
                  <c:v>344.40227703984823</c:v>
                </c:pt>
                <c:pt idx="365">
                  <c:v>345.35104364326372</c:v>
                </c:pt>
                <c:pt idx="366">
                  <c:v>346.29981024667933</c:v>
                </c:pt>
                <c:pt idx="367">
                  <c:v>347.24857685009493</c:v>
                </c:pt>
                <c:pt idx="368">
                  <c:v>348.19734345351043</c:v>
                </c:pt>
                <c:pt idx="369">
                  <c:v>349.14611005692598</c:v>
                </c:pt>
                <c:pt idx="370">
                  <c:v>350.09487666034158</c:v>
                </c:pt>
                <c:pt idx="371">
                  <c:v>351.04364326375708</c:v>
                </c:pt>
                <c:pt idx="372">
                  <c:v>351.99240986717268</c:v>
                </c:pt>
                <c:pt idx="373">
                  <c:v>352.94117647058829</c:v>
                </c:pt>
                <c:pt idx="374">
                  <c:v>353.88994307400378</c:v>
                </c:pt>
                <c:pt idx="375">
                  <c:v>354.83870967741933</c:v>
                </c:pt>
                <c:pt idx="376">
                  <c:v>355.78747628083494</c:v>
                </c:pt>
                <c:pt idx="377">
                  <c:v>356.73624288425049</c:v>
                </c:pt>
                <c:pt idx="378">
                  <c:v>357.68500948766604</c:v>
                </c:pt>
                <c:pt idx="379">
                  <c:v>358.63377609108164</c:v>
                </c:pt>
                <c:pt idx="380">
                  <c:v>359.58254269449714</c:v>
                </c:pt>
                <c:pt idx="381">
                  <c:v>360.53130929791268</c:v>
                </c:pt>
                <c:pt idx="382">
                  <c:v>361.48007590132829</c:v>
                </c:pt>
                <c:pt idx="383">
                  <c:v>362.42884250474384</c:v>
                </c:pt>
                <c:pt idx="384">
                  <c:v>363.37760910815939</c:v>
                </c:pt>
                <c:pt idx="385">
                  <c:v>364.326375711575</c:v>
                </c:pt>
                <c:pt idx="386">
                  <c:v>365.27514231499049</c:v>
                </c:pt>
                <c:pt idx="387">
                  <c:v>366.2239089184061</c:v>
                </c:pt>
                <c:pt idx="388">
                  <c:v>367.17267552182165</c:v>
                </c:pt>
                <c:pt idx="389">
                  <c:v>368.12144212523719</c:v>
                </c:pt>
                <c:pt idx="390">
                  <c:v>369.0702087286528</c:v>
                </c:pt>
                <c:pt idx="391">
                  <c:v>370.01897533206835</c:v>
                </c:pt>
                <c:pt idx="392">
                  <c:v>370.96774193548384</c:v>
                </c:pt>
                <c:pt idx="393">
                  <c:v>371.91650853889945</c:v>
                </c:pt>
                <c:pt idx="394">
                  <c:v>372.86527514231506</c:v>
                </c:pt>
                <c:pt idx="395">
                  <c:v>373.81404174573055</c:v>
                </c:pt>
                <c:pt idx="396">
                  <c:v>374.76280834914616</c:v>
                </c:pt>
                <c:pt idx="397">
                  <c:v>375.7115749525617</c:v>
                </c:pt>
                <c:pt idx="398">
                  <c:v>376.6603415559772</c:v>
                </c:pt>
                <c:pt idx="399">
                  <c:v>377.6091081593928</c:v>
                </c:pt>
                <c:pt idx="400">
                  <c:v>378.55787476280841</c:v>
                </c:pt>
                <c:pt idx="401">
                  <c:v>379.5066413662239</c:v>
                </c:pt>
                <c:pt idx="402">
                  <c:v>380.45540796963951</c:v>
                </c:pt>
                <c:pt idx="403">
                  <c:v>381.404174573055</c:v>
                </c:pt>
                <c:pt idx="404">
                  <c:v>382.35294117647055</c:v>
                </c:pt>
                <c:pt idx="405">
                  <c:v>383.30170777988621</c:v>
                </c:pt>
                <c:pt idx="406">
                  <c:v>384.25047438330176</c:v>
                </c:pt>
                <c:pt idx="407">
                  <c:v>385.19924098671726</c:v>
                </c:pt>
                <c:pt idx="408">
                  <c:v>386.14800759013286</c:v>
                </c:pt>
                <c:pt idx="409">
                  <c:v>387.09677419354836</c:v>
                </c:pt>
                <c:pt idx="410">
                  <c:v>388.04554079696391</c:v>
                </c:pt>
                <c:pt idx="411">
                  <c:v>388.99430740037957</c:v>
                </c:pt>
                <c:pt idx="412">
                  <c:v>389.94307400379512</c:v>
                </c:pt>
                <c:pt idx="413">
                  <c:v>390.89184060721061</c:v>
                </c:pt>
                <c:pt idx="414">
                  <c:v>391.84060721062622</c:v>
                </c:pt>
                <c:pt idx="415">
                  <c:v>392.78937381404171</c:v>
                </c:pt>
                <c:pt idx="416">
                  <c:v>393.73814041745732</c:v>
                </c:pt>
                <c:pt idx="417">
                  <c:v>394.68690702087292</c:v>
                </c:pt>
                <c:pt idx="418">
                  <c:v>395.63567362428842</c:v>
                </c:pt>
                <c:pt idx="419">
                  <c:v>396.58444022770396</c:v>
                </c:pt>
                <c:pt idx="420">
                  <c:v>397.53320683111957</c:v>
                </c:pt>
                <c:pt idx="421">
                  <c:v>398.48197343453506</c:v>
                </c:pt>
                <c:pt idx="422">
                  <c:v>399.43074003795067</c:v>
                </c:pt>
                <c:pt idx="423">
                  <c:v>400.37950664136628</c:v>
                </c:pt>
                <c:pt idx="424">
                  <c:v>401.32827324478177</c:v>
                </c:pt>
                <c:pt idx="425">
                  <c:v>402.27703984819732</c:v>
                </c:pt>
                <c:pt idx="426">
                  <c:v>403.22580645161293</c:v>
                </c:pt>
                <c:pt idx="427">
                  <c:v>404.17457305502842</c:v>
                </c:pt>
                <c:pt idx="428">
                  <c:v>405.12333965844402</c:v>
                </c:pt>
                <c:pt idx="429">
                  <c:v>406.07210626185963</c:v>
                </c:pt>
                <c:pt idx="430">
                  <c:v>407.02087286527512</c:v>
                </c:pt>
                <c:pt idx="431">
                  <c:v>407.96963946869067</c:v>
                </c:pt>
                <c:pt idx="432">
                  <c:v>408.91840607210628</c:v>
                </c:pt>
                <c:pt idx="433">
                  <c:v>409.86717267552183</c:v>
                </c:pt>
                <c:pt idx="434">
                  <c:v>410.81593927893738</c:v>
                </c:pt>
                <c:pt idx="435">
                  <c:v>411.76470588235298</c:v>
                </c:pt>
                <c:pt idx="436">
                  <c:v>412.71347248576848</c:v>
                </c:pt>
                <c:pt idx="437">
                  <c:v>413.66223908918403</c:v>
                </c:pt>
                <c:pt idx="438">
                  <c:v>414.61100569259963</c:v>
                </c:pt>
                <c:pt idx="439">
                  <c:v>415.55977229601518</c:v>
                </c:pt>
                <c:pt idx="440">
                  <c:v>416.50853889943073</c:v>
                </c:pt>
                <c:pt idx="441">
                  <c:v>417.45730550284634</c:v>
                </c:pt>
                <c:pt idx="442">
                  <c:v>418.40607210626183</c:v>
                </c:pt>
                <c:pt idx="443">
                  <c:v>419.35483870967738</c:v>
                </c:pt>
                <c:pt idx="444">
                  <c:v>420.30360531309304</c:v>
                </c:pt>
                <c:pt idx="445">
                  <c:v>421.25237191650854</c:v>
                </c:pt>
                <c:pt idx="446">
                  <c:v>422.20113851992409</c:v>
                </c:pt>
                <c:pt idx="447">
                  <c:v>423.14990512333969</c:v>
                </c:pt>
                <c:pt idx="448">
                  <c:v>424.09867172675519</c:v>
                </c:pt>
                <c:pt idx="449">
                  <c:v>425.04743833017073</c:v>
                </c:pt>
                <c:pt idx="450">
                  <c:v>425.9962049335864</c:v>
                </c:pt>
                <c:pt idx="451">
                  <c:v>426.94497153700189</c:v>
                </c:pt>
                <c:pt idx="452">
                  <c:v>427.89373814041744</c:v>
                </c:pt>
                <c:pt idx="453">
                  <c:v>428.84250474383305</c:v>
                </c:pt>
                <c:pt idx="454">
                  <c:v>429.79127134724854</c:v>
                </c:pt>
                <c:pt idx="455">
                  <c:v>430.74003795066415</c:v>
                </c:pt>
                <c:pt idx="456">
                  <c:v>431.68880455407975</c:v>
                </c:pt>
                <c:pt idx="457">
                  <c:v>432.63757115749524</c:v>
                </c:pt>
                <c:pt idx="458">
                  <c:v>433.58633776091085</c:v>
                </c:pt>
                <c:pt idx="459">
                  <c:v>434.5351043643264</c:v>
                </c:pt>
                <c:pt idx="460">
                  <c:v>435.48387096774189</c:v>
                </c:pt>
                <c:pt idx="461">
                  <c:v>436.43263757115756</c:v>
                </c:pt>
                <c:pt idx="462">
                  <c:v>437.38140417457311</c:v>
                </c:pt>
                <c:pt idx="463">
                  <c:v>438.3301707779886</c:v>
                </c:pt>
                <c:pt idx="464">
                  <c:v>439.27893738140421</c:v>
                </c:pt>
                <c:pt idx="465">
                  <c:v>440.22770398481975</c:v>
                </c:pt>
                <c:pt idx="466">
                  <c:v>441.1764705882353</c:v>
                </c:pt>
                <c:pt idx="467">
                  <c:v>442.12523719165091</c:v>
                </c:pt>
                <c:pt idx="468">
                  <c:v>443.07400379506646</c:v>
                </c:pt>
                <c:pt idx="469">
                  <c:v>444.02277039848195</c:v>
                </c:pt>
                <c:pt idx="470">
                  <c:v>444.97153700189756</c:v>
                </c:pt>
                <c:pt idx="471">
                  <c:v>445.92030360531311</c:v>
                </c:pt>
                <c:pt idx="472">
                  <c:v>446.86907020872866</c:v>
                </c:pt>
                <c:pt idx="473">
                  <c:v>447.81783681214426</c:v>
                </c:pt>
                <c:pt idx="474">
                  <c:v>448.76660341555981</c:v>
                </c:pt>
                <c:pt idx="475">
                  <c:v>449.71537001897531</c:v>
                </c:pt>
                <c:pt idx="476">
                  <c:v>450.66413662239091</c:v>
                </c:pt>
                <c:pt idx="477">
                  <c:v>451.61290322580646</c:v>
                </c:pt>
                <c:pt idx="478">
                  <c:v>452.56166982922201</c:v>
                </c:pt>
                <c:pt idx="479">
                  <c:v>453.51043643263762</c:v>
                </c:pt>
                <c:pt idx="480">
                  <c:v>454.45920303605317</c:v>
                </c:pt>
                <c:pt idx="481">
                  <c:v>455.40796963946866</c:v>
                </c:pt>
                <c:pt idx="482">
                  <c:v>456.35673624288427</c:v>
                </c:pt>
                <c:pt idx="483">
                  <c:v>457.30550284629987</c:v>
                </c:pt>
                <c:pt idx="484">
                  <c:v>458.25426944971537</c:v>
                </c:pt>
                <c:pt idx="485">
                  <c:v>459.20303605313097</c:v>
                </c:pt>
                <c:pt idx="486">
                  <c:v>460.15180265654652</c:v>
                </c:pt>
                <c:pt idx="487">
                  <c:v>461.10056925996201</c:v>
                </c:pt>
                <c:pt idx="488">
                  <c:v>462.04933586337762</c:v>
                </c:pt>
                <c:pt idx="489">
                  <c:v>462.99810246679323</c:v>
                </c:pt>
                <c:pt idx="490">
                  <c:v>463.94686907020872</c:v>
                </c:pt>
                <c:pt idx="491">
                  <c:v>464.89563567362433</c:v>
                </c:pt>
                <c:pt idx="492">
                  <c:v>465.84440227703982</c:v>
                </c:pt>
                <c:pt idx="493">
                  <c:v>466.79316888045537</c:v>
                </c:pt>
                <c:pt idx="494">
                  <c:v>467.74193548387103</c:v>
                </c:pt>
                <c:pt idx="495">
                  <c:v>468.69070208728658</c:v>
                </c:pt>
                <c:pt idx="496">
                  <c:v>469.63946869070207</c:v>
                </c:pt>
                <c:pt idx="497">
                  <c:v>470.58823529411768</c:v>
                </c:pt>
                <c:pt idx="498">
                  <c:v>471.53700189753317</c:v>
                </c:pt>
                <c:pt idx="499">
                  <c:v>472.48576850094872</c:v>
                </c:pt>
                <c:pt idx="500">
                  <c:v>473.43453510436439</c:v>
                </c:pt>
                <c:pt idx="501">
                  <c:v>474.38330170777988</c:v>
                </c:pt>
                <c:pt idx="502">
                  <c:v>475.33206831119543</c:v>
                </c:pt>
                <c:pt idx="503">
                  <c:v>476.28083491461103</c:v>
                </c:pt>
                <c:pt idx="504">
                  <c:v>477.22960151802653</c:v>
                </c:pt>
                <c:pt idx="505">
                  <c:v>478.17836812144213</c:v>
                </c:pt>
                <c:pt idx="506">
                  <c:v>479.12713472485774</c:v>
                </c:pt>
                <c:pt idx="507">
                  <c:v>480.07590132827323</c:v>
                </c:pt>
                <c:pt idx="508">
                  <c:v>481.02466793168878</c:v>
                </c:pt>
                <c:pt idx="509">
                  <c:v>481.97343453510439</c:v>
                </c:pt>
                <c:pt idx="510">
                  <c:v>482.92220113851988</c:v>
                </c:pt>
                <c:pt idx="511">
                  <c:v>483.87096774193549</c:v>
                </c:pt>
                <c:pt idx="512">
                  <c:v>484.81973434535109</c:v>
                </c:pt>
                <c:pt idx="513">
                  <c:v>485.76850094876659</c:v>
                </c:pt>
                <c:pt idx="514">
                  <c:v>486.71726755218214</c:v>
                </c:pt>
                <c:pt idx="515">
                  <c:v>487.66603415559774</c:v>
                </c:pt>
                <c:pt idx="516">
                  <c:v>488.61480075901324</c:v>
                </c:pt>
                <c:pt idx="517">
                  <c:v>489.56356736242884</c:v>
                </c:pt>
                <c:pt idx="518">
                  <c:v>490.51233396584445</c:v>
                </c:pt>
                <c:pt idx="519">
                  <c:v>491.46110056925994</c:v>
                </c:pt>
                <c:pt idx="520">
                  <c:v>492.40986717267549</c:v>
                </c:pt>
                <c:pt idx="521">
                  <c:v>493.3586337760911</c:v>
                </c:pt>
                <c:pt idx="522">
                  <c:v>494.30740037950665</c:v>
                </c:pt>
                <c:pt idx="523">
                  <c:v>495.2561669829222</c:v>
                </c:pt>
                <c:pt idx="524">
                  <c:v>496.2049335863378</c:v>
                </c:pt>
                <c:pt idx="525">
                  <c:v>497.15370018975329</c:v>
                </c:pt>
                <c:pt idx="526">
                  <c:v>498.1024667931689</c:v>
                </c:pt>
                <c:pt idx="527">
                  <c:v>499.05123339658445</c:v>
                </c:pt>
                <c:pt idx="528">
                  <c:v>500</c:v>
                </c:pt>
                <c:pt idx="529">
                  <c:v>500.94876660341561</c:v>
                </c:pt>
                <c:pt idx="530">
                  <c:v>501.89753320683116</c:v>
                </c:pt>
                <c:pt idx="531">
                  <c:v>502.84629981024665</c:v>
                </c:pt>
                <c:pt idx="532">
                  <c:v>503.79506641366225</c:v>
                </c:pt>
                <c:pt idx="533">
                  <c:v>504.74383301707786</c:v>
                </c:pt>
                <c:pt idx="534">
                  <c:v>505.69259962049335</c:v>
                </c:pt>
                <c:pt idx="535">
                  <c:v>506.64136622390896</c:v>
                </c:pt>
                <c:pt idx="536">
                  <c:v>507.59013282732451</c:v>
                </c:pt>
                <c:pt idx="537">
                  <c:v>508.53889943074</c:v>
                </c:pt>
                <c:pt idx="538">
                  <c:v>509.48766603415561</c:v>
                </c:pt>
                <c:pt idx="539">
                  <c:v>510.43643263757122</c:v>
                </c:pt>
                <c:pt idx="540">
                  <c:v>511.38519924098671</c:v>
                </c:pt>
                <c:pt idx="541">
                  <c:v>512.33396584440231</c:v>
                </c:pt>
                <c:pt idx="542">
                  <c:v>513.28273244781781</c:v>
                </c:pt>
                <c:pt idx="543">
                  <c:v>514.23149905123341</c:v>
                </c:pt>
                <c:pt idx="544">
                  <c:v>515.18026565464891</c:v>
                </c:pt>
                <c:pt idx="545">
                  <c:v>516.12903225806451</c:v>
                </c:pt>
                <c:pt idx="546">
                  <c:v>517.07779886148012</c:v>
                </c:pt>
                <c:pt idx="547">
                  <c:v>518.02656546489573</c:v>
                </c:pt>
                <c:pt idx="548">
                  <c:v>518.97533206831122</c:v>
                </c:pt>
                <c:pt idx="549">
                  <c:v>519.92409867172671</c:v>
                </c:pt>
                <c:pt idx="550">
                  <c:v>520.87286527514243</c:v>
                </c:pt>
                <c:pt idx="551">
                  <c:v>521.82163187855792</c:v>
                </c:pt>
                <c:pt idx="552">
                  <c:v>522.77039848197342</c:v>
                </c:pt>
                <c:pt idx="553">
                  <c:v>523.71916508538902</c:v>
                </c:pt>
                <c:pt idx="554">
                  <c:v>524.66793168880452</c:v>
                </c:pt>
                <c:pt idx="555">
                  <c:v>525.61669829222012</c:v>
                </c:pt>
                <c:pt idx="556">
                  <c:v>526.56546489563573</c:v>
                </c:pt>
                <c:pt idx="557">
                  <c:v>527.51423149905122</c:v>
                </c:pt>
                <c:pt idx="558">
                  <c:v>528.46299810246683</c:v>
                </c:pt>
                <c:pt idx="559">
                  <c:v>529.41176470588232</c:v>
                </c:pt>
                <c:pt idx="560">
                  <c:v>530.36053130929793</c:v>
                </c:pt>
                <c:pt idx="561">
                  <c:v>531.30929791271353</c:v>
                </c:pt>
                <c:pt idx="562">
                  <c:v>532.25806451612902</c:v>
                </c:pt>
                <c:pt idx="563">
                  <c:v>533.20683111954463</c:v>
                </c:pt>
                <c:pt idx="564">
                  <c:v>534.15559772296012</c:v>
                </c:pt>
                <c:pt idx="565">
                  <c:v>535.10436432637573</c:v>
                </c:pt>
                <c:pt idx="566">
                  <c:v>536.05313092979122</c:v>
                </c:pt>
                <c:pt idx="567">
                  <c:v>537.00189753320683</c:v>
                </c:pt>
                <c:pt idx="568">
                  <c:v>537.95066413662244</c:v>
                </c:pt>
                <c:pt idx="569">
                  <c:v>538.89943074003793</c:v>
                </c:pt>
                <c:pt idx="570">
                  <c:v>539.84819734345353</c:v>
                </c:pt>
                <c:pt idx="571">
                  <c:v>540.79696394686903</c:v>
                </c:pt>
                <c:pt idx="572">
                  <c:v>541.74573055028463</c:v>
                </c:pt>
                <c:pt idx="573">
                  <c:v>542.69449715370024</c:v>
                </c:pt>
                <c:pt idx="574">
                  <c:v>543.64326375711573</c:v>
                </c:pt>
                <c:pt idx="575">
                  <c:v>544.59203036053134</c:v>
                </c:pt>
                <c:pt idx="576">
                  <c:v>545.54079696394683</c:v>
                </c:pt>
                <c:pt idx="577">
                  <c:v>546.48956356736244</c:v>
                </c:pt>
                <c:pt idx="578">
                  <c:v>547.43833017077804</c:v>
                </c:pt>
                <c:pt idx="579">
                  <c:v>548.38709677419354</c:v>
                </c:pt>
                <c:pt idx="580">
                  <c:v>549.33586337760914</c:v>
                </c:pt>
                <c:pt idx="581">
                  <c:v>550.28462998102464</c:v>
                </c:pt>
                <c:pt idx="582">
                  <c:v>551.23339658444024</c:v>
                </c:pt>
                <c:pt idx="583">
                  <c:v>552.18216318785585</c:v>
                </c:pt>
                <c:pt idx="584">
                  <c:v>553.13092979127134</c:v>
                </c:pt>
                <c:pt idx="585">
                  <c:v>554.07969639468695</c:v>
                </c:pt>
                <c:pt idx="586">
                  <c:v>555.02846299810244</c:v>
                </c:pt>
                <c:pt idx="587">
                  <c:v>555.97722960151805</c:v>
                </c:pt>
                <c:pt idx="588">
                  <c:v>556.92599620493354</c:v>
                </c:pt>
                <c:pt idx="589">
                  <c:v>557.87476280834915</c:v>
                </c:pt>
                <c:pt idx="590">
                  <c:v>558.82352941176475</c:v>
                </c:pt>
                <c:pt idx="591">
                  <c:v>559.77229601518036</c:v>
                </c:pt>
                <c:pt idx="592">
                  <c:v>560.72106261859585</c:v>
                </c:pt>
                <c:pt idx="593">
                  <c:v>561.66982922201134</c:v>
                </c:pt>
                <c:pt idx="594">
                  <c:v>562.61859582542695</c:v>
                </c:pt>
                <c:pt idx="595">
                  <c:v>563.56736242884244</c:v>
                </c:pt>
                <c:pt idx="596">
                  <c:v>564.51612903225816</c:v>
                </c:pt>
                <c:pt idx="597">
                  <c:v>565.46489563567366</c:v>
                </c:pt>
                <c:pt idx="598">
                  <c:v>566.41366223908915</c:v>
                </c:pt>
                <c:pt idx="599">
                  <c:v>567.36242884250476</c:v>
                </c:pt>
                <c:pt idx="600">
                  <c:v>568.31119544592025</c:v>
                </c:pt>
                <c:pt idx="601">
                  <c:v>569.25996204933585</c:v>
                </c:pt>
                <c:pt idx="602">
                  <c:v>570.20872865275146</c:v>
                </c:pt>
                <c:pt idx="603">
                  <c:v>571.15749525616707</c:v>
                </c:pt>
                <c:pt idx="604">
                  <c:v>572.10626185958256</c:v>
                </c:pt>
                <c:pt idx="605">
                  <c:v>573.05502846299805</c:v>
                </c:pt>
                <c:pt idx="606">
                  <c:v>574.00379506641366</c:v>
                </c:pt>
                <c:pt idx="607">
                  <c:v>574.95256166982915</c:v>
                </c:pt>
                <c:pt idx="608">
                  <c:v>575.90132827324487</c:v>
                </c:pt>
                <c:pt idx="609">
                  <c:v>576.85009487666048</c:v>
                </c:pt>
                <c:pt idx="610">
                  <c:v>577.79886148007586</c:v>
                </c:pt>
                <c:pt idx="611">
                  <c:v>578.74762808349146</c:v>
                </c:pt>
                <c:pt idx="612">
                  <c:v>579.69639468690696</c:v>
                </c:pt>
                <c:pt idx="613">
                  <c:v>580.64516129032256</c:v>
                </c:pt>
                <c:pt idx="614">
                  <c:v>581.59392789373828</c:v>
                </c:pt>
                <c:pt idx="615">
                  <c:v>582.54269449715378</c:v>
                </c:pt>
                <c:pt idx="616">
                  <c:v>583.49146110056927</c:v>
                </c:pt>
                <c:pt idx="617">
                  <c:v>584.44022770398476</c:v>
                </c:pt>
                <c:pt idx="618">
                  <c:v>585.38899430740037</c:v>
                </c:pt>
                <c:pt idx="619">
                  <c:v>586.33776091081586</c:v>
                </c:pt>
                <c:pt idx="620">
                  <c:v>587.28652751423158</c:v>
                </c:pt>
                <c:pt idx="621">
                  <c:v>588.23529411764719</c:v>
                </c:pt>
                <c:pt idx="622">
                  <c:v>589.18406072106256</c:v>
                </c:pt>
                <c:pt idx="623">
                  <c:v>590.13282732447817</c:v>
                </c:pt>
                <c:pt idx="624">
                  <c:v>591.08159392789366</c:v>
                </c:pt>
                <c:pt idx="625">
                  <c:v>592.03036053130927</c:v>
                </c:pt>
                <c:pt idx="626">
                  <c:v>592.97912713472499</c:v>
                </c:pt>
                <c:pt idx="627">
                  <c:v>593.92789373814048</c:v>
                </c:pt>
                <c:pt idx="628">
                  <c:v>594.87666034155598</c:v>
                </c:pt>
                <c:pt idx="629">
                  <c:v>595.82542694497147</c:v>
                </c:pt>
                <c:pt idx="630">
                  <c:v>596.77419354838707</c:v>
                </c:pt>
                <c:pt idx="631">
                  <c:v>597.72296015180279</c:v>
                </c:pt>
                <c:pt idx="632">
                  <c:v>598.67172675521829</c:v>
                </c:pt>
                <c:pt idx="633">
                  <c:v>599.62049335863389</c:v>
                </c:pt>
                <c:pt idx="634">
                  <c:v>600.56925996204927</c:v>
                </c:pt>
                <c:pt idx="635">
                  <c:v>601.51802656546488</c:v>
                </c:pt>
                <c:pt idx="636">
                  <c:v>602.46679316888049</c:v>
                </c:pt>
                <c:pt idx="637">
                  <c:v>603.41555977229609</c:v>
                </c:pt>
                <c:pt idx="638">
                  <c:v>604.3643263757117</c:v>
                </c:pt>
                <c:pt idx="639">
                  <c:v>605.31309297912708</c:v>
                </c:pt>
                <c:pt idx="640">
                  <c:v>606.26185958254268</c:v>
                </c:pt>
                <c:pt idx="641">
                  <c:v>607.21062618595818</c:v>
                </c:pt>
                <c:pt idx="642">
                  <c:v>608.15939278937378</c:v>
                </c:pt>
                <c:pt idx="643">
                  <c:v>609.1081593927895</c:v>
                </c:pt>
                <c:pt idx="644">
                  <c:v>610.056925996205</c:v>
                </c:pt>
                <c:pt idx="645">
                  <c:v>611.0056925996206</c:v>
                </c:pt>
                <c:pt idx="646">
                  <c:v>611.95445920303598</c:v>
                </c:pt>
                <c:pt idx="647">
                  <c:v>612.90322580645159</c:v>
                </c:pt>
                <c:pt idx="648">
                  <c:v>613.85199240986719</c:v>
                </c:pt>
                <c:pt idx="649">
                  <c:v>614.8007590132828</c:v>
                </c:pt>
                <c:pt idx="650">
                  <c:v>615.74952561669841</c:v>
                </c:pt>
                <c:pt idx="651">
                  <c:v>616.69829222011379</c:v>
                </c:pt>
                <c:pt idx="652">
                  <c:v>617.64705882352939</c:v>
                </c:pt>
                <c:pt idx="653">
                  <c:v>618.595825426945</c:v>
                </c:pt>
                <c:pt idx="654">
                  <c:v>619.54459203036049</c:v>
                </c:pt>
                <c:pt idx="655">
                  <c:v>620.49335863377621</c:v>
                </c:pt>
                <c:pt idx="656">
                  <c:v>621.4421252371917</c:v>
                </c:pt>
                <c:pt idx="657">
                  <c:v>622.3908918406072</c:v>
                </c:pt>
                <c:pt idx="658">
                  <c:v>623.33965844402269</c:v>
                </c:pt>
                <c:pt idx="659">
                  <c:v>624.2884250474383</c:v>
                </c:pt>
                <c:pt idx="660">
                  <c:v>625.2371916508539</c:v>
                </c:pt>
                <c:pt idx="661">
                  <c:v>626.18595825426951</c:v>
                </c:pt>
                <c:pt idx="662">
                  <c:v>627.13472485768511</c:v>
                </c:pt>
                <c:pt idx="663">
                  <c:v>628.08349146110049</c:v>
                </c:pt>
                <c:pt idx="664">
                  <c:v>629.0322580645161</c:v>
                </c:pt>
                <c:pt idx="665">
                  <c:v>629.98102466793171</c:v>
                </c:pt>
                <c:pt idx="666">
                  <c:v>630.9297912713472</c:v>
                </c:pt>
                <c:pt idx="667">
                  <c:v>631.87855787476292</c:v>
                </c:pt>
                <c:pt idx="668">
                  <c:v>632.82732447817841</c:v>
                </c:pt>
                <c:pt idx="669">
                  <c:v>633.7760910815939</c:v>
                </c:pt>
                <c:pt idx="670">
                  <c:v>634.72485768500951</c:v>
                </c:pt>
                <c:pt idx="671">
                  <c:v>635.673624288425</c:v>
                </c:pt>
                <c:pt idx="672">
                  <c:v>636.62239089184061</c:v>
                </c:pt>
                <c:pt idx="673">
                  <c:v>637.57115749525622</c:v>
                </c:pt>
                <c:pt idx="674">
                  <c:v>638.51992409867182</c:v>
                </c:pt>
                <c:pt idx="675">
                  <c:v>639.46869070208732</c:v>
                </c:pt>
                <c:pt idx="676">
                  <c:v>640.41745730550281</c:v>
                </c:pt>
                <c:pt idx="677">
                  <c:v>641.36622390891841</c:v>
                </c:pt>
                <c:pt idx="678">
                  <c:v>642.31499051233391</c:v>
                </c:pt>
                <c:pt idx="679">
                  <c:v>643.26375711574963</c:v>
                </c:pt>
                <c:pt idx="680">
                  <c:v>644.21252371916512</c:v>
                </c:pt>
                <c:pt idx="681">
                  <c:v>645.16129032258061</c:v>
                </c:pt>
                <c:pt idx="682">
                  <c:v>646.11005692599622</c:v>
                </c:pt>
                <c:pt idx="683">
                  <c:v>647.05882352941171</c:v>
                </c:pt>
                <c:pt idx="684">
                  <c:v>648.00759013282732</c:v>
                </c:pt>
                <c:pt idx="685">
                  <c:v>648.95635673624292</c:v>
                </c:pt>
                <c:pt idx="686">
                  <c:v>649.90512333965853</c:v>
                </c:pt>
                <c:pt idx="687">
                  <c:v>650.85388994307402</c:v>
                </c:pt>
                <c:pt idx="688">
                  <c:v>651.80265654648952</c:v>
                </c:pt>
                <c:pt idx="689">
                  <c:v>652.75142314990512</c:v>
                </c:pt>
                <c:pt idx="690">
                  <c:v>653.70018975332061</c:v>
                </c:pt>
                <c:pt idx="691">
                  <c:v>654.64895635673633</c:v>
                </c:pt>
                <c:pt idx="692">
                  <c:v>655.59772296015194</c:v>
                </c:pt>
                <c:pt idx="693">
                  <c:v>656.54648956356732</c:v>
                </c:pt>
                <c:pt idx="694">
                  <c:v>657.49525616698293</c:v>
                </c:pt>
                <c:pt idx="695">
                  <c:v>658.44402277039842</c:v>
                </c:pt>
                <c:pt idx="696">
                  <c:v>659.39278937381403</c:v>
                </c:pt>
                <c:pt idx="697">
                  <c:v>660.34155597722963</c:v>
                </c:pt>
                <c:pt idx="698">
                  <c:v>661.29032258064524</c:v>
                </c:pt>
                <c:pt idx="699">
                  <c:v>662.23908918406073</c:v>
                </c:pt>
                <c:pt idx="700">
                  <c:v>663.18785578747622</c:v>
                </c:pt>
                <c:pt idx="701">
                  <c:v>664.13662239089183</c:v>
                </c:pt>
                <c:pt idx="702">
                  <c:v>665.08538899430744</c:v>
                </c:pt>
                <c:pt idx="703">
                  <c:v>666.03415559772304</c:v>
                </c:pt>
                <c:pt idx="704">
                  <c:v>666.98292220113865</c:v>
                </c:pt>
                <c:pt idx="705">
                  <c:v>667.93168880455403</c:v>
                </c:pt>
                <c:pt idx="706">
                  <c:v>668.88045540796963</c:v>
                </c:pt>
                <c:pt idx="707">
                  <c:v>669.82922201138513</c:v>
                </c:pt>
                <c:pt idx="708">
                  <c:v>670.77798861480085</c:v>
                </c:pt>
                <c:pt idx="709">
                  <c:v>671.72675521821645</c:v>
                </c:pt>
                <c:pt idx="710">
                  <c:v>672.67552182163195</c:v>
                </c:pt>
                <c:pt idx="711">
                  <c:v>673.62428842504744</c:v>
                </c:pt>
                <c:pt idx="712">
                  <c:v>674.57305502846293</c:v>
                </c:pt>
                <c:pt idx="713">
                  <c:v>675.52182163187854</c:v>
                </c:pt>
                <c:pt idx="714">
                  <c:v>676.47058823529426</c:v>
                </c:pt>
                <c:pt idx="715">
                  <c:v>677.41935483870975</c:v>
                </c:pt>
                <c:pt idx="716">
                  <c:v>678.36812144212536</c:v>
                </c:pt>
                <c:pt idx="717">
                  <c:v>679.31688804554074</c:v>
                </c:pt>
                <c:pt idx="718">
                  <c:v>680.26565464895634</c:v>
                </c:pt>
                <c:pt idx="719">
                  <c:v>681.21442125237184</c:v>
                </c:pt>
                <c:pt idx="720">
                  <c:v>682.16318785578756</c:v>
                </c:pt>
                <c:pt idx="721">
                  <c:v>683.11195445920316</c:v>
                </c:pt>
                <c:pt idx="722">
                  <c:v>684.06072106261854</c:v>
                </c:pt>
                <c:pt idx="723">
                  <c:v>685.00948766603415</c:v>
                </c:pt>
                <c:pt idx="724">
                  <c:v>685.95825426944964</c:v>
                </c:pt>
                <c:pt idx="725">
                  <c:v>686.90702087286525</c:v>
                </c:pt>
                <c:pt idx="726">
                  <c:v>687.85578747628097</c:v>
                </c:pt>
                <c:pt idx="727">
                  <c:v>688.80455407969646</c:v>
                </c:pt>
                <c:pt idx="728">
                  <c:v>689.75332068311207</c:v>
                </c:pt>
                <c:pt idx="729">
                  <c:v>690.70208728652744</c:v>
                </c:pt>
                <c:pt idx="730">
                  <c:v>691.65085388994305</c:v>
                </c:pt>
                <c:pt idx="731">
                  <c:v>692.59962049335866</c:v>
                </c:pt>
                <c:pt idx="732">
                  <c:v>693.54838709677426</c:v>
                </c:pt>
                <c:pt idx="733">
                  <c:v>694.49715370018987</c:v>
                </c:pt>
                <c:pt idx="734">
                  <c:v>695.44592030360525</c:v>
                </c:pt>
                <c:pt idx="735">
                  <c:v>696.39468690702085</c:v>
                </c:pt>
                <c:pt idx="736">
                  <c:v>697.34345351043646</c:v>
                </c:pt>
                <c:pt idx="737">
                  <c:v>698.29222011385195</c:v>
                </c:pt>
                <c:pt idx="738">
                  <c:v>699.24098671726767</c:v>
                </c:pt>
                <c:pt idx="739">
                  <c:v>700.18975332068317</c:v>
                </c:pt>
                <c:pt idx="740">
                  <c:v>701.13851992409866</c:v>
                </c:pt>
                <c:pt idx="741">
                  <c:v>702.08728652751415</c:v>
                </c:pt>
                <c:pt idx="742">
                  <c:v>703.03605313092976</c:v>
                </c:pt>
                <c:pt idx="743">
                  <c:v>703.98481973434536</c:v>
                </c:pt>
                <c:pt idx="744">
                  <c:v>704.93358633776097</c:v>
                </c:pt>
                <c:pt idx="745">
                  <c:v>705.88235294117658</c:v>
                </c:pt>
                <c:pt idx="746">
                  <c:v>706.83111954459196</c:v>
                </c:pt>
                <c:pt idx="747">
                  <c:v>707.77988614800756</c:v>
                </c:pt>
                <c:pt idx="748">
                  <c:v>708.72865275142317</c:v>
                </c:pt>
                <c:pt idx="749">
                  <c:v>709.67741935483866</c:v>
                </c:pt>
                <c:pt idx="750">
                  <c:v>710.62618595825438</c:v>
                </c:pt>
                <c:pt idx="751">
                  <c:v>711.57495256166987</c:v>
                </c:pt>
                <c:pt idx="752">
                  <c:v>712.52371916508537</c:v>
                </c:pt>
                <c:pt idx="753">
                  <c:v>713.47248576850097</c:v>
                </c:pt>
                <c:pt idx="754">
                  <c:v>714.42125237191647</c:v>
                </c:pt>
                <c:pt idx="755">
                  <c:v>715.37001897533207</c:v>
                </c:pt>
                <c:pt idx="756">
                  <c:v>716.31878557874768</c:v>
                </c:pt>
                <c:pt idx="757">
                  <c:v>717.26755218216329</c:v>
                </c:pt>
                <c:pt idx="758">
                  <c:v>718.21631878557866</c:v>
                </c:pt>
                <c:pt idx="759">
                  <c:v>719.16508538899427</c:v>
                </c:pt>
                <c:pt idx="760">
                  <c:v>720.11385199240988</c:v>
                </c:pt>
                <c:pt idx="761">
                  <c:v>721.06261859582537</c:v>
                </c:pt>
                <c:pt idx="762">
                  <c:v>722.01138519924109</c:v>
                </c:pt>
                <c:pt idx="763">
                  <c:v>722.96015180265658</c:v>
                </c:pt>
                <c:pt idx="764">
                  <c:v>723.90891840607208</c:v>
                </c:pt>
                <c:pt idx="765">
                  <c:v>724.85768500948768</c:v>
                </c:pt>
                <c:pt idx="766">
                  <c:v>725.80645161290317</c:v>
                </c:pt>
                <c:pt idx="767">
                  <c:v>726.75521821631878</c:v>
                </c:pt>
                <c:pt idx="768">
                  <c:v>727.70398481973439</c:v>
                </c:pt>
                <c:pt idx="769">
                  <c:v>728.65275142314999</c:v>
                </c:pt>
                <c:pt idx="770">
                  <c:v>729.60151802656549</c:v>
                </c:pt>
                <c:pt idx="771">
                  <c:v>730.55028462998098</c:v>
                </c:pt>
                <c:pt idx="772">
                  <c:v>731.49905123339659</c:v>
                </c:pt>
                <c:pt idx="773">
                  <c:v>732.44781783681219</c:v>
                </c:pt>
                <c:pt idx="774">
                  <c:v>733.3965844402278</c:v>
                </c:pt>
                <c:pt idx="775">
                  <c:v>734.34535104364329</c:v>
                </c:pt>
                <c:pt idx="776">
                  <c:v>735.29411764705878</c:v>
                </c:pt>
                <c:pt idx="777">
                  <c:v>736.24288425047439</c:v>
                </c:pt>
                <c:pt idx="778">
                  <c:v>737.19165085388988</c:v>
                </c:pt>
                <c:pt idx="779">
                  <c:v>738.1404174573056</c:v>
                </c:pt>
                <c:pt idx="780">
                  <c:v>739.0891840607211</c:v>
                </c:pt>
                <c:pt idx="781">
                  <c:v>740.0379506641367</c:v>
                </c:pt>
                <c:pt idx="782">
                  <c:v>740.98671726755219</c:v>
                </c:pt>
                <c:pt idx="783">
                  <c:v>741.93548387096769</c:v>
                </c:pt>
                <c:pt idx="784">
                  <c:v>742.88425047438329</c:v>
                </c:pt>
                <c:pt idx="785">
                  <c:v>743.8330170777989</c:v>
                </c:pt>
                <c:pt idx="786">
                  <c:v>744.78178368121451</c:v>
                </c:pt>
                <c:pt idx="787">
                  <c:v>745.73055028463011</c:v>
                </c:pt>
                <c:pt idx="788">
                  <c:v>746.67931688804549</c:v>
                </c:pt>
                <c:pt idx="789">
                  <c:v>747.6280834914611</c:v>
                </c:pt>
                <c:pt idx="790">
                  <c:v>748.57685009487659</c:v>
                </c:pt>
                <c:pt idx="791">
                  <c:v>749.52561669829231</c:v>
                </c:pt>
                <c:pt idx="792">
                  <c:v>750.47438330170792</c:v>
                </c:pt>
                <c:pt idx="793">
                  <c:v>751.42314990512341</c:v>
                </c:pt>
                <c:pt idx="794">
                  <c:v>752.3719165085389</c:v>
                </c:pt>
                <c:pt idx="795">
                  <c:v>753.32068311195439</c:v>
                </c:pt>
                <c:pt idx="796">
                  <c:v>754.26944971537</c:v>
                </c:pt>
                <c:pt idx="797">
                  <c:v>755.21821631878561</c:v>
                </c:pt>
                <c:pt idx="798">
                  <c:v>756.16698292220121</c:v>
                </c:pt>
                <c:pt idx="799">
                  <c:v>757.11574952561682</c:v>
                </c:pt>
                <c:pt idx="800">
                  <c:v>758.0645161290322</c:v>
                </c:pt>
                <c:pt idx="801">
                  <c:v>759.01328273244781</c:v>
                </c:pt>
                <c:pt idx="802">
                  <c:v>759.9620493358633</c:v>
                </c:pt>
                <c:pt idx="803">
                  <c:v>760.91081593927902</c:v>
                </c:pt>
                <c:pt idx="804">
                  <c:v>761.85958254269462</c:v>
                </c:pt>
                <c:pt idx="805">
                  <c:v>762.80834914611</c:v>
                </c:pt>
                <c:pt idx="806">
                  <c:v>763.75711574952561</c:v>
                </c:pt>
                <c:pt idx="807">
                  <c:v>764.7058823529411</c:v>
                </c:pt>
                <c:pt idx="808">
                  <c:v>765.65464895635671</c:v>
                </c:pt>
                <c:pt idx="809">
                  <c:v>766.60341555977243</c:v>
                </c:pt>
                <c:pt idx="810">
                  <c:v>767.55218216318792</c:v>
                </c:pt>
                <c:pt idx="811">
                  <c:v>768.50094876660353</c:v>
                </c:pt>
                <c:pt idx="812">
                  <c:v>769.44971537001891</c:v>
                </c:pt>
                <c:pt idx="813">
                  <c:v>770.39848197343451</c:v>
                </c:pt>
                <c:pt idx="814">
                  <c:v>771.34724857685012</c:v>
                </c:pt>
                <c:pt idx="815">
                  <c:v>772.29601518026573</c:v>
                </c:pt>
                <c:pt idx="816">
                  <c:v>773.24478178368133</c:v>
                </c:pt>
                <c:pt idx="817">
                  <c:v>774.19354838709671</c:v>
                </c:pt>
                <c:pt idx="818">
                  <c:v>775.14231499051232</c:v>
                </c:pt>
                <c:pt idx="819">
                  <c:v>776.09108159392781</c:v>
                </c:pt>
                <c:pt idx="820">
                  <c:v>777.03984819734342</c:v>
                </c:pt>
                <c:pt idx="821">
                  <c:v>777.98861480075914</c:v>
                </c:pt>
                <c:pt idx="822">
                  <c:v>778.93738140417463</c:v>
                </c:pt>
                <c:pt idx="823">
                  <c:v>779.88614800759024</c:v>
                </c:pt>
                <c:pt idx="824">
                  <c:v>780.83491461100562</c:v>
                </c:pt>
                <c:pt idx="825">
                  <c:v>781.78368121442122</c:v>
                </c:pt>
                <c:pt idx="826">
                  <c:v>782.73244781783683</c:v>
                </c:pt>
                <c:pt idx="827">
                  <c:v>783.68121442125243</c:v>
                </c:pt>
                <c:pt idx="828">
                  <c:v>784.62998102466804</c:v>
                </c:pt>
                <c:pt idx="829">
                  <c:v>785.57874762808342</c:v>
                </c:pt>
                <c:pt idx="830">
                  <c:v>786.52751423149903</c:v>
                </c:pt>
                <c:pt idx="831">
                  <c:v>787.47628083491463</c:v>
                </c:pt>
                <c:pt idx="832">
                  <c:v>788.42504743833013</c:v>
                </c:pt>
                <c:pt idx="833">
                  <c:v>789.37381404174585</c:v>
                </c:pt>
                <c:pt idx="834">
                  <c:v>790.32258064516134</c:v>
                </c:pt>
                <c:pt idx="835">
                  <c:v>791.27134724857683</c:v>
                </c:pt>
                <c:pt idx="836">
                  <c:v>792.22011385199232</c:v>
                </c:pt>
                <c:pt idx="837">
                  <c:v>793.16888045540793</c:v>
                </c:pt>
                <c:pt idx="838">
                  <c:v>794.11764705882354</c:v>
                </c:pt>
                <c:pt idx="839">
                  <c:v>795.06641366223914</c:v>
                </c:pt>
                <c:pt idx="840">
                  <c:v>796.01518026565475</c:v>
                </c:pt>
                <c:pt idx="841">
                  <c:v>796.96394686907013</c:v>
                </c:pt>
                <c:pt idx="842">
                  <c:v>797.91271347248573</c:v>
                </c:pt>
                <c:pt idx="843">
                  <c:v>798.86148007590134</c:v>
                </c:pt>
                <c:pt idx="844">
                  <c:v>799.81024667931695</c:v>
                </c:pt>
                <c:pt idx="845">
                  <c:v>800.75901328273255</c:v>
                </c:pt>
                <c:pt idx="846">
                  <c:v>801.70777988614805</c:v>
                </c:pt>
                <c:pt idx="847">
                  <c:v>802.65654648956354</c:v>
                </c:pt>
                <c:pt idx="848">
                  <c:v>803.60531309297915</c:v>
                </c:pt>
                <c:pt idx="849">
                  <c:v>804.55407969639464</c:v>
                </c:pt>
                <c:pt idx="850">
                  <c:v>805.50284629981036</c:v>
                </c:pt>
                <c:pt idx="851">
                  <c:v>806.45161290322585</c:v>
                </c:pt>
                <c:pt idx="852">
                  <c:v>807.40037950664146</c:v>
                </c:pt>
                <c:pt idx="853">
                  <c:v>808.34914611005684</c:v>
                </c:pt>
                <c:pt idx="854">
                  <c:v>809.29791271347244</c:v>
                </c:pt>
                <c:pt idx="855">
                  <c:v>810.24667931688805</c:v>
                </c:pt>
                <c:pt idx="856">
                  <c:v>811.19544592030365</c:v>
                </c:pt>
                <c:pt idx="857">
                  <c:v>812.14421252371926</c:v>
                </c:pt>
                <c:pt idx="858">
                  <c:v>813.09297912713475</c:v>
                </c:pt>
                <c:pt idx="859">
                  <c:v>814.04174573055025</c:v>
                </c:pt>
                <c:pt idx="860">
                  <c:v>814.99051233396585</c:v>
                </c:pt>
                <c:pt idx="861">
                  <c:v>815.93927893738135</c:v>
                </c:pt>
                <c:pt idx="862">
                  <c:v>816.88804554079707</c:v>
                </c:pt>
                <c:pt idx="863">
                  <c:v>817.83681214421256</c:v>
                </c:pt>
                <c:pt idx="864">
                  <c:v>818.78557874762816</c:v>
                </c:pt>
                <c:pt idx="865">
                  <c:v>819.73434535104366</c:v>
                </c:pt>
                <c:pt idx="866">
                  <c:v>820.68311195445915</c:v>
                </c:pt>
                <c:pt idx="867">
                  <c:v>821.63187855787476</c:v>
                </c:pt>
                <c:pt idx="868">
                  <c:v>822.58064516129036</c:v>
                </c:pt>
                <c:pt idx="869">
                  <c:v>823.52941176470597</c:v>
                </c:pt>
                <c:pt idx="870">
                  <c:v>824.47817836812158</c:v>
                </c:pt>
                <c:pt idx="871">
                  <c:v>825.42694497153695</c:v>
                </c:pt>
                <c:pt idx="872">
                  <c:v>826.37571157495256</c:v>
                </c:pt>
                <c:pt idx="873">
                  <c:v>827.32447817836805</c:v>
                </c:pt>
                <c:pt idx="874">
                  <c:v>828.27324478178377</c:v>
                </c:pt>
                <c:pt idx="875">
                  <c:v>829.22201138519927</c:v>
                </c:pt>
                <c:pt idx="876">
                  <c:v>830.17077798861487</c:v>
                </c:pt>
                <c:pt idx="877">
                  <c:v>831.11954459203037</c:v>
                </c:pt>
                <c:pt idx="878">
                  <c:v>832.06831119544586</c:v>
                </c:pt>
                <c:pt idx="879">
                  <c:v>833.01707779886146</c:v>
                </c:pt>
                <c:pt idx="880">
                  <c:v>833.96584440227707</c:v>
                </c:pt>
                <c:pt idx="881">
                  <c:v>834.91461100569268</c:v>
                </c:pt>
                <c:pt idx="882">
                  <c:v>835.86337760910828</c:v>
                </c:pt>
                <c:pt idx="883">
                  <c:v>836.81214421252366</c:v>
                </c:pt>
                <c:pt idx="884">
                  <c:v>837.76091081593927</c:v>
                </c:pt>
                <c:pt idx="885">
                  <c:v>838.70967741935476</c:v>
                </c:pt>
                <c:pt idx="886">
                  <c:v>839.65844402277048</c:v>
                </c:pt>
                <c:pt idx="887">
                  <c:v>840.60721062618609</c:v>
                </c:pt>
                <c:pt idx="888">
                  <c:v>841.55597722960158</c:v>
                </c:pt>
                <c:pt idx="889">
                  <c:v>842.50474383301707</c:v>
                </c:pt>
                <c:pt idx="890">
                  <c:v>843.45351043643257</c:v>
                </c:pt>
                <c:pt idx="891">
                  <c:v>844.40227703984817</c:v>
                </c:pt>
                <c:pt idx="892">
                  <c:v>845.35104364326378</c:v>
                </c:pt>
                <c:pt idx="893">
                  <c:v>846.29981024667939</c:v>
                </c:pt>
                <c:pt idx="894">
                  <c:v>847.24857685009499</c:v>
                </c:pt>
                <c:pt idx="895">
                  <c:v>848.19734345351037</c:v>
                </c:pt>
                <c:pt idx="896">
                  <c:v>849.14611005692598</c:v>
                </c:pt>
                <c:pt idx="897">
                  <c:v>850.09487666034147</c:v>
                </c:pt>
                <c:pt idx="898">
                  <c:v>851.04364326375719</c:v>
                </c:pt>
                <c:pt idx="899">
                  <c:v>851.9924098671728</c:v>
                </c:pt>
                <c:pt idx="900">
                  <c:v>852.94117647058818</c:v>
                </c:pt>
                <c:pt idx="901">
                  <c:v>853.88994307400378</c:v>
                </c:pt>
                <c:pt idx="902">
                  <c:v>854.83870967741927</c:v>
                </c:pt>
                <c:pt idx="903">
                  <c:v>855.78747628083488</c:v>
                </c:pt>
                <c:pt idx="904">
                  <c:v>856.7362428842506</c:v>
                </c:pt>
                <c:pt idx="905">
                  <c:v>857.68500948766609</c:v>
                </c:pt>
                <c:pt idx="906">
                  <c:v>858.6337760910817</c:v>
                </c:pt>
                <c:pt idx="907">
                  <c:v>859.58254269449708</c:v>
                </c:pt>
                <c:pt idx="908">
                  <c:v>860.53130929791268</c:v>
                </c:pt>
                <c:pt idx="909">
                  <c:v>861.48007590132829</c:v>
                </c:pt>
                <c:pt idx="910">
                  <c:v>862.4288425047439</c:v>
                </c:pt>
                <c:pt idx="911">
                  <c:v>863.3776091081595</c:v>
                </c:pt>
                <c:pt idx="912">
                  <c:v>864.32637571157488</c:v>
                </c:pt>
                <c:pt idx="913">
                  <c:v>865.27514231499049</c:v>
                </c:pt>
                <c:pt idx="914">
                  <c:v>866.22390891840598</c:v>
                </c:pt>
                <c:pt idx="915">
                  <c:v>867.1726755218217</c:v>
                </c:pt>
                <c:pt idx="916">
                  <c:v>868.12144212523731</c:v>
                </c:pt>
                <c:pt idx="917">
                  <c:v>869.0702087286528</c:v>
                </c:pt>
                <c:pt idx="918">
                  <c:v>870.01897533206829</c:v>
                </c:pt>
                <c:pt idx="919">
                  <c:v>870.96774193548379</c:v>
                </c:pt>
                <c:pt idx="920">
                  <c:v>871.91650853889939</c:v>
                </c:pt>
                <c:pt idx="921">
                  <c:v>872.86527514231511</c:v>
                </c:pt>
                <c:pt idx="922">
                  <c:v>873.81404174573061</c:v>
                </c:pt>
                <c:pt idx="923">
                  <c:v>874.76280834914621</c:v>
                </c:pt>
                <c:pt idx="924">
                  <c:v>875.71157495256159</c:v>
                </c:pt>
                <c:pt idx="925">
                  <c:v>876.6603415559772</c:v>
                </c:pt>
                <c:pt idx="926">
                  <c:v>877.6091081593928</c:v>
                </c:pt>
                <c:pt idx="927">
                  <c:v>878.55787476280841</c:v>
                </c:pt>
                <c:pt idx="928">
                  <c:v>879.50664136622402</c:v>
                </c:pt>
                <c:pt idx="929">
                  <c:v>880.45540796963951</c:v>
                </c:pt>
                <c:pt idx="930">
                  <c:v>881.404174573055</c:v>
                </c:pt>
                <c:pt idx="931">
                  <c:v>882.35294117647061</c:v>
                </c:pt>
                <c:pt idx="932">
                  <c:v>883.3017077798861</c:v>
                </c:pt>
                <c:pt idx="933">
                  <c:v>884.25047438330182</c:v>
                </c:pt>
                <c:pt idx="934">
                  <c:v>885.19924098671731</c:v>
                </c:pt>
                <c:pt idx="935">
                  <c:v>886.14800759013292</c:v>
                </c:pt>
                <c:pt idx="936">
                  <c:v>887.0967741935483</c:v>
                </c:pt>
                <c:pt idx="937">
                  <c:v>888.04554079696391</c:v>
                </c:pt>
                <c:pt idx="938">
                  <c:v>888.99430740037951</c:v>
                </c:pt>
                <c:pt idx="939">
                  <c:v>889.94307400379512</c:v>
                </c:pt>
                <c:pt idx="940">
                  <c:v>890.89184060721072</c:v>
                </c:pt>
                <c:pt idx="941">
                  <c:v>891.84060721062622</c:v>
                </c:pt>
                <c:pt idx="942">
                  <c:v>892.78937381404171</c:v>
                </c:pt>
                <c:pt idx="943">
                  <c:v>893.73814041745732</c:v>
                </c:pt>
                <c:pt idx="944">
                  <c:v>894.68690702087281</c:v>
                </c:pt>
                <c:pt idx="945">
                  <c:v>895.63567362428853</c:v>
                </c:pt>
                <c:pt idx="946">
                  <c:v>896.58444022770402</c:v>
                </c:pt>
                <c:pt idx="947">
                  <c:v>897.53320683111963</c:v>
                </c:pt>
                <c:pt idx="948">
                  <c:v>898.48197343453512</c:v>
                </c:pt>
                <c:pt idx="949">
                  <c:v>899.43074003795061</c:v>
                </c:pt>
                <c:pt idx="950">
                  <c:v>900.37950664136622</c:v>
                </c:pt>
                <c:pt idx="951">
                  <c:v>901.32827324478183</c:v>
                </c:pt>
                <c:pt idx="952">
                  <c:v>902.27703984819743</c:v>
                </c:pt>
                <c:pt idx="953">
                  <c:v>903.22580645161293</c:v>
                </c:pt>
                <c:pt idx="954">
                  <c:v>904.17457305502842</c:v>
                </c:pt>
                <c:pt idx="955">
                  <c:v>905.12333965844402</c:v>
                </c:pt>
                <c:pt idx="956">
                  <c:v>906.07210626185952</c:v>
                </c:pt>
                <c:pt idx="957">
                  <c:v>907.02087286527524</c:v>
                </c:pt>
                <c:pt idx="958">
                  <c:v>907.96963946869073</c:v>
                </c:pt>
                <c:pt idx="959">
                  <c:v>908.91840607210634</c:v>
                </c:pt>
                <c:pt idx="960">
                  <c:v>909.86717267552183</c:v>
                </c:pt>
                <c:pt idx="961">
                  <c:v>910.81593927893732</c:v>
                </c:pt>
                <c:pt idx="962">
                  <c:v>911.76470588235293</c:v>
                </c:pt>
                <c:pt idx="963">
                  <c:v>912.71347248576853</c:v>
                </c:pt>
                <c:pt idx="964">
                  <c:v>913.66223908918414</c:v>
                </c:pt>
                <c:pt idx="965">
                  <c:v>914.61100569259975</c:v>
                </c:pt>
                <c:pt idx="966">
                  <c:v>915.55977229601513</c:v>
                </c:pt>
                <c:pt idx="967">
                  <c:v>916.50853889943073</c:v>
                </c:pt>
                <c:pt idx="968">
                  <c:v>917.45730550284622</c:v>
                </c:pt>
                <c:pt idx="969">
                  <c:v>918.40607210626195</c:v>
                </c:pt>
                <c:pt idx="970">
                  <c:v>919.35483870967755</c:v>
                </c:pt>
                <c:pt idx="971">
                  <c:v>920.30360531309304</c:v>
                </c:pt>
                <c:pt idx="972">
                  <c:v>921.25237191650854</c:v>
                </c:pt>
                <c:pt idx="973">
                  <c:v>922.20113851992403</c:v>
                </c:pt>
                <c:pt idx="974">
                  <c:v>923.14990512333964</c:v>
                </c:pt>
                <c:pt idx="975">
                  <c:v>924.09867172675524</c:v>
                </c:pt>
                <c:pt idx="976">
                  <c:v>925.04743833017085</c:v>
                </c:pt>
                <c:pt idx="977">
                  <c:v>925.99620493358645</c:v>
                </c:pt>
                <c:pt idx="978">
                  <c:v>926.94497153700183</c:v>
                </c:pt>
                <c:pt idx="979">
                  <c:v>927.89373814041744</c:v>
                </c:pt>
                <c:pt idx="980">
                  <c:v>928.84250474383305</c:v>
                </c:pt>
                <c:pt idx="981">
                  <c:v>929.79127134724865</c:v>
                </c:pt>
                <c:pt idx="982">
                  <c:v>930.74003795066426</c:v>
                </c:pt>
                <c:pt idx="983">
                  <c:v>931.68880455407964</c:v>
                </c:pt>
                <c:pt idx="984">
                  <c:v>932.63757115749524</c:v>
                </c:pt>
                <c:pt idx="985">
                  <c:v>933.58633776091074</c:v>
                </c:pt>
                <c:pt idx="986">
                  <c:v>934.53510436432646</c:v>
                </c:pt>
                <c:pt idx="987">
                  <c:v>935.48387096774206</c:v>
                </c:pt>
                <c:pt idx="988">
                  <c:v>936.43263757115756</c:v>
                </c:pt>
                <c:pt idx="989">
                  <c:v>937.38140417457316</c:v>
                </c:pt>
                <c:pt idx="990">
                  <c:v>938.33017077798854</c:v>
                </c:pt>
                <c:pt idx="991">
                  <c:v>939.27893738140415</c:v>
                </c:pt>
                <c:pt idx="992">
                  <c:v>940.22770398481975</c:v>
                </c:pt>
                <c:pt idx="993">
                  <c:v>941.17647058823536</c:v>
                </c:pt>
                <c:pt idx="994">
                  <c:v>942.12523719165097</c:v>
                </c:pt>
                <c:pt idx="995">
                  <c:v>943.07400379506635</c:v>
                </c:pt>
                <c:pt idx="996">
                  <c:v>944.02277039848195</c:v>
                </c:pt>
                <c:pt idx="997">
                  <c:v>944.97153700189745</c:v>
                </c:pt>
                <c:pt idx="998">
                  <c:v>945.92030360531317</c:v>
                </c:pt>
                <c:pt idx="999">
                  <c:v>946.86907020872877</c:v>
                </c:pt>
                <c:pt idx="1000">
                  <c:v>947.81783681214426</c:v>
                </c:pt>
                <c:pt idx="1001">
                  <c:v>948.76660341555976</c:v>
                </c:pt>
                <c:pt idx="1002">
                  <c:v>949.71537001897525</c:v>
                </c:pt>
                <c:pt idx="1003">
                  <c:v>950.66413662239086</c:v>
                </c:pt>
                <c:pt idx="1004">
                  <c:v>951.61290322580658</c:v>
                </c:pt>
                <c:pt idx="1005">
                  <c:v>952.56166982922207</c:v>
                </c:pt>
                <c:pt idx="1006">
                  <c:v>953.51043643263768</c:v>
                </c:pt>
                <c:pt idx="1007">
                  <c:v>954.45920303605305</c:v>
                </c:pt>
                <c:pt idx="1008">
                  <c:v>955.40796963946866</c:v>
                </c:pt>
                <c:pt idx="1009">
                  <c:v>956.35673624288427</c:v>
                </c:pt>
                <c:pt idx="1010">
                  <c:v>957.30550284629987</c:v>
                </c:pt>
                <c:pt idx="1011">
                  <c:v>958.25426944971548</c:v>
                </c:pt>
                <c:pt idx="1012">
                  <c:v>959.20303605313097</c:v>
                </c:pt>
                <c:pt idx="1013">
                  <c:v>960.15180265654647</c:v>
                </c:pt>
                <c:pt idx="1014">
                  <c:v>961.10056925996196</c:v>
                </c:pt>
                <c:pt idx="1015">
                  <c:v>962.04933586337756</c:v>
                </c:pt>
                <c:pt idx="1016">
                  <c:v>962.99810246679328</c:v>
                </c:pt>
                <c:pt idx="1017">
                  <c:v>963.94686907020878</c:v>
                </c:pt>
                <c:pt idx="1018">
                  <c:v>964.89563567362438</c:v>
                </c:pt>
                <c:pt idx="1019">
                  <c:v>965.84440227703976</c:v>
                </c:pt>
                <c:pt idx="1020">
                  <c:v>966.79316888045537</c:v>
                </c:pt>
                <c:pt idx="1021">
                  <c:v>967.74193548387098</c:v>
                </c:pt>
                <c:pt idx="1022">
                  <c:v>968.69070208728658</c:v>
                </c:pt>
                <c:pt idx="1023">
                  <c:v>969.63946869070219</c:v>
                </c:pt>
                <c:pt idx="1024">
                  <c:v>970.58823529411768</c:v>
                </c:pt>
                <c:pt idx="1025">
                  <c:v>971.53700189753317</c:v>
                </c:pt>
                <c:pt idx="1026">
                  <c:v>972.48576850094878</c:v>
                </c:pt>
                <c:pt idx="1027">
                  <c:v>973.43453510436427</c:v>
                </c:pt>
                <c:pt idx="1028">
                  <c:v>974.38330170777999</c:v>
                </c:pt>
                <c:pt idx="1029">
                  <c:v>975.33206831119548</c:v>
                </c:pt>
                <c:pt idx="1030">
                  <c:v>976.28083491461109</c:v>
                </c:pt>
                <c:pt idx="1031">
                  <c:v>977.22960151802647</c:v>
                </c:pt>
                <c:pt idx="1032">
                  <c:v>978.17836812144208</c:v>
                </c:pt>
                <c:pt idx="1033">
                  <c:v>979.12713472485768</c:v>
                </c:pt>
                <c:pt idx="1034">
                  <c:v>980.07590132827329</c:v>
                </c:pt>
                <c:pt idx="1035">
                  <c:v>981.0246679316889</c:v>
                </c:pt>
                <c:pt idx="1036">
                  <c:v>981.97343453510439</c:v>
                </c:pt>
                <c:pt idx="1037">
                  <c:v>982.92220113851988</c:v>
                </c:pt>
                <c:pt idx="1038">
                  <c:v>983.87096774193549</c:v>
                </c:pt>
                <c:pt idx="1039">
                  <c:v>984.81973434535098</c:v>
                </c:pt>
                <c:pt idx="1040">
                  <c:v>985.7685009487667</c:v>
                </c:pt>
                <c:pt idx="1041">
                  <c:v>986.71726755218219</c:v>
                </c:pt>
                <c:pt idx="1042">
                  <c:v>987.6660341555978</c:v>
                </c:pt>
                <c:pt idx="1043">
                  <c:v>988.61480075901329</c:v>
                </c:pt>
                <c:pt idx="1044">
                  <c:v>989.56356736242878</c:v>
                </c:pt>
                <c:pt idx="1045">
                  <c:v>990.51233396584439</c:v>
                </c:pt>
                <c:pt idx="1046">
                  <c:v>991.46110056926</c:v>
                </c:pt>
                <c:pt idx="1047">
                  <c:v>992.4098671726756</c:v>
                </c:pt>
                <c:pt idx="1048">
                  <c:v>993.35863377609121</c:v>
                </c:pt>
                <c:pt idx="1049">
                  <c:v>994.30740037950659</c:v>
                </c:pt>
                <c:pt idx="1050">
                  <c:v>995.2561669829222</c:v>
                </c:pt>
                <c:pt idx="1051">
                  <c:v>996.2049335863378</c:v>
                </c:pt>
                <c:pt idx="1052">
                  <c:v>997.15370018975341</c:v>
                </c:pt>
                <c:pt idx="1053">
                  <c:v>998.1024667931689</c:v>
                </c:pt>
                <c:pt idx="1054">
                  <c:v>999.05123339658451</c:v>
                </c:pt>
                <c:pt idx="1055">
                  <c:v>1000</c:v>
                </c:pt>
                <c:pt idx="1056">
                  <c:v>1000</c:v>
                </c:pt>
                <c:pt idx="1057">
                  <c:v>1000</c:v>
                </c:pt>
              </c:numCache>
            </c:numRef>
          </c:cat>
          <c:val>
            <c:numRef>
              <c:f>'Arbitrage Payback Engine'!$AG$8:$AG$1065</c:f>
              <c:numCache>
                <c:formatCode>_("$"* #,##0.00_);_("$"* \(#,##0.00\);_("$"* "-"??_);_(@_)</c:formatCode>
                <c:ptCount val="1058"/>
                <c:pt idx="0" formatCode="General">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pt idx="994">
                  <c:v>0</c:v>
                </c:pt>
                <c:pt idx="995">
                  <c:v>0</c:v>
                </c:pt>
                <c:pt idx="996">
                  <c:v>0</c:v>
                </c:pt>
                <c:pt idx="997">
                  <c:v>0</c:v>
                </c:pt>
                <c:pt idx="998">
                  <c:v>0</c:v>
                </c:pt>
                <c:pt idx="999">
                  <c:v>0</c:v>
                </c:pt>
                <c:pt idx="1000">
                  <c:v>0</c:v>
                </c:pt>
                <c:pt idx="1001">
                  <c:v>0</c:v>
                </c:pt>
                <c:pt idx="1002">
                  <c:v>0</c:v>
                </c:pt>
                <c:pt idx="1003">
                  <c:v>0</c:v>
                </c:pt>
                <c:pt idx="1004">
                  <c:v>0</c:v>
                </c:pt>
                <c:pt idx="1005">
                  <c:v>0</c:v>
                </c:pt>
                <c:pt idx="1006">
                  <c:v>0</c:v>
                </c:pt>
                <c:pt idx="1007">
                  <c:v>0</c:v>
                </c:pt>
                <c:pt idx="1008">
                  <c:v>0</c:v>
                </c:pt>
                <c:pt idx="1009">
                  <c:v>0</c:v>
                </c:pt>
                <c:pt idx="1010">
                  <c:v>0</c:v>
                </c:pt>
                <c:pt idx="1011">
                  <c:v>0</c:v>
                </c:pt>
                <c:pt idx="1012">
                  <c:v>0</c:v>
                </c:pt>
                <c:pt idx="1013">
                  <c:v>0</c:v>
                </c:pt>
                <c:pt idx="1014">
                  <c:v>0</c:v>
                </c:pt>
                <c:pt idx="1015">
                  <c:v>0</c:v>
                </c:pt>
                <c:pt idx="1016">
                  <c:v>0</c:v>
                </c:pt>
                <c:pt idx="1017">
                  <c:v>0</c:v>
                </c:pt>
                <c:pt idx="1018">
                  <c:v>0</c:v>
                </c:pt>
                <c:pt idx="1019">
                  <c:v>0</c:v>
                </c:pt>
                <c:pt idx="1020">
                  <c:v>0</c:v>
                </c:pt>
                <c:pt idx="1021">
                  <c:v>0</c:v>
                </c:pt>
                <c:pt idx="1022">
                  <c:v>0</c:v>
                </c:pt>
                <c:pt idx="1023">
                  <c:v>0</c:v>
                </c:pt>
                <c:pt idx="1024">
                  <c:v>0</c:v>
                </c:pt>
                <c:pt idx="1025">
                  <c:v>0</c:v>
                </c:pt>
                <c:pt idx="1026">
                  <c:v>0</c:v>
                </c:pt>
                <c:pt idx="1027">
                  <c:v>0</c:v>
                </c:pt>
                <c:pt idx="1028">
                  <c:v>0</c:v>
                </c:pt>
                <c:pt idx="1029">
                  <c:v>0</c:v>
                </c:pt>
                <c:pt idx="1030">
                  <c:v>0</c:v>
                </c:pt>
                <c:pt idx="1031">
                  <c:v>0</c:v>
                </c:pt>
                <c:pt idx="1032">
                  <c:v>0</c:v>
                </c:pt>
                <c:pt idx="1033">
                  <c:v>0</c:v>
                </c:pt>
                <c:pt idx="1034">
                  <c:v>0</c:v>
                </c:pt>
                <c:pt idx="1035">
                  <c:v>0</c:v>
                </c:pt>
                <c:pt idx="1036">
                  <c:v>0</c:v>
                </c:pt>
                <c:pt idx="1037">
                  <c:v>0</c:v>
                </c:pt>
                <c:pt idx="1038">
                  <c:v>0</c:v>
                </c:pt>
                <c:pt idx="1039">
                  <c:v>0</c:v>
                </c:pt>
                <c:pt idx="1040">
                  <c:v>0</c:v>
                </c:pt>
                <c:pt idx="1041">
                  <c:v>0</c:v>
                </c:pt>
                <c:pt idx="1042">
                  <c:v>0</c:v>
                </c:pt>
                <c:pt idx="1043">
                  <c:v>0</c:v>
                </c:pt>
                <c:pt idx="1044">
                  <c:v>0</c:v>
                </c:pt>
                <c:pt idx="1045">
                  <c:v>0</c:v>
                </c:pt>
                <c:pt idx="1046">
                  <c:v>0</c:v>
                </c:pt>
                <c:pt idx="1047">
                  <c:v>0</c:v>
                </c:pt>
                <c:pt idx="1048">
                  <c:v>0</c:v>
                </c:pt>
                <c:pt idx="1049">
                  <c:v>0</c:v>
                </c:pt>
                <c:pt idx="1050">
                  <c:v>0</c:v>
                </c:pt>
                <c:pt idx="1051">
                  <c:v>0</c:v>
                </c:pt>
                <c:pt idx="1052">
                  <c:v>0</c:v>
                </c:pt>
                <c:pt idx="1053">
                  <c:v>0</c:v>
                </c:pt>
                <c:pt idx="1054">
                  <c:v>0</c:v>
                </c:pt>
                <c:pt idx="1055">
                  <c:v>0</c:v>
                </c:pt>
                <c:pt idx="1056">
                  <c:v>0</c:v>
                </c:pt>
                <c:pt idx="1057">
                  <c:v>0</c:v>
                </c:pt>
              </c:numCache>
            </c:numRef>
          </c:val>
          <c:extLst xmlns:c16r2="http://schemas.microsoft.com/office/drawing/2015/06/chart">
            <c:ext xmlns:c16="http://schemas.microsoft.com/office/drawing/2014/chart" uri="{C3380CC4-5D6E-409C-BE32-E72D297353CC}">
              <c16:uniqueId val="{00000002-6484-4791-991D-5E362FC0939B}"/>
            </c:ext>
          </c:extLst>
        </c:ser>
        <c:dLbls>
          <c:showLegendKey val="0"/>
          <c:showVal val="0"/>
          <c:showCatName val="0"/>
          <c:showSerName val="0"/>
          <c:showPercent val="0"/>
          <c:showBubbleSize val="0"/>
        </c:dLbls>
        <c:axId val="539387008"/>
        <c:axId val="539387792"/>
      </c:areaChart>
      <c:scatterChart>
        <c:scatterStyle val="smoothMarker"/>
        <c:varyColors val="0"/>
        <c:ser>
          <c:idx val="1"/>
          <c:order val="0"/>
          <c:tx>
            <c:v>Battery Effective Cost</c:v>
          </c:tx>
          <c:spPr>
            <a:ln w="57150">
              <a:solidFill>
                <a:srgbClr val="00B0F0"/>
              </a:solidFill>
            </a:ln>
          </c:spPr>
          <c:marker>
            <c:symbol val="none"/>
          </c:marker>
          <c:dPt>
            <c:idx val="336"/>
            <c:bubble3D val="0"/>
            <c:extLst xmlns:c16r2="http://schemas.microsoft.com/office/drawing/2015/06/chart">
              <c:ext xmlns:c16="http://schemas.microsoft.com/office/drawing/2014/chart" uri="{C3380CC4-5D6E-409C-BE32-E72D297353CC}">
                <c16:uniqueId val="{00000003-6484-4791-991D-5E362FC0939B}"/>
              </c:ext>
            </c:extLst>
          </c:dPt>
          <c:xVal>
            <c:numRef>
              <c:f>'Arbitrage Payback Engine'!$E$10:$E$1063</c:f>
              <c:numCache>
                <c:formatCode>General</c:formatCode>
                <c:ptCount val="1054"/>
                <c:pt idx="0">
                  <c:v>2.7393507738665935E-2</c:v>
                </c:pt>
                <c:pt idx="1">
                  <c:v>5.478701547733187E-2</c:v>
                </c:pt>
                <c:pt idx="2">
                  <c:v>8.2180523215997808E-2</c:v>
                </c:pt>
                <c:pt idx="3">
                  <c:v>0.10957403095466374</c:v>
                </c:pt>
                <c:pt idx="4">
                  <c:v>0.13696753869332967</c:v>
                </c:pt>
                <c:pt idx="5">
                  <c:v>0.16436104643199562</c:v>
                </c:pt>
                <c:pt idx="6">
                  <c:v>0.19175455417066153</c:v>
                </c:pt>
                <c:pt idx="7">
                  <c:v>0.21914806190932748</c:v>
                </c:pt>
                <c:pt idx="8">
                  <c:v>0.24654156964799342</c:v>
                </c:pt>
                <c:pt idx="9">
                  <c:v>0.27393507738665934</c:v>
                </c:pt>
                <c:pt idx="10">
                  <c:v>0.30132858512532529</c:v>
                </c:pt>
                <c:pt idx="11">
                  <c:v>0.32872209286399123</c:v>
                </c:pt>
                <c:pt idx="12">
                  <c:v>0.35611560060265718</c:v>
                </c:pt>
                <c:pt idx="13">
                  <c:v>0.38350910834132307</c:v>
                </c:pt>
                <c:pt idx="14">
                  <c:v>0.41090261607998901</c:v>
                </c:pt>
                <c:pt idx="15">
                  <c:v>0.43829612381865496</c:v>
                </c:pt>
                <c:pt idx="16">
                  <c:v>0.4656896315573209</c:v>
                </c:pt>
                <c:pt idx="17">
                  <c:v>0.49308313929598685</c:v>
                </c:pt>
                <c:pt idx="18">
                  <c:v>0.5204766470346528</c:v>
                </c:pt>
                <c:pt idx="19">
                  <c:v>0.54787015477331868</c:v>
                </c:pt>
                <c:pt idx="20">
                  <c:v>0.57526366251198469</c:v>
                </c:pt>
                <c:pt idx="21">
                  <c:v>0.60265717025065058</c:v>
                </c:pt>
                <c:pt idx="22">
                  <c:v>0.63005067798931647</c:v>
                </c:pt>
                <c:pt idx="23">
                  <c:v>0.65744418572798247</c:v>
                </c:pt>
                <c:pt idx="24">
                  <c:v>0.68483769346664836</c:v>
                </c:pt>
                <c:pt idx="25">
                  <c:v>0.71223120120531436</c:v>
                </c:pt>
                <c:pt idx="26">
                  <c:v>0.73962470894398025</c:v>
                </c:pt>
                <c:pt idx="27">
                  <c:v>0.76701821668264614</c:v>
                </c:pt>
                <c:pt idx="28">
                  <c:v>0.79441172442131214</c:v>
                </c:pt>
                <c:pt idx="29">
                  <c:v>0.82180523215997803</c:v>
                </c:pt>
                <c:pt idx="30">
                  <c:v>0.84919873989864403</c:v>
                </c:pt>
                <c:pt idx="31">
                  <c:v>0.87659224763730992</c:v>
                </c:pt>
                <c:pt idx="32">
                  <c:v>0.90398575537597592</c:v>
                </c:pt>
                <c:pt idx="33">
                  <c:v>0.93137926311464181</c:v>
                </c:pt>
                <c:pt idx="34">
                  <c:v>0.9587727708533077</c:v>
                </c:pt>
                <c:pt idx="35">
                  <c:v>0.9861662785919737</c:v>
                </c:pt>
                <c:pt idx="36">
                  <c:v>1.0135597863306396</c:v>
                </c:pt>
                <c:pt idx="37">
                  <c:v>1.0409532940693056</c:v>
                </c:pt>
                <c:pt idx="38">
                  <c:v>1.0683468018079714</c:v>
                </c:pt>
                <c:pt idx="39">
                  <c:v>1.0957403095466374</c:v>
                </c:pt>
                <c:pt idx="40">
                  <c:v>1.1231338172853034</c:v>
                </c:pt>
                <c:pt idx="41">
                  <c:v>1.1505273250239694</c:v>
                </c:pt>
                <c:pt idx="42">
                  <c:v>1.1779208327626352</c:v>
                </c:pt>
                <c:pt idx="43">
                  <c:v>1.2053143405013012</c:v>
                </c:pt>
                <c:pt idx="44">
                  <c:v>1.2327078482399672</c:v>
                </c:pt>
                <c:pt idx="45">
                  <c:v>1.2601013559786329</c:v>
                </c:pt>
                <c:pt idx="46">
                  <c:v>1.2874948637172989</c:v>
                </c:pt>
                <c:pt idx="47">
                  <c:v>1.3148883714559649</c:v>
                </c:pt>
                <c:pt idx="48">
                  <c:v>1.3422818791946309</c:v>
                </c:pt>
                <c:pt idx="49">
                  <c:v>1.3696753869332967</c:v>
                </c:pt>
                <c:pt idx="50">
                  <c:v>1.3970688946719627</c:v>
                </c:pt>
                <c:pt idx="51">
                  <c:v>1.4244624024106287</c:v>
                </c:pt>
                <c:pt idx="52">
                  <c:v>1.4518559101492945</c:v>
                </c:pt>
                <c:pt idx="53">
                  <c:v>1.4792494178879605</c:v>
                </c:pt>
                <c:pt idx="54">
                  <c:v>1.5066429256266265</c:v>
                </c:pt>
                <c:pt idx="55">
                  <c:v>1.5340364333652923</c:v>
                </c:pt>
                <c:pt idx="56">
                  <c:v>1.5614299411039583</c:v>
                </c:pt>
                <c:pt idx="57">
                  <c:v>1.5888234488426243</c:v>
                </c:pt>
                <c:pt idx="58">
                  <c:v>1.6162169565812903</c:v>
                </c:pt>
                <c:pt idx="59">
                  <c:v>1.6436104643199561</c:v>
                </c:pt>
                <c:pt idx="60">
                  <c:v>1.6710039720586221</c:v>
                </c:pt>
                <c:pt idx="61">
                  <c:v>1.6983974797972881</c:v>
                </c:pt>
                <c:pt idx="62">
                  <c:v>1.7257909875359538</c:v>
                </c:pt>
                <c:pt idx="63">
                  <c:v>1.7531844952746198</c:v>
                </c:pt>
                <c:pt idx="64">
                  <c:v>1.7805780030132858</c:v>
                </c:pt>
                <c:pt idx="65">
                  <c:v>1.8079715107519518</c:v>
                </c:pt>
                <c:pt idx="66">
                  <c:v>1.8353650184906176</c:v>
                </c:pt>
                <c:pt idx="67">
                  <c:v>1.8627585262292836</c:v>
                </c:pt>
                <c:pt idx="68">
                  <c:v>1.8901520339679496</c:v>
                </c:pt>
                <c:pt idx="69">
                  <c:v>1.9175455417066154</c:v>
                </c:pt>
                <c:pt idx="70">
                  <c:v>1.9449390494452814</c:v>
                </c:pt>
                <c:pt idx="71">
                  <c:v>1.9723325571839474</c:v>
                </c:pt>
                <c:pt idx="72">
                  <c:v>1.9997260649226132</c:v>
                </c:pt>
                <c:pt idx="73">
                  <c:v>2.0271195726612792</c:v>
                </c:pt>
                <c:pt idx="74">
                  <c:v>2.054513080399945</c:v>
                </c:pt>
                <c:pt idx="75">
                  <c:v>2.0819065881386112</c:v>
                </c:pt>
                <c:pt idx="76">
                  <c:v>2.109300095877277</c:v>
                </c:pt>
                <c:pt idx="77">
                  <c:v>2.1366936036159427</c:v>
                </c:pt>
                <c:pt idx="78">
                  <c:v>2.164087111354609</c:v>
                </c:pt>
                <c:pt idx="79">
                  <c:v>2.1914806190932747</c:v>
                </c:pt>
                <c:pt idx="80">
                  <c:v>2.218874126831941</c:v>
                </c:pt>
                <c:pt idx="81">
                  <c:v>2.2462676345706067</c:v>
                </c:pt>
                <c:pt idx="82">
                  <c:v>2.2736611423092725</c:v>
                </c:pt>
                <c:pt idx="83">
                  <c:v>2.3010546500479387</c:v>
                </c:pt>
                <c:pt idx="84">
                  <c:v>2.3284481577866045</c:v>
                </c:pt>
                <c:pt idx="85">
                  <c:v>2.3558416655252703</c:v>
                </c:pt>
                <c:pt idx="86">
                  <c:v>2.3832351732639365</c:v>
                </c:pt>
                <c:pt idx="87">
                  <c:v>2.4106286810026023</c:v>
                </c:pt>
                <c:pt idx="88">
                  <c:v>2.4380221887412681</c:v>
                </c:pt>
                <c:pt idx="89">
                  <c:v>2.4654156964799343</c:v>
                </c:pt>
                <c:pt idx="90">
                  <c:v>2.4928092042186001</c:v>
                </c:pt>
                <c:pt idx="91">
                  <c:v>2.5202027119572659</c:v>
                </c:pt>
                <c:pt idx="92">
                  <c:v>2.5475962196959321</c:v>
                </c:pt>
                <c:pt idx="93">
                  <c:v>2.5749897274345979</c:v>
                </c:pt>
                <c:pt idx="94">
                  <c:v>2.6023832351732636</c:v>
                </c:pt>
                <c:pt idx="95">
                  <c:v>2.6297767429119299</c:v>
                </c:pt>
                <c:pt idx="96">
                  <c:v>2.6571702506505956</c:v>
                </c:pt>
                <c:pt idx="97">
                  <c:v>2.6845637583892619</c:v>
                </c:pt>
                <c:pt idx="98">
                  <c:v>2.7119572661279276</c:v>
                </c:pt>
                <c:pt idx="99">
                  <c:v>2.7393507738665934</c:v>
                </c:pt>
                <c:pt idx="100">
                  <c:v>2.7667442816052596</c:v>
                </c:pt>
                <c:pt idx="101">
                  <c:v>2.7941377893439254</c:v>
                </c:pt>
                <c:pt idx="102">
                  <c:v>2.8215312970825912</c:v>
                </c:pt>
                <c:pt idx="103">
                  <c:v>2.8489248048212574</c:v>
                </c:pt>
                <c:pt idx="104">
                  <c:v>2.8763183125599232</c:v>
                </c:pt>
                <c:pt idx="105">
                  <c:v>2.903711820298589</c:v>
                </c:pt>
                <c:pt idx="106">
                  <c:v>2.9311053280372552</c:v>
                </c:pt>
                <c:pt idx="107">
                  <c:v>2.958498835775921</c:v>
                </c:pt>
                <c:pt idx="108">
                  <c:v>2.9858923435145868</c:v>
                </c:pt>
                <c:pt idx="109">
                  <c:v>3.013285851253253</c:v>
                </c:pt>
                <c:pt idx="110">
                  <c:v>3.0406793589919188</c:v>
                </c:pt>
                <c:pt idx="111">
                  <c:v>3.0680728667305845</c:v>
                </c:pt>
                <c:pt idx="112">
                  <c:v>3.0954663744692508</c:v>
                </c:pt>
                <c:pt idx="113">
                  <c:v>3.1228598822079165</c:v>
                </c:pt>
                <c:pt idx="114">
                  <c:v>3.1502533899465828</c:v>
                </c:pt>
                <c:pt idx="115">
                  <c:v>3.1776468976852486</c:v>
                </c:pt>
                <c:pt idx="116">
                  <c:v>3.2050404054239143</c:v>
                </c:pt>
                <c:pt idx="117">
                  <c:v>3.2324339131625806</c:v>
                </c:pt>
                <c:pt idx="118">
                  <c:v>3.2598274209012463</c:v>
                </c:pt>
                <c:pt idx="119">
                  <c:v>3.2872209286399121</c:v>
                </c:pt>
                <c:pt idx="120">
                  <c:v>3.3146144363785783</c:v>
                </c:pt>
                <c:pt idx="121">
                  <c:v>3.3420079441172441</c:v>
                </c:pt>
                <c:pt idx="122">
                  <c:v>3.3694014518559099</c:v>
                </c:pt>
                <c:pt idx="123">
                  <c:v>3.3967949595945761</c:v>
                </c:pt>
                <c:pt idx="124">
                  <c:v>3.4241884673332419</c:v>
                </c:pt>
                <c:pt idx="125">
                  <c:v>3.4515819750719077</c:v>
                </c:pt>
                <c:pt idx="126">
                  <c:v>3.4789754828105739</c:v>
                </c:pt>
                <c:pt idx="127">
                  <c:v>3.5063689905492397</c:v>
                </c:pt>
                <c:pt idx="128">
                  <c:v>3.5337624982879055</c:v>
                </c:pt>
                <c:pt idx="129">
                  <c:v>3.5611560060265717</c:v>
                </c:pt>
                <c:pt idx="130">
                  <c:v>3.5885495137652375</c:v>
                </c:pt>
                <c:pt idx="131">
                  <c:v>3.6159430215039037</c:v>
                </c:pt>
                <c:pt idx="132">
                  <c:v>3.6433365292425695</c:v>
                </c:pt>
                <c:pt idx="133">
                  <c:v>3.6707300369812352</c:v>
                </c:pt>
                <c:pt idx="134">
                  <c:v>3.6981235447199015</c:v>
                </c:pt>
                <c:pt idx="135">
                  <c:v>3.7255170524585672</c:v>
                </c:pt>
                <c:pt idx="136">
                  <c:v>3.752910560197233</c:v>
                </c:pt>
                <c:pt idx="137">
                  <c:v>3.7803040679358992</c:v>
                </c:pt>
                <c:pt idx="138">
                  <c:v>3.807697575674565</c:v>
                </c:pt>
                <c:pt idx="139">
                  <c:v>3.8350910834132308</c:v>
                </c:pt>
                <c:pt idx="140">
                  <c:v>3.862484591151897</c:v>
                </c:pt>
                <c:pt idx="141">
                  <c:v>3.8898780988905628</c:v>
                </c:pt>
                <c:pt idx="142">
                  <c:v>3.9172716066292286</c:v>
                </c:pt>
                <c:pt idx="143">
                  <c:v>3.9446651143678948</c:v>
                </c:pt>
                <c:pt idx="144">
                  <c:v>3.9720586221065606</c:v>
                </c:pt>
                <c:pt idx="145">
                  <c:v>3.9994521298452264</c:v>
                </c:pt>
                <c:pt idx="146">
                  <c:v>4.0268456375838921</c:v>
                </c:pt>
                <c:pt idx="147">
                  <c:v>4.0542391453225584</c:v>
                </c:pt>
                <c:pt idx="148">
                  <c:v>4.0816326530612246</c:v>
                </c:pt>
                <c:pt idx="149">
                  <c:v>4.1090261607998899</c:v>
                </c:pt>
                <c:pt idx="150">
                  <c:v>4.1364196685385561</c:v>
                </c:pt>
                <c:pt idx="151">
                  <c:v>4.1638131762772224</c:v>
                </c:pt>
                <c:pt idx="152">
                  <c:v>4.1912066840158877</c:v>
                </c:pt>
                <c:pt idx="153">
                  <c:v>4.2186001917545539</c:v>
                </c:pt>
                <c:pt idx="154">
                  <c:v>4.2459936994932201</c:v>
                </c:pt>
                <c:pt idx="155">
                  <c:v>4.2733872072318855</c:v>
                </c:pt>
                <c:pt idx="156">
                  <c:v>4.3007807149705517</c:v>
                </c:pt>
                <c:pt idx="157">
                  <c:v>4.3281742227092179</c:v>
                </c:pt>
                <c:pt idx="158">
                  <c:v>4.3555677304478841</c:v>
                </c:pt>
                <c:pt idx="159">
                  <c:v>4.3829612381865495</c:v>
                </c:pt>
                <c:pt idx="160">
                  <c:v>4.4103547459252157</c:v>
                </c:pt>
                <c:pt idx="161">
                  <c:v>4.4377482536638819</c:v>
                </c:pt>
                <c:pt idx="162">
                  <c:v>4.4651417614025473</c:v>
                </c:pt>
                <c:pt idx="163">
                  <c:v>4.4925352691412135</c:v>
                </c:pt>
                <c:pt idx="164">
                  <c:v>4.5199287768798797</c:v>
                </c:pt>
                <c:pt idx="165">
                  <c:v>4.547322284618545</c:v>
                </c:pt>
                <c:pt idx="166">
                  <c:v>4.5747157923572113</c:v>
                </c:pt>
                <c:pt idx="167">
                  <c:v>4.6021093000958775</c:v>
                </c:pt>
                <c:pt idx="168">
                  <c:v>4.6295028078345428</c:v>
                </c:pt>
                <c:pt idx="169">
                  <c:v>4.656896315573209</c:v>
                </c:pt>
                <c:pt idx="170">
                  <c:v>4.6842898233118753</c:v>
                </c:pt>
                <c:pt idx="171">
                  <c:v>4.7116833310505406</c:v>
                </c:pt>
                <c:pt idx="172">
                  <c:v>4.7390768387892068</c:v>
                </c:pt>
                <c:pt idx="173">
                  <c:v>4.766470346527873</c:v>
                </c:pt>
                <c:pt idx="174">
                  <c:v>4.7938638542665384</c:v>
                </c:pt>
                <c:pt idx="175">
                  <c:v>4.8212573620052046</c:v>
                </c:pt>
                <c:pt idx="176">
                  <c:v>4.8486508697438708</c:v>
                </c:pt>
                <c:pt idx="177">
                  <c:v>4.8760443774825362</c:v>
                </c:pt>
                <c:pt idx="178">
                  <c:v>4.9034378852212024</c:v>
                </c:pt>
                <c:pt idx="179">
                  <c:v>4.9308313929598686</c:v>
                </c:pt>
                <c:pt idx="180">
                  <c:v>4.9582249006985339</c:v>
                </c:pt>
                <c:pt idx="181">
                  <c:v>4.9856184084372002</c:v>
                </c:pt>
                <c:pt idx="182">
                  <c:v>5.0130119161758664</c:v>
                </c:pt>
                <c:pt idx="183">
                  <c:v>5.0404054239145317</c:v>
                </c:pt>
                <c:pt idx="184">
                  <c:v>5.0677989316531979</c:v>
                </c:pt>
                <c:pt idx="185">
                  <c:v>5.0951924393918642</c:v>
                </c:pt>
                <c:pt idx="186">
                  <c:v>5.1225859471305295</c:v>
                </c:pt>
                <c:pt idx="187">
                  <c:v>5.1499794548691957</c:v>
                </c:pt>
                <c:pt idx="188">
                  <c:v>5.177372962607862</c:v>
                </c:pt>
                <c:pt idx="189">
                  <c:v>5.2047664703465273</c:v>
                </c:pt>
                <c:pt idx="190">
                  <c:v>5.2321599780851935</c:v>
                </c:pt>
                <c:pt idx="191">
                  <c:v>5.2595534858238597</c:v>
                </c:pt>
                <c:pt idx="192">
                  <c:v>5.286946993562526</c:v>
                </c:pt>
                <c:pt idx="193">
                  <c:v>5.3143405013011913</c:v>
                </c:pt>
                <c:pt idx="194">
                  <c:v>5.3417340090398575</c:v>
                </c:pt>
                <c:pt idx="195">
                  <c:v>5.3691275167785237</c:v>
                </c:pt>
                <c:pt idx="196">
                  <c:v>5.3965210245171891</c:v>
                </c:pt>
                <c:pt idx="197">
                  <c:v>5.4239145322558553</c:v>
                </c:pt>
                <c:pt idx="198">
                  <c:v>5.4513080399945215</c:v>
                </c:pt>
                <c:pt idx="199">
                  <c:v>5.4787015477331868</c:v>
                </c:pt>
                <c:pt idx="200">
                  <c:v>5.5060950554718531</c:v>
                </c:pt>
                <c:pt idx="201">
                  <c:v>5.5334885632105193</c:v>
                </c:pt>
                <c:pt idx="202">
                  <c:v>5.5608820709491846</c:v>
                </c:pt>
                <c:pt idx="203">
                  <c:v>5.5882755786878509</c:v>
                </c:pt>
                <c:pt idx="204">
                  <c:v>5.6156690864265171</c:v>
                </c:pt>
                <c:pt idx="205">
                  <c:v>5.6430625941651824</c:v>
                </c:pt>
                <c:pt idx="206">
                  <c:v>5.6704561019038486</c:v>
                </c:pt>
                <c:pt idx="207">
                  <c:v>5.6978496096425149</c:v>
                </c:pt>
                <c:pt idx="208">
                  <c:v>5.7252431173811802</c:v>
                </c:pt>
                <c:pt idx="209">
                  <c:v>5.7526366251198464</c:v>
                </c:pt>
                <c:pt idx="210">
                  <c:v>5.7800301328585126</c:v>
                </c:pt>
                <c:pt idx="211">
                  <c:v>5.807423640597178</c:v>
                </c:pt>
                <c:pt idx="212">
                  <c:v>5.8348171483358442</c:v>
                </c:pt>
                <c:pt idx="213">
                  <c:v>5.8622106560745104</c:v>
                </c:pt>
                <c:pt idx="214">
                  <c:v>5.8896041638131758</c:v>
                </c:pt>
                <c:pt idx="215">
                  <c:v>5.916997671551842</c:v>
                </c:pt>
                <c:pt idx="216">
                  <c:v>5.9443911792905082</c:v>
                </c:pt>
                <c:pt idx="217">
                  <c:v>5.9717846870291735</c:v>
                </c:pt>
                <c:pt idx="218">
                  <c:v>5.9991781947678398</c:v>
                </c:pt>
                <c:pt idx="219">
                  <c:v>6.026571702506506</c:v>
                </c:pt>
                <c:pt idx="220">
                  <c:v>6.0539652102451713</c:v>
                </c:pt>
                <c:pt idx="221">
                  <c:v>6.0813587179838375</c:v>
                </c:pt>
                <c:pt idx="222">
                  <c:v>6.1087522257225038</c:v>
                </c:pt>
                <c:pt idx="223">
                  <c:v>6.1361457334611691</c:v>
                </c:pt>
                <c:pt idx="224">
                  <c:v>6.1635392411998353</c:v>
                </c:pt>
                <c:pt idx="225">
                  <c:v>6.1909327489385015</c:v>
                </c:pt>
                <c:pt idx="226">
                  <c:v>6.2183262566771669</c:v>
                </c:pt>
                <c:pt idx="227">
                  <c:v>6.2457197644158331</c:v>
                </c:pt>
                <c:pt idx="228">
                  <c:v>6.2731132721544993</c:v>
                </c:pt>
                <c:pt idx="229">
                  <c:v>6.3005067798931655</c:v>
                </c:pt>
                <c:pt idx="230">
                  <c:v>6.3279002876318309</c:v>
                </c:pt>
                <c:pt idx="231">
                  <c:v>6.3552937953704971</c:v>
                </c:pt>
                <c:pt idx="232">
                  <c:v>6.3826873031091633</c:v>
                </c:pt>
                <c:pt idx="233">
                  <c:v>6.4100808108478287</c:v>
                </c:pt>
                <c:pt idx="234">
                  <c:v>6.4374743185864949</c:v>
                </c:pt>
                <c:pt idx="235">
                  <c:v>6.4648678263251611</c:v>
                </c:pt>
                <c:pt idx="236">
                  <c:v>6.4922613340638264</c:v>
                </c:pt>
                <c:pt idx="237">
                  <c:v>6.5196548418024927</c:v>
                </c:pt>
                <c:pt idx="238">
                  <c:v>6.5470483495411589</c:v>
                </c:pt>
                <c:pt idx="239">
                  <c:v>6.5744418572798242</c:v>
                </c:pt>
                <c:pt idx="240">
                  <c:v>6.6018353650184904</c:v>
                </c:pt>
                <c:pt idx="241">
                  <c:v>6.6292288727571567</c:v>
                </c:pt>
                <c:pt idx="242">
                  <c:v>6.656622380495822</c:v>
                </c:pt>
                <c:pt idx="243">
                  <c:v>6.6840158882344882</c:v>
                </c:pt>
                <c:pt idx="244">
                  <c:v>6.7114093959731544</c:v>
                </c:pt>
                <c:pt idx="245">
                  <c:v>6.7388029037118198</c:v>
                </c:pt>
                <c:pt idx="246">
                  <c:v>6.766196411450486</c:v>
                </c:pt>
                <c:pt idx="247">
                  <c:v>6.7935899191891522</c:v>
                </c:pt>
                <c:pt idx="248">
                  <c:v>6.8209834269278176</c:v>
                </c:pt>
                <c:pt idx="249">
                  <c:v>6.8483769346664838</c:v>
                </c:pt>
                <c:pt idx="250">
                  <c:v>6.87577044240515</c:v>
                </c:pt>
                <c:pt idx="251">
                  <c:v>6.9031639501438153</c:v>
                </c:pt>
                <c:pt idx="252">
                  <c:v>6.9305574578824816</c:v>
                </c:pt>
                <c:pt idx="253">
                  <c:v>6.9579509656211478</c:v>
                </c:pt>
                <c:pt idx="254">
                  <c:v>6.9853444733598131</c:v>
                </c:pt>
                <c:pt idx="255">
                  <c:v>7.0127379810984793</c:v>
                </c:pt>
                <c:pt idx="256">
                  <c:v>7.0401314888371456</c:v>
                </c:pt>
                <c:pt idx="257">
                  <c:v>7.0675249965758109</c:v>
                </c:pt>
                <c:pt idx="258">
                  <c:v>7.0949185043144771</c:v>
                </c:pt>
                <c:pt idx="259">
                  <c:v>7.1223120120531433</c:v>
                </c:pt>
                <c:pt idx="260">
                  <c:v>7.1497055197918087</c:v>
                </c:pt>
                <c:pt idx="261">
                  <c:v>7.1770990275304749</c:v>
                </c:pt>
                <c:pt idx="262">
                  <c:v>7.2044925352691411</c:v>
                </c:pt>
                <c:pt idx="263">
                  <c:v>7.2318860430078074</c:v>
                </c:pt>
                <c:pt idx="264">
                  <c:v>7.2592795507464727</c:v>
                </c:pt>
                <c:pt idx="265">
                  <c:v>7.2866730584851389</c:v>
                </c:pt>
                <c:pt idx="266">
                  <c:v>7.3140665662238051</c:v>
                </c:pt>
                <c:pt idx="267">
                  <c:v>7.3414600739624705</c:v>
                </c:pt>
                <c:pt idx="268">
                  <c:v>7.3688535817011367</c:v>
                </c:pt>
                <c:pt idx="269">
                  <c:v>7.3962470894398029</c:v>
                </c:pt>
                <c:pt idx="270">
                  <c:v>7.4236405971784682</c:v>
                </c:pt>
                <c:pt idx="271">
                  <c:v>7.4510341049171345</c:v>
                </c:pt>
                <c:pt idx="272">
                  <c:v>7.4784276126558007</c:v>
                </c:pt>
                <c:pt idx="273">
                  <c:v>7.505821120394466</c:v>
                </c:pt>
                <c:pt idx="274">
                  <c:v>7.5332146281331323</c:v>
                </c:pt>
                <c:pt idx="275">
                  <c:v>7.5606081358717985</c:v>
                </c:pt>
                <c:pt idx="276">
                  <c:v>7.5880016436104638</c:v>
                </c:pt>
                <c:pt idx="277">
                  <c:v>7.61539515134913</c:v>
                </c:pt>
                <c:pt idx="278">
                  <c:v>7.6427886590877963</c:v>
                </c:pt>
                <c:pt idx="279">
                  <c:v>7.6701821668264616</c:v>
                </c:pt>
                <c:pt idx="280">
                  <c:v>7.6975756745651278</c:v>
                </c:pt>
                <c:pt idx="281">
                  <c:v>7.724969182303794</c:v>
                </c:pt>
                <c:pt idx="282">
                  <c:v>7.7523626900424594</c:v>
                </c:pt>
                <c:pt idx="283">
                  <c:v>7.7797561977811256</c:v>
                </c:pt>
                <c:pt idx="284">
                  <c:v>7.8071497055197918</c:v>
                </c:pt>
                <c:pt idx="285">
                  <c:v>7.8345432132584572</c:v>
                </c:pt>
                <c:pt idx="286">
                  <c:v>7.8619367209971234</c:v>
                </c:pt>
                <c:pt idx="287">
                  <c:v>7.8893302287357896</c:v>
                </c:pt>
                <c:pt idx="288">
                  <c:v>7.9167237364744549</c:v>
                </c:pt>
                <c:pt idx="289">
                  <c:v>7.9441172442131212</c:v>
                </c:pt>
                <c:pt idx="290">
                  <c:v>7.9715107519517874</c:v>
                </c:pt>
                <c:pt idx="291">
                  <c:v>7.9989042596904527</c:v>
                </c:pt>
                <c:pt idx="292">
                  <c:v>8.0262977674291189</c:v>
                </c:pt>
                <c:pt idx="293">
                  <c:v>8.0536912751677843</c:v>
                </c:pt>
                <c:pt idx="294">
                  <c:v>8.0810847829064514</c:v>
                </c:pt>
                <c:pt idx="295">
                  <c:v>8.1084782906451167</c:v>
                </c:pt>
                <c:pt idx="296">
                  <c:v>8.135871798383782</c:v>
                </c:pt>
                <c:pt idx="297">
                  <c:v>8.1632653061224492</c:v>
                </c:pt>
                <c:pt idx="298">
                  <c:v>8.1906588138611145</c:v>
                </c:pt>
                <c:pt idx="299">
                  <c:v>8.2180523215997798</c:v>
                </c:pt>
                <c:pt idx="300">
                  <c:v>8.2454458293384469</c:v>
                </c:pt>
                <c:pt idx="301">
                  <c:v>8.2728393370771123</c:v>
                </c:pt>
                <c:pt idx="302">
                  <c:v>8.3002328448157776</c:v>
                </c:pt>
                <c:pt idx="303">
                  <c:v>8.3276263525544447</c:v>
                </c:pt>
                <c:pt idx="304">
                  <c:v>8.3550198602931101</c:v>
                </c:pt>
                <c:pt idx="305">
                  <c:v>8.3824133680317754</c:v>
                </c:pt>
                <c:pt idx="306">
                  <c:v>8.4098068757704425</c:v>
                </c:pt>
                <c:pt idx="307">
                  <c:v>8.4372003835091078</c:v>
                </c:pt>
                <c:pt idx="308">
                  <c:v>8.4645938912477732</c:v>
                </c:pt>
                <c:pt idx="309">
                  <c:v>8.4919873989864403</c:v>
                </c:pt>
                <c:pt idx="310">
                  <c:v>8.5193809067251056</c:v>
                </c:pt>
                <c:pt idx="311">
                  <c:v>8.546774414463771</c:v>
                </c:pt>
                <c:pt idx="312">
                  <c:v>8.5741679222024381</c:v>
                </c:pt>
                <c:pt idx="313">
                  <c:v>8.6015614299411034</c:v>
                </c:pt>
                <c:pt idx="314">
                  <c:v>8.6289549376797705</c:v>
                </c:pt>
                <c:pt idx="315">
                  <c:v>8.6563484454184358</c:v>
                </c:pt>
                <c:pt idx="316">
                  <c:v>8.6837419531571012</c:v>
                </c:pt>
                <c:pt idx="317">
                  <c:v>8.7111354608957683</c:v>
                </c:pt>
                <c:pt idx="318">
                  <c:v>8.7385289686344336</c:v>
                </c:pt>
                <c:pt idx="319">
                  <c:v>8.765922476373099</c:v>
                </c:pt>
                <c:pt idx="320">
                  <c:v>8.7933159841117661</c:v>
                </c:pt>
                <c:pt idx="321">
                  <c:v>8.8207094918504314</c:v>
                </c:pt>
                <c:pt idx="322">
                  <c:v>8.8481029995890967</c:v>
                </c:pt>
                <c:pt idx="323">
                  <c:v>8.8754965073277639</c:v>
                </c:pt>
                <c:pt idx="324">
                  <c:v>8.9028900150664292</c:v>
                </c:pt>
                <c:pt idx="325">
                  <c:v>8.9302835228050945</c:v>
                </c:pt>
                <c:pt idx="326">
                  <c:v>8.9576770305437616</c:v>
                </c:pt>
                <c:pt idx="327">
                  <c:v>8.985070538282427</c:v>
                </c:pt>
                <c:pt idx="328">
                  <c:v>9.0124640460210923</c:v>
                </c:pt>
                <c:pt idx="329">
                  <c:v>9.0398575537597594</c:v>
                </c:pt>
                <c:pt idx="330">
                  <c:v>9.0672510614984247</c:v>
                </c:pt>
                <c:pt idx="331">
                  <c:v>9.0946445692370901</c:v>
                </c:pt>
                <c:pt idx="332">
                  <c:v>9.1220380769757572</c:v>
                </c:pt>
                <c:pt idx="333">
                  <c:v>9.1494315847144225</c:v>
                </c:pt>
                <c:pt idx="334">
                  <c:v>9.1768250924530879</c:v>
                </c:pt>
                <c:pt idx="335">
                  <c:v>9.204218600191755</c:v>
                </c:pt>
                <c:pt idx="336">
                  <c:v>9.2316121079304203</c:v>
                </c:pt>
                <c:pt idx="337">
                  <c:v>9.2590056156690856</c:v>
                </c:pt>
                <c:pt idx="338">
                  <c:v>9.2863991234077528</c:v>
                </c:pt>
                <c:pt idx="339">
                  <c:v>9.3137926311464181</c:v>
                </c:pt>
                <c:pt idx="340">
                  <c:v>9.3411861388850834</c:v>
                </c:pt>
                <c:pt idx="341">
                  <c:v>9.3685796466237505</c:v>
                </c:pt>
                <c:pt idx="342">
                  <c:v>9.3959731543624159</c:v>
                </c:pt>
                <c:pt idx="343">
                  <c:v>9.4233666621010812</c:v>
                </c:pt>
                <c:pt idx="344">
                  <c:v>9.4507601698397483</c:v>
                </c:pt>
                <c:pt idx="345">
                  <c:v>9.4781536775784136</c:v>
                </c:pt>
                <c:pt idx="346">
                  <c:v>9.505547185317079</c:v>
                </c:pt>
                <c:pt idx="347">
                  <c:v>9.5329406930557461</c:v>
                </c:pt>
                <c:pt idx="348">
                  <c:v>9.5603342007944114</c:v>
                </c:pt>
                <c:pt idx="349">
                  <c:v>9.5877277085330768</c:v>
                </c:pt>
                <c:pt idx="350">
                  <c:v>9.6151212162717439</c:v>
                </c:pt>
                <c:pt idx="351">
                  <c:v>9.6425147240104092</c:v>
                </c:pt>
                <c:pt idx="352">
                  <c:v>9.6699082317490745</c:v>
                </c:pt>
                <c:pt idx="353">
                  <c:v>9.6973017394877417</c:v>
                </c:pt>
                <c:pt idx="354">
                  <c:v>9.724695247226407</c:v>
                </c:pt>
                <c:pt idx="355">
                  <c:v>9.7520887549650723</c:v>
                </c:pt>
                <c:pt idx="356">
                  <c:v>9.7794822627037394</c:v>
                </c:pt>
                <c:pt idx="357">
                  <c:v>9.8068757704424048</c:v>
                </c:pt>
                <c:pt idx="358">
                  <c:v>9.8342692781810701</c:v>
                </c:pt>
                <c:pt idx="359">
                  <c:v>9.8616627859197372</c:v>
                </c:pt>
                <c:pt idx="360">
                  <c:v>9.8890562936584026</c:v>
                </c:pt>
                <c:pt idx="361">
                  <c:v>9.9164498013970679</c:v>
                </c:pt>
                <c:pt idx="362">
                  <c:v>9.943843309135735</c:v>
                </c:pt>
                <c:pt idx="363">
                  <c:v>9.9712368168744003</c:v>
                </c:pt>
                <c:pt idx="364">
                  <c:v>9.9986303246130657</c:v>
                </c:pt>
                <c:pt idx="365">
                  <c:v>10.026023832351733</c:v>
                </c:pt>
                <c:pt idx="366">
                  <c:v>10.053417340090398</c:v>
                </c:pt>
                <c:pt idx="367">
                  <c:v>10.080810847829063</c:v>
                </c:pt>
                <c:pt idx="368">
                  <c:v>10.108204355567731</c:v>
                </c:pt>
                <c:pt idx="369">
                  <c:v>10.135597863306396</c:v>
                </c:pt>
                <c:pt idx="370">
                  <c:v>10.162991371045061</c:v>
                </c:pt>
                <c:pt idx="371">
                  <c:v>10.190384878783728</c:v>
                </c:pt>
                <c:pt idx="372">
                  <c:v>10.217778386522394</c:v>
                </c:pt>
                <c:pt idx="373">
                  <c:v>10.245171894261059</c:v>
                </c:pt>
                <c:pt idx="374">
                  <c:v>10.272565401999726</c:v>
                </c:pt>
                <c:pt idx="375">
                  <c:v>10.299958909738391</c:v>
                </c:pt>
                <c:pt idx="376">
                  <c:v>10.327352417477057</c:v>
                </c:pt>
                <c:pt idx="377">
                  <c:v>10.354745925215724</c:v>
                </c:pt>
                <c:pt idx="378">
                  <c:v>10.382139432954389</c:v>
                </c:pt>
                <c:pt idx="379">
                  <c:v>10.409532940693055</c:v>
                </c:pt>
                <c:pt idx="380">
                  <c:v>10.436926448431722</c:v>
                </c:pt>
                <c:pt idx="381">
                  <c:v>10.464319956170387</c:v>
                </c:pt>
                <c:pt idx="382">
                  <c:v>10.491713463909052</c:v>
                </c:pt>
                <c:pt idx="383">
                  <c:v>10.519106971647719</c:v>
                </c:pt>
                <c:pt idx="384">
                  <c:v>10.546500479386385</c:v>
                </c:pt>
                <c:pt idx="385">
                  <c:v>10.573893987125052</c:v>
                </c:pt>
                <c:pt idx="386">
                  <c:v>10.601287494863717</c:v>
                </c:pt>
                <c:pt idx="387">
                  <c:v>10.628681002602383</c:v>
                </c:pt>
                <c:pt idx="388">
                  <c:v>10.65607451034105</c:v>
                </c:pt>
                <c:pt idx="389">
                  <c:v>10.683468018079715</c:v>
                </c:pt>
                <c:pt idx="390">
                  <c:v>10.71086152581838</c:v>
                </c:pt>
                <c:pt idx="391">
                  <c:v>10.738255033557047</c:v>
                </c:pt>
                <c:pt idx="392">
                  <c:v>10.765648541295713</c:v>
                </c:pt>
                <c:pt idx="393">
                  <c:v>10.793042049034378</c:v>
                </c:pt>
                <c:pt idx="394">
                  <c:v>10.820435556773045</c:v>
                </c:pt>
                <c:pt idx="395">
                  <c:v>10.847829064511711</c:v>
                </c:pt>
                <c:pt idx="396">
                  <c:v>10.875222572250376</c:v>
                </c:pt>
                <c:pt idx="397">
                  <c:v>10.902616079989043</c:v>
                </c:pt>
                <c:pt idx="398">
                  <c:v>10.930009587727708</c:v>
                </c:pt>
                <c:pt idx="399">
                  <c:v>10.957403095466374</c:v>
                </c:pt>
                <c:pt idx="400">
                  <c:v>10.984796603205041</c:v>
                </c:pt>
                <c:pt idx="401">
                  <c:v>11.012190110943706</c:v>
                </c:pt>
                <c:pt idx="402">
                  <c:v>11.039583618682371</c:v>
                </c:pt>
                <c:pt idx="403">
                  <c:v>11.066977126421039</c:v>
                </c:pt>
                <c:pt idx="404">
                  <c:v>11.094370634159704</c:v>
                </c:pt>
                <c:pt idx="405">
                  <c:v>11.121764141898369</c:v>
                </c:pt>
                <c:pt idx="406">
                  <c:v>11.149157649637036</c:v>
                </c:pt>
                <c:pt idx="407">
                  <c:v>11.176551157375702</c:v>
                </c:pt>
                <c:pt idx="408">
                  <c:v>11.203944665114367</c:v>
                </c:pt>
                <c:pt idx="409">
                  <c:v>11.231338172853034</c:v>
                </c:pt>
                <c:pt idx="410">
                  <c:v>11.258731680591699</c:v>
                </c:pt>
                <c:pt idx="411">
                  <c:v>11.286125188330365</c:v>
                </c:pt>
                <c:pt idx="412">
                  <c:v>11.313518696069032</c:v>
                </c:pt>
                <c:pt idx="413">
                  <c:v>11.340912203807697</c:v>
                </c:pt>
                <c:pt idx="414">
                  <c:v>11.368305711546363</c:v>
                </c:pt>
                <c:pt idx="415">
                  <c:v>11.39569921928503</c:v>
                </c:pt>
                <c:pt idx="416">
                  <c:v>11.423092727023695</c:v>
                </c:pt>
                <c:pt idx="417">
                  <c:v>11.45048623476236</c:v>
                </c:pt>
                <c:pt idx="418">
                  <c:v>11.477879742501027</c:v>
                </c:pt>
                <c:pt idx="419">
                  <c:v>11.505273250239693</c:v>
                </c:pt>
                <c:pt idx="420">
                  <c:v>11.532666757978358</c:v>
                </c:pt>
                <c:pt idx="421">
                  <c:v>11.560060265717025</c:v>
                </c:pt>
                <c:pt idx="422">
                  <c:v>11.587453773455691</c:v>
                </c:pt>
                <c:pt idx="423">
                  <c:v>11.614847281194356</c:v>
                </c:pt>
                <c:pt idx="424">
                  <c:v>11.642240788933023</c:v>
                </c:pt>
                <c:pt idx="425">
                  <c:v>11.669634296671688</c:v>
                </c:pt>
                <c:pt idx="426">
                  <c:v>11.697027804410354</c:v>
                </c:pt>
                <c:pt idx="427">
                  <c:v>11.724421312149021</c:v>
                </c:pt>
                <c:pt idx="428">
                  <c:v>11.751814819887686</c:v>
                </c:pt>
                <c:pt idx="429">
                  <c:v>11.779208327626352</c:v>
                </c:pt>
                <c:pt idx="430">
                  <c:v>11.806601835365019</c:v>
                </c:pt>
                <c:pt idx="431">
                  <c:v>11.833995343103684</c:v>
                </c:pt>
                <c:pt idx="432">
                  <c:v>11.861388850842349</c:v>
                </c:pt>
                <c:pt idx="433">
                  <c:v>11.888782358581016</c:v>
                </c:pt>
                <c:pt idx="434">
                  <c:v>11.916175866319682</c:v>
                </c:pt>
                <c:pt idx="435">
                  <c:v>11.943569374058347</c:v>
                </c:pt>
                <c:pt idx="436">
                  <c:v>11.970962881797014</c:v>
                </c:pt>
                <c:pt idx="437">
                  <c:v>11.99835638953568</c:v>
                </c:pt>
                <c:pt idx="438">
                  <c:v>12.025749897274345</c:v>
                </c:pt>
                <c:pt idx="439">
                  <c:v>12.053143405013012</c:v>
                </c:pt>
                <c:pt idx="440">
                  <c:v>12.080536912751677</c:v>
                </c:pt>
                <c:pt idx="441">
                  <c:v>12.107930420490343</c:v>
                </c:pt>
                <c:pt idx="442">
                  <c:v>12.13532392822901</c:v>
                </c:pt>
                <c:pt idx="443">
                  <c:v>12.162717435967675</c:v>
                </c:pt>
                <c:pt idx="444">
                  <c:v>12.19011094370634</c:v>
                </c:pt>
                <c:pt idx="445">
                  <c:v>12.217504451445008</c:v>
                </c:pt>
                <c:pt idx="446">
                  <c:v>12.244897959183673</c:v>
                </c:pt>
                <c:pt idx="447">
                  <c:v>12.272291466922338</c:v>
                </c:pt>
                <c:pt idx="448">
                  <c:v>12.299684974661005</c:v>
                </c:pt>
                <c:pt idx="449">
                  <c:v>12.327078482399671</c:v>
                </c:pt>
                <c:pt idx="450">
                  <c:v>12.354471990138336</c:v>
                </c:pt>
                <c:pt idx="451">
                  <c:v>12.381865497877003</c:v>
                </c:pt>
                <c:pt idx="452">
                  <c:v>12.409259005615668</c:v>
                </c:pt>
                <c:pt idx="453">
                  <c:v>12.436652513354334</c:v>
                </c:pt>
                <c:pt idx="454">
                  <c:v>12.464046021093001</c:v>
                </c:pt>
                <c:pt idx="455">
                  <c:v>12.491439528831666</c:v>
                </c:pt>
                <c:pt idx="456">
                  <c:v>12.518833036570333</c:v>
                </c:pt>
                <c:pt idx="457">
                  <c:v>12.546226544308999</c:v>
                </c:pt>
                <c:pt idx="458">
                  <c:v>12.573620052047664</c:v>
                </c:pt>
                <c:pt idx="459">
                  <c:v>12.601013559786331</c:v>
                </c:pt>
                <c:pt idx="460">
                  <c:v>12.628407067524996</c:v>
                </c:pt>
                <c:pt idx="461">
                  <c:v>12.655800575263662</c:v>
                </c:pt>
                <c:pt idx="462">
                  <c:v>12.683194083002329</c:v>
                </c:pt>
                <c:pt idx="463">
                  <c:v>12.710587590740994</c:v>
                </c:pt>
                <c:pt idx="464">
                  <c:v>12.73798109847966</c:v>
                </c:pt>
                <c:pt idx="465">
                  <c:v>12.765374606218327</c:v>
                </c:pt>
                <c:pt idx="466">
                  <c:v>12.792768113956992</c:v>
                </c:pt>
                <c:pt idx="467">
                  <c:v>12.820161621695657</c:v>
                </c:pt>
                <c:pt idx="468">
                  <c:v>12.847555129434324</c:v>
                </c:pt>
                <c:pt idx="469">
                  <c:v>12.87494863717299</c:v>
                </c:pt>
                <c:pt idx="470">
                  <c:v>12.902342144911655</c:v>
                </c:pt>
                <c:pt idx="471">
                  <c:v>12.929735652650322</c:v>
                </c:pt>
                <c:pt idx="472">
                  <c:v>12.957129160388988</c:v>
                </c:pt>
                <c:pt idx="473">
                  <c:v>12.984522668127653</c:v>
                </c:pt>
                <c:pt idx="474">
                  <c:v>13.01191617586632</c:v>
                </c:pt>
                <c:pt idx="475">
                  <c:v>13.039309683604985</c:v>
                </c:pt>
                <c:pt idx="476">
                  <c:v>13.066703191343651</c:v>
                </c:pt>
                <c:pt idx="477">
                  <c:v>13.094096699082318</c:v>
                </c:pt>
                <c:pt idx="478">
                  <c:v>13.121490206820983</c:v>
                </c:pt>
                <c:pt idx="479">
                  <c:v>13.148883714559648</c:v>
                </c:pt>
                <c:pt idx="480">
                  <c:v>13.176277222298316</c:v>
                </c:pt>
                <c:pt idx="481">
                  <c:v>13.203670730036981</c:v>
                </c:pt>
                <c:pt idx="482">
                  <c:v>13.231064237775646</c:v>
                </c:pt>
                <c:pt idx="483">
                  <c:v>13.258457745514313</c:v>
                </c:pt>
                <c:pt idx="484">
                  <c:v>13.285851253252979</c:v>
                </c:pt>
                <c:pt idx="485">
                  <c:v>13.313244760991644</c:v>
                </c:pt>
                <c:pt idx="486">
                  <c:v>13.340638268730311</c:v>
                </c:pt>
                <c:pt idx="487">
                  <c:v>13.368031776468976</c:v>
                </c:pt>
                <c:pt idx="488">
                  <c:v>13.395425284207642</c:v>
                </c:pt>
                <c:pt idx="489">
                  <c:v>13.422818791946309</c:v>
                </c:pt>
                <c:pt idx="490">
                  <c:v>13.450212299684974</c:v>
                </c:pt>
                <c:pt idx="491">
                  <c:v>13.47760580742364</c:v>
                </c:pt>
                <c:pt idx="492">
                  <c:v>13.504999315162307</c:v>
                </c:pt>
                <c:pt idx="493">
                  <c:v>13.532392822900972</c:v>
                </c:pt>
                <c:pt idx="494">
                  <c:v>13.559786330639637</c:v>
                </c:pt>
                <c:pt idx="495">
                  <c:v>13.587179838378304</c:v>
                </c:pt>
                <c:pt idx="496">
                  <c:v>13.61457334611697</c:v>
                </c:pt>
                <c:pt idx="497">
                  <c:v>13.641966853855635</c:v>
                </c:pt>
                <c:pt idx="498">
                  <c:v>13.669360361594302</c:v>
                </c:pt>
                <c:pt idx="499">
                  <c:v>13.696753869332968</c:v>
                </c:pt>
                <c:pt idx="500">
                  <c:v>13.724147377071633</c:v>
                </c:pt>
                <c:pt idx="501">
                  <c:v>13.7515408848103</c:v>
                </c:pt>
                <c:pt idx="502">
                  <c:v>13.778934392548965</c:v>
                </c:pt>
                <c:pt idx="503">
                  <c:v>13.806327900287631</c:v>
                </c:pt>
                <c:pt idx="504">
                  <c:v>13.833721408026298</c:v>
                </c:pt>
                <c:pt idx="505">
                  <c:v>13.861114915764963</c:v>
                </c:pt>
                <c:pt idx="506">
                  <c:v>13.888508423503628</c:v>
                </c:pt>
                <c:pt idx="507">
                  <c:v>13.915901931242296</c:v>
                </c:pt>
                <c:pt idx="508">
                  <c:v>13.943295438980961</c:v>
                </c:pt>
                <c:pt idx="509">
                  <c:v>13.970688946719626</c:v>
                </c:pt>
                <c:pt idx="510">
                  <c:v>13.998082454458293</c:v>
                </c:pt>
                <c:pt idx="511">
                  <c:v>14.025475962196959</c:v>
                </c:pt>
                <c:pt idx="512">
                  <c:v>14.052869469935624</c:v>
                </c:pt>
                <c:pt idx="513">
                  <c:v>14.080262977674291</c:v>
                </c:pt>
                <c:pt idx="514">
                  <c:v>14.107656485412956</c:v>
                </c:pt>
                <c:pt idx="515">
                  <c:v>14.135049993151622</c:v>
                </c:pt>
                <c:pt idx="516">
                  <c:v>14.162443500890289</c:v>
                </c:pt>
                <c:pt idx="517">
                  <c:v>14.189837008628954</c:v>
                </c:pt>
                <c:pt idx="518">
                  <c:v>14.21723051636762</c:v>
                </c:pt>
                <c:pt idx="519">
                  <c:v>14.244624024106287</c:v>
                </c:pt>
                <c:pt idx="520">
                  <c:v>14.272017531844952</c:v>
                </c:pt>
                <c:pt idx="521">
                  <c:v>14.299411039583617</c:v>
                </c:pt>
                <c:pt idx="522">
                  <c:v>14.326804547322284</c:v>
                </c:pt>
                <c:pt idx="523">
                  <c:v>14.35419805506095</c:v>
                </c:pt>
                <c:pt idx="524">
                  <c:v>14.381591562799617</c:v>
                </c:pt>
                <c:pt idx="525">
                  <c:v>14.408985070538282</c:v>
                </c:pt>
                <c:pt idx="526">
                  <c:v>14.436378578276948</c:v>
                </c:pt>
                <c:pt idx="527">
                  <c:v>14.463772086015615</c:v>
                </c:pt>
                <c:pt idx="528">
                  <c:v>14.49116559375428</c:v>
                </c:pt>
                <c:pt idx="529">
                  <c:v>14.518559101492945</c:v>
                </c:pt>
                <c:pt idx="530">
                  <c:v>14.545952609231612</c:v>
                </c:pt>
                <c:pt idx="531">
                  <c:v>14.573346116970278</c:v>
                </c:pt>
                <c:pt idx="532">
                  <c:v>14.600739624708943</c:v>
                </c:pt>
                <c:pt idx="533">
                  <c:v>14.62813313244761</c:v>
                </c:pt>
                <c:pt idx="534">
                  <c:v>14.655526640186276</c:v>
                </c:pt>
                <c:pt idx="535">
                  <c:v>14.682920147924941</c:v>
                </c:pt>
                <c:pt idx="536">
                  <c:v>14.710313655663608</c:v>
                </c:pt>
                <c:pt idx="537">
                  <c:v>14.737707163402273</c:v>
                </c:pt>
                <c:pt idx="538">
                  <c:v>14.765100671140939</c:v>
                </c:pt>
                <c:pt idx="539">
                  <c:v>14.792494178879606</c:v>
                </c:pt>
                <c:pt idx="540">
                  <c:v>14.819887686618271</c:v>
                </c:pt>
                <c:pt idx="541">
                  <c:v>14.847281194356936</c:v>
                </c:pt>
                <c:pt idx="542">
                  <c:v>14.874674702095604</c:v>
                </c:pt>
                <c:pt idx="543">
                  <c:v>14.902068209834269</c:v>
                </c:pt>
                <c:pt idx="544">
                  <c:v>14.929461717572934</c:v>
                </c:pt>
                <c:pt idx="545">
                  <c:v>14.956855225311601</c:v>
                </c:pt>
                <c:pt idx="546">
                  <c:v>14.984248733050267</c:v>
                </c:pt>
                <c:pt idx="547">
                  <c:v>15.011642240788932</c:v>
                </c:pt>
                <c:pt idx="548">
                  <c:v>15.039035748527599</c:v>
                </c:pt>
                <c:pt idx="549">
                  <c:v>15.066429256266265</c:v>
                </c:pt>
                <c:pt idx="550">
                  <c:v>15.09382276400493</c:v>
                </c:pt>
                <c:pt idx="551">
                  <c:v>15.121216271743597</c:v>
                </c:pt>
                <c:pt idx="552">
                  <c:v>15.148609779482262</c:v>
                </c:pt>
                <c:pt idx="553">
                  <c:v>15.176003287220928</c:v>
                </c:pt>
                <c:pt idx="554">
                  <c:v>15.203396794959595</c:v>
                </c:pt>
                <c:pt idx="555">
                  <c:v>15.23079030269826</c:v>
                </c:pt>
                <c:pt idx="556">
                  <c:v>15.258183810436925</c:v>
                </c:pt>
                <c:pt idx="557">
                  <c:v>15.285577318175593</c:v>
                </c:pt>
                <c:pt idx="558">
                  <c:v>15.312970825914258</c:v>
                </c:pt>
                <c:pt idx="559">
                  <c:v>15.340364333652923</c:v>
                </c:pt>
                <c:pt idx="560">
                  <c:v>15.36775784139159</c:v>
                </c:pt>
                <c:pt idx="561">
                  <c:v>15.395151349130256</c:v>
                </c:pt>
                <c:pt idx="562">
                  <c:v>15.422544856868921</c:v>
                </c:pt>
                <c:pt idx="563">
                  <c:v>15.449938364607588</c:v>
                </c:pt>
                <c:pt idx="564">
                  <c:v>15.477331872346253</c:v>
                </c:pt>
                <c:pt idx="565">
                  <c:v>15.504725380084919</c:v>
                </c:pt>
                <c:pt idx="566">
                  <c:v>15.532118887823586</c:v>
                </c:pt>
                <c:pt idx="567">
                  <c:v>15.559512395562251</c:v>
                </c:pt>
                <c:pt idx="568">
                  <c:v>15.586905903300917</c:v>
                </c:pt>
                <c:pt idx="569">
                  <c:v>15.614299411039584</c:v>
                </c:pt>
                <c:pt idx="570">
                  <c:v>15.641692918778249</c:v>
                </c:pt>
                <c:pt idx="571">
                  <c:v>15.669086426516914</c:v>
                </c:pt>
                <c:pt idx="572">
                  <c:v>15.696479934255581</c:v>
                </c:pt>
                <c:pt idx="573">
                  <c:v>15.723873441994247</c:v>
                </c:pt>
                <c:pt idx="574">
                  <c:v>15.751266949732912</c:v>
                </c:pt>
                <c:pt idx="575">
                  <c:v>15.778660457471579</c:v>
                </c:pt>
                <c:pt idx="576">
                  <c:v>15.806053965210245</c:v>
                </c:pt>
                <c:pt idx="577">
                  <c:v>15.83344747294891</c:v>
                </c:pt>
                <c:pt idx="578">
                  <c:v>15.860840980687577</c:v>
                </c:pt>
                <c:pt idx="579">
                  <c:v>15.888234488426242</c:v>
                </c:pt>
                <c:pt idx="580">
                  <c:v>15.915627996164908</c:v>
                </c:pt>
                <c:pt idx="581">
                  <c:v>15.943021503903575</c:v>
                </c:pt>
                <c:pt idx="582">
                  <c:v>15.97041501164224</c:v>
                </c:pt>
                <c:pt idx="583">
                  <c:v>15.997808519380905</c:v>
                </c:pt>
                <c:pt idx="584">
                  <c:v>16.025202027119573</c:v>
                </c:pt>
                <c:pt idx="585">
                  <c:v>16.052595534858238</c:v>
                </c:pt>
                <c:pt idx="586">
                  <c:v>16.079989042596903</c:v>
                </c:pt>
                <c:pt idx="587">
                  <c:v>16.107382550335569</c:v>
                </c:pt>
                <c:pt idx="588">
                  <c:v>16.134776058074237</c:v>
                </c:pt>
                <c:pt idx="589">
                  <c:v>16.162169565812903</c:v>
                </c:pt>
                <c:pt idx="590">
                  <c:v>16.189563073551568</c:v>
                </c:pt>
                <c:pt idx="591">
                  <c:v>16.216956581290233</c:v>
                </c:pt>
                <c:pt idx="592">
                  <c:v>16.244350089028899</c:v>
                </c:pt>
                <c:pt idx="593">
                  <c:v>16.271743596767564</c:v>
                </c:pt>
                <c:pt idx="594">
                  <c:v>16.299137104506233</c:v>
                </c:pt>
                <c:pt idx="595">
                  <c:v>16.326530612244898</c:v>
                </c:pt>
                <c:pt idx="596">
                  <c:v>16.353924119983564</c:v>
                </c:pt>
                <c:pt idx="597">
                  <c:v>16.381317627722229</c:v>
                </c:pt>
                <c:pt idx="598">
                  <c:v>16.408711135460894</c:v>
                </c:pt>
                <c:pt idx="599">
                  <c:v>16.43610464319956</c:v>
                </c:pt>
                <c:pt idx="600">
                  <c:v>16.463498150938229</c:v>
                </c:pt>
                <c:pt idx="601">
                  <c:v>16.490891658676894</c:v>
                </c:pt>
                <c:pt idx="602">
                  <c:v>16.518285166415559</c:v>
                </c:pt>
                <c:pt idx="603">
                  <c:v>16.545678674154225</c:v>
                </c:pt>
                <c:pt idx="604">
                  <c:v>16.57307218189289</c:v>
                </c:pt>
                <c:pt idx="605">
                  <c:v>16.600465689631555</c:v>
                </c:pt>
                <c:pt idx="606">
                  <c:v>16.627859197370224</c:v>
                </c:pt>
                <c:pt idx="607">
                  <c:v>16.655252705108889</c:v>
                </c:pt>
                <c:pt idx="608">
                  <c:v>16.682646212847555</c:v>
                </c:pt>
                <c:pt idx="609">
                  <c:v>16.71003972058622</c:v>
                </c:pt>
                <c:pt idx="610">
                  <c:v>16.737433228324885</c:v>
                </c:pt>
                <c:pt idx="611">
                  <c:v>16.764826736063551</c:v>
                </c:pt>
                <c:pt idx="612">
                  <c:v>16.79222024380222</c:v>
                </c:pt>
                <c:pt idx="613">
                  <c:v>16.819613751540885</c:v>
                </c:pt>
                <c:pt idx="614">
                  <c:v>16.84700725927955</c:v>
                </c:pt>
                <c:pt idx="615">
                  <c:v>16.874400767018216</c:v>
                </c:pt>
                <c:pt idx="616">
                  <c:v>16.901794274756881</c:v>
                </c:pt>
                <c:pt idx="617">
                  <c:v>16.929187782495546</c:v>
                </c:pt>
                <c:pt idx="618">
                  <c:v>16.956581290234215</c:v>
                </c:pt>
                <c:pt idx="619">
                  <c:v>16.983974797972881</c:v>
                </c:pt>
                <c:pt idx="620">
                  <c:v>17.011368305711546</c:v>
                </c:pt>
                <c:pt idx="621">
                  <c:v>17.038761813450211</c:v>
                </c:pt>
                <c:pt idx="622">
                  <c:v>17.066155321188877</c:v>
                </c:pt>
                <c:pt idx="623">
                  <c:v>17.093548828927542</c:v>
                </c:pt>
                <c:pt idx="624">
                  <c:v>17.120942336666211</c:v>
                </c:pt>
                <c:pt idx="625">
                  <c:v>17.148335844404876</c:v>
                </c:pt>
                <c:pt idx="626">
                  <c:v>17.175729352143541</c:v>
                </c:pt>
                <c:pt idx="627">
                  <c:v>17.203122859882207</c:v>
                </c:pt>
                <c:pt idx="628">
                  <c:v>17.230516367620872</c:v>
                </c:pt>
                <c:pt idx="629">
                  <c:v>17.257909875359541</c:v>
                </c:pt>
                <c:pt idx="630">
                  <c:v>17.285303383098206</c:v>
                </c:pt>
                <c:pt idx="631">
                  <c:v>17.312696890836872</c:v>
                </c:pt>
                <c:pt idx="632">
                  <c:v>17.340090398575537</c:v>
                </c:pt>
                <c:pt idx="633">
                  <c:v>17.367483906314202</c:v>
                </c:pt>
                <c:pt idx="634">
                  <c:v>17.394877414052868</c:v>
                </c:pt>
                <c:pt idx="635">
                  <c:v>17.422270921791537</c:v>
                </c:pt>
                <c:pt idx="636">
                  <c:v>17.449664429530202</c:v>
                </c:pt>
                <c:pt idx="637">
                  <c:v>17.477057937268867</c:v>
                </c:pt>
                <c:pt idx="638">
                  <c:v>17.504451445007533</c:v>
                </c:pt>
                <c:pt idx="639">
                  <c:v>17.531844952746198</c:v>
                </c:pt>
                <c:pt idx="640">
                  <c:v>17.559238460484863</c:v>
                </c:pt>
                <c:pt idx="641">
                  <c:v>17.586631968223532</c:v>
                </c:pt>
                <c:pt idx="642">
                  <c:v>17.614025475962197</c:v>
                </c:pt>
                <c:pt idx="643">
                  <c:v>17.641418983700863</c:v>
                </c:pt>
                <c:pt idx="644">
                  <c:v>17.668812491439528</c:v>
                </c:pt>
                <c:pt idx="645">
                  <c:v>17.696205999178193</c:v>
                </c:pt>
                <c:pt idx="646">
                  <c:v>17.723599506916859</c:v>
                </c:pt>
                <c:pt idx="647">
                  <c:v>17.750993014655528</c:v>
                </c:pt>
                <c:pt idx="648">
                  <c:v>17.778386522394193</c:v>
                </c:pt>
                <c:pt idx="649">
                  <c:v>17.805780030132858</c:v>
                </c:pt>
                <c:pt idx="650">
                  <c:v>17.833173537871524</c:v>
                </c:pt>
                <c:pt idx="651">
                  <c:v>17.860567045610189</c:v>
                </c:pt>
                <c:pt idx="652">
                  <c:v>17.887960553348854</c:v>
                </c:pt>
                <c:pt idx="653">
                  <c:v>17.915354061087523</c:v>
                </c:pt>
                <c:pt idx="654">
                  <c:v>17.942747568826189</c:v>
                </c:pt>
                <c:pt idx="655">
                  <c:v>17.970141076564854</c:v>
                </c:pt>
                <c:pt idx="656">
                  <c:v>17.997534584303519</c:v>
                </c:pt>
                <c:pt idx="657">
                  <c:v>18.024928092042185</c:v>
                </c:pt>
                <c:pt idx="658">
                  <c:v>18.05232159978085</c:v>
                </c:pt>
                <c:pt idx="659">
                  <c:v>18.079715107519519</c:v>
                </c:pt>
                <c:pt idx="660">
                  <c:v>18.107108615258184</c:v>
                </c:pt>
                <c:pt idx="661">
                  <c:v>18.134502122996849</c:v>
                </c:pt>
                <c:pt idx="662">
                  <c:v>18.161895630735515</c:v>
                </c:pt>
                <c:pt idx="663">
                  <c:v>18.18928913847418</c:v>
                </c:pt>
                <c:pt idx="664">
                  <c:v>18.216682646212845</c:v>
                </c:pt>
                <c:pt idx="665">
                  <c:v>18.244076153951514</c:v>
                </c:pt>
                <c:pt idx="666">
                  <c:v>18.27146966169018</c:v>
                </c:pt>
                <c:pt idx="667">
                  <c:v>18.298863169428845</c:v>
                </c:pt>
                <c:pt idx="668">
                  <c:v>18.32625667716751</c:v>
                </c:pt>
                <c:pt idx="669">
                  <c:v>18.353650184906176</c:v>
                </c:pt>
                <c:pt idx="670">
                  <c:v>18.381043692644841</c:v>
                </c:pt>
                <c:pt idx="671">
                  <c:v>18.40843720038351</c:v>
                </c:pt>
                <c:pt idx="672">
                  <c:v>18.435830708122175</c:v>
                </c:pt>
                <c:pt idx="673">
                  <c:v>18.463224215860841</c:v>
                </c:pt>
                <c:pt idx="674">
                  <c:v>18.490617723599506</c:v>
                </c:pt>
                <c:pt idx="675">
                  <c:v>18.518011231338171</c:v>
                </c:pt>
                <c:pt idx="676">
                  <c:v>18.545404739076837</c:v>
                </c:pt>
                <c:pt idx="677">
                  <c:v>18.572798246815506</c:v>
                </c:pt>
                <c:pt idx="678">
                  <c:v>18.600191754554171</c:v>
                </c:pt>
                <c:pt idx="679">
                  <c:v>18.627585262292836</c:v>
                </c:pt>
                <c:pt idx="680">
                  <c:v>18.654978770031502</c:v>
                </c:pt>
                <c:pt idx="681">
                  <c:v>18.682372277770167</c:v>
                </c:pt>
                <c:pt idx="682">
                  <c:v>18.709765785508832</c:v>
                </c:pt>
                <c:pt idx="683">
                  <c:v>18.737159293247501</c:v>
                </c:pt>
                <c:pt idx="684">
                  <c:v>18.764552800986166</c:v>
                </c:pt>
                <c:pt idx="685">
                  <c:v>18.791946308724832</c:v>
                </c:pt>
                <c:pt idx="686">
                  <c:v>18.819339816463497</c:v>
                </c:pt>
                <c:pt idx="687">
                  <c:v>18.846733324202162</c:v>
                </c:pt>
                <c:pt idx="688">
                  <c:v>18.874126831940828</c:v>
                </c:pt>
                <c:pt idx="689">
                  <c:v>18.901520339679497</c:v>
                </c:pt>
                <c:pt idx="690">
                  <c:v>18.928913847418162</c:v>
                </c:pt>
                <c:pt idx="691">
                  <c:v>18.956307355156827</c:v>
                </c:pt>
                <c:pt idx="692">
                  <c:v>18.983700862895493</c:v>
                </c:pt>
                <c:pt idx="693">
                  <c:v>19.011094370634158</c:v>
                </c:pt>
                <c:pt idx="694">
                  <c:v>19.038487878372823</c:v>
                </c:pt>
                <c:pt idx="695">
                  <c:v>19.065881386111492</c:v>
                </c:pt>
                <c:pt idx="696">
                  <c:v>19.093274893850158</c:v>
                </c:pt>
                <c:pt idx="697">
                  <c:v>19.120668401588823</c:v>
                </c:pt>
                <c:pt idx="698">
                  <c:v>19.148061909327488</c:v>
                </c:pt>
                <c:pt idx="699">
                  <c:v>19.175455417066154</c:v>
                </c:pt>
                <c:pt idx="700">
                  <c:v>19.202848924804822</c:v>
                </c:pt>
                <c:pt idx="701">
                  <c:v>19.230242432543488</c:v>
                </c:pt>
                <c:pt idx="702">
                  <c:v>19.257635940282153</c:v>
                </c:pt>
                <c:pt idx="703">
                  <c:v>19.285029448020818</c:v>
                </c:pt>
                <c:pt idx="704">
                  <c:v>19.312422955759484</c:v>
                </c:pt>
                <c:pt idx="705">
                  <c:v>19.339816463498149</c:v>
                </c:pt>
                <c:pt idx="706">
                  <c:v>19.367209971236818</c:v>
                </c:pt>
                <c:pt idx="707">
                  <c:v>19.394603478975483</c:v>
                </c:pt>
                <c:pt idx="708">
                  <c:v>19.421996986714149</c:v>
                </c:pt>
                <c:pt idx="709">
                  <c:v>19.449390494452814</c:v>
                </c:pt>
                <c:pt idx="710">
                  <c:v>19.476784002191479</c:v>
                </c:pt>
                <c:pt idx="711">
                  <c:v>19.504177509930145</c:v>
                </c:pt>
                <c:pt idx="712">
                  <c:v>19.531571017668814</c:v>
                </c:pt>
                <c:pt idx="713">
                  <c:v>19.558964525407479</c:v>
                </c:pt>
                <c:pt idx="714">
                  <c:v>19.586358033146144</c:v>
                </c:pt>
                <c:pt idx="715">
                  <c:v>19.61375154088481</c:v>
                </c:pt>
                <c:pt idx="716">
                  <c:v>19.641145048623475</c:v>
                </c:pt>
                <c:pt idx="717">
                  <c:v>19.66853855636214</c:v>
                </c:pt>
                <c:pt idx="718">
                  <c:v>19.695932064100809</c:v>
                </c:pt>
                <c:pt idx="719">
                  <c:v>19.723325571839474</c:v>
                </c:pt>
                <c:pt idx="720">
                  <c:v>19.75071907957814</c:v>
                </c:pt>
                <c:pt idx="721">
                  <c:v>19.778112587316805</c:v>
                </c:pt>
                <c:pt idx="722">
                  <c:v>19.80550609505547</c:v>
                </c:pt>
                <c:pt idx="723">
                  <c:v>19.832899602794136</c:v>
                </c:pt>
                <c:pt idx="724">
                  <c:v>19.860293110532805</c:v>
                </c:pt>
                <c:pt idx="725">
                  <c:v>19.88768661827147</c:v>
                </c:pt>
                <c:pt idx="726">
                  <c:v>19.915080126010135</c:v>
                </c:pt>
                <c:pt idx="727">
                  <c:v>19.942473633748801</c:v>
                </c:pt>
                <c:pt idx="728">
                  <c:v>19.969867141487466</c:v>
                </c:pt>
                <c:pt idx="729">
                  <c:v>19.997260649226131</c:v>
                </c:pt>
                <c:pt idx="730">
                  <c:v>20.0246541569648</c:v>
                </c:pt>
                <c:pt idx="731">
                  <c:v>20.052047664703466</c:v>
                </c:pt>
                <c:pt idx="732">
                  <c:v>20.079441172442131</c:v>
                </c:pt>
                <c:pt idx="733">
                  <c:v>20.106834680180796</c:v>
                </c:pt>
                <c:pt idx="734">
                  <c:v>20.134228187919462</c:v>
                </c:pt>
                <c:pt idx="735">
                  <c:v>20.161621695658127</c:v>
                </c:pt>
                <c:pt idx="736">
                  <c:v>20.189015203396796</c:v>
                </c:pt>
                <c:pt idx="737">
                  <c:v>20.216408711135461</c:v>
                </c:pt>
                <c:pt idx="738">
                  <c:v>20.243802218874126</c:v>
                </c:pt>
                <c:pt idx="739">
                  <c:v>20.271195726612792</c:v>
                </c:pt>
                <c:pt idx="740">
                  <c:v>20.298589234351457</c:v>
                </c:pt>
                <c:pt idx="741">
                  <c:v>20.325982742090122</c:v>
                </c:pt>
                <c:pt idx="742">
                  <c:v>20.353376249828791</c:v>
                </c:pt>
                <c:pt idx="743">
                  <c:v>20.380769757567457</c:v>
                </c:pt>
                <c:pt idx="744">
                  <c:v>20.408163265306122</c:v>
                </c:pt>
                <c:pt idx="745">
                  <c:v>20.435556773044787</c:v>
                </c:pt>
                <c:pt idx="746">
                  <c:v>20.462950280783453</c:v>
                </c:pt>
                <c:pt idx="747">
                  <c:v>20.490343788522118</c:v>
                </c:pt>
                <c:pt idx="748">
                  <c:v>20.517737296260787</c:v>
                </c:pt>
                <c:pt idx="749">
                  <c:v>20.545130803999452</c:v>
                </c:pt>
                <c:pt idx="750">
                  <c:v>20.572524311738118</c:v>
                </c:pt>
                <c:pt idx="751">
                  <c:v>20.599917819476783</c:v>
                </c:pt>
                <c:pt idx="752">
                  <c:v>20.627311327215448</c:v>
                </c:pt>
                <c:pt idx="753">
                  <c:v>20.654704834954114</c:v>
                </c:pt>
                <c:pt idx="754">
                  <c:v>20.682098342692782</c:v>
                </c:pt>
                <c:pt idx="755">
                  <c:v>20.709491850431448</c:v>
                </c:pt>
                <c:pt idx="756">
                  <c:v>20.736885358170113</c:v>
                </c:pt>
                <c:pt idx="757">
                  <c:v>20.764278865908778</c:v>
                </c:pt>
                <c:pt idx="758">
                  <c:v>20.791672373647444</c:v>
                </c:pt>
                <c:pt idx="759">
                  <c:v>20.819065881386109</c:v>
                </c:pt>
                <c:pt idx="760">
                  <c:v>20.846459389124778</c:v>
                </c:pt>
                <c:pt idx="761">
                  <c:v>20.873852896863443</c:v>
                </c:pt>
                <c:pt idx="762">
                  <c:v>20.901246404602109</c:v>
                </c:pt>
                <c:pt idx="763">
                  <c:v>20.928639912340774</c:v>
                </c:pt>
                <c:pt idx="764">
                  <c:v>20.956033420079439</c:v>
                </c:pt>
                <c:pt idx="765">
                  <c:v>20.983426927818105</c:v>
                </c:pt>
                <c:pt idx="766">
                  <c:v>21.010820435556774</c:v>
                </c:pt>
                <c:pt idx="767">
                  <c:v>21.038213943295439</c:v>
                </c:pt>
                <c:pt idx="768">
                  <c:v>21.065607451034104</c:v>
                </c:pt>
                <c:pt idx="769">
                  <c:v>21.09300095877277</c:v>
                </c:pt>
                <c:pt idx="770">
                  <c:v>21.120394466511435</c:v>
                </c:pt>
                <c:pt idx="771">
                  <c:v>21.147787974250104</c:v>
                </c:pt>
                <c:pt idx="772">
                  <c:v>21.175181481988769</c:v>
                </c:pt>
                <c:pt idx="773">
                  <c:v>21.202574989727434</c:v>
                </c:pt>
                <c:pt idx="774">
                  <c:v>21.2299684974661</c:v>
                </c:pt>
                <c:pt idx="775">
                  <c:v>21.257362005204765</c:v>
                </c:pt>
                <c:pt idx="776">
                  <c:v>21.28475551294343</c:v>
                </c:pt>
                <c:pt idx="777">
                  <c:v>21.312149020682099</c:v>
                </c:pt>
                <c:pt idx="778">
                  <c:v>21.339542528420765</c:v>
                </c:pt>
                <c:pt idx="779">
                  <c:v>21.36693603615943</c:v>
                </c:pt>
                <c:pt idx="780">
                  <c:v>21.394329543898095</c:v>
                </c:pt>
                <c:pt idx="781">
                  <c:v>21.421723051636761</c:v>
                </c:pt>
                <c:pt idx="782">
                  <c:v>21.449116559375426</c:v>
                </c:pt>
                <c:pt idx="783">
                  <c:v>21.476510067114095</c:v>
                </c:pt>
                <c:pt idx="784">
                  <c:v>21.50390357485276</c:v>
                </c:pt>
                <c:pt idx="785">
                  <c:v>21.531297082591426</c:v>
                </c:pt>
                <c:pt idx="786">
                  <c:v>21.558690590330091</c:v>
                </c:pt>
                <c:pt idx="787">
                  <c:v>21.586084098068756</c:v>
                </c:pt>
                <c:pt idx="788">
                  <c:v>21.613477605807422</c:v>
                </c:pt>
                <c:pt idx="789">
                  <c:v>21.64087111354609</c:v>
                </c:pt>
                <c:pt idx="790">
                  <c:v>21.668264621284756</c:v>
                </c:pt>
                <c:pt idx="791">
                  <c:v>21.695658129023421</c:v>
                </c:pt>
                <c:pt idx="792">
                  <c:v>21.723051636762087</c:v>
                </c:pt>
                <c:pt idx="793">
                  <c:v>21.750445144500752</c:v>
                </c:pt>
                <c:pt idx="794">
                  <c:v>21.777838652239417</c:v>
                </c:pt>
                <c:pt idx="795">
                  <c:v>21.805232159978086</c:v>
                </c:pt>
                <c:pt idx="796">
                  <c:v>21.832625667716751</c:v>
                </c:pt>
                <c:pt idx="797">
                  <c:v>21.860019175455417</c:v>
                </c:pt>
                <c:pt idx="798">
                  <c:v>21.887412683194082</c:v>
                </c:pt>
                <c:pt idx="799">
                  <c:v>21.914806190932747</c:v>
                </c:pt>
                <c:pt idx="800">
                  <c:v>21.942199698671413</c:v>
                </c:pt>
                <c:pt idx="801">
                  <c:v>21.969593206410082</c:v>
                </c:pt>
                <c:pt idx="802">
                  <c:v>21.996986714148747</c:v>
                </c:pt>
                <c:pt idx="803">
                  <c:v>22.024380221887412</c:v>
                </c:pt>
                <c:pt idx="804">
                  <c:v>22.051773729626078</c:v>
                </c:pt>
                <c:pt idx="805">
                  <c:v>22.079167237364743</c:v>
                </c:pt>
                <c:pt idx="806">
                  <c:v>22.106560745103408</c:v>
                </c:pt>
                <c:pt idx="807">
                  <c:v>22.133954252842077</c:v>
                </c:pt>
                <c:pt idx="808">
                  <c:v>22.161347760580743</c:v>
                </c:pt>
                <c:pt idx="809">
                  <c:v>22.188741268319408</c:v>
                </c:pt>
                <c:pt idx="810">
                  <c:v>22.216134776058073</c:v>
                </c:pt>
                <c:pt idx="811">
                  <c:v>22.243528283796739</c:v>
                </c:pt>
                <c:pt idx="812">
                  <c:v>22.270921791535404</c:v>
                </c:pt>
                <c:pt idx="813">
                  <c:v>22.298315299274073</c:v>
                </c:pt>
                <c:pt idx="814">
                  <c:v>22.325708807012738</c:v>
                </c:pt>
                <c:pt idx="815">
                  <c:v>22.353102314751403</c:v>
                </c:pt>
                <c:pt idx="816">
                  <c:v>22.380495822490069</c:v>
                </c:pt>
                <c:pt idx="817">
                  <c:v>22.407889330228734</c:v>
                </c:pt>
                <c:pt idx="818">
                  <c:v>22.435282837967399</c:v>
                </c:pt>
                <c:pt idx="819">
                  <c:v>22.462676345706068</c:v>
                </c:pt>
                <c:pt idx="820">
                  <c:v>22.490069853444734</c:v>
                </c:pt>
                <c:pt idx="821">
                  <c:v>22.517463361183399</c:v>
                </c:pt>
                <c:pt idx="822">
                  <c:v>22.544856868922064</c:v>
                </c:pt>
                <c:pt idx="823">
                  <c:v>22.57225037666073</c:v>
                </c:pt>
                <c:pt idx="824">
                  <c:v>22.599643884399395</c:v>
                </c:pt>
                <c:pt idx="825">
                  <c:v>22.627037392138064</c:v>
                </c:pt>
                <c:pt idx="826">
                  <c:v>22.654430899876729</c:v>
                </c:pt>
                <c:pt idx="827">
                  <c:v>22.681824407615395</c:v>
                </c:pt>
                <c:pt idx="828">
                  <c:v>22.70921791535406</c:v>
                </c:pt>
                <c:pt idx="829">
                  <c:v>22.736611423092725</c:v>
                </c:pt>
                <c:pt idx="830">
                  <c:v>22.764004930831391</c:v>
                </c:pt>
                <c:pt idx="831">
                  <c:v>22.791398438570059</c:v>
                </c:pt>
                <c:pt idx="832">
                  <c:v>22.818791946308725</c:v>
                </c:pt>
                <c:pt idx="833">
                  <c:v>22.84618545404739</c:v>
                </c:pt>
                <c:pt idx="834">
                  <c:v>22.873578961786055</c:v>
                </c:pt>
                <c:pt idx="835">
                  <c:v>22.900972469524721</c:v>
                </c:pt>
                <c:pt idx="836">
                  <c:v>22.928365977263386</c:v>
                </c:pt>
                <c:pt idx="837">
                  <c:v>22.955759485002055</c:v>
                </c:pt>
                <c:pt idx="838">
                  <c:v>22.98315299274072</c:v>
                </c:pt>
                <c:pt idx="839">
                  <c:v>23.010546500479386</c:v>
                </c:pt>
                <c:pt idx="840">
                  <c:v>23.037940008218051</c:v>
                </c:pt>
                <c:pt idx="841">
                  <c:v>23.065333515956716</c:v>
                </c:pt>
                <c:pt idx="842">
                  <c:v>23.092727023695385</c:v>
                </c:pt>
                <c:pt idx="843">
                  <c:v>23.120120531434051</c:v>
                </c:pt>
                <c:pt idx="844">
                  <c:v>23.147514039172716</c:v>
                </c:pt>
                <c:pt idx="845">
                  <c:v>23.174907546911381</c:v>
                </c:pt>
                <c:pt idx="846">
                  <c:v>23.202301054650047</c:v>
                </c:pt>
                <c:pt idx="847">
                  <c:v>23.229694562388712</c:v>
                </c:pt>
                <c:pt idx="848">
                  <c:v>23.257088070127381</c:v>
                </c:pt>
                <c:pt idx="849">
                  <c:v>23.284481577866046</c:v>
                </c:pt>
                <c:pt idx="850">
                  <c:v>23.311875085604711</c:v>
                </c:pt>
                <c:pt idx="851">
                  <c:v>23.339268593343377</c:v>
                </c:pt>
                <c:pt idx="852">
                  <c:v>23.366662101082042</c:v>
                </c:pt>
                <c:pt idx="853">
                  <c:v>23.394055608820707</c:v>
                </c:pt>
                <c:pt idx="854">
                  <c:v>23.421449116559376</c:v>
                </c:pt>
                <c:pt idx="855">
                  <c:v>23.448842624298042</c:v>
                </c:pt>
                <c:pt idx="856">
                  <c:v>23.476236132036707</c:v>
                </c:pt>
                <c:pt idx="857">
                  <c:v>23.503629639775372</c:v>
                </c:pt>
                <c:pt idx="858">
                  <c:v>23.531023147514038</c:v>
                </c:pt>
                <c:pt idx="859">
                  <c:v>23.558416655252703</c:v>
                </c:pt>
                <c:pt idx="860">
                  <c:v>23.585810162991372</c:v>
                </c:pt>
                <c:pt idx="861">
                  <c:v>23.613203670730037</c:v>
                </c:pt>
                <c:pt idx="862">
                  <c:v>23.640597178468703</c:v>
                </c:pt>
                <c:pt idx="863">
                  <c:v>23.667990686207368</c:v>
                </c:pt>
                <c:pt idx="864">
                  <c:v>23.695384193946033</c:v>
                </c:pt>
                <c:pt idx="865">
                  <c:v>23.722777701684699</c:v>
                </c:pt>
                <c:pt idx="866">
                  <c:v>23.750171209423367</c:v>
                </c:pt>
                <c:pt idx="867">
                  <c:v>23.777564717162033</c:v>
                </c:pt>
                <c:pt idx="868">
                  <c:v>23.804958224900698</c:v>
                </c:pt>
                <c:pt idx="869">
                  <c:v>23.832351732639363</c:v>
                </c:pt>
                <c:pt idx="870">
                  <c:v>23.859745240378029</c:v>
                </c:pt>
                <c:pt idx="871">
                  <c:v>23.887138748116694</c:v>
                </c:pt>
                <c:pt idx="872">
                  <c:v>23.914532255855363</c:v>
                </c:pt>
                <c:pt idx="873">
                  <c:v>23.941925763594028</c:v>
                </c:pt>
                <c:pt idx="874">
                  <c:v>23.969319271332694</c:v>
                </c:pt>
                <c:pt idx="875">
                  <c:v>23.996712779071359</c:v>
                </c:pt>
                <c:pt idx="876">
                  <c:v>24.024106286810024</c:v>
                </c:pt>
                <c:pt idx="877">
                  <c:v>24.05149979454869</c:v>
                </c:pt>
                <c:pt idx="878">
                  <c:v>24.078893302287359</c:v>
                </c:pt>
                <c:pt idx="879">
                  <c:v>24.106286810026024</c:v>
                </c:pt>
                <c:pt idx="880">
                  <c:v>24.133680317764689</c:v>
                </c:pt>
                <c:pt idx="881">
                  <c:v>24.161073825503355</c:v>
                </c:pt>
                <c:pt idx="882">
                  <c:v>24.18846733324202</c:v>
                </c:pt>
                <c:pt idx="883">
                  <c:v>24.215860840980685</c:v>
                </c:pt>
                <c:pt idx="884">
                  <c:v>24.243254348719354</c:v>
                </c:pt>
                <c:pt idx="885">
                  <c:v>24.270647856458019</c:v>
                </c:pt>
                <c:pt idx="886">
                  <c:v>24.298041364196685</c:v>
                </c:pt>
                <c:pt idx="887">
                  <c:v>24.32543487193535</c:v>
                </c:pt>
                <c:pt idx="888">
                  <c:v>24.352828379674015</c:v>
                </c:pt>
                <c:pt idx="889">
                  <c:v>24.380221887412681</c:v>
                </c:pt>
                <c:pt idx="890">
                  <c:v>24.40761539515135</c:v>
                </c:pt>
                <c:pt idx="891">
                  <c:v>24.435008902890015</c:v>
                </c:pt>
                <c:pt idx="892">
                  <c:v>24.46240241062868</c:v>
                </c:pt>
                <c:pt idx="893">
                  <c:v>24.489795918367346</c:v>
                </c:pt>
                <c:pt idx="894">
                  <c:v>24.517189426106011</c:v>
                </c:pt>
                <c:pt idx="895">
                  <c:v>24.544582933844676</c:v>
                </c:pt>
                <c:pt idx="896">
                  <c:v>24.571976441583345</c:v>
                </c:pt>
                <c:pt idx="897">
                  <c:v>24.599369949322011</c:v>
                </c:pt>
                <c:pt idx="898">
                  <c:v>24.626763457060676</c:v>
                </c:pt>
                <c:pt idx="899">
                  <c:v>24.654156964799341</c:v>
                </c:pt>
                <c:pt idx="900">
                  <c:v>24.681550472538007</c:v>
                </c:pt>
                <c:pt idx="901">
                  <c:v>24.708943980276672</c:v>
                </c:pt>
                <c:pt idx="902">
                  <c:v>24.736337488015341</c:v>
                </c:pt>
                <c:pt idx="903">
                  <c:v>24.763730995754006</c:v>
                </c:pt>
                <c:pt idx="904">
                  <c:v>24.791124503492671</c:v>
                </c:pt>
                <c:pt idx="905">
                  <c:v>24.818518011231337</c:v>
                </c:pt>
                <c:pt idx="906">
                  <c:v>24.845911518970002</c:v>
                </c:pt>
                <c:pt idx="907">
                  <c:v>24.873305026708667</c:v>
                </c:pt>
                <c:pt idx="908">
                  <c:v>24.900698534447336</c:v>
                </c:pt>
                <c:pt idx="909">
                  <c:v>24.928092042186002</c:v>
                </c:pt>
                <c:pt idx="910">
                  <c:v>24.955485549924667</c:v>
                </c:pt>
                <c:pt idx="911">
                  <c:v>24.982879057663332</c:v>
                </c:pt>
                <c:pt idx="912">
                  <c:v>25.010272565401998</c:v>
                </c:pt>
                <c:pt idx="913">
                  <c:v>25.037666073140667</c:v>
                </c:pt>
                <c:pt idx="914">
                  <c:v>25.065059580879332</c:v>
                </c:pt>
                <c:pt idx="915">
                  <c:v>25.092453088617997</c:v>
                </c:pt>
                <c:pt idx="916">
                  <c:v>25.119846596356663</c:v>
                </c:pt>
                <c:pt idx="917">
                  <c:v>25.147240104095328</c:v>
                </c:pt>
                <c:pt idx="918">
                  <c:v>25.174633611833993</c:v>
                </c:pt>
                <c:pt idx="919">
                  <c:v>25.202027119572662</c:v>
                </c:pt>
                <c:pt idx="920">
                  <c:v>25.229420627311328</c:v>
                </c:pt>
                <c:pt idx="921">
                  <c:v>25.256814135049993</c:v>
                </c:pt>
                <c:pt idx="922">
                  <c:v>25.284207642788658</c:v>
                </c:pt>
                <c:pt idx="923">
                  <c:v>25.311601150527324</c:v>
                </c:pt>
                <c:pt idx="924">
                  <c:v>25.338994658265989</c:v>
                </c:pt>
                <c:pt idx="925">
                  <c:v>25.366388166004658</c:v>
                </c:pt>
                <c:pt idx="926">
                  <c:v>25.393781673743323</c:v>
                </c:pt>
                <c:pt idx="927">
                  <c:v>25.421175181481988</c:v>
                </c:pt>
                <c:pt idx="928">
                  <c:v>25.448568689220654</c:v>
                </c:pt>
                <c:pt idx="929">
                  <c:v>25.475962196959319</c:v>
                </c:pt>
                <c:pt idx="930">
                  <c:v>25.503355704697984</c:v>
                </c:pt>
                <c:pt idx="931">
                  <c:v>25.530749212436653</c:v>
                </c:pt>
                <c:pt idx="932">
                  <c:v>25.558142720175319</c:v>
                </c:pt>
                <c:pt idx="933">
                  <c:v>25.585536227913984</c:v>
                </c:pt>
                <c:pt idx="934">
                  <c:v>25.612929735652649</c:v>
                </c:pt>
                <c:pt idx="935">
                  <c:v>25.640323243391315</c:v>
                </c:pt>
                <c:pt idx="936">
                  <c:v>25.66771675112998</c:v>
                </c:pt>
                <c:pt idx="937">
                  <c:v>25.695110258868649</c:v>
                </c:pt>
                <c:pt idx="938">
                  <c:v>25.722503766607314</c:v>
                </c:pt>
                <c:pt idx="939">
                  <c:v>25.74989727434598</c:v>
                </c:pt>
                <c:pt idx="940">
                  <c:v>25.777290782084645</c:v>
                </c:pt>
                <c:pt idx="941">
                  <c:v>25.80468428982331</c:v>
                </c:pt>
                <c:pt idx="942">
                  <c:v>25.832077797561976</c:v>
                </c:pt>
                <c:pt idx="943">
                  <c:v>25.859471305300644</c:v>
                </c:pt>
                <c:pt idx="944">
                  <c:v>25.88686481303931</c:v>
                </c:pt>
                <c:pt idx="945">
                  <c:v>25.914258320777975</c:v>
                </c:pt>
                <c:pt idx="946">
                  <c:v>25.94165182851664</c:v>
                </c:pt>
                <c:pt idx="947">
                  <c:v>25.969045336255306</c:v>
                </c:pt>
                <c:pt idx="948">
                  <c:v>25.996438843993971</c:v>
                </c:pt>
                <c:pt idx="949">
                  <c:v>26.02383235173264</c:v>
                </c:pt>
                <c:pt idx="950">
                  <c:v>26.051225859471305</c:v>
                </c:pt>
                <c:pt idx="951">
                  <c:v>26.078619367209971</c:v>
                </c:pt>
                <c:pt idx="952">
                  <c:v>26.106012874948636</c:v>
                </c:pt>
                <c:pt idx="953">
                  <c:v>26.133406382687301</c:v>
                </c:pt>
                <c:pt idx="954">
                  <c:v>26.160799890425967</c:v>
                </c:pt>
                <c:pt idx="955">
                  <c:v>26.188193398164636</c:v>
                </c:pt>
                <c:pt idx="956">
                  <c:v>26.215586905903301</c:v>
                </c:pt>
                <c:pt idx="957">
                  <c:v>26.242980413641966</c:v>
                </c:pt>
                <c:pt idx="958">
                  <c:v>26.270373921380632</c:v>
                </c:pt>
                <c:pt idx="959">
                  <c:v>26.297767429119297</c:v>
                </c:pt>
                <c:pt idx="960">
                  <c:v>26.325160936857962</c:v>
                </c:pt>
                <c:pt idx="961">
                  <c:v>26.352554444596631</c:v>
                </c:pt>
                <c:pt idx="962">
                  <c:v>26.379947952335296</c:v>
                </c:pt>
                <c:pt idx="963">
                  <c:v>26.407341460073962</c:v>
                </c:pt>
                <c:pt idx="964">
                  <c:v>26.434734967812627</c:v>
                </c:pt>
                <c:pt idx="965">
                  <c:v>26.462128475551292</c:v>
                </c:pt>
                <c:pt idx="966">
                  <c:v>26.489521983289958</c:v>
                </c:pt>
                <c:pt idx="967">
                  <c:v>26.516915491028627</c:v>
                </c:pt>
                <c:pt idx="968">
                  <c:v>26.544308998767292</c:v>
                </c:pt>
                <c:pt idx="969">
                  <c:v>26.571702506505957</c:v>
                </c:pt>
                <c:pt idx="970">
                  <c:v>26.599096014244623</c:v>
                </c:pt>
                <c:pt idx="971">
                  <c:v>26.626489521983288</c:v>
                </c:pt>
                <c:pt idx="972">
                  <c:v>26.653883029721953</c:v>
                </c:pt>
                <c:pt idx="973">
                  <c:v>26.681276537460622</c:v>
                </c:pt>
                <c:pt idx="974">
                  <c:v>26.708670045199288</c:v>
                </c:pt>
                <c:pt idx="975">
                  <c:v>26.736063552937953</c:v>
                </c:pt>
                <c:pt idx="976">
                  <c:v>26.763457060676618</c:v>
                </c:pt>
                <c:pt idx="977">
                  <c:v>26.790850568415284</c:v>
                </c:pt>
                <c:pt idx="978">
                  <c:v>26.818244076153952</c:v>
                </c:pt>
                <c:pt idx="979">
                  <c:v>26.845637583892618</c:v>
                </c:pt>
                <c:pt idx="980">
                  <c:v>26.873031091631283</c:v>
                </c:pt>
                <c:pt idx="981">
                  <c:v>26.900424599369948</c:v>
                </c:pt>
                <c:pt idx="982">
                  <c:v>26.927818107108614</c:v>
                </c:pt>
                <c:pt idx="983">
                  <c:v>26.955211614847279</c:v>
                </c:pt>
                <c:pt idx="984">
                  <c:v>26.982605122585948</c:v>
                </c:pt>
                <c:pt idx="985">
                  <c:v>27.009998630324613</c:v>
                </c:pt>
                <c:pt idx="986">
                  <c:v>27.037392138063279</c:v>
                </c:pt>
                <c:pt idx="987">
                  <c:v>27.064785645801944</c:v>
                </c:pt>
                <c:pt idx="988">
                  <c:v>27.092179153540609</c:v>
                </c:pt>
                <c:pt idx="989">
                  <c:v>27.119572661279275</c:v>
                </c:pt>
                <c:pt idx="990">
                  <c:v>27.146966169017944</c:v>
                </c:pt>
                <c:pt idx="991">
                  <c:v>27.174359676756609</c:v>
                </c:pt>
                <c:pt idx="992">
                  <c:v>27.201753184495274</c:v>
                </c:pt>
                <c:pt idx="993">
                  <c:v>27.22914669223394</c:v>
                </c:pt>
                <c:pt idx="994">
                  <c:v>27.256540199972605</c:v>
                </c:pt>
                <c:pt idx="995">
                  <c:v>27.28393370771127</c:v>
                </c:pt>
                <c:pt idx="996">
                  <c:v>27.311327215449939</c:v>
                </c:pt>
                <c:pt idx="997">
                  <c:v>27.338720723188604</c:v>
                </c:pt>
                <c:pt idx="998">
                  <c:v>27.36611423092727</c:v>
                </c:pt>
                <c:pt idx="999">
                  <c:v>27.393507738665935</c:v>
                </c:pt>
                <c:pt idx="1000">
                  <c:v>27.4209012464046</c:v>
                </c:pt>
                <c:pt idx="1001">
                  <c:v>27.448294754143266</c:v>
                </c:pt>
                <c:pt idx="1002">
                  <c:v>27.475688261881935</c:v>
                </c:pt>
                <c:pt idx="1003">
                  <c:v>27.5030817696206</c:v>
                </c:pt>
                <c:pt idx="1004">
                  <c:v>27.530475277359265</c:v>
                </c:pt>
                <c:pt idx="1005">
                  <c:v>27.557868785097931</c:v>
                </c:pt>
                <c:pt idx="1006">
                  <c:v>27.585262292836596</c:v>
                </c:pt>
                <c:pt idx="1007">
                  <c:v>27.612655800575261</c:v>
                </c:pt>
                <c:pt idx="1008">
                  <c:v>27.64004930831393</c:v>
                </c:pt>
                <c:pt idx="1009">
                  <c:v>27.667442816052596</c:v>
                </c:pt>
                <c:pt idx="1010">
                  <c:v>27.694836323791261</c:v>
                </c:pt>
                <c:pt idx="1011">
                  <c:v>27.722229831529926</c:v>
                </c:pt>
                <c:pt idx="1012">
                  <c:v>27.749623339268592</c:v>
                </c:pt>
                <c:pt idx="1013">
                  <c:v>27.777016847007257</c:v>
                </c:pt>
                <c:pt idx="1014">
                  <c:v>27.804410354745926</c:v>
                </c:pt>
                <c:pt idx="1015">
                  <c:v>27.831803862484591</c:v>
                </c:pt>
                <c:pt idx="1016">
                  <c:v>27.859197370223256</c:v>
                </c:pt>
                <c:pt idx="1017">
                  <c:v>27.886590877961922</c:v>
                </c:pt>
                <c:pt idx="1018">
                  <c:v>27.913984385700587</c:v>
                </c:pt>
                <c:pt idx="1019">
                  <c:v>27.941377893439252</c:v>
                </c:pt>
                <c:pt idx="1020">
                  <c:v>27.968771401177921</c:v>
                </c:pt>
                <c:pt idx="1021">
                  <c:v>27.996164908916587</c:v>
                </c:pt>
                <c:pt idx="1022">
                  <c:v>28.023558416655252</c:v>
                </c:pt>
                <c:pt idx="1023">
                  <c:v>28.050951924393917</c:v>
                </c:pt>
                <c:pt idx="1024">
                  <c:v>28.078345432132583</c:v>
                </c:pt>
                <c:pt idx="1025">
                  <c:v>28.105738939871248</c:v>
                </c:pt>
                <c:pt idx="1026">
                  <c:v>28.133132447609917</c:v>
                </c:pt>
                <c:pt idx="1027">
                  <c:v>28.160525955348582</c:v>
                </c:pt>
                <c:pt idx="1028">
                  <c:v>28.187919463087248</c:v>
                </c:pt>
                <c:pt idx="1029">
                  <c:v>28.215312970825913</c:v>
                </c:pt>
                <c:pt idx="1030">
                  <c:v>28.242706478564578</c:v>
                </c:pt>
                <c:pt idx="1031">
                  <c:v>28.270099986303244</c:v>
                </c:pt>
                <c:pt idx="1032">
                  <c:v>28.297493494041912</c:v>
                </c:pt>
                <c:pt idx="1033">
                  <c:v>28.324887001780578</c:v>
                </c:pt>
                <c:pt idx="1034">
                  <c:v>28.352280509519243</c:v>
                </c:pt>
                <c:pt idx="1035">
                  <c:v>28.379674017257909</c:v>
                </c:pt>
                <c:pt idx="1036">
                  <c:v>28.407067524996574</c:v>
                </c:pt>
                <c:pt idx="1037">
                  <c:v>28.434461032735239</c:v>
                </c:pt>
                <c:pt idx="1038">
                  <c:v>28.461854540473908</c:v>
                </c:pt>
                <c:pt idx="1039">
                  <c:v>28.489248048212573</c:v>
                </c:pt>
                <c:pt idx="1040">
                  <c:v>28.516641555951239</c:v>
                </c:pt>
                <c:pt idx="1041">
                  <c:v>28.544035063689904</c:v>
                </c:pt>
                <c:pt idx="1042">
                  <c:v>28.571428571428569</c:v>
                </c:pt>
                <c:pt idx="1043">
                  <c:v>28.598822079167235</c:v>
                </c:pt>
                <c:pt idx="1044">
                  <c:v>28.626215586905904</c:v>
                </c:pt>
                <c:pt idx="1045">
                  <c:v>28.653609094644569</c:v>
                </c:pt>
                <c:pt idx="1046">
                  <c:v>28.681002602383234</c:v>
                </c:pt>
                <c:pt idx="1047">
                  <c:v>28.7083961101219</c:v>
                </c:pt>
                <c:pt idx="1048">
                  <c:v>28.735789617860565</c:v>
                </c:pt>
                <c:pt idx="1049">
                  <c:v>28.763183125599234</c:v>
                </c:pt>
                <c:pt idx="1050">
                  <c:v>28.790576633337899</c:v>
                </c:pt>
                <c:pt idx="1051">
                  <c:v>28.817970141076565</c:v>
                </c:pt>
                <c:pt idx="1052">
                  <c:v>28.84536364881523</c:v>
                </c:pt>
                <c:pt idx="1053">
                  <c:v>28.872757156553895</c:v>
                </c:pt>
              </c:numCache>
            </c:numRef>
          </c:xVal>
          <c:yVal>
            <c:numRef>
              <c:f>'Arbitrage Payback Engine'!$F$10:$F$1063</c:f>
              <c:numCache>
                <c:formatCode>_("$"* #,##0.00_);_("$"* \(#,##0.00\);_("$"* "-"??_);_(@_)</c:formatCode>
                <c:ptCount val="1054"/>
                <c:pt idx="0">
                  <c:v>100</c:v>
                </c:pt>
                <c:pt idx="1">
                  <c:v>50</c:v>
                </c:pt>
                <c:pt idx="2">
                  <c:v>33.333333333333336</c:v>
                </c:pt>
                <c:pt idx="3">
                  <c:v>25</c:v>
                </c:pt>
                <c:pt idx="4">
                  <c:v>20</c:v>
                </c:pt>
                <c:pt idx="5">
                  <c:v>16.666666666666668</c:v>
                </c:pt>
                <c:pt idx="6">
                  <c:v>14.285714285714286</c:v>
                </c:pt>
                <c:pt idx="7">
                  <c:v>12.5</c:v>
                </c:pt>
                <c:pt idx="8">
                  <c:v>11.111111111111111</c:v>
                </c:pt>
                <c:pt idx="9">
                  <c:v>10</c:v>
                </c:pt>
                <c:pt idx="10">
                  <c:v>9.0909090909090917</c:v>
                </c:pt>
                <c:pt idx="11">
                  <c:v>8.3333333333333339</c:v>
                </c:pt>
                <c:pt idx="12">
                  <c:v>7.6923076923076925</c:v>
                </c:pt>
                <c:pt idx="13">
                  <c:v>7.1428571428571432</c:v>
                </c:pt>
                <c:pt idx="14">
                  <c:v>6.666666666666667</c:v>
                </c:pt>
                <c:pt idx="15">
                  <c:v>6.25</c:v>
                </c:pt>
                <c:pt idx="16">
                  <c:v>5.882352941176471</c:v>
                </c:pt>
                <c:pt idx="17">
                  <c:v>5.5555555555555554</c:v>
                </c:pt>
                <c:pt idx="18">
                  <c:v>5.2631578947368425</c:v>
                </c:pt>
                <c:pt idx="19">
                  <c:v>5</c:v>
                </c:pt>
                <c:pt idx="20">
                  <c:v>4.761904761904761</c:v>
                </c:pt>
                <c:pt idx="21">
                  <c:v>4.5454545454545459</c:v>
                </c:pt>
                <c:pt idx="22">
                  <c:v>4.3478260869565224</c:v>
                </c:pt>
                <c:pt idx="23">
                  <c:v>4.166666666666667</c:v>
                </c:pt>
                <c:pt idx="24">
                  <c:v>4</c:v>
                </c:pt>
                <c:pt idx="25">
                  <c:v>3.8461538461538463</c:v>
                </c:pt>
                <c:pt idx="26">
                  <c:v>3.7037037037037037</c:v>
                </c:pt>
                <c:pt idx="27">
                  <c:v>3.5714285714285716</c:v>
                </c:pt>
                <c:pt idx="28">
                  <c:v>3.4482758620689653</c:v>
                </c:pt>
                <c:pt idx="29">
                  <c:v>3.3333333333333335</c:v>
                </c:pt>
                <c:pt idx="30">
                  <c:v>3.225806451612903</c:v>
                </c:pt>
                <c:pt idx="31">
                  <c:v>3.125</c:v>
                </c:pt>
                <c:pt idx="32">
                  <c:v>3.0303030303030303</c:v>
                </c:pt>
                <c:pt idx="33">
                  <c:v>2.9411764705882355</c:v>
                </c:pt>
                <c:pt idx="34">
                  <c:v>2.8571428571428572</c:v>
                </c:pt>
                <c:pt idx="35">
                  <c:v>2.7777777777777777</c:v>
                </c:pt>
                <c:pt idx="36">
                  <c:v>2.7027027027027026</c:v>
                </c:pt>
                <c:pt idx="37">
                  <c:v>2.6315789473684212</c:v>
                </c:pt>
                <c:pt idx="38">
                  <c:v>2.5641025641025643</c:v>
                </c:pt>
                <c:pt idx="39">
                  <c:v>2.5</c:v>
                </c:pt>
                <c:pt idx="40">
                  <c:v>2.4390243902439024</c:v>
                </c:pt>
                <c:pt idx="41">
                  <c:v>2.3809523809523805</c:v>
                </c:pt>
                <c:pt idx="42">
                  <c:v>2.3255813953488373</c:v>
                </c:pt>
                <c:pt idx="43">
                  <c:v>2.2727272727272729</c:v>
                </c:pt>
                <c:pt idx="44">
                  <c:v>2.2222222222222223</c:v>
                </c:pt>
                <c:pt idx="45">
                  <c:v>2.1739130434782612</c:v>
                </c:pt>
                <c:pt idx="46">
                  <c:v>2.1276595744680851</c:v>
                </c:pt>
                <c:pt idx="47">
                  <c:v>2.0833333333333335</c:v>
                </c:pt>
                <c:pt idx="48">
                  <c:v>2.0408163265306118</c:v>
                </c:pt>
                <c:pt idx="49">
                  <c:v>2</c:v>
                </c:pt>
                <c:pt idx="50">
                  <c:v>1.9607843137254901</c:v>
                </c:pt>
                <c:pt idx="51">
                  <c:v>1.9230769230769231</c:v>
                </c:pt>
                <c:pt idx="52">
                  <c:v>1.8867924528301887</c:v>
                </c:pt>
                <c:pt idx="53">
                  <c:v>1.8518518518518519</c:v>
                </c:pt>
                <c:pt idx="54">
                  <c:v>1.8181818181818181</c:v>
                </c:pt>
                <c:pt idx="55">
                  <c:v>1.7857142857142858</c:v>
                </c:pt>
                <c:pt idx="56">
                  <c:v>1.7543859649122806</c:v>
                </c:pt>
                <c:pt idx="57">
                  <c:v>1.7241379310344827</c:v>
                </c:pt>
                <c:pt idx="58">
                  <c:v>1.6949152542372881</c:v>
                </c:pt>
                <c:pt idx="59">
                  <c:v>1.6666666666666667</c:v>
                </c:pt>
                <c:pt idx="60">
                  <c:v>1.639344262295082</c:v>
                </c:pt>
                <c:pt idx="61">
                  <c:v>1.6129032258064515</c:v>
                </c:pt>
                <c:pt idx="62">
                  <c:v>1.5873015873015872</c:v>
                </c:pt>
                <c:pt idx="63">
                  <c:v>1.5625</c:v>
                </c:pt>
                <c:pt idx="64">
                  <c:v>1.5384615384615385</c:v>
                </c:pt>
                <c:pt idx="65">
                  <c:v>1.5151515151515151</c:v>
                </c:pt>
                <c:pt idx="66">
                  <c:v>1.4925373134328359</c:v>
                </c:pt>
                <c:pt idx="67">
                  <c:v>1.4705882352941178</c:v>
                </c:pt>
                <c:pt idx="68">
                  <c:v>1.4492753623188406</c:v>
                </c:pt>
                <c:pt idx="69">
                  <c:v>1.4285714285714286</c:v>
                </c:pt>
                <c:pt idx="70">
                  <c:v>1.408450704225352</c:v>
                </c:pt>
                <c:pt idx="71">
                  <c:v>1.3888888888888888</c:v>
                </c:pt>
                <c:pt idx="72">
                  <c:v>1.3698630136986301</c:v>
                </c:pt>
                <c:pt idx="73">
                  <c:v>1.3513513513513513</c:v>
                </c:pt>
                <c:pt idx="74">
                  <c:v>1.3333333333333335</c:v>
                </c:pt>
                <c:pt idx="75">
                  <c:v>1.3157894736842106</c:v>
                </c:pt>
                <c:pt idx="76">
                  <c:v>1.2987012987012987</c:v>
                </c:pt>
                <c:pt idx="77">
                  <c:v>1.2820512820512822</c:v>
                </c:pt>
                <c:pt idx="78">
                  <c:v>1.2658227848101267</c:v>
                </c:pt>
                <c:pt idx="79">
                  <c:v>1.25</c:v>
                </c:pt>
                <c:pt idx="80">
                  <c:v>1.2345679012345678</c:v>
                </c:pt>
                <c:pt idx="81">
                  <c:v>1.2195121951219512</c:v>
                </c:pt>
                <c:pt idx="82">
                  <c:v>1.2048192771084338</c:v>
                </c:pt>
                <c:pt idx="83">
                  <c:v>1.1904761904761902</c:v>
                </c:pt>
                <c:pt idx="84">
                  <c:v>1.1764705882352942</c:v>
                </c:pt>
                <c:pt idx="85">
                  <c:v>1.1627906976744187</c:v>
                </c:pt>
                <c:pt idx="86">
                  <c:v>1.1494252873563218</c:v>
                </c:pt>
                <c:pt idx="87">
                  <c:v>1.1363636363636365</c:v>
                </c:pt>
                <c:pt idx="88">
                  <c:v>1.1235955056179776</c:v>
                </c:pt>
                <c:pt idx="89">
                  <c:v>1.1111111111111112</c:v>
                </c:pt>
                <c:pt idx="90">
                  <c:v>1.098901098901099</c:v>
                </c:pt>
                <c:pt idx="91">
                  <c:v>1.0869565217391306</c:v>
                </c:pt>
                <c:pt idx="92">
                  <c:v>1.075268817204301</c:v>
                </c:pt>
                <c:pt idx="93">
                  <c:v>1.0638297872340425</c:v>
                </c:pt>
                <c:pt idx="94">
                  <c:v>1.0526315789473686</c:v>
                </c:pt>
                <c:pt idx="95">
                  <c:v>1.0416666666666667</c:v>
                </c:pt>
                <c:pt idx="96">
                  <c:v>1.0309278350515463</c:v>
                </c:pt>
                <c:pt idx="97">
                  <c:v>1.0204081632653059</c:v>
                </c:pt>
                <c:pt idx="98">
                  <c:v>1.0101010101010102</c:v>
                </c:pt>
                <c:pt idx="99">
                  <c:v>1</c:v>
                </c:pt>
                <c:pt idx="100">
                  <c:v>0.99009900990098998</c:v>
                </c:pt>
                <c:pt idx="101">
                  <c:v>0.98039215686274506</c:v>
                </c:pt>
                <c:pt idx="102">
                  <c:v>0.970873786407767</c:v>
                </c:pt>
                <c:pt idx="103">
                  <c:v>0.96153846153846156</c:v>
                </c:pt>
                <c:pt idx="104">
                  <c:v>0.95238095238095233</c:v>
                </c:pt>
                <c:pt idx="105">
                  <c:v>0.94339622641509435</c:v>
                </c:pt>
                <c:pt idx="106">
                  <c:v>0.93457943925233644</c:v>
                </c:pt>
                <c:pt idx="107">
                  <c:v>0.92592592592592593</c:v>
                </c:pt>
                <c:pt idx="108">
                  <c:v>0.91743119266055051</c:v>
                </c:pt>
                <c:pt idx="109">
                  <c:v>0.90909090909090906</c:v>
                </c:pt>
                <c:pt idx="110">
                  <c:v>0.90090090090090091</c:v>
                </c:pt>
                <c:pt idx="111">
                  <c:v>0.8928571428571429</c:v>
                </c:pt>
                <c:pt idx="112">
                  <c:v>0.88495575221238942</c:v>
                </c:pt>
                <c:pt idx="113">
                  <c:v>0.8771929824561403</c:v>
                </c:pt>
                <c:pt idx="114">
                  <c:v>0.86956521739130432</c:v>
                </c:pt>
                <c:pt idx="115">
                  <c:v>0.86206896551724133</c:v>
                </c:pt>
                <c:pt idx="116">
                  <c:v>0.85470085470085466</c:v>
                </c:pt>
                <c:pt idx="117">
                  <c:v>0.84745762711864403</c:v>
                </c:pt>
                <c:pt idx="118">
                  <c:v>0.84033613445378152</c:v>
                </c:pt>
                <c:pt idx="119">
                  <c:v>0.83333333333333337</c:v>
                </c:pt>
                <c:pt idx="120">
                  <c:v>0.82644628099173556</c:v>
                </c:pt>
                <c:pt idx="121">
                  <c:v>0.81967213114754101</c:v>
                </c:pt>
                <c:pt idx="122">
                  <c:v>0.81300813008130079</c:v>
                </c:pt>
                <c:pt idx="123">
                  <c:v>0.80645161290322576</c:v>
                </c:pt>
                <c:pt idx="124">
                  <c:v>0.8</c:v>
                </c:pt>
                <c:pt idx="125">
                  <c:v>0.79365079365079361</c:v>
                </c:pt>
                <c:pt idx="126">
                  <c:v>0.78740157480314965</c:v>
                </c:pt>
                <c:pt idx="127">
                  <c:v>0.78125</c:v>
                </c:pt>
                <c:pt idx="128">
                  <c:v>0.77519379844961245</c:v>
                </c:pt>
                <c:pt idx="129">
                  <c:v>0.76923076923076927</c:v>
                </c:pt>
                <c:pt idx="130">
                  <c:v>0.76335877862595425</c:v>
                </c:pt>
                <c:pt idx="131">
                  <c:v>0.75757575757575757</c:v>
                </c:pt>
                <c:pt idx="132">
                  <c:v>0.75187969924812026</c:v>
                </c:pt>
                <c:pt idx="133">
                  <c:v>0.74626865671641796</c:v>
                </c:pt>
                <c:pt idx="134">
                  <c:v>0.7407407407407407</c:v>
                </c:pt>
                <c:pt idx="135">
                  <c:v>0.73529411764705888</c:v>
                </c:pt>
                <c:pt idx="136">
                  <c:v>0.72992700729927007</c:v>
                </c:pt>
                <c:pt idx="137">
                  <c:v>0.72463768115942029</c:v>
                </c:pt>
                <c:pt idx="138">
                  <c:v>0.71942446043165464</c:v>
                </c:pt>
                <c:pt idx="139">
                  <c:v>0.7142857142857143</c:v>
                </c:pt>
                <c:pt idx="140">
                  <c:v>0.70921985815602839</c:v>
                </c:pt>
                <c:pt idx="141">
                  <c:v>0.70422535211267601</c:v>
                </c:pt>
                <c:pt idx="142">
                  <c:v>0.69930069930069927</c:v>
                </c:pt>
                <c:pt idx="143">
                  <c:v>0.69444444444444442</c:v>
                </c:pt>
                <c:pt idx="144">
                  <c:v>0.68965517241379315</c:v>
                </c:pt>
                <c:pt idx="145">
                  <c:v>0.68493150684931503</c:v>
                </c:pt>
                <c:pt idx="146">
                  <c:v>0.6802721088435375</c:v>
                </c:pt>
                <c:pt idx="147">
                  <c:v>0.67567567567567566</c:v>
                </c:pt>
                <c:pt idx="148">
                  <c:v>0.67114093959731547</c:v>
                </c:pt>
                <c:pt idx="149">
                  <c:v>0.66666666666666674</c:v>
                </c:pt>
                <c:pt idx="150">
                  <c:v>0.66225165562913912</c:v>
                </c:pt>
                <c:pt idx="151">
                  <c:v>0.65789473684210531</c:v>
                </c:pt>
                <c:pt idx="152">
                  <c:v>0.65359477124183019</c:v>
                </c:pt>
                <c:pt idx="153">
                  <c:v>0.64935064935064934</c:v>
                </c:pt>
                <c:pt idx="154">
                  <c:v>0.64516129032258063</c:v>
                </c:pt>
                <c:pt idx="155">
                  <c:v>0.64102564102564108</c:v>
                </c:pt>
                <c:pt idx="156">
                  <c:v>0.63694267515923564</c:v>
                </c:pt>
                <c:pt idx="157">
                  <c:v>0.63291139240506333</c:v>
                </c:pt>
                <c:pt idx="158">
                  <c:v>0.62893081761006275</c:v>
                </c:pt>
                <c:pt idx="159">
                  <c:v>0.625</c:v>
                </c:pt>
                <c:pt idx="160">
                  <c:v>0.6211180124223602</c:v>
                </c:pt>
                <c:pt idx="161">
                  <c:v>0.61728395061728392</c:v>
                </c:pt>
                <c:pt idx="162">
                  <c:v>0.61349693251533743</c:v>
                </c:pt>
                <c:pt idx="163">
                  <c:v>0.6097560975609756</c:v>
                </c:pt>
                <c:pt idx="164">
                  <c:v>0.60606060606060597</c:v>
                </c:pt>
                <c:pt idx="165">
                  <c:v>0.60240963855421692</c:v>
                </c:pt>
                <c:pt idx="166">
                  <c:v>0.59880239520958078</c:v>
                </c:pt>
                <c:pt idx="167">
                  <c:v>0.59523809523809512</c:v>
                </c:pt>
                <c:pt idx="168">
                  <c:v>0.59171597633136097</c:v>
                </c:pt>
                <c:pt idx="169">
                  <c:v>0.58823529411764708</c:v>
                </c:pt>
                <c:pt idx="170">
                  <c:v>0.58479532163742687</c:v>
                </c:pt>
                <c:pt idx="171">
                  <c:v>0.58139534883720934</c:v>
                </c:pt>
                <c:pt idx="172">
                  <c:v>0.5780346820809249</c:v>
                </c:pt>
                <c:pt idx="173">
                  <c:v>0.57471264367816088</c:v>
                </c:pt>
                <c:pt idx="174">
                  <c:v>0.5714285714285714</c:v>
                </c:pt>
                <c:pt idx="175">
                  <c:v>0.56818181818181823</c:v>
                </c:pt>
                <c:pt idx="176">
                  <c:v>0.56497175141242939</c:v>
                </c:pt>
                <c:pt idx="177">
                  <c:v>0.5617977528089888</c:v>
                </c:pt>
                <c:pt idx="178">
                  <c:v>0.55865921787709494</c:v>
                </c:pt>
                <c:pt idx="179">
                  <c:v>0.55555555555555558</c:v>
                </c:pt>
                <c:pt idx="180">
                  <c:v>0.5524861878453039</c:v>
                </c:pt>
                <c:pt idx="181">
                  <c:v>0.5494505494505495</c:v>
                </c:pt>
                <c:pt idx="182">
                  <c:v>0.54644808743169404</c:v>
                </c:pt>
                <c:pt idx="183">
                  <c:v>0.5434782608695653</c:v>
                </c:pt>
                <c:pt idx="184">
                  <c:v>0.54054054054054057</c:v>
                </c:pt>
                <c:pt idx="185">
                  <c:v>0.5376344086021505</c:v>
                </c:pt>
                <c:pt idx="186">
                  <c:v>0.53475935828877008</c:v>
                </c:pt>
                <c:pt idx="187">
                  <c:v>0.53191489361702127</c:v>
                </c:pt>
                <c:pt idx="188">
                  <c:v>0.52910052910052907</c:v>
                </c:pt>
                <c:pt idx="189">
                  <c:v>0.52631578947368429</c:v>
                </c:pt>
                <c:pt idx="190">
                  <c:v>0.52356020942408377</c:v>
                </c:pt>
                <c:pt idx="191">
                  <c:v>0.52083333333333337</c:v>
                </c:pt>
                <c:pt idx="192">
                  <c:v>0.51813471502590669</c:v>
                </c:pt>
                <c:pt idx="193">
                  <c:v>0.51546391752577314</c:v>
                </c:pt>
                <c:pt idx="194">
                  <c:v>0.51282051282051277</c:v>
                </c:pt>
                <c:pt idx="195">
                  <c:v>0.51020408163265296</c:v>
                </c:pt>
                <c:pt idx="196">
                  <c:v>0.50761421319796951</c:v>
                </c:pt>
                <c:pt idx="197">
                  <c:v>0.50505050505050508</c:v>
                </c:pt>
                <c:pt idx="198">
                  <c:v>0.50251256281407031</c:v>
                </c:pt>
                <c:pt idx="199">
                  <c:v>0.5</c:v>
                </c:pt>
                <c:pt idx="200">
                  <c:v>0.49751243781094528</c:v>
                </c:pt>
                <c:pt idx="201">
                  <c:v>0.49504950495049499</c:v>
                </c:pt>
                <c:pt idx="202">
                  <c:v>0.49261083743842365</c:v>
                </c:pt>
                <c:pt idx="203">
                  <c:v>0.49019607843137253</c:v>
                </c:pt>
                <c:pt idx="204">
                  <c:v>0.48780487804878048</c:v>
                </c:pt>
                <c:pt idx="205">
                  <c:v>0.4854368932038835</c:v>
                </c:pt>
                <c:pt idx="206">
                  <c:v>0.48309178743961351</c:v>
                </c:pt>
                <c:pt idx="207">
                  <c:v>0.48076923076923078</c:v>
                </c:pt>
                <c:pt idx="208">
                  <c:v>0.4784688995215311</c:v>
                </c:pt>
                <c:pt idx="209">
                  <c:v>0.47619047619047616</c:v>
                </c:pt>
                <c:pt idx="210">
                  <c:v>0.47393364928909953</c:v>
                </c:pt>
                <c:pt idx="211">
                  <c:v>0.47169811320754718</c:v>
                </c:pt>
                <c:pt idx="212">
                  <c:v>0.46948356807511737</c:v>
                </c:pt>
                <c:pt idx="213">
                  <c:v>0.46728971962616822</c:v>
                </c:pt>
                <c:pt idx="214">
                  <c:v>0.46511627906976744</c:v>
                </c:pt>
                <c:pt idx="215">
                  <c:v>0.46296296296296297</c:v>
                </c:pt>
                <c:pt idx="216">
                  <c:v>0.46082949308755761</c:v>
                </c:pt>
                <c:pt idx="217">
                  <c:v>0.45871559633027525</c:v>
                </c:pt>
                <c:pt idx="218">
                  <c:v>0.45662100456621002</c:v>
                </c:pt>
                <c:pt idx="219">
                  <c:v>0.45454545454545453</c:v>
                </c:pt>
                <c:pt idx="220">
                  <c:v>0.45248868778280543</c:v>
                </c:pt>
                <c:pt idx="221">
                  <c:v>0.45045045045045046</c:v>
                </c:pt>
                <c:pt idx="222">
                  <c:v>0.44843049327354262</c:v>
                </c:pt>
                <c:pt idx="223">
                  <c:v>0.44642857142857145</c:v>
                </c:pt>
                <c:pt idx="224">
                  <c:v>0.44444444444444442</c:v>
                </c:pt>
                <c:pt idx="225">
                  <c:v>0.44247787610619471</c:v>
                </c:pt>
                <c:pt idx="226">
                  <c:v>0.44052863436123346</c:v>
                </c:pt>
                <c:pt idx="227">
                  <c:v>0.43859649122807015</c:v>
                </c:pt>
                <c:pt idx="228">
                  <c:v>0.4366812227074236</c:v>
                </c:pt>
                <c:pt idx="229">
                  <c:v>0.43478260869565216</c:v>
                </c:pt>
                <c:pt idx="230">
                  <c:v>0.4329004329004329</c:v>
                </c:pt>
                <c:pt idx="231">
                  <c:v>0.43103448275862066</c:v>
                </c:pt>
                <c:pt idx="232">
                  <c:v>0.42918454935622319</c:v>
                </c:pt>
                <c:pt idx="233">
                  <c:v>0.42735042735042733</c:v>
                </c:pt>
                <c:pt idx="234">
                  <c:v>0.42553191489361702</c:v>
                </c:pt>
                <c:pt idx="235">
                  <c:v>0.42372881355932202</c:v>
                </c:pt>
                <c:pt idx="236">
                  <c:v>0.4219409282700422</c:v>
                </c:pt>
                <c:pt idx="237">
                  <c:v>0.42016806722689076</c:v>
                </c:pt>
                <c:pt idx="238">
                  <c:v>0.41841004184100417</c:v>
                </c:pt>
                <c:pt idx="239">
                  <c:v>0.41666666666666669</c:v>
                </c:pt>
                <c:pt idx="240">
                  <c:v>0.41493775933609961</c:v>
                </c:pt>
                <c:pt idx="241">
                  <c:v>0.41322314049586778</c:v>
                </c:pt>
                <c:pt idx="242">
                  <c:v>0.41152263374485598</c:v>
                </c:pt>
                <c:pt idx="243">
                  <c:v>0.4098360655737705</c:v>
                </c:pt>
                <c:pt idx="244">
                  <c:v>0.40816326530612246</c:v>
                </c:pt>
                <c:pt idx="245">
                  <c:v>0.4065040650406504</c:v>
                </c:pt>
                <c:pt idx="246">
                  <c:v>0.40485829959514169</c:v>
                </c:pt>
                <c:pt idx="247">
                  <c:v>0.40322580645161288</c:v>
                </c:pt>
                <c:pt idx="248">
                  <c:v>0.40160642570281124</c:v>
                </c:pt>
                <c:pt idx="249">
                  <c:v>0.4</c:v>
                </c:pt>
                <c:pt idx="250">
                  <c:v>0.39840637450199201</c:v>
                </c:pt>
                <c:pt idx="251">
                  <c:v>0.3968253968253968</c:v>
                </c:pt>
                <c:pt idx="252">
                  <c:v>0.39525691699604742</c:v>
                </c:pt>
                <c:pt idx="253">
                  <c:v>0.39370078740157483</c:v>
                </c:pt>
                <c:pt idx="254">
                  <c:v>0.39215686274509803</c:v>
                </c:pt>
                <c:pt idx="255">
                  <c:v>0.390625</c:v>
                </c:pt>
                <c:pt idx="256">
                  <c:v>0.38910505836575876</c:v>
                </c:pt>
                <c:pt idx="257">
                  <c:v>0.38759689922480622</c:v>
                </c:pt>
                <c:pt idx="258">
                  <c:v>0.38610038610038611</c:v>
                </c:pt>
                <c:pt idx="259">
                  <c:v>0.38461538461538464</c:v>
                </c:pt>
                <c:pt idx="260">
                  <c:v>0.38314176245210729</c:v>
                </c:pt>
                <c:pt idx="261">
                  <c:v>0.38167938931297712</c:v>
                </c:pt>
                <c:pt idx="262">
                  <c:v>0.38022813688212925</c:v>
                </c:pt>
                <c:pt idx="263">
                  <c:v>0.37878787878787878</c:v>
                </c:pt>
                <c:pt idx="264">
                  <c:v>0.37735849056603776</c:v>
                </c:pt>
                <c:pt idx="265">
                  <c:v>0.37593984962406013</c:v>
                </c:pt>
                <c:pt idx="266">
                  <c:v>0.37453183520599254</c:v>
                </c:pt>
                <c:pt idx="267">
                  <c:v>0.37313432835820898</c:v>
                </c:pt>
                <c:pt idx="268">
                  <c:v>0.37174721189591076</c:v>
                </c:pt>
                <c:pt idx="269">
                  <c:v>0.37037037037037035</c:v>
                </c:pt>
                <c:pt idx="270">
                  <c:v>0.36900369003690037</c:v>
                </c:pt>
                <c:pt idx="271">
                  <c:v>0.36764705882352944</c:v>
                </c:pt>
                <c:pt idx="272">
                  <c:v>0.36630036630036628</c:v>
                </c:pt>
                <c:pt idx="273">
                  <c:v>0.36496350364963503</c:v>
                </c:pt>
                <c:pt idx="274">
                  <c:v>0.36363636363636365</c:v>
                </c:pt>
                <c:pt idx="275">
                  <c:v>0.36231884057971014</c:v>
                </c:pt>
                <c:pt idx="276">
                  <c:v>0.36101083032490977</c:v>
                </c:pt>
                <c:pt idx="277">
                  <c:v>0.35971223021582732</c:v>
                </c:pt>
                <c:pt idx="278">
                  <c:v>0.35842293906810035</c:v>
                </c:pt>
                <c:pt idx="279">
                  <c:v>0.35714285714285715</c:v>
                </c:pt>
                <c:pt idx="280">
                  <c:v>0.35587188612099646</c:v>
                </c:pt>
                <c:pt idx="281">
                  <c:v>0.3546099290780142</c:v>
                </c:pt>
                <c:pt idx="282">
                  <c:v>0.35335689045936397</c:v>
                </c:pt>
                <c:pt idx="283">
                  <c:v>0.352112676056338</c:v>
                </c:pt>
                <c:pt idx="284">
                  <c:v>0.35087719298245612</c:v>
                </c:pt>
                <c:pt idx="285">
                  <c:v>0.34965034965034963</c:v>
                </c:pt>
                <c:pt idx="286">
                  <c:v>0.34843205574912894</c:v>
                </c:pt>
                <c:pt idx="287">
                  <c:v>0.34722222222222221</c:v>
                </c:pt>
                <c:pt idx="288">
                  <c:v>0.34602076124567471</c:v>
                </c:pt>
                <c:pt idx="289">
                  <c:v>0.34482758620689657</c:v>
                </c:pt>
                <c:pt idx="290">
                  <c:v>0.3436426116838488</c:v>
                </c:pt>
                <c:pt idx="291">
                  <c:v>0.34246575342465752</c:v>
                </c:pt>
                <c:pt idx="292">
                  <c:v>0.34129692832764508</c:v>
                </c:pt>
                <c:pt idx="293">
                  <c:v>0.34013605442176875</c:v>
                </c:pt>
                <c:pt idx="294">
                  <c:v>0.33898305084745761</c:v>
                </c:pt>
                <c:pt idx="295">
                  <c:v>0.33783783783783783</c:v>
                </c:pt>
                <c:pt idx="296">
                  <c:v>0.33670033670033678</c:v>
                </c:pt>
                <c:pt idx="297">
                  <c:v>0.33557046979865773</c:v>
                </c:pt>
                <c:pt idx="298">
                  <c:v>0.33444816053511706</c:v>
                </c:pt>
                <c:pt idx="299">
                  <c:v>0.33333333333333337</c:v>
                </c:pt>
                <c:pt idx="300">
                  <c:v>0.33222591362126247</c:v>
                </c:pt>
                <c:pt idx="301">
                  <c:v>0.33112582781456956</c:v>
                </c:pt>
                <c:pt idx="302">
                  <c:v>0.33003300330033009</c:v>
                </c:pt>
                <c:pt idx="303">
                  <c:v>0.32894736842105265</c:v>
                </c:pt>
                <c:pt idx="304">
                  <c:v>0.32786885245901637</c:v>
                </c:pt>
                <c:pt idx="305">
                  <c:v>0.32679738562091509</c:v>
                </c:pt>
                <c:pt idx="306">
                  <c:v>0.32573289902280128</c:v>
                </c:pt>
                <c:pt idx="307">
                  <c:v>0.32467532467532467</c:v>
                </c:pt>
                <c:pt idx="308">
                  <c:v>0.3236245954692557</c:v>
                </c:pt>
                <c:pt idx="309">
                  <c:v>0.32258064516129031</c:v>
                </c:pt>
                <c:pt idx="310">
                  <c:v>0.32154340836012862</c:v>
                </c:pt>
                <c:pt idx="311">
                  <c:v>0.32051282051282054</c:v>
                </c:pt>
                <c:pt idx="312">
                  <c:v>0.31948881789137379</c:v>
                </c:pt>
                <c:pt idx="313">
                  <c:v>0.31847133757961782</c:v>
                </c:pt>
                <c:pt idx="314">
                  <c:v>0.31746031746031739</c:v>
                </c:pt>
                <c:pt idx="315">
                  <c:v>0.31645569620253167</c:v>
                </c:pt>
                <c:pt idx="316">
                  <c:v>0.31545741324921134</c:v>
                </c:pt>
                <c:pt idx="317">
                  <c:v>0.31446540880503138</c:v>
                </c:pt>
                <c:pt idx="318">
                  <c:v>0.31347962382445144</c:v>
                </c:pt>
                <c:pt idx="319">
                  <c:v>0.3125</c:v>
                </c:pt>
                <c:pt idx="320">
                  <c:v>0.3115264797507788</c:v>
                </c:pt>
                <c:pt idx="321">
                  <c:v>0.3105590062111801</c:v>
                </c:pt>
                <c:pt idx="322">
                  <c:v>0.30959752321981426</c:v>
                </c:pt>
                <c:pt idx="323">
                  <c:v>0.30864197530864196</c:v>
                </c:pt>
                <c:pt idx="324">
                  <c:v>0.30769230769230771</c:v>
                </c:pt>
                <c:pt idx="325">
                  <c:v>0.30674846625766872</c:v>
                </c:pt>
                <c:pt idx="326">
                  <c:v>0.3058103975535168</c:v>
                </c:pt>
                <c:pt idx="327">
                  <c:v>0.3048780487804878</c:v>
                </c:pt>
                <c:pt idx="328">
                  <c:v>0.303951367781155</c:v>
                </c:pt>
                <c:pt idx="329">
                  <c:v>0.30303030303030298</c:v>
                </c:pt>
                <c:pt idx="330">
                  <c:v>0.30211480362537763</c:v>
                </c:pt>
                <c:pt idx="331">
                  <c:v>0.30120481927710846</c:v>
                </c:pt>
                <c:pt idx="332">
                  <c:v>0.30030030030030025</c:v>
                </c:pt>
                <c:pt idx="333">
                  <c:v>0.29940119760479039</c:v>
                </c:pt>
                <c:pt idx="334">
                  <c:v>0.29850746268656714</c:v>
                </c:pt>
                <c:pt idx="335">
                  <c:v>0.29761904761904756</c:v>
                </c:pt>
                <c:pt idx="336">
                  <c:v>0.29673590504451036</c:v>
                </c:pt>
                <c:pt idx="337">
                  <c:v>0.29585798816568049</c:v>
                </c:pt>
                <c:pt idx="338">
                  <c:v>0.29498525073746307</c:v>
                </c:pt>
                <c:pt idx="339">
                  <c:v>0.29411764705882354</c:v>
                </c:pt>
                <c:pt idx="340">
                  <c:v>0.2932551319648094</c:v>
                </c:pt>
                <c:pt idx="341">
                  <c:v>0.29239766081871343</c:v>
                </c:pt>
                <c:pt idx="342">
                  <c:v>0.29154518950437319</c:v>
                </c:pt>
                <c:pt idx="343">
                  <c:v>0.29069767441860467</c:v>
                </c:pt>
                <c:pt idx="344">
                  <c:v>0.28985507246376807</c:v>
                </c:pt>
                <c:pt idx="345">
                  <c:v>0.28901734104046245</c:v>
                </c:pt>
                <c:pt idx="346">
                  <c:v>0.28818443804034583</c:v>
                </c:pt>
                <c:pt idx="347">
                  <c:v>0.28735632183908044</c:v>
                </c:pt>
                <c:pt idx="348">
                  <c:v>0.28653295128939826</c:v>
                </c:pt>
                <c:pt idx="349">
                  <c:v>0.2857142857142857</c:v>
                </c:pt>
                <c:pt idx="350">
                  <c:v>0.28490028490028491</c:v>
                </c:pt>
                <c:pt idx="351">
                  <c:v>0.28409090909090912</c:v>
                </c:pt>
                <c:pt idx="352">
                  <c:v>0.28328611898016998</c:v>
                </c:pt>
                <c:pt idx="353">
                  <c:v>0.2824858757062147</c:v>
                </c:pt>
                <c:pt idx="354">
                  <c:v>0.28169014084507044</c:v>
                </c:pt>
                <c:pt idx="355">
                  <c:v>0.2808988764044944</c:v>
                </c:pt>
                <c:pt idx="356">
                  <c:v>0.28011204481792717</c:v>
                </c:pt>
                <c:pt idx="357">
                  <c:v>0.27932960893854747</c:v>
                </c:pt>
                <c:pt idx="358">
                  <c:v>0.2785515320334262</c:v>
                </c:pt>
                <c:pt idx="359">
                  <c:v>0.27777777777777779</c:v>
                </c:pt>
                <c:pt idx="360">
                  <c:v>0.2770083102493075</c:v>
                </c:pt>
                <c:pt idx="361">
                  <c:v>0.27624309392265195</c:v>
                </c:pt>
                <c:pt idx="362">
                  <c:v>0.27548209366391185</c:v>
                </c:pt>
                <c:pt idx="363">
                  <c:v>0.27472527472527475</c:v>
                </c:pt>
                <c:pt idx="364">
                  <c:v>0.27397260273972607</c:v>
                </c:pt>
                <c:pt idx="365">
                  <c:v>0.27322404371584702</c:v>
                </c:pt>
                <c:pt idx="366">
                  <c:v>0.27247956403269757</c:v>
                </c:pt>
                <c:pt idx="367">
                  <c:v>0.27173913043478265</c:v>
                </c:pt>
                <c:pt idx="368">
                  <c:v>0.27100271002710025</c:v>
                </c:pt>
                <c:pt idx="369">
                  <c:v>0.27027027027027029</c:v>
                </c:pt>
                <c:pt idx="370">
                  <c:v>0.26954177897574128</c:v>
                </c:pt>
                <c:pt idx="371">
                  <c:v>0.26881720430107525</c:v>
                </c:pt>
                <c:pt idx="372">
                  <c:v>0.26809651474530832</c:v>
                </c:pt>
                <c:pt idx="373">
                  <c:v>0.26737967914438504</c:v>
                </c:pt>
                <c:pt idx="374">
                  <c:v>0.26666666666666666</c:v>
                </c:pt>
                <c:pt idx="375">
                  <c:v>0.26595744680851063</c:v>
                </c:pt>
                <c:pt idx="376">
                  <c:v>0.26525198938992045</c:v>
                </c:pt>
                <c:pt idx="377">
                  <c:v>0.26455026455026454</c:v>
                </c:pt>
                <c:pt idx="378">
                  <c:v>0.26385224274406333</c:v>
                </c:pt>
                <c:pt idx="379">
                  <c:v>0.26315789473684215</c:v>
                </c:pt>
                <c:pt idx="380">
                  <c:v>0.26246719160104987</c:v>
                </c:pt>
                <c:pt idx="381">
                  <c:v>0.26178010471204188</c:v>
                </c:pt>
                <c:pt idx="382">
                  <c:v>0.26109660574412535</c:v>
                </c:pt>
                <c:pt idx="383">
                  <c:v>0.26041666666666669</c:v>
                </c:pt>
                <c:pt idx="384">
                  <c:v>0.25974025974025972</c:v>
                </c:pt>
                <c:pt idx="385">
                  <c:v>0.25906735751295334</c:v>
                </c:pt>
                <c:pt idx="386">
                  <c:v>0.25839793281653745</c:v>
                </c:pt>
                <c:pt idx="387">
                  <c:v>0.25773195876288657</c:v>
                </c:pt>
                <c:pt idx="388">
                  <c:v>0.25706940874035988</c:v>
                </c:pt>
                <c:pt idx="389">
                  <c:v>0.25641025641025639</c:v>
                </c:pt>
                <c:pt idx="390">
                  <c:v>0.25575447570332482</c:v>
                </c:pt>
                <c:pt idx="391">
                  <c:v>0.25510204081632648</c:v>
                </c:pt>
                <c:pt idx="392">
                  <c:v>0.2544529262086514</c:v>
                </c:pt>
                <c:pt idx="393">
                  <c:v>0.25380710659898476</c:v>
                </c:pt>
                <c:pt idx="394">
                  <c:v>0.25316455696202528</c:v>
                </c:pt>
                <c:pt idx="395">
                  <c:v>0.25252525252525254</c:v>
                </c:pt>
                <c:pt idx="396">
                  <c:v>0.25188916876574308</c:v>
                </c:pt>
                <c:pt idx="397">
                  <c:v>0.25125628140703515</c:v>
                </c:pt>
                <c:pt idx="398">
                  <c:v>0.25062656641604009</c:v>
                </c:pt>
                <c:pt idx="399">
                  <c:v>0.25</c:v>
                </c:pt>
                <c:pt idx="400">
                  <c:v>0.24937655860349126</c:v>
                </c:pt>
                <c:pt idx="401">
                  <c:v>0.24875621890547264</c:v>
                </c:pt>
                <c:pt idx="402">
                  <c:v>0.24813895781637718</c:v>
                </c:pt>
                <c:pt idx="403">
                  <c:v>0.24752475247524749</c:v>
                </c:pt>
                <c:pt idx="404">
                  <c:v>0.24691358024691357</c:v>
                </c:pt>
                <c:pt idx="405">
                  <c:v>0.24630541871921183</c:v>
                </c:pt>
                <c:pt idx="406">
                  <c:v>0.24570024570024568</c:v>
                </c:pt>
                <c:pt idx="407">
                  <c:v>0.24509803921568626</c:v>
                </c:pt>
                <c:pt idx="408">
                  <c:v>0.24449877750611246</c:v>
                </c:pt>
                <c:pt idx="409">
                  <c:v>0.24390243902439024</c:v>
                </c:pt>
                <c:pt idx="410">
                  <c:v>0.24330900243309003</c:v>
                </c:pt>
                <c:pt idx="411">
                  <c:v>0.24271844660194175</c:v>
                </c:pt>
                <c:pt idx="412">
                  <c:v>0.24213075060532688</c:v>
                </c:pt>
                <c:pt idx="413">
                  <c:v>0.24154589371980675</c:v>
                </c:pt>
                <c:pt idx="414">
                  <c:v>0.24096385542168675</c:v>
                </c:pt>
                <c:pt idx="415">
                  <c:v>0.24038461538461539</c:v>
                </c:pt>
                <c:pt idx="416">
                  <c:v>0.23980815347721823</c:v>
                </c:pt>
                <c:pt idx="417">
                  <c:v>0.23923444976076555</c:v>
                </c:pt>
                <c:pt idx="418">
                  <c:v>0.2386634844868735</c:v>
                </c:pt>
                <c:pt idx="419">
                  <c:v>0.23809523809523808</c:v>
                </c:pt>
                <c:pt idx="420">
                  <c:v>0.23752969121140141</c:v>
                </c:pt>
                <c:pt idx="421">
                  <c:v>0.23696682464454977</c:v>
                </c:pt>
                <c:pt idx="422">
                  <c:v>0.2364066193853428</c:v>
                </c:pt>
                <c:pt idx="423">
                  <c:v>0.23584905660377359</c:v>
                </c:pt>
                <c:pt idx="424">
                  <c:v>0.23529411764705882</c:v>
                </c:pt>
                <c:pt idx="425">
                  <c:v>0.23474178403755869</c:v>
                </c:pt>
                <c:pt idx="426">
                  <c:v>0.23419203747072601</c:v>
                </c:pt>
                <c:pt idx="427">
                  <c:v>0.23364485981308411</c:v>
                </c:pt>
                <c:pt idx="428">
                  <c:v>0.23310023310023309</c:v>
                </c:pt>
                <c:pt idx="429">
                  <c:v>0.23255813953488372</c:v>
                </c:pt>
                <c:pt idx="430">
                  <c:v>0.23201856148491878</c:v>
                </c:pt>
                <c:pt idx="431">
                  <c:v>0.23148148148148148</c:v>
                </c:pt>
                <c:pt idx="432">
                  <c:v>0.23094688221709006</c:v>
                </c:pt>
                <c:pt idx="433">
                  <c:v>0.2304147465437788</c:v>
                </c:pt>
                <c:pt idx="434">
                  <c:v>0.22988505747126436</c:v>
                </c:pt>
                <c:pt idx="435">
                  <c:v>0.22935779816513763</c:v>
                </c:pt>
                <c:pt idx="436">
                  <c:v>0.2288329519450801</c:v>
                </c:pt>
                <c:pt idx="437">
                  <c:v>0.22831050228310501</c:v>
                </c:pt>
                <c:pt idx="438">
                  <c:v>0.22779043280182232</c:v>
                </c:pt>
                <c:pt idx="439">
                  <c:v>0.22727272727272727</c:v>
                </c:pt>
                <c:pt idx="440">
                  <c:v>0.22675736961451248</c:v>
                </c:pt>
                <c:pt idx="441">
                  <c:v>0.22624434389140272</c:v>
                </c:pt>
                <c:pt idx="442">
                  <c:v>0.22573363431151242</c:v>
                </c:pt>
                <c:pt idx="443">
                  <c:v>0.22522522522522523</c:v>
                </c:pt>
                <c:pt idx="444">
                  <c:v>0.2247191011235955</c:v>
                </c:pt>
                <c:pt idx="445">
                  <c:v>0.22421524663677131</c:v>
                </c:pt>
                <c:pt idx="446">
                  <c:v>0.22371364653243847</c:v>
                </c:pt>
                <c:pt idx="447">
                  <c:v>0.22321428571428573</c:v>
                </c:pt>
                <c:pt idx="448">
                  <c:v>0.22271714922048999</c:v>
                </c:pt>
                <c:pt idx="449">
                  <c:v>0.22222222222222221</c:v>
                </c:pt>
                <c:pt idx="450">
                  <c:v>0.22172949002217296</c:v>
                </c:pt>
                <c:pt idx="451">
                  <c:v>0.22123893805309736</c:v>
                </c:pt>
                <c:pt idx="452">
                  <c:v>0.22075055187637968</c:v>
                </c:pt>
                <c:pt idx="453">
                  <c:v>0.22026431718061673</c:v>
                </c:pt>
                <c:pt idx="454">
                  <c:v>0.21978021978021978</c:v>
                </c:pt>
                <c:pt idx="455">
                  <c:v>0.21929824561403508</c:v>
                </c:pt>
                <c:pt idx="456">
                  <c:v>0.21881838074398249</c:v>
                </c:pt>
                <c:pt idx="457">
                  <c:v>0.2183406113537118</c:v>
                </c:pt>
                <c:pt idx="458">
                  <c:v>0.2178649237472767</c:v>
                </c:pt>
                <c:pt idx="459">
                  <c:v>0.21739130434782608</c:v>
                </c:pt>
                <c:pt idx="460">
                  <c:v>0.21691973969631237</c:v>
                </c:pt>
                <c:pt idx="461">
                  <c:v>0.21645021645021645</c:v>
                </c:pt>
                <c:pt idx="462">
                  <c:v>0.21598272138228941</c:v>
                </c:pt>
                <c:pt idx="463">
                  <c:v>0.21551724137931033</c:v>
                </c:pt>
                <c:pt idx="464">
                  <c:v>0.21505376344086022</c:v>
                </c:pt>
                <c:pt idx="465">
                  <c:v>0.21459227467811159</c:v>
                </c:pt>
                <c:pt idx="466">
                  <c:v>0.21413276231263384</c:v>
                </c:pt>
                <c:pt idx="467">
                  <c:v>0.21367521367521367</c:v>
                </c:pt>
                <c:pt idx="468">
                  <c:v>0.21321961620469082</c:v>
                </c:pt>
                <c:pt idx="469">
                  <c:v>0.21276595744680851</c:v>
                </c:pt>
                <c:pt idx="470">
                  <c:v>0.21231422505307856</c:v>
                </c:pt>
                <c:pt idx="471">
                  <c:v>0.21186440677966101</c:v>
                </c:pt>
                <c:pt idx="472">
                  <c:v>0.21141649048625794</c:v>
                </c:pt>
                <c:pt idx="473">
                  <c:v>0.2109704641350211</c:v>
                </c:pt>
                <c:pt idx="474">
                  <c:v>0.21052631578947367</c:v>
                </c:pt>
                <c:pt idx="475">
                  <c:v>0.21008403361344538</c:v>
                </c:pt>
                <c:pt idx="476">
                  <c:v>0.20964360587002095</c:v>
                </c:pt>
                <c:pt idx="477">
                  <c:v>0.20920502092050208</c:v>
                </c:pt>
                <c:pt idx="478">
                  <c:v>0.20876826722338204</c:v>
                </c:pt>
                <c:pt idx="479">
                  <c:v>0.20833333333333334</c:v>
                </c:pt>
                <c:pt idx="480">
                  <c:v>0.20790020790020791</c:v>
                </c:pt>
                <c:pt idx="481">
                  <c:v>0.2074688796680498</c:v>
                </c:pt>
                <c:pt idx="482">
                  <c:v>0.20703933747412009</c:v>
                </c:pt>
                <c:pt idx="483">
                  <c:v>0.20661157024793389</c:v>
                </c:pt>
                <c:pt idx="484">
                  <c:v>0.20618556701030927</c:v>
                </c:pt>
                <c:pt idx="485">
                  <c:v>0.20576131687242799</c:v>
                </c:pt>
                <c:pt idx="486">
                  <c:v>0.20533880903490759</c:v>
                </c:pt>
                <c:pt idx="487">
                  <c:v>0.20491803278688525</c:v>
                </c:pt>
                <c:pt idx="488">
                  <c:v>0.20449897750511248</c:v>
                </c:pt>
                <c:pt idx="489">
                  <c:v>0.20408163265306123</c:v>
                </c:pt>
                <c:pt idx="490">
                  <c:v>0.20366598778004075</c:v>
                </c:pt>
                <c:pt idx="491">
                  <c:v>0.2032520325203252</c:v>
                </c:pt>
                <c:pt idx="492">
                  <c:v>0.20283975659229209</c:v>
                </c:pt>
                <c:pt idx="493">
                  <c:v>0.20242914979757085</c:v>
                </c:pt>
                <c:pt idx="494">
                  <c:v>0.20202020202020202</c:v>
                </c:pt>
                <c:pt idx="495">
                  <c:v>0.20161290322580644</c:v>
                </c:pt>
                <c:pt idx="496">
                  <c:v>0.2012072434607646</c:v>
                </c:pt>
                <c:pt idx="497">
                  <c:v>0.20080321285140562</c:v>
                </c:pt>
                <c:pt idx="498">
                  <c:v>0.20040080160320642</c:v>
                </c:pt>
                <c:pt idx="499">
                  <c:v>0.2</c:v>
                </c:pt>
                <c:pt idx="500">
                  <c:v>0.19960079840319361</c:v>
                </c:pt>
                <c:pt idx="501">
                  <c:v>0.19920318725099601</c:v>
                </c:pt>
                <c:pt idx="502">
                  <c:v>0.19880715705765409</c:v>
                </c:pt>
                <c:pt idx="503">
                  <c:v>0.1984126984126984</c:v>
                </c:pt>
                <c:pt idx="504">
                  <c:v>0.19801980198019803</c:v>
                </c:pt>
                <c:pt idx="505">
                  <c:v>0.19762845849802371</c:v>
                </c:pt>
                <c:pt idx="506">
                  <c:v>0.19723865877712032</c:v>
                </c:pt>
                <c:pt idx="507">
                  <c:v>0.19685039370078741</c:v>
                </c:pt>
                <c:pt idx="508">
                  <c:v>0.19646365422396855</c:v>
                </c:pt>
                <c:pt idx="509">
                  <c:v>0.19607843137254902</c:v>
                </c:pt>
                <c:pt idx="510">
                  <c:v>0.19569471624266144</c:v>
                </c:pt>
                <c:pt idx="511">
                  <c:v>0.1953125</c:v>
                </c:pt>
                <c:pt idx="512">
                  <c:v>0.19493177387914229</c:v>
                </c:pt>
                <c:pt idx="513">
                  <c:v>0.19455252918287938</c:v>
                </c:pt>
                <c:pt idx="514">
                  <c:v>0.1941747572815534</c:v>
                </c:pt>
                <c:pt idx="515">
                  <c:v>0.19379844961240311</c:v>
                </c:pt>
                <c:pt idx="516">
                  <c:v>0.19342359767891681</c:v>
                </c:pt>
                <c:pt idx="517">
                  <c:v>0.19305019305019305</c:v>
                </c:pt>
                <c:pt idx="518">
                  <c:v>0.19267822736030829</c:v>
                </c:pt>
                <c:pt idx="519">
                  <c:v>0.19230769230769232</c:v>
                </c:pt>
                <c:pt idx="520">
                  <c:v>0.19193857965451055</c:v>
                </c:pt>
                <c:pt idx="521">
                  <c:v>0.19157088122605365</c:v>
                </c:pt>
                <c:pt idx="522">
                  <c:v>0.19120458891013384</c:v>
                </c:pt>
                <c:pt idx="523">
                  <c:v>0.19083969465648856</c:v>
                </c:pt>
                <c:pt idx="524">
                  <c:v>0.19047619047619047</c:v>
                </c:pt>
                <c:pt idx="525">
                  <c:v>0.19011406844106463</c:v>
                </c:pt>
                <c:pt idx="526">
                  <c:v>0.18975332068311196</c:v>
                </c:pt>
                <c:pt idx="527">
                  <c:v>0.18939393939393939</c:v>
                </c:pt>
                <c:pt idx="528">
                  <c:v>0.1890359168241966</c:v>
                </c:pt>
                <c:pt idx="529">
                  <c:v>0.18867924528301888</c:v>
                </c:pt>
                <c:pt idx="530">
                  <c:v>0.18832391713747645</c:v>
                </c:pt>
                <c:pt idx="531">
                  <c:v>0.18796992481203006</c:v>
                </c:pt>
                <c:pt idx="532">
                  <c:v>0.18761726078799248</c:v>
                </c:pt>
                <c:pt idx="533">
                  <c:v>0.18726591760299627</c:v>
                </c:pt>
                <c:pt idx="534">
                  <c:v>0.18691588785046728</c:v>
                </c:pt>
                <c:pt idx="535">
                  <c:v>0.18656716417910449</c:v>
                </c:pt>
                <c:pt idx="536">
                  <c:v>0.18621973929236499</c:v>
                </c:pt>
                <c:pt idx="537">
                  <c:v>0.18587360594795538</c:v>
                </c:pt>
                <c:pt idx="538">
                  <c:v>0.18552875695732837</c:v>
                </c:pt>
                <c:pt idx="539">
                  <c:v>0.18518518518518517</c:v>
                </c:pt>
                <c:pt idx="540">
                  <c:v>0.18484288354898337</c:v>
                </c:pt>
                <c:pt idx="541">
                  <c:v>0.18450184501845018</c:v>
                </c:pt>
                <c:pt idx="542">
                  <c:v>0.18416206261510129</c:v>
                </c:pt>
                <c:pt idx="543">
                  <c:v>0.18382352941176472</c:v>
                </c:pt>
                <c:pt idx="544">
                  <c:v>0.1834862385321101</c:v>
                </c:pt>
                <c:pt idx="545">
                  <c:v>0.18315018315018314</c:v>
                </c:pt>
                <c:pt idx="546">
                  <c:v>0.18281535648994515</c:v>
                </c:pt>
                <c:pt idx="547">
                  <c:v>0.18248175182481752</c:v>
                </c:pt>
                <c:pt idx="548">
                  <c:v>0.18214936247723132</c:v>
                </c:pt>
                <c:pt idx="549">
                  <c:v>0.18181818181818182</c:v>
                </c:pt>
                <c:pt idx="550">
                  <c:v>0.18148820326678766</c:v>
                </c:pt>
                <c:pt idx="551">
                  <c:v>0.18115942028985507</c:v>
                </c:pt>
                <c:pt idx="552">
                  <c:v>0.18083182640144665</c:v>
                </c:pt>
                <c:pt idx="553">
                  <c:v>0.18050541516245489</c:v>
                </c:pt>
                <c:pt idx="554">
                  <c:v>0.18018018018018017</c:v>
                </c:pt>
                <c:pt idx="555">
                  <c:v>0.17985611510791366</c:v>
                </c:pt>
                <c:pt idx="556">
                  <c:v>0.17953321364452424</c:v>
                </c:pt>
                <c:pt idx="557">
                  <c:v>0.17921146953405018</c:v>
                </c:pt>
                <c:pt idx="558">
                  <c:v>0.17889087656529518</c:v>
                </c:pt>
                <c:pt idx="559">
                  <c:v>0.17857142857142858</c:v>
                </c:pt>
                <c:pt idx="560">
                  <c:v>0.17825311942959002</c:v>
                </c:pt>
                <c:pt idx="561">
                  <c:v>0.17793594306049823</c:v>
                </c:pt>
                <c:pt idx="562">
                  <c:v>0.17761989342806395</c:v>
                </c:pt>
                <c:pt idx="563">
                  <c:v>0.1773049645390071</c:v>
                </c:pt>
                <c:pt idx="564">
                  <c:v>0.17699115044247787</c:v>
                </c:pt>
                <c:pt idx="565">
                  <c:v>0.17667844522968199</c:v>
                </c:pt>
                <c:pt idx="566">
                  <c:v>0.17636684303350969</c:v>
                </c:pt>
                <c:pt idx="567">
                  <c:v>0.176056338028169</c:v>
                </c:pt>
                <c:pt idx="568">
                  <c:v>0.1757469244288225</c:v>
                </c:pt>
                <c:pt idx="569">
                  <c:v>0.17543859649122806</c:v>
                </c:pt>
                <c:pt idx="570">
                  <c:v>0.17513134851138354</c:v>
                </c:pt>
                <c:pt idx="571">
                  <c:v>0.17482517482517482</c:v>
                </c:pt>
                <c:pt idx="572">
                  <c:v>0.17452006980802792</c:v>
                </c:pt>
                <c:pt idx="573">
                  <c:v>0.17421602787456447</c:v>
                </c:pt>
                <c:pt idx="574">
                  <c:v>0.17391304347826086</c:v>
                </c:pt>
                <c:pt idx="575">
                  <c:v>0.1736111111111111</c:v>
                </c:pt>
                <c:pt idx="576">
                  <c:v>0.1733102253032929</c:v>
                </c:pt>
                <c:pt idx="577">
                  <c:v>0.17301038062283736</c:v>
                </c:pt>
                <c:pt idx="578">
                  <c:v>0.17271157167530224</c:v>
                </c:pt>
                <c:pt idx="579">
                  <c:v>0.17241379310344829</c:v>
                </c:pt>
                <c:pt idx="580">
                  <c:v>0.1721170395869191</c:v>
                </c:pt>
                <c:pt idx="581">
                  <c:v>0.1718213058419244</c:v>
                </c:pt>
                <c:pt idx="582">
                  <c:v>0.17152658662092624</c:v>
                </c:pt>
                <c:pt idx="583">
                  <c:v>0.17123287671232876</c:v>
                </c:pt>
                <c:pt idx="584">
                  <c:v>0.17094017094017094</c:v>
                </c:pt>
                <c:pt idx="585">
                  <c:v>0.17064846416382254</c:v>
                </c:pt>
                <c:pt idx="586">
                  <c:v>0.17035775127768313</c:v>
                </c:pt>
                <c:pt idx="587">
                  <c:v>0.17006802721088438</c:v>
                </c:pt>
                <c:pt idx="588">
                  <c:v>0.16977928692699487</c:v>
                </c:pt>
                <c:pt idx="589">
                  <c:v>0.16949152542372881</c:v>
                </c:pt>
                <c:pt idx="590">
                  <c:v>0.16920473773265651</c:v>
                </c:pt>
                <c:pt idx="591">
                  <c:v>0.16891891891891891</c:v>
                </c:pt>
                <c:pt idx="592">
                  <c:v>0.16863406408094436</c:v>
                </c:pt>
                <c:pt idx="593">
                  <c:v>0.16835016835016839</c:v>
                </c:pt>
                <c:pt idx="594">
                  <c:v>0.16806722689075629</c:v>
                </c:pt>
                <c:pt idx="595">
                  <c:v>0.16778523489932887</c:v>
                </c:pt>
                <c:pt idx="596">
                  <c:v>0.16750418760469013</c:v>
                </c:pt>
                <c:pt idx="597">
                  <c:v>0.16722408026755853</c:v>
                </c:pt>
                <c:pt idx="598">
                  <c:v>0.1669449081803005</c:v>
                </c:pt>
                <c:pt idx="599">
                  <c:v>0.16666666666666669</c:v>
                </c:pt>
                <c:pt idx="600">
                  <c:v>0.16638935108153075</c:v>
                </c:pt>
                <c:pt idx="601">
                  <c:v>0.16611295681063123</c:v>
                </c:pt>
                <c:pt idx="602">
                  <c:v>0.16583747927031509</c:v>
                </c:pt>
                <c:pt idx="603">
                  <c:v>0.16556291390728478</c:v>
                </c:pt>
                <c:pt idx="604">
                  <c:v>0.16528925619834711</c:v>
                </c:pt>
                <c:pt idx="605">
                  <c:v>0.16501650165016504</c:v>
                </c:pt>
                <c:pt idx="606">
                  <c:v>0.16474464579901152</c:v>
                </c:pt>
                <c:pt idx="607">
                  <c:v>0.16447368421052633</c:v>
                </c:pt>
                <c:pt idx="608">
                  <c:v>0.16420361247947454</c:v>
                </c:pt>
                <c:pt idx="609">
                  <c:v>0.16393442622950818</c:v>
                </c:pt>
                <c:pt idx="610">
                  <c:v>0.16366612111292964</c:v>
                </c:pt>
                <c:pt idx="611">
                  <c:v>0.16339869281045755</c:v>
                </c:pt>
                <c:pt idx="612">
                  <c:v>0.16313213703099508</c:v>
                </c:pt>
                <c:pt idx="613">
                  <c:v>0.16286644951140064</c:v>
                </c:pt>
                <c:pt idx="614">
                  <c:v>0.16260162601626016</c:v>
                </c:pt>
                <c:pt idx="615">
                  <c:v>0.16233766233766234</c:v>
                </c:pt>
                <c:pt idx="616">
                  <c:v>0.16207455429497569</c:v>
                </c:pt>
                <c:pt idx="617">
                  <c:v>0.16181229773462785</c:v>
                </c:pt>
                <c:pt idx="618">
                  <c:v>0.16155088852988689</c:v>
                </c:pt>
                <c:pt idx="619">
                  <c:v>0.16129032258064516</c:v>
                </c:pt>
                <c:pt idx="620">
                  <c:v>0.1610305958132045</c:v>
                </c:pt>
                <c:pt idx="621">
                  <c:v>0.16077170418006431</c:v>
                </c:pt>
                <c:pt idx="622">
                  <c:v>0.16051364365971107</c:v>
                </c:pt>
                <c:pt idx="623">
                  <c:v>0.16025641025641027</c:v>
                </c:pt>
                <c:pt idx="624">
                  <c:v>0.16</c:v>
                </c:pt>
                <c:pt idx="625">
                  <c:v>0.15974440894568689</c:v>
                </c:pt>
                <c:pt idx="626">
                  <c:v>0.15948963317384371</c:v>
                </c:pt>
                <c:pt idx="627">
                  <c:v>0.15923566878980891</c:v>
                </c:pt>
                <c:pt idx="628">
                  <c:v>0.1589825119236884</c:v>
                </c:pt>
                <c:pt idx="629">
                  <c:v>0.15873015873015869</c:v>
                </c:pt>
                <c:pt idx="630">
                  <c:v>0.15847860538827258</c:v>
                </c:pt>
                <c:pt idx="631">
                  <c:v>0.15822784810126583</c:v>
                </c:pt>
                <c:pt idx="632">
                  <c:v>0.15797788309636651</c:v>
                </c:pt>
                <c:pt idx="633">
                  <c:v>0.15772870662460567</c:v>
                </c:pt>
                <c:pt idx="634">
                  <c:v>0.15748031496062992</c:v>
                </c:pt>
                <c:pt idx="635">
                  <c:v>0.15723270440251569</c:v>
                </c:pt>
                <c:pt idx="636">
                  <c:v>0.15698587127158556</c:v>
                </c:pt>
                <c:pt idx="637">
                  <c:v>0.15673981191222572</c:v>
                </c:pt>
                <c:pt idx="638">
                  <c:v>0.1564945226917058</c:v>
                </c:pt>
                <c:pt idx="639">
                  <c:v>0.15625</c:v>
                </c:pt>
                <c:pt idx="640">
                  <c:v>0.15600624024961002</c:v>
                </c:pt>
                <c:pt idx="641">
                  <c:v>0.1557632398753894</c:v>
                </c:pt>
                <c:pt idx="642">
                  <c:v>0.15552099533437014</c:v>
                </c:pt>
                <c:pt idx="643">
                  <c:v>0.15527950310559005</c:v>
                </c:pt>
                <c:pt idx="644">
                  <c:v>0.15503875968992248</c:v>
                </c:pt>
                <c:pt idx="645">
                  <c:v>0.15479876160990713</c:v>
                </c:pt>
                <c:pt idx="646">
                  <c:v>0.15455950540958271</c:v>
                </c:pt>
                <c:pt idx="647">
                  <c:v>0.15432098765432098</c:v>
                </c:pt>
                <c:pt idx="648">
                  <c:v>0.15408320493066255</c:v>
                </c:pt>
                <c:pt idx="649">
                  <c:v>0.15384615384615385</c:v>
                </c:pt>
                <c:pt idx="650">
                  <c:v>0.15360983102918588</c:v>
                </c:pt>
                <c:pt idx="651">
                  <c:v>0.15337423312883436</c:v>
                </c:pt>
                <c:pt idx="652">
                  <c:v>0.15313935681470139</c:v>
                </c:pt>
                <c:pt idx="653">
                  <c:v>0.1529051987767584</c:v>
                </c:pt>
                <c:pt idx="654">
                  <c:v>0.15267175572519084</c:v>
                </c:pt>
                <c:pt idx="655">
                  <c:v>0.1524390243902439</c:v>
                </c:pt>
                <c:pt idx="656">
                  <c:v>0.15220700152207001</c:v>
                </c:pt>
                <c:pt idx="657">
                  <c:v>0.1519756838905775</c:v>
                </c:pt>
                <c:pt idx="658">
                  <c:v>0.15174506828528075</c:v>
                </c:pt>
                <c:pt idx="659">
                  <c:v>0.15151515151515149</c:v>
                </c:pt>
                <c:pt idx="660">
                  <c:v>0.15128593040847202</c:v>
                </c:pt>
                <c:pt idx="661">
                  <c:v>0.15105740181268881</c:v>
                </c:pt>
                <c:pt idx="662">
                  <c:v>0.15082956259426847</c:v>
                </c:pt>
                <c:pt idx="663">
                  <c:v>0.15060240963855423</c:v>
                </c:pt>
                <c:pt idx="664">
                  <c:v>0.15037593984962408</c:v>
                </c:pt>
                <c:pt idx="665">
                  <c:v>0.15015015015015012</c:v>
                </c:pt>
                <c:pt idx="666">
                  <c:v>0.14992503748125938</c:v>
                </c:pt>
                <c:pt idx="667">
                  <c:v>0.1497005988023952</c:v>
                </c:pt>
                <c:pt idx="668">
                  <c:v>0.14947683109118087</c:v>
                </c:pt>
                <c:pt idx="669">
                  <c:v>0.14925373134328357</c:v>
                </c:pt>
                <c:pt idx="670">
                  <c:v>0.1490312965722802</c:v>
                </c:pt>
                <c:pt idx="671">
                  <c:v>0.14880952380952378</c:v>
                </c:pt>
                <c:pt idx="672">
                  <c:v>0.14858841010401189</c:v>
                </c:pt>
                <c:pt idx="673">
                  <c:v>0.14836795252225518</c:v>
                </c:pt>
                <c:pt idx="674">
                  <c:v>0.14814814814814814</c:v>
                </c:pt>
                <c:pt idx="675">
                  <c:v>0.14792899408284024</c:v>
                </c:pt>
                <c:pt idx="676">
                  <c:v>0.14771048744460857</c:v>
                </c:pt>
                <c:pt idx="677">
                  <c:v>0.14749262536873153</c:v>
                </c:pt>
                <c:pt idx="678">
                  <c:v>0.14727540500736377</c:v>
                </c:pt>
                <c:pt idx="679">
                  <c:v>0.14705882352941177</c:v>
                </c:pt>
                <c:pt idx="680">
                  <c:v>0.14684287812041116</c:v>
                </c:pt>
                <c:pt idx="681">
                  <c:v>0.1466275659824047</c:v>
                </c:pt>
                <c:pt idx="682">
                  <c:v>0.14641288433382141</c:v>
                </c:pt>
                <c:pt idx="683">
                  <c:v>0.14619883040935672</c:v>
                </c:pt>
                <c:pt idx="684">
                  <c:v>0.145985401459854</c:v>
                </c:pt>
                <c:pt idx="685">
                  <c:v>0.1457725947521866</c:v>
                </c:pt>
                <c:pt idx="686">
                  <c:v>0.14556040756914118</c:v>
                </c:pt>
                <c:pt idx="687">
                  <c:v>0.14534883720930233</c:v>
                </c:pt>
                <c:pt idx="688">
                  <c:v>0.14513788098693761</c:v>
                </c:pt>
                <c:pt idx="689">
                  <c:v>0.14492753623188404</c:v>
                </c:pt>
                <c:pt idx="690">
                  <c:v>0.14471780028943559</c:v>
                </c:pt>
                <c:pt idx="691">
                  <c:v>0.14450867052023122</c:v>
                </c:pt>
                <c:pt idx="692">
                  <c:v>0.14430014430014429</c:v>
                </c:pt>
                <c:pt idx="693">
                  <c:v>0.14409221902017291</c:v>
                </c:pt>
                <c:pt idx="694">
                  <c:v>0.14388489208633096</c:v>
                </c:pt>
                <c:pt idx="695">
                  <c:v>0.14367816091954022</c:v>
                </c:pt>
                <c:pt idx="696">
                  <c:v>0.14347202295552366</c:v>
                </c:pt>
                <c:pt idx="697">
                  <c:v>0.14326647564469913</c:v>
                </c:pt>
                <c:pt idx="698">
                  <c:v>0.14306151645207441</c:v>
                </c:pt>
                <c:pt idx="699">
                  <c:v>0.14285714285714285</c:v>
                </c:pt>
                <c:pt idx="700">
                  <c:v>0.14265335235378029</c:v>
                </c:pt>
                <c:pt idx="701">
                  <c:v>0.14245014245014245</c:v>
                </c:pt>
                <c:pt idx="702">
                  <c:v>0.14224751066856331</c:v>
                </c:pt>
                <c:pt idx="703">
                  <c:v>0.14204545454545456</c:v>
                </c:pt>
                <c:pt idx="704">
                  <c:v>0.14184397163120568</c:v>
                </c:pt>
                <c:pt idx="705">
                  <c:v>0.14164305949008499</c:v>
                </c:pt>
                <c:pt idx="706">
                  <c:v>0.14144271570014141</c:v>
                </c:pt>
                <c:pt idx="707">
                  <c:v>0.14124293785310735</c:v>
                </c:pt>
                <c:pt idx="708">
                  <c:v>0.14104372355430184</c:v>
                </c:pt>
                <c:pt idx="709">
                  <c:v>0.14084507042253522</c:v>
                </c:pt>
                <c:pt idx="710">
                  <c:v>0.14064697609001406</c:v>
                </c:pt>
                <c:pt idx="711">
                  <c:v>0.1404494382022472</c:v>
                </c:pt>
                <c:pt idx="712">
                  <c:v>0.14025245441795228</c:v>
                </c:pt>
                <c:pt idx="713">
                  <c:v>0.14005602240896359</c:v>
                </c:pt>
                <c:pt idx="714">
                  <c:v>0.13986013986013987</c:v>
                </c:pt>
                <c:pt idx="715">
                  <c:v>0.13966480446927373</c:v>
                </c:pt>
                <c:pt idx="716">
                  <c:v>0.1394700139470014</c:v>
                </c:pt>
                <c:pt idx="717">
                  <c:v>0.1392757660167131</c:v>
                </c:pt>
                <c:pt idx="718">
                  <c:v>0.13908205841446453</c:v>
                </c:pt>
                <c:pt idx="719">
                  <c:v>0.1388888888888889</c:v>
                </c:pt>
                <c:pt idx="720">
                  <c:v>0.13869625520110956</c:v>
                </c:pt>
                <c:pt idx="721">
                  <c:v>0.13850415512465375</c:v>
                </c:pt>
                <c:pt idx="722">
                  <c:v>0.13831258644536654</c:v>
                </c:pt>
                <c:pt idx="723">
                  <c:v>0.13812154696132597</c:v>
                </c:pt>
                <c:pt idx="724">
                  <c:v>0.13793103448275859</c:v>
                </c:pt>
                <c:pt idx="725">
                  <c:v>0.13774104683195593</c:v>
                </c:pt>
                <c:pt idx="726">
                  <c:v>0.13755158184319119</c:v>
                </c:pt>
                <c:pt idx="727">
                  <c:v>0.13736263736263737</c:v>
                </c:pt>
                <c:pt idx="728">
                  <c:v>0.13717421124828533</c:v>
                </c:pt>
                <c:pt idx="729">
                  <c:v>0.13698630136986303</c:v>
                </c:pt>
                <c:pt idx="730">
                  <c:v>0.1367989056087551</c:v>
                </c:pt>
                <c:pt idx="731">
                  <c:v>0.13661202185792351</c:v>
                </c:pt>
                <c:pt idx="732">
                  <c:v>0.13642564802182811</c:v>
                </c:pt>
                <c:pt idx="733">
                  <c:v>0.13623978201634879</c:v>
                </c:pt>
                <c:pt idx="734">
                  <c:v>0.1360544217687075</c:v>
                </c:pt>
                <c:pt idx="735">
                  <c:v>0.13586956521739132</c:v>
                </c:pt>
                <c:pt idx="736">
                  <c:v>0.13568521031207598</c:v>
                </c:pt>
                <c:pt idx="737">
                  <c:v>0.13550135501355012</c:v>
                </c:pt>
                <c:pt idx="738">
                  <c:v>0.13531799729364005</c:v>
                </c:pt>
                <c:pt idx="739">
                  <c:v>0.13513513513513514</c:v>
                </c:pt>
                <c:pt idx="740">
                  <c:v>0.1349527665317139</c:v>
                </c:pt>
                <c:pt idx="741">
                  <c:v>0.13477088948787064</c:v>
                </c:pt>
                <c:pt idx="742">
                  <c:v>0.13458950201884251</c:v>
                </c:pt>
                <c:pt idx="743">
                  <c:v>0.13440860215053763</c:v>
                </c:pt>
                <c:pt idx="744">
                  <c:v>0.13422818791946309</c:v>
                </c:pt>
                <c:pt idx="745">
                  <c:v>0.13404825737265416</c:v>
                </c:pt>
                <c:pt idx="746">
                  <c:v>0.13386880856760375</c:v>
                </c:pt>
                <c:pt idx="747">
                  <c:v>0.13368983957219252</c:v>
                </c:pt>
                <c:pt idx="748">
                  <c:v>0.13351134846461948</c:v>
                </c:pt>
                <c:pt idx="749">
                  <c:v>0.13333333333333333</c:v>
                </c:pt>
                <c:pt idx="750">
                  <c:v>0.13315579227696406</c:v>
                </c:pt>
                <c:pt idx="751">
                  <c:v>0.13297872340425532</c:v>
                </c:pt>
                <c:pt idx="752">
                  <c:v>0.13280212483399734</c:v>
                </c:pt>
                <c:pt idx="753">
                  <c:v>0.13262599469496023</c:v>
                </c:pt>
                <c:pt idx="754">
                  <c:v>0.1324503311258278</c:v>
                </c:pt>
                <c:pt idx="755">
                  <c:v>0.13227513227513227</c:v>
                </c:pt>
                <c:pt idx="756">
                  <c:v>0.13210039630118892</c:v>
                </c:pt>
                <c:pt idx="757">
                  <c:v>0.13192612137203166</c:v>
                </c:pt>
                <c:pt idx="758">
                  <c:v>0.13175230566534915</c:v>
                </c:pt>
                <c:pt idx="759">
                  <c:v>0.13157894736842107</c:v>
                </c:pt>
                <c:pt idx="760">
                  <c:v>0.13140604467805517</c:v>
                </c:pt>
                <c:pt idx="761">
                  <c:v>0.13123359580052493</c:v>
                </c:pt>
                <c:pt idx="762">
                  <c:v>0.13106159895150721</c:v>
                </c:pt>
                <c:pt idx="763">
                  <c:v>0.13089005235602094</c:v>
                </c:pt>
                <c:pt idx="764">
                  <c:v>0.13071895424836602</c:v>
                </c:pt>
                <c:pt idx="765">
                  <c:v>0.13054830287206268</c:v>
                </c:pt>
                <c:pt idx="766">
                  <c:v>0.1303780964797914</c:v>
                </c:pt>
                <c:pt idx="767">
                  <c:v>0.13020833333333334</c:v>
                </c:pt>
                <c:pt idx="768">
                  <c:v>0.13003901170351106</c:v>
                </c:pt>
                <c:pt idx="769">
                  <c:v>0.12987012987012986</c:v>
                </c:pt>
                <c:pt idx="770">
                  <c:v>0.1297016861219196</c:v>
                </c:pt>
                <c:pt idx="771">
                  <c:v>0.12953367875647667</c:v>
                </c:pt>
                <c:pt idx="772">
                  <c:v>0.12936610608020699</c:v>
                </c:pt>
                <c:pt idx="773">
                  <c:v>0.12919896640826872</c:v>
                </c:pt>
                <c:pt idx="774">
                  <c:v>0.12903225806451613</c:v>
                </c:pt>
                <c:pt idx="775">
                  <c:v>0.12886597938144329</c:v>
                </c:pt>
                <c:pt idx="776">
                  <c:v>0.1287001287001287</c:v>
                </c:pt>
                <c:pt idx="777">
                  <c:v>0.12853470437017994</c:v>
                </c:pt>
                <c:pt idx="778">
                  <c:v>0.12836970474967907</c:v>
                </c:pt>
                <c:pt idx="779">
                  <c:v>0.12820512820512819</c:v>
                </c:pt>
                <c:pt idx="780">
                  <c:v>0.12804097311139565</c:v>
                </c:pt>
                <c:pt idx="781">
                  <c:v>0.12787723785166241</c:v>
                </c:pt>
                <c:pt idx="782">
                  <c:v>0.1277139208173691</c:v>
                </c:pt>
                <c:pt idx="783">
                  <c:v>0.12755102040816324</c:v>
                </c:pt>
                <c:pt idx="784">
                  <c:v>0.12738853503184713</c:v>
                </c:pt>
                <c:pt idx="785">
                  <c:v>0.1272264631043257</c:v>
                </c:pt>
                <c:pt idx="786">
                  <c:v>0.12706480304955528</c:v>
                </c:pt>
                <c:pt idx="787">
                  <c:v>0.12690355329949238</c:v>
                </c:pt>
                <c:pt idx="788">
                  <c:v>0.1267427122940431</c:v>
                </c:pt>
                <c:pt idx="789">
                  <c:v>0.12658227848101264</c:v>
                </c:pt>
                <c:pt idx="790">
                  <c:v>0.12642225031605561</c:v>
                </c:pt>
                <c:pt idx="791">
                  <c:v>0.12626262626262627</c:v>
                </c:pt>
                <c:pt idx="792">
                  <c:v>0.12610340479192939</c:v>
                </c:pt>
                <c:pt idx="793">
                  <c:v>0.12594458438287154</c:v>
                </c:pt>
                <c:pt idx="794">
                  <c:v>0.12578616352201261</c:v>
                </c:pt>
                <c:pt idx="795">
                  <c:v>0.12562814070351758</c:v>
                </c:pt>
                <c:pt idx="796">
                  <c:v>0.12547051442910917</c:v>
                </c:pt>
                <c:pt idx="797">
                  <c:v>0.12531328320802004</c:v>
                </c:pt>
                <c:pt idx="798">
                  <c:v>0.12515644555694619</c:v>
                </c:pt>
                <c:pt idx="799">
                  <c:v>0.125</c:v>
                </c:pt>
                <c:pt idx="800">
                  <c:v>0.12484394506866418</c:v>
                </c:pt>
                <c:pt idx="801">
                  <c:v>0.12468827930174563</c:v>
                </c:pt>
                <c:pt idx="802">
                  <c:v>0.12453300124533001</c:v>
                </c:pt>
                <c:pt idx="803">
                  <c:v>0.12437810945273632</c:v>
                </c:pt>
                <c:pt idx="804">
                  <c:v>0.12422360248447205</c:v>
                </c:pt>
                <c:pt idx="805">
                  <c:v>0.12406947890818859</c:v>
                </c:pt>
                <c:pt idx="806">
                  <c:v>0.12391573729863695</c:v>
                </c:pt>
                <c:pt idx="807">
                  <c:v>0.12376237623762375</c:v>
                </c:pt>
                <c:pt idx="808">
                  <c:v>0.12360939431396786</c:v>
                </c:pt>
                <c:pt idx="809">
                  <c:v>0.12345679012345678</c:v>
                </c:pt>
                <c:pt idx="810">
                  <c:v>0.12330456226880394</c:v>
                </c:pt>
                <c:pt idx="811">
                  <c:v>0.12315270935960591</c:v>
                </c:pt>
                <c:pt idx="812">
                  <c:v>0.12300123001230014</c:v>
                </c:pt>
                <c:pt idx="813">
                  <c:v>0.12285012285012284</c:v>
                </c:pt>
                <c:pt idx="814">
                  <c:v>0.12269938650306748</c:v>
                </c:pt>
                <c:pt idx="815">
                  <c:v>0.12254901960784313</c:v>
                </c:pt>
                <c:pt idx="816">
                  <c:v>0.12239902080783353</c:v>
                </c:pt>
                <c:pt idx="817">
                  <c:v>0.12224938875305623</c:v>
                </c:pt>
                <c:pt idx="818">
                  <c:v>0.12210012210012211</c:v>
                </c:pt>
                <c:pt idx="819">
                  <c:v>0.12195121951219512</c:v>
                </c:pt>
                <c:pt idx="820">
                  <c:v>0.1218026796589525</c:v>
                </c:pt>
                <c:pt idx="821">
                  <c:v>0.12165450121654502</c:v>
                </c:pt>
                <c:pt idx="822">
                  <c:v>0.12150668286755771</c:v>
                </c:pt>
                <c:pt idx="823">
                  <c:v>0.12135922330097088</c:v>
                </c:pt>
                <c:pt idx="824">
                  <c:v>0.12121212121212122</c:v>
                </c:pt>
                <c:pt idx="825">
                  <c:v>0.12106537530266344</c:v>
                </c:pt>
                <c:pt idx="826">
                  <c:v>0.12091898428053205</c:v>
                </c:pt>
                <c:pt idx="827">
                  <c:v>0.12077294685990338</c:v>
                </c:pt>
                <c:pt idx="828">
                  <c:v>0.12062726176115803</c:v>
                </c:pt>
                <c:pt idx="829">
                  <c:v>0.12048192771084337</c:v>
                </c:pt>
                <c:pt idx="830">
                  <c:v>0.12033694344163658</c:v>
                </c:pt>
                <c:pt idx="831">
                  <c:v>0.1201923076923077</c:v>
                </c:pt>
                <c:pt idx="832">
                  <c:v>0.12004801920768307</c:v>
                </c:pt>
                <c:pt idx="833">
                  <c:v>0.11990407673860912</c:v>
                </c:pt>
                <c:pt idx="834">
                  <c:v>0.11976047904191617</c:v>
                </c:pt>
                <c:pt idx="835">
                  <c:v>0.11961722488038277</c:v>
                </c:pt>
                <c:pt idx="836">
                  <c:v>0.11947431302270012</c:v>
                </c:pt>
                <c:pt idx="837">
                  <c:v>0.11933174224343675</c:v>
                </c:pt>
                <c:pt idx="838">
                  <c:v>0.11918951132300358</c:v>
                </c:pt>
                <c:pt idx="839">
                  <c:v>0.11904761904761904</c:v>
                </c:pt>
                <c:pt idx="840">
                  <c:v>0.11890606420927467</c:v>
                </c:pt>
                <c:pt idx="841">
                  <c:v>0.11876484560570071</c:v>
                </c:pt>
                <c:pt idx="842">
                  <c:v>0.11862396204033215</c:v>
                </c:pt>
                <c:pt idx="843">
                  <c:v>0.11848341232227488</c:v>
                </c:pt>
                <c:pt idx="844">
                  <c:v>0.11834319526627218</c:v>
                </c:pt>
                <c:pt idx="845">
                  <c:v>0.1182033096926714</c:v>
                </c:pt>
                <c:pt idx="846">
                  <c:v>0.1180637544273908</c:v>
                </c:pt>
                <c:pt idx="847">
                  <c:v>0.11792452830188679</c:v>
                </c:pt>
                <c:pt idx="848">
                  <c:v>0.11778563015312132</c:v>
                </c:pt>
                <c:pt idx="849">
                  <c:v>0.11764705882352941</c:v>
                </c:pt>
                <c:pt idx="850">
                  <c:v>0.11750881316098707</c:v>
                </c:pt>
                <c:pt idx="851">
                  <c:v>0.11737089201877934</c:v>
                </c:pt>
                <c:pt idx="852">
                  <c:v>0.11723329425556858</c:v>
                </c:pt>
                <c:pt idx="853">
                  <c:v>0.117096018735363</c:v>
                </c:pt>
                <c:pt idx="854">
                  <c:v>0.11695906432748537</c:v>
                </c:pt>
                <c:pt idx="855">
                  <c:v>0.11682242990654206</c:v>
                </c:pt>
                <c:pt idx="856">
                  <c:v>0.11668611435239207</c:v>
                </c:pt>
                <c:pt idx="857">
                  <c:v>0.11655011655011654</c:v>
                </c:pt>
                <c:pt idx="858">
                  <c:v>0.11641443538998836</c:v>
                </c:pt>
                <c:pt idx="859">
                  <c:v>0.11627906976744186</c:v>
                </c:pt>
                <c:pt idx="860">
                  <c:v>0.11614401858304298</c:v>
                </c:pt>
                <c:pt idx="861">
                  <c:v>0.11600928074245939</c:v>
                </c:pt>
                <c:pt idx="862">
                  <c:v>0.11587485515643106</c:v>
                </c:pt>
                <c:pt idx="863">
                  <c:v>0.11574074074074074</c:v>
                </c:pt>
                <c:pt idx="864">
                  <c:v>0.11560693641618497</c:v>
                </c:pt>
                <c:pt idx="865">
                  <c:v>0.11547344110854503</c:v>
                </c:pt>
                <c:pt idx="866">
                  <c:v>0.11534025374855825</c:v>
                </c:pt>
                <c:pt idx="867">
                  <c:v>0.1152073732718894</c:v>
                </c:pt>
                <c:pt idx="868">
                  <c:v>0.11507479861910241</c:v>
                </c:pt>
                <c:pt idx="869">
                  <c:v>0.11494252873563218</c:v>
                </c:pt>
                <c:pt idx="870">
                  <c:v>0.11481056257175661</c:v>
                </c:pt>
                <c:pt idx="871">
                  <c:v>0.11467889908256881</c:v>
                </c:pt>
                <c:pt idx="872">
                  <c:v>0.11454753722794959</c:v>
                </c:pt>
                <c:pt idx="873">
                  <c:v>0.11441647597254005</c:v>
                </c:pt>
                <c:pt idx="874">
                  <c:v>0.11428571428571428</c:v>
                </c:pt>
                <c:pt idx="875">
                  <c:v>0.11415525114155251</c:v>
                </c:pt>
                <c:pt idx="876">
                  <c:v>0.11402508551881414</c:v>
                </c:pt>
                <c:pt idx="877">
                  <c:v>0.11389521640091116</c:v>
                </c:pt>
                <c:pt idx="878">
                  <c:v>0.11376564277588168</c:v>
                </c:pt>
                <c:pt idx="879">
                  <c:v>0.11363636363636363</c:v>
                </c:pt>
                <c:pt idx="880">
                  <c:v>0.11350737797956867</c:v>
                </c:pt>
                <c:pt idx="881">
                  <c:v>0.11337868480725624</c:v>
                </c:pt>
                <c:pt idx="882">
                  <c:v>0.11325028312570781</c:v>
                </c:pt>
                <c:pt idx="883">
                  <c:v>0.11312217194570136</c:v>
                </c:pt>
                <c:pt idx="884">
                  <c:v>0.11299435028248588</c:v>
                </c:pt>
                <c:pt idx="885">
                  <c:v>0.11286681715575621</c:v>
                </c:pt>
                <c:pt idx="886">
                  <c:v>0.11273957158962795</c:v>
                </c:pt>
                <c:pt idx="887">
                  <c:v>0.11261261261261261</c:v>
                </c:pt>
                <c:pt idx="888">
                  <c:v>0.1124859392575928</c:v>
                </c:pt>
                <c:pt idx="889">
                  <c:v>0.11235955056179775</c:v>
                </c:pt>
                <c:pt idx="890">
                  <c:v>0.1122334455667789</c:v>
                </c:pt>
                <c:pt idx="891">
                  <c:v>0.11210762331838565</c:v>
                </c:pt>
                <c:pt idx="892">
                  <c:v>0.11198208286674133</c:v>
                </c:pt>
                <c:pt idx="893">
                  <c:v>0.11185682326621924</c:v>
                </c:pt>
                <c:pt idx="894">
                  <c:v>0.11173184357541899</c:v>
                </c:pt>
                <c:pt idx="895">
                  <c:v>0.11160714285714286</c:v>
                </c:pt>
                <c:pt idx="896">
                  <c:v>0.11148272017837235</c:v>
                </c:pt>
                <c:pt idx="897">
                  <c:v>0.111358574610245</c:v>
                </c:pt>
                <c:pt idx="898">
                  <c:v>0.11123470522803114</c:v>
                </c:pt>
                <c:pt idx="899">
                  <c:v>0.1111111111111111</c:v>
                </c:pt>
                <c:pt idx="900">
                  <c:v>0.11098779134295228</c:v>
                </c:pt>
                <c:pt idx="901">
                  <c:v>0.11086474501108648</c:v>
                </c:pt>
                <c:pt idx="902">
                  <c:v>0.11074197120708748</c:v>
                </c:pt>
                <c:pt idx="903">
                  <c:v>0.11061946902654868</c:v>
                </c:pt>
                <c:pt idx="904">
                  <c:v>0.11049723756906077</c:v>
                </c:pt>
                <c:pt idx="905">
                  <c:v>0.11037527593818984</c:v>
                </c:pt>
                <c:pt idx="906">
                  <c:v>0.11025358324145534</c:v>
                </c:pt>
                <c:pt idx="907">
                  <c:v>0.11013215859030837</c:v>
                </c:pt>
                <c:pt idx="908">
                  <c:v>0.11001100110011001</c:v>
                </c:pt>
                <c:pt idx="909">
                  <c:v>0.10989010989010989</c:v>
                </c:pt>
                <c:pt idx="910">
                  <c:v>0.10976948408342481</c:v>
                </c:pt>
                <c:pt idx="911">
                  <c:v>0.10964912280701754</c:v>
                </c:pt>
                <c:pt idx="912">
                  <c:v>0.10952902519167579</c:v>
                </c:pt>
                <c:pt idx="913">
                  <c:v>0.10940919037199125</c:v>
                </c:pt>
                <c:pt idx="914">
                  <c:v>0.10928961748633879</c:v>
                </c:pt>
                <c:pt idx="915">
                  <c:v>0.1091703056768559</c:v>
                </c:pt>
                <c:pt idx="916">
                  <c:v>0.10905125408942203</c:v>
                </c:pt>
                <c:pt idx="917">
                  <c:v>0.10893246187363835</c:v>
                </c:pt>
                <c:pt idx="918">
                  <c:v>0.1088139281828074</c:v>
                </c:pt>
                <c:pt idx="919">
                  <c:v>0.10869565217391304</c:v>
                </c:pt>
                <c:pt idx="920">
                  <c:v>0.10857763300760044</c:v>
                </c:pt>
                <c:pt idx="921">
                  <c:v>0.10845986984815618</c:v>
                </c:pt>
                <c:pt idx="922">
                  <c:v>0.10834236186348863</c:v>
                </c:pt>
                <c:pt idx="923">
                  <c:v>0.10822510822510822</c:v>
                </c:pt>
                <c:pt idx="924">
                  <c:v>0.10810810810810811</c:v>
                </c:pt>
                <c:pt idx="925">
                  <c:v>0.10799136069114471</c:v>
                </c:pt>
                <c:pt idx="926">
                  <c:v>0.10787486515641856</c:v>
                </c:pt>
                <c:pt idx="927">
                  <c:v>0.10775862068965517</c:v>
                </c:pt>
                <c:pt idx="928">
                  <c:v>0.10764262648008611</c:v>
                </c:pt>
                <c:pt idx="929">
                  <c:v>0.10752688172043011</c:v>
                </c:pt>
                <c:pt idx="930">
                  <c:v>0.10741138560687433</c:v>
                </c:pt>
                <c:pt idx="931">
                  <c:v>0.1072961373390558</c:v>
                </c:pt>
                <c:pt idx="932">
                  <c:v>0.10718113612004287</c:v>
                </c:pt>
                <c:pt idx="933">
                  <c:v>0.10706638115631692</c:v>
                </c:pt>
                <c:pt idx="934">
                  <c:v>0.10695187165775401</c:v>
                </c:pt>
                <c:pt idx="935">
                  <c:v>0.10683760683760683</c:v>
                </c:pt>
                <c:pt idx="936">
                  <c:v>0.10672358591248667</c:v>
                </c:pt>
                <c:pt idx="937">
                  <c:v>0.10660980810234541</c:v>
                </c:pt>
                <c:pt idx="938">
                  <c:v>0.10649627263045794</c:v>
                </c:pt>
                <c:pt idx="939">
                  <c:v>0.10638297872340426</c:v>
                </c:pt>
                <c:pt idx="940">
                  <c:v>0.10626992561105207</c:v>
                </c:pt>
                <c:pt idx="941">
                  <c:v>0.10615711252653928</c:v>
                </c:pt>
                <c:pt idx="942">
                  <c:v>0.10604453870625663</c:v>
                </c:pt>
                <c:pt idx="943">
                  <c:v>0.1059322033898305</c:v>
                </c:pt>
                <c:pt idx="944">
                  <c:v>0.10582010582010581</c:v>
                </c:pt>
                <c:pt idx="945">
                  <c:v>0.10570824524312897</c:v>
                </c:pt>
                <c:pt idx="946">
                  <c:v>0.10559662090813093</c:v>
                </c:pt>
                <c:pt idx="947">
                  <c:v>0.10548523206751055</c:v>
                </c:pt>
                <c:pt idx="948">
                  <c:v>0.10537407797681771</c:v>
                </c:pt>
                <c:pt idx="949">
                  <c:v>0.10526315789473684</c:v>
                </c:pt>
                <c:pt idx="950">
                  <c:v>0.10515247108307045</c:v>
                </c:pt>
                <c:pt idx="951">
                  <c:v>0.10504201680672269</c:v>
                </c:pt>
                <c:pt idx="952">
                  <c:v>0.1049317943336831</c:v>
                </c:pt>
                <c:pt idx="953">
                  <c:v>0.10482180293501048</c:v>
                </c:pt>
                <c:pt idx="954">
                  <c:v>0.10471204188481675</c:v>
                </c:pt>
                <c:pt idx="955">
                  <c:v>0.10460251046025104</c:v>
                </c:pt>
                <c:pt idx="956">
                  <c:v>0.1044932079414838</c:v>
                </c:pt>
                <c:pt idx="957">
                  <c:v>0.10438413361169102</c:v>
                </c:pt>
                <c:pt idx="958">
                  <c:v>0.10427528675703858</c:v>
                </c:pt>
                <c:pt idx="959">
                  <c:v>0.10416666666666667</c:v>
                </c:pt>
                <c:pt idx="960">
                  <c:v>0.1040582726326743</c:v>
                </c:pt>
                <c:pt idx="961">
                  <c:v>0.10395010395010396</c:v>
                </c:pt>
                <c:pt idx="962">
                  <c:v>0.10384215991692627</c:v>
                </c:pt>
                <c:pt idx="963">
                  <c:v>0.1037344398340249</c:v>
                </c:pt>
                <c:pt idx="964">
                  <c:v>0.10362694300518134</c:v>
                </c:pt>
                <c:pt idx="965">
                  <c:v>0.10351966873706005</c:v>
                </c:pt>
                <c:pt idx="966">
                  <c:v>0.10341261633919338</c:v>
                </c:pt>
                <c:pt idx="967">
                  <c:v>0.10330578512396695</c:v>
                </c:pt>
                <c:pt idx="968">
                  <c:v>0.10319917440660474</c:v>
                </c:pt>
                <c:pt idx="969">
                  <c:v>0.10309278350515463</c:v>
                </c:pt>
                <c:pt idx="970">
                  <c:v>0.10298661174047374</c:v>
                </c:pt>
                <c:pt idx="971">
                  <c:v>0.102880658436214</c:v>
                </c:pt>
                <c:pt idx="972">
                  <c:v>0.10277492291880781</c:v>
                </c:pt>
                <c:pt idx="973">
                  <c:v>0.10266940451745379</c:v>
                </c:pt>
                <c:pt idx="974">
                  <c:v>0.10256410256410256</c:v>
                </c:pt>
                <c:pt idx="975">
                  <c:v>0.10245901639344263</c:v>
                </c:pt>
                <c:pt idx="976">
                  <c:v>0.10235414534288639</c:v>
                </c:pt>
                <c:pt idx="977">
                  <c:v>0.10224948875255624</c:v>
                </c:pt>
                <c:pt idx="978">
                  <c:v>0.10214504596527069</c:v>
                </c:pt>
                <c:pt idx="979">
                  <c:v>0.10204081632653061</c:v>
                </c:pt>
                <c:pt idx="980">
                  <c:v>0.1019367991845056</c:v>
                </c:pt>
                <c:pt idx="981">
                  <c:v>0.10183299389002037</c:v>
                </c:pt>
                <c:pt idx="982">
                  <c:v>0.10172939979654121</c:v>
                </c:pt>
                <c:pt idx="983">
                  <c:v>0.1016260162601626</c:v>
                </c:pt>
                <c:pt idx="984">
                  <c:v>0.10152284263959391</c:v>
                </c:pt>
                <c:pt idx="985">
                  <c:v>0.10141987829614604</c:v>
                </c:pt>
                <c:pt idx="986">
                  <c:v>0.10131712259371833</c:v>
                </c:pt>
                <c:pt idx="987">
                  <c:v>0.10121457489878542</c:v>
                </c:pt>
                <c:pt idx="988">
                  <c:v>0.10111223458038422</c:v>
                </c:pt>
                <c:pt idx="989">
                  <c:v>0.10101010101010101</c:v>
                </c:pt>
                <c:pt idx="990">
                  <c:v>0.10090817356205853</c:v>
                </c:pt>
                <c:pt idx="991">
                  <c:v>0.10080645161290322</c:v>
                </c:pt>
                <c:pt idx="992">
                  <c:v>0.10070493454179255</c:v>
                </c:pt>
                <c:pt idx="993">
                  <c:v>0.1006036217303823</c:v>
                </c:pt>
                <c:pt idx="994">
                  <c:v>0.10050251256281408</c:v>
                </c:pt>
                <c:pt idx="995">
                  <c:v>0.10040160642570281</c:v>
                </c:pt>
                <c:pt idx="996">
                  <c:v>0.10030090270812438</c:v>
                </c:pt>
                <c:pt idx="997">
                  <c:v>0.10020040080160321</c:v>
                </c:pt>
                <c:pt idx="998">
                  <c:v>0.10010010010010011</c:v>
                </c:pt>
                <c:pt idx="999">
                  <c:v>0.1</c:v>
                </c:pt>
                <c:pt idx="1000">
                  <c:v>9.9900099900099903E-2</c:v>
                </c:pt>
                <c:pt idx="1001">
                  <c:v>9.9800399201596807E-2</c:v>
                </c:pt>
                <c:pt idx="1002">
                  <c:v>9.970089730807577E-2</c:v>
                </c:pt>
                <c:pt idx="1003">
                  <c:v>9.9601593625498003E-2</c:v>
                </c:pt>
                <c:pt idx="1004">
                  <c:v>9.950248756218906E-2</c:v>
                </c:pt>
                <c:pt idx="1005">
                  <c:v>9.9403578528827044E-2</c:v>
                </c:pt>
                <c:pt idx="1006">
                  <c:v>9.9304865938430978E-2</c:v>
                </c:pt>
                <c:pt idx="1007">
                  <c:v>9.9206349206349201E-2</c:v>
                </c:pt>
                <c:pt idx="1008">
                  <c:v>9.9108027750247768E-2</c:v>
                </c:pt>
                <c:pt idx="1009">
                  <c:v>9.9009900990099015E-2</c:v>
                </c:pt>
                <c:pt idx="1010">
                  <c:v>9.8911968348170135E-2</c:v>
                </c:pt>
                <c:pt idx="1011">
                  <c:v>9.8814229249011856E-2</c:v>
                </c:pt>
                <c:pt idx="1012">
                  <c:v>9.8716683119447188E-2</c:v>
                </c:pt>
                <c:pt idx="1013">
                  <c:v>9.8619329388560162E-2</c:v>
                </c:pt>
                <c:pt idx="1014">
                  <c:v>9.8522167487684734E-2</c:v>
                </c:pt>
                <c:pt idx="1015">
                  <c:v>9.8425196850393706E-2</c:v>
                </c:pt>
                <c:pt idx="1016">
                  <c:v>9.8328416912487712E-2</c:v>
                </c:pt>
                <c:pt idx="1017">
                  <c:v>9.8231827111984277E-2</c:v>
                </c:pt>
                <c:pt idx="1018">
                  <c:v>9.8135426889106966E-2</c:v>
                </c:pt>
                <c:pt idx="1019">
                  <c:v>9.8039215686274508E-2</c:v>
                </c:pt>
                <c:pt idx="1020">
                  <c:v>9.7943192948090105E-2</c:v>
                </c:pt>
                <c:pt idx="1021">
                  <c:v>9.7847358121330719E-2</c:v>
                </c:pt>
                <c:pt idx="1022">
                  <c:v>9.7751710654936458E-2</c:v>
                </c:pt>
                <c:pt idx="1023">
                  <c:v>9.765625E-2</c:v>
                </c:pt>
                <c:pt idx="1024">
                  <c:v>9.7560975609756101E-2</c:v>
                </c:pt>
                <c:pt idx="1025">
                  <c:v>9.7465886939571145E-2</c:v>
                </c:pt>
                <c:pt idx="1026">
                  <c:v>9.7370983446932818E-2</c:v>
                </c:pt>
                <c:pt idx="1027">
                  <c:v>9.727626459143969E-2</c:v>
                </c:pt>
                <c:pt idx="1028">
                  <c:v>9.7181729834791064E-2</c:v>
                </c:pt>
                <c:pt idx="1029">
                  <c:v>9.7087378640776698E-2</c:v>
                </c:pt>
                <c:pt idx="1030">
                  <c:v>9.6993210475266725E-2</c:v>
                </c:pt>
                <c:pt idx="1031">
                  <c:v>9.6899224806201556E-2</c:v>
                </c:pt>
                <c:pt idx="1032">
                  <c:v>9.6805421103581799E-2</c:v>
                </c:pt>
                <c:pt idx="1033">
                  <c:v>9.6711798839458407E-2</c:v>
                </c:pt>
                <c:pt idx="1034">
                  <c:v>9.6618357487922704E-2</c:v>
                </c:pt>
                <c:pt idx="1035">
                  <c:v>9.6525096525096526E-2</c:v>
                </c:pt>
                <c:pt idx="1036">
                  <c:v>9.643201542912247E-2</c:v>
                </c:pt>
                <c:pt idx="1037">
                  <c:v>9.6339113680154145E-2</c:v>
                </c:pt>
                <c:pt idx="1038">
                  <c:v>9.6246390760346481E-2</c:v>
                </c:pt>
                <c:pt idx="1039">
                  <c:v>9.6153846153846159E-2</c:v>
                </c:pt>
                <c:pt idx="1040">
                  <c:v>9.6061479346781942E-2</c:v>
                </c:pt>
                <c:pt idx="1041">
                  <c:v>9.5969289827255277E-2</c:v>
                </c:pt>
                <c:pt idx="1042">
                  <c:v>9.5877277085330781E-2</c:v>
                </c:pt>
                <c:pt idx="1043">
                  <c:v>9.5785440613026823E-2</c:v>
                </c:pt>
                <c:pt idx="1044">
                  <c:v>9.569377990430622E-2</c:v>
                </c:pt>
                <c:pt idx="1045">
                  <c:v>9.5602294455066919E-2</c:v>
                </c:pt>
                <c:pt idx="1046">
                  <c:v>9.5510983763132759E-2</c:v>
                </c:pt>
                <c:pt idx="1047">
                  <c:v>9.5419847328244281E-2</c:v>
                </c:pt>
                <c:pt idx="1048">
                  <c:v>9.532888465204957E-2</c:v>
                </c:pt>
                <c:pt idx="1049">
                  <c:v>9.5238095238095233E-2</c:v>
                </c:pt>
                <c:pt idx="1050">
                  <c:v>9.5147478591817311E-2</c:v>
                </c:pt>
                <c:pt idx="1051">
                  <c:v>9.5057034220532313E-2</c:v>
                </c:pt>
                <c:pt idx="1052">
                  <c:v>9.4966761633428307E-2</c:v>
                </c:pt>
                <c:pt idx="1053">
                  <c:v>9.4876660341555979E-2</c:v>
                </c:pt>
              </c:numCache>
            </c:numRef>
          </c:yVal>
          <c:smooth val="1"/>
          <c:extLst xmlns:c16r2="http://schemas.microsoft.com/office/drawing/2015/06/chart">
            <c:ext xmlns:c16="http://schemas.microsoft.com/office/drawing/2014/chart" uri="{C3380CC4-5D6E-409C-BE32-E72D297353CC}">
              <c16:uniqueId val="{00000004-6484-4791-991D-5E362FC0939B}"/>
            </c:ext>
          </c:extLst>
        </c:ser>
        <c:ser>
          <c:idx val="2"/>
          <c:order val="1"/>
          <c:tx>
            <c:v>Constraint Cost</c:v>
          </c:tx>
          <c:spPr>
            <a:ln>
              <a:solidFill>
                <a:srgbClr val="E2173D"/>
              </a:solidFill>
            </a:ln>
          </c:spPr>
          <c:marker>
            <c:symbol val="none"/>
          </c:marker>
          <c:trendline>
            <c:name>Shoulder Usage</c:name>
            <c:trendlineType val="linear"/>
            <c:dispRSqr val="0"/>
            <c:dispEq val="0"/>
          </c:trendline>
          <c:xVal>
            <c:numRef>
              <c:f>'Arbitrage Payback Engine'!$E$10:$E$1063</c:f>
              <c:numCache>
                <c:formatCode>General</c:formatCode>
                <c:ptCount val="1054"/>
                <c:pt idx="0">
                  <c:v>2.7393507738665935E-2</c:v>
                </c:pt>
                <c:pt idx="1">
                  <c:v>5.478701547733187E-2</c:v>
                </c:pt>
                <c:pt idx="2">
                  <c:v>8.2180523215997808E-2</c:v>
                </c:pt>
                <c:pt idx="3">
                  <c:v>0.10957403095466374</c:v>
                </c:pt>
                <c:pt idx="4">
                  <c:v>0.13696753869332967</c:v>
                </c:pt>
                <c:pt idx="5">
                  <c:v>0.16436104643199562</c:v>
                </c:pt>
                <c:pt idx="6">
                  <c:v>0.19175455417066153</c:v>
                </c:pt>
                <c:pt idx="7">
                  <c:v>0.21914806190932748</c:v>
                </c:pt>
                <c:pt idx="8">
                  <c:v>0.24654156964799342</c:v>
                </c:pt>
                <c:pt idx="9">
                  <c:v>0.27393507738665934</c:v>
                </c:pt>
                <c:pt idx="10">
                  <c:v>0.30132858512532529</c:v>
                </c:pt>
                <c:pt idx="11">
                  <c:v>0.32872209286399123</c:v>
                </c:pt>
                <c:pt idx="12">
                  <c:v>0.35611560060265718</c:v>
                </c:pt>
                <c:pt idx="13">
                  <c:v>0.38350910834132307</c:v>
                </c:pt>
                <c:pt idx="14">
                  <c:v>0.41090261607998901</c:v>
                </c:pt>
                <c:pt idx="15">
                  <c:v>0.43829612381865496</c:v>
                </c:pt>
                <c:pt idx="16">
                  <c:v>0.4656896315573209</c:v>
                </c:pt>
                <c:pt idx="17">
                  <c:v>0.49308313929598685</c:v>
                </c:pt>
                <c:pt idx="18">
                  <c:v>0.5204766470346528</c:v>
                </c:pt>
                <c:pt idx="19">
                  <c:v>0.54787015477331868</c:v>
                </c:pt>
                <c:pt idx="20">
                  <c:v>0.57526366251198469</c:v>
                </c:pt>
                <c:pt idx="21">
                  <c:v>0.60265717025065058</c:v>
                </c:pt>
                <c:pt idx="22">
                  <c:v>0.63005067798931647</c:v>
                </c:pt>
                <c:pt idx="23">
                  <c:v>0.65744418572798247</c:v>
                </c:pt>
                <c:pt idx="24">
                  <c:v>0.68483769346664836</c:v>
                </c:pt>
                <c:pt idx="25">
                  <c:v>0.71223120120531436</c:v>
                </c:pt>
                <c:pt idx="26">
                  <c:v>0.73962470894398025</c:v>
                </c:pt>
                <c:pt idx="27">
                  <c:v>0.76701821668264614</c:v>
                </c:pt>
                <c:pt idx="28">
                  <c:v>0.79441172442131214</c:v>
                </c:pt>
                <c:pt idx="29">
                  <c:v>0.82180523215997803</c:v>
                </c:pt>
                <c:pt idx="30">
                  <c:v>0.84919873989864403</c:v>
                </c:pt>
                <c:pt idx="31">
                  <c:v>0.87659224763730992</c:v>
                </c:pt>
                <c:pt idx="32">
                  <c:v>0.90398575537597592</c:v>
                </c:pt>
                <c:pt idx="33">
                  <c:v>0.93137926311464181</c:v>
                </c:pt>
                <c:pt idx="34">
                  <c:v>0.9587727708533077</c:v>
                </c:pt>
                <c:pt idx="35">
                  <c:v>0.9861662785919737</c:v>
                </c:pt>
                <c:pt idx="36">
                  <c:v>1.0135597863306396</c:v>
                </c:pt>
                <c:pt idx="37">
                  <c:v>1.0409532940693056</c:v>
                </c:pt>
                <c:pt idx="38">
                  <c:v>1.0683468018079714</c:v>
                </c:pt>
                <c:pt idx="39">
                  <c:v>1.0957403095466374</c:v>
                </c:pt>
                <c:pt idx="40">
                  <c:v>1.1231338172853034</c:v>
                </c:pt>
                <c:pt idx="41">
                  <c:v>1.1505273250239694</c:v>
                </c:pt>
                <c:pt idx="42">
                  <c:v>1.1779208327626352</c:v>
                </c:pt>
                <c:pt idx="43">
                  <c:v>1.2053143405013012</c:v>
                </c:pt>
                <c:pt idx="44">
                  <c:v>1.2327078482399672</c:v>
                </c:pt>
                <c:pt idx="45">
                  <c:v>1.2601013559786329</c:v>
                </c:pt>
                <c:pt idx="46">
                  <c:v>1.2874948637172989</c:v>
                </c:pt>
                <c:pt idx="47">
                  <c:v>1.3148883714559649</c:v>
                </c:pt>
                <c:pt idx="48">
                  <c:v>1.3422818791946309</c:v>
                </c:pt>
                <c:pt idx="49">
                  <c:v>1.3696753869332967</c:v>
                </c:pt>
                <c:pt idx="50">
                  <c:v>1.3970688946719627</c:v>
                </c:pt>
                <c:pt idx="51">
                  <c:v>1.4244624024106287</c:v>
                </c:pt>
                <c:pt idx="52">
                  <c:v>1.4518559101492945</c:v>
                </c:pt>
                <c:pt idx="53">
                  <c:v>1.4792494178879605</c:v>
                </c:pt>
                <c:pt idx="54">
                  <c:v>1.5066429256266265</c:v>
                </c:pt>
                <c:pt idx="55">
                  <c:v>1.5340364333652923</c:v>
                </c:pt>
                <c:pt idx="56">
                  <c:v>1.5614299411039583</c:v>
                </c:pt>
                <c:pt idx="57">
                  <c:v>1.5888234488426243</c:v>
                </c:pt>
                <c:pt idx="58">
                  <c:v>1.6162169565812903</c:v>
                </c:pt>
                <c:pt idx="59">
                  <c:v>1.6436104643199561</c:v>
                </c:pt>
                <c:pt idx="60">
                  <c:v>1.6710039720586221</c:v>
                </c:pt>
                <c:pt idx="61">
                  <c:v>1.6983974797972881</c:v>
                </c:pt>
                <c:pt idx="62">
                  <c:v>1.7257909875359538</c:v>
                </c:pt>
                <c:pt idx="63">
                  <c:v>1.7531844952746198</c:v>
                </c:pt>
                <c:pt idx="64">
                  <c:v>1.7805780030132858</c:v>
                </c:pt>
                <c:pt idx="65">
                  <c:v>1.8079715107519518</c:v>
                </c:pt>
                <c:pt idx="66">
                  <c:v>1.8353650184906176</c:v>
                </c:pt>
                <c:pt idx="67">
                  <c:v>1.8627585262292836</c:v>
                </c:pt>
                <c:pt idx="68">
                  <c:v>1.8901520339679496</c:v>
                </c:pt>
                <c:pt idx="69">
                  <c:v>1.9175455417066154</c:v>
                </c:pt>
                <c:pt idx="70">
                  <c:v>1.9449390494452814</c:v>
                </c:pt>
                <c:pt idx="71">
                  <c:v>1.9723325571839474</c:v>
                </c:pt>
                <c:pt idx="72">
                  <c:v>1.9997260649226132</c:v>
                </c:pt>
                <c:pt idx="73">
                  <c:v>2.0271195726612792</c:v>
                </c:pt>
                <c:pt idx="74">
                  <c:v>2.054513080399945</c:v>
                </c:pt>
                <c:pt idx="75">
                  <c:v>2.0819065881386112</c:v>
                </c:pt>
                <c:pt idx="76">
                  <c:v>2.109300095877277</c:v>
                </c:pt>
                <c:pt idx="77">
                  <c:v>2.1366936036159427</c:v>
                </c:pt>
                <c:pt idx="78">
                  <c:v>2.164087111354609</c:v>
                </c:pt>
                <c:pt idx="79">
                  <c:v>2.1914806190932747</c:v>
                </c:pt>
                <c:pt idx="80">
                  <c:v>2.218874126831941</c:v>
                </c:pt>
                <c:pt idx="81">
                  <c:v>2.2462676345706067</c:v>
                </c:pt>
                <c:pt idx="82">
                  <c:v>2.2736611423092725</c:v>
                </c:pt>
                <c:pt idx="83">
                  <c:v>2.3010546500479387</c:v>
                </c:pt>
                <c:pt idx="84">
                  <c:v>2.3284481577866045</c:v>
                </c:pt>
                <c:pt idx="85">
                  <c:v>2.3558416655252703</c:v>
                </c:pt>
                <c:pt idx="86">
                  <c:v>2.3832351732639365</c:v>
                </c:pt>
                <c:pt idx="87">
                  <c:v>2.4106286810026023</c:v>
                </c:pt>
                <c:pt idx="88">
                  <c:v>2.4380221887412681</c:v>
                </c:pt>
                <c:pt idx="89">
                  <c:v>2.4654156964799343</c:v>
                </c:pt>
                <c:pt idx="90">
                  <c:v>2.4928092042186001</c:v>
                </c:pt>
                <c:pt idx="91">
                  <c:v>2.5202027119572659</c:v>
                </c:pt>
                <c:pt idx="92">
                  <c:v>2.5475962196959321</c:v>
                </c:pt>
                <c:pt idx="93">
                  <c:v>2.5749897274345979</c:v>
                </c:pt>
                <c:pt idx="94">
                  <c:v>2.6023832351732636</c:v>
                </c:pt>
                <c:pt idx="95">
                  <c:v>2.6297767429119299</c:v>
                </c:pt>
                <c:pt idx="96">
                  <c:v>2.6571702506505956</c:v>
                </c:pt>
                <c:pt idx="97">
                  <c:v>2.6845637583892619</c:v>
                </c:pt>
                <c:pt idx="98">
                  <c:v>2.7119572661279276</c:v>
                </c:pt>
                <c:pt idx="99">
                  <c:v>2.7393507738665934</c:v>
                </c:pt>
                <c:pt idx="100">
                  <c:v>2.7667442816052596</c:v>
                </c:pt>
                <c:pt idx="101">
                  <c:v>2.7941377893439254</c:v>
                </c:pt>
                <c:pt idx="102">
                  <c:v>2.8215312970825912</c:v>
                </c:pt>
                <c:pt idx="103">
                  <c:v>2.8489248048212574</c:v>
                </c:pt>
                <c:pt idx="104">
                  <c:v>2.8763183125599232</c:v>
                </c:pt>
                <c:pt idx="105">
                  <c:v>2.903711820298589</c:v>
                </c:pt>
                <c:pt idx="106">
                  <c:v>2.9311053280372552</c:v>
                </c:pt>
                <c:pt idx="107">
                  <c:v>2.958498835775921</c:v>
                </c:pt>
                <c:pt idx="108">
                  <c:v>2.9858923435145868</c:v>
                </c:pt>
                <c:pt idx="109">
                  <c:v>3.013285851253253</c:v>
                </c:pt>
                <c:pt idx="110">
                  <c:v>3.0406793589919188</c:v>
                </c:pt>
                <c:pt idx="111">
                  <c:v>3.0680728667305845</c:v>
                </c:pt>
                <c:pt idx="112">
                  <c:v>3.0954663744692508</c:v>
                </c:pt>
                <c:pt idx="113">
                  <c:v>3.1228598822079165</c:v>
                </c:pt>
                <c:pt idx="114">
                  <c:v>3.1502533899465828</c:v>
                </c:pt>
                <c:pt idx="115">
                  <c:v>3.1776468976852486</c:v>
                </c:pt>
                <c:pt idx="116">
                  <c:v>3.2050404054239143</c:v>
                </c:pt>
                <c:pt idx="117">
                  <c:v>3.2324339131625806</c:v>
                </c:pt>
                <c:pt idx="118">
                  <c:v>3.2598274209012463</c:v>
                </c:pt>
                <c:pt idx="119">
                  <c:v>3.2872209286399121</c:v>
                </c:pt>
                <c:pt idx="120">
                  <c:v>3.3146144363785783</c:v>
                </c:pt>
                <c:pt idx="121">
                  <c:v>3.3420079441172441</c:v>
                </c:pt>
                <c:pt idx="122">
                  <c:v>3.3694014518559099</c:v>
                </c:pt>
                <c:pt idx="123">
                  <c:v>3.3967949595945761</c:v>
                </c:pt>
                <c:pt idx="124">
                  <c:v>3.4241884673332419</c:v>
                </c:pt>
                <c:pt idx="125">
                  <c:v>3.4515819750719077</c:v>
                </c:pt>
                <c:pt idx="126">
                  <c:v>3.4789754828105739</c:v>
                </c:pt>
                <c:pt idx="127">
                  <c:v>3.5063689905492397</c:v>
                </c:pt>
                <c:pt idx="128">
                  <c:v>3.5337624982879055</c:v>
                </c:pt>
                <c:pt idx="129">
                  <c:v>3.5611560060265717</c:v>
                </c:pt>
                <c:pt idx="130">
                  <c:v>3.5885495137652375</c:v>
                </c:pt>
                <c:pt idx="131">
                  <c:v>3.6159430215039037</c:v>
                </c:pt>
                <c:pt idx="132">
                  <c:v>3.6433365292425695</c:v>
                </c:pt>
                <c:pt idx="133">
                  <c:v>3.6707300369812352</c:v>
                </c:pt>
                <c:pt idx="134">
                  <c:v>3.6981235447199015</c:v>
                </c:pt>
                <c:pt idx="135">
                  <c:v>3.7255170524585672</c:v>
                </c:pt>
                <c:pt idx="136">
                  <c:v>3.752910560197233</c:v>
                </c:pt>
                <c:pt idx="137">
                  <c:v>3.7803040679358992</c:v>
                </c:pt>
                <c:pt idx="138">
                  <c:v>3.807697575674565</c:v>
                </c:pt>
                <c:pt idx="139">
                  <c:v>3.8350910834132308</c:v>
                </c:pt>
                <c:pt idx="140">
                  <c:v>3.862484591151897</c:v>
                </c:pt>
                <c:pt idx="141">
                  <c:v>3.8898780988905628</c:v>
                </c:pt>
                <c:pt idx="142">
                  <c:v>3.9172716066292286</c:v>
                </c:pt>
                <c:pt idx="143">
                  <c:v>3.9446651143678948</c:v>
                </c:pt>
                <c:pt idx="144">
                  <c:v>3.9720586221065606</c:v>
                </c:pt>
                <c:pt idx="145">
                  <c:v>3.9994521298452264</c:v>
                </c:pt>
                <c:pt idx="146">
                  <c:v>4.0268456375838921</c:v>
                </c:pt>
                <c:pt idx="147">
                  <c:v>4.0542391453225584</c:v>
                </c:pt>
                <c:pt idx="148">
                  <c:v>4.0816326530612246</c:v>
                </c:pt>
                <c:pt idx="149">
                  <c:v>4.1090261607998899</c:v>
                </c:pt>
                <c:pt idx="150">
                  <c:v>4.1364196685385561</c:v>
                </c:pt>
                <c:pt idx="151">
                  <c:v>4.1638131762772224</c:v>
                </c:pt>
                <c:pt idx="152">
                  <c:v>4.1912066840158877</c:v>
                </c:pt>
                <c:pt idx="153">
                  <c:v>4.2186001917545539</c:v>
                </c:pt>
                <c:pt idx="154">
                  <c:v>4.2459936994932201</c:v>
                </c:pt>
                <c:pt idx="155">
                  <c:v>4.2733872072318855</c:v>
                </c:pt>
                <c:pt idx="156">
                  <c:v>4.3007807149705517</c:v>
                </c:pt>
                <c:pt idx="157">
                  <c:v>4.3281742227092179</c:v>
                </c:pt>
                <c:pt idx="158">
                  <c:v>4.3555677304478841</c:v>
                </c:pt>
                <c:pt idx="159">
                  <c:v>4.3829612381865495</c:v>
                </c:pt>
                <c:pt idx="160">
                  <c:v>4.4103547459252157</c:v>
                </c:pt>
                <c:pt idx="161">
                  <c:v>4.4377482536638819</c:v>
                </c:pt>
                <c:pt idx="162">
                  <c:v>4.4651417614025473</c:v>
                </c:pt>
                <c:pt idx="163">
                  <c:v>4.4925352691412135</c:v>
                </c:pt>
                <c:pt idx="164">
                  <c:v>4.5199287768798797</c:v>
                </c:pt>
                <c:pt idx="165">
                  <c:v>4.547322284618545</c:v>
                </c:pt>
                <c:pt idx="166">
                  <c:v>4.5747157923572113</c:v>
                </c:pt>
                <c:pt idx="167">
                  <c:v>4.6021093000958775</c:v>
                </c:pt>
                <c:pt idx="168">
                  <c:v>4.6295028078345428</c:v>
                </c:pt>
                <c:pt idx="169">
                  <c:v>4.656896315573209</c:v>
                </c:pt>
                <c:pt idx="170">
                  <c:v>4.6842898233118753</c:v>
                </c:pt>
                <c:pt idx="171">
                  <c:v>4.7116833310505406</c:v>
                </c:pt>
                <c:pt idx="172">
                  <c:v>4.7390768387892068</c:v>
                </c:pt>
                <c:pt idx="173">
                  <c:v>4.766470346527873</c:v>
                </c:pt>
                <c:pt idx="174">
                  <c:v>4.7938638542665384</c:v>
                </c:pt>
                <c:pt idx="175">
                  <c:v>4.8212573620052046</c:v>
                </c:pt>
                <c:pt idx="176">
                  <c:v>4.8486508697438708</c:v>
                </c:pt>
                <c:pt idx="177">
                  <c:v>4.8760443774825362</c:v>
                </c:pt>
                <c:pt idx="178">
                  <c:v>4.9034378852212024</c:v>
                </c:pt>
                <c:pt idx="179">
                  <c:v>4.9308313929598686</c:v>
                </c:pt>
                <c:pt idx="180">
                  <c:v>4.9582249006985339</c:v>
                </c:pt>
                <c:pt idx="181">
                  <c:v>4.9856184084372002</c:v>
                </c:pt>
                <c:pt idx="182">
                  <c:v>5.0130119161758664</c:v>
                </c:pt>
                <c:pt idx="183">
                  <c:v>5.0404054239145317</c:v>
                </c:pt>
                <c:pt idx="184">
                  <c:v>5.0677989316531979</c:v>
                </c:pt>
                <c:pt idx="185">
                  <c:v>5.0951924393918642</c:v>
                </c:pt>
                <c:pt idx="186">
                  <c:v>5.1225859471305295</c:v>
                </c:pt>
                <c:pt idx="187">
                  <c:v>5.1499794548691957</c:v>
                </c:pt>
                <c:pt idx="188">
                  <c:v>5.177372962607862</c:v>
                </c:pt>
                <c:pt idx="189">
                  <c:v>5.2047664703465273</c:v>
                </c:pt>
                <c:pt idx="190">
                  <c:v>5.2321599780851935</c:v>
                </c:pt>
                <c:pt idx="191">
                  <c:v>5.2595534858238597</c:v>
                </c:pt>
                <c:pt idx="192">
                  <c:v>5.286946993562526</c:v>
                </c:pt>
                <c:pt idx="193">
                  <c:v>5.3143405013011913</c:v>
                </c:pt>
                <c:pt idx="194">
                  <c:v>5.3417340090398575</c:v>
                </c:pt>
                <c:pt idx="195">
                  <c:v>5.3691275167785237</c:v>
                </c:pt>
                <c:pt idx="196">
                  <c:v>5.3965210245171891</c:v>
                </c:pt>
                <c:pt idx="197">
                  <c:v>5.4239145322558553</c:v>
                </c:pt>
                <c:pt idx="198">
                  <c:v>5.4513080399945215</c:v>
                </c:pt>
                <c:pt idx="199">
                  <c:v>5.4787015477331868</c:v>
                </c:pt>
                <c:pt idx="200">
                  <c:v>5.5060950554718531</c:v>
                </c:pt>
                <c:pt idx="201">
                  <c:v>5.5334885632105193</c:v>
                </c:pt>
                <c:pt idx="202">
                  <c:v>5.5608820709491846</c:v>
                </c:pt>
                <c:pt idx="203">
                  <c:v>5.5882755786878509</c:v>
                </c:pt>
                <c:pt idx="204">
                  <c:v>5.6156690864265171</c:v>
                </c:pt>
                <c:pt idx="205">
                  <c:v>5.6430625941651824</c:v>
                </c:pt>
                <c:pt idx="206">
                  <c:v>5.6704561019038486</c:v>
                </c:pt>
                <c:pt idx="207">
                  <c:v>5.6978496096425149</c:v>
                </c:pt>
                <c:pt idx="208">
                  <c:v>5.7252431173811802</c:v>
                </c:pt>
                <c:pt idx="209">
                  <c:v>5.7526366251198464</c:v>
                </c:pt>
                <c:pt idx="210">
                  <c:v>5.7800301328585126</c:v>
                </c:pt>
                <c:pt idx="211">
                  <c:v>5.807423640597178</c:v>
                </c:pt>
                <c:pt idx="212">
                  <c:v>5.8348171483358442</c:v>
                </c:pt>
                <c:pt idx="213">
                  <c:v>5.8622106560745104</c:v>
                </c:pt>
                <c:pt idx="214">
                  <c:v>5.8896041638131758</c:v>
                </c:pt>
                <c:pt idx="215">
                  <c:v>5.916997671551842</c:v>
                </c:pt>
                <c:pt idx="216">
                  <c:v>5.9443911792905082</c:v>
                </c:pt>
                <c:pt idx="217">
                  <c:v>5.9717846870291735</c:v>
                </c:pt>
                <c:pt idx="218">
                  <c:v>5.9991781947678398</c:v>
                </c:pt>
                <c:pt idx="219">
                  <c:v>6.026571702506506</c:v>
                </c:pt>
                <c:pt idx="220">
                  <c:v>6.0539652102451713</c:v>
                </c:pt>
                <c:pt idx="221">
                  <c:v>6.0813587179838375</c:v>
                </c:pt>
                <c:pt idx="222">
                  <c:v>6.1087522257225038</c:v>
                </c:pt>
                <c:pt idx="223">
                  <c:v>6.1361457334611691</c:v>
                </c:pt>
                <c:pt idx="224">
                  <c:v>6.1635392411998353</c:v>
                </c:pt>
                <c:pt idx="225">
                  <c:v>6.1909327489385015</c:v>
                </c:pt>
                <c:pt idx="226">
                  <c:v>6.2183262566771669</c:v>
                </c:pt>
                <c:pt idx="227">
                  <c:v>6.2457197644158331</c:v>
                </c:pt>
                <c:pt idx="228">
                  <c:v>6.2731132721544993</c:v>
                </c:pt>
                <c:pt idx="229">
                  <c:v>6.3005067798931655</c:v>
                </c:pt>
                <c:pt idx="230">
                  <c:v>6.3279002876318309</c:v>
                </c:pt>
                <c:pt idx="231">
                  <c:v>6.3552937953704971</c:v>
                </c:pt>
                <c:pt idx="232">
                  <c:v>6.3826873031091633</c:v>
                </c:pt>
                <c:pt idx="233">
                  <c:v>6.4100808108478287</c:v>
                </c:pt>
                <c:pt idx="234">
                  <c:v>6.4374743185864949</c:v>
                </c:pt>
                <c:pt idx="235">
                  <c:v>6.4648678263251611</c:v>
                </c:pt>
                <c:pt idx="236">
                  <c:v>6.4922613340638264</c:v>
                </c:pt>
                <c:pt idx="237">
                  <c:v>6.5196548418024927</c:v>
                </c:pt>
                <c:pt idx="238">
                  <c:v>6.5470483495411589</c:v>
                </c:pt>
                <c:pt idx="239">
                  <c:v>6.5744418572798242</c:v>
                </c:pt>
                <c:pt idx="240">
                  <c:v>6.6018353650184904</c:v>
                </c:pt>
                <c:pt idx="241">
                  <c:v>6.6292288727571567</c:v>
                </c:pt>
                <c:pt idx="242">
                  <c:v>6.656622380495822</c:v>
                </c:pt>
                <c:pt idx="243">
                  <c:v>6.6840158882344882</c:v>
                </c:pt>
                <c:pt idx="244">
                  <c:v>6.7114093959731544</c:v>
                </c:pt>
                <c:pt idx="245">
                  <c:v>6.7388029037118198</c:v>
                </c:pt>
                <c:pt idx="246">
                  <c:v>6.766196411450486</c:v>
                </c:pt>
                <c:pt idx="247">
                  <c:v>6.7935899191891522</c:v>
                </c:pt>
                <c:pt idx="248">
                  <c:v>6.8209834269278176</c:v>
                </c:pt>
                <c:pt idx="249">
                  <c:v>6.8483769346664838</c:v>
                </c:pt>
                <c:pt idx="250">
                  <c:v>6.87577044240515</c:v>
                </c:pt>
                <c:pt idx="251">
                  <c:v>6.9031639501438153</c:v>
                </c:pt>
                <c:pt idx="252">
                  <c:v>6.9305574578824816</c:v>
                </c:pt>
                <c:pt idx="253">
                  <c:v>6.9579509656211478</c:v>
                </c:pt>
                <c:pt idx="254">
                  <c:v>6.9853444733598131</c:v>
                </c:pt>
                <c:pt idx="255">
                  <c:v>7.0127379810984793</c:v>
                </c:pt>
                <c:pt idx="256">
                  <c:v>7.0401314888371456</c:v>
                </c:pt>
                <c:pt idx="257">
                  <c:v>7.0675249965758109</c:v>
                </c:pt>
                <c:pt idx="258">
                  <c:v>7.0949185043144771</c:v>
                </c:pt>
                <c:pt idx="259">
                  <c:v>7.1223120120531433</c:v>
                </c:pt>
                <c:pt idx="260">
                  <c:v>7.1497055197918087</c:v>
                </c:pt>
                <c:pt idx="261">
                  <c:v>7.1770990275304749</c:v>
                </c:pt>
                <c:pt idx="262">
                  <c:v>7.2044925352691411</c:v>
                </c:pt>
                <c:pt idx="263">
                  <c:v>7.2318860430078074</c:v>
                </c:pt>
                <c:pt idx="264">
                  <c:v>7.2592795507464727</c:v>
                </c:pt>
                <c:pt idx="265">
                  <c:v>7.2866730584851389</c:v>
                </c:pt>
                <c:pt idx="266">
                  <c:v>7.3140665662238051</c:v>
                </c:pt>
                <c:pt idx="267">
                  <c:v>7.3414600739624705</c:v>
                </c:pt>
                <c:pt idx="268">
                  <c:v>7.3688535817011367</c:v>
                </c:pt>
                <c:pt idx="269">
                  <c:v>7.3962470894398029</c:v>
                </c:pt>
                <c:pt idx="270">
                  <c:v>7.4236405971784682</c:v>
                </c:pt>
                <c:pt idx="271">
                  <c:v>7.4510341049171345</c:v>
                </c:pt>
                <c:pt idx="272">
                  <c:v>7.4784276126558007</c:v>
                </c:pt>
                <c:pt idx="273">
                  <c:v>7.505821120394466</c:v>
                </c:pt>
                <c:pt idx="274">
                  <c:v>7.5332146281331323</c:v>
                </c:pt>
                <c:pt idx="275">
                  <c:v>7.5606081358717985</c:v>
                </c:pt>
                <c:pt idx="276">
                  <c:v>7.5880016436104638</c:v>
                </c:pt>
                <c:pt idx="277">
                  <c:v>7.61539515134913</c:v>
                </c:pt>
                <c:pt idx="278">
                  <c:v>7.6427886590877963</c:v>
                </c:pt>
                <c:pt idx="279">
                  <c:v>7.6701821668264616</c:v>
                </c:pt>
                <c:pt idx="280">
                  <c:v>7.6975756745651278</c:v>
                </c:pt>
                <c:pt idx="281">
                  <c:v>7.724969182303794</c:v>
                </c:pt>
                <c:pt idx="282">
                  <c:v>7.7523626900424594</c:v>
                </c:pt>
                <c:pt idx="283">
                  <c:v>7.7797561977811256</c:v>
                </c:pt>
                <c:pt idx="284">
                  <c:v>7.8071497055197918</c:v>
                </c:pt>
                <c:pt idx="285">
                  <c:v>7.8345432132584572</c:v>
                </c:pt>
                <c:pt idx="286">
                  <c:v>7.8619367209971234</c:v>
                </c:pt>
                <c:pt idx="287">
                  <c:v>7.8893302287357896</c:v>
                </c:pt>
                <c:pt idx="288">
                  <c:v>7.9167237364744549</c:v>
                </c:pt>
                <c:pt idx="289">
                  <c:v>7.9441172442131212</c:v>
                </c:pt>
                <c:pt idx="290">
                  <c:v>7.9715107519517874</c:v>
                </c:pt>
                <c:pt idx="291">
                  <c:v>7.9989042596904527</c:v>
                </c:pt>
                <c:pt idx="292">
                  <c:v>8.0262977674291189</c:v>
                </c:pt>
                <c:pt idx="293">
                  <c:v>8.0536912751677843</c:v>
                </c:pt>
                <c:pt idx="294">
                  <c:v>8.0810847829064514</c:v>
                </c:pt>
                <c:pt idx="295">
                  <c:v>8.1084782906451167</c:v>
                </c:pt>
                <c:pt idx="296">
                  <c:v>8.135871798383782</c:v>
                </c:pt>
                <c:pt idx="297">
                  <c:v>8.1632653061224492</c:v>
                </c:pt>
                <c:pt idx="298">
                  <c:v>8.1906588138611145</c:v>
                </c:pt>
                <c:pt idx="299">
                  <c:v>8.2180523215997798</c:v>
                </c:pt>
                <c:pt idx="300">
                  <c:v>8.2454458293384469</c:v>
                </c:pt>
                <c:pt idx="301">
                  <c:v>8.2728393370771123</c:v>
                </c:pt>
                <c:pt idx="302">
                  <c:v>8.3002328448157776</c:v>
                </c:pt>
                <c:pt idx="303">
                  <c:v>8.3276263525544447</c:v>
                </c:pt>
                <c:pt idx="304">
                  <c:v>8.3550198602931101</c:v>
                </c:pt>
                <c:pt idx="305">
                  <c:v>8.3824133680317754</c:v>
                </c:pt>
                <c:pt idx="306">
                  <c:v>8.4098068757704425</c:v>
                </c:pt>
                <c:pt idx="307">
                  <c:v>8.4372003835091078</c:v>
                </c:pt>
                <c:pt idx="308">
                  <c:v>8.4645938912477732</c:v>
                </c:pt>
                <c:pt idx="309">
                  <c:v>8.4919873989864403</c:v>
                </c:pt>
                <c:pt idx="310">
                  <c:v>8.5193809067251056</c:v>
                </c:pt>
                <c:pt idx="311">
                  <c:v>8.546774414463771</c:v>
                </c:pt>
                <c:pt idx="312">
                  <c:v>8.5741679222024381</c:v>
                </c:pt>
                <c:pt idx="313">
                  <c:v>8.6015614299411034</c:v>
                </c:pt>
                <c:pt idx="314">
                  <c:v>8.6289549376797705</c:v>
                </c:pt>
                <c:pt idx="315">
                  <c:v>8.6563484454184358</c:v>
                </c:pt>
                <c:pt idx="316">
                  <c:v>8.6837419531571012</c:v>
                </c:pt>
                <c:pt idx="317">
                  <c:v>8.7111354608957683</c:v>
                </c:pt>
                <c:pt idx="318">
                  <c:v>8.7385289686344336</c:v>
                </c:pt>
                <c:pt idx="319">
                  <c:v>8.765922476373099</c:v>
                </c:pt>
                <c:pt idx="320">
                  <c:v>8.7933159841117661</c:v>
                </c:pt>
                <c:pt idx="321">
                  <c:v>8.8207094918504314</c:v>
                </c:pt>
                <c:pt idx="322">
                  <c:v>8.8481029995890967</c:v>
                </c:pt>
                <c:pt idx="323">
                  <c:v>8.8754965073277639</c:v>
                </c:pt>
                <c:pt idx="324">
                  <c:v>8.9028900150664292</c:v>
                </c:pt>
                <c:pt idx="325">
                  <c:v>8.9302835228050945</c:v>
                </c:pt>
                <c:pt idx="326">
                  <c:v>8.9576770305437616</c:v>
                </c:pt>
                <c:pt idx="327">
                  <c:v>8.985070538282427</c:v>
                </c:pt>
                <c:pt idx="328">
                  <c:v>9.0124640460210923</c:v>
                </c:pt>
                <c:pt idx="329">
                  <c:v>9.0398575537597594</c:v>
                </c:pt>
                <c:pt idx="330">
                  <c:v>9.0672510614984247</c:v>
                </c:pt>
                <c:pt idx="331">
                  <c:v>9.0946445692370901</c:v>
                </c:pt>
                <c:pt idx="332">
                  <c:v>9.1220380769757572</c:v>
                </c:pt>
                <c:pt idx="333">
                  <c:v>9.1494315847144225</c:v>
                </c:pt>
                <c:pt idx="334">
                  <c:v>9.1768250924530879</c:v>
                </c:pt>
                <c:pt idx="335">
                  <c:v>9.204218600191755</c:v>
                </c:pt>
                <c:pt idx="336">
                  <c:v>9.2316121079304203</c:v>
                </c:pt>
                <c:pt idx="337">
                  <c:v>9.2590056156690856</c:v>
                </c:pt>
                <c:pt idx="338">
                  <c:v>9.2863991234077528</c:v>
                </c:pt>
                <c:pt idx="339">
                  <c:v>9.3137926311464181</c:v>
                </c:pt>
                <c:pt idx="340">
                  <c:v>9.3411861388850834</c:v>
                </c:pt>
                <c:pt idx="341">
                  <c:v>9.3685796466237505</c:v>
                </c:pt>
                <c:pt idx="342">
                  <c:v>9.3959731543624159</c:v>
                </c:pt>
                <c:pt idx="343">
                  <c:v>9.4233666621010812</c:v>
                </c:pt>
                <c:pt idx="344">
                  <c:v>9.4507601698397483</c:v>
                </c:pt>
                <c:pt idx="345">
                  <c:v>9.4781536775784136</c:v>
                </c:pt>
                <c:pt idx="346">
                  <c:v>9.505547185317079</c:v>
                </c:pt>
                <c:pt idx="347">
                  <c:v>9.5329406930557461</c:v>
                </c:pt>
                <c:pt idx="348">
                  <c:v>9.5603342007944114</c:v>
                </c:pt>
                <c:pt idx="349">
                  <c:v>9.5877277085330768</c:v>
                </c:pt>
                <c:pt idx="350">
                  <c:v>9.6151212162717439</c:v>
                </c:pt>
                <c:pt idx="351">
                  <c:v>9.6425147240104092</c:v>
                </c:pt>
                <c:pt idx="352">
                  <c:v>9.6699082317490745</c:v>
                </c:pt>
                <c:pt idx="353">
                  <c:v>9.6973017394877417</c:v>
                </c:pt>
                <c:pt idx="354">
                  <c:v>9.724695247226407</c:v>
                </c:pt>
                <c:pt idx="355">
                  <c:v>9.7520887549650723</c:v>
                </c:pt>
                <c:pt idx="356">
                  <c:v>9.7794822627037394</c:v>
                </c:pt>
                <c:pt idx="357">
                  <c:v>9.8068757704424048</c:v>
                </c:pt>
                <c:pt idx="358">
                  <c:v>9.8342692781810701</c:v>
                </c:pt>
                <c:pt idx="359">
                  <c:v>9.8616627859197372</c:v>
                </c:pt>
                <c:pt idx="360">
                  <c:v>9.8890562936584026</c:v>
                </c:pt>
                <c:pt idx="361">
                  <c:v>9.9164498013970679</c:v>
                </c:pt>
                <c:pt idx="362">
                  <c:v>9.943843309135735</c:v>
                </c:pt>
                <c:pt idx="363">
                  <c:v>9.9712368168744003</c:v>
                </c:pt>
                <c:pt idx="364">
                  <c:v>9.9986303246130657</c:v>
                </c:pt>
                <c:pt idx="365">
                  <c:v>10.026023832351733</c:v>
                </c:pt>
                <c:pt idx="366">
                  <c:v>10.053417340090398</c:v>
                </c:pt>
                <c:pt idx="367">
                  <c:v>10.080810847829063</c:v>
                </c:pt>
                <c:pt idx="368">
                  <c:v>10.108204355567731</c:v>
                </c:pt>
                <c:pt idx="369">
                  <c:v>10.135597863306396</c:v>
                </c:pt>
                <c:pt idx="370">
                  <c:v>10.162991371045061</c:v>
                </c:pt>
                <c:pt idx="371">
                  <c:v>10.190384878783728</c:v>
                </c:pt>
                <c:pt idx="372">
                  <c:v>10.217778386522394</c:v>
                </c:pt>
                <c:pt idx="373">
                  <c:v>10.245171894261059</c:v>
                </c:pt>
                <c:pt idx="374">
                  <c:v>10.272565401999726</c:v>
                </c:pt>
                <c:pt idx="375">
                  <c:v>10.299958909738391</c:v>
                </c:pt>
                <c:pt idx="376">
                  <c:v>10.327352417477057</c:v>
                </c:pt>
                <c:pt idx="377">
                  <c:v>10.354745925215724</c:v>
                </c:pt>
                <c:pt idx="378">
                  <c:v>10.382139432954389</c:v>
                </c:pt>
                <c:pt idx="379">
                  <c:v>10.409532940693055</c:v>
                </c:pt>
                <c:pt idx="380">
                  <c:v>10.436926448431722</c:v>
                </c:pt>
                <c:pt idx="381">
                  <c:v>10.464319956170387</c:v>
                </c:pt>
                <c:pt idx="382">
                  <c:v>10.491713463909052</c:v>
                </c:pt>
                <c:pt idx="383">
                  <c:v>10.519106971647719</c:v>
                </c:pt>
                <c:pt idx="384">
                  <c:v>10.546500479386385</c:v>
                </c:pt>
                <c:pt idx="385">
                  <c:v>10.573893987125052</c:v>
                </c:pt>
                <c:pt idx="386">
                  <c:v>10.601287494863717</c:v>
                </c:pt>
                <c:pt idx="387">
                  <c:v>10.628681002602383</c:v>
                </c:pt>
                <c:pt idx="388">
                  <c:v>10.65607451034105</c:v>
                </c:pt>
                <c:pt idx="389">
                  <c:v>10.683468018079715</c:v>
                </c:pt>
                <c:pt idx="390">
                  <c:v>10.71086152581838</c:v>
                </c:pt>
                <c:pt idx="391">
                  <c:v>10.738255033557047</c:v>
                </c:pt>
                <c:pt idx="392">
                  <c:v>10.765648541295713</c:v>
                </c:pt>
                <c:pt idx="393">
                  <c:v>10.793042049034378</c:v>
                </c:pt>
                <c:pt idx="394">
                  <c:v>10.820435556773045</c:v>
                </c:pt>
                <c:pt idx="395">
                  <c:v>10.847829064511711</c:v>
                </c:pt>
                <c:pt idx="396">
                  <c:v>10.875222572250376</c:v>
                </c:pt>
                <c:pt idx="397">
                  <c:v>10.902616079989043</c:v>
                </c:pt>
                <c:pt idx="398">
                  <c:v>10.930009587727708</c:v>
                </c:pt>
                <c:pt idx="399">
                  <c:v>10.957403095466374</c:v>
                </c:pt>
                <c:pt idx="400">
                  <c:v>10.984796603205041</c:v>
                </c:pt>
                <c:pt idx="401">
                  <c:v>11.012190110943706</c:v>
                </c:pt>
                <c:pt idx="402">
                  <c:v>11.039583618682371</c:v>
                </c:pt>
                <c:pt idx="403">
                  <c:v>11.066977126421039</c:v>
                </c:pt>
                <c:pt idx="404">
                  <c:v>11.094370634159704</c:v>
                </c:pt>
                <c:pt idx="405">
                  <c:v>11.121764141898369</c:v>
                </c:pt>
                <c:pt idx="406">
                  <c:v>11.149157649637036</c:v>
                </c:pt>
                <c:pt idx="407">
                  <c:v>11.176551157375702</c:v>
                </c:pt>
                <c:pt idx="408">
                  <c:v>11.203944665114367</c:v>
                </c:pt>
                <c:pt idx="409">
                  <c:v>11.231338172853034</c:v>
                </c:pt>
                <c:pt idx="410">
                  <c:v>11.258731680591699</c:v>
                </c:pt>
                <c:pt idx="411">
                  <c:v>11.286125188330365</c:v>
                </c:pt>
                <c:pt idx="412">
                  <c:v>11.313518696069032</c:v>
                </c:pt>
                <c:pt idx="413">
                  <c:v>11.340912203807697</c:v>
                </c:pt>
                <c:pt idx="414">
                  <c:v>11.368305711546363</c:v>
                </c:pt>
                <c:pt idx="415">
                  <c:v>11.39569921928503</c:v>
                </c:pt>
                <c:pt idx="416">
                  <c:v>11.423092727023695</c:v>
                </c:pt>
                <c:pt idx="417">
                  <c:v>11.45048623476236</c:v>
                </c:pt>
                <c:pt idx="418">
                  <c:v>11.477879742501027</c:v>
                </c:pt>
                <c:pt idx="419">
                  <c:v>11.505273250239693</c:v>
                </c:pt>
                <c:pt idx="420">
                  <c:v>11.532666757978358</c:v>
                </c:pt>
                <c:pt idx="421">
                  <c:v>11.560060265717025</c:v>
                </c:pt>
                <c:pt idx="422">
                  <c:v>11.587453773455691</c:v>
                </c:pt>
                <c:pt idx="423">
                  <c:v>11.614847281194356</c:v>
                </c:pt>
                <c:pt idx="424">
                  <c:v>11.642240788933023</c:v>
                </c:pt>
                <c:pt idx="425">
                  <c:v>11.669634296671688</c:v>
                </c:pt>
                <c:pt idx="426">
                  <c:v>11.697027804410354</c:v>
                </c:pt>
                <c:pt idx="427">
                  <c:v>11.724421312149021</c:v>
                </c:pt>
                <c:pt idx="428">
                  <c:v>11.751814819887686</c:v>
                </c:pt>
                <c:pt idx="429">
                  <c:v>11.779208327626352</c:v>
                </c:pt>
                <c:pt idx="430">
                  <c:v>11.806601835365019</c:v>
                </c:pt>
                <c:pt idx="431">
                  <c:v>11.833995343103684</c:v>
                </c:pt>
                <c:pt idx="432">
                  <c:v>11.861388850842349</c:v>
                </c:pt>
                <c:pt idx="433">
                  <c:v>11.888782358581016</c:v>
                </c:pt>
                <c:pt idx="434">
                  <c:v>11.916175866319682</c:v>
                </c:pt>
                <c:pt idx="435">
                  <c:v>11.943569374058347</c:v>
                </c:pt>
                <c:pt idx="436">
                  <c:v>11.970962881797014</c:v>
                </c:pt>
                <c:pt idx="437">
                  <c:v>11.99835638953568</c:v>
                </c:pt>
                <c:pt idx="438">
                  <c:v>12.025749897274345</c:v>
                </c:pt>
                <c:pt idx="439">
                  <c:v>12.053143405013012</c:v>
                </c:pt>
                <c:pt idx="440">
                  <c:v>12.080536912751677</c:v>
                </c:pt>
                <c:pt idx="441">
                  <c:v>12.107930420490343</c:v>
                </c:pt>
                <c:pt idx="442">
                  <c:v>12.13532392822901</c:v>
                </c:pt>
                <c:pt idx="443">
                  <c:v>12.162717435967675</c:v>
                </c:pt>
                <c:pt idx="444">
                  <c:v>12.19011094370634</c:v>
                </c:pt>
                <c:pt idx="445">
                  <c:v>12.217504451445008</c:v>
                </c:pt>
                <c:pt idx="446">
                  <c:v>12.244897959183673</c:v>
                </c:pt>
                <c:pt idx="447">
                  <c:v>12.272291466922338</c:v>
                </c:pt>
                <c:pt idx="448">
                  <c:v>12.299684974661005</c:v>
                </c:pt>
                <c:pt idx="449">
                  <c:v>12.327078482399671</c:v>
                </c:pt>
                <c:pt idx="450">
                  <c:v>12.354471990138336</c:v>
                </c:pt>
                <c:pt idx="451">
                  <c:v>12.381865497877003</c:v>
                </c:pt>
                <c:pt idx="452">
                  <c:v>12.409259005615668</c:v>
                </c:pt>
                <c:pt idx="453">
                  <c:v>12.436652513354334</c:v>
                </c:pt>
                <c:pt idx="454">
                  <c:v>12.464046021093001</c:v>
                </c:pt>
                <c:pt idx="455">
                  <c:v>12.491439528831666</c:v>
                </c:pt>
                <c:pt idx="456">
                  <c:v>12.518833036570333</c:v>
                </c:pt>
                <c:pt idx="457">
                  <c:v>12.546226544308999</c:v>
                </c:pt>
                <c:pt idx="458">
                  <c:v>12.573620052047664</c:v>
                </c:pt>
                <c:pt idx="459">
                  <c:v>12.601013559786331</c:v>
                </c:pt>
                <c:pt idx="460">
                  <c:v>12.628407067524996</c:v>
                </c:pt>
                <c:pt idx="461">
                  <c:v>12.655800575263662</c:v>
                </c:pt>
                <c:pt idx="462">
                  <c:v>12.683194083002329</c:v>
                </c:pt>
                <c:pt idx="463">
                  <c:v>12.710587590740994</c:v>
                </c:pt>
                <c:pt idx="464">
                  <c:v>12.73798109847966</c:v>
                </c:pt>
                <c:pt idx="465">
                  <c:v>12.765374606218327</c:v>
                </c:pt>
                <c:pt idx="466">
                  <c:v>12.792768113956992</c:v>
                </c:pt>
                <c:pt idx="467">
                  <c:v>12.820161621695657</c:v>
                </c:pt>
                <c:pt idx="468">
                  <c:v>12.847555129434324</c:v>
                </c:pt>
                <c:pt idx="469">
                  <c:v>12.87494863717299</c:v>
                </c:pt>
                <c:pt idx="470">
                  <c:v>12.902342144911655</c:v>
                </c:pt>
                <c:pt idx="471">
                  <c:v>12.929735652650322</c:v>
                </c:pt>
                <c:pt idx="472">
                  <c:v>12.957129160388988</c:v>
                </c:pt>
                <c:pt idx="473">
                  <c:v>12.984522668127653</c:v>
                </c:pt>
                <c:pt idx="474">
                  <c:v>13.01191617586632</c:v>
                </c:pt>
                <c:pt idx="475">
                  <c:v>13.039309683604985</c:v>
                </c:pt>
                <c:pt idx="476">
                  <c:v>13.066703191343651</c:v>
                </c:pt>
                <c:pt idx="477">
                  <c:v>13.094096699082318</c:v>
                </c:pt>
                <c:pt idx="478">
                  <c:v>13.121490206820983</c:v>
                </c:pt>
                <c:pt idx="479">
                  <c:v>13.148883714559648</c:v>
                </c:pt>
                <c:pt idx="480">
                  <c:v>13.176277222298316</c:v>
                </c:pt>
                <c:pt idx="481">
                  <c:v>13.203670730036981</c:v>
                </c:pt>
                <c:pt idx="482">
                  <c:v>13.231064237775646</c:v>
                </c:pt>
                <c:pt idx="483">
                  <c:v>13.258457745514313</c:v>
                </c:pt>
                <c:pt idx="484">
                  <c:v>13.285851253252979</c:v>
                </c:pt>
                <c:pt idx="485">
                  <c:v>13.313244760991644</c:v>
                </c:pt>
                <c:pt idx="486">
                  <c:v>13.340638268730311</c:v>
                </c:pt>
                <c:pt idx="487">
                  <c:v>13.368031776468976</c:v>
                </c:pt>
                <c:pt idx="488">
                  <c:v>13.395425284207642</c:v>
                </c:pt>
                <c:pt idx="489">
                  <c:v>13.422818791946309</c:v>
                </c:pt>
                <c:pt idx="490">
                  <c:v>13.450212299684974</c:v>
                </c:pt>
                <c:pt idx="491">
                  <c:v>13.47760580742364</c:v>
                </c:pt>
                <c:pt idx="492">
                  <c:v>13.504999315162307</c:v>
                </c:pt>
                <c:pt idx="493">
                  <c:v>13.532392822900972</c:v>
                </c:pt>
                <c:pt idx="494">
                  <c:v>13.559786330639637</c:v>
                </c:pt>
                <c:pt idx="495">
                  <c:v>13.587179838378304</c:v>
                </c:pt>
                <c:pt idx="496">
                  <c:v>13.61457334611697</c:v>
                </c:pt>
                <c:pt idx="497">
                  <c:v>13.641966853855635</c:v>
                </c:pt>
                <c:pt idx="498">
                  <c:v>13.669360361594302</c:v>
                </c:pt>
                <c:pt idx="499">
                  <c:v>13.696753869332968</c:v>
                </c:pt>
                <c:pt idx="500">
                  <c:v>13.724147377071633</c:v>
                </c:pt>
                <c:pt idx="501">
                  <c:v>13.7515408848103</c:v>
                </c:pt>
                <c:pt idx="502">
                  <c:v>13.778934392548965</c:v>
                </c:pt>
                <c:pt idx="503">
                  <c:v>13.806327900287631</c:v>
                </c:pt>
                <c:pt idx="504">
                  <c:v>13.833721408026298</c:v>
                </c:pt>
                <c:pt idx="505">
                  <c:v>13.861114915764963</c:v>
                </c:pt>
                <c:pt idx="506">
                  <c:v>13.888508423503628</c:v>
                </c:pt>
                <c:pt idx="507">
                  <c:v>13.915901931242296</c:v>
                </c:pt>
                <c:pt idx="508">
                  <c:v>13.943295438980961</c:v>
                </c:pt>
                <c:pt idx="509">
                  <c:v>13.970688946719626</c:v>
                </c:pt>
                <c:pt idx="510">
                  <c:v>13.998082454458293</c:v>
                </c:pt>
                <c:pt idx="511">
                  <c:v>14.025475962196959</c:v>
                </c:pt>
                <c:pt idx="512">
                  <c:v>14.052869469935624</c:v>
                </c:pt>
                <c:pt idx="513">
                  <c:v>14.080262977674291</c:v>
                </c:pt>
                <c:pt idx="514">
                  <c:v>14.107656485412956</c:v>
                </c:pt>
                <c:pt idx="515">
                  <c:v>14.135049993151622</c:v>
                </c:pt>
                <c:pt idx="516">
                  <c:v>14.162443500890289</c:v>
                </c:pt>
                <c:pt idx="517">
                  <c:v>14.189837008628954</c:v>
                </c:pt>
                <c:pt idx="518">
                  <c:v>14.21723051636762</c:v>
                </c:pt>
                <c:pt idx="519">
                  <c:v>14.244624024106287</c:v>
                </c:pt>
                <c:pt idx="520">
                  <c:v>14.272017531844952</c:v>
                </c:pt>
                <c:pt idx="521">
                  <c:v>14.299411039583617</c:v>
                </c:pt>
                <c:pt idx="522">
                  <c:v>14.326804547322284</c:v>
                </c:pt>
                <c:pt idx="523">
                  <c:v>14.35419805506095</c:v>
                </c:pt>
                <c:pt idx="524">
                  <c:v>14.381591562799617</c:v>
                </c:pt>
                <c:pt idx="525">
                  <c:v>14.408985070538282</c:v>
                </c:pt>
                <c:pt idx="526">
                  <c:v>14.436378578276948</c:v>
                </c:pt>
                <c:pt idx="527">
                  <c:v>14.463772086015615</c:v>
                </c:pt>
                <c:pt idx="528">
                  <c:v>14.49116559375428</c:v>
                </c:pt>
                <c:pt idx="529">
                  <c:v>14.518559101492945</c:v>
                </c:pt>
                <c:pt idx="530">
                  <c:v>14.545952609231612</c:v>
                </c:pt>
                <c:pt idx="531">
                  <c:v>14.573346116970278</c:v>
                </c:pt>
                <c:pt idx="532">
                  <c:v>14.600739624708943</c:v>
                </c:pt>
                <c:pt idx="533">
                  <c:v>14.62813313244761</c:v>
                </c:pt>
                <c:pt idx="534">
                  <c:v>14.655526640186276</c:v>
                </c:pt>
                <c:pt idx="535">
                  <c:v>14.682920147924941</c:v>
                </c:pt>
                <c:pt idx="536">
                  <c:v>14.710313655663608</c:v>
                </c:pt>
                <c:pt idx="537">
                  <c:v>14.737707163402273</c:v>
                </c:pt>
                <c:pt idx="538">
                  <c:v>14.765100671140939</c:v>
                </c:pt>
                <c:pt idx="539">
                  <c:v>14.792494178879606</c:v>
                </c:pt>
                <c:pt idx="540">
                  <c:v>14.819887686618271</c:v>
                </c:pt>
                <c:pt idx="541">
                  <c:v>14.847281194356936</c:v>
                </c:pt>
                <c:pt idx="542">
                  <c:v>14.874674702095604</c:v>
                </c:pt>
                <c:pt idx="543">
                  <c:v>14.902068209834269</c:v>
                </c:pt>
                <c:pt idx="544">
                  <c:v>14.929461717572934</c:v>
                </c:pt>
                <c:pt idx="545">
                  <c:v>14.956855225311601</c:v>
                </c:pt>
                <c:pt idx="546">
                  <c:v>14.984248733050267</c:v>
                </c:pt>
                <c:pt idx="547">
                  <c:v>15.011642240788932</c:v>
                </c:pt>
                <c:pt idx="548">
                  <c:v>15.039035748527599</c:v>
                </c:pt>
                <c:pt idx="549">
                  <c:v>15.066429256266265</c:v>
                </c:pt>
                <c:pt idx="550">
                  <c:v>15.09382276400493</c:v>
                </c:pt>
                <c:pt idx="551">
                  <c:v>15.121216271743597</c:v>
                </c:pt>
                <c:pt idx="552">
                  <c:v>15.148609779482262</c:v>
                </c:pt>
                <c:pt idx="553">
                  <c:v>15.176003287220928</c:v>
                </c:pt>
                <c:pt idx="554">
                  <c:v>15.203396794959595</c:v>
                </c:pt>
                <c:pt idx="555">
                  <c:v>15.23079030269826</c:v>
                </c:pt>
                <c:pt idx="556">
                  <c:v>15.258183810436925</c:v>
                </c:pt>
                <c:pt idx="557">
                  <c:v>15.285577318175593</c:v>
                </c:pt>
                <c:pt idx="558">
                  <c:v>15.312970825914258</c:v>
                </c:pt>
                <c:pt idx="559">
                  <c:v>15.340364333652923</c:v>
                </c:pt>
                <c:pt idx="560">
                  <c:v>15.36775784139159</c:v>
                </c:pt>
                <c:pt idx="561">
                  <c:v>15.395151349130256</c:v>
                </c:pt>
                <c:pt idx="562">
                  <c:v>15.422544856868921</c:v>
                </c:pt>
                <c:pt idx="563">
                  <c:v>15.449938364607588</c:v>
                </c:pt>
                <c:pt idx="564">
                  <c:v>15.477331872346253</c:v>
                </c:pt>
                <c:pt idx="565">
                  <c:v>15.504725380084919</c:v>
                </c:pt>
                <c:pt idx="566">
                  <c:v>15.532118887823586</c:v>
                </c:pt>
                <c:pt idx="567">
                  <c:v>15.559512395562251</c:v>
                </c:pt>
                <c:pt idx="568">
                  <c:v>15.586905903300917</c:v>
                </c:pt>
                <c:pt idx="569">
                  <c:v>15.614299411039584</c:v>
                </c:pt>
                <c:pt idx="570">
                  <c:v>15.641692918778249</c:v>
                </c:pt>
                <c:pt idx="571">
                  <c:v>15.669086426516914</c:v>
                </c:pt>
                <c:pt idx="572">
                  <c:v>15.696479934255581</c:v>
                </c:pt>
                <c:pt idx="573">
                  <c:v>15.723873441994247</c:v>
                </c:pt>
                <c:pt idx="574">
                  <c:v>15.751266949732912</c:v>
                </c:pt>
                <c:pt idx="575">
                  <c:v>15.778660457471579</c:v>
                </c:pt>
                <c:pt idx="576">
                  <c:v>15.806053965210245</c:v>
                </c:pt>
                <c:pt idx="577">
                  <c:v>15.83344747294891</c:v>
                </c:pt>
                <c:pt idx="578">
                  <c:v>15.860840980687577</c:v>
                </c:pt>
                <c:pt idx="579">
                  <c:v>15.888234488426242</c:v>
                </c:pt>
                <c:pt idx="580">
                  <c:v>15.915627996164908</c:v>
                </c:pt>
                <c:pt idx="581">
                  <c:v>15.943021503903575</c:v>
                </c:pt>
                <c:pt idx="582">
                  <c:v>15.97041501164224</c:v>
                </c:pt>
                <c:pt idx="583">
                  <c:v>15.997808519380905</c:v>
                </c:pt>
                <c:pt idx="584">
                  <c:v>16.025202027119573</c:v>
                </c:pt>
                <c:pt idx="585">
                  <c:v>16.052595534858238</c:v>
                </c:pt>
                <c:pt idx="586">
                  <c:v>16.079989042596903</c:v>
                </c:pt>
                <c:pt idx="587">
                  <c:v>16.107382550335569</c:v>
                </c:pt>
                <c:pt idx="588">
                  <c:v>16.134776058074237</c:v>
                </c:pt>
                <c:pt idx="589">
                  <c:v>16.162169565812903</c:v>
                </c:pt>
                <c:pt idx="590">
                  <c:v>16.189563073551568</c:v>
                </c:pt>
                <c:pt idx="591">
                  <c:v>16.216956581290233</c:v>
                </c:pt>
                <c:pt idx="592">
                  <c:v>16.244350089028899</c:v>
                </c:pt>
                <c:pt idx="593">
                  <c:v>16.271743596767564</c:v>
                </c:pt>
                <c:pt idx="594">
                  <c:v>16.299137104506233</c:v>
                </c:pt>
                <c:pt idx="595">
                  <c:v>16.326530612244898</c:v>
                </c:pt>
                <c:pt idx="596">
                  <c:v>16.353924119983564</c:v>
                </c:pt>
                <c:pt idx="597">
                  <c:v>16.381317627722229</c:v>
                </c:pt>
                <c:pt idx="598">
                  <c:v>16.408711135460894</c:v>
                </c:pt>
                <c:pt idx="599">
                  <c:v>16.43610464319956</c:v>
                </c:pt>
                <c:pt idx="600">
                  <c:v>16.463498150938229</c:v>
                </c:pt>
                <c:pt idx="601">
                  <c:v>16.490891658676894</c:v>
                </c:pt>
                <c:pt idx="602">
                  <c:v>16.518285166415559</c:v>
                </c:pt>
                <c:pt idx="603">
                  <c:v>16.545678674154225</c:v>
                </c:pt>
                <c:pt idx="604">
                  <c:v>16.57307218189289</c:v>
                </c:pt>
                <c:pt idx="605">
                  <c:v>16.600465689631555</c:v>
                </c:pt>
                <c:pt idx="606">
                  <c:v>16.627859197370224</c:v>
                </c:pt>
                <c:pt idx="607">
                  <c:v>16.655252705108889</c:v>
                </c:pt>
                <c:pt idx="608">
                  <c:v>16.682646212847555</c:v>
                </c:pt>
                <c:pt idx="609">
                  <c:v>16.71003972058622</c:v>
                </c:pt>
                <c:pt idx="610">
                  <c:v>16.737433228324885</c:v>
                </c:pt>
                <c:pt idx="611">
                  <c:v>16.764826736063551</c:v>
                </c:pt>
                <c:pt idx="612">
                  <c:v>16.79222024380222</c:v>
                </c:pt>
                <c:pt idx="613">
                  <c:v>16.819613751540885</c:v>
                </c:pt>
                <c:pt idx="614">
                  <c:v>16.84700725927955</c:v>
                </c:pt>
                <c:pt idx="615">
                  <c:v>16.874400767018216</c:v>
                </c:pt>
                <c:pt idx="616">
                  <c:v>16.901794274756881</c:v>
                </c:pt>
                <c:pt idx="617">
                  <c:v>16.929187782495546</c:v>
                </c:pt>
                <c:pt idx="618">
                  <c:v>16.956581290234215</c:v>
                </c:pt>
                <c:pt idx="619">
                  <c:v>16.983974797972881</c:v>
                </c:pt>
                <c:pt idx="620">
                  <c:v>17.011368305711546</c:v>
                </c:pt>
                <c:pt idx="621">
                  <c:v>17.038761813450211</c:v>
                </c:pt>
                <c:pt idx="622">
                  <c:v>17.066155321188877</c:v>
                </c:pt>
                <c:pt idx="623">
                  <c:v>17.093548828927542</c:v>
                </c:pt>
                <c:pt idx="624">
                  <c:v>17.120942336666211</c:v>
                </c:pt>
                <c:pt idx="625">
                  <c:v>17.148335844404876</c:v>
                </c:pt>
                <c:pt idx="626">
                  <c:v>17.175729352143541</c:v>
                </c:pt>
                <c:pt idx="627">
                  <c:v>17.203122859882207</c:v>
                </c:pt>
                <c:pt idx="628">
                  <c:v>17.230516367620872</c:v>
                </c:pt>
                <c:pt idx="629">
                  <c:v>17.257909875359541</c:v>
                </c:pt>
                <c:pt idx="630">
                  <c:v>17.285303383098206</c:v>
                </c:pt>
                <c:pt idx="631">
                  <c:v>17.312696890836872</c:v>
                </c:pt>
                <c:pt idx="632">
                  <c:v>17.340090398575537</c:v>
                </c:pt>
                <c:pt idx="633">
                  <c:v>17.367483906314202</c:v>
                </c:pt>
                <c:pt idx="634">
                  <c:v>17.394877414052868</c:v>
                </c:pt>
                <c:pt idx="635">
                  <c:v>17.422270921791537</c:v>
                </c:pt>
                <c:pt idx="636">
                  <c:v>17.449664429530202</c:v>
                </c:pt>
                <c:pt idx="637">
                  <c:v>17.477057937268867</c:v>
                </c:pt>
                <c:pt idx="638">
                  <c:v>17.504451445007533</c:v>
                </c:pt>
                <c:pt idx="639">
                  <c:v>17.531844952746198</c:v>
                </c:pt>
                <c:pt idx="640">
                  <c:v>17.559238460484863</c:v>
                </c:pt>
                <c:pt idx="641">
                  <c:v>17.586631968223532</c:v>
                </c:pt>
                <c:pt idx="642">
                  <c:v>17.614025475962197</c:v>
                </c:pt>
                <c:pt idx="643">
                  <c:v>17.641418983700863</c:v>
                </c:pt>
                <c:pt idx="644">
                  <c:v>17.668812491439528</c:v>
                </c:pt>
                <c:pt idx="645">
                  <c:v>17.696205999178193</c:v>
                </c:pt>
                <c:pt idx="646">
                  <c:v>17.723599506916859</c:v>
                </c:pt>
                <c:pt idx="647">
                  <c:v>17.750993014655528</c:v>
                </c:pt>
                <c:pt idx="648">
                  <c:v>17.778386522394193</c:v>
                </c:pt>
                <c:pt idx="649">
                  <c:v>17.805780030132858</c:v>
                </c:pt>
                <c:pt idx="650">
                  <c:v>17.833173537871524</c:v>
                </c:pt>
                <c:pt idx="651">
                  <c:v>17.860567045610189</c:v>
                </c:pt>
                <c:pt idx="652">
                  <c:v>17.887960553348854</c:v>
                </c:pt>
                <c:pt idx="653">
                  <c:v>17.915354061087523</c:v>
                </c:pt>
                <c:pt idx="654">
                  <c:v>17.942747568826189</c:v>
                </c:pt>
                <c:pt idx="655">
                  <c:v>17.970141076564854</c:v>
                </c:pt>
                <c:pt idx="656">
                  <c:v>17.997534584303519</c:v>
                </c:pt>
                <c:pt idx="657">
                  <c:v>18.024928092042185</c:v>
                </c:pt>
                <c:pt idx="658">
                  <c:v>18.05232159978085</c:v>
                </c:pt>
                <c:pt idx="659">
                  <c:v>18.079715107519519</c:v>
                </c:pt>
                <c:pt idx="660">
                  <c:v>18.107108615258184</c:v>
                </c:pt>
                <c:pt idx="661">
                  <c:v>18.134502122996849</c:v>
                </c:pt>
                <c:pt idx="662">
                  <c:v>18.161895630735515</c:v>
                </c:pt>
                <c:pt idx="663">
                  <c:v>18.18928913847418</c:v>
                </c:pt>
                <c:pt idx="664">
                  <c:v>18.216682646212845</c:v>
                </c:pt>
                <c:pt idx="665">
                  <c:v>18.244076153951514</c:v>
                </c:pt>
                <c:pt idx="666">
                  <c:v>18.27146966169018</c:v>
                </c:pt>
                <c:pt idx="667">
                  <c:v>18.298863169428845</c:v>
                </c:pt>
                <c:pt idx="668">
                  <c:v>18.32625667716751</c:v>
                </c:pt>
                <c:pt idx="669">
                  <c:v>18.353650184906176</c:v>
                </c:pt>
                <c:pt idx="670">
                  <c:v>18.381043692644841</c:v>
                </c:pt>
                <c:pt idx="671">
                  <c:v>18.40843720038351</c:v>
                </c:pt>
                <c:pt idx="672">
                  <c:v>18.435830708122175</c:v>
                </c:pt>
                <c:pt idx="673">
                  <c:v>18.463224215860841</c:v>
                </c:pt>
                <c:pt idx="674">
                  <c:v>18.490617723599506</c:v>
                </c:pt>
                <c:pt idx="675">
                  <c:v>18.518011231338171</c:v>
                </c:pt>
                <c:pt idx="676">
                  <c:v>18.545404739076837</c:v>
                </c:pt>
                <c:pt idx="677">
                  <c:v>18.572798246815506</c:v>
                </c:pt>
                <c:pt idx="678">
                  <c:v>18.600191754554171</c:v>
                </c:pt>
                <c:pt idx="679">
                  <c:v>18.627585262292836</c:v>
                </c:pt>
                <c:pt idx="680">
                  <c:v>18.654978770031502</c:v>
                </c:pt>
                <c:pt idx="681">
                  <c:v>18.682372277770167</c:v>
                </c:pt>
                <c:pt idx="682">
                  <c:v>18.709765785508832</c:v>
                </c:pt>
                <c:pt idx="683">
                  <c:v>18.737159293247501</c:v>
                </c:pt>
                <c:pt idx="684">
                  <c:v>18.764552800986166</c:v>
                </c:pt>
                <c:pt idx="685">
                  <c:v>18.791946308724832</c:v>
                </c:pt>
                <c:pt idx="686">
                  <c:v>18.819339816463497</c:v>
                </c:pt>
                <c:pt idx="687">
                  <c:v>18.846733324202162</c:v>
                </c:pt>
                <c:pt idx="688">
                  <c:v>18.874126831940828</c:v>
                </c:pt>
                <c:pt idx="689">
                  <c:v>18.901520339679497</c:v>
                </c:pt>
                <c:pt idx="690">
                  <c:v>18.928913847418162</c:v>
                </c:pt>
                <c:pt idx="691">
                  <c:v>18.956307355156827</c:v>
                </c:pt>
                <c:pt idx="692">
                  <c:v>18.983700862895493</c:v>
                </c:pt>
                <c:pt idx="693">
                  <c:v>19.011094370634158</c:v>
                </c:pt>
                <c:pt idx="694">
                  <c:v>19.038487878372823</c:v>
                </c:pt>
                <c:pt idx="695">
                  <c:v>19.065881386111492</c:v>
                </c:pt>
                <c:pt idx="696">
                  <c:v>19.093274893850158</c:v>
                </c:pt>
                <c:pt idx="697">
                  <c:v>19.120668401588823</c:v>
                </c:pt>
                <c:pt idx="698">
                  <c:v>19.148061909327488</c:v>
                </c:pt>
                <c:pt idx="699">
                  <c:v>19.175455417066154</c:v>
                </c:pt>
                <c:pt idx="700">
                  <c:v>19.202848924804822</c:v>
                </c:pt>
                <c:pt idx="701">
                  <c:v>19.230242432543488</c:v>
                </c:pt>
                <c:pt idx="702">
                  <c:v>19.257635940282153</c:v>
                </c:pt>
                <c:pt idx="703">
                  <c:v>19.285029448020818</c:v>
                </c:pt>
                <c:pt idx="704">
                  <c:v>19.312422955759484</c:v>
                </c:pt>
                <c:pt idx="705">
                  <c:v>19.339816463498149</c:v>
                </c:pt>
                <c:pt idx="706">
                  <c:v>19.367209971236818</c:v>
                </c:pt>
                <c:pt idx="707">
                  <c:v>19.394603478975483</c:v>
                </c:pt>
                <c:pt idx="708">
                  <c:v>19.421996986714149</c:v>
                </c:pt>
                <c:pt idx="709">
                  <c:v>19.449390494452814</c:v>
                </c:pt>
                <c:pt idx="710">
                  <c:v>19.476784002191479</c:v>
                </c:pt>
                <c:pt idx="711">
                  <c:v>19.504177509930145</c:v>
                </c:pt>
                <c:pt idx="712">
                  <c:v>19.531571017668814</c:v>
                </c:pt>
                <c:pt idx="713">
                  <c:v>19.558964525407479</c:v>
                </c:pt>
                <c:pt idx="714">
                  <c:v>19.586358033146144</c:v>
                </c:pt>
                <c:pt idx="715">
                  <c:v>19.61375154088481</c:v>
                </c:pt>
                <c:pt idx="716">
                  <c:v>19.641145048623475</c:v>
                </c:pt>
                <c:pt idx="717">
                  <c:v>19.66853855636214</c:v>
                </c:pt>
                <c:pt idx="718">
                  <c:v>19.695932064100809</c:v>
                </c:pt>
                <c:pt idx="719">
                  <c:v>19.723325571839474</c:v>
                </c:pt>
                <c:pt idx="720">
                  <c:v>19.75071907957814</c:v>
                </c:pt>
                <c:pt idx="721">
                  <c:v>19.778112587316805</c:v>
                </c:pt>
                <c:pt idx="722">
                  <c:v>19.80550609505547</c:v>
                </c:pt>
                <c:pt idx="723">
                  <c:v>19.832899602794136</c:v>
                </c:pt>
                <c:pt idx="724">
                  <c:v>19.860293110532805</c:v>
                </c:pt>
                <c:pt idx="725">
                  <c:v>19.88768661827147</c:v>
                </c:pt>
                <c:pt idx="726">
                  <c:v>19.915080126010135</c:v>
                </c:pt>
                <c:pt idx="727">
                  <c:v>19.942473633748801</c:v>
                </c:pt>
                <c:pt idx="728">
                  <c:v>19.969867141487466</c:v>
                </c:pt>
                <c:pt idx="729">
                  <c:v>19.997260649226131</c:v>
                </c:pt>
                <c:pt idx="730">
                  <c:v>20.0246541569648</c:v>
                </c:pt>
                <c:pt idx="731">
                  <c:v>20.052047664703466</c:v>
                </c:pt>
                <c:pt idx="732">
                  <c:v>20.079441172442131</c:v>
                </c:pt>
                <c:pt idx="733">
                  <c:v>20.106834680180796</c:v>
                </c:pt>
                <c:pt idx="734">
                  <c:v>20.134228187919462</c:v>
                </c:pt>
                <c:pt idx="735">
                  <c:v>20.161621695658127</c:v>
                </c:pt>
                <c:pt idx="736">
                  <c:v>20.189015203396796</c:v>
                </c:pt>
                <c:pt idx="737">
                  <c:v>20.216408711135461</c:v>
                </c:pt>
                <c:pt idx="738">
                  <c:v>20.243802218874126</c:v>
                </c:pt>
                <c:pt idx="739">
                  <c:v>20.271195726612792</c:v>
                </c:pt>
                <c:pt idx="740">
                  <c:v>20.298589234351457</c:v>
                </c:pt>
                <c:pt idx="741">
                  <c:v>20.325982742090122</c:v>
                </c:pt>
                <c:pt idx="742">
                  <c:v>20.353376249828791</c:v>
                </c:pt>
                <c:pt idx="743">
                  <c:v>20.380769757567457</c:v>
                </c:pt>
                <c:pt idx="744">
                  <c:v>20.408163265306122</c:v>
                </c:pt>
                <c:pt idx="745">
                  <c:v>20.435556773044787</c:v>
                </c:pt>
                <c:pt idx="746">
                  <c:v>20.462950280783453</c:v>
                </c:pt>
                <c:pt idx="747">
                  <c:v>20.490343788522118</c:v>
                </c:pt>
                <c:pt idx="748">
                  <c:v>20.517737296260787</c:v>
                </c:pt>
                <c:pt idx="749">
                  <c:v>20.545130803999452</c:v>
                </c:pt>
                <c:pt idx="750">
                  <c:v>20.572524311738118</c:v>
                </c:pt>
                <c:pt idx="751">
                  <c:v>20.599917819476783</c:v>
                </c:pt>
                <c:pt idx="752">
                  <c:v>20.627311327215448</c:v>
                </c:pt>
                <c:pt idx="753">
                  <c:v>20.654704834954114</c:v>
                </c:pt>
                <c:pt idx="754">
                  <c:v>20.682098342692782</c:v>
                </c:pt>
                <c:pt idx="755">
                  <c:v>20.709491850431448</c:v>
                </c:pt>
                <c:pt idx="756">
                  <c:v>20.736885358170113</c:v>
                </c:pt>
                <c:pt idx="757">
                  <c:v>20.764278865908778</c:v>
                </c:pt>
                <c:pt idx="758">
                  <c:v>20.791672373647444</c:v>
                </c:pt>
                <c:pt idx="759">
                  <c:v>20.819065881386109</c:v>
                </c:pt>
                <c:pt idx="760">
                  <c:v>20.846459389124778</c:v>
                </c:pt>
                <c:pt idx="761">
                  <c:v>20.873852896863443</c:v>
                </c:pt>
                <c:pt idx="762">
                  <c:v>20.901246404602109</c:v>
                </c:pt>
                <c:pt idx="763">
                  <c:v>20.928639912340774</c:v>
                </c:pt>
                <c:pt idx="764">
                  <c:v>20.956033420079439</c:v>
                </c:pt>
                <c:pt idx="765">
                  <c:v>20.983426927818105</c:v>
                </c:pt>
                <c:pt idx="766">
                  <c:v>21.010820435556774</c:v>
                </c:pt>
                <c:pt idx="767">
                  <c:v>21.038213943295439</c:v>
                </c:pt>
                <c:pt idx="768">
                  <c:v>21.065607451034104</c:v>
                </c:pt>
                <c:pt idx="769">
                  <c:v>21.09300095877277</c:v>
                </c:pt>
                <c:pt idx="770">
                  <c:v>21.120394466511435</c:v>
                </c:pt>
                <c:pt idx="771">
                  <c:v>21.147787974250104</c:v>
                </c:pt>
                <c:pt idx="772">
                  <c:v>21.175181481988769</c:v>
                </c:pt>
                <c:pt idx="773">
                  <c:v>21.202574989727434</c:v>
                </c:pt>
                <c:pt idx="774">
                  <c:v>21.2299684974661</c:v>
                </c:pt>
                <c:pt idx="775">
                  <c:v>21.257362005204765</c:v>
                </c:pt>
                <c:pt idx="776">
                  <c:v>21.28475551294343</c:v>
                </c:pt>
                <c:pt idx="777">
                  <c:v>21.312149020682099</c:v>
                </c:pt>
                <c:pt idx="778">
                  <c:v>21.339542528420765</c:v>
                </c:pt>
                <c:pt idx="779">
                  <c:v>21.36693603615943</c:v>
                </c:pt>
                <c:pt idx="780">
                  <c:v>21.394329543898095</c:v>
                </c:pt>
                <c:pt idx="781">
                  <c:v>21.421723051636761</c:v>
                </c:pt>
                <c:pt idx="782">
                  <c:v>21.449116559375426</c:v>
                </c:pt>
                <c:pt idx="783">
                  <c:v>21.476510067114095</c:v>
                </c:pt>
                <c:pt idx="784">
                  <c:v>21.50390357485276</c:v>
                </c:pt>
                <c:pt idx="785">
                  <c:v>21.531297082591426</c:v>
                </c:pt>
                <c:pt idx="786">
                  <c:v>21.558690590330091</c:v>
                </c:pt>
                <c:pt idx="787">
                  <c:v>21.586084098068756</c:v>
                </c:pt>
                <c:pt idx="788">
                  <c:v>21.613477605807422</c:v>
                </c:pt>
                <c:pt idx="789">
                  <c:v>21.64087111354609</c:v>
                </c:pt>
                <c:pt idx="790">
                  <c:v>21.668264621284756</c:v>
                </c:pt>
                <c:pt idx="791">
                  <c:v>21.695658129023421</c:v>
                </c:pt>
                <c:pt idx="792">
                  <c:v>21.723051636762087</c:v>
                </c:pt>
                <c:pt idx="793">
                  <c:v>21.750445144500752</c:v>
                </c:pt>
                <c:pt idx="794">
                  <c:v>21.777838652239417</c:v>
                </c:pt>
                <c:pt idx="795">
                  <c:v>21.805232159978086</c:v>
                </c:pt>
                <c:pt idx="796">
                  <c:v>21.832625667716751</c:v>
                </c:pt>
                <c:pt idx="797">
                  <c:v>21.860019175455417</c:v>
                </c:pt>
                <c:pt idx="798">
                  <c:v>21.887412683194082</c:v>
                </c:pt>
                <c:pt idx="799">
                  <c:v>21.914806190932747</c:v>
                </c:pt>
                <c:pt idx="800">
                  <c:v>21.942199698671413</c:v>
                </c:pt>
                <c:pt idx="801">
                  <c:v>21.969593206410082</c:v>
                </c:pt>
                <c:pt idx="802">
                  <c:v>21.996986714148747</c:v>
                </c:pt>
                <c:pt idx="803">
                  <c:v>22.024380221887412</c:v>
                </c:pt>
                <c:pt idx="804">
                  <c:v>22.051773729626078</c:v>
                </c:pt>
                <c:pt idx="805">
                  <c:v>22.079167237364743</c:v>
                </c:pt>
                <c:pt idx="806">
                  <c:v>22.106560745103408</c:v>
                </c:pt>
                <c:pt idx="807">
                  <c:v>22.133954252842077</c:v>
                </c:pt>
                <c:pt idx="808">
                  <c:v>22.161347760580743</c:v>
                </c:pt>
                <c:pt idx="809">
                  <c:v>22.188741268319408</c:v>
                </c:pt>
                <c:pt idx="810">
                  <c:v>22.216134776058073</c:v>
                </c:pt>
                <c:pt idx="811">
                  <c:v>22.243528283796739</c:v>
                </c:pt>
                <c:pt idx="812">
                  <c:v>22.270921791535404</c:v>
                </c:pt>
                <c:pt idx="813">
                  <c:v>22.298315299274073</c:v>
                </c:pt>
                <c:pt idx="814">
                  <c:v>22.325708807012738</c:v>
                </c:pt>
                <c:pt idx="815">
                  <c:v>22.353102314751403</c:v>
                </c:pt>
                <c:pt idx="816">
                  <c:v>22.380495822490069</c:v>
                </c:pt>
                <c:pt idx="817">
                  <c:v>22.407889330228734</c:v>
                </c:pt>
                <c:pt idx="818">
                  <c:v>22.435282837967399</c:v>
                </c:pt>
                <c:pt idx="819">
                  <c:v>22.462676345706068</c:v>
                </c:pt>
                <c:pt idx="820">
                  <c:v>22.490069853444734</c:v>
                </c:pt>
                <c:pt idx="821">
                  <c:v>22.517463361183399</c:v>
                </c:pt>
                <c:pt idx="822">
                  <c:v>22.544856868922064</c:v>
                </c:pt>
                <c:pt idx="823">
                  <c:v>22.57225037666073</c:v>
                </c:pt>
                <c:pt idx="824">
                  <c:v>22.599643884399395</c:v>
                </c:pt>
                <c:pt idx="825">
                  <c:v>22.627037392138064</c:v>
                </c:pt>
                <c:pt idx="826">
                  <c:v>22.654430899876729</c:v>
                </c:pt>
                <c:pt idx="827">
                  <c:v>22.681824407615395</c:v>
                </c:pt>
                <c:pt idx="828">
                  <c:v>22.70921791535406</c:v>
                </c:pt>
                <c:pt idx="829">
                  <c:v>22.736611423092725</c:v>
                </c:pt>
                <c:pt idx="830">
                  <c:v>22.764004930831391</c:v>
                </c:pt>
                <c:pt idx="831">
                  <c:v>22.791398438570059</c:v>
                </c:pt>
                <c:pt idx="832">
                  <c:v>22.818791946308725</c:v>
                </c:pt>
                <c:pt idx="833">
                  <c:v>22.84618545404739</c:v>
                </c:pt>
                <c:pt idx="834">
                  <c:v>22.873578961786055</c:v>
                </c:pt>
                <c:pt idx="835">
                  <c:v>22.900972469524721</c:v>
                </c:pt>
                <c:pt idx="836">
                  <c:v>22.928365977263386</c:v>
                </c:pt>
                <c:pt idx="837">
                  <c:v>22.955759485002055</c:v>
                </c:pt>
                <c:pt idx="838">
                  <c:v>22.98315299274072</c:v>
                </c:pt>
                <c:pt idx="839">
                  <c:v>23.010546500479386</c:v>
                </c:pt>
                <c:pt idx="840">
                  <c:v>23.037940008218051</c:v>
                </c:pt>
                <c:pt idx="841">
                  <c:v>23.065333515956716</c:v>
                </c:pt>
                <c:pt idx="842">
                  <c:v>23.092727023695385</c:v>
                </c:pt>
                <c:pt idx="843">
                  <c:v>23.120120531434051</c:v>
                </c:pt>
                <c:pt idx="844">
                  <c:v>23.147514039172716</c:v>
                </c:pt>
                <c:pt idx="845">
                  <c:v>23.174907546911381</c:v>
                </c:pt>
                <c:pt idx="846">
                  <c:v>23.202301054650047</c:v>
                </c:pt>
                <c:pt idx="847">
                  <c:v>23.229694562388712</c:v>
                </c:pt>
                <c:pt idx="848">
                  <c:v>23.257088070127381</c:v>
                </c:pt>
                <c:pt idx="849">
                  <c:v>23.284481577866046</c:v>
                </c:pt>
                <c:pt idx="850">
                  <c:v>23.311875085604711</c:v>
                </c:pt>
                <c:pt idx="851">
                  <c:v>23.339268593343377</c:v>
                </c:pt>
                <c:pt idx="852">
                  <c:v>23.366662101082042</c:v>
                </c:pt>
                <c:pt idx="853">
                  <c:v>23.394055608820707</c:v>
                </c:pt>
                <c:pt idx="854">
                  <c:v>23.421449116559376</c:v>
                </c:pt>
                <c:pt idx="855">
                  <c:v>23.448842624298042</c:v>
                </c:pt>
                <c:pt idx="856">
                  <c:v>23.476236132036707</c:v>
                </c:pt>
                <c:pt idx="857">
                  <c:v>23.503629639775372</c:v>
                </c:pt>
                <c:pt idx="858">
                  <c:v>23.531023147514038</c:v>
                </c:pt>
                <c:pt idx="859">
                  <c:v>23.558416655252703</c:v>
                </c:pt>
                <c:pt idx="860">
                  <c:v>23.585810162991372</c:v>
                </c:pt>
                <c:pt idx="861">
                  <c:v>23.613203670730037</c:v>
                </c:pt>
                <c:pt idx="862">
                  <c:v>23.640597178468703</c:v>
                </c:pt>
                <c:pt idx="863">
                  <c:v>23.667990686207368</c:v>
                </c:pt>
                <c:pt idx="864">
                  <c:v>23.695384193946033</c:v>
                </c:pt>
                <c:pt idx="865">
                  <c:v>23.722777701684699</c:v>
                </c:pt>
                <c:pt idx="866">
                  <c:v>23.750171209423367</c:v>
                </c:pt>
                <c:pt idx="867">
                  <c:v>23.777564717162033</c:v>
                </c:pt>
                <c:pt idx="868">
                  <c:v>23.804958224900698</c:v>
                </c:pt>
                <c:pt idx="869">
                  <c:v>23.832351732639363</c:v>
                </c:pt>
                <c:pt idx="870">
                  <c:v>23.859745240378029</c:v>
                </c:pt>
                <c:pt idx="871">
                  <c:v>23.887138748116694</c:v>
                </c:pt>
                <c:pt idx="872">
                  <c:v>23.914532255855363</c:v>
                </c:pt>
                <c:pt idx="873">
                  <c:v>23.941925763594028</c:v>
                </c:pt>
                <c:pt idx="874">
                  <c:v>23.969319271332694</c:v>
                </c:pt>
                <c:pt idx="875">
                  <c:v>23.996712779071359</c:v>
                </c:pt>
                <c:pt idx="876">
                  <c:v>24.024106286810024</c:v>
                </c:pt>
                <c:pt idx="877">
                  <c:v>24.05149979454869</c:v>
                </c:pt>
                <c:pt idx="878">
                  <c:v>24.078893302287359</c:v>
                </c:pt>
                <c:pt idx="879">
                  <c:v>24.106286810026024</c:v>
                </c:pt>
                <c:pt idx="880">
                  <c:v>24.133680317764689</c:v>
                </c:pt>
                <c:pt idx="881">
                  <c:v>24.161073825503355</c:v>
                </c:pt>
                <c:pt idx="882">
                  <c:v>24.18846733324202</c:v>
                </c:pt>
                <c:pt idx="883">
                  <c:v>24.215860840980685</c:v>
                </c:pt>
                <c:pt idx="884">
                  <c:v>24.243254348719354</c:v>
                </c:pt>
                <c:pt idx="885">
                  <c:v>24.270647856458019</c:v>
                </c:pt>
                <c:pt idx="886">
                  <c:v>24.298041364196685</c:v>
                </c:pt>
                <c:pt idx="887">
                  <c:v>24.32543487193535</c:v>
                </c:pt>
                <c:pt idx="888">
                  <c:v>24.352828379674015</c:v>
                </c:pt>
                <c:pt idx="889">
                  <c:v>24.380221887412681</c:v>
                </c:pt>
                <c:pt idx="890">
                  <c:v>24.40761539515135</c:v>
                </c:pt>
                <c:pt idx="891">
                  <c:v>24.435008902890015</c:v>
                </c:pt>
                <c:pt idx="892">
                  <c:v>24.46240241062868</c:v>
                </c:pt>
                <c:pt idx="893">
                  <c:v>24.489795918367346</c:v>
                </c:pt>
                <c:pt idx="894">
                  <c:v>24.517189426106011</c:v>
                </c:pt>
                <c:pt idx="895">
                  <c:v>24.544582933844676</c:v>
                </c:pt>
                <c:pt idx="896">
                  <c:v>24.571976441583345</c:v>
                </c:pt>
                <c:pt idx="897">
                  <c:v>24.599369949322011</c:v>
                </c:pt>
                <c:pt idx="898">
                  <c:v>24.626763457060676</c:v>
                </c:pt>
                <c:pt idx="899">
                  <c:v>24.654156964799341</c:v>
                </c:pt>
                <c:pt idx="900">
                  <c:v>24.681550472538007</c:v>
                </c:pt>
                <c:pt idx="901">
                  <c:v>24.708943980276672</c:v>
                </c:pt>
                <c:pt idx="902">
                  <c:v>24.736337488015341</c:v>
                </c:pt>
                <c:pt idx="903">
                  <c:v>24.763730995754006</c:v>
                </c:pt>
                <c:pt idx="904">
                  <c:v>24.791124503492671</c:v>
                </c:pt>
                <c:pt idx="905">
                  <c:v>24.818518011231337</c:v>
                </c:pt>
                <c:pt idx="906">
                  <c:v>24.845911518970002</c:v>
                </c:pt>
                <c:pt idx="907">
                  <c:v>24.873305026708667</c:v>
                </c:pt>
                <c:pt idx="908">
                  <c:v>24.900698534447336</c:v>
                </c:pt>
                <c:pt idx="909">
                  <c:v>24.928092042186002</c:v>
                </c:pt>
                <c:pt idx="910">
                  <c:v>24.955485549924667</c:v>
                </c:pt>
                <c:pt idx="911">
                  <c:v>24.982879057663332</c:v>
                </c:pt>
                <c:pt idx="912">
                  <c:v>25.010272565401998</c:v>
                </c:pt>
                <c:pt idx="913">
                  <c:v>25.037666073140667</c:v>
                </c:pt>
                <c:pt idx="914">
                  <c:v>25.065059580879332</c:v>
                </c:pt>
                <c:pt idx="915">
                  <c:v>25.092453088617997</c:v>
                </c:pt>
                <c:pt idx="916">
                  <c:v>25.119846596356663</c:v>
                </c:pt>
                <c:pt idx="917">
                  <c:v>25.147240104095328</c:v>
                </c:pt>
                <c:pt idx="918">
                  <c:v>25.174633611833993</c:v>
                </c:pt>
                <c:pt idx="919">
                  <c:v>25.202027119572662</c:v>
                </c:pt>
                <c:pt idx="920">
                  <c:v>25.229420627311328</c:v>
                </c:pt>
                <c:pt idx="921">
                  <c:v>25.256814135049993</c:v>
                </c:pt>
                <c:pt idx="922">
                  <c:v>25.284207642788658</c:v>
                </c:pt>
                <c:pt idx="923">
                  <c:v>25.311601150527324</c:v>
                </c:pt>
                <c:pt idx="924">
                  <c:v>25.338994658265989</c:v>
                </c:pt>
                <c:pt idx="925">
                  <c:v>25.366388166004658</c:v>
                </c:pt>
                <c:pt idx="926">
                  <c:v>25.393781673743323</c:v>
                </c:pt>
                <c:pt idx="927">
                  <c:v>25.421175181481988</c:v>
                </c:pt>
                <c:pt idx="928">
                  <c:v>25.448568689220654</c:v>
                </c:pt>
                <c:pt idx="929">
                  <c:v>25.475962196959319</c:v>
                </c:pt>
                <c:pt idx="930">
                  <c:v>25.503355704697984</c:v>
                </c:pt>
                <c:pt idx="931">
                  <c:v>25.530749212436653</c:v>
                </c:pt>
                <c:pt idx="932">
                  <c:v>25.558142720175319</c:v>
                </c:pt>
                <c:pt idx="933">
                  <c:v>25.585536227913984</c:v>
                </c:pt>
                <c:pt idx="934">
                  <c:v>25.612929735652649</c:v>
                </c:pt>
                <c:pt idx="935">
                  <c:v>25.640323243391315</c:v>
                </c:pt>
                <c:pt idx="936">
                  <c:v>25.66771675112998</c:v>
                </c:pt>
                <c:pt idx="937">
                  <c:v>25.695110258868649</c:v>
                </c:pt>
                <c:pt idx="938">
                  <c:v>25.722503766607314</c:v>
                </c:pt>
                <c:pt idx="939">
                  <c:v>25.74989727434598</c:v>
                </c:pt>
                <c:pt idx="940">
                  <c:v>25.777290782084645</c:v>
                </c:pt>
                <c:pt idx="941">
                  <c:v>25.80468428982331</c:v>
                </c:pt>
                <c:pt idx="942">
                  <c:v>25.832077797561976</c:v>
                </c:pt>
                <c:pt idx="943">
                  <c:v>25.859471305300644</c:v>
                </c:pt>
                <c:pt idx="944">
                  <c:v>25.88686481303931</c:v>
                </c:pt>
                <c:pt idx="945">
                  <c:v>25.914258320777975</c:v>
                </c:pt>
                <c:pt idx="946">
                  <c:v>25.94165182851664</c:v>
                </c:pt>
                <c:pt idx="947">
                  <c:v>25.969045336255306</c:v>
                </c:pt>
                <c:pt idx="948">
                  <c:v>25.996438843993971</c:v>
                </c:pt>
                <c:pt idx="949">
                  <c:v>26.02383235173264</c:v>
                </c:pt>
                <c:pt idx="950">
                  <c:v>26.051225859471305</c:v>
                </c:pt>
                <c:pt idx="951">
                  <c:v>26.078619367209971</c:v>
                </c:pt>
                <c:pt idx="952">
                  <c:v>26.106012874948636</c:v>
                </c:pt>
                <c:pt idx="953">
                  <c:v>26.133406382687301</c:v>
                </c:pt>
                <c:pt idx="954">
                  <c:v>26.160799890425967</c:v>
                </c:pt>
                <c:pt idx="955">
                  <c:v>26.188193398164636</c:v>
                </c:pt>
                <c:pt idx="956">
                  <c:v>26.215586905903301</c:v>
                </c:pt>
                <c:pt idx="957">
                  <c:v>26.242980413641966</c:v>
                </c:pt>
                <c:pt idx="958">
                  <c:v>26.270373921380632</c:v>
                </c:pt>
                <c:pt idx="959">
                  <c:v>26.297767429119297</c:v>
                </c:pt>
                <c:pt idx="960">
                  <c:v>26.325160936857962</c:v>
                </c:pt>
                <c:pt idx="961">
                  <c:v>26.352554444596631</c:v>
                </c:pt>
                <c:pt idx="962">
                  <c:v>26.379947952335296</c:v>
                </c:pt>
                <c:pt idx="963">
                  <c:v>26.407341460073962</c:v>
                </c:pt>
                <c:pt idx="964">
                  <c:v>26.434734967812627</c:v>
                </c:pt>
                <c:pt idx="965">
                  <c:v>26.462128475551292</c:v>
                </c:pt>
                <c:pt idx="966">
                  <c:v>26.489521983289958</c:v>
                </c:pt>
                <c:pt idx="967">
                  <c:v>26.516915491028627</c:v>
                </c:pt>
                <c:pt idx="968">
                  <c:v>26.544308998767292</c:v>
                </c:pt>
                <c:pt idx="969">
                  <c:v>26.571702506505957</c:v>
                </c:pt>
                <c:pt idx="970">
                  <c:v>26.599096014244623</c:v>
                </c:pt>
                <c:pt idx="971">
                  <c:v>26.626489521983288</c:v>
                </c:pt>
                <c:pt idx="972">
                  <c:v>26.653883029721953</c:v>
                </c:pt>
                <c:pt idx="973">
                  <c:v>26.681276537460622</c:v>
                </c:pt>
                <c:pt idx="974">
                  <c:v>26.708670045199288</c:v>
                </c:pt>
                <c:pt idx="975">
                  <c:v>26.736063552937953</c:v>
                </c:pt>
                <c:pt idx="976">
                  <c:v>26.763457060676618</c:v>
                </c:pt>
                <c:pt idx="977">
                  <c:v>26.790850568415284</c:v>
                </c:pt>
                <c:pt idx="978">
                  <c:v>26.818244076153952</c:v>
                </c:pt>
                <c:pt idx="979">
                  <c:v>26.845637583892618</c:v>
                </c:pt>
                <c:pt idx="980">
                  <c:v>26.873031091631283</c:v>
                </c:pt>
                <c:pt idx="981">
                  <c:v>26.900424599369948</c:v>
                </c:pt>
                <c:pt idx="982">
                  <c:v>26.927818107108614</c:v>
                </c:pt>
                <c:pt idx="983">
                  <c:v>26.955211614847279</c:v>
                </c:pt>
                <c:pt idx="984">
                  <c:v>26.982605122585948</c:v>
                </c:pt>
                <c:pt idx="985">
                  <c:v>27.009998630324613</c:v>
                </c:pt>
                <c:pt idx="986">
                  <c:v>27.037392138063279</c:v>
                </c:pt>
                <c:pt idx="987">
                  <c:v>27.064785645801944</c:v>
                </c:pt>
                <c:pt idx="988">
                  <c:v>27.092179153540609</c:v>
                </c:pt>
                <c:pt idx="989">
                  <c:v>27.119572661279275</c:v>
                </c:pt>
                <c:pt idx="990">
                  <c:v>27.146966169017944</c:v>
                </c:pt>
                <c:pt idx="991">
                  <c:v>27.174359676756609</c:v>
                </c:pt>
                <c:pt idx="992">
                  <c:v>27.201753184495274</c:v>
                </c:pt>
                <c:pt idx="993">
                  <c:v>27.22914669223394</c:v>
                </c:pt>
                <c:pt idx="994">
                  <c:v>27.256540199972605</c:v>
                </c:pt>
                <c:pt idx="995">
                  <c:v>27.28393370771127</c:v>
                </c:pt>
                <c:pt idx="996">
                  <c:v>27.311327215449939</c:v>
                </c:pt>
                <c:pt idx="997">
                  <c:v>27.338720723188604</c:v>
                </c:pt>
                <c:pt idx="998">
                  <c:v>27.36611423092727</c:v>
                </c:pt>
                <c:pt idx="999">
                  <c:v>27.393507738665935</c:v>
                </c:pt>
                <c:pt idx="1000">
                  <c:v>27.4209012464046</c:v>
                </c:pt>
                <c:pt idx="1001">
                  <c:v>27.448294754143266</c:v>
                </c:pt>
                <c:pt idx="1002">
                  <c:v>27.475688261881935</c:v>
                </c:pt>
                <c:pt idx="1003">
                  <c:v>27.5030817696206</c:v>
                </c:pt>
                <c:pt idx="1004">
                  <c:v>27.530475277359265</c:v>
                </c:pt>
                <c:pt idx="1005">
                  <c:v>27.557868785097931</c:v>
                </c:pt>
                <c:pt idx="1006">
                  <c:v>27.585262292836596</c:v>
                </c:pt>
                <c:pt idx="1007">
                  <c:v>27.612655800575261</c:v>
                </c:pt>
                <c:pt idx="1008">
                  <c:v>27.64004930831393</c:v>
                </c:pt>
                <c:pt idx="1009">
                  <c:v>27.667442816052596</c:v>
                </c:pt>
                <c:pt idx="1010">
                  <c:v>27.694836323791261</c:v>
                </c:pt>
                <c:pt idx="1011">
                  <c:v>27.722229831529926</c:v>
                </c:pt>
                <c:pt idx="1012">
                  <c:v>27.749623339268592</c:v>
                </c:pt>
                <c:pt idx="1013">
                  <c:v>27.777016847007257</c:v>
                </c:pt>
                <c:pt idx="1014">
                  <c:v>27.804410354745926</c:v>
                </c:pt>
                <c:pt idx="1015">
                  <c:v>27.831803862484591</c:v>
                </c:pt>
                <c:pt idx="1016">
                  <c:v>27.859197370223256</c:v>
                </c:pt>
                <c:pt idx="1017">
                  <c:v>27.886590877961922</c:v>
                </c:pt>
                <c:pt idx="1018">
                  <c:v>27.913984385700587</c:v>
                </c:pt>
                <c:pt idx="1019">
                  <c:v>27.941377893439252</c:v>
                </c:pt>
                <c:pt idx="1020">
                  <c:v>27.968771401177921</c:v>
                </c:pt>
                <c:pt idx="1021">
                  <c:v>27.996164908916587</c:v>
                </c:pt>
                <c:pt idx="1022">
                  <c:v>28.023558416655252</c:v>
                </c:pt>
                <c:pt idx="1023">
                  <c:v>28.050951924393917</c:v>
                </c:pt>
                <c:pt idx="1024">
                  <c:v>28.078345432132583</c:v>
                </c:pt>
                <c:pt idx="1025">
                  <c:v>28.105738939871248</c:v>
                </c:pt>
                <c:pt idx="1026">
                  <c:v>28.133132447609917</c:v>
                </c:pt>
                <c:pt idx="1027">
                  <c:v>28.160525955348582</c:v>
                </c:pt>
                <c:pt idx="1028">
                  <c:v>28.187919463087248</c:v>
                </c:pt>
                <c:pt idx="1029">
                  <c:v>28.215312970825913</c:v>
                </c:pt>
                <c:pt idx="1030">
                  <c:v>28.242706478564578</c:v>
                </c:pt>
                <c:pt idx="1031">
                  <c:v>28.270099986303244</c:v>
                </c:pt>
                <c:pt idx="1032">
                  <c:v>28.297493494041912</c:v>
                </c:pt>
                <c:pt idx="1033">
                  <c:v>28.324887001780578</c:v>
                </c:pt>
                <c:pt idx="1034">
                  <c:v>28.352280509519243</c:v>
                </c:pt>
                <c:pt idx="1035">
                  <c:v>28.379674017257909</c:v>
                </c:pt>
                <c:pt idx="1036">
                  <c:v>28.407067524996574</c:v>
                </c:pt>
                <c:pt idx="1037">
                  <c:v>28.434461032735239</c:v>
                </c:pt>
                <c:pt idx="1038">
                  <c:v>28.461854540473908</c:v>
                </c:pt>
                <c:pt idx="1039">
                  <c:v>28.489248048212573</c:v>
                </c:pt>
                <c:pt idx="1040">
                  <c:v>28.516641555951239</c:v>
                </c:pt>
                <c:pt idx="1041">
                  <c:v>28.544035063689904</c:v>
                </c:pt>
                <c:pt idx="1042">
                  <c:v>28.571428571428569</c:v>
                </c:pt>
                <c:pt idx="1043">
                  <c:v>28.598822079167235</c:v>
                </c:pt>
                <c:pt idx="1044">
                  <c:v>28.626215586905904</c:v>
                </c:pt>
                <c:pt idx="1045">
                  <c:v>28.653609094644569</c:v>
                </c:pt>
                <c:pt idx="1046">
                  <c:v>28.681002602383234</c:v>
                </c:pt>
                <c:pt idx="1047">
                  <c:v>28.7083961101219</c:v>
                </c:pt>
                <c:pt idx="1048">
                  <c:v>28.735789617860565</c:v>
                </c:pt>
                <c:pt idx="1049">
                  <c:v>28.763183125599234</c:v>
                </c:pt>
                <c:pt idx="1050">
                  <c:v>28.790576633337899</c:v>
                </c:pt>
                <c:pt idx="1051">
                  <c:v>28.817970141076565</c:v>
                </c:pt>
                <c:pt idx="1052">
                  <c:v>28.84536364881523</c:v>
                </c:pt>
                <c:pt idx="1053">
                  <c:v>28.872757156553895</c:v>
                </c:pt>
              </c:numCache>
            </c:numRef>
          </c:xVal>
          <c:yVal>
            <c:numRef>
              <c:f>'Arbitrage Payback Engine'!$U$10:$U$1063</c:f>
              <c:numCache>
                <c:formatCode>_("$"* #,##0.00_);_("$"* \(#,##0.00\);_("$"* "-"??_);_(@_)</c:formatCode>
                <c:ptCount val="1054"/>
                <c:pt idx="0">
                  <c:v>0.10964912280701754</c:v>
                </c:pt>
                <c:pt idx="1">
                  <c:v>0.10964912280701754</c:v>
                </c:pt>
                <c:pt idx="2">
                  <c:v>0.10964912280701754</c:v>
                </c:pt>
                <c:pt idx="3">
                  <c:v>0.10964912280701754</c:v>
                </c:pt>
                <c:pt idx="4">
                  <c:v>0.10964912280701754</c:v>
                </c:pt>
                <c:pt idx="5">
                  <c:v>0.10964912280701754</c:v>
                </c:pt>
                <c:pt idx="6">
                  <c:v>0.10964912280701754</c:v>
                </c:pt>
                <c:pt idx="7">
                  <c:v>0.10964912280701754</c:v>
                </c:pt>
                <c:pt idx="8">
                  <c:v>0.10964912280701754</c:v>
                </c:pt>
                <c:pt idx="9">
                  <c:v>0.10964912280701754</c:v>
                </c:pt>
                <c:pt idx="10">
                  <c:v>0.10964912280701754</c:v>
                </c:pt>
                <c:pt idx="11">
                  <c:v>0.10964912280701754</c:v>
                </c:pt>
                <c:pt idx="12">
                  <c:v>0.10964912280701754</c:v>
                </c:pt>
                <c:pt idx="13">
                  <c:v>0.10964912280701754</c:v>
                </c:pt>
                <c:pt idx="14">
                  <c:v>0.10964912280701754</c:v>
                </c:pt>
                <c:pt idx="15">
                  <c:v>0.10964912280701754</c:v>
                </c:pt>
                <c:pt idx="16">
                  <c:v>0.10964912280701754</c:v>
                </c:pt>
                <c:pt idx="17">
                  <c:v>0.10964912280701754</c:v>
                </c:pt>
                <c:pt idx="18">
                  <c:v>0.10964912280701754</c:v>
                </c:pt>
                <c:pt idx="19">
                  <c:v>0.10964912280701754</c:v>
                </c:pt>
                <c:pt idx="20">
                  <c:v>0.10964912280701754</c:v>
                </c:pt>
                <c:pt idx="21">
                  <c:v>0.10964912280701754</c:v>
                </c:pt>
                <c:pt idx="22">
                  <c:v>0.10964912280701754</c:v>
                </c:pt>
                <c:pt idx="23">
                  <c:v>0.10964912280701754</c:v>
                </c:pt>
                <c:pt idx="24">
                  <c:v>0.10964912280701754</c:v>
                </c:pt>
                <c:pt idx="25">
                  <c:v>0.10964912280701754</c:v>
                </c:pt>
                <c:pt idx="26">
                  <c:v>0.10964912280701754</c:v>
                </c:pt>
                <c:pt idx="27">
                  <c:v>0.10964912280701754</c:v>
                </c:pt>
                <c:pt idx="28">
                  <c:v>0.10964912280701754</c:v>
                </c:pt>
                <c:pt idx="29">
                  <c:v>0.10964912280701754</c:v>
                </c:pt>
                <c:pt idx="30">
                  <c:v>0.10964912280701754</c:v>
                </c:pt>
                <c:pt idx="31">
                  <c:v>0.10964912280701754</c:v>
                </c:pt>
                <c:pt idx="32">
                  <c:v>0.10964912280701754</c:v>
                </c:pt>
                <c:pt idx="33">
                  <c:v>0.10964912280701754</c:v>
                </c:pt>
                <c:pt idx="34">
                  <c:v>0.10964912280701754</c:v>
                </c:pt>
                <c:pt idx="35">
                  <c:v>0.10964912280701754</c:v>
                </c:pt>
                <c:pt idx="36">
                  <c:v>0.10964912280701754</c:v>
                </c:pt>
                <c:pt idx="37">
                  <c:v>0.10964912280701754</c:v>
                </c:pt>
                <c:pt idx="38">
                  <c:v>0.10964912280701754</c:v>
                </c:pt>
                <c:pt idx="39">
                  <c:v>0.10964912280701754</c:v>
                </c:pt>
                <c:pt idx="40">
                  <c:v>0.10964912280701754</c:v>
                </c:pt>
                <c:pt idx="41">
                  <c:v>0.10964912280701754</c:v>
                </c:pt>
                <c:pt idx="42">
                  <c:v>0.10964912280701754</c:v>
                </c:pt>
                <c:pt idx="43">
                  <c:v>0.10964912280701754</c:v>
                </c:pt>
                <c:pt idx="44">
                  <c:v>0.10964912280701754</c:v>
                </c:pt>
                <c:pt idx="45">
                  <c:v>0.10964912280701754</c:v>
                </c:pt>
                <c:pt idx="46">
                  <c:v>0.10964912280701754</c:v>
                </c:pt>
                <c:pt idx="47">
                  <c:v>0.10964912280701754</c:v>
                </c:pt>
                <c:pt idx="48">
                  <c:v>0.10964912280701754</c:v>
                </c:pt>
                <c:pt idx="49">
                  <c:v>0.10964912280701754</c:v>
                </c:pt>
                <c:pt idx="50">
                  <c:v>0.10964912280701754</c:v>
                </c:pt>
                <c:pt idx="51">
                  <c:v>0.10964912280701754</c:v>
                </c:pt>
                <c:pt idx="52">
                  <c:v>0.10964912280701754</c:v>
                </c:pt>
                <c:pt idx="53">
                  <c:v>0.10964912280701754</c:v>
                </c:pt>
                <c:pt idx="54">
                  <c:v>0.10964912280701754</c:v>
                </c:pt>
                <c:pt idx="55">
                  <c:v>0.10964912280701754</c:v>
                </c:pt>
                <c:pt idx="56">
                  <c:v>0.10964912280701754</c:v>
                </c:pt>
                <c:pt idx="57">
                  <c:v>0.10964912280701754</c:v>
                </c:pt>
                <c:pt idx="58">
                  <c:v>0.10964912280701754</c:v>
                </c:pt>
                <c:pt idx="59">
                  <c:v>0.10964912280701754</c:v>
                </c:pt>
                <c:pt idx="60">
                  <c:v>0.10964912280701754</c:v>
                </c:pt>
                <c:pt idx="61">
                  <c:v>0.10964912280701754</c:v>
                </c:pt>
                <c:pt idx="62">
                  <c:v>0.10964912280701754</c:v>
                </c:pt>
                <c:pt idx="63">
                  <c:v>0.10964912280701754</c:v>
                </c:pt>
                <c:pt idx="64">
                  <c:v>0.10964912280701754</c:v>
                </c:pt>
                <c:pt idx="65">
                  <c:v>0.10964912280701754</c:v>
                </c:pt>
                <c:pt idx="66">
                  <c:v>0.10964912280701754</c:v>
                </c:pt>
                <c:pt idx="67">
                  <c:v>0.10964912280701754</c:v>
                </c:pt>
                <c:pt idx="68">
                  <c:v>0.10964912280701754</c:v>
                </c:pt>
                <c:pt idx="69">
                  <c:v>0.10964912280701754</c:v>
                </c:pt>
                <c:pt idx="70">
                  <c:v>0.10964912280701754</c:v>
                </c:pt>
                <c:pt idx="71">
                  <c:v>0.10964912280701754</c:v>
                </c:pt>
                <c:pt idx="72">
                  <c:v>0.10964912280701754</c:v>
                </c:pt>
                <c:pt idx="73">
                  <c:v>0.10964912280701754</c:v>
                </c:pt>
                <c:pt idx="74">
                  <c:v>0.10964912280701754</c:v>
                </c:pt>
                <c:pt idx="75">
                  <c:v>0.10964912280701754</c:v>
                </c:pt>
                <c:pt idx="76">
                  <c:v>0.10964912280701754</c:v>
                </c:pt>
                <c:pt idx="77">
                  <c:v>0.10964912280701754</c:v>
                </c:pt>
                <c:pt idx="78">
                  <c:v>0.10964912280701754</c:v>
                </c:pt>
                <c:pt idx="79">
                  <c:v>0.10964912280701754</c:v>
                </c:pt>
                <c:pt idx="80">
                  <c:v>0.10964912280701754</c:v>
                </c:pt>
                <c:pt idx="81">
                  <c:v>0.10964912280701754</c:v>
                </c:pt>
                <c:pt idx="82">
                  <c:v>0.10964912280701754</c:v>
                </c:pt>
                <c:pt idx="83">
                  <c:v>0.10964912280701754</c:v>
                </c:pt>
                <c:pt idx="84">
                  <c:v>0.10964912280701754</c:v>
                </c:pt>
                <c:pt idx="85">
                  <c:v>0.10964912280701754</c:v>
                </c:pt>
                <c:pt idx="86">
                  <c:v>0.10964912280701754</c:v>
                </c:pt>
                <c:pt idx="87">
                  <c:v>0.10964912280701754</c:v>
                </c:pt>
                <c:pt idx="88">
                  <c:v>0.10964912280701754</c:v>
                </c:pt>
                <c:pt idx="89">
                  <c:v>0.10964912280701754</c:v>
                </c:pt>
                <c:pt idx="90">
                  <c:v>0.10964912280701754</c:v>
                </c:pt>
                <c:pt idx="91">
                  <c:v>0.10964912280701754</c:v>
                </c:pt>
                <c:pt idx="92">
                  <c:v>0.10964912280701754</c:v>
                </c:pt>
                <c:pt idx="93">
                  <c:v>0.10964912280701754</c:v>
                </c:pt>
                <c:pt idx="94">
                  <c:v>0.10964912280701754</c:v>
                </c:pt>
                <c:pt idx="95">
                  <c:v>0.10964912280701754</c:v>
                </c:pt>
                <c:pt idx="96">
                  <c:v>0.10964912280701754</c:v>
                </c:pt>
                <c:pt idx="97">
                  <c:v>0.10964912280701754</c:v>
                </c:pt>
                <c:pt idx="98">
                  <c:v>0.10964912280701754</c:v>
                </c:pt>
                <c:pt idx="99">
                  <c:v>0.10964912280701754</c:v>
                </c:pt>
                <c:pt idx="100">
                  <c:v>0.10964912280701754</c:v>
                </c:pt>
                <c:pt idx="101">
                  <c:v>0.10964912280701754</c:v>
                </c:pt>
                <c:pt idx="102">
                  <c:v>0.10964912280701754</c:v>
                </c:pt>
                <c:pt idx="103">
                  <c:v>0.10964912280701754</c:v>
                </c:pt>
                <c:pt idx="104">
                  <c:v>0.10964912280701754</c:v>
                </c:pt>
                <c:pt idx="105">
                  <c:v>0.10964912280701754</c:v>
                </c:pt>
                <c:pt idx="106">
                  <c:v>0.10964912280701754</c:v>
                </c:pt>
                <c:pt idx="107">
                  <c:v>0.10964912280701754</c:v>
                </c:pt>
                <c:pt idx="108">
                  <c:v>0.10964912280701754</c:v>
                </c:pt>
                <c:pt idx="109">
                  <c:v>0.10964912280701754</c:v>
                </c:pt>
                <c:pt idx="110">
                  <c:v>0.10964912280701754</c:v>
                </c:pt>
                <c:pt idx="111">
                  <c:v>0.10964912280701754</c:v>
                </c:pt>
                <c:pt idx="112">
                  <c:v>0.10964912280701754</c:v>
                </c:pt>
                <c:pt idx="113">
                  <c:v>0.10964912280701754</c:v>
                </c:pt>
                <c:pt idx="114">
                  <c:v>0.10964912280701754</c:v>
                </c:pt>
                <c:pt idx="115">
                  <c:v>0.10964912280701754</c:v>
                </c:pt>
                <c:pt idx="116">
                  <c:v>0.10964912280701754</c:v>
                </c:pt>
                <c:pt idx="117">
                  <c:v>0.10964912280701754</c:v>
                </c:pt>
                <c:pt idx="118">
                  <c:v>0.10964912280701754</c:v>
                </c:pt>
                <c:pt idx="119">
                  <c:v>0.10964912280701754</c:v>
                </c:pt>
                <c:pt idx="120">
                  <c:v>0.10964912280701754</c:v>
                </c:pt>
                <c:pt idx="121">
                  <c:v>0.10964912280701754</c:v>
                </c:pt>
                <c:pt idx="122">
                  <c:v>0.10964912280701754</c:v>
                </c:pt>
                <c:pt idx="123">
                  <c:v>0.10964912280701754</c:v>
                </c:pt>
                <c:pt idx="124">
                  <c:v>0.10964912280701754</c:v>
                </c:pt>
                <c:pt idx="125">
                  <c:v>0.10964912280701754</c:v>
                </c:pt>
                <c:pt idx="126">
                  <c:v>0.10964912280701754</c:v>
                </c:pt>
                <c:pt idx="127">
                  <c:v>0.10964912280701754</c:v>
                </c:pt>
                <c:pt idx="128">
                  <c:v>0.10964912280701754</c:v>
                </c:pt>
                <c:pt idx="129">
                  <c:v>0.10964912280701754</c:v>
                </c:pt>
                <c:pt idx="130">
                  <c:v>0.10964912280701754</c:v>
                </c:pt>
                <c:pt idx="131">
                  <c:v>0.10964912280701754</c:v>
                </c:pt>
                <c:pt idx="132">
                  <c:v>0.10964912280701754</c:v>
                </c:pt>
                <c:pt idx="133">
                  <c:v>0.10964912280701754</c:v>
                </c:pt>
                <c:pt idx="134">
                  <c:v>0.10964912280701754</c:v>
                </c:pt>
                <c:pt idx="135">
                  <c:v>0.10964912280701754</c:v>
                </c:pt>
                <c:pt idx="136">
                  <c:v>0.10964912280701754</c:v>
                </c:pt>
                <c:pt idx="137">
                  <c:v>0.10964912280701754</c:v>
                </c:pt>
                <c:pt idx="138">
                  <c:v>0.10964912280701754</c:v>
                </c:pt>
                <c:pt idx="139">
                  <c:v>0.10964912280701754</c:v>
                </c:pt>
                <c:pt idx="140">
                  <c:v>0.10964912280701754</c:v>
                </c:pt>
                <c:pt idx="141">
                  <c:v>0.10964912280701754</c:v>
                </c:pt>
                <c:pt idx="142">
                  <c:v>0.10964912280701754</c:v>
                </c:pt>
                <c:pt idx="143">
                  <c:v>0.10964912280701754</c:v>
                </c:pt>
                <c:pt idx="144">
                  <c:v>0.10964912280701754</c:v>
                </c:pt>
                <c:pt idx="145">
                  <c:v>0.10964912280701754</c:v>
                </c:pt>
                <c:pt idx="146">
                  <c:v>0.10964912280701754</c:v>
                </c:pt>
                <c:pt idx="147">
                  <c:v>0.10964912280701754</c:v>
                </c:pt>
                <c:pt idx="148">
                  <c:v>0.10964912280701754</c:v>
                </c:pt>
                <c:pt idx="149">
                  <c:v>0.10964912280701754</c:v>
                </c:pt>
                <c:pt idx="150">
                  <c:v>0.10964912280701754</c:v>
                </c:pt>
                <c:pt idx="151">
                  <c:v>0.10964912280701754</c:v>
                </c:pt>
                <c:pt idx="152">
                  <c:v>0.10964912280701754</c:v>
                </c:pt>
                <c:pt idx="153">
                  <c:v>0.10964912280701754</c:v>
                </c:pt>
                <c:pt idx="154">
                  <c:v>0.10964912280701754</c:v>
                </c:pt>
                <c:pt idx="155">
                  <c:v>0.10964912280701754</c:v>
                </c:pt>
                <c:pt idx="156">
                  <c:v>0.10964912280701754</c:v>
                </c:pt>
                <c:pt idx="157">
                  <c:v>0.10964912280701754</c:v>
                </c:pt>
                <c:pt idx="158">
                  <c:v>0.10964912280701754</c:v>
                </c:pt>
                <c:pt idx="159">
                  <c:v>0.10964912280701754</c:v>
                </c:pt>
                <c:pt idx="160">
                  <c:v>0.10964912280701754</c:v>
                </c:pt>
                <c:pt idx="161">
                  <c:v>0.10964912280701754</c:v>
                </c:pt>
                <c:pt idx="162">
                  <c:v>0.10964912280701754</c:v>
                </c:pt>
                <c:pt idx="163">
                  <c:v>0.10964912280701754</c:v>
                </c:pt>
                <c:pt idx="164">
                  <c:v>0.10964912280701754</c:v>
                </c:pt>
                <c:pt idx="165">
                  <c:v>0.10964912280701754</c:v>
                </c:pt>
                <c:pt idx="166">
                  <c:v>0.10964912280701754</c:v>
                </c:pt>
                <c:pt idx="167">
                  <c:v>0.10964912280701754</c:v>
                </c:pt>
                <c:pt idx="168">
                  <c:v>0.10964912280701754</c:v>
                </c:pt>
                <c:pt idx="169">
                  <c:v>0.10964912280701754</c:v>
                </c:pt>
                <c:pt idx="170">
                  <c:v>0.10964912280701754</c:v>
                </c:pt>
                <c:pt idx="171">
                  <c:v>0.10964912280701754</c:v>
                </c:pt>
                <c:pt idx="172">
                  <c:v>0.10964912280701754</c:v>
                </c:pt>
                <c:pt idx="173">
                  <c:v>0.10964912280701754</c:v>
                </c:pt>
                <c:pt idx="174">
                  <c:v>0.10964912280701754</c:v>
                </c:pt>
                <c:pt idx="175">
                  <c:v>0.10964912280701754</c:v>
                </c:pt>
                <c:pt idx="176">
                  <c:v>0.10964912280701754</c:v>
                </c:pt>
                <c:pt idx="177">
                  <c:v>0.10964912280701754</c:v>
                </c:pt>
                <c:pt idx="178">
                  <c:v>0.10964912280701754</c:v>
                </c:pt>
                <c:pt idx="179">
                  <c:v>0.10964912280701754</c:v>
                </c:pt>
                <c:pt idx="180">
                  <c:v>0.10964912280701754</c:v>
                </c:pt>
                <c:pt idx="181">
                  <c:v>0.10964912280701754</c:v>
                </c:pt>
                <c:pt idx="182">
                  <c:v>0.10964912280701754</c:v>
                </c:pt>
                <c:pt idx="183">
                  <c:v>0.10964912280701754</c:v>
                </c:pt>
                <c:pt idx="184">
                  <c:v>0.10964912280701754</c:v>
                </c:pt>
                <c:pt idx="185">
                  <c:v>0.10964912280701754</c:v>
                </c:pt>
                <c:pt idx="186">
                  <c:v>0.10964912280701754</c:v>
                </c:pt>
                <c:pt idx="187">
                  <c:v>0.10964912280701754</c:v>
                </c:pt>
                <c:pt idx="188">
                  <c:v>0.10964912280701754</c:v>
                </c:pt>
                <c:pt idx="189">
                  <c:v>0.10964912280701754</c:v>
                </c:pt>
                <c:pt idx="190">
                  <c:v>0.10964912280701754</c:v>
                </c:pt>
                <c:pt idx="191">
                  <c:v>0.10964912280701754</c:v>
                </c:pt>
                <c:pt idx="192">
                  <c:v>0.10964912280701754</c:v>
                </c:pt>
                <c:pt idx="193">
                  <c:v>0.10964912280701754</c:v>
                </c:pt>
                <c:pt idx="194">
                  <c:v>0.10964912280701754</c:v>
                </c:pt>
                <c:pt idx="195">
                  <c:v>0.10964912280701754</c:v>
                </c:pt>
                <c:pt idx="196">
                  <c:v>0.10964912280701754</c:v>
                </c:pt>
                <c:pt idx="197">
                  <c:v>0.10964912280701754</c:v>
                </c:pt>
                <c:pt idx="198">
                  <c:v>0.10964912280701754</c:v>
                </c:pt>
                <c:pt idx="199">
                  <c:v>0.10964912280701754</c:v>
                </c:pt>
                <c:pt idx="200">
                  <c:v>0.10964912280701754</c:v>
                </c:pt>
                <c:pt idx="201">
                  <c:v>0.10964912280701754</c:v>
                </c:pt>
                <c:pt idx="202">
                  <c:v>0.10964912280701754</c:v>
                </c:pt>
                <c:pt idx="203">
                  <c:v>0.10964912280701754</c:v>
                </c:pt>
                <c:pt idx="204">
                  <c:v>0.10964912280701754</c:v>
                </c:pt>
                <c:pt idx="205">
                  <c:v>0.10964912280701754</c:v>
                </c:pt>
                <c:pt idx="206">
                  <c:v>0.10964912280701754</c:v>
                </c:pt>
                <c:pt idx="207">
                  <c:v>0.10964912280701754</c:v>
                </c:pt>
                <c:pt idx="208">
                  <c:v>0.10964912280701754</c:v>
                </c:pt>
                <c:pt idx="209">
                  <c:v>0.10964912280701754</c:v>
                </c:pt>
                <c:pt idx="210">
                  <c:v>0.10964912280701754</c:v>
                </c:pt>
                <c:pt idx="211">
                  <c:v>0.10964912280701754</c:v>
                </c:pt>
                <c:pt idx="212">
                  <c:v>0.10964912280701754</c:v>
                </c:pt>
                <c:pt idx="213">
                  <c:v>0.10964912280701754</c:v>
                </c:pt>
                <c:pt idx="214">
                  <c:v>0.10964912280701754</c:v>
                </c:pt>
                <c:pt idx="215">
                  <c:v>0.10964912280701754</c:v>
                </c:pt>
                <c:pt idx="216">
                  <c:v>0.10964912280701754</c:v>
                </c:pt>
                <c:pt idx="217">
                  <c:v>0.10964912280701754</c:v>
                </c:pt>
                <c:pt idx="218">
                  <c:v>0.10964912280701754</c:v>
                </c:pt>
                <c:pt idx="219">
                  <c:v>0.10964912280701754</c:v>
                </c:pt>
                <c:pt idx="220">
                  <c:v>0.10964912280701754</c:v>
                </c:pt>
                <c:pt idx="221">
                  <c:v>0.10964912280701754</c:v>
                </c:pt>
                <c:pt idx="222">
                  <c:v>0.10964912280701754</c:v>
                </c:pt>
                <c:pt idx="223">
                  <c:v>0.10964912280701754</c:v>
                </c:pt>
                <c:pt idx="224">
                  <c:v>0.10964912280701754</c:v>
                </c:pt>
                <c:pt idx="225">
                  <c:v>0.10964912280701754</c:v>
                </c:pt>
                <c:pt idx="226">
                  <c:v>0.10964912280701754</c:v>
                </c:pt>
                <c:pt idx="227">
                  <c:v>0.10964912280701754</c:v>
                </c:pt>
                <c:pt idx="228">
                  <c:v>0.10964912280701754</c:v>
                </c:pt>
                <c:pt idx="229">
                  <c:v>0.10964912280701754</c:v>
                </c:pt>
                <c:pt idx="230">
                  <c:v>0.10964912280701754</c:v>
                </c:pt>
                <c:pt idx="231">
                  <c:v>0.10964912280701754</c:v>
                </c:pt>
                <c:pt idx="232">
                  <c:v>0.10964912280701754</c:v>
                </c:pt>
                <c:pt idx="233">
                  <c:v>0.10964912280701754</c:v>
                </c:pt>
                <c:pt idx="234">
                  <c:v>0.10964912280701754</c:v>
                </c:pt>
                <c:pt idx="235">
                  <c:v>0.10964912280701754</c:v>
                </c:pt>
                <c:pt idx="236">
                  <c:v>0.10964912280701754</c:v>
                </c:pt>
                <c:pt idx="237">
                  <c:v>0.10964912280701754</c:v>
                </c:pt>
                <c:pt idx="238">
                  <c:v>0.10964912280701754</c:v>
                </c:pt>
                <c:pt idx="239">
                  <c:v>0.10964912280701754</c:v>
                </c:pt>
                <c:pt idx="240">
                  <c:v>0.10964912280701754</c:v>
                </c:pt>
                <c:pt idx="241">
                  <c:v>0.10964912280701754</c:v>
                </c:pt>
                <c:pt idx="242">
                  <c:v>0.10964912280701754</c:v>
                </c:pt>
                <c:pt idx="243">
                  <c:v>0.10964912280701754</c:v>
                </c:pt>
                <c:pt idx="244">
                  <c:v>0.10964912280701754</c:v>
                </c:pt>
                <c:pt idx="245">
                  <c:v>0.10964912280701754</c:v>
                </c:pt>
                <c:pt idx="246">
                  <c:v>0.10964912280701754</c:v>
                </c:pt>
                <c:pt idx="247">
                  <c:v>0.10964912280701754</c:v>
                </c:pt>
                <c:pt idx="248">
                  <c:v>0.10964912280701754</c:v>
                </c:pt>
                <c:pt idx="249">
                  <c:v>0.10964912280701754</c:v>
                </c:pt>
                <c:pt idx="250">
                  <c:v>0.10964912280701754</c:v>
                </c:pt>
                <c:pt idx="251">
                  <c:v>0.10964912280701754</c:v>
                </c:pt>
                <c:pt idx="252">
                  <c:v>0.10964912280701754</c:v>
                </c:pt>
                <c:pt idx="253">
                  <c:v>0.10964912280701754</c:v>
                </c:pt>
                <c:pt idx="254">
                  <c:v>0.10964912280701754</c:v>
                </c:pt>
                <c:pt idx="255">
                  <c:v>0.10964912280701754</c:v>
                </c:pt>
                <c:pt idx="256">
                  <c:v>0.10964912280701754</c:v>
                </c:pt>
                <c:pt idx="257">
                  <c:v>0.10964912280701754</c:v>
                </c:pt>
                <c:pt idx="258">
                  <c:v>0.10964912280701754</c:v>
                </c:pt>
                <c:pt idx="259">
                  <c:v>0.10964912280701754</c:v>
                </c:pt>
                <c:pt idx="260">
                  <c:v>0.10964912280701754</c:v>
                </c:pt>
                <c:pt idx="261">
                  <c:v>0.10964912280701754</c:v>
                </c:pt>
                <c:pt idx="262">
                  <c:v>0.10964912280701754</c:v>
                </c:pt>
                <c:pt idx="263">
                  <c:v>0.10964912280701754</c:v>
                </c:pt>
                <c:pt idx="264">
                  <c:v>0.10964912280701754</c:v>
                </c:pt>
                <c:pt idx="265">
                  <c:v>0.10964912280701754</c:v>
                </c:pt>
                <c:pt idx="266">
                  <c:v>0.10964912280701754</c:v>
                </c:pt>
                <c:pt idx="267">
                  <c:v>0.10964912280701754</c:v>
                </c:pt>
                <c:pt idx="268">
                  <c:v>0.10964912280701754</c:v>
                </c:pt>
                <c:pt idx="269">
                  <c:v>0.10964912280701754</c:v>
                </c:pt>
                <c:pt idx="270">
                  <c:v>0.10964912280701754</c:v>
                </c:pt>
                <c:pt idx="271">
                  <c:v>0.10964912280701754</c:v>
                </c:pt>
                <c:pt idx="272">
                  <c:v>0.10964912280701754</c:v>
                </c:pt>
                <c:pt idx="273">
                  <c:v>0.10964912280701754</c:v>
                </c:pt>
                <c:pt idx="274">
                  <c:v>0.10964912280701754</c:v>
                </c:pt>
                <c:pt idx="275">
                  <c:v>0.10964912280701754</c:v>
                </c:pt>
                <c:pt idx="276">
                  <c:v>0.10964912280701754</c:v>
                </c:pt>
                <c:pt idx="277">
                  <c:v>0.10964912280701754</c:v>
                </c:pt>
                <c:pt idx="278">
                  <c:v>0.10964912280701754</c:v>
                </c:pt>
                <c:pt idx="279">
                  <c:v>0.10964912280701754</c:v>
                </c:pt>
                <c:pt idx="280">
                  <c:v>0.10964912280701754</c:v>
                </c:pt>
                <c:pt idx="281">
                  <c:v>0.10964912280701754</c:v>
                </c:pt>
                <c:pt idx="282">
                  <c:v>0.10964912280701754</c:v>
                </c:pt>
                <c:pt idx="283">
                  <c:v>0.10964912280701754</c:v>
                </c:pt>
                <c:pt idx="284">
                  <c:v>0.10964912280701754</c:v>
                </c:pt>
                <c:pt idx="285">
                  <c:v>0.10964912280701754</c:v>
                </c:pt>
                <c:pt idx="286">
                  <c:v>0.10964912280701754</c:v>
                </c:pt>
                <c:pt idx="287">
                  <c:v>0.10964912280701754</c:v>
                </c:pt>
                <c:pt idx="288">
                  <c:v>0.10964912280701754</c:v>
                </c:pt>
                <c:pt idx="289">
                  <c:v>0.10964912280701754</c:v>
                </c:pt>
                <c:pt idx="290">
                  <c:v>0.10964912280701754</c:v>
                </c:pt>
                <c:pt idx="291">
                  <c:v>0.10964912280701754</c:v>
                </c:pt>
                <c:pt idx="292">
                  <c:v>0.10964912280701754</c:v>
                </c:pt>
                <c:pt idx="293">
                  <c:v>0.10964912280701754</c:v>
                </c:pt>
                <c:pt idx="294">
                  <c:v>0.10964912280701754</c:v>
                </c:pt>
                <c:pt idx="295">
                  <c:v>0.10964912280701754</c:v>
                </c:pt>
                <c:pt idx="296">
                  <c:v>0.10964912280701754</c:v>
                </c:pt>
                <c:pt idx="297">
                  <c:v>0.10964912280701754</c:v>
                </c:pt>
                <c:pt idx="298">
                  <c:v>0.10964912280701754</c:v>
                </c:pt>
                <c:pt idx="299">
                  <c:v>0.10964912280701754</c:v>
                </c:pt>
                <c:pt idx="300">
                  <c:v>0.10964912280701754</c:v>
                </c:pt>
                <c:pt idx="301">
                  <c:v>0.10964912280701754</c:v>
                </c:pt>
                <c:pt idx="302">
                  <c:v>0.10964912280701754</c:v>
                </c:pt>
                <c:pt idx="303">
                  <c:v>0.10964912280701754</c:v>
                </c:pt>
                <c:pt idx="304">
                  <c:v>0.10964912280701754</c:v>
                </c:pt>
                <c:pt idx="305">
                  <c:v>0.10964912280701754</c:v>
                </c:pt>
                <c:pt idx="306">
                  <c:v>0.10964912280701754</c:v>
                </c:pt>
                <c:pt idx="307">
                  <c:v>0.10964912280701754</c:v>
                </c:pt>
                <c:pt idx="308">
                  <c:v>0.10964912280701754</c:v>
                </c:pt>
                <c:pt idx="309">
                  <c:v>0.10964912280701754</c:v>
                </c:pt>
                <c:pt idx="310">
                  <c:v>0.10964912280701754</c:v>
                </c:pt>
                <c:pt idx="311">
                  <c:v>0.10964912280701754</c:v>
                </c:pt>
                <c:pt idx="312">
                  <c:v>0.10964912280701754</c:v>
                </c:pt>
                <c:pt idx="313">
                  <c:v>0.10964912280701754</c:v>
                </c:pt>
                <c:pt idx="314">
                  <c:v>0.10964912280701754</c:v>
                </c:pt>
                <c:pt idx="315">
                  <c:v>0.10964912280701754</c:v>
                </c:pt>
                <c:pt idx="316">
                  <c:v>0.10964912280701754</c:v>
                </c:pt>
                <c:pt idx="317">
                  <c:v>0.10964912280701754</c:v>
                </c:pt>
                <c:pt idx="318">
                  <c:v>0.10964912280701754</c:v>
                </c:pt>
                <c:pt idx="319">
                  <c:v>0.10964912280701754</c:v>
                </c:pt>
                <c:pt idx="320">
                  <c:v>0.10964912280701754</c:v>
                </c:pt>
                <c:pt idx="321">
                  <c:v>0.10964912280701754</c:v>
                </c:pt>
                <c:pt idx="322">
                  <c:v>0.10964912280701754</c:v>
                </c:pt>
                <c:pt idx="323">
                  <c:v>0.10964912280701754</c:v>
                </c:pt>
                <c:pt idx="324">
                  <c:v>0.10964912280701754</c:v>
                </c:pt>
                <c:pt idx="325">
                  <c:v>0.10964912280701754</c:v>
                </c:pt>
                <c:pt idx="326">
                  <c:v>0.10964912280701754</c:v>
                </c:pt>
                <c:pt idx="327">
                  <c:v>0.10964912280701754</c:v>
                </c:pt>
                <c:pt idx="328">
                  <c:v>0.10964912280701754</c:v>
                </c:pt>
                <c:pt idx="329">
                  <c:v>0.10964912280701754</c:v>
                </c:pt>
                <c:pt idx="330">
                  <c:v>0.10964912280701754</c:v>
                </c:pt>
                <c:pt idx="331">
                  <c:v>0.10964912280701754</c:v>
                </c:pt>
                <c:pt idx="332">
                  <c:v>0.10964912280701754</c:v>
                </c:pt>
                <c:pt idx="333">
                  <c:v>0.10964912280701754</c:v>
                </c:pt>
                <c:pt idx="334">
                  <c:v>0.10964912280701754</c:v>
                </c:pt>
                <c:pt idx="335">
                  <c:v>0.10964912280701754</c:v>
                </c:pt>
                <c:pt idx="336">
                  <c:v>0.10964912280701754</c:v>
                </c:pt>
                <c:pt idx="337">
                  <c:v>0.10964912280701754</c:v>
                </c:pt>
                <c:pt idx="338">
                  <c:v>0.10964912280701754</c:v>
                </c:pt>
                <c:pt idx="339">
                  <c:v>0.10964912280701754</c:v>
                </c:pt>
                <c:pt idx="340">
                  <c:v>0.10964912280701754</c:v>
                </c:pt>
                <c:pt idx="341">
                  <c:v>0.10964912280701754</c:v>
                </c:pt>
                <c:pt idx="342">
                  <c:v>0.10964912280701754</c:v>
                </c:pt>
                <c:pt idx="343">
                  <c:v>0.10964912280701754</c:v>
                </c:pt>
                <c:pt idx="344">
                  <c:v>0.10964912280701754</c:v>
                </c:pt>
                <c:pt idx="345">
                  <c:v>0.10964912280701754</c:v>
                </c:pt>
                <c:pt idx="346">
                  <c:v>0.10964912280701754</c:v>
                </c:pt>
                <c:pt idx="347">
                  <c:v>0.10964912280701754</c:v>
                </c:pt>
                <c:pt idx="348">
                  <c:v>0.10964912280701754</c:v>
                </c:pt>
                <c:pt idx="349">
                  <c:v>0.10964912280701754</c:v>
                </c:pt>
                <c:pt idx="350">
                  <c:v>0.10964912280701754</c:v>
                </c:pt>
                <c:pt idx="351">
                  <c:v>0.10964912280701754</c:v>
                </c:pt>
                <c:pt idx="352">
                  <c:v>0.10964912280701754</c:v>
                </c:pt>
                <c:pt idx="353">
                  <c:v>0.10964912280701754</c:v>
                </c:pt>
                <c:pt idx="354">
                  <c:v>0.10964912280701754</c:v>
                </c:pt>
                <c:pt idx="355">
                  <c:v>0.10964912280701754</c:v>
                </c:pt>
                <c:pt idx="356">
                  <c:v>0.10964912280701754</c:v>
                </c:pt>
                <c:pt idx="357">
                  <c:v>0.10964912280701754</c:v>
                </c:pt>
                <c:pt idx="358">
                  <c:v>0.10964912280701754</c:v>
                </c:pt>
                <c:pt idx="359">
                  <c:v>0.10964912280701754</c:v>
                </c:pt>
                <c:pt idx="360">
                  <c:v>0.10964912280701754</c:v>
                </c:pt>
                <c:pt idx="361">
                  <c:v>0.10964912280701754</c:v>
                </c:pt>
                <c:pt idx="362">
                  <c:v>0.10964912280701754</c:v>
                </c:pt>
                <c:pt idx="363">
                  <c:v>0.10964912280701754</c:v>
                </c:pt>
                <c:pt idx="364">
                  <c:v>0.10964912280701754</c:v>
                </c:pt>
                <c:pt idx="365">
                  <c:v>0.10964912280701754</c:v>
                </c:pt>
                <c:pt idx="366">
                  <c:v>0.10964912280701754</c:v>
                </c:pt>
                <c:pt idx="367">
                  <c:v>0.10964912280701754</c:v>
                </c:pt>
                <c:pt idx="368">
                  <c:v>0.10964912280701754</c:v>
                </c:pt>
                <c:pt idx="369">
                  <c:v>0.10964912280701754</c:v>
                </c:pt>
                <c:pt idx="370">
                  <c:v>0.10964912280701754</c:v>
                </c:pt>
                <c:pt idx="371">
                  <c:v>0.10964912280701754</c:v>
                </c:pt>
                <c:pt idx="372">
                  <c:v>0.10964912280701754</c:v>
                </c:pt>
                <c:pt idx="373">
                  <c:v>0.10964912280701754</c:v>
                </c:pt>
                <c:pt idx="374">
                  <c:v>0.10964912280701754</c:v>
                </c:pt>
                <c:pt idx="375">
                  <c:v>0.10964912280701754</c:v>
                </c:pt>
                <c:pt idx="376">
                  <c:v>0.10964912280701754</c:v>
                </c:pt>
                <c:pt idx="377">
                  <c:v>0.10964912280701754</c:v>
                </c:pt>
                <c:pt idx="378">
                  <c:v>0.10964912280701754</c:v>
                </c:pt>
                <c:pt idx="379">
                  <c:v>0.10964912280701754</c:v>
                </c:pt>
                <c:pt idx="380">
                  <c:v>0.10964912280701754</c:v>
                </c:pt>
                <c:pt idx="381">
                  <c:v>0.10964912280701754</c:v>
                </c:pt>
                <c:pt idx="382">
                  <c:v>0.10964912280701754</c:v>
                </c:pt>
                <c:pt idx="383">
                  <c:v>0.10964912280701754</c:v>
                </c:pt>
                <c:pt idx="384">
                  <c:v>0.10964912280701754</c:v>
                </c:pt>
                <c:pt idx="385">
                  <c:v>0.10964912280701754</c:v>
                </c:pt>
                <c:pt idx="386">
                  <c:v>0.10964912280701754</c:v>
                </c:pt>
                <c:pt idx="387">
                  <c:v>0.10964912280701754</c:v>
                </c:pt>
                <c:pt idx="388">
                  <c:v>0.10964912280701754</c:v>
                </c:pt>
                <c:pt idx="389">
                  <c:v>0.10964912280701754</c:v>
                </c:pt>
                <c:pt idx="390">
                  <c:v>0.10964912280701754</c:v>
                </c:pt>
                <c:pt idx="391">
                  <c:v>0.10964912280701754</c:v>
                </c:pt>
                <c:pt idx="392">
                  <c:v>0.10964912280701754</c:v>
                </c:pt>
                <c:pt idx="393">
                  <c:v>0.10964912280701754</c:v>
                </c:pt>
                <c:pt idx="394">
                  <c:v>0.10964912280701754</c:v>
                </c:pt>
                <c:pt idx="395">
                  <c:v>0.10964912280701754</c:v>
                </c:pt>
                <c:pt idx="396">
                  <c:v>0.10964912280701754</c:v>
                </c:pt>
                <c:pt idx="397">
                  <c:v>0.10964912280701754</c:v>
                </c:pt>
                <c:pt idx="398">
                  <c:v>0.10964912280701754</c:v>
                </c:pt>
                <c:pt idx="399">
                  <c:v>0.10964912280701754</c:v>
                </c:pt>
                <c:pt idx="400">
                  <c:v>0.10964912280701754</c:v>
                </c:pt>
                <c:pt idx="401">
                  <c:v>0.10964912280701754</c:v>
                </c:pt>
                <c:pt idx="402">
                  <c:v>0.10964912280701754</c:v>
                </c:pt>
                <c:pt idx="403">
                  <c:v>0.10964912280701754</c:v>
                </c:pt>
                <c:pt idx="404">
                  <c:v>0.10964912280701754</c:v>
                </c:pt>
                <c:pt idx="405">
                  <c:v>0.10964912280701754</c:v>
                </c:pt>
                <c:pt idx="406">
                  <c:v>0.10964912280701754</c:v>
                </c:pt>
                <c:pt idx="407">
                  <c:v>0.10964912280701754</c:v>
                </c:pt>
                <c:pt idx="408">
                  <c:v>0.10964912280701754</c:v>
                </c:pt>
                <c:pt idx="409">
                  <c:v>0.10964912280701754</c:v>
                </c:pt>
                <c:pt idx="410">
                  <c:v>0.10964912280701754</c:v>
                </c:pt>
                <c:pt idx="411">
                  <c:v>0.10964912280701754</c:v>
                </c:pt>
                <c:pt idx="412">
                  <c:v>0.10964912280701754</c:v>
                </c:pt>
                <c:pt idx="413">
                  <c:v>0.10964912280701754</c:v>
                </c:pt>
                <c:pt idx="414">
                  <c:v>0.10964912280701754</c:v>
                </c:pt>
                <c:pt idx="415">
                  <c:v>0.10964912280701754</c:v>
                </c:pt>
                <c:pt idx="416">
                  <c:v>0.10964912280701754</c:v>
                </c:pt>
                <c:pt idx="417">
                  <c:v>0.10964912280701754</c:v>
                </c:pt>
                <c:pt idx="418">
                  <c:v>0.10964912280701754</c:v>
                </c:pt>
                <c:pt idx="419">
                  <c:v>0.10964912280701754</c:v>
                </c:pt>
                <c:pt idx="420">
                  <c:v>0.10964912280701754</c:v>
                </c:pt>
                <c:pt idx="421">
                  <c:v>0.10964912280701754</c:v>
                </c:pt>
                <c:pt idx="422">
                  <c:v>0.10964912280701754</c:v>
                </c:pt>
                <c:pt idx="423">
                  <c:v>0.10964912280701754</c:v>
                </c:pt>
                <c:pt idx="424">
                  <c:v>0.10964912280701754</c:v>
                </c:pt>
                <c:pt idx="425">
                  <c:v>0.10964912280701754</c:v>
                </c:pt>
                <c:pt idx="426">
                  <c:v>0.10964912280701754</c:v>
                </c:pt>
                <c:pt idx="427">
                  <c:v>0.10964912280701754</c:v>
                </c:pt>
                <c:pt idx="428">
                  <c:v>0.10964912280701754</c:v>
                </c:pt>
                <c:pt idx="429">
                  <c:v>0.10964912280701754</c:v>
                </c:pt>
                <c:pt idx="430">
                  <c:v>0.10964912280701754</c:v>
                </c:pt>
                <c:pt idx="431">
                  <c:v>0.10964912280701754</c:v>
                </c:pt>
                <c:pt idx="432">
                  <c:v>0.10964912280701754</c:v>
                </c:pt>
                <c:pt idx="433">
                  <c:v>0.10964912280701754</c:v>
                </c:pt>
                <c:pt idx="434">
                  <c:v>0.10964912280701754</c:v>
                </c:pt>
                <c:pt idx="435">
                  <c:v>0.10964912280701754</c:v>
                </c:pt>
                <c:pt idx="436">
                  <c:v>0.10964912280701754</c:v>
                </c:pt>
                <c:pt idx="437">
                  <c:v>0.10964912280701754</c:v>
                </c:pt>
                <c:pt idx="438">
                  <c:v>0.10964912280701754</c:v>
                </c:pt>
                <c:pt idx="439">
                  <c:v>0.10964912280701754</c:v>
                </c:pt>
                <c:pt idx="440">
                  <c:v>0.10964912280701754</c:v>
                </c:pt>
                <c:pt idx="441">
                  <c:v>0.10964912280701754</c:v>
                </c:pt>
                <c:pt idx="442">
                  <c:v>0.10964912280701754</c:v>
                </c:pt>
                <c:pt idx="443">
                  <c:v>0.10964912280701754</c:v>
                </c:pt>
                <c:pt idx="444">
                  <c:v>0.10964912280701754</c:v>
                </c:pt>
                <c:pt idx="445">
                  <c:v>0.10964912280701754</c:v>
                </c:pt>
                <c:pt idx="446">
                  <c:v>0.10964912280701754</c:v>
                </c:pt>
                <c:pt idx="447">
                  <c:v>0.10964912280701754</c:v>
                </c:pt>
                <c:pt idx="448">
                  <c:v>0.10964912280701754</c:v>
                </c:pt>
                <c:pt idx="449">
                  <c:v>0.10964912280701754</c:v>
                </c:pt>
                <c:pt idx="450">
                  <c:v>0.10964912280701754</c:v>
                </c:pt>
                <c:pt idx="451">
                  <c:v>0.10964912280701754</c:v>
                </c:pt>
                <c:pt idx="452">
                  <c:v>0.10964912280701754</c:v>
                </c:pt>
                <c:pt idx="453">
                  <c:v>0.10964912280701754</c:v>
                </c:pt>
                <c:pt idx="454">
                  <c:v>0.10964912280701754</c:v>
                </c:pt>
                <c:pt idx="455">
                  <c:v>0.10964912280701754</c:v>
                </c:pt>
                <c:pt idx="456">
                  <c:v>0.10964912280701754</c:v>
                </c:pt>
                <c:pt idx="457">
                  <c:v>0.10964912280701754</c:v>
                </c:pt>
                <c:pt idx="458">
                  <c:v>0.10964912280701754</c:v>
                </c:pt>
                <c:pt idx="459">
                  <c:v>0.10964912280701754</c:v>
                </c:pt>
                <c:pt idx="460">
                  <c:v>0.10964912280701754</c:v>
                </c:pt>
                <c:pt idx="461">
                  <c:v>0.10964912280701754</c:v>
                </c:pt>
                <c:pt idx="462">
                  <c:v>0.10964912280701754</c:v>
                </c:pt>
                <c:pt idx="463">
                  <c:v>0.10964912280701754</c:v>
                </c:pt>
                <c:pt idx="464">
                  <c:v>0.10964912280701754</c:v>
                </c:pt>
                <c:pt idx="465">
                  <c:v>0.10964912280701754</c:v>
                </c:pt>
                <c:pt idx="466">
                  <c:v>0.10964912280701754</c:v>
                </c:pt>
                <c:pt idx="467">
                  <c:v>0.10964912280701754</c:v>
                </c:pt>
                <c:pt idx="468">
                  <c:v>0.10964912280701754</c:v>
                </c:pt>
                <c:pt idx="469">
                  <c:v>0.10964912280701754</c:v>
                </c:pt>
                <c:pt idx="470">
                  <c:v>0.10964912280701754</c:v>
                </c:pt>
                <c:pt idx="471">
                  <c:v>0.10964912280701754</c:v>
                </c:pt>
                <c:pt idx="472">
                  <c:v>0.10964912280701754</c:v>
                </c:pt>
                <c:pt idx="473">
                  <c:v>0.10964912280701754</c:v>
                </c:pt>
                <c:pt idx="474">
                  <c:v>0.10964912280701754</c:v>
                </c:pt>
                <c:pt idx="475">
                  <c:v>0.10964912280701754</c:v>
                </c:pt>
                <c:pt idx="476">
                  <c:v>0.10964912280701754</c:v>
                </c:pt>
                <c:pt idx="477">
                  <c:v>0.10964912280701754</c:v>
                </c:pt>
                <c:pt idx="478">
                  <c:v>0.10964912280701754</c:v>
                </c:pt>
                <c:pt idx="479">
                  <c:v>0.10964912280701754</c:v>
                </c:pt>
                <c:pt idx="480">
                  <c:v>0.10964912280701754</c:v>
                </c:pt>
                <c:pt idx="481">
                  <c:v>0.10964912280701754</c:v>
                </c:pt>
                <c:pt idx="482">
                  <c:v>0.10964912280701754</c:v>
                </c:pt>
                <c:pt idx="483">
                  <c:v>0.10964912280701754</c:v>
                </c:pt>
                <c:pt idx="484">
                  <c:v>0.10964912280701754</c:v>
                </c:pt>
                <c:pt idx="485">
                  <c:v>0.10964912280701754</c:v>
                </c:pt>
                <c:pt idx="486">
                  <c:v>0.10964912280701754</c:v>
                </c:pt>
                <c:pt idx="487">
                  <c:v>0.10964912280701754</c:v>
                </c:pt>
                <c:pt idx="488">
                  <c:v>0.10964912280701754</c:v>
                </c:pt>
                <c:pt idx="489">
                  <c:v>0.10964912280701754</c:v>
                </c:pt>
                <c:pt idx="490">
                  <c:v>0.10964912280701754</c:v>
                </c:pt>
                <c:pt idx="491">
                  <c:v>0.10964912280701754</c:v>
                </c:pt>
                <c:pt idx="492">
                  <c:v>0.10964912280701754</c:v>
                </c:pt>
                <c:pt idx="493">
                  <c:v>0.10964912280701754</c:v>
                </c:pt>
                <c:pt idx="494">
                  <c:v>0.10964912280701754</c:v>
                </c:pt>
                <c:pt idx="495">
                  <c:v>0.10964912280701754</c:v>
                </c:pt>
                <c:pt idx="496">
                  <c:v>0.10964912280701754</c:v>
                </c:pt>
                <c:pt idx="497">
                  <c:v>0.10964912280701754</c:v>
                </c:pt>
                <c:pt idx="498">
                  <c:v>0.10964912280701754</c:v>
                </c:pt>
                <c:pt idx="499">
                  <c:v>0.10964912280701754</c:v>
                </c:pt>
                <c:pt idx="500">
                  <c:v>0.10964912280701754</c:v>
                </c:pt>
                <c:pt idx="501">
                  <c:v>0.10964912280701754</c:v>
                </c:pt>
                <c:pt idx="502">
                  <c:v>0.10964912280701754</c:v>
                </c:pt>
                <c:pt idx="503">
                  <c:v>0.10964912280701754</c:v>
                </c:pt>
                <c:pt idx="504">
                  <c:v>0.10964912280701754</c:v>
                </c:pt>
                <c:pt idx="505">
                  <c:v>0.10964912280701754</c:v>
                </c:pt>
                <c:pt idx="506">
                  <c:v>0.10964912280701754</c:v>
                </c:pt>
                <c:pt idx="507">
                  <c:v>0.10964912280701754</c:v>
                </c:pt>
                <c:pt idx="508">
                  <c:v>0.10964912280701754</c:v>
                </c:pt>
                <c:pt idx="509">
                  <c:v>0.10964912280701754</c:v>
                </c:pt>
                <c:pt idx="510">
                  <c:v>0.10964912280701754</c:v>
                </c:pt>
                <c:pt idx="511">
                  <c:v>0.10964912280701754</c:v>
                </c:pt>
                <c:pt idx="512">
                  <c:v>0.10964912280701754</c:v>
                </c:pt>
                <c:pt idx="513">
                  <c:v>0.10964912280701754</c:v>
                </c:pt>
                <c:pt idx="514">
                  <c:v>0.10964912280701754</c:v>
                </c:pt>
                <c:pt idx="515">
                  <c:v>0.10964912280701754</c:v>
                </c:pt>
                <c:pt idx="516">
                  <c:v>0.10964912280701754</c:v>
                </c:pt>
                <c:pt idx="517">
                  <c:v>0.10964912280701754</c:v>
                </c:pt>
                <c:pt idx="518">
                  <c:v>0.10964912280701754</c:v>
                </c:pt>
                <c:pt idx="519">
                  <c:v>0.10964912280701754</c:v>
                </c:pt>
                <c:pt idx="520">
                  <c:v>0.10964912280701754</c:v>
                </c:pt>
                <c:pt idx="521">
                  <c:v>0.10964912280701754</c:v>
                </c:pt>
                <c:pt idx="522">
                  <c:v>0.10964912280701754</c:v>
                </c:pt>
                <c:pt idx="523">
                  <c:v>0.10964912280701754</c:v>
                </c:pt>
                <c:pt idx="524">
                  <c:v>0.10964912280701754</c:v>
                </c:pt>
                <c:pt idx="525">
                  <c:v>0.10964912280701754</c:v>
                </c:pt>
                <c:pt idx="526">
                  <c:v>0.10964912280701754</c:v>
                </c:pt>
                <c:pt idx="527">
                  <c:v>0.10964912280701754</c:v>
                </c:pt>
                <c:pt idx="528">
                  <c:v>0.10964912280701754</c:v>
                </c:pt>
                <c:pt idx="529">
                  <c:v>0.10964912280701754</c:v>
                </c:pt>
                <c:pt idx="530">
                  <c:v>0.10964912280701754</c:v>
                </c:pt>
                <c:pt idx="531">
                  <c:v>0.10964912280701754</c:v>
                </c:pt>
                <c:pt idx="532">
                  <c:v>0.10964912280701754</c:v>
                </c:pt>
                <c:pt idx="533">
                  <c:v>0.10964912280701754</c:v>
                </c:pt>
                <c:pt idx="534">
                  <c:v>0.10964912280701754</c:v>
                </c:pt>
                <c:pt idx="535">
                  <c:v>0.10964912280701754</c:v>
                </c:pt>
                <c:pt idx="536">
                  <c:v>0.10964912280701754</c:v>
                </c:pt>
                <c:pt idx="537">
                  <c:v>0.10964912280701754</c:v>
                </c:pt>
                <c:pt idx="538">
                  <c:v>0.10964912280701754</c:v>
                </c:pt>
                <c:pt idx="539">
                  <c:v>0.10964912280701754</c:v>
                </c:pt>
                <c:pt idx="540">
                  <c:v>0.10964912280701754</c:v>
                </c:pt>
                <c:pt idx="541">
                  <c:v>0.10964912280701754</c:v>
                </c:pt>
                <c:pt idx="542">
                  <c:v>0.10964912280701754</c:v>
                </c:pt>
                <c:pt idx="543">
                  <c:v>0.10964912280701754</c:v>
                </c:pt>
                <c:pt idx="544">
                  <c:v>0.10964912280701754</c:v>
                </c:pt>
                <c:pt idx="545">
                  <c:v>0.10964912280701754</c:v>
                </c:pt>
                <c:pt idx="546">
                  <c:v>0.10964912280701754</c:v>
                </c:pt>
                <c:pt idx="547">
                  <c:v>0.10964912280701754</c:v>
                </c:pt>
                <c:pt idx="548">
                  <c:v>0.10964912280701754</c:v>
                </c:pt>
                <c:pt idx="549">
                  <c:v>0.10964912280701754</c:v>
                </c:pt>
                <c:pt idx="550">
                  <c:v>0.10964912280701754</c:v>
                </c:pt>
                <c:pt idx="551">
                  <c:v>0.10964912280701754</c:v>
                </c:pt>
                <c:pt idx="552">
                  <c:v>0.10964912280701754</c:v>
                </c:pt>
                <c:pt idx="553">
                  <c:v>0.10964912280701754</c:v>
                </c:pt>
                <c:pt idx="554">
                  <c:v>0.10964912280701754</c:v>
                </c:pt>
                <c:pt idx="555">
                  <c:v>0.10964912280701754</c:v>
                </c:pt>
                <c:pt idx="556">
                  <c:v>0.10964912280701754</c:v>
                </c:pt>
                <c:pt idx="557">
                  <c:v>0.10964912280701754</c:v>
                </c:pt>
                <c:pt idx="558">
                  <c:v>0.10964912280701754</c:v>
                </c:pt>
                <c:pt idx="559">
                  <c:v>0.10964912280701754</c:v>
                </c:pt>
                <c:pt idx="560">
                  <c:v>0.10964912280701754</c:v>
                </c:pt>
                <c:pt idx="561">
                  <c:v>0.10964912280701754</c:v>
                </c:pt>
                <c:pt idx="562">
                  <c:v>0.10964912280701754</c:v>
                </c:pt>
                <c:pt idx="563">
                  <c:v>0.10964912280701754</c:v>
                </c:pt>
                <c:pt idx="564">
                  <c:v>0.10964912280701754</c:v>
                </c:pt>
                <c:pt idx="565">
                  <c:v>0.10964912280701754</c:v>
                </c:pt>
                <c:pt idx="566">
                  <c:v>0.10964912280701754</c:v>
                </c:pt>
                <c:pt idx="567">
                  <c:v>0.10964912280701754</c:v>
                </c:pt>
                <c:pt idx="568">
                  <c:v>0.10964912280701754</c:v>
                </c:pt>
                <c:pt idx="569">
                  <c:v>0.10964912280701754</c:v>
                </c:pt>
                <c:pt idx="570">
                  <c:v>0.10964912280701754</c:v>
                </c:pt>
                <c:pt idx="571">
                  <c:v>0.10964912280701754</c:v>
                </c:pt>
                <c:pt idx="572">
                  <c:v>0.10964912280701754</c:v>
                </c:pt>
                <c:pt idx="573">
                  <c:v>0.10964912280701754</c:v>
                </c:pt>
                <c:pt idx="574">
                  <c:v>0.10964912280701754</c:v>
                </c:pt>
                <c:pt idx="575">
                  <c:v>0.10964912280701754</c:v>
                </c:pt>
                <c:pt idx="576">
                  <c:v>0.10964912280701754</c:v>
                </c:pt>
                <c:pt idx="577">
                  <c:v>0.10964912280701754</c:v>
                </c:pt>
                <c:pt idx="578">
                  <c:v>0.10964912280701754</c:v>
                </c:pt>
                <c:pt idx="579">
                  <c:v>0.10964912280701754</c:v>
                </c:pt>
                <c:pt idx="580">
                  <c:v>0.10964912280701754</c:v>
                </c:pt>
                <c:pt idx="581">
                  <c:v>0.10964912280701754</c:v>
                </c:pt>
                <c:pt idx="582">
                  <c:v>0.10964912280701754</c:v>
                </c:pt>
                <c:pt idx="583">
                  <c:v>0.10964912280701754</c:v>
                </c:pt>
                <c:pt idx="584">
                  <c:v>0.10964912280701754</c:v>
                </c:pt>
                <c:pt idx="585">
                  <c:v>0.10964912280701754</c:v>
                </c:pt>
                <c:pt idx="586">
                  <c:v>0.10964912280701754</c:v>
                </c:pt>
                <c:pt idx="587">
                  <c:v>0.10964912280701754</c:v>
                </c:pt>
                <c:pt idx="588">
                  <c:v>0.10964912280701754</c:v>
                </c:pt>
                <c:pt idx="589">
                  <c:v>0.10964912280701754</c:v>
                </c:pt>
                <c:pt idx="590">
                  <c:v>0.10964912280701754</c:v>
                </c:pt>
                <c:pt idx="591">
                  <c:v>0.10964912280701754</c:v>
                </c:pt>
                <c:pt idx="592">
                  <c:v>0.10964912280701754</c:v>
                </c:pt>
                <c:pt idx="593">
                  <c:v>0.10964912280701754</c:v>
                </c:pt>
                <c:pt idx="594">
                  <c:v>0.10964912280701754</c:v>
                </c:pt>
                <c:pt idx="595">
                  <c:v>0.10964912280701754</c:v>
                </c:pt>
                <c:pt idx="596">
                  <c:v>0.10964912280701754</c:v>
                </c:pt>
                <c:pt idx="597">
                  <c:v>0.10964912280701754</c:v>
                </c:pt>
                <c:pt idx="598">
                  <c:v>0.10964912280701754</c:v>
                </c:pt>
                <c:pt idx="599">
                  <c:v>0.10964912280701754</c:v>
                </c:pt>
                <c:pt idx="600">
                  <c:v>0.10964912280701754</c:v>
                </c:pt>
                <c:pt idx="601">
                  <c:v>0.10964912280701754</c:v>
                </c:pt>
                <c:pt idx="602">
                  <c:v>0.10964912280701754</c:v>
                </c:pt>
                <c:pt idx="603">
                  <c:v>0.10964912280701754</c:v>
                </c:pt>
                <c:pt idx="604">
                  <c:v>0.10964912280701754</c:v>
                </c:pt>
                <c:pt idx="605">
                  <c:v>0.10964912280701754</c:v>
                </c:pt>
                <c:pt idx="606">
                  <c:v>0.10964912280701754</c:v>
                </c:pt>
                <c:pt idx="607">
                  <c:v>0.10964912280701754</c:v>
                </c:pt>
                <c:pt idx="608">
                  <c:v>0.10964912280701754</c:v>
                </c:pt>
                <c:pt idx="609">
                  <c:v>0.10964912280701754</c:v>
                </c:pt>
                <c:pt idx="610">
                  <c:v>0.10964912280701754</c:v>
                </c:pt>
                <c:pt idx="611">
                  <c:v>0.10964912280701754</c:v>
                </c:pt>
                <c:pt idx="612">
                  <c:v>0.10964912280701754</c:v>
                </c:pt>
                <c:pt idx="613">
                  <c:v>0.10964912280701754</c:v>
                </c:pt>
                <c:pt idx="614">
                  <c:v>0.10964912280701754</c:v>
                </c:pt>
                <c:pt idx="615">
                  <c:v>0.10964912280701754</c:v>
                </c:pt>
                <c:pt idx="616">
                  <c:v>0.10964912280701754</c:v>
                </c:pt>
                <c:pt idx="617">
                  <c:v>0.10964912280701754</c:v>
                </c:pt>
                <c:pt idx="618">
                  <c:v>0.10964912280701754</c:v>
                </c:pt>
                <c:pt idx="619">
                  <c:v>0.10964912280701754</c:v>
                </c:pt>
                <c:pt idx="620">
                  <c:v>0.10964912280701754</c:v>
                </c:pt>
                <c:pt idx="621">
                  <c:v>0.10964912280701754</c:v>
                </c:pt>
                <c:pt idx="622">
                  <c:v>0.10964912280701754</c:v>
                </c:pt>
                <c:pt idx="623">
                  <c:v>0.10964912280701754</c:v>
                </c:pt>
                <c:pt idx="624">
                  <c:v>0.10964912280701754</c:v>
                </c:pt>
                <c:pt idx="625">
                  <c:v>0.10964912280701754</c:v>
                </c:pt>
                <c:pt idx="626">
                  <c:v>0.10964912280701754</c:v>
                </c:pt>
                <c:pt idx="627">
                  <c:v>0.10964912280701754</c:v>
                </c:pt>
                <c:pt idx="628">
                  <c:v>0.10964912280701754</c:v>
                </c:pt>
                <c:pt idx="629">
                  <c:v>0.10964912280701754</c:v>
                </c:pt>
                <c:pt idx="630">
                  <c:v>0.10964912280701754</c:v>
                </c:pt>
                <c:pt idx="631">
                  <c:v>0.10964912280701754</c:v>
                </c:pt>
                <c:pt idx="632">
                  <c:v>0.10964912280701754</c:v>
                </c:pt>
                <c:pt idx="633">
                  <c:v>0.10964912280701754</c:v>
                </c:pt>
                <c:pt idx="634">
                  <c:v>0.10964912280701754</c:v>
                </c:pt>
                <c:pt idx="635">
                  <c:v>0.10964912280701754</c:v>
                </c:pt>
                <c:pt idx="636">
                  <c:v>0.10964912280701754</c:v>
                </c:pt>
                <c:pt idx="637">
                  <c:v>0.10964912280701754</c:v>
                </c:pt>
                <c:pt idx="638">
                  <c:v>0.10964912280701754</c:v>
                </c:pt>
                <c:pt idx="639">
                  <c:v>0.10964912280701754</c:v>
                </c:pt>
                <c:pt idx="640">
                  <c:v>0.10964912280701754</c:v>
                </c:pt>
                <c:pt idx="641">
                  <c:v>0.10964912280701754</c:v>
                </c:pt>
                <c:pt idx="642">
                  <c:v>0.10964912280701754</c:v>
                </c:pt>
                <c:pt idx="643">
                  <c:v>0.10964912280701754</c:v>
                </c:pt>
                <c:pt idx="644">
                  <c:v>0.10964912280701754</c:v>
                </c:pt>
                <c:pt idx="645">
                  <c:v>0.10964912280701754</c:v>
                </c:pt>
                <c:pt idx="646">
                  <c:v>0.10964912280701754</c:v>
                </c:pt>
                <c:pt idx="647">
                  <c:v>0.10964912280701754</c:v>
                </c:pt>
                <c:pt idx="648">
                  <c:v>0.10964912280701754</c:v>
                </c:pt>
                <c:pt idx="649">
                  <c:v>0.10964912280701754</c:v>
                </c:pt>
                <c:pt idx="650">
                  <c:v>0.10964912280701754</c:v>
                </c:pt>
                <c:pt idx="651">
                  <c:v>0.10964912280701754</c:v>
                </c:pt>
                <c:pt idx="652">
                  <c:v>0.10964912280701754</c:v>
                </c:pt>
                <c:pt idx="653">
                  <c:v>0.10964912280701754</c:v>
                </c:pt>
                <c:pt idx="654">
                  <c:v>0.10964912280701754</c:v>
                </c:pt>
                <c:pt idx="655">
                  <c:v>0.10964912280701754</c:v>
                </c:pt>
                <c:pt idx="656">
                  <c:v>0.10964912280701754</c:v>
                </c:pt>
                <c:pt idx="657">
                  <c:v>0.10964912280701754</c:v>
                </c:pt>
                <c:pt idx="658">
                  <c:v>0.10964912280701754</c:v>
                </c:pt>
                <c:pt idx="659">
                  <c:v>0.10964912280701754</c:v>
                </c:pt>
                <c:pt idx="660">
                  <c:v>0.10964912280701754</c:v>
                </c:pt>
                <c:pt idx="661">
                  <c:v>0.10964912280701754</c:v>
                </c:pt>
                <c:pt idx="662">
                  <c:v>0.10964912280701754</c:v>
                </c:pt>
                <c:pt idx="663">
                  <c:v>0.10964912280701754</c:v>
                </c:pt>
                <c:pt idx="664">
                  <c:v>0.10964912280701754</c:v>
                </c:pt>
                <c:pt idx="665">
                  <c:v>0.10964912280701754</c:v>
                </c:pt>
                <c:pt idx="666">
                  <c:v>0.10964912280701754</c:v>
                </c:pt>
                <c:pt idx="667">
                  <c:v>0.10964912280701754</c:v>
                </c:pt>
                <c:pt idx="668">
                  <c:v>0.10964912280701754</c:v>
                </c:pt>
                <c:pt idx="669">
                  <c:v>0.10964912280701754</c:v>
                </c:pt>
                <c:pt idx="670">
                  <c:v>0.10964912280701754</c:v>
                </c:pt>
                <c:pt idx="671">
                  <c:v>0.10964912280701754</c:v>
                </c:pt>
                <c:pt idx="672">
                  <c:v>0.10964912280701754</c:v>
                </c:pt>
                <c:pt idx="673">
                  <c:v>0.10964912280701754</c:v>
                </c:pt>
                <c:pt idx="674">
                  <c:v>0.10964912280701754</c:v>
                </c:pt>
                <c:pt idx="675">
                  <c:v>0.10964912280701754</c:v>
                </c:pt>
                <c:pt idx="676">
                  <c:v>0.10964912280701754</c:v>
                </c:pt>
                <c:pt idx="677">
                  <c:v>0.10964912280701754</c:v>
                </c:pt>
                <c:pt idx="678">
                  <c:v>0.10964912280701754</c:v>
                </c:pt>
                <c:pt idx="679">
                  <c:v>0.10964912280701754</c:v>
                </c:pt>
                <c:pt idx="680">
                  <c:v>0.10964912280701754</c:v>
                </c:pt>
                <c:pt idx="681">
                  <c:v>0.10964912280701754</c:v>
                </c:pt>
                <c:pt idx="682">
                  <c:v>0.10964912280701754</c:v>
                </c:pt>
                <c:pt idx="683">
                  <c:v>0.10964912280701754</c:v>
                </c:pt>
                <c:pt idx="684">
                  <c:v>0.10964912280701754</c:v>
                </c:pt>
                <c:pt idx="685">
                  <c:v>0.10964912280701754</c:v>
                </c:pt>
                <c:pt idx="686">
                  <c:v>0.10964912280701754</c:v>
                </c:pt>
                <c:pt idx="687">
                  <c:v>0.10964912280701754</c:v>
                </c:pt>
                <c:pt idx="688">
                  <c:v>0.10964912280701754</c:v>
                </c:pt>
                <c:pt idx="689">
                  <c:v>0.10964912280701754</c:v>
                </c:pt>
                <c:pt idx="690">
                  <c:v>0.10964912280701754</c:v>
                </c:pt>
                <c:pt idx="691">
                  <c:v>0.10964912280701754</c:v>
                </c:pt>
                <c:pt idx="692">
                  <c:v>0.10964912280701754</c:v>
                </c:pt>
                <c:pt idx="693">
                  <c:v>0.10964912280701754</c:v>
                </c:pt>
                <c:pt idx="694">
                  <c:v>0.10964912280701754</c:v>
                </c:pt>
                <c:pt idx="695">
                  <c:v>0.10964912280701754</c:v>
                </c:pt>
                <c:pt idx="696">
                  <c:v>0.10964912280701754</c:v>
                </c:pt>
                <c:pt idx="697">
                  <c:v>0.10964912280701754</c:v>
                </c:pt>
                <c:pt idx="698">
                  <c:v>0.10964912280701754</c:v>
                </c:pt>
                <c:pt idx="699">
                  <c:v>0.10964912280701754</c:v>
                </c:pt>
                <c:pt idx="700">
                  <c:v>0.10964912280701754</c:v>
                </c:pt>
                <c:pt idx="701">
                  <c:v>0.10964912280701754</c:v>
                </c:pt>
                <c:pt idx="702">
                  <c:v>0.10964912280701754</c:v>
                </c:pt>
                <c:pt idx="703">
                  <c:v>0.10964912280701754</c:v>
                </c:pt>
                <c:pt idx="704">
                  <c:v>0.10964912280701754</c:v>
                </c:pt>
                <c:pt idx="705">
                  <c:v>0.10964912280701754</c:v>
                </c:pt>
                <c:pt idx="706">
                  <c:v>0.10964912280701754</c:v>
                </c:pt>
                <c:pt idx="707">
                  <c:v>0.10964912280701754</c:v>
                </c:pt>
                <c:pt idx="708">
                  <c:v>0.10964912280701754</c:v>
                </c:pt>
                <c:pt idx="709">
                  <c:v>0.10964912280701754</c:v>
                </c:pt>
                <c:pt idx="710">
                  <c:v>0.10964912280701754</c:v>
                </c:pt>
                <c:pt idx="711">
                  <c:v>0.10964912280701754</c:v>
                </c:pt>
                <c:pt idx="712">
                  <c:v>0.10964912280701754</c:v>
                </c:pt>
                <c:pt idx="713">
                  <c:v>0.10964912280701754</c:v>
                </c:pt>
                <c:pt idx="714">
                  <c:v>0.10964912280701754</c:v>
                </c:pt>
                <c:pt idx="715">
                  <c:v>0.10964912280701754</c:v>
                </c:pt>
                <c:pt idx="716">
                  <c:v>0.10964912280701754</c:v>
                </c:pt>
                <c:pt idx="717">
                  <c:v>0.10964912280701754</c:v>
                </c:pt>
                <c:pt idx="718">
                  <c:v>0.10964912280701754</c:v>
                </c:pt>
                <c:pt idx="719">
                  <c:v>0.10964912280701754</c:v>
                </c:pt>
                <c:pt idx="720">
                  <c:v>0.10964912280701754</c:v>
                </c:pt>
                <c:pt idx="721">
                  <c:v>0.10964912280701754</c:v>
                </c:pt>
                <c:pt idx="722">
                  <c:v>0.10964912280701754</c:v>
                </c:pt>
                <c:pt idx="723">
                  <c:v>0.10964912280701754</c:v>
                </c:pt>
                <c:pt idx="724">
                  <c:v>0.10964912280701754</c:v>
                </c:pt>
                <c:pt idx="725">
                  <c:v>0.10964912280701754</c:v>
                </c:pt>
                <c:pt idx="726">
                  <c:v>0.10964912280701754</c:v>
                </c:pt>
                <c:pt idx="727">
                  <c:v>0.10964912280701754</c:v>
                </c:pt>
                <c:pt idx="728">
                  <c:v>0.10964912280701754</c:v>
                </c:pt>
                <c:pt idx="729">
                  <c:v>0.10964912280701754</c:v>
                </c:pt>
                <c:pt idx="730">
                  <c:v>0.10964912280701754</c:v>
                </c:pt>
                <c:pt idx="731">
                  <c:v>0.10964912280701754</c:v>
                </c:pt>
                <c:pt idx="732">
                  <c:v>0.10964912280701754</c:v>
                </c:pt>
                <c:pt idx="733">
                  <c:v>0.10964912280701754</c:v>
                </c:pt>
                <c:pt idx="734">
                  <c:v>0.10964912280701754</c:v>
                </c:pt>
                <c:pt idx="735">
                  <c:v>0.10964912280701754</c:v>
                </c:pt>
                <c:pt idx="736">
                  <c:v>0.10964912280701754</c:v>
                </c:pt>
                <c:pt idx="737">
                  <c:v>0.10964912280701754</c:v>
                </c:pt>
                <c:pt idx="738">
                  <c:v>0.10964912280701754</c:v>
                </c:pt>
                <c:pt idx="739">
                  <c:v>0.10964912280701754</c:v>
                </c:pt>
                <c:pt idx="740">
                  <c:v>0.10964912280701754</c:v>
                </c:pt>
                <c:pt idx="741">
                  <c:v>0.10964912280701754</c:v>
                </c:pt>
                <c:pt idx="742">
                  <c:v>0.10964912280701754</c:v>
                </c:pt>
                <c:pt idx="743">
                  <c:v>0.10964912280701754</c:v>
                </c:pt>
                <c:pt idx="744">
                  <c:v>0.10964912280701754</c:v>
                </c:pt>
                <c:pt idx="745">
                  <c:v>0.10964912280701754</c:v>
                </c:pt>
                <c:pt idx="746">
                  <c:v>0.10964912280701754</c:v>
                </c:pt>
                <c:pt idx="747">
                  <c:v>0.10964912280701754</c:v>
                </c:pt>
                <c:pt idx="748">
                  <c:v>0.10964912280701754</c:v>
                </c:pt>
                <c:pt idx="749">
                  <c:v>0.10964912280701754</c:v>
                </c:pt>
                <c:pt idx="750">
                  <c:v>0.10964912280701754</c:v>
                </c:pt>
                <c:pt idx="751">
                  <c:v>0.10964912280701754</c:v>
                </c:pt>
                <c:pt idx="752">
                  <c:v>0.10964912280701754</c:v>
                </c:pt>
                <c:pt idx="753">
                  <c:v>0.10964912280701754</c:v>
                </c:pt>
                <c:pt idx="754">
                  <c:v>0.10964912280701754</c:v>
                </c:pt>
                <c:pt idx="755">
                  <c:v>0.10964912280701754</c:v>
                </c:pt>
                <c:pt idx="756">
                  <c:v>0.10964912280701754</c:v>
                </c:pt>
                <c:pt idx="757">
                  <c:v>0.10964912280701754</c:v>
                </c:pt>
                <c:pt idx="758">
                  <c:v>0.10964912280701754</c:v>
                </c:pt>
                <c:pt idx="759">
                  <c:v>0.10964912280701754</c:v>
                </c:pt>
                <c:pt idx="760">
                  <c:v>0.10964912280701754</c:v>
                </c:pt>
                <c:pt idx="761">
                  <c:v>0.10964912280701754</c:v>
                </c:pt>
                <c:pt idx="762">
                  <c:v>0.10964912280701754</c:v>
                </c:pt>
                <c:pt idx="763">
                  <c:v>0.10964912280701754</c:v>
                </c:pt>
                <c:pt idx="764">
                  <c:v>0.10964912280701754</c:v>
                </c:pt>
                <c:pt idx="765">
                  <c:v>0.10964912280701754</c:v>
                </c:pt>
                <c:pt idx="766">
                  <c:v>0.10964912280701754</c:v>
                </c:pt>
                <c:pt idx="767">
                  <c:v>0.10964912280701754</c:v>
                </c:pt>
                <c:pt idx="768">
                  <c:v>0.10964912280701754</c:v>
                </c:pt>
                <c:pt idx="769">
                  <c:v>0.10964912280701754</c:v>
                </c:pt>
                <c:pt idx="770">
                  <c:v>0.10964912280701754</c:v>
                </c:pt>
                <c:pt idx="771">
                  <c:v>0.10964912280701754</c:v>
                </c:pt>
                <c:pt idx="772">
                  <c:v>0.10964912280701754</c:v>
                </c:pt>
                <c:pt idx="773">
                  <c:v>0.10964912280701754</c:v>
                </c:pt>
                <c:pt idx="774">
                  <c:v>0.10964912280701754</c:v>
                </c:pt>
                <c:pt idx="775">
                  <c:v>0.10964912280701754</c:v>
                </c:pt>
                <c:pt idx="776">
                  <c:v>0.10964912280701754</c:v>
                </c:pt>
                <c:pt idx="777">
                  <c:v>0.10964912280701754</c:v>
                </c:pt>
                <c:pt idx="778">
                  <c:v>0.10964912280701754</c:v>
                </c:pt>
                <c:pt idx="779">
                  <c:v>0.10964912280701754</c:v>
                </c:pt>
                <c:pt idx="780">
                  <c:v>0.10964912280701754</c:v>
                </c:pt>
                <c:pt idx="781">
                  <c:v>0.10964912280701754</c:v>
                </c:pt>
                <c:pt idx="782">
                  <c:v>0.10964912280701754</c:v>
                </c:pt>
                <c:pt idx="783">
                  <c:v>0.10964912280701754</c:v>
                </c:pt>
                <c:pt idx="784">
                  <c:v>0.10964912280701754</c:v>
                </c:pt>
                <c:pt idx="785">
                  <c:v>0.10964912280701754</c:v>
                </c:pt>
                <c:pt idx="786">
                  <c:v>0.10964912280701754</c:v>
                </c:pt>
                <c:pt idx="787">
                  <c:v>0.10964912280701754</c:v>
                </c:pt>
                <c:pt idx="788">
                  <c:v>0.10964912280701754</c:v>
                </c:pt>
                <c:pt idx="789">
                  <c:v>0.10964912280701754</c:v>
                </c:pt>
                <c:pt idx="790">
                  <c:v>0.10964912280701754</c:v>
                </c:pt>
                <c:pt idx="791">
                  <c:v>0.10964912280701754</c:v>
                </c:pt>
                <c:pt idx="792">
                  <c:v>0.10964912280701754</c:v>
                </c:pt>
                <c:pt idx="793">
                  <c:v>0.10964912280701754</c:v>
                </c:pt>
                <c:pt idx="794">
                  <c:v>0.10964912280701754</c:v>
                </c:pt>
                <c:pt idx="795">
                  <c:v>0.10964912280701754</c:v>
                </c:pt>
                <c:pt idx="796">
                  <c:v>0.10964912280701754</c:v>
                </c:pt>
                <c:pt idx="797">
                  <c:v>0.10964912280701754</c:v>
                </c:pt>
                <c:pt idx="798">
                  <c:v>0.10964912280701754</c:v>
                </c:pt>
                <c:pt idx="799">
                  <c:v>0.10964912280701754</c:v>
                </c:pt>
                <c:pt idx="800">
                  <c:v>0.10964912280701754</c:v>
                </c:pt>
                <c:pt idx="801">
                  <c:v>0.10964912280701754</c:v>
                </c:pt>
                <c:pt idx="802">
                  <c:v>0.10964912280701754</c:v>
                </c:pt>
                <c:pt idx="803">
                  <c:v>0.10964912280701754</c:v>
                </c:pt>
                <c:pt idx="804">
                  <c:v>0.10964912280701754</c:v>
                </c:pt>
                <c:pt idx="805">
                  <c:v>0.10964912280701754</c:v>
                </c:pt>
                <c:pt idx="806">
                  <c:v>0.10964912280701754</c:v>
                </c:pt>
                <c:pt idx="807">
                  <c:v>0.10964912280701754</c:v>
                </c:pt>
                <c:pt idx="808">
                  <c:v>0.10964912280701754</c:v>
                </c:pt>
                <c:pt idx="809">
                  <c:v>0.10964912280701754</c:v>
                </c:pt>
                <c:pt idx="810">
                  <c:v>0.10964912280701754</c:v>
                </c:pt>
                <c:pt idx="811">
                  <c:v>0.10964912280701754</c:v>
                </c:pt>
                <c:pt idx="812">
                  <c:v>0.10964912280701754</c:v>
                </c:pt>
                <c:pt idx="813">
                  <c:v>0.10964912280701754</c:v>
                </c:pt>
                <c:pt idx="814">
                  <c:v>0.10964912280701754</c:v>
                </c:pt>
                <c:pt idx="815">
                  <c:v>0.10964912280701754</c:v>
                </c:pt>
                <c:pt idx="816">
                  <c:v>0.10964912280701754</c:v>
                </c:pt>
                <c:pt idx="817">
                  <c:v>0.10964912280701754</c:v>
                </c:pt>
                <c:pt idx="818">
                  <c:v>0.10964912280701754</c:v>
                </c:pt>
                <c:pt idx="819">
                  <c:v>0.10964912280701754</c:v>
                </c:pt>
                <c:pt idx="820">
                  <c:v>0.10964912280701754</c:v>
                </c:pt>
                <c:pt idx="821">
                  <c:v>0.10964912280701754</c:v>
                </c:pt>
                <c:pt idx="822">
                  <c:v>0.10964912280701754</c:v>
                </c:pt>
                <c:pt idx="823">
                  <c:v>0.10964912280701754</c:v>
                </c:pt>
                <c:pt idx="824">
                  <c:v>0.10964912280701754</c:v>
                </c:pt>
                <c:pt idx="825">
                  <c:v>0.10964912280701754</c:v>
                </c:pt>
                <c:pt idx="826">
                  <c:v>0.10964912280701754</c:v>
                </c:pt>
                <c:pt idx="827">
                  <c:v>0.10964912280701754</c:v>
                </c:pt>
                <c:pt idx="828">
                  <c:v>0.10964912280701754</c:v>
                </c:pt>
                <c:pt idx="829">
                  <c:v>0.10964912280701754</c:v>
                </c:pt>
                <c:pt idx="830">
                  <c:v>0.10964912280701754</c:v>
                </c:pt>
                <c:pt idx="831">
                  <c:v>0.10964912280701754</c:v>
                </c:pt>
                <c:pt idx="832">
                  <c:v>0.10964912280701754</c:v>
                </c:pt>
                <c:pt idx="833">
                  <c:v>0.10964912280701754</c:v>
                </c:pt>
                <c:pt idx="834">
                  <c:v>0.10964912280701754</c:v>
                </c:pt>
                <c:pt idx="835">
                  <c:v>0.10964912280701754</c:v>
                </c:pt>
                <c:pt idx="836">
                  <c:v>0.10964912280701754</c:v>
                </c:pt>
                <c:pt idx="837">
                  <c:v>0.10964912280701754</c:v>
                </c:pt>
                <c:pt idx="838">
                  <c:v>0.10964912280701754</c:v>
                </c:pt>
                <c:pt idx="839">
                  <c:v>0.10964912280701754</c:v>
                </c:pt>
                <c:pt idx="840">
                  <c:v>0.10964912280701754</c:v>
                </c:pt>
                <c:pt idx="841">
                  <c:v>0.10964912280701754</c:v>
                </c:pt>
                <c:pt idx="842">
                  <c:v>0.10964912280701754</c:v>
                </c:pt>
                <c:pt idx="843">
                  <c:v>0.10964912280701754</c:v>
                </c:pt>
                <c:pt idx="844">
                  <c:v>0.10964912280701754</c:v>
                </c:pt>
                <c:pt idx="845">
                  <c:v>0.10964912280701754</c:v>
                </c:pt>
                <c:pt idx="846">
                  <c:v>0.10964912280701754</c:v>
                </c:pt>
                <c:pt idx="847">
                  <c:v>0.10964912280701754</c:v>
                </c:pt>
                <c:pt idx="848">
                  <c:v>0.10964912280701754</c:v>
                </c:pt>
                <c:pt idx="849">
                  <c:v>0.10964912280701754</c:v>
                </c:pt>
                <c:pt idx="850">
                  <c:v>0.10964912280701754</c:v>
                </c:pt>
                <c:pt idx="851">
                  <c:v>0.10964912280701754</c:v>
                </c:pt>
                <c:pt idx="852">
                  <c:v>0.10964912280701754</c:v>
                </c:pt>
                <c:pt idx="853">
                  <c:v>0.10964912280701754</c:v>
                </c:pt>
                <c:pt idx="854">
                  <c:v>0.10964912280701754</c:v>
                </c:pt>
                <c:pt idx="855">
                  <c:v>0.10964912280701754</c:v>
                </c:pt>
                <c:pt idx="856">
                  <c:v>0.10964912280701754</c:v>
                </c:pt>
                <c:pt idx="857">
                  <c:v>0.10964912280701754</c:v>
                </c:pt>
                <c:pt idx="858">
                  <c:v>0.10964912280701754</c:v>
                </c:pt>
                <c:pt idx="859">
                  <c:v>0.10964912280701754</c:v>
                </c:pt>
                <c:pt idx="860">
                  <c:v>0.10964912280701754</c:v>
                </c:pt>
                <c:pt idx="861">
                  <c:v>0.10964912280701754</c:v>
                </c:pt>
                <c:pt idx="862">
                  <c:v>0.10964912280701754</c:v>
                </c:pt>
                <c:pt idx="863">
                  <c:v>0.10964912280701754</c:v>
                </c:pt>
                <c:pt idx="864">
                  <c:v>0.10964912280701754</c:v>
                </c:pt>
                <c:pt idx="865">
                  <c:v>0.10964912280701754</c:v>
                </c:pt>
                <c:pt idx="866">
                  <c:v>0.10964912280701754</c:v>
                </c:pt>
                <c:pt idx="867">
                  <c:v>0.10964912280701754</c:v>
                </c:pt>
                <c:pt idx="868">
                  <c:v>0.10964912280701754</c:v>
                </c:pt>
                <c:pt idx="869">
                  <c:v>0.10964912280701754</c:v>
                </c:pt>
                <c:pt idx="870">
                  <c:v>0.10964912280701754</c:v>
                </c:pt>
                <c:pt idx="871">
                  <c:v>0.10964912280701754</c:v>
                </c:pt>
                <c:pt idx="872">
                  <c:v>0.10964912280701754</c:v>
                </c:pt>
                <c:pt idx="873">
                  <c:v>0.10964912280701754</c:v>
                </c:pt>
                <c:pt idx="874">
                  <c:v>0.10964912280701754</c:v>
                </c:pt>
                <c:pt idx="875">
                  <c:v>0.10964912280701754</c:v>
                </c:pt>
                <c:pt idx="876">
                  <c:v>0.10964912280701754</c:v>
                </c:pt>
                <c:pt idx="877">
                  <c:v>0.10964912280701754</c:v>
                </c:pt>
                <c:pt idx="878">
                  <c:v>0.10964912280701754</c:v>
                </c:pt>
                <c:pt idx="879">
                  <c:v>0.10964912280701754</c:v>
                </c:pt>
                <c:pt idx="880">
                  <c:v>0.10964912280701754</c:v>
                </c:pt>
                <c:pt idx="881">
                  <c:v>0.10964912280701754</c:v>
                </c:pt>
                <c:pt idx="882">
                  <c:v>0.10964912280701754</c:v>
                </c:pt>
                <c:pt idx="883">
                  <c:v>0.10964912280701754</c:v>
                </c:pt>
                <c:pt idx="884">
                  <c:v>0.10964912280701754</c:v>
                </c:pt>
                <c:pt idx="885">
                  <c:v>0.10964912280701754</c:v>
                </c:pt>
                <c:pt idx="886">
                  <c:v>0.10964912280701754</c:v>
                </c:pt>
                <c:pt idx="887">
                  <c:v>0.10964912280701754</c:v>
                </c:pt>
                <c:pt idx="888">
                  <c:v>0.10964912280701754</c:v>
                </c:pt>
                <c:pt idx="889">
                  <c:v>0.10964912280701754</c:v>
                </c:pt>
                <c:pt idx="890">
                  <c:v>0.10964912280701754</c:v>
                </c:pt>
                <c:pt idx="891">
                  <c:v>0.10964912280701754</c:v>
                </c:pt>
                <c:pt idx="892">
                  <c:v>0.10964912280701754</c:v>
                </c:pt>
                <c:pt idx="893">
                  <c:v>0.10964912280701754</c:v>
                </c:pt>
                <c:pt idx="894">
                  <c:v>0.10964912280701754</c:v>
                </c:pt>
                <c:pt idx="895">
                  <c:v>0.10964912280701754</c:v>
                </c:pt>
                <c:pt idx="896">
                  <c:v>0.10964912280701754</c:v>
                </c:pt>
                <c:pt idx="897">
                  <c:v>0.10964912280701754</c:v>
                </c:pt>
                <c:pt idx="898">
                  <c:v>0.10964912280701754</c:v>
                </c:pt>
                <c:pt idx="899">
                  <c:v>0.10964912280701754</c:v>
                </c:pt>
                <c:pt idx="900">
                  <c:v>0.10964912280701754</c:v>
                </c:pt>
                <c:pt idx="901">
                  <c:v>0.10964912280701754</c:v>
                </c:pt>
                <c:pt idx="902">
                  <c:v>0.10964912280701754</c:v>
                </c:pt>
                <c:pt idx="903">
                  <c:v>0.10964912280701754</c:v>
                </c:pt>
                <c:pt idx="904">
                  <c:v>0.10964912280701754</c:v>
                </c:pt>
                <c:pt idx="905">
                  <c:v>0.10964912280701754</c:v>
                </c:pt>
                <c:pt idx="906">
                  <c:v>0.10964912280701754</c:v>
                </c:pt>
                <c:pt idx="907">
                  <c:v>0.10964912280701754</c:v>
                </c:pt>
                <c:pt idx="908">
                  <c:v>0.10964912280701754</c:v>
                </c:pt>
                <c:pt idx="909">
                  <c:v>0.10964912280701754</c:v>
                </c:pt>
                <c:pt idx="910">
                  <c:v>0.10964912280701754</c:v>
                </c:pt>
                <c:pt idx="911">
                  <c:v>0.10964912280701754</c:v>
                </c:pt>
                <c:pt idx="912">
                  <c:v>0.10964912280701754</c:v>
                </c:pt>
                <c:pt idx="913">
                  <c:v>0.10964912280701754</c:v>
                </c:pt>
                <c:pt idx="914">
                  <c:v>0.10964912280701754</c:v>
                </c:pt>
                <c:pt idx="915">
                  <c:v>0.10964912280701754</c:v>
                </c:pt>
                <c:pt idx="916">
                  <c:v>0.10964912280701754</c:v>
                </c:pt>
                <c:pt idx="917">
                  <c:v>0.10964912280701754</c:v>
                </c:pt>
                <c:pt idx="918">
                  <c:v>0.10964912280701754</c:v>
                </c:pt>
                <c:pt idx="919">
                  <c:v>0.10964912280701754</c:v>
                </c:pt>
                <c:pt idx="920">
                  <c:v>0.10964912280701754</c:v>
                </c:pt>
                <c:pt idx="921">
                  <c:v>0.10964912280701754</c:v>
                </c:pt>
                <c:pt idx="922">
                  <c:v>0.10964912280701754</c:v>
                </c:pt>
                <c:pt idx="923">
                  <c:v>0.10964912280701754</c:v>
                </c:pt>
                <c:pt idx="924">
                  <c:v>0.10964912280701754</c:v>
                </c:pt>
                <c:pt idx="925">
                  <c:v>0.10964912280701754</c:v>
                </c:pt>
                <c:pt idx="926">
                  <c:v>0.10964912280701754</c:v>
                </c:pt>
                <c:pt idx="927">
                  <c:v>0.10964912280701754</c:v>
                </c:pt>
                <c:pt idx="928">
                  <c:v>0.10964912280701754</c:v>
                </c:pt>
                <c:pt idx="929">
                  <c:v>0.10964912280701754</c:v>
                </c:pt>
                <c:pt idx="930">
                  <c:v>0.10964912280701754</c:v>
                </c:pt>
                <c:pt idx="931">
                  <c:v>0.10964912280701754</c:v>
                </c:pt>
                <c:pt idx="932">
                  <c:v>0.10964912280701754</c:v>
                </c:pt>
                <c:pt idx="933">
                  <c:v>0.10964912280701754</c:v>
                </c:pt>
                <c:pt idx="934">
                  <c:v>0.10964912280701754</c:v>
                </c:pt>
                <c:pt idx="935">
                  <c:v>0.10964912280701754</c:v>
                </c:pt>
                <c:pt idx="936">
                  <c:v>0.10964912280701754</c:v>
                </c:pt>
                <c:pt idx="937">
                  <c:v>0.10964912280701754</c:v>
                </c:pt>
                <c:pt idx="938">
                  <c:v>0.10964912280701754</c:v>
                </c:pt>
                <c:pt idx="939">
                  <c:v>0.10964912280701754</c:v>
                </c:pt>
                <c:pt idx="940">
                  <c:v>0.10964912280701754</c:v>
                </c:pt>
                <c:pt idx="941">
                  <c:v>0.10964912280701754</c:v>
                </c:pt>
                <c:pt idx="942">
                  <c:v>0.10964912280701754</c:v>
                </c:pt>
                <c:pt idx="943">
                  <c:v>0.10964912280701754</c:v>
                </c:pt>
                <c:pt idx="944">
                  <c:v>0.10964912280701754</c:v>
                </c:pt>
                <c:pt idx="945">
                  <c:v>0.10964912280701754</c:v>
                </c:pt>
                <c:pt idx="946">
                  <c:v>0.10964912280701754</c:v>
                </c:pt>
                <c:pt idx="947">
                  <c:v>0.10964912280701754</c:v>
                </c:pt>
                <c:pt idx="948">
                  <c:v>0.10964912280701754</c:v>
                </c:pt>
                <c:pt idx="949">
                  <c:v>0.10964912280701754</c:v>
                </c:pt>
                <c:pt idx="950">
                  <c:v>0.10964912280701754</c:v>
                </c:pt>
                <c:pt idx="951">
                  <c:v>0.10964912280701754</c:v>
                </c:pt>
                <c:pt idx="952">
                  <c:v>0.10964912280701754</c:v>
                </c:pt>
                <c:pt idx="953">
                  <c:v>0.10964912280701754</c:v>
                </c:pt>
                <c:pt idx="954">
                  <c:v>0.10964912280701754</c:v>
                </c:pt>
                <c:pt idx="955">
                  <c:v>0.10964912280701754</c:v>
                </c:pt>
                <c:pt idx="956">
                  <c:v>0.10964912280701754</c:v>
                </c:pt>
                <c:pt idx="957">
                  <c:v>0.10964912280701754</c:v>
                </c:pt>
                <c:pt idx="958">
                  <c:v>0.10964912280701754</c:v>
                </c:pt>
                <c:pt idx="959">
                  <c:v>0.10964912280701754</c:v>
                </c:pt>
                <c:pt idx="960">
                  <c:v>0.10964912280701754</c:v>
                </c:pt>
                <c:pt idx="961">
                  <c:v>0.10964912280701754</c:v>
                </c:pt>
                <c:pt idx="962">
                  <c:v>0.10964912280701754</c:v>
                </c:pt>
                <c:pt idx="963">
                  <c:v>0.10964912280701754</c:v>
                </c:pt>
                <c:pt idx="964">
                  <c:v>0.10964912280701754</c:v>
                </c:pt>
                <c:pt idx="965">
                  <c:v>0.10964912280701754</c:v>
                </c:pt>
                <c:pt idx="966">
                  <c:v>0.10964912280701754</c:v>
                </c:pt>
                <c:pt idx="967">
                  <c:v>0.10964912280701754</c:v>
                </c:pt>
                <c:pt idx="968">
                  <c:v>0.10964912280701754</c:v>
                </c:pt>
                <c:pt idx="969">
                  <c:v>0.10964912280701754</c:v>
                </c:pt>
                <c:pt idx="970">
                  <c:v>0.10964912280701754</c:v>
                </c:pt>
                <c:pt idx="971">
                  <c:v>0.10964912280701754</c:v>
                </c:pt>
                <c:pt idx="972">
                  <c:v>0.10964912280701754</c:v>
                </c:pt>
                <c:pt idx="973">
                  <c:v>0.10964912280701754</c:v>
                </c:pt>
                <c:pt idx="974">
                  <c:v>0.10964912280701754</c:v>
                </c:pt>
                <c:pt idx="975">
                  <c:v>0.10964912280701754</c:v>
                </c:pt>
                <c:pt idx="976">
                  <c:v>0.10964912280701754</c:v>
                </c:pt>
                <c:pt idx="977">
                  <c:v>0.10964912280701754</c:v>
                </c:pt>
                <c:pt idx="978">
                  <c:v>0.10964912280701754</c:v>
                </c:pt>
                <c:pt idx="979">
                  <c:v>0.10964912280701754</c:v>
                </c:pt>
                <c:pt idx="980">
                  <c:v>0.10964912280701754</c:v>
                </c:pt>
                <c:pt idx="981">
                  <c:v>0.10964912280701754</c:v>
                </c:pt>
                <c:pt idx="982">
                  <c:v>0.10964912280701754</c:v>
                </c:pt>
                <c:pt idx="983">
                  <c:v>0.10964912280701754</c:v>
                </c:pt>
                <c:pt idx="984">
                  <c:v>0.10964912280701754</c:v>
                </c:pt>
                <c:pt idx="985">
                  <c:v>0.10964912280701754</c:v>
                </c:pt>
                <c:pt idx="986">
                  <c:v>0.10964912280701754</c:v>
                </c:pt>
                <c:pt idx="987">
                  <c:v>0.10964912280701754</c:v>
                </c:pt>
                <c:pt idx="988">
                  <c:v>0.10964912280701754</c:v>
                </c:pt>
                <c:pt idx="989">
                  <c:v>0.10964912280701754</c:v>
                </c:pt>
                <c:pt idx="990">
                  <c:v>0.10964912280701754</c:v>
                </c:pt>
                <c:pt idx="991">
                  <c:v>0.10964912280701754</c:v>
                </c:pt>
                <c:pt idx="992">
                  <c:v>0.10964912280701754</c:v>
                </c:pt>
                <c:pt idx="993">
                  <c:v>0.10964912280701754</c:v>
                </c:pt>
                <c:pt idx="994">
                  <c:v>0.10964912280701754</c:v>
                </c:pt>
                <c:pt idx="995">
                  <c:v>0.10964912280701754</c:v>
                </c:pt>
                <c:pt idx="996">
                  <c:v>0.10964912280701754</c:v>
                </c:pt>
                <c:pt idx="997">
                  <c:v>0.10964912280701754</c:v>
                </c:pt>
                <c:pt idx="998">
                  <c:v>0.10964912280701754</c:v>
                </c:pt>
                <c:pt idx="999">
                  <c:v>0.10964912280701754</c:v>
                </c:pt>
                <c:pt idx="1000">
                  <c:v>0.10964912280701754</c:v>
                </c:pt>
                <c:pt idx="1001">
                  <c:v>0.10964912280701754</c:v>
                </c:pt>
                <c:pt idx="1002">
                  <c:v>0.10964912280701754</c:v>
                </c:pt>
                <c:pt idx="1003">
                  <c:v>0.10964912280701754</c:v>
                </c:pt>
                <c:pt idx="1004">
                  <c:v>0.10964912280701754</c:v>
                </c:pt>
                <c:pt idx="1005">
                  <c:v>0.10964912280701754</c:v>
                </c:pt>
                <c:pt idx="1006">
                  <c:v>0.10964912280701754</c:v>
                </c:pt>
                <c:pt idx="1007">
                  <c:v>0.10964912280701754</c:v>
                </c:pt>
                <c:pt idx="1008">
                  <c:v>0.10964912280701754</c:v>
                </c:pt>
                <c:pt idx="1009">
                  <c:v>0.10964912280701754</c:v>
                </c:pt>
                <c:pt idx="1010">
                  <c:v>0.10964912280701754</c:v>
                </c:pt>
                <c:pt idx="1011">
                  <c:v>0.10964912280701754</c:v>
                </c:pt>
                <c:pt idx="1012">
                  <c:v>0.10964912280701754</c:v>
                </c:pt>
                <c:pt idx="1013">
                  <c:v>0.10964912280701754</c:v>
                </c:pt>
                <c:pt idx="1014">
                  <c:v>0.10964912280701754</c:v>
                </c:pt>
                <c:pt idx="1015">
                  <c:v>0.10964912280701754</c:v>
                </c:pt>
                <c:pt idx="1016">
                  <c:v>0.10964912280701754</c:v>
                </c:pt>
                <c:pt idx="1017">
                  <c:v>0.10964912280701754</c:v>
                </c:pt>
                <c:pt idx="1018">
                  <c:v>0.10964912280701754</c:v>
                </c:pt>
                <c:pt idx="1019">
                  <c:v>0.10964912280701754</c:v>
                </c:pt>
                <c:pt idx="1020">
                  <c:v>0.10964912280701754</c:v>
                </c:pt>
                <c:pt idx="1021">
                  <c:v>0.10964912280701754</c:v>
                </c:pt>
                <c:pt idx="1022">
                  <c:v>0.10964912280701754</c:v>
                </c:pt>
                <c:pt idx="1023">
                  <c:v>0.10964912280701754</c:v>
                </c:pt>
                <c:pt idx="1024">
                  <c:v>0.10964912280701754</c:v>
                </c:pt>
                <c:pt idx="1025">
                  <c:v>0.10964912280701754</c:v>
                </c:pt>
                <c:pt idx="1026">
                  <c:v>0.10964912280701754</c:v>
                </c:pt>
                <c:pt idx="1027">
                  <c:v>0.10964912280701754</c:v>
                </c:pt>
                <c:pt idx="1028">
                  <c:v>0.10964912280701754</c:v>
                </c:pt>
                <c:pt idx="1029">
                  <c:v>0.10964912280701754</c:v>
                </c:pt>
                <c:pt idx="1030">
                  <c:v>0.10964912280701754</c:v>
                </c:pt>
                <c:pt idx="1031">
                  <c:v>0.10964912280701754</c:v>
                </c:pt>
                <c:pt idx="1032">
                  <c:v>0.10964912280701754</c:v>
                </c:pt>
                <c:pt idx="1033">
                  <c:v>0.10964912280701754</c:v>
                </c:pt>
                <c:pt idx="1034">
                  <c:v>0.10964912280701754</c:v>
                </c:pt>
                <c:pt idx="1035">
                  <c:v>0.10964912280701754</c:v>
                </c:pt>
                <c:pt idx="1036">
                  <c:v>0.10964912280701754</c:v>
                </c:pt>
                <c:pt idx="1037">
                  <c:v>0.10964912280701754</c:v>
                </c:pt>
                <c:pt idx="1038">
                  <c:v>0.10964912280701754</c:v>
                </c:pt>
                <c:pt idx="1039">
                  <c:v>0.10964912280701754</c:v>
                </c:pt>
                <c:pt idx="1040">
                  <c:v>0.10964912280701754</c:v>
                </c:pt>
                <c:pt idx="1041">
                  <c:v>0.10964912280701754</c:v>
                </c:pt>
                <c:pt idx="1042">
                  <c:v>0.10964912280701754</c:v>
                </c:pt>
                <c:pt idx="1043">
                  <c:v>0.10964912280701754</c:v>
                </c:pt>
                <c:pt idx="1044">
                  <c:v>0.10964912280701754</c:v>
                </c:pt>
                <c:pt idx="1045">
                  <c:v>0.10964912280701754</c:v>
                </c:pt>
                <c:pt idx="1046">
                  <c:v>0.10964912280701754</c:v>
                </c:pt>
                <c:pt idx="1047">
                  <c:v>0.10964912280701754</c:v>
                </c:pt>
                <c:pt idx="1048">
                  <c:v>0.10964912280701754</c:v>
                </c:pt>
                <c:pt idx="1049">
                  <c:v>0.10964912280701754</c:v>
                </c:pt>
                <c:pt idx="1050">
                  <c:v>0.10964912280701754</c:v>
                </c:pt>
                <c:pt idx="1051">
                  <c:v>0.10964912280701754</c:v>
                </c:pt>
                <c:pt idx="1052">
                  <c:v>0.10964912280701754</c:v>
                </c:pt>
                <c:pt idx="1053">
                  <c:v>0.10964912280701754</c:v>
                </c:pt>
              </c:numCache>
            </c:numRef>
          </c:yVal>
          <c:smooth val="1"/>
          <c:extLst xmlns:c16r2="http://schemas.microsoft.com/office/drawing/2015/06/chart">
            <c:ext xmlns:c16="http://schemas.microsoft.com/office/drawing/2014/chart" uri="{C3380CC4-5D6E-409C-BE32-E72D297353CC}">
              <c16:uniqueId val="{00000006-6484-4791-991D-5E362FC0939B}"/>
            </c:ext>
          </c:extLst>
        </c:ser>
        <c:ser>
          <c:idx val="16"/>
          <c:order val="2"/>
          <c:tx>
            <c:v>Payback Constraint</c:v>
          </c:tx>
          <c:spPr>
            <a:ln>
              <a:solidFill>
                <a:srgbClr val="916BAC"/>
              </a:solidFill>
              <a:prstDash val="dash"/>
            </a:ln>
          </c:spPr>
          <c:marker>
            <c:symbol val="none"/>
          </c:marker>
          <c:dLbls>
            <c:dLbl>
              <c:idx val="984"/>
              <c:layout>
                <c:manualLayout>
                  <c:x val="-2.1420487920767464E-2"/>
                  <c:y val="8.800996984330299E-2"/>
                </c:manualLayout>
              </c:layout>
              <c:tx>
                <c:rich>
                  <a:bodyPr rot="-5400000" vert="horz"/>
                  <a:lstStyle/>
                  <a:p>
                    <a:pPr>
                      <a:defRPr sz="1600" b="1">
                        <a:solidFill>
                          <a:srgbClr val="916BAC"/>
                        </a:solidFill>
                        <a:latin typeface="Arial" panose="020B0604020202020204" pitchFamily="34" charset="0"/>
                        <a:cs typeface="Arial" panose="020B0604020202020204" pitchFamily="34" charset="0"/>
                      </a:defRPr>
                    </a:pPr>
                    <a:r>
                      <a:rPr lang="en-US">
                        <a:solidFill>
                          <a:srgbClr val="916BAC"/>
                        </a:solidFill>
                        <a:latin typeface="Arial" panose="020B0604020202020204" pitchFamily="34" charset="0"/>
                        <a:cs typeface="Arial" panose="020B0604020202020204" pitchFamily="34" charset="0"/>
                      </a:rPr>
                      <a:t>Payback Constraint</a:t>
                    </a:r>
                    <a:endParaRPr lang="en-US"/>
                  </a:p>
                </c:rich>
              </c:tx>
              <c:spPr>
                <a:solidFill>
                  <a:schemeClr val="bg1"/>
                </a:solidFill>
              </c:spPr>
              <c:showLegendKey val="0"/>
              <c:showVal val="0"/>
              <c:showCatName val="0"/>
              <c:showSerName val="1"/>
              <c:showPercent val="0"/>
              <c:showBubbleSize val="0"/>
              <c:extLst>
                <c:ext xmlns:c15="http://schemas.microsoft.com/office/drawing/2012/chart" uri="{CE6537A1-D6FC-4f65-9D91-7224C49458BB}"/>
              </c:extLst>
            </c:dLbl>
            <c:spPr>
              <a:noFill/>
              <a:ln>
                <a:noFill/>
              </a:ln>
              <a:effectLst/>
            </c:spPr>
            <c:txPr>
              <a:bodyPr rot="-5400000" vert="horz"/>
              <a:lstStyle/>
              <a:p>
                <a:pPr>
                  <a:defRPr sz="1600" b="1">
                    <a:solidFill>
                      <a:srgbClr val="916BAC"/>
                    </a:solidFill>
                    <a:latin typeface="Arial" panose="020B0604020202020204" pitchFamily="34" charset="0"/>
                    <a:cs typeface="Arial" panose="020B0604020202020204" pitchFamily="34" charset="0"/>
                  </a:defRPr>
                </a:pPr>
                <a:endParaRPr lang="en-US"/>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'Arbitrage Payback Engine'!$X$10:$X$1063</c:f>
              <c:numCache>
                <c:formatCode>_-* #,##0.0_-;\-* #,##0.0_-;_-* "-"??_-;_-@_-</c:formatCode>
                <c:ptCount val="1054"/>
                <c:pt idx="0">
                  <c:v>25</c:v>
                </c:pt>
                <c:pt idx="1">
                  <c:v>25</c:v>
                </c:pt>
                <c:pt idx="2">
                  <c:v>25</c:v>
                </c:pt>
                <c:pt idx="3">
                  <c:v>25</c:v>
                </c:pt>
                <c:pt idx="4">
                  <c:v>25</c:v>
                </c:pt>
                <c:pt idx="5">
                  <c:v>25</c:v>
                </c:pt>
                <c:pt idx="6">
                  <c:v>25</c:v>
                </c:pt>
                <c:pt idx="7">
                  <c:v>25</c:v>
                </c:pt>
                <c:pt idx="8">
                  <c:v>25</c:v>
                </c:pt>
                <c:pt idx="9">
                  <c:v>25</c:v>
                </c:pt>
                <c:pt idx="10">
                  <c:v>25</c:v>
                </c:pt>
                <c:pt idx="11">
                  <c:v>25</c:v>
                </c:pt>
                <c:pt idx="12">
                  <c:v>25</c:v>
                </c:pt>
                <c:pt idx="13">
                  <c:v>25</c:v>
                </c:pt>
                <c:pt idx="14">
                  <c:v>25</c:v>
                </c:pt>
                <c:pt idx="15">
                  <c:v>25</c:v>
                </c:pt>
                <c:pt idx="16">
                  <c:v>25</c:v>
                </c:pt>
                <c:pt idx="17">
                  <c:v>25</c:v>
                </c:pt>
                <c:pt idx="18">
                  <c:v>25</c:v>
                </c:pt>
                <c:pt idx="19">
                  <c:v>25</c:v>
                </c:pt>
                <c:pt idx="20">
                  <c:v>25</c:v>
                </c:pt>
                <c:pt idx="21">
                  <c:v>25</c:v>
                </c:pt>
                <c:pt idx="22">
                  <c:v>25</c:v>
                </c:pt>
                <c:pt idx="23">
                  <c:v>25</c:v>
                </c:pt>
                <c:pt idx="24">
                  <c:v>25</c:v>
                </c:pt>
                <c:pt idx="25">
                  <c:v>25</c:v>
                </c:pt>
                <c:pt idx="26">
                  <c:v>25</c:v>
                </c:pt>
                <c:pt idx="27">
                  <c:v>25</c:v>
                </c:pt>
                <c:pt idx="28">
                  <c:v>25</c:v>
                </c:pt>
                <c:pt idx="29">
                  <c:v>25</c:v>
                </c:pt>
                <c:pt idx="30">
                  <c:v>25</c:v>
                </c:pt>
                <c:pt idx="31">
                  <c:v>25</c:v>
                </c:pt>
                <c:pt idx="32">
                  <c:v>25</c:v>
                </c:pt>
                <c:pt idx="33">
                  <c:v>25</c:v>
                </c:pt>
                <c:pt idx="34">
                  <c:v>25</c:v>
                </c:pt>
                <c:pt idx="35">
                  <c:v>25</c:v>
                </c:pt>
                <c:pt idx="36">
                  <c:v>25</c:v>
                </c:pt>
                <c:pt idx="37">
                  <c:v>25</c:v>
                </c:pt>
                <c:pt idx="38">
                  <c:v>25</c:v>
                </c:pt>
                <c:pt idx="39">
                  <c:v>25</c:v>
                </c:pt>
                <c:pt idx="40">
                  <c:v>25</c:v>
                </c:pt>
                <c:pt idx="41">
                  <c:v>25</c:v>
                </c:pt>
                <c:pt idx="42">
                  <c:v>25</c:v>
                </c:pt>
                <c:pt idx="43">
                  <c:v>25</c:v>
                </c:pt>
                <c:pt idx="44">
                  <c:v>25</c:v>
                </c:pt>
                <c:pt idx="45">
                  <c:v>25</c:v>
                </c:pt>
                <c:pt idx="46">
                  <c:v>25</c:v>
                </c:pt>
                <c:pt idx="47">
                  <c:v>25</c:v>
                </c:pt>
                <c:pt idx="48">
                  <c:v>25</c:v>
                </c:pt>
                <c:pt idx="49">
                  <c:v>25</c:v>
                </c:pt>
                <c:pt idx="50">
                  <c:v>25</c:v>
                </c:pt>
                <c:pt idx="51">
                  <c:v>25</c:v>
                </c:pt>
                <c:pt idx="52">
                  <c:v>25</c:v>
                </c:pt>
                <c:pt idx="53">
                  <c:v>25</c:v>
                </c:pt>
                <c:pt idx="54">
                  <c:v>25</c:v>
                </c:pt>
                <c:pt idx="55">
                  <c:v>25</c:v>
                </c:pt>
                <c:pt idx="56">
                  <c:v>25</c:v>
                </c:pt>
                <c:pt idx="57">
                  <c:v>25</c:v>
                </c:pt>
                <c:pt idx="58">
                  <c:v>25</c:v>
                </c:pt>
                <c:pt idx="59">
                  <c:v>25</c:v>
                </c:pt>
                <c:pt idx="60">
                  <c:v>25</c:v>
                </c:pt>
                <c:pt idx="61">
                  <c:v>25</c:v>
                </c:pt>
                <c:pt idx="62">
                  <c:v>25</c:v>
                </c:pt>
                <c:pt idx="63">
                  <c:v>25</c:v>
                </c:pt>
                <c:pt idx="64">
                  <c:v>25</c:v>
                </c:pt>
                <c:pt idx="65">
                  <c:v>25</c:v>
                </c:pt>
                <c:pt idx="66">
                  <c:v>25</c:v>
                </c:pt>
                <c:pt idx="67">
                  <c:v>25</c:v>
                </c:pt>
                <c:pt idx="68">
                  <c:v>25</c:v>
                </c:pt>
                <c:pt idx="69">
                  <c:v>25</c:v>
                </c:pt>
                <c:pt idx="70">
                  <c:v>25</c:v>
                </c:pt>
                <c:pt idx="71">
                  <c:v>25</c:v>
                </c:pt>
                <c:pt idx="72">
                  <c:v>25</c:v>
                </c:pt>
                <c:pt idx="73">
                  <c:v>25</c:v>
                </c:pt>
                <c:pt idx="74">
                  <c:v>25</c:v>
                </c:pt>
                <c:pt idx="75">
                  <c:v>25</c:v>
                </c:pt>
                <c:pt idx="76">
                  <c:v>25</c:v>
                </c:pt>
                <c:pt idx="77">
                  <c:v>25</c:v>
                </c:pt>
                <c:pt idx="78">
                  <c:v>25</c:v>
                </c:pt>
                <c:pt idx="79">
                  <c:v>25</c:v>
                </c:pt>
                <c:pt idx="80">
                  <c:v>25</c:v>
                </c:pt>
                <c:pt idx="81">
                  <c:v>25</c:v>
                </c:pt>
                <c:pt idx="82">
                  <c:v>25</c:v>
                </c:pt>
                <c:pt idx="83">
                  <c:v>25</c:v>
                </c:pt>
                <c:pt idx="84">
                  <c:v>25</c:v>
                </c:pt>
                <c:pt idx="85">
                  <c:v>25</c:v>
                </c:pt>
                <c:pt idx="86">
                  <c:v>25</c:v>
                </c:pt>
                <c:pt idx="87">
                  <c:v>25</c:v>
                </c:pt>
                <c:pt idx="88">
                  <c:v>25</c:v>
                </c:pt>
                <c:pt idx="89">
                  <c:v>25</c:v>
                </c:pt>
                <c:pt idx="90">
                  <c:v>25</c:v>
                </c:pt>
                <c:pt idx="91">
                  <c:v>25</c:v>
                </c:pt>
                <c:pt idx="92">
                  <c:v>25</c:v>
                </c:pt>
                <c:pt idx="93">
                  <c:v>25</c:v>
                </c:pt>
                <c:pt idx="94">
                  <c:v>25</c:v>
                </c:pt>
                <c:pt idx="95">
                  <c:v>25</c:v>
                </c:pt>
                <c:pt idx="96">
                  <c:v>25</c:v>
                </c:pt>
                <c:pt idx="97">
                  <c:v>25</c:v>
                </c:pt>
                <c:pt idx="98">
                  <c:v>25</c:v>
                </c:pt>
                <c:pt idx="99">
                  <c:v>25</c:v>
                </c:pt>
                <c:pt idx="100">
                  <c:v>25</c:v>
                </c:pt>
                <c:pt idx="101">
                  <c:v>25</c:v>
                </c:pt>
                <c:pt idx="102">
                  <c:v>25</c:v>
                </c:pt>
                <c:pt idx="103">
                  <c:v>25</c:v>
                </c:pt>
                <c:pt idx="104">
                  <c:v>25</c:v>
                </c:pt>
                <c:pt idx="105">
                  <c:v>25</c:v>
                </c:pt>
                <c:pt idx="106">
                  <c:v>25</c:v>
                </c:pt>
                <c:pt idx="107">
                  <c:v>25</c:v>
                </c:pt>
                <c:pt idx="108">
                  <c:v>25</c:v>
                </c:pt>
                <c:pt idx="109">
                  <c:v>25</c:v>
                </c:pt>
                <c:pt idx="110">
                  <c:v>25</c:v>
                </c:pt>
                <c:pt idx="111">
                  <c:v>25</c:v>
                </c:pt>
                <c:pt idx="112">
                  <c:v>25</c:v>
                </c:pt>
                <c:pt idx="113">
                  <c:v>25</c:v>
                </c:pt>
                <c:pt idx="114">
                  <c:v>25</c:v>
                </c:pt>
                <c:pt idx="115">
                  <c:v>25</c:v>
                </c:pt>
                <c:pt idx="116">
                  <c:v>25</c:v>
                </c:pt>
                <c:pt idx="117">
                  <c:v>25</c:v>
                </c:pt>
                <c:pt idx="118">
                  <c:v>25</c:v>
                </c:pt>
                <c:pt idx="119">
                  <c:v>25</c:v>
                </c:pt>
                <c:pt idx="120">
                  <c:v>25</c:v>
                </c:pt>
                <c:pt idx="121">
                  <c:v>25</c:v>
                </c:pt>
                <c:pt idx="122">
                  <c:v>25</c:v>
                </c:pt>
                <c:pt idx="123">
                  <c:v>25</c:v>
                </c:pt>
                <c:pt idx="124">
                  <c:v>25</c:v>
                </c:pt>
                <c:pt idx="125">
                  <c:v>25</c:v>
                </c:pt>
                <c:pt idx="126">
                  <c:v>25</c:v>
                </c:pt>
                <c:pt idx="127">
                  <c:v>25</c:v>
                </c:pt>
                <c:pt idx="128">
                  <c:v>25</c:v>
                </c:pt>
                <c:pt idx="129">
                  <c:v>25</c:v>
                </c:pt>
                <c:pt idx="130">
                  <c:v>25</c:v>
                </c:pt>
                <c:pt idx="131">
                  <c:v>25</c:v>
                </c:pt>
                <c:pt idx="132">
                  <c:v>25</c:v>
                </c:pt>
                <c:pt idx="133">
                  <c:v>25</c:v>
                </c:pt>
                <c:pt idx="134">
                  <c:v>25</c:v>
                </c:pt>
                <c:pt idx="135">
                  <c:v>25</c:v>
                </c:pt>
                <c:pt idx="136">
                  <c:v>25</c:v>
                </c:pt>
                <c:pt idx="137">
                  <c:v>25</c:v>
                </c:pt>
                <c:pt idx="138">
                  <c:v>25</c:v>
                </c:pt>
                <c:pt idx="139">
                  <c:v>25</c:v>
                </c:pt>
                <c:pt idx="140">
                  <c:v>25</c:v>
                </c:pt>
                <c:pt idx="141">
                  <c:v>25</c:v>
                </c:pt>
                <c:pt idx="142">
                  <c:v>25</c:v>
                </c:pt>
                <c:pt idx="143">
                  <c:v>25</c:v>
                </c:pt>
                <c:pt idx="144">
                  <c:v>25</c:v>
                </c:pt>
                <c:pt idx="145">
                  <c:v>25</c:v>
                </c:pt>
                <c:pt idx="146">
                  <c:v>25</c:v>
                </c:pt>
                <c:pt idx="147">
                  <c:v>25</c:v>
                </c:pt>
                <c:pt idx="148">
                  <c:v>25</c:v>
                </c:pt>
                <c:pt idx="149">
                  <c:v>25</c:v>
                </c:pt>
                <c:pt idx="150">
                  <c:v>25</c:v>
                </c:pt>
                <c:pt idx="151">
                  <c:v>25</c:v>
                </c:pt>
                <c:pt idx="152">
                  <c:v>25</c:v>
                </c:pt>
                <c:pt idx="153">
                  <c:v>25</c:v>
                </c:pt>
                <c:pt idx="154">
                  <c:v>25</c:v>
                </c:pt>
                <c:pt idx="155">
                  <c:v>25</c:v>
                </c:pt>
                <c:pt idx="156">
                  <c:v>25</c:v>
                </c:pt>
                <c:pt idx="157">
                  <c:v>25</c:v>
                </c:pt>
                <c:pt idx="158">
                  <c:v>25</c:v>
                </c:pt>
                <c:pt idx="159">
                  <c:v>25</c:v>
                </c:pt>
                <c:pt idx="160">
                  <c:v>25</c:v>
                </c:pt>
                <c:pt idx="161">
                  <c:v>25</c:v>
                </c:pt>
                <c:pt idx="162">
                  <c:v>25</c:v>
                </c:pt>
                <c:pt idx="163">
                  <c:v>25</c:v>
                </c:pt>
                <c:pt idx="164">
                  <c:v>25</c:v>
                </c:pt>
                <c:pt idx="165">
                  <c:v>25</c:v>
                </c:pt>
                <c:pt idx="166">
                  <c:v>25</c:v>
                </c:pt>
                <c:pt idx="167">
                  <c:v>25</c:v>
                </c:pt>
                <c:pt idx="168">
                  <c:v>25</c:v>
                </c:pt>
                <c:pt idx="169">
                  <c:v>25</c:v>
                </c:pt>
                <c:pt idx="170">
                  <c:v>25</c:v>
                </c:pt>
                <c:pt idx="171">
                  <c:v>25</c:v>
                </c:pt>
                <c:pt idx="172">
                  <c:v>25</c:v>
                </c:pt>
                <c:pt idx="173">
                  <c:v>25</c:v>
                </c:pt>
                <c:pt idx="174">
                  <c:v>25</c:v>
                </c:pt>
                <c:pt idx="175">
                  <c:v>25</c:v>
                </c:pt>
                <c:pt idx="176">
                  <c:v>25</c:v>
                </c:pt>
                <c:pt idx="177">
                  <c:v>25</c:v>
                </c:pt>
                <c:pt idx="178">
                  <c:v>25</c:v>
                </c:pt>
                <c:pt idx="179">
                  <c:v>25</c:v>
                </c:pt>
                <c:pt idx="180">
                  <c:v>25</c:v>
                </c:pt>
                <c:pt idx="181">
                  <c:v>25</c:v>
                </c:pt>
                <c:pt idx="182">
                  <c:v>25</c:v>
                </c:pt>
                <c:pt idx="183">
                  <c:v>25</c:v>
                </c:pt>
                <c:pt idx="184">
                  <c:v>25</c:v>
                </c:pt>
                <c:pt idx="185">
                  <c:v>25</c:v>
                </c:pt>
                <c:pt idx="186">
                  <c:v>25</c:v>
                </c:pt>
                <c:pt idx="187">
                  <c:v>25</c:v>
                </c:pt>
                <c:pt idx="188">
                  <c:v>25</c:v>
                </c:pt>
                <c:pt idx="189">
                  <c:v>25</c:v>
                </c:pt>
                <c:pt idx="190">
                  <c:v>25</c:v>
                </c:pt>
                <c:pt idx="191">
                  <c:v>25</c:v>
                </c:pt>
                <c:pt idx="192">
                  <c:v>25</c:v>
                </c:pt>
                <c:pt idx="193">
                  <c:v>25</c:v>
                </c:pt>
                <c:pt idx="194">
                  <c:v>25</c:v>
                </c:pt>
                <c:pt idx="195">
                  <c:v>25</c:v>
                </c:pt>
                <c:pt idx="196">
                  <c:v>25</c:v>
                </c:pt>
                <c:pt idx="197">
                  <c:v>25</c:v>
                </c:pt>
                <c:pt idx="198">
                  <c:v>25</c:v>
                </c:pt>
                <c:pt idx="199">
                  <c:v>25</c:v>
                </c:pt>
                <c:pt idx="200">
                  <c:v>25</c:v>
                </c:pt>
                <c:pt idx="201">
                  <c:v>25</c:v>
                </c:pt>
                <c:pt idx="202">
                  <c:v>25</c:v>
                </c:pt>
                <c:pt idx="203">
                  <c:v>25</c:v>
                </c:pt>
                <c:pt idx="204">
                  <c:v>25</c:v>
                </c:pt>
                <c:pt idx="205">
                  <c:v>25</c:v>
                </c:pt>
                <c:pt idx="206">
                  <c:v>25</c:v>
                </c:pt>
                <c:pt idx="207">
                  <c:v>25</c:v>
                </c:pt>
                <c:pt idx="208">
                  <c:v>25</c:v>
                </c:pt>
                <c:pt idx="209">
                  <c:v>25</c:v>
                </c:pt>
                <c:pt idx="210">
                  <c:v>25</c:v>
                </c:pt>
                <c:pt idx="211">
                  <c:v>25</c:v>
                </c:pt>
                <c:pt idx="212">
                  <c:v>25</c:v>
                </c:pt>
                <c:pt idx="213">
                  <c:v>25</c:v>
                </c:pt>
                <c:pt idx="214">
                  <c:v>25</c:v>
                </c:pt>
                <c:pt idx="215">
                  <c:v>25</c:v>
                </c:pt>
                <c:pt idx="216">
                  <c:v>25</c:v>
                </c:pt>
                <c:pt idx="217">
                  <c:v>25</c:v>
                </c:pt>
                <c:pt idx="218">
                  <c:v>25</c:v>
                </c:pt>
                <c:pt idx="219">
                  <c:v>25</c:v>
                </c:pt>
                <c:pt idx="220">
                  <c:v>25</c:v>
                </c:pt>
                <c:pt idx="221">
                  <c:v>25</c:v>
                </c:pt>
                <c:pt idx="222">
                  <c:v>25</c:v>
                </c:pt>
                <c:pt idx="223">
                  <c:v>25</c:v>
                </c:pt>
                <c:pt idx="224">
                  <c:v>25</c:v>
                </c:pt>
                <c:pt idx="225">
                  <c:v>25</c:v>
                </c:pt>
                <c:pt idx="226">
                  <c:v>25</c:v>
                </c:pt>
                <c:pt idx="227">
                  <c:v>25</c:v>
                </c:pt>
                <c:pt idx="228">
                  <c:v>25</c:v>
                </c:pt>
                <c:pt idx="229">
                  <c:v>25</c:v>
                </c:pt>
                <c:pt idx="230">
                  <c:v>25</c:v>
                </c:pt>
                <c:pt idx="231">
                  <c:v>25</c:v>
                </c:pt>
                <c:pt idx="232">
                  <c:v>25</c:v>
                </c:pt>
                <c:pt idx="233">
                  <c:v>25</c:v>
                </c:pt>
                <c:pt idx="234">
                  <c:v>25</c:v>
                </c:pt>
                <c:pt idx="235">
                  <c:v>25</c:v>
                </c:pt>
                <c:pt idx="236">
                  <c:v>25</c:v>
                </c:pt>
                <c:pt idx="237">
                  <c:v>25</c:v>
                </c:pt>
                <c:pt idx="238">
                  <c:v>25</c:v>
                </c:pt>
                <c:pt idx="239">
                  <c:v>25</c:v>
                </c:pt>
                <c:pt idx="240">
                  <c:v>25</c:v>
                </c:pt>
                <c:pt idx="241">
                  <c:v>25</c:v>
                </c:pt>
                <c:pt idx="242">
                  <c:v>25</c:v>
                </c:pt>
                <c:pt idx="243">
                  <c:v>25</c:v>
                </c:pt>
                <c:pt idx="244">
                  <c:v>25</c:v>
                </c:pt>
                <c:pt idx="245">
                  <c:v>25</c:v>
                </c:pt>
                <c:pt idx="246">
                  <c:v>25</c:v>
                </c:pt>
                <c:pt idx="247">
                  <c:v>25</c:v>
                </c:pt>
                <c:pt idx="248">
                  <c:v>25</c:v>
                </c:pt>
                <c:pt idx="249">
                  <c:v>25</c:v>
                </c:pt>
                <c:pt idx="250">
                  <c:v>25</c:v>
                </c:pt>
                <c:pt idx="251">
                  <c:v>25</c:v>
                </c:pt>
                <c:pt idx="252">
                  <c:v>25</c:v>
                </c:pt>
                <c:pt idx="253">
                  <c:v>25</c:v>
                </c:pt>
                <c:pt idx="254">
                  <c:v>25</c:v>
                </c:pt>
                <c:pt idx="255">
                  <c:v>25</c:v>
                </c:pt>
                <c:pt idx="256">
                  <c:v>25</c:v>
                </c:pt>
                <c:pt idx="257">
                  <c:v>25</c:v>
                </c:pt>
                <c:pt idx="258">
                  <c:v>25</c:v>
                </c:pt>
                <c:pt idx="259">
                  <c:v>25</c:v>
                </c:pt>
                <c:pt idx="260">
                  <c:v>25</c:v>
                </c:pt>
                <c:pt idx="261">
                  <c:v>25</c:v>
                </c:pt>
                <c:pt idx="262">
                  <c:v>25</c:v>
                </c:pt>
                <c:pt idx="263">
                  <c:v>25</c:v>
                </c:pt>
                <c:pt idx="264">
                  <c:v>25</c:v>
                </c:pt>
                <c:pt idx="265">
                  <c:v>25</c:v>
                </c:pt>
                <c:pt idx="266">
                  <c:v>25</c:v>
                </c:pt>
                <c:pt idx="267">
                  <c:v>25</c:v>
                </c:pt>
                <c:pt idx="268">
                  <c:v>25</c:v>
                </c:pt>
                <c:pt idx="269">
                  <c:v>25</c:v>
                </c:pt>
                <c:pt idx="270">
                  <c:v>25</c:v>
                </c:pt>
                <c:pt idx="271">
                  <c:v>25</c:v>
                </c:pt>
                <c:pt idx="272">
                  <c:v>25</c:v>
                </c:pt>
                <c:pt idx="273">
                  <c:v>25</c:v>
                </c:pt>
                <c:pt idx="274">
                  <c:v>25</c:v>
                </c:pt>
                <c:pt idx="275">
                  <c:v>25</c:v>
                </c:pt>
                <c:pt idx="276">
                  <c:v>25</c:v>
                </c:pt>
                <c:pt idx="277">
                  <c:v>25</c:v>
                </c:pt>
                <c:pt idx="278">
                  <c:v>25</c:v>
                </c:pt>
                <c:pt idx="279">
                  <c:v>25</c:v>
                </c:pt>
                <c:pt idx="280">
                  <c:v>25</c:v>
                </c:pt>
                <c:pt idx="281">
                  <c:v>25</c:v>
                </c:pt>
                <c:pt idx="282">
                  <c:v>25</c:v>
                </c:pt>
                <c:pt idx="283">
                  <c:v>25</c:v>
                </c:pt>
                <c:pt idx="284">
                  <c:v>25</c:v>
                </c:pt>
                <c:pt idx="285">
                  <c:v>25</c:v>
                </c:pt>
                <c:pt idx="286">
                  <c:v>25</c:v>
                </c:pt>
                <c:pt idx="287">
                  <c:v>25</c:v>
                </c:pt>
                <c:pt idx="288">
                  <c:v>25</c:v>
                </c:pt>
                <c:pt idx="289">
                  <c:v>25</c:v>
                </c:pt>
                <c:pt idx="290">
                  <c:v>25</c:v>
                </c:pt>
                <c:pt idx="291">
                  <c:v>25</c:v>
                </c:pt>
                <c:pt idx="292">
                  <c:v>25</c:v>
                </c:pt>
                <c:pt idx="293">
                  <c:v>25</c:v>
                </c:pt>
                <c:pt idx="294">
                  <c:v>25</c:v>
                </c:pt>
                <c:pt idx="295">
                  <c:v>25</c:v>
                </c:pt>
                <c:pt idx="296">
                  <c:v>25</c:v>
                </c:pt>
                <c:pt idx="297">
                  <c:v>25</c:v>
                </c:pt>
                <c:pt idx="298">
                  <c:v>25</c:v>
                </c:pt>
                <c:pt idx="299">
                  <c:v>25</c:v>
                </c:pt>
                <c:pt idx="300">
                  <c:v>25</c:v>
                </c:pt>
                <c:pt idx="301">
                  <c:v>25</c:v>
                </c:pt>
                <c:pt idx="302">
                  <c:v>25</c:v>
                </c:pt>
                <c:pt idx="303">
                  <c:v>25</c:v>
                </c:pt>
                <c:pt idx="304">
                  <c:v>25</c:v>
                </c:pt>
                <c:pt idx="305">
                  <c:v>25</c:v>
                </c:pt>
                <c:pt idx="306">
                  <c:v>25</c:v>
                </c:pt>
                <c:pt idx="307">
                  <c:v>25</c:v>
                </c:pt>
                <c:pt idx="308">
                  <c:v>25</c:v>
                </c:pt>
                <c:pt idx="309">
                  <c:v>25</c:v>
                </c:pt>
                <c:pt idx="310">
                  <c:v>25</c:v>
                </c:pt>
                <c:pt idx="311">
                  <c:v>25</c:v>
                </c:pt>
                <c:pt idx="312">
                  <c:v>25</c:v>
                </c:pt>
                <c:pt idx="313">
                  <c:v>25</c:v>
                </c:pt>
                <c:pt idx="314">
                  <c:v>25</c:v>
                </c:pt>
                <c:pt idx="315">
                  <c:v>25</c:v>
                </c:pt>
                <c:pt idx="316">
                  <c:v>25</c:v>
                </c:pt>
                <c:pt idx="317">
                  <c:v>25</c:v>
                </c:pt>
                <c:pt idx="318">
                  <c:v>25</c:v>
                </c:pt>
                <c:pt idx="319">
                  <c:v>25</c:v>
                </c:pt>
                <c:pt idx="320">
                  <c:v>25</c:v>
                </c:pt>
                <c:pt idx="321">
                  <c:v>25</c:v>
                </c:pt>
                <c:pt idx="322">
                  <c:v>25</c:v>
                </c:pt>
                <c:pt idx="323">
                  <c:v>25</c:v>
                </c:pt>
                <c:pt idx="324">
                  <c:v>25</c:v>
                </c:pt>
                <c:pt idx="325">
                  <c:v>25</c:v>
                </c:pt>
                <c:pt idx="326">
                  <c:v>25</c:v>
                </c:pt>
                <c:pt idx="327">
                  <c:v>25</c:v>
                </c:pt>
                <c:pt idx="328">
                  <c:v>25</c:v>
                </c:pt>
                <c:pt idx="329">
                  <c:v>25</c:v>
                </c:pt>
                <c:pt idx="330">
                  <c:v>25</c:v>
                </c:pt>
                <c:pt idx="331">
                  <c:v>25</c:v>
                </c:pt>
                <c:pt idx="332">
                  <c:v>25</c:v>
                </c:pt>
                <c:pt idx="333">
                  <c:v>25</c:v>
                </c:pt>
                <c:pt idx="334">
                  <c:v>25</c:v>
                </c:pt>
                <c:pt idx="335">
                  <c:v>25</c:v>
                </c:pt>
                <c:pt idx="336">
                  <c:v>25</c:v>
                </c:pt>
                <c:pt idx="337">
                  <c:v>25</c:v>
                </c:pt>
                <c:pt idx="338">
                  <c:v>25</c:v>
                </c:pt>
                <c:pt idx="339">
                  <c:v>25</c:v>
                </c:pt>
                <c:pt idx="340">
                  <c:v>25</c:v>
                </c:pt>
                <c:pt idx="341">
                  <c:v>25</c:v>
                </c:pt>
                <c:pt idx="342">
                  <c:v>25</c:v>
                </c:pt>
                <c:pt idx="343">
                  <c:v>25</c:v>
                </c:pt>
                <c:pt idx="344">
                  <c:v>25</c:v>
                </c:pt>
                <c:pt idx="345">
                  <c:v>25</c:v>
                </c:pt>
                <c:pt idx="346">
                  <c:v>25</c:v>
                </c:pt>
                <c:pt idx="347">
                  <c:v>25</c:v>
                </c:pt>
                <c:pt idx="348">
                  <c:v>25</c:v>
                </c:pt>
                <c:pt idx="349">
                  <c:v>25</c:v>
                </c:pt>
                <c:pt idx="350">
                  <c:v>25</c:v>
                </c:pt>
                <c:pt idx="351">
                  <c:v>25</c:v>
                </c:pt>
                <c:pt idx="352">
                  <c:v>25</c:v>
                </c:pt>
                <c:pt idx="353">
                  <c:v>25</c:v>
                </c:pt>
                <c:pt idx="354">
                  <c:v>25</c:v>
                </c:pt>
                <c:pt idx="355">
                  <c:v>25</c:v>
                </c:pt>
                <c:pt idx="356">
                  <c:v>25</c:v>
                </c:pt>
                <c:pt idx="357">
                  <c:v>25</c:v>
                </c:pt>
                <c:pt idx="358">
                  <c:v>25</c:v>
                </c:pt>
                <c:pt idx="359">
                  <c:v>25</c:v>
                </c:pt>
                <c:pt idx="360">
                  <c:v>25</c:v>
                </c:pt>
                <c:pt idx="361">
                  <c:v>25</c:v>
                </c:pt>
                <c:pt idx="362">
                  <c:v>25</c:v>
                </c:pt>
                <c:pt idx="363">
                  <c:v>25</c:v>
                </c:pt>
                <c:pt idx="364">
                  <c:v>25</c:v>
                </c:pt>
                <c:pt idx="365">
                  <c:v>25</c:v>
                </c:pt>
                <c:pt idx="366">
                  <c:v>25</c:v>
                </c:pt>
                <c:pt idx="367">
                  <c:v>25</c:v>
                </c:pt>
                <c:pt idx="368">
                  <c:v>25</c:v>
                </c:pt>
                <c:pt idx="369">
                  <c:v>25</c:v>
                </c:pt>
                <c:pt idx="370">
                  <c:v>25</c:v>
                </c:pt>
                <c:pt idx="371">
                  <c:v>25</c:v>
                </c:pt>
                <c:pt idx="372">
                  <c:v>25</c:v>
                </c:pt>
                <c:pt idx="373">
                  <c:v>25</c:v>
                </c:pt>
                <c:pt idx="374">
                  <c:v>25</c:v>
                </c:pt>
                <c:pt idx="375">
                  <c:v>25</c:v>
                </c:pt>
                <c:pt idx="376">
                  <c:v>25</c:v>
                </c:pt>
                <c:pt idx="377">
                  <c:v>25</c:v>
                </c:pt>
                <c:pt idx="378">
                  <c:v>25</c:v>
                </c:pt>
                <c:pt idx="379">
                  <c:v>25</c:v>
                </c:pt>
                <c:pt idx="380">
                  <c:v>25</c:v>
                </c:pt>
                <c:pt idx="381">
                  <c:v>25</c:v>
                </c:pt>
                <c:pt idx="382">
                  <c:v>25</c:v>
                </c:pt>
                <c:pt idx="383">
                  <c:v>25</c:v>
                </c:pt>
                <c:pt idx="384">
                  <c:v>25</c:v>
                </c:pt>
                <c:pt idx="385">
                  <c:v>25</c:v>
                </c:pt>
                <c:pt idx="386">
                  <c:v>25</c:v>
                </c:pt>
                <c:pt idx="387">
                  <c:v>25</c:v>
                </c:pt>
                <c:pt idx="388">
                  <c:v>25</c:v>
                </c:pt>
                <c:pt idx="389">
                  <c:v>25</c:v>
                </c:pt>
                <c:pt idx="390">
                  <c:v>25</c:v>
                </c:pt>
                <c:pt idx="391">
                  <c:v>25</c:v>
                </c:pt>
                <c:pt idx="392">
                  <c:v>25</c:v>
                </c:pt>
                <c:pt idx="393">
                  <c:v>25</c:v>
                </c:pt>
                <c:pt idx="394">
                  <c:v>25</c:v>
                </c:pt>
                <c:pt idx="395">
                  <c:v>25</c:v>
                </c:pt>
                <c:pt idx="396">
                  <c:v>25</c:v>
                </c:pt>
                <c:pt idx="397">
                  <c:v>25</c:v>
                </c:pt>
                <c:pt idx="398">
                  <c:v>25</c:v>
                </c:pt>
                <c:pt idx="399">
                  <c:v>25</c:v>
                </c:pt>
                <c:pt idx="400">
                  <c:v>25</c:v>
                </c:pt>
                <c:pt idx="401">
                  <c:v>25</c:v>
                </c:pt>
                <c:pt idx="402">
                  <c:v>25</c:v>
                </c:pt>
                <c:pt idx="403">
                  <c:v>25</c:v>
                </c:pt>
                <c:pt idx="404">
                  <c:v>25</c:v>
                </c:pt>
                <c:pt idx="405">
                  <c:v>25</c:v>
                </c:pt>
                <c:pt idx="406">
                  <c:v>25</c:v>
                </c:pt>
                <c:pt idx="407">
                  <c:v>25</c:v>
                </c:pt>
                <c:pt idx="408">
                  <c:v>25</c:v>
                </c:pt>
                <c:pt idx="409">
                  <c:v>25</c:v>
                </c:pt>
                <c:pt idx="410">
                  <c:v>25</c:v>
                </c:pt>
                <c:pt idx="411">
                  <c:v>25</c:v>
                </c:pt>
                <c:pt idx="412">
                  <c:v>25</c:v>
                </c:pt>
                <c:pt idx="413">
                  <c:v>25</c:v>
                </c:pt>
                <c:pt idx="414">
                  <c:v>25</c:v>
                </c:pt>
                <c:pt idx="415">
                  <c:v>25</c:v>
                </c:pt>
                <c:pt idx="416">
                  <c:v>25</c:v>
                </c:pt>
                <c:pt idx="417">
                  <c:v>25</c:v>
                </c:pt>
                <c:pt idx="418">
                  <c:v>25</c:v>
                </c:pt>
                <c:pt idx="419">
                  <c:v>25</c:v>
                </c:pt>
                <c:pt idx="420">
                  <c:v>25</c:v>
                </c:pt>
                <c:pt idx="421">
                  <c:v>25</c:v>
                </c:pt>
                <c:pt idx="422">
                  <c:v>25</c:v>
                </c:pt>
                <c:pt idx="423">
                  <c:v>25</c:v>
                </c:pt>
                <c:pt idx="424">
                  <c:v>25</c:v>
                </c:pt>
                <c:pt idx="425">
                  <c:v>25</c:v>
                </c:pt>
                <c:pt idx="426">
                  <c:v>25</c:v>
                </c:pt>
                <c:pt idx="427">
                  <c:v>25</c:v>
                </c:pt>
                <c:pt idx="428">
                  <c:v>25</c:v>
                </c:pt>
                <c:pt idx="429">
                  <c:v>25</c:v>
                </c:pt>
                <c:pt idx="430">
                  <c:v>25</c:v>
                </c:pt>
                <c:pt idx="431">
                  <c:v>25</c:v>
                </c:pt>
                <c:pt idx="432">
                  <c:v>25</c:v>
                </c:pt>
                <c:pt idx="433">
                  <c:v>25</c:v>
                </c:pt>
                <c:pt idx="434">
                  <c:v>25</c:v>
                </c:pt>
                <c:pt idx="435">
                  <c:v>25</c:v>
                </c:pt>
                <c:pt idx="436">
                  <c:v>25</c:v>
                </c:pt>
                <c:pt idx="437">
                  <c:v>25</c:v>
                </c:pt>
                <c:pt idx="438">
                  <c:v>25</c:v>
                </c:pt>
                <c:pt idx="439">
                  <c:v>25</c:v>
                </c:pt>
                <c:pt idx="440">
                  <c:v>25</c:v>
                </c:pt>
                <c:pt idx="441">
                  <c:v>25</c:v>
                </c:pt>
                <c:pt idx="442">
                  <c:v>25</c:v>
                </c:pt>
                <c:pt idx="443">
                  <c:v>25</c:v>
                </c:pt>
                <c:pt idx="444">
                  <c:v>25</c:v>
                </c:pt>
                <c:pt idx="445">
                  <c:v>25</c:v>
                </c:pt>
                <c:pt idx="446">
                  <c:v>25</c:v>
                </c:pt>
                <c:pt idx="447">
                  <c:v>25</c:v>
                </c:pt>
                <c:pt idx="448">
                  <c:v>25</c:v>
                </c:pt>
                <c:pt idx="449">
                  <c:v>25</c:v>
                </c:pt>
                <c:pt idx="450">
                  <c:v>25</c:v>
                </c:pt>
                <c:pt idx="451">
                  <c:v>25</c:v>
                </c:pt>
                <c:pt idx="452">
                  <c:v>25</c:v>
                </c:pt>
                <c:pt idx="453">
                  <c:v>25</c:v>
                </c:pt>
                <c:pt idx="454">
                  <c:v>25</c:v>
                </c:pt>
                <c:pt idx="455">
                  <c:v>25</c:v>
                </c:pt>
                <c:pt idx="456">
                  <c:v>25</c:v>
                </c:pt>
                <c:pt idx="457">
                  <c:v>25</c:v>
                </c:pt>
                <c:pt idx="458">
                  <c:v>25</c:v>
                </c:pt>
                <c:pt idx="459">
                  <c:v>25</c:v>
                </c:pt>
                <c:pt idx="460">
                  <c:v>25</c:v>
                </c:pt>
                <c:pt idx="461">
                  <c:v>25</c:v>
                </c:pt>
                <c:pt idx="462">
                  <c:v>25</c:v>
                </c:pt>
                <c:pt idx="463">
                  <c:v>25</c:v>
                </c:pt>
                <c:pt idx="464">
                  <c:v>25</c:v>
                </c:pt>
                <c:pt idx="465">
                  <c:v>25</c:v>
                </c:pt>
                <c:pt idx="466">
                  <c:v>25</c:v>
                </c:pt>
                <c:pt idx="467">
                  <c:v>25</c:v>
                </c:pt>
                <c:pt idx="468">
                  <c:v>25</c:v>
                </c:pt>
                <c:pt idx="469">
                  <c:v>25</c:v>
                </c:pt>
                <c:pt idx="470">
                  <c:v>25</c:v>
                </c:pt>
                <c:pt idx="471">
                  <c:v>25</c:v>
                </c:pt>
                <c:pt idx="472">
                  <c:v>25</c:v>
                </c:pt>
                <c:pt idx="473">
                  <c:v>25</c:v>
                </c:pt>
                <c:pt idx="474">
                  <c:v>25</c:v>
                </c:pt>
                <c:pt idx="475">
                  <c:v>25</c:v>
                </c:pt>
                <c:pt idx="476">
                  <c:v>25</c:v>
                </c:pt>
                <c:pt idx="477">
                  <c:v>25</c:v>
                </c:pt>
                <c:pt idx="478">
                  <c:v>25</c:v>
                </c:pt>
                <c:pt idx="479">
                  <c:v>25</c:v>
                </c:pt>
                <c:pt idx="480">
                  <c:v>25</c:v>
                </c:pt>
                <c:pt idx="481">
                  <c:v>25</c:v>
                </c:pt>
                <c:pt idx="482">
                  <c:v>25</c:v>
                </c:pt>
                <c:pt idx="483">
                  <c:v>25</c:v>
                </c:pt>
                <c:pt idx="484">
                  <c:v>25</c:v>
                </c:pt>
                <c:pt idx="485">
                  <c:v>25</c:v>
                </c:pt>
                <c:pt idx="486">
                  <c:v>25</c:v>
                </c:pt>
                <c:pt idx="487">
                  <c:v>25</c:v>
                </c:pt>
                <c:pt idx="488">
                  <c:v>25</c:v>
                </c:pt>
                <c:pt idx="489">
                  <c:v>25</c:v>
                </c:pt>
                <c:pt idx="490">
                  <c:v>25</c:v>
                </c:pt>
                <c:pt idx="491">
                  <c:v>25</c:v>
                </c:pt>
                <c:pt idx="492">
                  <c:v>25</c:v>
                </c:pt>
                <c:pt idx="493">
                  <c:v>25</c:v>
                </c:pt>
                <c:pt idx="494">
                  <c:v>25</c:v>
                </c:pt>
                <c:pt idx="495">
                  <c:v>25</c:v>
                </c:pt>
                <c:pt idx="496">
                  <c:v>25</c:v>
                </c:pt>
                <c:pt idx="497">
                  <c:v>25</c:v>
                </c:pt>
                <c:pt idx="498">
                  <c:v>25</c:v>
                </c:pt>
                <c:pt idx="499">
                  <c:v>25</c:v>
                </c:pt>
                <c:pt idx="500">
                  <c:v>25</c:v>
                </c:pt>
                <c:pt idx="501">
                  <c:v>25</c:v>
                </c:pt>
                <c:pt idx="502">
                  <c:v>25</c:v>
                </c:pt>
                <c:pt idx="503">
                  <c:v>25</c:v>
                </c:pt>
                <c:pt idx="504">
                  <c:v>25</c:v>
                </c:pt>
                <c:pt idx="505">
                  <c:v>25</c:v>
                </c:pt>
                <c:pt idx="506">
                  <c:v>25</c:v>
                </c:pt>
                <c:pt idx="507">
                  <c:v>25</c:v>
                </c:pt>
                <c:pt idx="508">
                  <c:v>25</c:v>
                </c:pt>
                <c:pt idx="509">
                  <c:v>25</c:v>
                </c:pt>
                <c:pt idx="510">
                  <c:v>25</c:v>
                </c:pt>
                <c:pt idx="511">
                  <c:v>25</c:v>
                </c:pt>
                <c:pt idx="512">
                  <c:v>25</c:v>
                </c:pt>
                <c:pt idx="513">
                  <c:v>25</c:v>
                </c:pt>
                <c:pt idx="514">
                  <c:v>25</c:v>
                </c:pt>
                <c:pt idx="515">
                  <c:v>25</c:v>
                </c:pt>
                <c:pt idx="516">
                  <c:v>25</c:v>
                </c:pt>
                <c:pt idx="517">
                  <c:v>25</c:v>
                </c:pt>
                <c:pt idx="518">
                  <c:v>25</c:v>
                </c:pt>
                <c:pt idx="519">
                  <c:v>25</c:v>
                </c:pt>
                <c:pt idx="520">
                  <c:v>25</c:v>
                </c:pt>
                <c:pt idx="521">
                  <c:v>25</c:v>
                </c:pt>
                <c:pt idx="522">
                  <c:v>25</c:v>
                </c:pt>
                <c:pt idx="523">
                  <c:v>25</c:v>
                </c:pt>
                <c:pt idx="524">
                  <c:v>25</c:v>
                </c:pt>
                <c:pt idx="525">
                  <c:v>25</c:v>
                </c:pt>
                <c:pt idx="526">
                  <c:v>25</c:v>
                </c:pt>
                <c:pt idx="527">
                  <c:v>25</c:v>
                </c:pt>
                <c:pt idx="528">
                  <c:v>25</c:v>
                </c:pt>
                <c:pt idx="529">
                  <c:v>25</c:v>
                </c:pt>
                <c:pt idx="530">
                  <c:v>25</c:v>
                </c:pt>
                <c:pt idx="531">
                  <c:v>25</c:v>
                </c:pt>
                <c:pt idx="532">
                  <c:v>25</c:v>
                </c:pt>
                <c:pt idx="533">
                  <c:v>25</c:v>
                </c:pt>
                <c:pt idx="534">
                  <c:v>25</c:v>
                </c:pt>
                <c:pt idx="535">
                  <c:v>25</c:v>
                </c:pt>
                <c:pt idx="536">
                  <c:v>25</c:v>
                </c:pt>
                <c:pt idx="537">
                  <c:v>25</c:v>
                </c:pt>
                <c:pt idx="538">
                  <c:v>25</c:v>
                </c:pt>
                <c:pt idx="539">
                  <c:v>25</c:v>
                </c:pt>
                <c:pt idx="540">
                  <c:v>25</c:v>
                </c:pt>
                <c:pt idx="541">
                  <c:v>25</c:v>
                </c:pt>
                <c:pt idx="542">
                  <c:v>25</c:v>
                </c:pt>
                <c:pt idx="543">
                  <c:v>25</c:v>
                </c:pt>
                <c:pt idx="544">
                  <c:v>25</c:v>
                </c:pt>
                <c:pt idx="545">
                  <c:v>25</c:v>
                </c:pt>
                <c:pt idx="546">
                  <c:v>25</c:v>
                </c:pt>
                <c:pt idx="547">
                  <c:v>25</c:v>
                </c:pt>
                <c:pt idx="548">
                  <c:v>25</c:v>
                </c:pt>
                <c:pt idx="549">
                  <c:v>25</c:v>
                </c:pt>
                <c:pt idx="550">
                  <c:v>25</c:v>
                </c:pt>
                <c:pt idx="551">
                  <c:v>25</c:v>
                </c:pt>
                <c:pt idx="552">
                  <c:v>25</c:v>
                </c:pt>
                <c:pt idx="553">
                  <c:v>25</c:v>
                </c:pt>
                <c:pt idx="554">
                  <c:v>25</c:v>
                </c:pt>
                <c:pt idx="555">
                  <c:v>25</c:v>
                </c:pt>
                <c:pt idx="556">
                  <c:v>25</c:v>
                </c:pt>
                <c:pt idx="557">
                  <c:v>25</c:v>
                </c:pt>
                <c:pt idx="558">
                  <c:v>25</c:v>
                </c:pt>
                <c:pt idx="559">
                  <c:v>25</c:v>
                </c:pt>
                <c:pt idx="560">
                  <c:v>25</c:v>
                </c:pt>
                <c:pt idx="561">
                  <c:v>25</c:v>
                </c:pt>
                <c:pt idx="562">
                  <c:v>25</c:v>
                </c:pt>
                <c:pt idx="563">
                  <c:v>25</c:v>
                </c:pt>
                <c:pt idx="564">
                  <c:v>25</c:v>
                </c:pt>
                <c:pt idx="565">
                  <c:v>25</c:v>
                </c:pt>
                <c:pt idx="566">
                  <c:v>25</c:v>
                </c:pt>
                <c:pt idx="567">
                  <c:v>25</c:v>
                </c:pt>
                <c:pt idx="568">
                  <c:v>25</c:v>
                </c:pt>
                <c:pt idx="569">
                  <c:v>25</c:v>
                </c:pt>
                <c:pt idx="570">
                  <c:v>25</c:v>
                </c:pt>
                <c:pt idx="571">
                  <c:v>25</c:v>
                </c:pt>
                <c:pt idx="572">
                  <c:v>25</c:v>
                </c:pt>
                <c:pt idx="573">
                  <c:v>25</c:v>
                </c:pt>
                <c:pt idx="574">
                  <c:v>25</c:v>
                </c:pt>
                <c:pt idx="575">
                  <c:v>25</c:v>
                </c:pt>
                <c:pt idx="576">
                  <c:v>25</c:v>
                </c:pt>
                <c:pt idx="577">
                  <c:v>25</c:v>
                </c:pt>
                <c:pt idx="578">
                  <c:v>25</c:v>
                </c:pt>
                <c:pt idx="579">
                  <c:v>25</c:v>
                </c:pt>
                <c:pt idx="580">
                  <c:v>25</c:v>
                </c:pt>
                <c:pt idx="581">
                  <c:v>25</c:v>
                </c:pt>
                <c:pt idx="582">
                  <c:v>25</c:v>
                </c:pt>
                <c:pt idx="583">
                  <c:v>25</c:v>
                </c:pt>
                <c:pt idx="584">
                  <c:v>25</c:v>
                </c:pt>
                <c:pt idx="585">
                  <c:v>25</c:v>
                </c:pt>
                <c:pt idx="586">
                  <c:v>25</c:v>
                </c:pt>
                <c:pt idx="587">
                  <c:v>25</c:v>
                </c:pt>
                <c:pt idx="588">
                  <c:v>25</c:v>
                </c:pt>
                <c:pt idx="589">
                  <c:v>25</c:v>
                </c:pt>
                <c:pt idx="590">
                  <c:v>25</c:v>
                </c:pt>
                <c:pt idx="591">
                  <c:v>25</c:v>
                </c:pt>
                <c:pt idx="592">
                  <c:v>25</c:v>
                </c:pt>
                <c:pt idx="593">
                  <c:v>25</c:v>
                </c:pt>
                <c:pt idx="594">
                  <c:v>25</c:v>
                </c:pt>
                <c:pt idx="595">
                  <c:v>25</c:v>
                </c:pt>
                <c:pt idx="596">
                  <c:v>25</c:v>
                </c:pt>
                <c:pt idx="597">
                  <c:v>25</c:v>
                </c:pt>
                <c:pt idx="598">
                  <c:v>25</c:v>
                </c:pt>
                <c:pt idx="599">
                  <c:v>25</c:v>
                </c:pt>
                <c:pt idx="600">
                  <c:v>25</c:v>
                </c:pt>
                <c:pt idx="601">
                  <c:v>25</c:v>
                </c:pt>
                <c:pt idx="602">
                  <c:v>25</c:v>
                </c:pt>
                <c:pt idx="603">
                  <c:v>25</c:v>
                </c:pt>
                <c:pt idx="604">
                  <c:v>25</c:v>
                </c:pt>
                <c:pt idx="605">
                  <c:v>25</c:v>
                </c:pt>
                <c:pt idx="606">
                  <c:v>25</c:v>
                </c:pt>
                <c:pt idx="607">
                  <c:v>25</c:v>
                </c:pt>
                <c:pt idx="608">
                  <c:v>25</c:v>
                </c:pt>
                <c:pt idx="609">
                  <c:v>25</c:v>
                </c:pt>
                <c:pt idx="610">
                  <c:v>25</c:v>
                </c:pt>
                <c:pt idx="611">
                  <c:v>25</c:v>
                </c:pt>
                <c:pt idx="612">
                  <c:v>25</c:v>
                </c:pt>
                <c:pt idx="613">
                  <c:v>25</c:v>
                </c:pt>
                <c:pt idx="614">
                  <c:v>25</c:v>
                </c:pt>
                <c:pt idx="615">
                  <c:v>25</c:v>
                </c:pt>
                <c:pt idx="616">
                  <c:v>25</c:v>
                </c:pt>
                <c:pt idx="617">
                  <c:v>25</c:v>
                </c:pt>
                <c:pt idx="618">
                  <c:v>25</c:v>
                </c:pt>
                <c:pt idx="619">
                  <c:v>25</c:v>
                </c:pt>
                <c:pt idx="620">
                  <c:v>25</c:v>
                </c:pt>
                <c:pt idx="621">
                  <c:v>25</c:v>
                </c:pt>
                <c:pt idx="622">
                  <c:v>25</c:v>
                </c:pt>
                <c:pt idx="623">
                  <c:v>25</c:v>
                </c:pt>
                <c:pt idx="624">
                  <c:v>25</c:v>
                </c:pt>
                <c:pt idx="625">
                  <c:v>25</c:v>
                </c:pt>
                <c:pt idx="626">
                  <c:v>25</c:v>
                </c:pt>
                <c:pt idx="627">
                  <c:v>25</c:v>
                </c:pt>
                <c:pt idx="628">
                  <c:v>25</c:v>
                </c:pt>
                <c:pt idx="629">
                  <c:v>25</c:v>
                </c:pt>
                <c:pt idx="630">
                  <c:v>25</c:v>
                </c:pt>
                <c:pt idx="631">
                  <c:v>25</c:v>
                </c:pt>
                <c:pt idx="632">
                  <c:v>25</c:v>
                </c:pt>
                <c:pt idx="633">
                  <c:v>25</c:v>
                </c:pt>
                <c:pt idx="634">
                  <c:v>25</c:v>
                </c:pt>
                <c:pt idx="635">
                  <c:v>25</c:v>
                </c:pt>
                <c:pt idx="636">
                  <c:v>25</c:v>
                </c:pt>
                <c:pt idx="637">
                  <c:v>25</c:v>
                </c:pt>
                <c:pt idx="638">
                  <c:v>25</c:v>
                </c:pt>
                <c:pt idx="639">
                  <c:v>25</c:v>
                </c:pt>
                <c:pt idx="640">
                  <c:v>25</c:v>
                </c:pt>
                <c:pt idx="641">
                  <c:v>25</c:v>
                </c:pt>
                <c:pt idx="642">
                  <c:v>25</c:v>
                </c:pt>
                <c:pt idx="643">
                  <c:v>25</c:v>
                </c:pt>
                <c:pt idx="644">
                  <c:v>25</c:v>
                </c:pt>
                <c:pt idx="645">
                  <c:v>25</c:v>
                </c:pt>
                <c:pt idx="646">
                  <c:v>25</c:v>
                </c:pt>
                <c:pt idx="647">
                  <c:v>25</c:v>
                </c:pt>
                <c:pt idx="648">
                  <c:v>25</c:v>
                </c:pt>
                <c:pt idx="649">
                  <c:v>25</c:v>
                </c:pt>
                <c:pt idx="650">
                  <c:v>25</c:v>
                </c:pt>
                <c:pt idx="651">
                  <c:v>25</c:v>
                </c:pt>
                <c:pt idx="652">
                  <c:v>25</c:v>
                </c:pt>
                <c:pt idx="653">
                  <c:v>25</c:v>
                </c:pt>
                <c:pt idx="654">
                  <c:v>25</c:v>
                </c:pt>
                <c:pt idx="655">
                  <c:v>25</c:v>
                </c:pt>
                <c:pt idx="656">
                  <c:v>25</c:v>
                </c:pt>
                <c:pt idx="657">
                  <c:v>25</c:v>
                </c:pt>
                <c:pt idx="658">
                  <c:v>25</c:v>
                </c:pt>
                <c:pt idx="659">
                  <c:v>25</c:v>
                </c:pt>
                <c:pt idx="660">
                  <c:v>25</c:v>
                </c:pt>
                <c:pt idx="661">
                  <c:v>25</c:v>
                </c:pt>
                <c:pt idx="662">
                  <c:v>25</c:v>
                </c:pt>
                <c:pt idx="663">
                  <c:v>25</c:v>
                </c:pt>
                <c:pt idx="664">
                  <c:v>25</c:v>
                </c:pt>
                <c:pt idx="665">
                  <c:v>25</c:v>
                </c:pt>
                <c:pt idx="666">
                  <c:v>25</c:v>
                </c:pt>
                <c:pt idx="667">
                  <c:v>25</c:v>
                </c:pt>
                <c:pt idx="668">
                  <c:v>25</c:v>
                </c:pt>
                <c:pt idx="669">
                  <c:v>25</c:v>
                </c:pt>
                <c:pt idx="670">
                  <c:v>25</c:v>
                </c:pt>
                <c:pt idx="671">
                  <c:v>25</c:v>
                </c:pt>
                <c:pt idx="672">
                  <c:v>25</c:v>
                </c:pt>
                <c:pt idx="673">
                  <c:v>25</c:v>
                </c:pt>
                <c:pt idx="674">
                  <c:v>25</c:v>
                </c:pt>
                <c:pt idx="675">
                  <c:v>25</c:v>
                </c:pt>
                <c:pt idx="676">
                  <c:v>25</c:v>
                </c:pt>
                <c:pt idx="677">
                  <c:v>25</c:v>
                </c:pt>
                <c:pt idx="678">
                  <c:v>25</c:v>
                </c:pt>
                <c:pt idx="679">
                  <c:v>25</c:v>
                </c:pt>
                <c:pt idx="680">
                  <c:v>25</c:v>
                </c:pt>
                <c:pt idx="681">
                  <c:v>25</c:v>
                </c:pt>
                <c:pt idx="682">
                  <c:v>25</c:v>
                </c:pt>
                <c:pt idx="683">
                  <c:v>25</c:v>
                </c:pt>
                <c:pt idx="684">
                  <c:v>25</c:v>
                </c:pt>
                <c:pt idx="685">
                  <c:v>25</c:v>
                </c:pt>
                <c:pt idx="686">
                  <c:v>25</c:v>
                </c:pt>
                <c:pt idx="687">
                  <c:v>25</c:v>
                </c:pt>
                <c:pt idx="688">
                  <c:v>25</c:v>
                </c:pt>
                <c:pt idx="689">
                  <c:v>25</c:v>
                </c:pt>
                <c:pt idx="690">
                  <c:v>25</c:v>
                </c:pt>
                <c:pt idx="691">
                  <c:v>25</c:v>
                </c:pt>
                <c:pt idx="692">
                  <c:v>25</c:v>
                </c:pt>
                <c:pt idx="693">
                  <c:v>25</c:v>
                </c:pt>
                <c:pt idx="694">
                  <c:v>25</c:v>
                </c:pt>
                <c:pt idx="695">
                  <c:v>25</c:v>
                </c:pt>
                <c:pt idx="696">
                  <c:v>25</c:v>
                </c:pt>
                <c:pt idx="697">
                  <c:v>25</c:v>
                </c:pt>
                <c:pt idx="698">
                  <c:v>25</c:v>
                </c:pt>
                <c:pt idx="699">
                  <c:v>25</c:v>
                </c:pt>
                <c:pt idx="700">
                  <c:v>25</c:v>
                </c:pt>
                <c:pt idx="701">
                  <c:v>25</c:v>
                </c:pt>
                <c:pt idx="702">
                  <c:v>25</c:v>
                </c:pt>
                <c:pt idx="703">
                  <c:v>25</c:v>
                </c:pt>
                <c:pt idx="704">
                  <c:v>25</c:v>
                </c:pt>
                <c:pt idx="705">
                  <c:v>25</c:v>
                </c:pt>
                <c:pt idx="706">
                  <c:v>25</c:v>
                </c:pt>
                <c:pt idx="707">
                  <c:v>25</c:v>
                </c:pt>
                <c:pt idx="708">
                  <c:v>25</c:v>
                </c:pt>
                <c:pt idx="709">
                  <c:v>25</c:v>
                </c:pt>
                <c:pt idx="710">
                  <c:v>25</c:v>
                </c:pt>
                <c:pt idx="711">
                  <c:v>25</c:v>
                </c:pt>
                <c:pt idx="712">
                  <c:v>25</c:v>
                </c:pt>
                <c:pt idx="713">
                  <c:v>25</c:v>
                </c:pt>
                <c:pt idx="714">
                  <c:v>25</c:v>
                </c:pt>
                <c:pt idx="715">
                  <c:v>25</c:v>
                </c:pt>
                <c:pt idx="716">
                  <c:v>25</c:v>
                </c:pt>
                <c:pt idx="717">
                  <c:v>25</c:v>
                </c:pt>
                <c:pt idx="718">
                  <c:v>25</c:v>
                </c:pt>
                <c:pt idx="719">
                  <c:v>25</c:v>
                </c:pt>
                <c:pt idx="720">
                  <c:v>25</c:v>
                </c:pt>
                <c:pt idx="721">
                  <c:v>25</c:v>
                </c:pt>
                <c:pt idx="722">
                  <c:v>25</c:v>
                </c:pt>
                <c:pt idx="723">
                  <c:v>25</c:v>
                </c:pt>
                <c:pt idx="724">
                  <c:v>25</c:v>
                </c:pt>
                <c:pt idx="725">
                  <c:v>25</c:v>
                </c:pt>
                <c:pt idx="726">
                  <c:v>25</c:v>
                </c:pt>
                <c:pt idx="727">
                  <c:v>25</c:v>
                </c:pt>
                <c:pt idx="728">
                  <c:v>25</c:v>
                </c:pt>
                <c:pt idx="729">
                  <c:v>25</c:v>
                </c:pt>
                <c:pt idx="730">
                  <c:v>25</c:v>
                </c:pt>
                <c:pt idx="731">
                  <c:v>25</c:v>
                </c:pt>
                <c:pt idx="732">
                  <c:v>25</c:v>
                </c:pt>
                <c:pt idx="733">
                  <c:v>25</c:v>
                </c:pt>
                <c:pt idx="734">
                  <c:v>25</c:v>
                </c:pt>
                <c:pt idx="735">
                  <c:v>25</c:v>
                </c:pt>
                <c:pt idx="736">
                  <c:v>25</c:v>
                </c:pt>
                <c:pt idx="737">
                  <c:v>25</c:v>
                </c:pt>
                <c:pt idx="738">
                  <c:v>25</c:v>
                </c:pt>
                <c:pt idx="739">
                  <c:v>25</c:v>
                </c:pt>
                <c:pt idx="740">
                  <c:v>25</c:v>
                </c:pt>
                <c:pt idx="741">
                  <c:v>25</c:v>
                </c:pt>
                <c:pt idx="742">
                  <c:v>25</c:v>
                </c:pt>
                <c:pt idx="743">
                  <c:v>25</c:v>
                </c:pt>
                <c:pt idx="744">
                  <c:v>25</c:v>
                </c:pt>
                <c:pt idx="745">
                  <c:v>25</c:v>
                </c:pt>
                <c:pt idx="746">
                  <c:v>25</c:v>
                </c:pt>
                <c:pt idx="747">
                  <c:v>25</c:v>
                </c:pt>
                <c:pt idx="748">
                  <c:v>25</c:v>
                </c:pt>
                <c:pt idx="749">
                  <c:v>25</c:v>
                </c:pt>
                <c:pt idx="750">
                  <c:v>25</c:v>
                </c:pt>
                <c:pt idx="751">
                  <c:v>25</c:v>
                </c:pt>
                <c:pt idx="752">
                  <c:v>25</c:v>
                </c:pt>
                <c:pt idx="753">
                  <c:v>25</c:v>
                </c:pt>
                <c:pt idx="754">
                  <c:v>25</c:v>
                </c:pt>
                <c:pt idx="755">
                  <c:v>25</c:v>
                </c:pt>
                <c:pt idx="756">
                  <c:v>25</c:v>
                </c:pt>
                <c:pt idx="757">
                  <c:v>25</c:v>
                </c:pt>
                <c:pt idx="758">
                  <c:v>25</c:v>
                </c:pt>
                <c:pt idx="759">
                  <c:v>25</c:v>
                </c:pt>
                <c:pt idx="760">
                  <c:v>25</c:v>
                </c:pt>
                <c:pt idx="761">
                  <c:v>25</c:v>
                </c:pt>
                <c:pt idx="762">
                  <c:v>25</c:v>
                </c:pt>
                <c:pt idx="763">
                  <c:v>25</c:v>
                </c:pt>
                <c:pt idx="764">
                  <c:v>25</c:v>
                </c:pt>
                <c:pt idx="765">
                  <c:v>25</c:v>
                </c:pt>
                <c:pt idx="766">
                  <c:v>25</c:v>
                </c:pt>
                <c:pt idx="767">
                  <c:v>25</c:v>
                </c:pt>
                <c:pt idx="768">
                  <c:v>25</c:v>
                </c:pt>
                <c:pt idx="769">
                  <c:v>25</c:v>
                </c:pt>
                <c:pt idx="770">
                  <c:v>25</c:v>
                </c:pt>
                <c:pt idx="771">
                  <c:v>25</c:v>
                </c:pt>
                <c:pt idx="772">
                  <c:v>25</c:v>
                </c:pt>
                <c:pt idx="773">
                  <c:v>25</c:v>
                </c:pt>
                <c:pt idx="774">
                  <c:v>25</c:v>
                </c:pt>
                <c:pt idx="775">
                  <c:v>25</c:v>
                </c:pt>
                <c:pt idx="776">
                  <c:v>25</c:v>
                </c:pt>
                <c:pt idx="777">
                  <c:v>25</c:v>
                </c:pt>
                <c:pt idx="778">
                  <c:v>25</c:v>
                </c:pt>
                <c:pt idx="779">
                  <c:v>25</c:v>
                </c:pt>
                <c:pt idx="780">
                  <c:v>25</c:v>
                </c:pt>
                <c:pt idx="781">
                  <c:v>25</c:v>
                </c:pt>
                <c:pt idx="782">
                  <c:v>25</c:v>
                </c:pt>
                <c:pt idx="783">
                  <c:v>25</c:v>
                </c:pt>
                <c:pt idx="784">
                  <c:v>25</c:v>
                </c:pt>
                <c:pt idx="785">
                  <c:v>25</c:v>
                </c:pt>
                <c:pt idx="786">
                  <c:v>25</c:v>
                </c:pt>
                <c:pt idx="787">
                  <c:v>25</c:v>
                </c:pt>
                <c:pt idx="788">
                  <c:v>25</c:v>
                </c:pt>
                <c:pt idx="789">
                  <c:v>25</c:v>
                </c:pt>
                <c:pt idx="790">
                  <c:v>25</c:v>
                </c:pt>
                <c:pt idx="791">
                  <c:v>25</c:v>
                </c:pt>
                <c:pt idx="792">
                  <c:v>25</c:v>
                </c:pt>
                <c:pt idx="793">
                  <c:v>25</c:v>
                </c:pt>
                <c:pt idx="794">
                  <c:v>25</c:v>
                </c:pt>
                <c:pt idx="795">
                  <c:v>25</c:v>
                </c:pt>
                <c:pt idx="796">
                  <c:v>25</c:v>
                </c:pt>
                <c:pt idx="797">
                  <c:v>25</c:v>
                </c:pt>
                <c:pt idx="798">
                  <c:v>25</c:v>
                </c:pt>
                <c:pt idx="799">
                  <c:v>25</c:v>
                </c:pt>
                <c:pt idx="800">
                  <c:v>25</c:v>
                </c:pt>
                <c:pt idx="801">
                  <c:v>25</c:v>
                </c:pt>
                <c:pt idx="802">
                  <c:v>25</c:v>
                </c:pt>
                <c:pt idx="803">
                  <c:v>25</c:v>
                </c:pt>
                <c:pt idx="804">
                  <c:v>25</c:v>
                </c:pt>
                <c:pt idx="805">
                  <c:v>25</c:v>
                </c:pt>
                <c:pt idx="806">
                  <c:v>25</c:v>
                </c:pt>
                <c:pt idx="807">
                  <c:v>25</c:v>
                </c:pt>
                <c:pt idx="808">
                  <c:v>25</c:v>
                </c:pt>
                <c:pt idx="809">
                  <c:v>25</c:v>
                </c:pt>
                <c:pt idx="810">
                  <c:v>25</c:v>
                </c:pt>
                <c:pt idx="811">
                  <c:v>25</c:v>
                </c:pt>
                <c:pt idx="812">
                  <c:v>25</c:v>
                </c:pt>
                <c:pt idx="813">
                  <c:v>25</c:v>
                </c:pt>
                <c:pt idx="814">
                  <c:v>25</c:v>
                </c:pt>
                <c:pt idx="815">
                  <c:v>25</c:v>
                </c:pt>
                <c:pt idx="816">
                  <c:v>25</c:v>
                </c:pt>
                <c:pt idx="817">
                  <c:v>25</c:v>
                </c:pt>
                <c:pt idx="818">
                  <c:v>25</c:v>
                </c:pt>
                <c:pt idx="819">
                  <c:v>25</c:v>
                </c:pt>
                <c:pt idx="820">
                  <c:v>25</c:v>
                </c:pt>
                <c:pt idx="821">
                  <c:v>25</c:v>
                </c:pt>
                <c:pt idx="822">
                  <c:v>25</c:v>
                </c:pt>
                <c:pt idx="823">
                  <c:v>25</c:v>
                </c:pt>
                <c:pt idx="824">
                  <c:v>25</c:v>
                </c:pt>
                <c:pt idx="825">
                  <c:v>25</c:v>
                </c:pt>
                <c:pt idx="826">
                  <c:v>25</c:v>
                </c:pt>
                <c:pt idx="827">
                  <c:v>25</c:v>
                </c:pt>
                <c:pt idx="828">
                  <c:v>25</c:v>
                </c:pt>
                <c:pt idx="829">
                  <c:v>25</c:v>
                </c:pt>
                <c:pt idx="830">
                  <c:v>25</c:v>
                </c:pt>
                <c:pt idx="831">
                  <c:v>25</c:v>
                </c:pt>
                <c:pt idx="832">
                  <c:v>25</c:v>
                </c:pt>
                <c:pt idx="833">
                  <c:v>25</c:v>
                </c:pt>
                <c:pt idx="834">
                  <c:v>25</c:v>
                </c:pt>
                <c:pt idx="835">
                  <c:v>25</c:v>
                </c:pt>
                <c:pt idx="836">
                  <c:v>25</c:v>
                </c:pt>
                <c:pt idx="837">
                  <c:v>25</c:v>
                </c:pt>
                <c:pt idx="838">
                  <c:v>25</c:v>
                </c:pt>
                <c:pt idx="839">
                  <c:v>25</c:v>
                </c:pt>
                <c:pt idx="840">
                  <c:v>25</c:v>
                </c:pt>
                <c:pt idx="841">
                  <c:v>25</c:v>
                </c:pt>
                <c:pt idx="842">
                  <c:v>25</c:v>
                </c:pt>
                <c:pt idx="843">
                  <c:v>25</c:v>
                </c:pt>
                <c:pt idx="844">
                  <c:v>25</c:v>
                </c:pt>
                <c:pt idx="845">
                  <c:v>25</c:v>
                </c:pt>
                <c:pt idx="846">
                  <c:v>25</c:v>
                </c:pt>
                <c:pt idx="847">
                  <c:v>25</c:v>
                </c:pt>
                <c:pt idx="848">
                  <c:v>25</c:v>
                </c:pt>
                <c:pt idx="849">
                  <c:v>25</c:v>
                </c:pt>
                <c:pt idx="850">
                  <c:v>25</c:v>
                </c:pt>
                <c:pt idx="851">
                  <c:v>25</c:v>
                </c:pt>
                <c:pt idx="852">
                  <c:v>25</c:v>
                </c:pt>
                <c:pt idx="853">
                  <c:v>25</c:v>
                </c:pt>
                <c:pt idx="854">
                  <c:v>25</c:v>
                </c:pt>
                <c:pt idx="855">
                  <c:v>25</c:v>
                </c:pt>
                <c:pt idx="856">
                  <c:v>25</c:v>
                </c:pt>
                <c:pt idx="857">
                  <c:v>25</c:v>
                </c:pt>
                <c:pt idx="858">
                  <c:v>25</c:v>
                </c:pt>
                <c:pt idx="859">
                  <c:v>25</c:v>
                </c:pt>
                <c:pt idx="860">
                  <c:v>25</c:v>
                </c:pt>
                <c:pt idx="861">
                  <c:v>25</c:v>
                </c:pt>
                <c:pt idx="862">
                  <c:v>25</c:v>
                </c:pt>
                <c:pt idx="863">
                  <c:v>25</c:v>
                </c:pt>
                <c:pt idx="864">
                  <c:v>25</c:v>
                </c:pt>
                <c:pt idx="865">
                  <c:v>25</c:v>
                </c:pt>
                <c:pt idx="866">
                  <c:v>25</c:v>
                </c:pt>
                <c:pt idx="867">
                  <c:v>25</c:v>
                </c:pt>
                <c:pt idx="868">
                  <c:v>25</c:v>
                </c:pt>
                <c:pt idx="869">
                  <c:v>25</c:v>
                </c:pt>
                <c:pt idx="870">
                  <c:v>25</c:v>
                </c:pt>
                <c:pt idx="871">
                  <c:v>25</c:v>
                </c:pt>
                <c:pt idx="872">
                  <c:v>25</c:v>
                </c:pt>
                <c:pt idx="873">
                  <c:v>25</c:v>
                </c:pt>
                <c:pt idx="874">
                  <c:v>25</c:v>
                </c:pt>
                <c:pt idx="875">
                  <c:v>25</c:v>
                </c:pt>
                <c:pt idx="876">
                  <c:v>25</c:v>
                </c:pt>
                <c:pt idx="877">
                  <c:v>25</c:v>
                </c:pt>
                <c:pt idx="878">
                  <c:v>25</c:v>
                </c:pt>
                <c:pt idx="879">
                  <c:v>25</c:v>
                </c:pt>
                <c:pt idx="880">
                  <c:v>25</c:v>
                </c:pt>
                <c:pt idx="881">
                  <c:v>25</c:v>
                </c:pt>
                <c:pt idx="882">
                  <c:v>25</c:v>
                </c:pt>
                <c:pt idx="883">
                  <c:v>25</c:v>
                </c:pt>
                <c:pt idx="884">
                  <c:v>25</c:v>
                </c:pt>
                <c:pt idx="885">
                  <c:v>25</c:v>
                </c:pt>
                <c:pt idx="886">
                  <c:v>25</c:v>
                </c:pt>
                <c:pt idx="887">
                  <c:v>25</c:v>
                </c:pt>
                <c:pt idx="888">
                  <c:v>25</c:v>
                </c:pt>
                <c:pt idx="889">
                  <c:v>25</c:v>
                </c:pt>
                <c:pt idx="890">
                  <c:v>25</c:v>
                </c:pt>
                <c:pt idx="891">
                  <c:v>25</c:v>
                </c:pt>
                <c:pt idx="892">
                  <c:v>25</c:v>
                </c:pt>
                <c:pt idx="893">
                  <c:v>25</c:v>
                </c:pt>
                <c:pt idx="894">
                  <c:v>25</c:v>
                </c:pt>
                <c:pt idx="895">
                  <c:v>25</c:v>
                </c:pt>
                <c:pt idx="896">
                  <c:v>25</c:v>
                </c:pt>
                <c:pt idx="897">
                  <c:v>25</c:v>
                </c:pt>
                <c:pt idx="898">
                  <c:v>25</c:v>
                </c:pt>
                <c:pt idx="899">
                  <c:v>25</c:v>
                </c:pt>
                <c:pt idx="900">
                  <c:v>25</c:v>
                </c:pt>
                <c:pt idx="901">
                  <c:v>25</c:v>
                </c:pt>
                <c:pt idx="902">
                  <c:v>25</c:v>
                </c:pt>
                <c:pt idx="903">
                  <c:v>25</c:v>
                </c:pt>
                <c:pt idx="904">
                  <c:v>25</c:v>
                </c:pt>
                <c:pt idx="905">
                  <c:v>25</c:v>
                </c:pt>
                <c:pt idx="906">
                  <c:v>25</c:v>
                </c:pt>
                <c:pt idx="907">
                  <c:v>25</c:v>
                </c:pt>
                <c:pt idx="908">
                  <c:v>25</c:v>
                </c:pt>
                <c:pt idx="909">
                  <c:v>25</c:v>
                </c:pt>
                <c:pt idx="910">
                  <c:v>25</c:v>
                </c:pt>
                <c:pt idx="911">
                  <c:v>25</c:v>
                </c:pt>
                <c:pt idx="912">
                  <c:v>25</c:v>
                </c:pt>
                <c:pt idx="913">
                  <c:v>25</c:v>
                </c:pt>
                <c:pt idx="914">
                  <c:v>25</c:v>
                </c:pt>
                <c:pt idx="915">
                  <c:v>25</c:v>
                </c:pt>
                <c:pt idx="916">
                  <c:v>25</c:v>
                </c:pt>
                <c:pt idx="917">
                  <c:v>25</c:v>
                </c:pt>
                <c:pt idx="918">
                  <c:v>25</c:v>
                </c:pt>
                <c:pt idx="919">
                  <c:v>25</c:v>
                </c:pt>
                <c:pt idx="920">
                  <c:v>25</c:v>
                </c:pt>
                <c:pt idx="921">
                  <c:v>25</c:v>
                </c:pt>
                <c:pt idx="922">
                  <c:v>25</c:v>
                </c:pt>
                <c:pt idx="923">
                  <c:v>25</c:v>
                </c:pt>
                <c:pt idx="924">
                  <c:v>25</c:v>
                </c:pt>
                <c:pt idx="925">
                  <c:v>25</c:v>
                </c:pt>
                <c:pt idx="926">
                  <c:v>25</c:v>
                </c:pt>
                <c:pt idx="927">
                  <c:v>25</c:v>
                </c:pt>
                <c:pt idx="928">
                  <c:v>25</c:v>
                </c:pt>
                <c:pt idx="929">
                  <c:v>25</c:v>
                </c:pt>
                <c:pt idx="930">
                  <c:v>25</c:v>
                </c:pt>
                <c:pt idx="931">
                  <c:v>25</c:v>
                </c:pt>
                <c:pt idx="932">
                  <c:v>25</c:v>
                </c:pt>
                <c:pt idx="933">
                  <c:v>25</c:v>
                </c:pt>
                <c:pt idx="934">
                  <c:v>25</c:v>
                </c:pt>
                <c:pt idx="935">
                  <c:v>25</c:v>
                </c:pt>
                <c:pt idx="936">
                  <c:v>25</c:v>
                </c:pt>
                <c:pt idx="937">
                  <c:v>25</c:v>
                </c:pt>
                <c:pt idx="938">
                  <c:v>25</c:v>
                </c:pt>
                <c:pt idx="939">
                  <c:v>25</c:v>
                </c:pt>
                <c:pt idx="940">
                  <c:v>25</c:v>
                </c:pt>
                <c:pt idx="941">
                  <c:v>25</c:v>
                </c:pt>
                <c:pt idx="942">
                  <c:v>25</c:v>
                </c:pt>
                <c:pt idx="943">
                  <c:v>25</c:v>
                </c:pt>
                <c:pt idx="944">
                  <c:v>25</c:v>
                </c:pt>
                <c:pt idx="945">
                  <c:v>25</c:v>
                </c:pt>
                <c:pt idx="946">
                  <c:v>25</c:v>
                </c:pt>
                <c:pt idx="947">
                  <c:v>25</c:v>
                </c:pt>
                <c:pt idx="948">
                  <c:v>25</c:v>
                </c:pt>
                <c:pt idx="949">
                  <c:v>25</c:v>
                </c:pt>
                <c:pt idx="950">
                  <c:v>25</c:v>
                </c:pt>
                <c:pt idx="951">
                  <c:v>25</c:v>
                </c:pt>
                <c:pt idx="952">
                  <c:v>25</c:v>
                </c:pt>
                <c:pt idx="953">
                  <c:v>25</c:v>
                </c:pt>
                <c:pt idx="954">
                  <c:v>25</c:v>
                </c:pt>
                <c:pt idx="955">
                  <c:v>25</c:v>
                </c:pt>
                <c:pt idx="956">
                  <c:v>25</c:v>
                </c:pt>
                <c:pt idx="957">
                  <c:v>25</c:v>
                </c:pt>
                <c:pt idx="958">
                  <c:v>25</c:v>
                </c:pt>
                <c:pt idx="959">
                  <c:v>25</c:v>
                </c:pt>
                <c:pt idx="960">
                  <c:v>25</c:v>
                </c:pt>
                <c:pt idx="961">
                  <c:v>25</c:v>
                </c:pt>
                <c:pt idx="962">
                  <c:v>25</c:v>
                </c:pt>
                <c:pt idx="963">
                  <c:v>25</c:v>
                </c:pt>
                <c:pt idx="964">
                  <c:v>25</c:v>
                </c:pt>
                <c:pt idx="965">
                  <c:v>25</c:v>
                </c:pt>
                <c:pt idx="966">
                  <c:v>25</c:v>
                </c:pt>
                <c:pt idx="967">
                  <c:v>25</c:v>
                </c:pt>
                <c:pt idx="968">
                  <c:v>25</c:v>
                </c:pt>
                <c:pt idx="969">
                  <c:v>25</c:v>
                </c:pt>
                <c:pt idx="970">
                  <c:v>25</c:v>
                </c:pt>
                <c:pt idx="971">
                  <c:v>25</c:v>
                </c:pt>
                <c:pt idx="972">
                  <c:v>25</c:v>
                </c:pt>
                <c:pt idx="973">
                  <c:v>25</c:v>
                </c:pt>
                <c:pt idx="974">
                  <c:v>25</c:v>
                </c:pt>
                <c:pt idx="975">
                  <c:v>25</c:v>
                </c:pt>
                <c:pt idx="976">
                  <c:v>25</c:v>
                </c:pt>
                <c:pt idx="977">
                  <c:v>25</c:v>
                </c:pt>
                <c:pt idx="978">
                  <c:v>25</c:v>
                </c:pt>
                <c:pt idx="979">
                  <c:v>25</c:v>
                </c:pt>
                <c:pt idx="980">
                  <c:v>25</c:v>
                </c:pt>
                <c:pt idx="981">
                  <c:v>25</c:v>
                </c:pt>
                <c:pt idx="982">
                  <c:v>25</c:v>
                </c:pt>
                <c:pt idx="983">
                  <c:v>25</c:v>
                </c:pt>
                <c:pt idx="984">
                  <c:v>25</c:v>
                </c:pt>
                <c:pt idx="985">
                  <c:v>25</c:v>
                </c:pt>
                <c:pt idx="986">
                  <c:v>25</c:v>
                </c:pt>
                <c:pt idx="987">
                  <c:v>25</c:v>
                </c:pt>
                <c:pt idx="988">
                  <c:v>25</c:v>
                </c:pt>
                <c:pt idx="989">
                  <c:v>25</c:v>
                </c:pt>
                <c:pt idx="990">
                  <c:v>25</c:v>
                </c:pt>
                <c:pt idx="991">
                  <c:v>25</c:v>
                </c:pt>
                <c:pt idx="992">
                  <c:v>25</c:v>
                </c:pt>
                <c:pt idx="993">
                  <c:v>25</c:v>
                </c:pt>
                <c:pt idx="994">
                  <c:v>25</c:v>
                </c:pt>
                <c:pt idx="995">
                  <c:v>25</c:v>
                </c:pt>
                <c:pt idx="996">
                  <c:v>25</c:v>
                </c:pt>
                <c:pt idx="997">
                  <c:v>25</c:v>
                </c:pt>
                <c:pt idx="998">
                  <c:v>25</c:v>
                </c:pt>
                <c:pt idx="999">
                  <c:v>25</c:v>
                </c:pt>
                <c:pt idx="1000">
                  <c:v>25</c:v>
                </c:pt>
                <c:pt idx="1001">
                  <c:v>25</c:v>
                </c:pt>
                <c:pt idx="1002">
                  <c:v>25</c:v>
                </c:pt>
                <c:pt idx="1003">
                  <c:v>25</c:v>
                </c:pt>
                <c:pt idx="1004">
                  <c:v>25</c:v>
                </c:pt>
                <c:pt idx="1005">
                  <c:v>25</c:v>
                </c:pt>
                <c:pt idx="1006">
                  <c:v>25</c:v>
                </c:pt>
                <c:pt idx="1007">
                  <c:v>25</c:v>
                </c:pt>
                <c:pt idx="1008">
                  <c:v>25</c:v>
                </c:pt>
                <c:pt idx="1009">
                  <c:v>25</c:v>
                </c:pt>
                <c:pt idx="1010">
                  <c:v>25</c:v>
                </c:pt>
                <c:pt idx="1011">
                  <c:v>25</c:v>
                </c:pt>
                <c:pt idx="1012">
                  <c:v>25</c:v>
                </c:pt>
                <c:pt idx="1013">
                  <c:v>25</c:v>
                </c:pt>
                <c:pt idx="1014">
                  <c:v>25</c:v>
                </c:pt>
                <c:pt idx="1015">
                  <c:v>25</c:v>
                </c:pt>
                <c:pt idx="1016">
                  <c:v>25</c:v>
                </c:pt>
                <c:pt idx="1017">
                  <c:v>25</c:v>
                </c:pt>
                <c:pt idx="1018">
                  <c:v>25</c:v>
                </c:pt>
                <c:pt idx="1019">
                  <c:v>25</c:v>
                </c:pt>
                <c:pt idx="1020">
                  <c:v>25</c:v>
                </c:pt>
                <c:pt idx="1021">
                  <c:v>25</c:v>
                </c:pt>
                <c:pt idx="1022">
                  <c:v>25</c:v>
                </c:pt>
                <c:pt idx="1023">
                  <c:v>25</c:v>
                </c:pt>
                <c:pt idx="1024">
                  <c:v>25</c:v>
                </c:pt>
                <c:pt idx="1025">
                  <c:v>25</c:v>
                </c:pt>
                <c:pt idx="1026">
                  <c:v>25</c:v>
                </c:pt>
                <c:pt idx="1027">
                  <c:v>25</c:v>
                </c:pt>
                <c:pt idx="1028">
                  <c:v>25</c:v>
                </c:pt>
                <c:pt idx="1029">
                  <c:v>25</c:v>
                </c:pt>
                <c:pt idx="1030">
                  <c:v>25</c:v>
                </c:pt>
                <c:pt idx="1031">
                  <c:v>25</c:v>
                </c:pt>
                <c:pt idx="1032">
                  <c:v>25</c:v>
                </c:pt>
                <c:pt idx="1033">
                  <c:v>25</c:v>
                </c:pt>
                <c:pt idx="1034">
                  <c:v>25</c:v>
                </c:pt>
                <c:pt idx="1035">
                  <c:v>25</c:v>
                </c:pt>
                <c:pt idx="1036">
                  <c:v>25</c:v>
                </c:pt>
                <c:pt idx="1037">
                  <c:v>25</c:v>
                </c:pt>
                <c:pt idx="1038">
                  <c:v>25</c:v>
                </c:pt>
                <c:pt idx="1039">
                  <c:v>25</c:v>
                </c:pt>
                <c:pt idx="1040">
                  <c:v>25</c:v>
                </c:pt>
                <c:pt idx="1041">
                  <c:v>25</c:v>
                </c:pt>
                <c:pt idx="1042">
                  <c:v>25</c:v>
                </c:pt>
                <c:pt idx="1043">
                  <c:v>25</c:v>
                </c:pt>
                <c:pt idx="1044">
                  <c:v>25</c:v>
                </c:pt>
                <c:pt idx="1045">
                  <c:v>25</c:v>
                </c:pt>
                <c:pt idx="1046">
                  <c:v>25</c:v>
                </c:pt>
                <c:pt idx="1047">
                  <c:v>25</c:v>
                </c:pt>
                <c:pt idx="1048">
                  <c:v>25</c:v>
                </c:pt>
                <c:pt idx="1049">
                  <c:v>25</c:v>
                </c:pt>
                <c:pt idx="1050">
                  <c:v>25</c:v>
                </c:pt>
                <c:pt idx="1051">
                  <c:v>25</c:v>
                </c:pt>
                <c:pt idx="1052">
                  <c:v>25</c:v>
                </c:pt>
                <c:pt idx="1053">
                  <c:v>25</c:v>
                </c:pt>
              </c:numCache>
            </c:numRef>
          </c:xVal>
          <c:yVal>
            <c:numRef>
              <c:f>'Arbitrage Payback Engine'!$P$10:$P$1063</c:f>
              <c:numCache>
                <c:formatCode>_(* #,##0.00_);_(* \(#,##0.00\);_(* "-"??_);_(@_)</c:formatCode>
                <c:ptCount val="1054"/>
                <c:pt idx="0">
                  <c:v>1E-3</c:v>
                </c:pt>
                <c:pt idx="1">
                  <c:v>2E-3</c:v>
                </c:pt>
                <c:pt idx="2">
                  <c:v>3.0000000000000001E-3</c:v>
                </c:pt>
                <c:pt idx="3">
                  <c:v>4.0000000000000001E-3</c:v>
                </c:pt>
                <c:pt idx="4">
                  <c:v>5.0000000000000001E-3</c:v>
                </c:pt>
                <c:pt idx="5">
                  <c:v>6.0000000000000001E-3</c:v>
                </c:pt>
                <c:pt idx="6">
                  <c:v>7.0000000000000001E-3</c:v>
                </c:pt>
                <c:pt idx="7">
                  <c:v>8.0000000000000002E-3</c:v>
                </c:pt>
                <c:pt idx="8">
                  <c:v>9.0000000000000011E-3</c:v>
                </c:pt>
                <c:pt idx="9">
                  <c:v>1.0000000000000002E-2</c:v>
                </c:pt>
                <c:pt idx="10">
                  <c:v>1.1000000000000003E-2</c:v>
                </c:pt>
                <c:pt idx="11">
                  <c:v>1.2000000000000004E-2</c:v>
                </c:pt>
                <c:pt idx="12">
                  <c:v>1.3000000000000005E-2</c:v>
                </c:pt>
                <c:pt idx="13">
                  <c:v>1.4000000000000005E-2</c:v>
                </c:pt>
                <c:pt idx="14">
                  <c:v>1.5000000000000006E-2</c:v>
                </c:pt>
                <c:pt idx="15">
                  <c:v>1.6000000000000007E-2</c:v>
                </c:pt>
                <c:pt idx="16">
                  <c:v>1.7000000000000008E-2</c:v>
                </c:pt>
                <c:pt idx="17">
                  <c:v>1.8000000000000009E-2</c:v>
                </c:pt>
                <c:pt idx="18">
                  <c:v>1.900000000000001E-2</c:v>
                </c:pt>
                <c:pt idx="19">
                  <c:v>2.0000000000000011E-2</c:v>
                </c:pt>
                <c:pt idx="20">
                  <c:v>2.1000000000000012E-2</c:v>
                </c:pt>
                <c:pt idx="21">
                  <c:v>2.2000000000000013E-2</c:v>
                </c:pt>
                <c:pt idx="22">
                  <c:v>2.3000000000000013E-2</c:v>
                </c:pt>
                <c:pt idx="23">
                  <c:v>2.4000000000000014E-2</c:v>
                </c:pt>
                <c:pt idx="24">
                  <c:v>2.5000000000000015E-2</c:v>
                </c:pt>
                <c:pt idx="25">
                  <c:v>2.6000000000000016E-2</c:v>
                </c:pt>
                <c:pt idx="26">
                  <c:v>2.7000000000000017E-2</c:v>
                </c:pt>
                <c:pt idx="27">
                  <c:v>2.8000000000000018E-2</c:v>
                </c:pt>
                <c:pt idx="28">
                  <c:v>2.9000000000000019E-2</c:v>
                </c:pt>
                <c:pt idx="29">
                  <c:v>3.000000000000002E-2</c:v>
                </c:pt>
                <c:pt idx="30">
                  <c:v>3.1000000000000021E-2</c:v>
                </c:pt>
                <c:pt idx="31">
                  <c:v>3.2000000000000021E-2</c:v>
                </c:pt>
                <c:pt idx="32">
                  <c:v>3.3000000000000022E-2</c:v>
                </c:pt>
                <c:pt idx="33">
                  <c:v>3.4000000000000023E-2</c:v>
                </c:pt>
                <c:pt idx="34">
                  <c:v>3.5000000000000024E-2</c:v>
                </c:pt>
                <c:pt idx="35">
                  <c:v>3.6000000000000025E-2</c:v>
                </c:pt>
                <c:pt idx="36">
                  <c:v>3.7000000000000026E-2</c:v>
                </c:pt>
                <c:pt idx="37">
                  <c:v>3.8000000000000027E-2</c:v>
                </c:pt>
                <c:pt idx="38">
                  <c:v>3.9000000000000028E-2</c:v>
                </c:pt>
                <c:pt idx="39">
                  <c:v>4.0000000000000029E-2</c:v>
                </c:pt>
                <c:pt idx="40">
                  <c:v>4.1000000000000029E-2</c:v>
                </c:pt>
                <c:pt idx="41">
                  <c:v>4.200000000000003E-2</c:v>
                </c:pt>
                <c:pt idx="42">
                  <c:v>4.3000000000000031E-2</c:v>
                </c:pt>
                <c:pt idx="43">
                  <c:v>4.4000000000000032E-2</c:v>
                </c:pt>
                <c:pt idx="44">
                  <c:v>4.5000000000000033E-2</c:v>
                </c:pt>
                <c:pt idx="45">
                  <c:v>4.6000000000000034E-2</c:v>
                </c:pt>
                <c:pt idx="46">
                  <c:v>4.7000000000000035E-2</c:v>
                </c:pt>
                <c:pt idx="47">
                  <c:v>4.8000000000000036E-2</c:v>
                </c:pt>
                <c:pt idx="48">
                  <c:v>4.9000000000000037E-2</c:v>
                </c:pt>
                <c:pt idx="49">
                  <c:v>5.0000000000000037E-2</c:v>
                </c:pt>
                <c:pt idx="50">
                  <c:v>5.1000000000000038E-2</c:v>
                </c:pt>
                <c:pt idx="51">
                  <c:v>5.2000000000000039E-2</c:v>
                </c:pt>
                <c:pt idx="52">
                  <c:v>5.300000000000004E-2</c:v>
                </c:pt>
                <c:pt idx="53">
                  <c:v>5.4000000000000041E-2</c:v>
                </c:pt>
                <c:pt idx="54">
                  <c:v>5.5000000000000042E-2</c:v>
                </c:pt>
                <c:pt idx="55">
                  <c:v>5.6000000000000043E-2</c:v>
                </c:pt>
                <c:pt idx="56">
                  <c:v>5.7000000000000044E-2</c:v>
                </c:pt>
                <c:pt idx="57">
                  <c:v>5.8000000000000045E-2</c:v>
                </c:pt>
                <c:pt idx="58">
                  <c:v>5.9000000000000045E-2</c:v>
                </c:pt>
                <c:pt idx="59">
                  <c:v>6.0000000000000046E-2</c:v>
                </c:pt>
                <c:pt idx="60">
                  <c:v>6.1000000000000047E-2</c:v>
                </c:pt>
                <c:pt idx="61">
                  <c:v>6.2000000000000048E-2</c:v>
                </c:pt>
                <c:pt idx="62">
                  <c:v>6.3000000000000042E-2</c:v>
                </c:pt>
                <c:pt idx="63">
                  <c:v>6.4000000000000043E-2</c:v>
                </c:pt>
                <c:pt idx="64">
                  <c:v>6.5000000000000044E-2</c:v>
                </c:pt>
                <c:pt idx="65">
                  <c:v>6.6000000000000045E-2</c:v>
                </c:pt>
                <c:pt idx="66">
                  <c:v>6.7000000000000046E-2</c:v>
                </c:pt>
                <c:pt idx="67">
                  <c:v>6.8000000000000047E-2</c:v>
                </c:pt>
                <c:pt idx="68">
                  <c:v>6.9000000000000047E-2</c:v>
                </c:pt>
                <c:pt idx="69">
                  <c:v>7.0000000000000048E-2</c:v>
                </c:pt>
                <c:pt idx="70">
                  <c:v>7.1000000000000049E-2</c:v>
                </c:pt>
                <c:pt idx="71">
                  <c:v>7.200000000000005E-2</c:v>
                </c:pt>
                <c:pt idx="72">
                  <c:v>7.3000000000000051E-2</c:v>
                </c:pt>
                <c:pt idx="73">
                  <c:v>7.4000000000000052E-2</c:v>
                </c:pt>
                <c:pt idx="74">
                  <c:v>7.5000000000000053E-2</c:v>
                </c:pt>
                <c:pt idx="75">
                  <c:v>7.6000000000000054E-2</c:v>
                </c:pt>
                <c:pt idx="76">
                  <c:v>7.7000000000000055E-2</c:v>
                </c:pt>
                <c:pt idx="77">
                  <c:v>7.8000000000000055E-2</c:v>
                </c:pt>
                <c:pt idx="78">
                  <c:v>7.9000000000000056E-2</c:v>
                </c:pt>
                <c:pt idx="79">
                  <c:v>8.0000000000000057E-2</c:v>
                </c:pt>
                <c:pt idx="80">
                  <c:v>8.1000000000000058E-2</c:v>
                </c:pt>
                <c:pt idx="81">
                  <c:v>8.2000000000000059E-2</c:v>
                </c:pt>
                <c:pt idx="82">
                  <c:v>8.300000000000006E-2</c:v>
                </c:pt>
                <c:pt idx="83">
                  <c:v>8.4000000000000061E-2</c:v>
                </c:pt>
                <c:pt idx="84">
                  <c:v>8.5000000000000062E-2</c:v>
                </c:pt>
                <c:pt idx="85">
                  <c:v>8.6000000000000063E-2</c:v>
                </c:pt>
                <c:pt idx="86">
                  <c:v>8.7000000000000063E-2</c:v>
                </c:pt>
                <c:pt idx="87">
                  <c:v>8.8000000000000064E-2</c:v>
                </c:pt>
                <c:pt idx="88">
                  <c:v>8.9000000000000065E-2</c:v>
                </c:pt>
                <c:pt idx="89">
                  <c:v>9.0000000000000066E-2</c:v>
                </c:pt>
                <c:pt idx="90">
                  <c:v>9.1000000000000067E-2</c:v>
                </c:pt>
                <c:pt idx="91">
                  <c:v>9.2000000000000068E-2</c:v>
                </c:pt>
                <c:pt idx="92">
                  <c:v>9.3000000000000069E-2</c:v>
                </c:pt>
                <c:pt idx="93">
                  <c:v>9.400000000000007E-2</c:v>
                </c:pt>
                <c:pt idx="94">
                  <c:v>9.500000000000007E-2</c:v>
                </c:pt>
                <c:pt idx="95">
                  <c:v>9.6000000000000071E-2</c:v>
                </c:pt>
                <c:pt idx="96">
                  <c:v>9.7000000000000072E-2</c:v>
                </c:pt>
                <c:pt idx="97">
                  <c:v>9.8000000000000073E-2</c:v>
                </c:pt>
                <c:pt idx="98">
                  <c:v>9.9000000000000074E-2</c:v>
                </c:pt>
                <c:pt idx="99">
                  <c:v>0.10000000000000007</c:v>
                </c:pt>
                <c:pt idx="100">
                  <c:v>0.10100000000000008</c:v>
                </c:pt>
                <c:pt idx="101">
                  <c:v>0.10200000000000008</c:v>
                </c:pt>
                <c:pt idx="102">
                  <c:v>0.10300000000000008</c:v>
                </c:pt>
                <c:pt idx="103">
                  <c:v>0.10400000000000008</c:v>
                </c:pt>
                <c:pt idx="104">
                  <c:v>0.10500000000000008</c:v>
                </c:pt>
                <c:pt idx="105">
                  <c:v>0.10600000000000008</c:v>
                </c:pt>
                <c:pt idx="106">
                  <c:v>0.10700000000000008</c:v>
                </c:pt>
                <c:pt idx="107">
                  <c:v>0.10800000000000008</c:v>
                </c:pt>
                <c:pt idx="108">
                  <c:v>0.10900000000000008</c:v>
                </c:pt>
                <c:pt idx="109">
                  <c:v>0.11000000000000008</c:v>
                </c:pt>
                <c:pt idx="110">
                  <c:v>0.11100000000000008</c:v>
                </c:pt>
                <c:pt idx="111">
                  <c:v>0.11200000000000009</c:v>
                </c:pt>
                <c:pt idx="112">
                  <c:v>0.11300000000000009</c:v>
                </c:pt>
                <c:pt idx="113">
                  <c:v>0.11400000000000009</c:v>
                </c:pt>
                <c:pt idx="114">
                  <c:v>0.11500000000000009</c:v>
                </c:pt>
                <c:pt idx="115">
                  <c:v>0.11600000000000009</c:v>
                </c:pt>
                <c:pt idx="116">
                  <c:v>0.11700000000000009</c:v>
                </c:pt>
                <c:pt idx="117">
                  <c:v>0.11800000000000009</c:v>
                </c:pt>
                <c:pt idx="118">
                  <c:v>0.11900000000000009</c:v>
                </c:pt>
                <c:pt idx="119">
                  <c:v>0.12000000000000009</c:v>
                </c:pt>
                <c:pt idx="120">
                  <c:v>0.12100000000000009</c:v>
                </c:pt>
                <c:pt idx="121">
                  <c:v>0.12200000000000009</c:v>
                </c:pt>
                <c:pt idx="122">
                  <c:v>0.1230000000000001</c:v>
                </c:pt>
                <c:pt idx="123">
                  <c:v>0.1240000000000001</c:v>
                </c:pt>
                <c:pt idx="124">
                  <c:v>0.12500000000000008</c:v>
                </c:pt>
                <c:pt idx="125">
                  <c:v>0.12600000000000008</c:v>
                </c:pt>
                <c:pt idx="126">
                  <c:v>0.12700000000000009</c:v>
                </c:pt>
                <c:pt idx="127">
                  <c:v>0.12800000000000009</c:v>
                </c:pt>
                <c:pt idx="128">
                  <c:v>0.12900000000000009</c:v>
                </c:pt>
                <c:pt idx="129">
                  <c:v>0.13000000000000009</c:v>
                </c:pt>
                <c:pt idx="130">
                  <c:v>0.13100000000000009</c:v>
                </c:pt>
                <c:pt idx="131">
                  <c:v>0.13200000000000009</c:v>
                </c:pt>
                <c:pt idx="132">
                  <c:v>0.13300000000000009</c:v>
                </c:pt>
                <c:pt idx="133">
                  <c:v>0.13400000000000009</c:v>
                </c:pt>
                <c:pt idx="134">
                  <c:v>0.13500000000000009</c:v>
                </c:pt>
                <c:pt idx="135">
                  <c:v>0.13600000000000009</c:v>
                </c:pt>
                <c:pt idx="136">
                  <c:v>0.13700000000000009</c:v>
                </c:pt>
                <c:pt idx="137">
                  <c:v>0.13800000000000009</c:v>
                </c:pt>
                <c:pt idx="138">
                  <c:v>0.1390000000000001</c:v>
                </c:pt>
                <c:pt idx="139">
                  <c:v>0.1400000000000001</c:v>
                </c:pt>
                <c:pt idx="140">
                  <c:v>0.1410000000000001</c:v>
                </c:pt>
                <c:pt idx="141">
                  <c:v>0.1420000000000001</c:v>
                </c:pt>
                <c:pt idx="142">
                  <c:v>0.1430000000000001</c:v>
                </c:pt>
                <c:pt idx="143">
                  <c:v>0.1440000000000001</c:v>
                </c:pt>
                <c:pt idx="144">
                  <c:v>0.1450000000000001</c:v>
                </c:pt>
                <c:pt idx="145">
                  <c:v>0.1460000000000001</c:v>
                </c:pt>
                <c:pt idx="146">
                  <c:v>0.1470000000000001</c:v>
                </c:pt>
                <c:pt idx="147">
                  <c:v>0.1480000000000001</c:v>
                </c:pt>
                <c:pt idx="148">
                  <c:v>0.1490000000000001</c:v>
                </c:pt>
                <c:pt idx="149">
                  <c:v>0.15000000000000011</c:v>
                </c:pt>
                <c:pt idx="150">
                  <c:v>0.15100000000000011</c:v>
                </c:pt>
                <c:pt idx="151">
                  <c:v>0.15200000000000011</c:v>
                </c:pt>
                <c:pt idx="152">
                  <c:v>0.15300000000000011</c:v>
                </c:pt>
                <c:pt idx="153">
                  <c:v>0.15400000000000011</c:v>
                </c:pt>
                <c:pt idx="154">
                  <c:v>0.15500000000000011</c:v>
                </c:pt>
                <c:pt idx="155">
                  <c:v>0.15600000000000011</c:v>
                </c:pt>
                <c:pt idx="156">
                  <c:v>0.15700000000000011</c:v>
                </c:pt>
                <c:pt idx="157">
                  <c:v>0.15800000000000011</c:v>
                </c:pt>
                <c:pt idx="158">
                  <c:v>0.15900000000000011</c:v>
                </c:pt>
                <c:pt idx="159">
                  <c:v>0.16000000000000011</c:v>
                </c:pt>
                <c:pt idx="160">
                  <c:v>0.16100000000000012</c:v>
                </c:pt>
                <c:pt idx="161">
                  <c:v>0.16200000000000012</c:v>
                </c:pt>
                <c:pt idx="162">
                  <c:v>0.16300000000000012</c:v>
                </c:pt>
                <c:pt idx="163">
                  <c:v>0.16400000000000012</c:v>
                </c:pt>
                <c:pt idx="164">
                  <c:v>0.16500000000000012</c:v>
                </c:pt>
                <c:pt idx="165">
                  <c:v>0.16600000000000012</c:v>
                </c:pt>
                <c:pt idx="166">
                  <c:v>0.16700000000000012</c:v>
                </c:pt>
                <c:pt idx="167">
                  <c:v>0.16800000000000012</c:v>
                </c:pt>
                <c:pt idx="168">
                  <c:v>0.16900000000000012</c:v>
                </c:pt>
                <c:pt idx="169">
                  <c:v>0.17000000000000012</c:v>
                </c:pt>
                <c:pt idx="170">
                  <c:v>0.17100000000000012</c:v>
                </c:pt>
                <c:pt idx="171">
                  <c:v>0.17200000000000013</c:v>
                </c:pt>
                <c:pt idx="172">
                  <c:v>0.17300000000000013</c:v>
                </c:pt>
                <c:pt idx="173">
                  <c:v>0.17400000000000013</c:v>
                </c:pt>
                <c:pt idx="174">
                  <c:v>0.17500000000000013</c:v>
                </c:pt>
                <c:pt idx="175">
                  <c:v>0.17600000000000013</c:v>
                </c:pt>
                <c:pt idx="176">
                  <c:v>0.17700000000000013</c:v>
                </c:pt>
                <c:pt idx="177">
                  <c:v>0.17800000000000013</c:v>
                </c:pt>
                <c:pt idx="178">
                  <c:v>0.17900000000000013</c:v>
                </c:pt>
                <c:pt idx="179">
                  <c:v>0.18000000000000013</c:v>
                </c:pt>
                <c:pt idx="180">
                  <c:v>0.18100000000000013</c:v>
                </c:pt>
                <c:pt idx="181">
                  <c:v>0.18200000000000013</c:v>
                </c:pt>
                <c:pt idx="182">
                  <c:v>0.18300000000000013</c:v>
                </c:pt>
                <c:pt idx="183">
                  <c:v>0.18400000000000014</c:v>
                </c:pt>
                <c:pt idx="184">
                  <c:v>0.18500000000000014</c:v>
                </c:pt>
                <c:pt idx="185">
                  <c:v>0.18600000000000014</c:v>
                </c:pt>
                <c:pt idx="186">
                  <c:v>0.18700000000000014</c:v>
                </c:pt>
                <c:pt idx="187">
                  <c:v>0.18800000000000014</c:v>
                </c:pt>
                <c:pt idx="188">
                  <c:v>0.18900000000000014</c:v>
                </c:pt>
                <c:pt idx="189">
                  <c:v>0.19000000000000014</c:v>
                </c:pt>
                <c:pt idx="190">
                  <c:v>0.19100000000000014</c:v>
                </c:pt>
                <c:pt idx="191">
                  <c:v>0.19200000000000014</c:v>
                </c:pt>
                <c:pt idx="192">
                  <c:v>0.19300000000000014</c:v>
                </c:pt>
                <c:pt idx="193">
                  <c:v>0.19400000000000014</c:v>
                </c:pt>
                <c:pt idx="194">
                  <c:v>0.19500000000000015</c:v>
                </c:pt>
                <c:pt idx="195">
                  <c:v>0.19600000000000015</c:v>
                </c:pt>
                <c:pt idx="196">
                  <c:v>0.19700000000000015</c:v>
                </c:pt>
                <c:pt idx="197">
                  <c:v>0.19800000000000015</c:v>
                </c:pt>
                <c:pt idx="198">
                  <c:v>0.19900000000000015</c:v>
                </c:pt>
                <c:pt idx="199">
                  <c:v>0.20000000000000015</c:v>
                </c:pt>
                <c:pt idx="200">
                  <c:v>0.20100000000000015</c:v>
                </c:pt>
                <c:pt idx="201">
                  <c:v>0.20200000000000015</c:v>
                </c:pt>
                <c:pt idx="202">
                  <c:v>0.20300000000000015</c:v>
                </c:pt>
                <c:pt idx="203">
                  <c:v>0.20400000000000015</c:v>
                </c:pt>
                <c:pt idx="204">
                  <c:v>0.20500000000000015</c:v>
                </c:pt>
                <c:pt idx="205">
                  <c:v>0.20600000000000016</c:v>
                </c:pt>
                <c:pt idx="206">
                  <c:v>0.20700000000000016</c:v>
                </c:pt>
                <c:pt idx="207">
                  <c:v>0.20800000000000016</c:v>
                </c:pt>
                <c:pt idx="208">
                  <c:v>0.20900000000000016</c:v>
                </c:pt>
                <c:pt idx="209">
                  <c:v>0.21000000000000016</c:v>
                </c:pt>
                <c:pt idx="210">
                  <c:v>0.21100000000000016</c:v>
                </c:pt>
                <c:pt idx="211">
                  <c:v>0.21200000000000016</c:v>
                </c:pt>
                <c:pt idx="212">
                  <c:v>0.21300000000000016</c:v>
                </c:pt>
                <c:pt idx="213">
                  <c:v>0.21400000000000016</c:v>
                </c:pt>
                <c:pt idx="214">
                  <c:v>0.21500000000000016</c:v>
                </c:pt>
                <c:pt idx="215">
                  <c:v>0.21600000000000016</c:v>
                </c:pt>
                <c:pt idx="216">
                  <c:v>0.21700000000000016</c:v>
                </c:pt>
                <c:pt idx="217">
                  <c:v>0.21800000000000017</c:v>
                </c:pt>
                <c:pt idx="218">
                  <c:v>0.21900000000000017</c:v>
                </c:pt>
                <c:pt idx="219">
                  <c:v>0.22000000000000017</c:v>
                </c:pt>
                <c:pt idx="220">
                  <c:v>0.22100000000000017</c:v>
                </c:pt>
                <c:pt idx="221">
                  <c:v>0.22200000000000017</c:v>
                </c:pt>
                <c:pt idx="222">
                  <c:v>0.22300000000000017</c:v>
                </c:pt>
                <c:pt idx="223">
                  <c:v>0.22400000000000017</c:v>
                </c:pt>
                <c:pt idx="224">
                  <c:v>0.22500000000000017</c:v>
                </c:pt>
                <c:pt idx="225">
                  <c:v>0.22600000000000017</c:v>
                </c:pt>
                <c:pt idx="226">
                  <c:v>0.22700000000000017</c:v>
                </c:pt>
                <c:pt idx="227">
                  <c:v>0.22800000000000017</c:v>
                </c:pt>
                <c:pt idx="228">
                  <c:v>0.22900000000000018</c:v>
                </c:pt>
                <c:pt idx="229">
                  <c:v>0.23000000000000018</c:v>
                </c:pt>
                <c:pt idx="230">
                  <c:v>0.23100000000000018</c:v>
                </c:pt>
                <c:pt idx="231">
                  <c:v>0.23200000000000018</c:v>
                </c:pt>
                <c:pt idx="232">
                  <c:v>0.23300000000000018</c:v>
                </c:pt>
                <c:pt idx="233">
                  <c:v>0.23400000000000018</c:v>
                </c:pt>
                <c:pt idx="234">
                  <c:v>0.23500000000000018</c:v>
                </c:pt>
                <c:pt idx="235">
                  <c:v>0.23600000000000018</c:v>
                </c:pt>
                <c:pt idx="236">
                  <c:v>0.23700000000000018</c:v>
                </c:pt>
                <c:pt idx="237">
                  <c:v>0.23800000000000018</c:v>
                </c:pt>
                <c:pt idx="238">
                  <c:v>0.23900000000000018</c:v>
                </c:pt>
                <c:pt idx="239">
                  <c:v>0.24000000000000019</c:v>
                </c:pt>
                <c:pt idx="240">
                  <c:v>0.24100000000000019</c:v>
                </c:pt>
                <c:pt idx="241">
                  <c:v>0.24200000000000019</c:v>
                </c:pt>
                <c:pt idx="242">
                  <c:v>0.24300000000000019</c:v>
                </c:pt>
                <c:pt idx="243">
                  <c:v>0.24400000000000019</c:v>
                </c:pt>
                <c:pt idx="244">
                  <c:v>0.24500000000000019</c:v>
                </c:pt>
                <c:pt idx="245">
                  <c:v>0.24600000000000019</c:v>
                </c:pt>
                <c:pt idx="246">
                  <c:v>0.24700000000000019</c:v>
                </c:pt>
                <c:pt idx="247">
                  <c:v>0.24800000000000019</c:v>
                </c:pt>
                <c:pt idx="248">
                  <c:v>0.24900000000000019</c:v>
                </c:pt>
                <c:pt idx="249">
                  <c:v>0.25000000000000017</c:v>
                </c:pt>
                <c:pt idx="250">
                  <c:v>0.25100000000000017</c:v>
                </c:pt>
                <c:pt idx="251">
                  <c:v>0.25200000000000017</c:v>
                </c:pt>
                <c:pt idx="252">
                  <c:v>0.25300000000000017</c:v>
                </c:pt>
                <c:pt idx="253">
                  <c:v>0.25400000000000017</c:v>
                </c:pt>
                <c:pt idx="254">
                  <c:v>0.25500000000000017</c:v>
                </c:pt>
                <c:pt idx="255">
                  <c:v>0.25600000000000017</c:v>
                </c:pt>
                <c:pt idx="256">
                  <c:v>0.25700000000000017</c:v>
                </c:pt>
                <c:pt idx="257">
                  <c:v>0.25800000000000017</c:v>
                </c:pt>
                <c:pt idx="258">
                  <c:v>0.25900000000000017</c:v>
                </c:pt>
                <c:pt idx="259">
                  <c:v>0.26000000000000018</c:v>
                </c:pt>
                <c:pt idx="260">
                  <c:v>0.26100000000000018</c:v>
                </c:pt>
                <c:pt idx="261">
                  <c:v>0.26200000000000018</c:v>
                </c:pt>
                <c:pt idx="262">
                  <c:v>0.26300000000000018</c:v>
                </c:pt>
                <c:pt idx="263">
                  <c:v>0.26400000000000018</c:v>
                </c:pt>
                <c:pt idx="264">
                  <c:v>0.26500000000000018</c:v>
                </c:pt>
                <c:pt idx="265">
                  <c:v>0.26600000000000018</c:v>
                </c:pt>
                <c:pt idx="266">
                  <c:v>0.26700000000000018</c:v>
                </c:pt>
                <c:pt idx="267">
                  <c:v>0.26800000000000018</c:v>
                </c:pt>
                <c:pt idx="268">
                  <c:v>0.26900000000000018</c:v>
                </c:pt>
                <c:pt idx="269">
                  <c:v>0.27000000000000018</c:v>
                </c:pt>
                <c:pt idx="270">
                  <c:v>0.27100000000000019</c:v>
                </c:pt>
                <c:pt idx="271">
                  <c:v>0.27200000000000019</c:v>
                </c:pt>
                <c:pt idx="272">
                  <c:v>0.27300000000000019</c:v>
                </c:pt>
                <c:pt idx="273">
                  <c:v>0.27400000000000019</c:v>
                </c:pt>
                <c:pt idx="274">
                  <c:v>0.27500000000000019</c:v>
                </c:pt>
                <c:pt idx="275">
                  <c:v>0.27600000000000019</c:v>
                </c:pt>
                <c:pt idx="276">
                  <c:v>0.27700000000000019</c:v>
                </c:pt>
                <c:pt idx="277">
                  <c:v>0.27800000000000019</c:v>
                </c:pt>
                <c:pt idx="278">
                  <c:v>0.27900000000000019</c:v>
                </c:pt>
                <c:pt idx="279">
                  <c:v>0.28000000000000019</c:v>
                </c:pt>
                <c:pt idx="280">
                  <c:v>0.28100000000000019</c:v>
                </c:pt>
                <c:pt idx="281">
                  <c:v>0.28200000000000019</c:v>
                </c:pt>
                <c:pt idx="282">
                  <c:v>0.2830000000000002</c:v>
                </c:pt>
                <c:pt idx="283">
                  <c:v>0.2840000000000002</c:v>
                </c:pt>
                <c:pt idx="284">
                  <c:v>0.2850000000000002</c:v>
                </c:pt>
                <c:pt idx="285">
                  <c:v>0.2860000000000002</c:v>
                </c:pt>
                <c:pt idx="286">
                  <c:v>0.2870000000000002</c:v>
                </c:pt>
                <c:pt idx="287">
                  <c:v>0.2880000000000002</c:v>
                </c:pt>
                <c:pt idx="288">
                  <c:v>0.2890000000000002</c:v>
                </c:pt>
                <c:pt idx="289">
                  <c:v>0.2900000000000002</c:v>
                </c:pt>
                <c:pt idx="290">
                  <c:v>0.2910000000000002</c:v>
                </c:pt>
                <c:pt idx="291">
                  <c:v>0.2920000000000002</c:v>
                </c:pt>
                <c:pt idx="292">
                  <c:v>0.2930000000000002</c:v>
                </c:pt>
                <c:pt idx="293">
                  <c:v>0.29400000000000021</c:v>
                </c:pt>
                <c:pt idx="294">
                  <c:v>0.29500000000000021</c:v>
                </c:pt>
                <c:pt idx="295">
                  <c:v>0.29600000000000021</c:v>
                </c:pt>
                <c:pt idx="296">
                  <c:v>0.29700000000000021</c:v>
                </c:pt>
                <c:pt idx="297">
                  <c:v>0.29800000000000021</c:v>
                </c:pt>
                <c:pt idx="298">
                  <c:v>0.29900000000000021</c:v>
                </c:pt>
                <c:pt idx="299">
                  <c:v>0.30000000000000021</c:v>
                </c:pt>
                <c:pt idx="300">
                  <c:v>0.30100000000000021</c:v>
                </c:pt>
                <c:pt idx="301">
                  <c:v>0.30200000000000021</c:v>
                </c:pt>
                <c:pt idx="302">
                  <c:v>0.30300000000000021</c:v>
                </c:pt>
                <c:pt idx="303">
                  <c:v>0.30400000000000021</c:v>
                </c:pt>
                <c:pt idx="304">
                  <c:v>0.30500000000000022</c:v>
                </c:pt>
                <c:pt idx="305">
                  <c:v>0.30600000000000022</c:v>
                </c:pt>
                <c:pt idx="306">
                  <c:v>0.30700000000000022</c:v>
                </c:pt>
                <c:pt idx="307">
                  <c:v>0.30800000000000022</c:v>
                </c:pt>
                <c:pt idx="308">
                  <c:v>0.30900000000000022</c:v>
                </c:pt>
                <c:pt idx="309">
                  <c:v>0.31000000000000022</c:v>
                </c:pt>
                <c:pt idx="310">
                  <c:v>0.31100000000000022</c:v>
                </c:pt>
                <c:pt idx="311">
                  <c:v>0.31200000000000022</c:v>
                </c:pt>
                <c:pt idx="312">
                  <c:v>0.31300000000000022</c:v>
                </c:pt>
                <c:pt idx="313">
                  <c:v>0.31400000000000022</c:v>
                </c:pt>
                <c:pt idx="314">
                  <c:v>0.31500000000000022</c:v>
                </c:pt>
                <c:pt idx="315">
                  <c:v>0.31600000000000023</c:v>
                </c:pt>
                <c:pt idx="316">
                  <c:v>0.31700000000000023</c:v>
                </c:pt>
                <c:pt idx="317">
                  <c:v>0.31800000000000023</c:v>
                </c:pt>
                <c:pt idx="318">
                  <c:v>0.31900000000000023</c:v>
                </c:pt>
                <c:pt idx="319">
                  <c:v>0.32000000000000023</c:v>
                </c:pt>
                <c:pt idx="320">
                  <c:v>0.32100000000000023</c:v>
                </c:pt>
                <c:pt idx="321">
                  <c:v>0.32200000000000023</c:v>
                </c:pt>
                <c:pt idx="322">
                  <c:v>0.32300000000000023</c:v>
                </c:pt>
                <c:pt idx="323">
                  <c:v>0.32400000000000023</c:v>
                </c:pt>
                <c:pt idx="324">
                  <c:v>0.32500000000000023</c:v>
                </c:pt>
                <c:pt idx="325">
                  <c:v>0.32600000000000023</c:v>
                </c:pt>
                <c:pt idx="326">
                  <c:v>0.32700000000000023</c:v>
                </c:pt>
                <c:pt idx="327">
                  <c:v>0.32800000000000024</c:v>
                </c:pt>
                <c:pt idx="328">
                  <c:v>0.32900000000000024</c:v>
                </c:pt>
                <c:pt idx="329">
                  <c:v>0.33000000000000024</c:v>
                </c:pt>
                <c:pt idx="330">
                  <c:v>0.33100000000000024</c:v>
                </c:pt>
                <c:pt idx="331">
                  <c:v>0.33200000000000024</c:v>
                </c:pt>
                <c:pt idx="332">
                  <c:v>0.33300000000000024</c:v>
                </c:pt>
                <c:pt idx="333">
                  <c:v>0.33400000000000024</c:v>
                </c:pt>
                <c:pt idx="334">
                  <c:v>0.33500000000000024</c:v>
                </c:pt>
                <c:pt idx="335">
                  <c:v>0.33600000000000024</c:v>
                </c:pt>
                <c:pt idx="336">
                  <c:v>0.33700000000000024</c:v>
                </c:pt>
                <c:pt idx="337">
                  <c:v>0.33800000000000024</c:v>
                </c:pt>
                <c:pt idx="338">
                  <c:v>0.33900000000000025</c:v>
                </c:pt>
                <c:pt idx="339">
                  <c:v>0.34000000000000025</c:v>
                </c:pt>
                <c:pt idx="340">
                  <c:v>0.34100000000000025</c:v>
                </c:pt>
                <c:pt idx="341">
                  <c:v>0.34200000000000025</c:v>
                </c:pt>
                <c:pt idx="342">
                  <c:v>0.34300000000000025</c:v>
                </c:pt>
                <c:pt idx="343">
                  <c:v>0.34400000000000025</c:v>
                </c:pt>
                <c:pt idx="344">
                  <c:v>0.34500000000000025</c:v>
                </c:pt>
                <c:pt idx="345">
                  <c:v>0.34600000000000025</c:v>
                </c:pt>
                <c:pt idx="346">
                  <c:v>0.34700000000000025</c:v>
                </c:pt>
                <c:pt idx="347">
                  <c:v>0.34800000000000025</c:v>
                </c:pt>
                <c:pt idx="348">
                  <c:v>0.34900000000000025</c:v>
                </c:pt>
                <c:pt idx="349">
                  <c:v>0.35000000000000026</c:v>
                </c:pt>
                <c:pt idx="350">
                  <c:v>0.35100000000000026</c:v>
                </c:pt>
                <c:pt idx="351">
                  <c:v>0.35200000000000026</c:v>
                </c:pt>
                <c:pt idx="352">
                  <c:v>0.35300000000000026</c:v>
                </c:pt>
                <c:pt idx="353">
                  <c:v>0.35400000000000026</c:v>
                </c:pt>
                <c:pt idx="354">
                  <c:v>0.35500000000000026</c:v>
                </c:pt>
                <c:pt idx="355">
                  <c:v>0.35600000000000026</c:v>
                </c:pt>
                <c:pt idx="356">
                  <c:v>0.35700000000000026</c:v>
                </c:pt>
                <c:pt idx="357">
                  <c:v>0.35800000000000026</c:v>
                </c:pt>
                <c:pt idx="358">
                  <c:v>0.35900000000000026</c:v>
                </c:pt>
                <c:pt idx="359">
                  <c:v>0.36000000000000026</c:v>
                </c:pt>
                <c:pt idx="360">
                  <c:v>0.36100000000000027</c:v>
                </c:pt>
                <c:pt idx="361">
                  <c:v>0.36200000000000027</c:v>
                </c:pt>
                <c:pt idx="362">
                  <c:v>0.36300000000000027</c:v>
                </c:pt>
                <c:pt idx="363">
                  <c:v>0.36400000000000027</c:v>
                </c:pt>
                <c:pt idx="364">
                  <c:v>0.36500000000000027</c:v>
                </c:pt>
                <c:pt idx="365">
                  <c:v>0.36600000000000027</c:v>
                </c:pt>
                <c:pt idx="366">
                  <c:v>0.36700000000000027</c:v>
                </c:pt>
                <c:pt idx="367">
                  <c:v>0.36800000000000027</c:v>
                </c:pt>
                <c:pt idx="368">
                  <c:v>0.36900000000000027</c:v>
                </c:pt>
                <c:pt idx="369">
                  <c:v>0.37000000000000027</c:v>
                </c:pt>
                <c:pt idx="370">
                  <c:v>0.37100000000000027</c:v>
                </c:pt>
                <c:pt idx="371">
                  <c:v>0.37200000000000027</c:v>
                </c:pt>
                <c:pt idx="372">
                  <c:v>0.37300000000000028</c:v>
                </c:pt>
                <c:pt idx="373">
                  <c:v>0.37400000000000028</c:v>
                </c:pt>
                <c:pt idx="374">
                  <c:v>0.37500000000000028</c:v>
                </c:pt>
                <c:pt idx="375">
                  <c:v>0.37600000000000028</c:v>
                </c:pt>
                <c:pt idx="376">
                  <c:v>0.37700000000000028</c:v>
                </c:pt>
                <c:pt idx="377">
                  <c:v>0.37800000000000028</c:v>
                </c:pt>
                <c:pt idx="378">
                  <c:v>0.37900000000000028</c:v>
                </c:pt>
                <c:pt idx="379">
                  <c:v>0.38000000000000028</c:v>
                </c:pt>
                <c:pt idx="380">
                  <c:v>0.38100000000000028</c:v>
                </c:pt>
                <c:pt idx="381">
                  <c:v>0.38200000000000028</c:v>
                </c:pt>
                <c:pt idx="382">
                  <c:v>0.38300000000000028</c:v>
                </c:pt>
                <c:pt idx="383">
                  <c:v>0.38400000000000029</c:v>
                </c:pt>
                <c:pt idx="384">
                  <c:v>0.38500000000000029</c:v>
                </c:pt>
                <c:pt idx="385">
                  <c:v>0.38600000000000029</c:v>
                </c:pt>
                <c:pt idx="386">
                  <c:v>0.38700000000000029</c:v>
                </c:pt>
                <c:pt idx="387">
                  <c:v>0.38800000000000029</c:v>
                </c:pt>
                <c:pt idx="388">
                  <c:v>0.38900000000000029</c:v>
                </c:pt>
                <c:pt idx="389">
                  <c:v>0.39000000000000029</c:v>
                </c:pt>
                <c:pt idx="390">
                  <c:v>0.39100000000000029</c:v>
                </c:pt>
                <c:pt idx="391">
                  <c:v>0.39200000000000029</c:v>
                </c:pt>
                <c:pt idx="392">
                  <c:v>0.39300000000000029</c:v>
                </c:pt>
                <c:pt idx="393">
                  <c:v>0.39400000000000029</c:v>
                </c:pt>
                <c:pt idx="394">
                  <c:v>0.3950000000000003</c:v>
                </c:pt>
                <c:pt idx="395">
                  <c:v>0.3960000000000003</c:v>
                </c:pt>
                <c:pt idx="396">
                  <c:v>0.3970000000000003</c:v>
                </c:pt>
                <c:pt idx="397">
                  <c:v>0.3980000000000003</c:v>
                </c:pt>
                <c:pt idx="398">
                  <c:v>0.3990000000000003</c:v>
                </c:pt>
                <c:pt idx="399">
                  <c:v>0.4000000000000003</c:v>
                </c:pt>
                <c:pt idx="400">
                  <c:v>0.4010000000000003</c:v>
                </c:pt>
                <c:pt idx="401">
                  <c:v>0.4020000000000003</c:v>
                </c:pt>
                <c:pt idx="402">
                  <c:v>0.4030000000000003</c:v>
                </c:pt>
                <c:pt idx="403">
                  <c:v>0.4040000000000003</c:v>
                </c:pt>
                <c:pt idx="404">
                  <c:v>0.4050000000000003</c:v>
                </c:pt>
                <c:pt idx="405">
                  <c:v>0.40600000000000031</c:v>
                </c:pt>
                <c:pt idx="406">
                  <c:v>0.40700000000000031</c:v>
                </c:pt>
                <c:pt idx="407">
                  <c:v>0.40800000000000031</c:v>
                </c:pt>
                <c:pt idx="408">
                  <c:v>0.40900000000000031</c:v>
                </c:pt>
                <c:pt idx="409">
                  <c:v>0.41000000000000031</c:v>
                </c:pt>
                <c:pt idx="410">
                  <c:v>0.41100000000000031</c:v>
                </c:pt>
                <c:pt idx="411">
                  <c:v>0.41200000000000031</c:v>
                </c:pt>
                <c:pt idx="412">
                  <c:v>0.41300000000000031</c:v>
                </c:pt>
                <c:pt idx="413">
                  <c:v>0.41400000000000031</c:v>
                </c:pt>
                <c:pt idx="414">
                  <c:v>0.41500000000000031</c:v>
                </c:pt>
                <c:pt idx="415">
                  <c:v>0.41600000000000031</c:v>
                </c:pt>
                <c:pt idx="416">
                  <c:v>0.41700000000000031</c:v>
                </c:pt>
                <c:pt idx="417">
                  <c:v>0.41800000000000032</c:v>
                </c:pt>
                <c:pt idx="418">
                  <c:v>0.41900000000000032</c:v>
                </c:pt>
                <c:pt idx="419">
                  <c:v>0.42000000000000032</c:v>
                </c:pt>
                <c:pt idx="420">
                  <c:v>0.42100000000000032</c:v>
                </c:pt>
                <c:pt idx="421">
                  <c:v>0.42200000000000032</c:v>
                </c:pt>
                <c:pt idx="422">
                  <c:v>0.42300000000000032</c:v>
                </c:pt>
                <c:pt idx="423">
                  <c:v>0.42400000000000032</c:v>
                </c:pt>
                <c:pt idx="424">
                  <c:v>0.42500000000000032</c:v>
                </c:pt>
                <c:pt idx="425">
                  <c:v>0.42600000000000032</c:v>
                </c:pt>
                <c:pt idx="426">
                  <c:v>0.42700000000000032</c:v>
                </c:pt>
                <c:pt idx="427">
                  <c:v>0.42800000000000032</c:v>
                </c:pt>
                <c:pt idx="428">
                  <c:v>0.42900000000000033</c:v>
                </c:pt>
                <c:pt idx="429">
                  <c:v>0.43000000000000033</c:v>
                </c:pt>
                <c:pt idx="430">
                  <c:v>0.43100000000000033</c:v>
                </c:pt>
                <c:pt idx="431">
                  <c:v>0.43200000000000033</c:v>
                </c:pt>
                <c:pt idx="432">
                  <c:v>0.43300000000000033</c:v>
                </c:pt>
                <c:pt idx="433">
                  <c:v>0.43400000000000033</c:v>
                </c:pt>
                <c:pt idx="434">
                  <c:v>0.43500000000000033</c:v>
                </c:pt>
                <c:pt idx="435">
                  <c:v>0.43600000000000033</c:v>
                </c:pt>
                <c:pt idx="436">
                  <c:v>0.43700000000000033</c:v>
                </c:pt>
                <c:pt idx="437">
                  <c:v>0.43800000000000033</c:v>
                </c:pt>
                <c:pt idx="438">
                  <c:v>0.43900000000000033</c:v>
                </c:pt>
                <c:pt idx="439">
                  <c:v>0.44000000000000034</c:v>
                </c:pt>
                <c:pt idx="440">
                  <c:v>0.44100000000000034</c:v>
                </c:pt>
                <c:pt idx="441">
                  <c:v>0.44200000000000034</c:v>
                </c:pt>
                <c:pt idx="442">
                  <c:v>0.44300000000000034</c:v>
                </c:pt>
                <c:pt idx="443">
                  <c:v>0.44400000000000034</c:v>
                </c:pt>
                <c:pt idx="444">
                  <c:v>0.44500000000000034</c:v>
                </c:pt>
                <c:pt idx="445">
                  <c:v>0.44600000000000034</c:v>
                </c:pt>
                <c:pt idx="446">
                  <c:v>0.44700000000000034</c:v>
                </c:pt>
                <c:pt idx="447">
                  <c:v>0.44800000000000034</c:v>
                </c:pt>
                <c:pt idx="448">
                  <c:v>0.44900000000000034</c:v>
                </c:pt>
                <c:pt idx="449">
                  <c:v>0.45000000000000034</c:v>
                </c:pt>
                <c:pt idx="450">
                  <c:v>0.45100000000000035</c:v>
                </c:pt>
                <c:pt idx="451">
                  <c:v>0.45200000000000035</c:v>
                </c:pt>
                <c:pt idx="452">
                  <c:v>0.45300000000000035</c:v>
                </c:pt>
                <c:pt idx="453">
                  <c:v>0.45400000000000035</c:v>
                </c:pt>
                <c:pt idx="454">
                  <c:v>0.45500000000000035</c:v>
                </c:pt>
                <c:pt idx="455">
                  <c:v>0.45600000000000035</c:v>
                </c:pt>
                <c:pt idx="456">
                  <c:v>0.45700000000000035</c:v>
                </c:pt>
                <c:pt idx="457">
                  <c:v>0.45800000000000035</c:v>
                </c:pt>
                <c:pt idx="458">
                  <c:v>0.45900000000000035</c:v>
                </c:pt>
                <c:pt idx="459">
                  <c:v>0.46000000000000035</c:v>
                </c:pt>
                <c:pt idx="460">
                  <c:v>0.46100000000000035</c:v>
                </c:pt>
                <c:pt idx="461">
                  <c:v>0.46200000000000035</c:v>
                </c:pt>
                <c:pt idx="462">
                  <c:v>0.46300000000000036</c:v>
                </c:pt>
                <c:pt idx="463">
                  <c:v>0.46400000000000036</c:v>
                </c:pt>
                <c:pt idx="464">
                  <c:v>0.46500000000000036</c:v>
                </c:pt>
                <c:pt idx="465">
                  <c:v>0.46600000000000036</c:v>
                </c:pt>
                <c:pt idx="466">
                  <c:v>0.46700000000000036</c:v>
                </c:pt>
                <c:pt idx="467">
                  <c:v>0.46800000000000036</c:v>
                </c:pt>
                <c:pt idx="468">
                  <c:v>0.46900000000000036</c:v>
                </c:pt>
                <c:pt idx="469">
                  <c:v>0.47000000000000036</c:v>
                </c:pt>
                <c:pt idx="470">
                  <c:v>0.47100000000000036</c:v>
                </c:pt>
                <c:pt idx="471">
                  <c:v>0.47200000000000036</c:v>
                </c:pt>
                <c:pt idx="472">
                  <c:v>0.47300000000000036</c:v>
                </c:pt>
                <c:pt idx="473">
                  <c:v>0.47400000000000037</c:v>
                </c:pt>
                <c:pt idx="474">
                  <c:v>0.47500000000000037</c:v>
                </c:pt>
                <c:pt idx="475">
                  <c:v>0.47600000000000037</c:v>
                </c:pt>
                <c:pt idx="476">
                  <c:v>0.47700000000000037</c:v>
                </c:pt>
                <c:pt idx="477">
                  <c:v>0.47800000000000037</c:v>
                </c:pt>
                <c:pt idx="478">
                  <c:v>0.47900000000000037</c:v>
                </c:pt>
                <c:pt idx="479">
                  <c:v>0.48000000000000037</c:v>
                </c:pt>
                <c:pt idx="480">
                  <c:v>0.48100000000000037</c:v>
                </c:pt>
                <c:pt idx="481">
                  <c:v>0.48200000000000037</c:v>
                </c:pt>
                <c:pt idx="482">
                  <c:v>0.48300000000000037</c:v>
                </c:pt>
                <c:pt idx="483">
                  <c:v>0.48400000000000037</c:v>
                </c:pt>
                <c:pt idx="484">
                  <c:v>0.48500000000000038</c:v>
                </c:pt>
                <c:pt idx="485">
                  <c:v>0.48600000000000038</c:v>
                </c:pt>
                <c:pt idx="486">
                  <c:v>0.48700000000000038</c:v>
                </c:pt>
                <c:pt idx="487">
                  <c:v>0.48800000000000038</c:v>
                </c:pt>
                <c:pt idx="488">
                  <c:v>0.48900000000000038</c:v>
                </c:pt>
                <c:pt idx="489">
                  <c:v>0.49000000000000038</c:v>
                </c:pt>
                <c:pt idx="490">
                  <c:v>0.49100000000000038</c:v>
                </c:pt>
                <c:pt idx="491">
                  <c:v>0.49200000000000038</c:v>
                </c:pt>
                <c:pt idx="492">
                  <c:v>0.49300000000000038</c:v>
                </c:pt>
                <c:pt idx="493">
                  <c:v>0.49400000000000038</c:v>
                </c:pt>
                <c:pt idx="494">
                  <c:v>0.49500000000000038</c:v>
                </c:pt>
                <c:pt idx="495">
                  <c:v>0.49600000000000039</c:v>
                </c:pt>
                <c:pt idx="496">
                  <c:v>0.49700000000000039</c:v>
                </c:pt>
                <c:pt idx="497">
                  <c:v>0.49800000000000039</c:v>
                </c:pt>
                <c:pt idx="498">
                  <c:v>0.49900000000000039</c:v>
                </c:pt>
                <c:pt idx="499">
                  <c:v>0.50000000000000033</c:v>
                </c:pt>
                <c:pt idx="500">
                  <c:v>0.50100000000000033</c:v>
                </c:pt>
                <c:pt idx="501">
                  <c:v>0.50200000000000033</c:v>
                </c:pt>
                <c:pt idx="502">
                  <c:v>0.50300000000000034</c:v>
                </c:pt>
                <c:pt idx="503">
                  <c:v>0.50400000000000034</c:v>
                </c:pt>
                <c:pt idx="504">
                  <c:v>0.50500000000000034</c:v>
                </c:pt>
                <c:pt idx="505">
                  <c:v>0.50600000000000034</c:v>
                </c:pt>
                <c:pt idx="506">
                  <c:v>0.50700000000000034</c:v>
                </c:pt>
                <c:pt idx="507">
                  <c:v>0.50800000000000034</c:v>
                </c:pt>
                <c:pt idx="508">
                  <c:v>0.50900000000000034</c:v>
                </c:pt>
                <c:pt idx="509">
                  <c:v>0.51000000000000034</c:v>
                </c:pt>
                <c:pt idx="510">
                  <c:v>0.51100000000000034</c:v>
                </c:pt>
                <c:pt idx="511">
                  <c:v>0.51200000000000034</c:v>
                </c:pt>
                <c:pt idx="512">
                  <c:v>0.51300000000000034</c:v>
                </c:pt>
                <c:pt idx="513">
                  <c:v>0.51400000000000035</c:v>
                </c:pt>
                <c:pt idx="514">
                  <c:v>0.51500000000000035</c:v>
                </c:pt>
                <c:pt idx="515">
                  <c:v>0.51600000000000035</c:v>
                </c:pt>
                <c:pt idx="516">
                  <c:v>0.51700000000000035</c:v>
                </c:pt>
                <c:pt idx="517">
                  <c:v>0.51800000000000035</c:v>
                </c:pt>
                <c:pt idx="518">
                  <c:v>0.51900000000000035</c:v>
                </c:pt>
                <c:pt idx="519">
                  <c:v>0.52000000000000035</c:v>
                </c:pt>
                <c:pt idx="520">
                  <c:v>0.52100000000000035</c:v>
                </c:pt>
                <c:pt idx="521">
                  <c:v>0.52200000000000035</c:v>
                </c:pt>
                <c:pt idx="522">
                  <c:v>0.52300000000000035</c:v>
                </c:pt>
                <c:pt idx="523">
                  <c:v>0.52400000000000035</c:v>
                </c:pt>
                <c:pt idx="524">
                  <c:v>0.52500000000000036</c:v>
                </c:pt>
                <c:pt idx="525">
                  <c:v>0.52600000000000036</c:v>
                </c:pt>
                <c:pt idx="526">
                  <c:v>0.52700000000000036</c:v>
                </c:pt>
                <c:pt idx="527">
                  <c:v>0.52800000000000036</c:v>
                </c:pt>
                <c:pt idx="528">
                  <c:v>0.52900000000000036</c:v>
                </c:pt>
                <c:pt idx="529">
                  <c:v>0.53000000000000036</c:v>
                </c:pt>
                <c:pt idx="530">
                  <c:v>0.53100000000000036</c:v>
                </c:pt>
                <c:pt idx="531">
                  <c:v>0.53200000000000036</c:v>
                </c:pt>
                <c:pt idx="532">
                  <c:v>0.53300000000000036</c:v>
                </c:pt>
                <c:pt idx="533">
                  <c:v>0.53400000000000036</c:v>
                </c:pt>
                <c:pt idx="534">
                  <c:v>0.53500000000000036</c:v>
                </c:pt>
                <c:pt idx="535">
                  <c:v>0.53600000000000037</c:v>
                </c:pt>
                <c:pt idx="536">
                  <c:v>0.53700000000000037</c:v>
                </c:pt>
                <c:pt idx="537">
                  <c:v>0.53800000000000037</c:v>
                </c:pt>
                <c:pt idx="538">
                  <c:v>0.53900000000000037</c:v>
                </c:pt>
                <c:pt idx="539">
                  <c:v>0.54000000000000037</c:v>
                </c:pt>
                <c:pt idx="540">
                  <c:v>0.54100000000000037</c:v>
                </c:pt>
                <c:pt idx="541">
                  <c:v>0.54200000000000037</c:v>
                </c:pt>
                <c:pt idx="542">
                  <c:v>0.54300000000000037</c:v>
                </c:pt>
                <c:pt idx="543">
                  <c:v>0.54400000000000037</c:v>
                </c:pt>
                <c:pt idx="544">
                  <c:v>0.54500000000000037</c:v>
                </c:pt>
                <c:pt idx="545">
                  <c:v>0.54600000000000037</c:v>
                </c:pt>
                <c:pt idx="546">
                  <c:v>0.54700000000000037</c:v>
                </c:pt>
                <c:pt idx="547">
                  <c:v>0.54800000000000038</c:v>
                </c:pt>
                <c:pt idx="548">
                  <c:v>0.54900000000000038</c:v>
                </c:pt>
                <c:pt idx="549">
                  <c:v>0.55000000000000038</c:v>
                </c:pt>
                <c:pt idx="550">
                  <c:v>0.55100000000000038</c:v>
                </c:pt>
                <c:pt idx="551">
                  <c:v>0.55200000000000038</c:v>
                </c:pt>
                <c:pt idx="552">
                  <c:v>0.55300000000000038</c:v>
                </c:pt>
                <c:pt idx="553">
                  <c:v>0.55400000000000038</c:v>
                </c:pt>
                <c:pt idx="554">
                  <c:v>0.55500000000000038</c:v>
                </c:pt>
                <c:pt idx="555">
                  <c:v>0.55600000000000038</c:v>
                </c:pt>
                <c:pt idx="556">
                  <c:v>0.55700000000000038</c:v>
                </c:pt>
                <c:pt idx="557">
                  <c:v>0.55800000000000038</c:v>
                </c:pt>
                <c:pt idx="558">
                  <c:v>0.55900000000000039</c:v>
                </c:pt>
                <c:pt idx="559">
                  <c:v>0.56000000000000039</c:v>
                </c:pt>
                <c:pt idx="560">
                  <c:v>0.56100000000000039</c:v>
                </c:pt>
                <c:pt idx="561">
                  <c:v>0.56200000000000039</c:v>
                </c:pt>
                <c:pt idx="562">
                  <c:v>0.56300000000000039</c:v>
                </c:pt>
                <c:pt idx="563">
                  <c:v>0.56400000000000039</c:v>
                </c:pt>
                <c:pt idx="564">
                  <c:v>0.56500000000000039</c:v>
                </c:pt>
                <c:pt idx="565">
                  <c:v>0.56600000000000039</c:v>
                </c:pt>
                <c:pt idx="566">
                  <c:v>0.56700000000000039</c:v>
                </c:pt>
                <c:pt idx="567">
                  <c:v>0.56800000000000039</c:v>
                </c:pt>
                <c:pt idx="568">
                  <c:v>0.56900000000000039</c:v>
                </c:pt>
                <c:pt idx="569">
                  <c:v>0.5700000000000004</c:v>
                </c:pt>
                <c:pt idx="570">
                  <c:v>0.5710000000000004</c:v>
                </c:pt>
                <c:pt idx="571">
                  <c:v>0.5720000000000004</c:v>
                </c:pt>
                <c:pt idx="572">
                  <c:v>0.5730000000000004</c:v>
                </c:pt>
                <c:pt idx="573">
                  <c:v>0.5740000000000004</c:v>
                </c:pt>
                <c:pt idx="574">
                  <c:v>0.5750000000000004</c:v>
                </c:pt>
                <c:pt idx="575">
                  <c:v>0.5760000000000004</c:v>
                </c:pt>
                <c:pt idx="576">
                  <c:v>0.5770000000000004</c:v>
                </c:pt>
                <c:pt idx="577">
                  <c:v>0.5780000000000004</c:v>
                </c:pt>
                <c:pt idx="578">
                  <c:v>0.5790000000000004</c:v>
                </c:pt>
                <c:pt idx="579">
                  <c:v>0.5800000000000004</c:v>
                </c:pt>
                <c:pt idx="580">
                  <c:v>0.58100000000000041</c:v>
                </c:pt>
                <c:pt idx="581">
                  <c:v>0.58200000000000041</c:v>
                </c:pt>
                <c:pt idx="582">
                  <c:v>0.58300000000000041</c:v>
                </c:pt>
                <c:pt idx="583">
                  <c:v>0.58400000000000041</c:v>
                </c:pt>
                <c:pt idx="584">
                  <c:v>0.58500000000000041</c:v>
                </c:pt>
                <c:pt idx="585">
                  <c:v>0.58600000000000041</c:v>
                </c:pt>
                <c:pt idx="586">
                  <c:v>0.58700000000000041</c:v>
                </c:pt>
                <c:pt idx="587">
                  <c:v>0.58800000000000041</c:v>
                </c:pt>
                <c:pt idx="588">
                  <c:v>0.58900000000000041</c:v>
                </c:pt>
                <c:pt idx="589">
                  <c:v>0.59000000000000041</c:v>
                </c:pt>
                <c:pt idx="590">
                  <c:v>0.59100000000000041</c:v>
                </c:pt>
                <c:pt idx="591">
                  <c:v>0.59200000000000041</c:v>
                </c:pt>
                <c:pt idx="592">
                  <c:v>0.59300000000000042</c:v>
                </c:pt>
                <c:pt idx="593">
                  <c:v>0.59400000000000042</c:v>
                </c:pt>
                <c:pt idx="594">
                  <c:v>0.59500000000000042</c:v>
                </c:pt>
                <c:pt idx="595">
                  <c:v>0.59600000000000042</c:v>
                </c:pt>
                <c:pt idx="596">
                  <c:v>0.59700000000000042</c:v>
                </c:pt>
                <c:pt idx="597">
                  <c:v>0.59800000000000042</c:v>
                </c:pt>
                <c:pt idx="598">
                  <c:v>0.59900000000000042</c:v>
                </c:pt>
                <c:pt idx="599">
                  <c:v>0.60000000000000042</c:v>
                </c:pt>
                <c:pt idx="600">
                  <c:v>0.60100000000000042</c:v>
                </c:pt>
                <c:pt idx="601">
                  <c:v>0.60200000000000042</c:v>
                </c:pt>
                <c:pt idx="602">
                  <c:v>0.60300000000000042</c:v>
                </c:pt>
                <c:pt idx="603">
                  <c:v>0.60400000000000043</c:v>
                </c:pt>
                <c:pt idx="604">
                  <c:v>0.60500000000000043</c:v>
                </c:pt>
                <c:pt idx="605">
                  <c:v>0.60600000000000043</c:v>
                </c:pt>
                <c:pt idx="606">
                  <c:v>0.60700000000000043</c:v>
                </c:pt>
                <c:pt idx="607">
                  <c:v>0.60800000000000043</c:v>
                </c:pt>
                <c:pt idx="608">
                  <c:v>0.60900000000000043</c:v>
                </c:pt>
                <c:pt idx="609">
                  <c:v>0.61000000000000043</c:v>
                </c:pt>
                <c:pt idx="610">
                  <c:v>0.61100000000000043</c:v>
                </c:pt>
                <c:pt idx="611">
                  <c:v>0.61200000000000043</c:v>
                </c:pt>
                <c:pt idx="612">
                  <c:v>0.61300000000000043</c:v>
                </c:pt>
                <c:pt idx="613">
                  <c:v>0.61400000000000043</c:v>
                </c:pt>
                <c:pt idx="614">
                  <c:v>0.61500000000000044</c:v>
                </c:pt>
                <c:pt idx="615">
                  <c:v>0.61600000000000044</c:v>
                </c:pt>
                <c:pt idx="616">
                  <c:v>0.61700000000000044</c:v>
                </c:pt>
                <c:pt idx="617">
                  <c:v>0.61800000000000044</c:v>
                </c:pt>
                <c:pt idx="618">
                  <c:v>0.61900000000000044</c:v>
                </c:pt>
                <c:pt idx="619">
                  <c:v>0.62000000000000044</c:v>
                </c:pt>
                <c:pt idx="620">
                  <c:v>0.62100000000000044</c:v>
                </c:pt>
                <c:pt idx="621">
                  <c:v>0.62200000000000044</c:v>
                </c:pt>
                <c:pt idx="622">
                  <c:v>0.62300000000000044</c:v>
                </c:pt>
                <c:pt idx="623">
                  <c:v>0.62400000000000044</c:v>
                </c:pt>
                <c:pt idx="624">
                  <c:v>0.62500000000000044</c:v>
                </c:pt>
                <c:pt idx="625">
                  <c:v>0.62600000000000044</c:v>
                </c:pt>
                <c:pt idx="626">
                  <c:v>0.62700000000000045</c:v>
                </c:pt>
                <c:pt idx="627">
                  <c:v>0.62800000000000045</c:v>
                </c:pt>
                <c:pt idx="628">
                  <c:v>0.62900000000000045</c:v>
                </c:pt>
                <c:pt idx="629">
                  <c:v>0.63000000000000045</c:v>
                </c:pt>
                <c:pt idx="630">
                  <c:v>0.63100000000000045</c:v>
                </c:pt>
                <c:pt idx="631">
                  <c:v>0.63200000000000045</c:v>
                </c:pt>
                <c:pt idx="632">
                  <c:v>0.63300000000000045</c:v>
                </c:pt>
                <c:pt idx="633">
                  <c:v>0.63400000000000045</c:v>
                </c:pt>
                <c:pt idx="634">
                  <c:v>0.63500000000000045</c:v>
                </c:pt>
                <c:pt idx="635">
                  <c:v>0.63600000000000045</c:v>
                </c:pt>
                <c:pt idx="636">
                  <c:v>0.63700000000000045</c:v>
                </c:pt>
                <c:pt idx="637">
                  <c:v>0.63800000000000046</c:v>
                </c:pt>
                <c:pt idx="638">
                  <c:v>0.63900000000000046</c:v>
                </c:pt>
                <c:pt idx="639">
                  <c:v>0.64000000000000046</c:v>
                </c:pt>
                <c:pt idx="640">
                  <c:v>0.64100000000000046</c:v>
                </c:pt>
                <c:pt idx="641">
                  <c:v>0.64200000000000046</c:v>
                </c:pt>
                <c:pt idx="642">
                  <c:v>0.64300000000000046</c:v>
                </c:pt>
                <c:pt idx="643">
                  <c:v>0.64400000000000046</c:v>
                </c:pt>
                <c:pt idx="644">
                  <c:v>0.64500000000000046</c:v>
                </c:pt>
                <c:pt idx="645">
                  <c:v>0.64600000000000046</c:v>
                </c:pt>
                <c:pt idx="646">
                  <c:v>0.64700000000000046</c:v>
                </c:pt>
                <c:pt idx="647">
                  <c:v>0.64800000000000046</c:v>
                </c:pt>
                <c:pt idx="648">
                  <c:v>0.64900000000000047</c:v>
                </c:pt>
                <c:pt idx="649">
                  <c:v>0.65000000000000047</c:v>
                </c:pt>
                <c:pt idx="650">
                  <c:v>0.65100000000000047</c:v>
                </c:pt>
                <c:pt idx="651">
                  <c:v>0.65200000000000047</c:v>
                </c:pt>
                <c:pt idx="652">
                  <c:v>0.65300000000000047</c:v>
                </c:pt>
                <c:pt idx="653">
                  <c:v>0.65400000000000047</c:v>
                </c:pt>
                <c:pt idx="654">
                  <c:v>0.65500000000000047</c:v>
                </c:pt>
                <c:pt idx="655">
                  <c:v>0.65600000000000047</c:v>
                </c:pt>
                <c:pt idx="656">
                  <c:v>0.65700000000000047</c:v>
                </c:pt>
                <c:pt idx="657">
                  <c:v>0.65800000000000047</c:v>
                </c:pt>
                <c:pt idx="658">
                  <c:v>0.65900000000000047</c:v>
                </c:pt>
                <c:pt idx="659">
                  <c:v>0.66000000000000048</c:v>
                </c:pt>
                <c:pt idx="660">
                  <c:v>0.66100000000000048</c:v>
                </c:pt>
                <c:pt idx="661">
                  <c:v>0.66200000000000048</c:v>
                </c:pt>
                <c:pt idx="662">
                  <c:v>0.66300000000000048</c:v>
                </c:pt>
                <c:pt idx="663">
                  <c:v>0.66400000000000048</c:v>
                </c:pt>
                <c:pt idx="664">
                  <c:v>0.66500000000000048</c:v>
                </c:pt>
                <c:pt idx="665">
                  <c:v>0.66600000000000048</c:v>
                </c:pt>
                <c:pt idx="666">
                  <c:v>0.66700000000000048</c:v>
                </c:pt>
                <c:pt idx="667">
                  <c:v>0.66800000000000048</c:v>
                </c:pt>
                <c:pt idx="668">
                  <c:v>0.66900000000000048</c:v>
                </c:pt>
                <c:pt idx="669">
                  <c:v>0.67000000000000048</c:v>
                </c:pt>
                <c:pt idx="670">
                  <c:v>0.67100000000000048</c:v>
                </c:pt>
                <c:pt idx="671">
                  <c:v>0.67200000000000049</c:v>
                </c:pt>
                <c:pt idx="672">
                  <c:v>0.67300000000000049</c:v>
                </c:pt>
                <c:pt idx="673">
                  <c:v>0.67400000000000049</c:v>
                </c:pt>
                <c:pt idx="674">
                  <c:v>0.67500000000000049</c:v>
                </c:pt>
                <c:pt idx="675">
                  <c:v>0.67600000000000049</c:v>
                </c:pt>
                <c:pt idx="676">
                  <c:v>0.67700000000000049</c:v>
                </c:pt>
                <c:pt idx="677">
                  <c:v>0.67800000000000049</c:v>
                </c:pt>
                <c:pt idx="678">
                  <c:v>0.67900000000000049</c:v>
                </c:pt>
                <c:pt idx="679">
                  <c:v>0.68000000000000049</c:v>
                </c:pt>
                <c:pt idx="680">
                  <c:v>0.68100000000000049</c:v>
                </c:pt>
                <c:pt idx="681">
                  <c:v>0.68200000000000049</c:v>
                </c:pt>
                <c:pt idx="682">
                  <c:v>0.6830000000000005</c:v>
                </c:pt>
                <c:pt idx="683">
                  <c:v>0.6840000000000005</c:v>
                </c:pt>
                <c:pt idx="684">
                  <c:v>0.6850000000000005</c:v>
                </c:pt>
                <c:pt idx="685">
                  <c:v>0.6860000000000005</c:v>
                </c:pt>
                <c:pt idx="686">
                  <c:v>0.6870000000000005</c:v>
                </c:pt>
                <c:pt idx="687">
                  <c:v>0.6880000000000005</c:v>
                </c:pt>
                <c:pt idx="688">
                  <c:v>0.6890000000000005</c:v>
                </c:pt>
                <c:pt idx="689">
                  <c:v>0.6900000000000005</c:v>
                </c:pt>
                <c:pt idx="690">
                  <c:v>0.6910000000000005</c:v>
                </c:pt>
                <c:pt idx="691">
                  <c:v>0.6920000000000005</c:v>
                </c:pt>
                <c:pt idx="692">
                  <c:v>0.6930000000000005</c:v>
                </c:pt>
                <c:pt idx="693">
                  <c:v>0.69400000000000051</c:v>
                </c:pt>
                <c:pt idx="694">
                  <c:v>0.69500000000000051</c:v>
                </c:pt>
                <c:pt idx="695">
                  <c:v>0.69600000000000051</c:v>
                </c:pt>
                <c:pt idx="696">
                  <c:v>0.69700000000000051</c:v>
                </c:pt>
                <c:pt idx="697">
                  <c:v>0.69800000000000051</c:v>
                </c:pt>
                <c:pt idx="698">
                  <c:v>0.69900000000000051</c:v>
                </c:pt>
                <c:pt idx="699">
                  <c:v>0.70000000000000051</c:v>
                </c:pt>
                <c:pt idx="700">
                  <c:v>0.70100000000000051</c:v>
                </c:pt>
                <c:pt idx="701">
                  <c:v>0.70200000000000051</c:v>
                </c:pt>
                <c:pt idx="702">
                  <c:v>0.70300000000000051</c:v>
                </c:pt>
                <c:pt idx="703">
                  <c:v>0.70400000000000051</c:v>
                </c:pt>
                <c:pt idx="704">
                  <c:v>0.70500000000000052</c:v>
                </c:pt>
                <c:pt idx="705">
                  <c:v>0.70600000000000052</c:v>
                </c:pt>
                <c:pt idx="706">
                  <c:v>0.70700000000000052</c:v>
                </c:pt>
                <c:pt idx="707">
                  <c:v>0.70800000000000052</c:v>
                </c:pt>
                <c:pt idx="708">
                  <c:v>0.70900000000000052</c:v>
                </c:pt>
                <c:pt idx="709">
                  <c:v>0.71000000000000052</c:v>
                </c:pt>
                <c:pt idx="710">
                  <c:v>0.71100000000000052</c:v>
                </c:pt>
                <c:pt idx="711">
                  <c:v>0.71200000000000052</c:v>
                </c:pt>
                <c:pt idx="712">
                  <c:v>0.71300000000000052</c:v>
                </c:pt>
                <c:pt idx="713">
                  <c:v>0.71400000000000052</c:v>
                </c:pt>
                <c:pt idx="714">
                  <c:v>0.71500000000000052</c:v>
                </c:pt>
                <c:pt idx="715">
                  <c:v>0.71600000000000052</c:v>
                </c:pt>
                <c:pt idx="716">
                  <c:v>0.71700000000000053</c:v>
                </c:pt>
                <c:pt idx="717">
                  <c:v>0.71800000000000053</c:v>
                </c:pt>
                <c:pt idx="718">
                  <c:v>0.71900000000000053</c:v>
                </c:pt>
                <c:pt idx="719">
                  <c:v>0.72000000000000053</c:v>
                </c:pt>
                <c:pt idx="720">
                  <c:v>0.72100000000000053</c:v>
                </c:pt>
                <c:pt idx="721">
                  <c:v>0.72200000000000053</c:v>
                </c:pt>
                <c:pt idx="722">
                  <c:v>0.72300000000000053</c:v>
                </c:pt>
                <c:pt idx="723">
                  <c:v>0.72400000000000053</c:v>
                </c:pt>
                <c:pt idx="724">
                  <c:v>0.72500000000000053</c:v>
                </c:pt>
                <c:pt idx="725">
                  <c:v>0.72600000000000053</c:v>
                </c:pt>
                <c:pt idx="726">
                  <c:v>0.72700000000000053</c:v>
                </c:pt>
                <c:pt idx="727">
                  <c:v>0.72800000000000054</c:v>
                </c:pt>
                <c:pt idx="728">
                  <c:v>0.72900000000000054</c:v>
                </c:pt>
                <c:pt idx="729">
                  <c:v>0.73000000000000054</c:v>
                </c:pt>
                <c:pt idx="730">
                  <c:v>0.73100000000000054</c:v>
                </c:pt>
                <c:pt idx="731">
                  <c:v>0.73200000000000054</c:v>
                </c:pt>
                <c:pt idx="732">
                  <c:v>0.73300000000000054</c:v>
                </c:pt>
                <c:pt idx="733">
                  <c:v>0.73400000000000054</c:v>
                </c:pt>
                <c:pt idx="734">
                  <c:v>0.73500000000000054</c:v>
                </c:pt>
                <c:pt idx="735">
                  <c:v>0.73600000000000054</c:v>
                </c:pt>
                <c:pt idx="736">
                  <c:v>0.73700000000000054</c:v>
                </c:pt>
                <c:pt idx="737">
                  <c:v>0.73800000000000054</c:v>
                </c:pt>
                <c:pt idx="738">
                  <c:v>0.73900000000000055</c:v>
                </c:pt>
                <c:pt idx="739">
                  <c:v>0.74000000000000055</c:v>
                </c:pt>
                <c:pt idx="740">
                  <c:v>0.74100000000000055</c:v>
                </c:pt>
                <c:pt idx="741">
                  <c:v>0.74200000000000055</c:v>
                </c:pt>
                <c:pt idx="742">
                  <c:v>0.74300000000000055</c:v>
                </c:pt>
                <c:pt idx="743">
                  <c:v>0.74400000000000055</c:v>
                </c:pt>
                <c:pt idx="744">
                  <c:v>0.74500000000000055</c:v>
                </c:pt>
                <c:pt idx="745">
                  <c:v>0.74600000000000055</c:v>
                </c:pt>
                <c:pt idx="746">
                  <c:v>0.74700000000000055</c:v>
                </c:pt>
                <c:pt idx="747">
                  <c:v>0.74800000000000055</c:v>
                </c:pt>
                <c:pt idx="748">
                  <c:v>0.74900000000000055</c:v>
                </c:pt>
                <c:pt idx="749">
                  <c:v>0.75000000000000056</c:v>
                </c:pt>
                <c:pt idx="750">
                  <c:v>0.75100000000000056</c:v>
                </c:pt>
                <c:pt idx="751">
                  <c:v>0.75200000000000056</c:v>
                </c:pt>
                <c:pt idx="752">
                  <c:v>0.75300000000000056</c:v>
                </c:pt>
                <c:pt idx="753">
                  <c:v>0.75400000000000056</c:v>
                </c:pt>
                <c:pt idx="754">
                  <c:v>0.75500000000000056</c:v>
                </c:pt>
                <c:pt idx="755">
                  <c:v>0.75600000000000056</c:v>
                </c:pt>
                <c:pt idx="756">
                  <c:v>0.75700000000000056</c:v>
                </c:pt>
                <c:pt idx="757">
                  <c:v>0.75800000000000056</c:v>
                </c:pt>
                <c:pt idx="758">
                  <c:v>0.75900000000000056</c:v>
                </c:pt>
                <c:pt idx="759">
                  <c:v>0.76000000000000056</c:v>
                </c:pt>
                <c:pt idx="760">
                  <c:v>0.76100000000000056</c:v>
                </c:pt>
                <c:pt idx="761">
                  <c:v>0.76200000000000057</c:v>
                </c:pt>
                <c:pt idx="762">
                  <c:v>0.76300000000000057</c:v>
                </c:pt>
                <c:pt idx="763">
                  <c:v>0.76400000000000057</c:v>
                </c:pt>
                <c:pt idx="764">
                  <c:v>0.76500000000000057</c:v>
                </c:pt>
                <c:pt idx="765">
                  <c:v>0.76600000000000057</c:v>
                </c:pt>
                <c:pt idx="766">
                  <c:v>0.76700000000000057</c:v>
                </c:pt>
                <c:pt idx="767">
                  <c:v>0.76800000000000057</c:v>
                </c:pt>
                <c:pt idx="768">
                  <c:v>0.76900000000000057</c:v>
                </c:pt>
                <c:pt idx="769">
                  <c:v>0.77000000000000057</c:v>
                </c:pt>
                <c:pt idx="770">
                  <c:v>0.77100000000000057</c:v>
                </c:pt>
                <c:pt idx="771">
                  <c:v>0.77200000000000057</c:v>
                </c:pt>
                <c:pt idx="772">
                  <c:v>0.77300000000000058</c:v>
                </c:pt>
                <c:pt idx="773">
                  <c:v>0.77400000000000058</c:v>
                </c:pt>
                <c:pt idx="774">
                  <c:v>0.77500000000000058</c:v>
                </c:pt>
                <c:pt idx="775">
                  <c:v>0.77600000000000058</c:v>
                </c:pt>
                <c:pt idx="776">
                  <c:v>0.77700000000000058</c:v>
                </c:pt>
                <c:pt idx="777">
                  <c:v>0.77800000000000058</c:v>
                </c:pt>
                <c:pt idx="778">
                  <c:v>0.77900000000000058</c:v>
                </c:pt>
                <c:pt idx="779">
                  <c:v>0.78000000000000058</c:v>
                </c:pt>
                <c:pt idx="780">
                  <c:v>0.78100000000000058</c:v>
                </c:pt>
                <c:pt idx="781">
                  <c:v>0.78200000000000058</c:v>
                </c:pt>
                <c:pt idx="782">
                  <c:v>0.78300000000000058</c:v>
                </c:pt>
                <c:pt idx="783">
                  <c:v>0.78400000000000059</c:v>
                </c:pt>
                <c:pt idx="784">
                  <c:v>0.78500000000000059</c:v>
                </c:pt>
                <c:pt idx="785">
                  <c:v>0.78600000000000059</c:v>
                </c:pt>
                <c:pt idx="786">
                  <c:v>0.78700000000000059</c:v>
                </c:pt>
                <c:pt idx="787">
                  <c:v>0.78800000000000059</c:v>
                </c:pt>
                <c:pt idx="788">
                  <c:v>0.78900000000000059</c:v>
                </c:pt>
                <c:pt idx="789">
                  <c:v>0.79000000000000059</c:v>
                </c:pt>
                <c:pt idx="790">
                  <c:v>0.79100000000000059</c:v>
                </c:pt>
                <c:pt idx="791">
                  <c:v>0.79200000000000059</c:v>
                </c:pt>
                <c:pt idx="792">
                  <c:v>0.79300000000000059</c:v>
                </c:pt>
                <c:pt idx="793">
                  <c:v>0.79400000000000059</c:v>
                </c:pt>
                <c:pt idx="794">
                  <c:v>0.7950000000000006</c:v>
                </c:pt>
                <c:pt idx="795">
                  <c:v>0.7960000000000006</c:v>
                </c:pt>
                <c:pt idx="796">
                  <c:v>0.7970000000000006</c:v>
                </c:pt>
                <c:pt idx="797">
                  <c:v>0.7980000000000006</c:v>
                </c:pt>
                <c:pt idx="798">
                  <c:v>0.7990000000000006</c:v>
                </c:pt>
                <c:pt idx="799">
                  <c:v>0.8000000000000006</c:v>
                </c:pt>
                <c:pt idx="800">
                  <c:v>0.8010000000000006</c:v>
                </c:pt>
                <c:pt idx="801">
                  <c:v>0.8020000000000006</c:v>
                </c:pt>
                <c:pt idx="802">
                  <c:v>0.8030000000000006</c:v>
                </c:pt>
                <c:pt idx="803">
                  <c:v>0.8040000000000006</c:v>
                </c:pt>
                <c:pt idx="804">
                  <c:v>0.8050000000000006</c:v>
                </c:pt>
                <c:pt idx="805">
                  <c:v>0.8060000000000006</c:v>
                </c:pt>
                <c:pt idx="806">
                  <c:v>0.80700000000000061</c:v>
                </c:pt>
                <c:pt idx="807">
                  <c:v>0.80800000000000061</c:v>
                </c:pt>
                <c:pt idx="808">
                  <c:v>0.80900000000000061</c:v>
                </c:pt>
                <c:pt idx="809">
                  <c:v>0.81000000000000061</c:v>
                </c:pt>
                <c:pt idx="810">
                  <c:v>0.81100000000000061</c:v>
                </c:pt>
                <c:pt idx="811">
                  <c:v>0.81200000000000061</c:v>
                </c:pt>
                <c:pt idx="812">
                  <c:v>0.81300000000000061</c:v>
                </c:pt>
                <c:pt idx="813">
                  <c:v>0.81400000000000061</c:v>
                </c:pt>
                <c:pt idx="814">
                  <c:v>0.81500000000000061</c:v>
                </c:pt>
                <c:pt idx="815">
                  <c:v>0.81600000000000061</c:v>
                </c:pt>
                <c:pt idx="816">
                  <c:v>0.81700000000000061</c:v>
                </c:pt>
                <c:pt idx="817">
                  <c:v>0.81800000000000062</c:v>
                </c:pt>
                <c:pt idx="818">
                  <c:v>0.81900000000000062</c:v>
                </c:pt>
                <c:pt idx="819">
                  <c:v>0.82000000000000062</c:v>
                </c:pt>
                <c:pt idx="820">
                  <c:v>0.82100000000000062</c:v>
                </c:pt>
                <c:pt idx="821">
                  <c:v>0.82200000000000062</c:v>
                </c:pt>
                <c:pt idx="822">
                  <c:v>0.82300000000000062</c:v>
                </c:pt>
                <c:pt idx="823">
                  <c:v>0.82400000000000062</c:v>
                </c:pt>
                <c:pt idx="824">
                  <c:v>0.82500000000000062</c:v>
                </c:pt>
                <c:pt idx="825">
                  <c:v>0.82600000000000062</c:v>
                </c:pt>
                <c:pt idx="826">
                  <c:v>0.82700000000000062</c:v>
                </c:pt>
                <c:pt idx="827">
                  <c:v>0.82800000000000062</c:v>
                </c:pt>
                <c:pt idx="828">
                  <c:v>0.82900000000000063</c:v>
                </c:pt>
                <c:pt idx="829">
                  <c:v>0.83000000000000063</c:v>
                </c:pt>
                <c:pt idx="830">
                  <c:v>0.83100000000000063</c:v>
                </c:pt>
                <c:pt idx="831">
                  <c:v>0.83200000000000063</c:v>
                </c:pt>
                <c:pt idx="832">
                  <c:v>0.83300000000000063</c:v>
                </c:pt>
                <c:pt idx="833">
                  <c:v>0.83400000000000063</c:v>
                </c:pt>
                <c:pt idx="834">
                  <c:v>0.83500000000000063</c:v>
                </c:pt>
                <c:pt idx="835">
                  <c:v>0.83600000000000063</c:v>
                </c:pt>
                <c:pt idx="836">
                  <c:v>0.83700000000000063</c:v>
                </c:pt>
                <c:pt idx="837">
                  <c:v>0.83800000000000063</c:v>
                </c:pt>
                <c:pt idx="838">
                  <c:v>0.83900000000000063</c:v>
                </c:pt>
                <c:pt idx="839">
                  <c:v>0.84000000000000064</c:v>
                </c:pt>
                <c:pt idx="840">
                  <c:v>0.84100000000000064</c:v>
                </c:pt>
                <c:pt idx="841">
                  <c:v>0.84200000000000064</c:v>
                </c:pt>
                <c:pt idx="842">
                  <c:v>0.84300000000000064</c:v>
                </c:pt>
                <c:pt idx="843">
                  <c:v>0.84400000000000064</c:v>
                </c:pt>
                <c:pt idx="844">
                  <c:v>0.84500000000000064</c:v>
                </c:pt>
                <c:pt idx="845">
                  <c:v>0.84600000000000064</c:v>
                </c:pt>
                <c:pt idx="846">
                  <c:v>0.84700000000000064</c:v>
                </c:pt>
                <c:pt idx="847">
                  <c:v>0.84800000000000064</c:v>
                </c:pt>
                <c:pt idx="848">
                  <c:v>0.84900000000000064</c:v>
                </c:pt>
                <c:pt idx="849">
                  <c:v>0.85000000000000064</c:v>
                </c:pt>
                <c:pt idx="850">
                  <c:v>0.85100000000000064</c:v>
                </c:pt>
                <c:pt idx="851">
                  <c:v>0.85200000000000065</c:v>
                </c:pt>
                <c:pt idx="852">
                  <c:v>0.85300000000000065</c:v>
                </c:pt>
                <c:pt idx="853">
                  <c:v>0.85400000000000065</c:v>
                </c:pt>
                <c:pt idx="854">
                  <c:v>0.85500000000000065</c:v>
                </c:pt>
                <c:pt idx="855">
                  <c:v>0.85600000000000065</c:v>
                </c:pt>
                <c:pt idx="856">
                  <c:v>0.85700000000000065</c:v>
                </c:pt>
                <c:pt idx="857">
                  <c:v>0.85800000000000065</c:v>
                </c:pt>
                <c:pt idx="858">
                  <c:v>0.85900000000000065</c:v>
                </c:pt>
                <c:pt idx="859">
                  <c:v>0.86000000000000065</c:v>
                </c:pt>
                <c:pt idx="860">
                  <c:v>0.86100000000000065</c:v>
                </c:pt>
                <c:pt idx="861">
                  <c:v>0.86200000000000065</c:v>
                </c:pt>
                <c:pt idx="862">
                  <c:v>0.86300000000000066</c:v>
                </c:pt>
                <c:pt idx="863">
                  <c:v>0.86400000000000066</c:v>
                </c:pt>
                <c:pt idx="864">
                  <c:v>0.86500000000000066</c:v>
                </c:pt>
                <c:pt idx="865">
                  <c:v>0.86600000000000066</c:v>
                </c:pt>
                <c:pt idx="866">
                  <c:v>0.86700000000000066</c:v>
                </c:pt>
                <c:pt idx="867">
                  <c:v>0.86800000000000066</c:v>
                </c:pt>
                <c:pt idx="868">
                  <c:v>0.86900000000000066</c:v>
                </c:pt>
                <c:pt idx="869">
                  <c:v>0.87000000000000066</c:v>
                </c:pt>
                <c:pt idx="870">
                  <c:v>0.87100000000000066</c:v>
                </c:pt>
                <c:pt idx="871">
                  <c:v>0.87200000000000066</c:v>
                </c:pt>
                <c:pt idx="872">
                  <c:v>0.87300000000000066</c:v>
                </c:pt>
                <c:pt idx="873">
                  <c:v>0.87400000000000067</c:v>
                </c:pt>
                <c:pt idx="874">
                  <c:v>0.87500000000000067</c:v>
                </c:pt>
                <c:pt idx="875">
                  <c:v>0.87600000000000067</c:v>
                </c:pt>
                <c:pt idx="876">
                  <c:v>0.87700000000000067</c:v>
                </c:pt>
                <c:pt idx="877">
                  <c:v>0.87800000000000067</c:v>
                </c:pt>
                <c:pt idx="878">
                  <c:v>0.87900000000000067</c:v>
                </c:pt>
                <c:pt idx="879">
                  <c:v>0.88000000000000067</c:v>
                </c:pt>
                <c:pt idx="880">
                  <c:v>0.88100000000000067</c:v>
                </c:pt>
                <c:pt idx="881">
                  <c:v>0.88200000000000067</c:v>
                </c:pt>
                <c:pt idx="882">
                  <c:v>0.88300000000000067</c:v>
                </c:pt>
                <c:pt idx="883">
                  <c:v>0.88400000000000067</c:v>
                </c:pt>
                <c:pt idx="884">
                  <c:v>0.88500000000000068</c:v>
                </c:pt>
                <c:pt idx="885">
                  <c:v>0.88600000000000068</c:v>
                </c:pt>
                <c:pt idx="886">
                  <c:v>0.88700000000000068</c:v>
                </c:pt>
                <c:pt idx="887">
                  <c:v>0.88800000000000068</c:v>
                </c:pt>
                <c:pt idx="888">
                  <c:v>0.88900000000000068</c:v>
                </c:pt>
                <c:pt idx="889">
                  <c:v>0.89000000000000068</c:v>
                </c:pt>
                <c:pt idx="890">
                  <c:v>0.89100000000000068</c:v>
                </c:pt>
                <c:pt idx="891">
                  <c:v>0.89200000000000068</c:v>
                </c:pt>
                <c:pt idx="892">
                  <c:v>0.89300000000000068</c:v>
                </c:pt>
                <c:pt idx="893">
                  <c:v>0.89400000000000068</c:v>
                </c:pt>
                <c:pt idx="894">
                  <c:v>0.89500000000000068</c:v>
                </c:pt>
                <c:pt idx="895">
                  <c:v>0.89600000000000068</c:v>
                </c:pt>
                <c:pt idx="896">
                  <c:v>0.89700000000000069</c:v>
                </c:pt>
                <c:pt idx="897">
                  <c:v>0.89800000000000069</c:v>
                </c:pt>
                <c:pt idx="898">
                  <c:v>0.89900000000000069</c:v>
                </c:pt>
                <c:pt idx="899">
                  <c:v>0.90000000000000069</c:v>
                </c:pt>
                <c:pt idx="900">
                  <c:v>0.90100000000000069</c:v>
                </c:pt>
                <c:pt idx="901">
                  <c:v>0.90200000000000069</c:v>
                </c:pt>
                <c:pt idx="902">
                  <c:v>0.90300000000000069</c:v>
                </c:pt>
                <c:pt idx="903">
                  <c:v>0.90400000000000069</c:v>
                </c:pt>
                <c:pt idx="904">
                  <c:v>0.90500000000000069</c:v>
                </c:pt>
                <c:pt idx="905">
                  <c:v>0.90600000000000069</c:v>
                </c:pt>
                <c:pt idx="906">
                  <c:v>0.90700000000000069</c:v>
                </c:pt>
                <c:pt idx="907">
                  <c:v>0.9080000000000007</c:v>
                </c:pt>
                <c:pt idx="908">
                  <c:v>0.9090000000000007</c:v>
                </c:pt>
                <c:pt idx="909">
                  <c:v>0.9100000000000007</c:v>
                </c:pt>
                <c:pt idx="910">
                  <c:v>0.9110000000000007</c:v>
                </c:pt>
                <c:pt idx="911">
                  <c:v>0.9120000000000007</c:v>
                </c:pt>
                <c:pt idx="912">
                  <c:v>0.9130000000000007</c:v>
                </c:pt>
                <c:pt idx="913">
                  <c:v>0.9140000000000007</c:v>
                </c:pt>
                <c:pt idx="914">
                  <c:v>0.9150000000000007</c:v>
                </c:pt>
                <c:pt idx="915">
                  <c:v>0.9160000000000007</c:v>
                </c:pt>
                <c:pt idx="916">
                  <c:v>0.9170000000000007</c:v>
                </c:pt>
                <c:pt idx="917">
                  <c:v>0.9180000000000007</c:v>
                </c:pt>
                <c:pt idx="918">
                  <c:v>0.91900000000000071</c:v>
                </c:pt>
                <c:pt idx="919">
                  <c:v>0.92000000000000071</c:v>
                </c:pt>
                <c:pt idx="920">
                  <c:v>0.92100000000000071</c:v>
                </c:pt>
                <c:pt idx="921">
                  <c:v>0.92200000000000071</c:v>
                </c:pt>
                <c:pt idx="922">
                  <c:v>0.92300000000000071</c:v>
                </c:pt>
                <c:pt idx="923">
                  <c:v>0.92400000000000071</c:v>
                </c:pt>
                <c:pt idx="924">
                  <c:v>0.92500000000000071</c:v>
                </c:pt>
                <c:pt idx="925">
                  <c:v>0.92600000000000071</c:v>
                </c:pt>
                <c:pt idx="926">
                  <c:v>0.92700000000000071</c:v>
                </c:pt>
                <c:pt idx="927">
                  <c:v>0.92800000000000071</c:v>
                </c:pt>
                <c:pt idx="928">
                  <c:v>0.92900000000000071</c:v>
                </c:pt>
                <c:pt idx="929">
                  <c:v>0.93000000000000071</c:v>
                </c:pt>
                <c:pt idx="930">
                  <c:v>0.93100000000000072</c:v>
                </c:pt>
                <c:pt idx="931">
                  <c:v>0.93200000000000072</c:v>
                </c:pt>
                <c:pt idx="932">
                  <c:v>0.93300000000000072</c:v>
                </c:pt>
                <c:pt idx="933">
                  <c:v>0.93400000000000072</c:v>
                </c:pt>
                <c:pt idx="934">
                  <c:v>0.93500000000000072</c:v>
                </c:pt>
                <c:pt idx="935">
                  <c:v>0.93600000000000072</c:v>
                </c:pt>
                <c:pt idx="936">
                  <c:v>0.93700000000000072</c:v>
                </c:pt>
                <c:pt idx="937">
                  <c:v>0.93800000000000072</c:v>
                </c:pt>
                <c:pt idx="938">
                  <c:v>0.93900000000000072</c:v>
                </c:pt>
                <c:pt idx="939">
                  <c:v>0.94000000000000072</c:v>
                </c:pt>
                <c:pt idx="940">
                  <c:v>0.94100000000000072</c:v>
                </c:pt>
                <c:pt idx="941">
                  <c:v>0.94200000000000073</c:v>
                </c:pt>
                <c:pt idx="942">
                  <c:v>0.94300000000000073</c:v>
                </c:pt>
                <c:pt idx="943">
                  <c:v>0.94400000000000073</c:v>
                </c:pt>
                <c:pt idx="944">
                  <c:v>0.94500000000000073</c:v>
                </c:pt>
                <c:pt idx="945">
                  <c:v>0.94600000000000073</c:v>
                </c:pt>
                <c:pt idx="946">
                  <c:v>0.94700000000000073</c:v>
                </c:pt>
                <c:pt idx="947">
                  <c:v>0.94800000000000073</c:v>
                </c:pt>
                <c:pt idx="948">
                  <c:v>0.94900000000000073</c:v>
                </c:pt>
                <c:pt idx="949">
                  <c:v>0.95000000000000073</c:v>
                </c:pt>
                <c:pt idx="950">
                  <c:v>0.95100000000000073</c:v>
                </c:pt>
                <c:pt idx="951">
                  <c:v>0.95200000000000073</c:v>
                </c:pt>
                <c:pt idx="952">
                  <c:v>0.95300000000000074</c:v>
                </c:pt>
                <c:pt idx="953">
                  <c:v>0.95400000000000074</c:v>
                </c:pt>
                <c:pt idx="954">
                  <c:v>0.95500000000000074</c:v>
                </c:pt>
                <c:pt idx="955">
                  <c:v>0.95600000000000074</c:v>
                </c:pt>
                <c:pt idx="956">
                  <c:v>0.95700000000000074</c:v>
                </c:pt>
                <c:pt idx="957">
                  <c:v>0.95800000000000074</c:v>
                </c:pt>
                <c:pt idx="958">
                  <c:v>0.95900000000000074</c:v>
                </c:pt>
                <c:pt idx="959">
                  <c:v>0.96000000000000074</c:v>
                </c:pt>
                <c:pt idx="960">
                  <c:v>0.96100000000000074</c:v>
                </c:pt>
                <c:pt idx="961">
                  <c:v>0.96200000000000074</c:v>
                </c:pt>
                <c:pt idx="962">
                  <c:v>0.96300000000000074</c:v>
                </c:pt>
                <c:pt idx="963">
                  <c:v>0.96400000000000075</c:v>
                </c:pt>
                <c:pt idx="964">
                  <c:v>0.96500000000000075</c:v>
                </c:pt>
                <c:pt idx="965">
                  <c:v>0.96600000000000075</c:v>
                </c:pt>
                <c:pt idx="966">
                  <c:v>0.96700000000000075</c:v>
                </c:pt>
                <c:pt idx="967">
                  <c:v>0.96800000000000075</c:v>
                </c:pt>
                <c:pt idx="968">
                  <c:v>0.96900000000000075</c:v>
                </c:pt>
                <c:pt idx="969">
                  <c:v>0.97000000000000075</c:v>
                </c:pt>
                <c:pt idx="970">
                  <c:v>0.97100000000000075</c:v>
                </c:pt>
                <c:pt idx="971">
                  <c:v>0.97200000000000075</c:v>
                </c:pt>
                <c:pt idx="972">
                  <c:v>0.97300000000000075</c:v>
                </c:pt>
                <c:pt idx="973">
                  <c:v>0.97400000000000075</c:v>
                </c:pt>
                <c:pt idx="974">
                  <c:v>0.97500000000000075</c:v>
                </c:pt>
                <c:pt idx="975">
                  <c:v>0.97600000000000076</c:v>
                </c:pt>
                <c:pt idx="976">
                  <c:v>0.97700000000000076</c:v>
                </c:pt>
                <c:pt idx="977">
                  <c:v>0.97800000000000076</c:v>
                </c:pt>
                <c:pt idx="978">
                  <c:v>0.97900000000000076</c:v>
                </c:pt>
                <c:pt idx="979">
                  <c:v>0.98000000000000076</c:v>
                </c:pt>
                <c:pt idx="980">
                  <c:v>0.98100000000000076</c:v>
                </c:pt>
                <c:pt idx="981">
                  <c:v>0.98200000000000076</c:v>
                </c:pt>
                <c:pt idx="982">
                  <c:v>0.98300000000000076</c:v>
                </c:pt>
                <c:pt idx="983">
                  <c:v>0.98400000000000076</c:v>
                </c:pt>
                <c:pt idx="984">
                  <c:v>0.98500000000000076</c:v>
                </c:pt>
                <c:pt idx="985">
                  <c:v>0.98600000000000076</c:v>
                </c:pt>
                <c:pt idx="986">
                  <c:v>0.98700000000000077</c:v>
                </c:pt>
                <c:pt idx="987">
                  <c:v>0.98800000000000077</c:v>
                </c:pt>
                <c:pt idx="988">
                  <c:v>0.98900000000000077</c:v>
                </c:pt>
                <c:pt idx="989">
                  <c:v>0.99000000000000077</c:v>
                </c:pt>
                <c:pt idx="990">
                  <c:v>0.99100000000000077</c:v>
                </c:pt>
                <c:pt idx="991">
                  <c:v>0.99200000000000077</c:v>
                </c:pt>
                <c:pt idx="992">
                  <c:v>0.99300000000000077</c:v>
                </c:pt>
                <c:pt idx="993">
                  <c:v>0.99400000000000077</c:v>
                </c:pt>
                <c:pt idx="994">
                  <c:v>0.99500000000000077</c:v>
                </c:pt>
                <c:pt idx="995">
                  <c:v>0.99600000000000077</c:v>
                </c:pt>
                <c:pt idx="996">
                  <c:v>0.99700000000000077</c:v>
                </c:pt>
                <c:pt idx="997">
                  <c:v>0.99800000000000078</c:v>
                </c:pt>
                <c:pt idx="998">
                  <c:v>0.99900000000000078</c:v>
                </c:pt>
                <c:pt idx="999">
                  <c:v>1.0000000000000007</c:v>
                </c:pt>
                <c:pt idx="1000">
                  <c:v>1.0010000000000006</c:v>
                </c:pt>
                <c:pt idx="1001">
                  <c:v>1.0020000000000004</c:v>
                </c:pt>
                <c:pt idx="1002">
                  <c:v>1.0030000000000003</c:v>
                </c:pt>
                <c:pt idx="1003">
                  <c:v>1.0040000000000002</c:v>
                </c:pt>
                <c:pt idx="1004">
                  <c:v>1.0050000000000001</c:v>
                </c:pt>
                <c:pt idx="1005">
                  <c:v>1.006</c:v>
                </c:pt>
                <c:pt idx="1006">
                  <c:v>1.0069999999999999</c:v>
                </c:pt>
                <c:pt idx="1007">
                  <c:v>1.0079999999999998</c:v>
                </c:pt>
                <c:pt idx="1008">
                  <c:v>1.0089999999999997</c:v>
                </c:pt>
                <c:pt idx="1009">
                  <c:v>1.0099999999999996</c:v>
                </c:pt>
                <c:pt idx="1010">
                  <c:v>1.0109999999999995</c:v>
                </c:pt>
                <c:pt idx="1011">
                  <c:v>1.0119999999999993</c:v>
                </c:pt>
                <c:pt idx="1012">
                  <c:v>1.0129999999999992</c:v>
                </c:pt>
                <c:pt idx="1013">
                  <c:v>1.0139999999999991</c:v>
                </c:pt>
                <c:pt idx="1014">
                  <c:v>1.014999999999999</c:v>
                </c:pt>
                <c:pt idx="1015">
                  <c:v>1.0159999999999989</c:v>
                </c:pt>
                <c:pt idx="1016">
                  <c:v>1.0169999999999988</c:v>
                </c:pt>
                <c:pt idx="1017">
                  <c:v>1.0179999999999987</c:v>
                </c:pt>
                <c:pt idx="1018">
                  <c:v>1.0189999999999986</c:v>
                </c:pt>
                <c:pt idx="1019">
                  <c:v>1.0199999999999985</c:v>
                </c:pt>
                <c:pt idx="1020">
                  <c:v>1.0209999999999984</c:v>
                </c:pt>
                <c:pt idx="1021">
                  <c:v>1.0219999999999982</c:v>
                </c:pt>
                <c:pt idx="1022">
                  <c:v>1.0229999999999981</c:v>
                </c:pt>
                <c:pt idx="1023">
                  <c:v>1.023999999999998</c:v>
                </c:pt>
                <c:pt idx="1024">
                  <c:v>1.0249999999999979</c:v>
                </c:pt>
                <c:pt idx="1025">
                  <c:v>1.0259999999999978</c:v>
                </c:pt>
                <c:pt idx="1026">
                  <c:v>1.0269999999999977</c:v>
                </c:pt>
                <c:pt idx="1027">
                  <c:v>1.0279999999999976</c:v>
                </c:pt>
                <c:pt idx="1028">
                  <c:v>1.0289999999999975</c:v>
                </c:pt>
                <c:pt idx="1029">
                  <c:v>1.0299999999999974</c:v>
                </c:pt>
                <c:pt idx="1030">
                  <c:v>1.0309999999999973</c:v>
                </c:pt>
                <c:pt idx="1031">
                  <c:v>1.0319999999999971</c:v>
                </c:pt>
                <c:pt idx="1032">
                  <c:v>1.032999999999997</c:v>
                </c:pt>
                <c:pt idx="1033">
                  <c:v>1.0339999999999969</c:v>
                </c:pt>
                <c:pt idx="1034">
                  <c:v>1.0349999999999968</c:v>
                </c:pt>
                <c:pt idx="1035">
                  <c:v>1.0359999999999967</c:v>
                </c:pt>
                <c:pt idx="1036">
                  <c:v>1.0369999999999966</c:v>
                </c:pt>
                <c:pt idx="1037">
                  <c:v>1.0379999999999965</c:v>
                </c:pt>
                <c:pt idx="1038">
                  <c:v>1.0389999999999964</c:v>
                </c:pt>
                <c:pt idx="1039">
                  <c:v>1.0399999999999963</c:v>
                </c:pt>
                <c:pt idx="1040">
                  <c:v>1.0409999999999962</c:v>
                </c:pt>
                <c:pt idx="1041">
                  <c:v>1.041999999999996</c:v>
                </c:pt>
                <c:pt idx="1042">
                  <c:v>1.0429999999999959</c:v>
                </c:pt>
                <c:pt idx="1043">
                  <c:v>1.0439999999999958</c:v>
                </c:pt>
                <c:pt idx="1044">
                  <c:v>1.0449999999999957</c:v>
                </c:pt>
                <c:pt idx="1045">
                  <c:v>1.0459999999999956</c:v>
                </c:pt>
                <c:pt idx="1046">
                  <c:v>1.0469999999999955</c:v>
                </c:pt>
                <c:pt idx="1047">
                  <c:v>1.0479999999999954</c:v>
                </c:pt>
                <c:pt idx="1048">
                  <c:v>1.0489999999999953</c:v>
                </c:pt>
                <c:pt idx="1049">
                  <c:v>1.0499999999999952</c:v>
                </c:pt>
                <c:pt idx="1050">
                  <c:v>1.050999999999995</c:v>
                </c:pt>
                <c:pt idx="1051">
                  <c:v>1.0519999999999949</c:v>
                </c:pt>
                <c:pt idx="1052">
                  <c:v>1.0529999999999948</c:v>
                </c:pt>
                <c:pt idx="1053">
                  <c:v>1.0539999999999947</c:v>
                </c:pt>
              </c:numCache>
            </c:numRef>
          </c:yVal>
          <c:smooth val="1"/>
          <c:extLst xmlns:c16r2="http://schemas.microsoft.com/office/drawing/2015/06/chart">
            <c:ext xmlns:c16="http://schemas.microsoft.com/office/drawing/2014/chart" uri="{C3380CC4-5D6E-409C-BE32-E72D297353CC}">
              <c16:uniqueId val="{00000008-6484-4791-991D-5E362FC0939B}"/>
            </c:ext>
          </c:extLst>
        </c:ser>
        <c:ser>
          <c:idx val="17"/>
          <c:order val="3"/>
          <c:tx>
            <c:v>Lifetime Constraint</c:v>
          </c:tx>
          <c:spPr>
            <a:ln>
              <a:solidFill>
                <a:srgbClr val="916BAC"/>
              </a:solidFill>
              <a:prstDash val="dash"/>
            </a:ln>
          </c:spPr>
          <c:marker>
            <c:symbol val="none"/>
          </c:marker>
          <c:dLbls>
            <c:dLbl>
              <c:idx val="989"/>
              <c:layout>
                <c:manualLayout>
                  <c:x val="-1.8999161998594288E-2"/>
                  <c:y val="9.0624236880503972E-2"/>
                </c:manualLayout>
              </c:layout>
              <c:spPr>
                <a:solidFill>
                  <a:schemeClr val="bg1"/>
                </a:solidFill>
              </c:spPr>
              <c:txPr>
                <a:bodyPr rot="-5400000" vert="horz"/>
                <a:lstStyle/>
                <a:p>
                  <a:pPr>
                    <a:defRPr sz="1600" b="1">
                      <a:solidFill>
                        <a:srgbClr val="916BAC"/>
                      </a:solidFill>
                      <a:latin typeface="Arial" panose="020B0604020202020204" pitchFamily="34" charset="0"/>
                      <a:cs typeface="Arial" panose="020B0604020202020204" pitchFamily="34" charset="0"/>
                    </a:defRPr>
                  </a:pPr>
                  <a:endParaRPr lang="en-US"/>
                </a:p>
              </c:txPr>
              <c:showLegendKey val="0"/>
              <c:showVal val="0"/>
              <c:showCatName val="0"/>
              <c:showSerName val="1"/>
              <c:showPercent val="0"/>
              <c:showBubbleSize val="0"/>
              <c:extLst>
                <c:ext xmlns:c15="http://schemas.microsoft.com/office/drawing/2012/chart" uri="{CE6537A1-D6FC-4f65-9D91-7224C49458BB}"/>
              </c:extLst>
            </c:dLbl>
            <c:spPr>
              <a:noFill/>
              <a:ln>
                <a:noFill/>
              </a:ln>
              <a:effectLst/>
            </c:spPr>
            <c:txPr>
              <a:bodyPr rot="-5400000" vert="horz"/>
              <a:lstStyle/>
              <a:p>
                <a:pPr>
                  <a:defRPr sz="1600" b="0">
                    <a:solidFill>
                      <a:srgbClr val="916BAC"/>
                    </a:solidFill>
                  </a:defRPr>
                </a:pPr>
                <a:endParaRPr lang="en-US"/>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'Arbitrage Payback Engine'!$Y$10:$Y$1063</c:f>
              <c:numCache>
                <c:formatCode>_-* #,##0.0_-;\-* #,##0.0_-;_-* "-"??_-;_-@_-</c:formatCode>
                <c:ptCount val="1054"/>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-1</c:v>
                </c:pt>
                <c:pt idx="58">
                  <c:v>-1</c:v>
                </c:pt>
                <c:pt idx="59">
                  <c:v>-1</c:v>
                </c:pt>
                <c:pt idx="60">
                  <c:v>-1</c:v>
                </c:pt>
                <c:pt idx="61">
                  <c:v>-1</c:v>
                </c:pt>
                <c:pt idx="62">
                  <c:v>-1</c:v>
                </c:pt>
                <c:pt idx="63">
                  <c:v>-1</c:v>
                </c:pt>
                <c:pt idx="64">
                  <c:v>-1</c:v>
                </c:pt>
                <c:pt idx="65">
                  <c:v>-1</c:v>
                </c:pt>
                <c:pt idx="66">
                  <c:v>-1</c:v>
                </c:pt>
                <c:pt idx="67">
                  <c:v>-1</c:v>
                </c:pt>
                <c:pt idx="68">
                  <c:v>-1</c:v>
                </c:pt>
                <c:pt idx="69">
                  <c:v>-1</c:v>
                </c:pt>
                <c:pt idx="70">
                  <c:v>-1</c:v>
                </c:pt>
                <c:pt idx="71">
                  <c:v>-1</c:v>
                </c:pt>
                <c:pt idx="72">
                  <c:v>-1</c:v>
                </c:pt>
                <c:pt idx="73">
                  <c:v>-1</c:v>
                </c:pt>
                <c:pt idx="74">
                  <c:v>-1</c:v>
                </c:pt>
                <c:pt idx="75">
                  <c:v>-1</c:v>
                </c:pt>
                <c:pt idx="76">
                  <c:v>-1</c:v>
                </c:pt>
                <c:pt idx="77">
                  <c:v>-1</c:v>
                </c:pt>
                <c:pt idx="78">
                  <c:v>-1</c:v>
                </c:pt>
                <c:pt idx="79">
                  <c:v>-1</c:v>
                </c:pt>
                <c:pt idx="80">
                  <c:v>-1</c:v>
                </c:pt>
                <c:pt idx="81">
                  <c:v>-1</c:v>
                </c:pt>
                <c:pt idx="82">
                  <c:v>-1</c:v>
                </c:pt>
                <c:pt idx="83">
                  <c:v>-1</c:v>
                </c:pt>
                <c:pt idx="84">
                  <c:v>-1</c:v>
                </c:pt>
                <c:pt idx="85">
                  <c:v>-1</c:v>
                </c:pt>
                <c:pt idx="86">
                  <c:v>-1</c:v>
                </c:pt>
                <c:pt idx="87">
                  <c:v>-1</c:v>
                </c:pt>
                <c:pt idx="88">
                  <c:v>-1</c:v>
                </c:pt>
                <c:pt idx="89">
                  <c:v>-1</c:v>
                </c:pt>
                <c:pt idx="90">
                  <c:v>-1</c:v>
                </c:pt>
                <c:pt idx="91">
                  <c:v>-1</c:v>
                </c:pt>
                <c:pt idx="92">
                  <c:v>-1</c:v>
                </c:pt>
                <c:pt idx="93">
                  <c:v>-1</c:v>
                </c:pt>
                <c:pt idx="94">
                  <c:v>-1</c:v>
                </c:pt>
                <c:pt idx="95">
                  <c:v>-1</c:v>
                </c:pt>
                <c:pt idx="96">
                  <c:v>-1</c:v>
                </c:pt>
                <c:pt idx="97">
                  <c:v>-1</c:v>
                </c:pt>
                <c:pt idx="98">
                  <c:v>-1</c:v>
                </c:pt>
                <c:pt idx="99">
                  <c:v>-1</c:v>
                </c:pt>
                <c:pt idx="100">
                  <c:v>-1</c:v>
                </c:pt>
                <c:pt idx="101">
                  <c:v>-1</c:v>
                </c:pt>
                <c:pt idx="102">
                  <c:v>-1</c:v>
                </c:pt>
                <c:pt idx="103">
                  <c:v>-1</c:v>
                </c:pt>
                <c:pt idx="104">
                  <c:v>-1</c:v>
                </c:pt>
                <c:pt idx="105">
                  <c:v>-1</c:v>
                </c:pt>
                <c:pt idx="106">
                  <c:v>-1</c:v>
                </c:pt>
                <c:pt idx="107">
                  <c:v>-1</c:v>
                </c:pt>
                <c:pt idx="108">
                  <c:v>-1</c:v>
                </c:pt>
                <c:pt idx="109">
                  <c:v>-1</c:v>
                </c:pt>
                <c:pt idx="110">
                  <c:v>-1</c:v>
                </c:pt>
                <c:pt idx="111">
                  <c:v>-1</c:v>
                </c:pt>
                <c:pt idx="112">
                  <c:v>-1</c:v>
                </c:pt>
                <c:pt idx="113">
                  <c:v>-1</c:v>
                </c:pt>
                <c:pt idx="114">
                  <c:v>-1</c:v>
                </c:pt>
                <c:pt idx="115">
                  <c:v>-1</c:v>
                </c:pt>
                <c:pt idx="116">
                  <c:v>-1</c:v>
                </c:pt>
                <c:pt idx="117">
                  <c:v>-1</c:v>
                </c:pt>
                <c:pt idx="118">
                  <c:v>-1</c:v>
                </c:pt>
                <c:pt idx="119">
                  <c:v>-1</c:v>
                </c:pt>
                <c:pt idx="120">
                  <c:v>-1</c:v>
                </c:pt>
                <c:pt idx="121">
                  <c:v>-1</c:v>
                </c:pt>
                <c:pt idx="122">
                  <c:v>-1</c:v>
                </c:pt>
                <c:pt idx="123">
                  <c:v>-1</c:v>
                </c:pt>
                <c:pt idx="124">
                  <c:v>-1</c:v>
                </c:pt>
                <c:pt idx="125">
                  <c:v>-1</c:v>
                </c:pt>
                <c:pt idx="126">
                  <c:v>-1</c:v>
                </c:pt>
                <c:pt idx="127">
                  <c:v>-1</c:v>
                </c:pt>
                <c:pt idx="128">
                  <c:v>-1</c:v>
                </c:pt>
                <c:pt idx="129">
                  <c:v>-1</c:v>
                </c:pt>
                <c:pt idx="130">
                  <c:v>-1</c:v>
                </c:pt>
                <c:pt idx="131">
                  <c:v>-1</c:v>
                </c:pt>
                <c:pt idx="132">
                  <c:v>-1</c:v>
                </c:pt>
                <c:pt idx="133">
                  <c:v>-1</c:v>
                </c:pt>
                <c:pt idx="134">
                  <c:v>-1</c:v>
                </c:pt>
                <c:pt idx="135">
                  <c:v>-1</c:v>
                </c:pt>
                <c:pt idx="136">
                  <c:v>-1</c:v>
                </c:pt>
                <c:pt idx="137">
                  <c:v>-1</c:v>
                </c:pt>
                <c:pt idx="138">
                  <c:v>-1</c:v>
                </c:pt>
                <c:pt idx="139">
                  <c:v>-1</c:v>
                </c:pt>
                <c:pt idx="140">
                  <c:v>-1</c:v>
                </c:pt>
                <c:pt idx="141">
                  <c:v>-1</c:v>
                </c:pt>
                <c:pt idx="142">
                  <c:v>-1</c:v>
                </c:pt>
                <c:pt idx="143">
                  <c:v>-1</c:v>
                </c:pt>
                <c:pt idx="144">
                  <c:v>-1</c:v>
                </c:pt>
                <c:pt idx="145">
                  <c:v>-1</c:v>
                </c:pt>
                <c:pt idx="146">
                  <c:v>-1</c:v>
                </c:pt>
                <c:pt idx="147">
                  <c:v>-1</c:v>
                </c:pt>
                <c:pt idx="148">
                  <c:v>-1</c:v>
                </c:pt>
                <c:pt idx="149">
                  <c:v>-1</c:v>
                </c:pt>
                <c:pt idx="150">
                  <c:v>-1</c:v>
                </c:pt>
                <c:pt idx="151">
                  <c:v>-1</c:v>
                </c:pt>
                <c:pt idx="152">
                  <c:v>-1</c:v>
                </c:pt>
                <c:pt idx="153">
                  <c:v>-1</c:v>
                </c:pt>
                <c:pt idx="154">
                  <c:v>-1</c:v>
                </c:pt>
                <c:pt idx="155">
                  <c:v>-1</c:v>
                </c:pt>
                <c:pt idx="156">
                  <c:v>-1</c:v>
                </c:pt>
                <c:pt idx="157">
                  <c:v>-1</c:v>
                </c:pt>
                <c:pt idx="158">
                  <c:v>-1</c:v>
                </c:pt>
                <c:pt idx="159">
                  <c:v>-1</c:v>
                </c:pt>
                <c:pt idx="160">
                  <c:v>-1</c:v>
                </c:pt>
                <c:pt idx="161">
                  <c:v>-1</c:v>
                </c:pt>
                <c:pt idx="162">
                  <c:v>-1</c:v>
                </c:pt>
                <c:pt idx="163">
                  <c:v>-1</c:v>
                </c:pt>
                <c:pt idx="164">
                  <c:v>-1</c:v>
                </c:pt>
                <c:pt idx="165">
                  <c:v>-1</c:v>
                </c:pt>
                <c:pt idx="166">
                  <c:v>-1</c:v>
                </c:pt>
                <c:pt idx="167">
                  <c:v>-1</c:v>
                </c:pt>
                <c:pt idx="168">
                  <c:v>-1</c:v>
                </c:pt>
                <c:pt idx="169">
                  <c:v>-1</c:v>
                </c:pt>
                <c:pt idx="170">
                  <c:v>-1</c:v>
                </c:pt>
                <c:pt idx="171">
                  <c:v>-1</c:v>
                </c:pt>
                <c:pt idx="172">
                  <c:v>-1</c:v>
                </c:pt>
                <c:pt idx="173">
                  <c:v>-1</c:v>
                </c:pt>
                <c:pt idx="174">
                  <c:v>-1</c:v>
                </c:pt>
                <c:pt idx="175">
                  <c:v>-1</c:v>
                </c:pt>
                <c:pt idx="176">
                  <c:v>-1</c:v>
                </c:pt>
                <c:pt idx="177">
                  <c:v>-1</c:v>
                </c:pt>
                <c:pt idx="178">
                  <c:v>-1</c:v>
                </c:pt>
                <c:pt idx="179">
                  <c:v>-1</c:v>
                </c:pt>
                <c:pt idx="180">
                  <c:v>-1</c:v>
                </c:pt>
                <c:pt idx="181">
                  <c:v>-1</c:v>
                </c:pt>
                <c:pt idx="182">
                  <c:v>-1</c:v>
                </c:pt>
                <c:pt idx="183">
                  <c:v>-1</c:v>
                </c:pt>
                <c:pt idx="184">
                  <c:v>-1</c:v>
                </c:pt>
                <c:pt idx="185">
                  <c:v>-1</c:v>
                </c:pt>
                <c:pt idx="186">
                  <c:v>-1</c:v>
                </c:pt>
                <c:pt idx="187">
                  <c:v>-1</c:v>
                </c:pt>
                <c:pt idx="188">
                  <c:v>-1</c:v>
                </c:pt>
                <c:pt idx="189">
                  <c:v>-1</c:v>
                </c:pt>
                <c:pt idx="190">
                  <c:v>-1</c:v>
                </c:pt>
                <c:pt idx="191">
                  <c:v>-1</c:v>
                </c:pt>
                <c:pt idx="192">
                  <c:v>-1</c:v>
                </c:pt>
                <c:pt idx="193">
                  <c:v>-1</c:v>
                </c:pt>
                <c:pt idx="194">
                  <c:v>-1</c:v>
                </c:pt>
                <c:pt idx="195">
                  <c:v>-1</c:v>
                </c:pt>
                <c:pt idx="196">
                  <c:v>-1</c:v>
                </c:pt>
                <c:pt idx="197">
                  <c:v>-1</c:v>
                </c:pt>
                <c:pt idx="198">
                  <c:v>-1</c:v>
                </c:pt>
                <c:pt idx="199">
                  <c:v>-1</c:v>
                </c:pt>
                <c:pt idx="200">
                  <c:v>-1</c:v>
                </c:pt>
                <c:pt idx="201">
                  <c:v>-1</c:v>
                </c:pt>
                <c:pt idx="202">
                  <c:v>-1</c:v>
                </c:pt>
                <c:pt idx="203">
                  <c:v>-1</c:v>
                </c:pt>
                <c:pt idx="204">
                  <c:v>-1</c:v>
                </c:pt>
                <c:pt idx="205">
                  <c:v>-1</c:v>
                </c:pt>
                <c:pt idx="206">
                  <c:v>-1</c:v>
                </c:pt>
                <c:pt idx="207">
                  <c:v>-1</c:v>
                </c:pt>
                <c:pt idx="208">
                  <c:v>-1</c:v>
                </c:pt>
                <c:pt idx="209">
                  <c:v>-1</c:v>
                </c:pt>
                <c:pt idx="210">
                  <c:v>-1</c:v>
                </c:pt>
                <c:pt idx="211">
                  <c:v>-1</c:v>
                </c:pt>
                <c:pt idx="212">
                  <c:v>-1</c:v>
                </c:pt>
                <c:pt idx="213">
                  <c:v>-1</c:v>
                </c:pt>
                <c:pt idx="214">
                  <c:v>-1</c:v>
                </c:pt>
                <c:pt idx="215">
                  <c:v>-1</c:v>
                </c:pt>
                <c:pt idx="216">
                  <c:v>-1</c:v>
                </c:pt>
                <c:pt idx="217">
                  <c:v>-1</c:v>
                </c:pt>
                <c:pt idx="218">
                  <c:v>-1</c:v>
                </c:pt>
                <c:pt idx="219">
                  <c:v>-1</c:v>
                </c:pt>
                <c:pt idx="220">
                  <c:v>-1</c:v>
                </c:pt>
                <c:pt idx="221">
                  <c:v>-1</c:v>
                </c:pt>
                <c:pt idx="222">
                  <c:v>-1</c:v>
                </c:pt>
                <c:pt idx="223">
                  <c:v>-1</c:v>
                </c:pt>
                <c:pt idx="224">
                  <c:v>-1</c:v>
                </c:pt>
                <c:pt idx="225">
                  <c:v>-1</c:v>
                </c:pt>
                <c:pt idx="226">
                  <c:v>-1</c:v>
                </c:pt>
                <c:pt idx="227">
                  <c:v>-1</c:v>
                </c:pt>
                <c:pt idx="228">
                  <c:v>-1</c:v>
                </c:pt>
                <c:pt idx="229">
                  <c:v>-1</c:v>
                </c:pt>
                <c:pt idx="230">
                  <c:v>-1</c:v>
                </c:pt>
                <c:pt idx="231">
                  <c:v>-1</c:v>
                </c:pt>
                <c:pt idx="232">
                  <c:v>-1</c:v>
                </c:pt>
                <c:pt idx="233">
                  <c:v>-1</c:v>
                </c:pt>
                <c:pt idx="234">
                  <c:v>-1</c:v>
                </c:pt>
                <c:pt idx="235">
                  <c:v>-1</c:v>
                </c:pt>
                <c:pt idx="236">
                  <c:v>-1</c:v>
                </c:pt>
                <c:pt idx="237">
                  <c:v>-1</c:v>
                </c:pt>
                <c:pt idx="238">
                  <c:v>-1</c:v>
                </c:pt>
                <c:pt idx="239">
                  <c:v>-1</c:v>
                </c:pt>
                <c:pt idx="240">
                  <c:v>-1</c:v>
                </c:pt>
                <c:pt idx="241">
                  <c:v>-1</c:v>
                </c:pt>
                <c:pt idx="242">
                  <c:v>-1</c:v>
                </c:pt>
                <c:pt idx="243">
                  <c:v>-1</c:v>
                </c:pt>
                <c:pt idx="244">
                  <c:v>-1</c:v>
                </c:pt>
                <c:pt idx="245">
                  <c:v>-1</c:v>
                </c:pt>
                <c:pt idx="246">
                  <c:v>-1</c:v>
                </c:pt>
                <c:pt idx="247">
                  <c:v>-1</c:v>
                </c:pt>
                <c:pt idx="248">
                  <c:v>-1</c:v>
                </c:pt>
                <c:pt idx="249">
                  <c:v>-1</c:v>
                </c:pt>
                <c:pt idx="250">
                  <c:v>-1</c:v>
                </c:pt>
                <c:pt idx="251">
                  <c:v>-1</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pt idx="309">
                  <c:v>-1</c:v>
                </c:pt>
                <c:pt idx="310">
                  <c:v>-1</c:v>
                </c:pt>
                <c:pt idx="311">
                  <c:v>-1</c:v>
                </c:pt>
                <c:pt idx="312">
                  <c:v>-1</c:v>
                </c:pt>
                <c:pt idx="313">
                  <c:v>-1</c:v>
                </c:pt>
                <c:pt idx="314">
                  <c:v>-1</c:v>
                </c:pt>
                <c:pt idx="315">
                  <c:v>-1</c:v>
                </c:pt>
                <c:pt idx="316">
                  <c:v>-1</c:v>
                </c:pt>
                <c:pt idx="317">
                  <c:v>-1</c:v>
                </c:pt>
                <c:pt idx="318">
                  <c:v>-1</c:v>
                </c:pt>
                <c:pt idx="319">
                  <c:v>-1</c:v>
                </c:pt>
                <c:pt idx="320">
                  <c:v>-1</c:v>
                </c:pt>
                <c:pt idx="321">
                  <c:v>-1</c:v>
                </c:pt>
                <c:pt idx="322">
                  <c:v>-1</c:v>
                </c:pt>
                <c:pt idx="323">
                  <c:v>-1</c:v>
                </c:pt>
                <c:pt idx="324">
                  <c:v>-1</c:v>
                </c:pt>
                <c:pt idx="325">
                  <c:v>-1</c:v>
                </c:pt>
                <c:pt idx="326">
                  <c:v>-1</c:v>
                </c:pt>
                <c:pt idx="327">
                  <c:v>-1</c:v>
                </c:pt>
                <c:pt idx="328">
                  <c:v>-1</c:v>
                </c:pt>
                <c:pt idx="329">
                  <c:v>-1</c:v>
                </c:pt>
                <c:pt idx="330">
                  <c:v>-1</c:v>
                </c:pt>
                <c:pt idx="331">
                  <c:v>-1</c:v>
                </c:pt>
                <c:pt idx="332">
                  <c:v>-1</c:v>
                </c:pt>
                <c:pt idx="333">
                  <c:v>-1</c:v>
                </c:pt>
                <c:pt idx="334">
                  <c:v>-1</c:v>
                </c:pt>
                <c:pt idx="335">
                  <c:v>-1</c:v>
                </c:pt>
                <c:pt idx="336">
                  <c:v>-1</c:v>
                </c:pt>
                <c:pt idx="337">
                  <c:v>-1</c:v>
                </c:pt>
                <c:pt idx="338">
                  <c:v>-1</c:v>
                </c:pt>
                <c:pt idx="339">
                  <c:v>-1</c:v>
                </c:pt>
                <c:pt idx="340">
                  <c:v>-1</c:v>
                </c:pt>
                <c:pt idx="341">
                  <c:v>-1</c:v>
                </c:pt>
                <c:pt idx="342">
                  <c:v>-1</c:v>
                </c:pt>
                <c:pt idx="343">
                  <c:v>-1</c:v>
                </c:pt>
                <c:pt idx="344">
                  <c:v>-1</c:v>
                </c:pt>
                <c:pt idx="345">
                  <c:v>-1</c:v>
                </c:pt>
                <c:pt idx="346">
                  <c:v>-1</c:v>
                </c:pt>
                <c:pt idx="347">
                  <c:v>-1</c:v>
                </c:pt>
                <c:pt idx="348">
                  <c:v>-1</c:v>
                </c:pt>
                <c:pt idx="349">
                  <c:v>-1</c:v>
                </c:pt>
                <c:pt idx="350">
                  <c:v>-1</c:v>
                </c:pt>
                <c:pt idx="351">
                  <c:v>-1</c:v>
                </c:pt>
                <c:pt idx="352">
                  <c:v>-1</c:v>
                </c:pt>
                <c:pt idx="353">
                  <c:v>-1</c:v>
                </c:pt>
                <c:pt idx="354">
                  <c:v>-1</c:v>
                </c:pt>
                <c:pt idx="355">
                  <c:v>-1</c:v>
                </c:pt>
                <c:pt idx="356">
                  <c:v>-1</c:v>
                </c:pt>
                <c:pt idx="357">
                  <c:v>-1</c:v>
                </c:pt>
                <c:pt idx="358">
                  <c:v>-1</c:v>
                </c:pt>
                <c:pt idx="359">
                  <c:v>-1</c:v>
                </c:pt>
                <c:pt idx="360">
                  <c:v>-1</c:v>
                </c:pt>
                <c:pt idx="361">
                  <c:v>-1</c:v>
                </c:pt>
                <c:pt idx="362">
                  <c:v>-1</c:v>
                </c:pt>
                <c:pt idx="363">
                  <c:v>-1</c:v>
                </c:pt>
                <c:pt idx="364">
                  <c:v>-1</c:v>
                </c:pt>
                <c:pt idx="365">
                  <c:v>-1</c:v>
                </c:pt>
                <c:pt idx="366">
                  <c:v>-1</c:v>
                </c:pt>
                <c:pt idx="367">
                  <c:v>-1</c:v>
                </c:pt>
                <c:pt idx="368">
                  <c:v>-1</c:v>
                </c:pt>
                <c:pt idx="369">
                  <c:v>-1</c:v>
                </c:pt>
                <c:pt idx="370">
                  <c:v>-1</c:v>
                </c:pt>
                <c:pt idx="371">
                  <c:v>-1</c:v>
                </c:pt>
                <c:pt idx="372">
                  <c:v>-1</c:v>
                </c:pt>
                <c:pt idx="373">
                  <c:v>-1</c:v>
                </c:pt>
                <c:pt idx="374">
                  <c:v>-1</c:v>
                </c:pt>
                <c:pt idx="375">
                  <c:v>-1</c:v>
                </c:pt>
                <c:pt idx="376">
                  <c:v>-1</c:v>
                </c:pt>
                <c:pt idx="377">
                  <c:v>-1</c:v>
                </c:pt>
                <c:pt idx="378">
                  <c:v>-1</c:v>
                </c:pt>
                <c:pt idx="379">
                  <c:v>-1</c:v>
                </c:pt>
                <c:pt idx="380">
                  <c:v>-1</c:v>
                </c:pt>
                <c:pt idx="381">
                  <c:v>-1</c:v>
                </c:pt>
                <c:pt idx="382">
                  <c:v>-1</c:v>
                </c:pt>
                <c:pt idx="383">
                  <c:v>-1</c:v>
                </c:pt>
                <c:pt idx="384">
                  <c:v>-1</c:v>
                </c:pt>
                <c:pt idx="385">
                  <c:v>-1</c:v>
                </c:pt>
                <c:pt idx="386">
                  <c:v>-1</c:v>
                </c:pt>
                <c:pt idx="387">
                  <c:v>-1</c:v>
                </c:pt>
                <c:pt idx="388">
                  <c:v>-1</c:v>
                </c:pt>
                <c:pt idx="389">
                  <c:v>-1</c:v>
                </c:pt>
                <c:pt idx="390">
                  <c:v>-1</c:v>
                </c:pt>
                <c:pt idx="391">
                  <c:v>-1</c:v>
                </c:pt>
                <c:pt idx="392">
                  <c:v>-1</c:v>
                </c:pt>
                <c:pt idx="393">
                  <c:v>-1</c:v>
                </c:pt>
                <c:pt idx="394">
                  <c:v>-1</c:v>
                </c:pt>
                <c:pt idx="395">
                  <c:v>-1</c:v>
                </c:pt>
                <c:pt idx="396">
                  <c:v>-1</c:v>
                </c:pt>
                <c:pt idx="397">
                  <c:v>-1</c:v>
                </c:pt>
                <c:pt idx="398">
                  <c:v>-1</c:v>
                </c:pt>
                <c:pt idx="399">
                  <c:v>-1</c:v>
                </c:pt>
                <c:pt idx="400">
                  <c:v>-1</c:v>
                </c:pt>
                <c:pt idx="401">
                  <c:v>-1</c:v>
                </c:pt>
                <c:pt idx="402">
                  <c:v>-1</c:v>
                </c:pt>
                <c:pt idx="403">
                  <c:v>-1</c:v>
                </c:pt>
                <c:pt idx="404">
                  <c:v>-1</c:v>
                </c:pt>
                <c:pt idx="405">
                  <c:v>-1</c:v>
                </c:pt>
                <c:pt idx="406">
                  <c:v>-1</c:v>
                </c:pt>
                <c:pt idx="407">
                  <c:v>-1</c:v>
                </c:pt>
                <c:pt idx="408">
                  <c:v>-1</c:v>
                </c:pt>
                <c:pt idx="409">
                  <c:v>-1</c:v>
                </c:pt>
                <c:pt idx="410">
                  <c:v>-1</c:v>
                </c:pt>
                <c:pt idx="411">
                  <c:v>-1</c:v>
                </c:pt>
                <c:pt idx="412">
                  <c:v>-1</c:v>
                </c:pt>
                <c:pt idx="413">
                  <c:v>-1</c:v>
                </c:pt>
                <c:pt idx="414">
                  <c:v>-1</c:v>
                </c:pt>
                <c:pt idx="415">
                  <c:v>-1</c:v>
                </c:pt>
                <c:pt idx="416">
                  <c:v>-1</c:v>
                </c:pt>
                <c:pt idx="417">
                  <c:v>-1</c:v>
                </c:pt>
                <c:pt idx="418">
                  <c:v>-1</c:v>
                </c:pt>
                <c:pt idx="419">
                  <c:v>-1</c:v>
                </c:pt>
                <c:pt idx="420">
                  <c:v>-1</c:v>
                </c:pt>
                <c:pt idx="421">
                  <c:v>-1</c:v>
                </c:pt>
                <c:pt idx="422">
                  <c:v>-1</c:v>
                </c:pt>
                <c:pt idx="423">
                  <c:v>-1</c:v>
                </c:pt>
                <c:pt idx="424">
                  <c:v>-1</c:v>
                </c:pt>
                <c:pt idx="425">
                  <c:v>-1</c:v>
                </c:pt>
                <c:pt idx="426">
                  <c:v>-1</c:v>
                </c:pt>
                <c:pt idx="427">
                  <c:v>-1</c:v>
                </c:pt>
                <c:pt idx="428">
                  <c:v>-1</c:v>
                </c:pt>
                <c:pt idx="429">
                  <c:v>-1</c:v>
                </c:pt>
                <c:pt idx="430">
                  <c:v>-1</c:v>
                </c:pt>
                <c:pt idx="431">
                  <c:v>-1</c:v>
                </c:pt>
                <c:pt idx="432">
                  <c:v>-1</c:v>
                </c:pt>
                <c:pt idx="433">
                  <c:v>-1</c:v>
                </c:pt>
                <c:pt idx="434">
                  <c:v>-1</c:v>
                </c:pt>
                <c:pt idx="435">
                  <c:v>-1</c:v>
                </c:pt>
                <c:pt idx="436">
                  <c:v>-1</c:v>
                </c:pt>
                <c:pt idx="437">
                  <c:v>-1</c:v>
                </c:pt>
                <c:pt idx="438">
                  <c:v>-1</c:v>
                </c:pt>
                <c:pt idx="439">
                  <c:v>-1</c:v>
                </c:pt>
                <c:pt idx="440">
                  <c:v>-1</c:v>
                </c:pt>
                <c:pt idx="441">
                  <c:v>-1</c:v>
                </c:pt>
                <c:pt idx="442">
                  <c:v>-1</c:v>
                </c:pt>
                <c:pt idx="443">
                  <c:v>-1</c:v>
                </c:pt>
                <c:pt idx="444">
                  <c:v>-1</c:v>
                </c:pt>
                <c:pt idx="445">
                  <c:v>-1</c:v>
                </c:pt>
                <c:pt idx="446">
                  <c:v>-1</c:v>
                </c:pt>
                <c:pt idx="447">
                  <c:v>-1</c:v>
                </c:pt>
                <c:pt idx="448">
                  <c:v>-1</c:v>
                </c:pt>
                <c:pt idx="449">
                  <c:v>-1</c:v>
                </c:pt>
                <c:pt idx="450">
                  <c:v>-1</c:v>
                </c:pt>
                <c:pt idx="451">
                  <c:v>-1</c:v>
                </c:pt>
                <c:pt idx="452">
                  <c:v>-1</c:v>
                </c:pt>
                <c:pt idx="453">
                  <c:v>-1</c:v>
                </c:pt>
                <c:pt idx="454">
                  <c:v>-1</c:v>
                </c:pt>
                <c:pt idx="455">
                  <c:v>-1</c:v>
                </c:pt>
                <c:pt idx="456">
                  <c:v>-1</c:v>
                </c:pt>
                <c:pt idx="457">
                  <c:v>-1</c:v>
                </c:pt>
                <c:pt idx="458">
                  <c:v>-1</c:v>
                </c:pt>
                <c:pt idx="459">
                  <c:v>-1</c:v>
                </c:pt>
                <c:pt idx="460">
                  <c:v>-1</c:v>
                </c:pt>
                <c:pt idx="461">
                  <c:v>-1</c:v>
                </c:pt>
                <c:pt idx="462">
                  <c:v>-1</c:v>
                </c:pt>
                <c:pt idx="463">
                  <c:v>-1</c:v>
                </c:pt>
                <c:pt idx="464">
                  <c:v>-1</c:v>
                </c:pt>
                <c:pt idx="465">
                  <c:v>-1</c:v>
                </c:pt>
                <c:pt idx="466">
                  <c:v>-1</c:v>
                </c:pt>
                <c:pt idx="467">
                  <c:v>-1</c:v>
                </c:pt>
                <c:pt idx="468">
                  <c:v>-1</c:v>
                </c:pt>
                <c:pt idx="469">
                  <c:v>-1</c:v>
                </c:pt>
                <c:pt idx="470">
                  <c:v>-1</c:v>
                </c:pt>
                <c:pt idx="471">
                  <c:v>-1</c:v>
                </c:pt>
                <c:pt idx="472">
                  <c:v>-1</c:v>
                </c:pt>
                <c:pt idx="473">
                  <c:v>-1</c:v>
                </c:pt>
                <c:pt idx="474">
                  <c:v>-1</c:v>
                </c:pt>
                <c:pt idx="475">
                  <c:v>-1</c:v>
                </c:pt>
                <c:pt idx="476">
                  <c:v>-1</c:v>
                </c:pt>
                <c:pt idx="477">
                  <c:v>-1</c:v>
                </c:pt>
                <c:pt idx="478">
                  <c:v>-1</c:v>
                </c:pt>
                <c:pt idx="479">
                  <c:v>-1</c:v>
                </c:pt>
                <c:pt idx="480">
                  <c:v>-1</c:v>
                </c:pt>
                <c:pt idx="481">
                  <c:v>-1</c:v>
                </c:pt>
                <c:pt idx="482">
                  <c:v>-1</c:v>
                </c:pt>
                <c:pt idx="483">
                  <c:v>-1</c:v>
                </c:pt>
                <c:pt idx="484">
                  <c:v>-1</c:v>
                </c:pt>
                <c:pt idx="485">
                  <c:v>-1</c:v>
                </c:pt>
                <c:pt idx="486">
                  <c:v>-1</c:v>
                </c:pt>
                <c:pt idx="487">
                  <c:v>-1</c:v>
                </c:pt>
                <c:pt idx="488">
                  <c:v>-1</c:v>
                </c:pt>
                <c:pt idx="489">
                  <c:v>-1</c:v>
                </c:pt>
                <c:pt idx="490">
                  <c:v>-1</c:v>
                </c:pt>
                <c:pt idx="491">
                  <c:v>-1</c:v>
                </c:pt>
                <c:pt idx="492">
                  <c:v>-1</c:v>
                </c:pt>
                <c:pt idx="493">
                  <c:v>-1</c:v>
                </c:pt>
                <c:pt idx="494">
                  <c:v>-1</c:v>
                </c:pt>
                <c:pt idx="495">
                  <c:v>-1</c:v>
                </c:pt>
                <c:pt idx="496">
                  <c:v>-1</c:v>
                </c:pt>
                <c:pt idx="497">
                  <c:v>-1</c:v>
                </c:pt>
                <c:pt idx="498">
                  <c:v>-1</c:v>
                </c:pt>
                <c:pt idx="499">
                  <c:v>-1</c:v>
                </c:pt>
                <c:pt idx="500">
                  <c:v>-1</c:v>
                </c:pt>
                <c:pt idx="501">
                  <c:v>-1</c:v>
                </c:pt>
                <c:pt idx="502">
                  <c:v>-1</c:v>
                </c:pt>
                <c:pt idx="503">
                  <c:v>-1</c:v>
                </c:pt>
                <c:pt idx="504">
                  <c:v>-1</c:v>
                </c:pt>
                <c:pt idx="505">
                  <c:v>-1</c:v>
                </c:pt>
                <c:pt idx="506">
                  <c:v>-1</c:v>
                </c:pt>
                <c:pt idx="507">
                  <c:v>-1</c:v>
                </c:pt>
                <c:pt idx="508">
                  <c:v>-1</c:v>
                </c:pt>
                <c:pt idx="509">
                  <c:v>-1</c:v>
                </c:pt>
                <c:pt idx="510">
                  <c:v>-1</c:v>
                </c:pt>
                <c:pt idx="511">
                  <c:v>-1</c:v>
                </c:pt>
                <c:pt idx="512">
                  <c:v>-1</c:v>
                </c:pt>
                <c:pt idx="513">
                  <c:v>-1</c:v>
                </c:pt>
                <c:pt idx="514">
                  <c:v>-1</c:v>
                </c:pt>
                <c:pt idx="515">
                  <c:v>-1</c:v>
                </c:pt>
                <c:pt idx="516">
                  <c:v>-1</c:v>
                </c:pt>
                <c:pt idx="517">
                  <c:v>-1</c:v>
                </c:pt>
                <c:pt idx="518">
                  <c:v>-1</c:v>
                </c:pt>
                <c:pt idx="519">
                  <c:v>-1</c:v>
                </c:pt>
                <c:pt idx="520">
                  <c:v>-1</c:v>
                </c:pt>
                <c:pt idx="521">
                  <c:v>-1</c:v>
                </c:pt>
                <c:pt idx="522">
                  <c:v>-1</c:v>
                </c:pt>
                <c:pt idx="523">
                  <c:v>-1</c:v>
                </c:pt>
                <c:pt idx="524">
                  <c:v>-1</c:v>
                </c:pt>
                <c:pt idx="525">
                  <c:v>-1</c:v>
                </c:pt>
                <c:pt idx="526">
                  <c:v>-1</c:v>
                </c:pt>
                <c:pt idx="527">
                  <c:v>-1</c:v>
                </c:pt>
                <c:pt idx="528">
                  <c:v>-1</c:v>
                </c:pt>
                <c:pt idx="529">
                  <c:v>-1</c:v>
                </c:pt>
                <c:pt idx="530">
                  <c:v>-1</c:v>
                </c:pt>
                <c:pt idx="531">
                  <c:v>-1</c:v>
                </c:pt>
                <c:pt idx="532">
                  <c:v>-1</c:v>
                </c:pt>
                <c:pt idx="533">
                  <c:v>-1</c:v>
                </c:pt>
                <c:pt idx="534">
                  <c:v>-1</c:v>
                </c:pt>
                <c:pt idx="535">
                  <c:v>-1</c:v>
                </c:pt>
                <c:pt idx="536">
                  <c:v>-1</c:v>
                </c:pt>
                <c:pt idx="537">
                  <c:v>-1</c:v>
                </c:pt>
                <c:pt idx="538">
                  <c:v>-1</c:v>
                </c:pt>
                <c:pt idx="539">
                  <c:v>-1</c:v>
                </c:pt>
                <c:pt idx="540">
                  <c:v>-1</c:v>
                </c:pt>
                <c:pt idx="541">
                  <c:v>-1</c:v>
                </c:pt>
                <c:pt idx="542">
                  <c:v>-1</c:v>
                </c:pt>
                <c:pt idx="543">
                  <c:v>-1</c:v>
                </c:pt>
                <c:pt idx="544">
                  <c:v>-1</c:v>
                </c:pt>
                <c:pt idx="545">
                  <c:v>-1</c:v>
                </c:pt>
                <c:pt idx="546">
                  <c:v>-1</c:v>
                </c:pt>
                <c:pt idx="547">
                  <c:v>-1</c:v>
                </c:pt>
                <c:pt idx="548">
                  <c:v>-1</c:v>
                </c:pt>
                <c:pt idx="549">
                  <c:v>-1</c:v>
                </c:pt>
                <c:pt idx="550">
                  <c:v>-1</c:v>
                </c:pt>
                <c:pt idx="551">
                  <c:v>-1</c:v>
                </c:pt>
                <c:pt idx="552">
                  <c:v>-1</c:v>
                </c:pt>
                <c:pt idx="553">
                  <c:v>-1</c:v>
                </c:pt>
                <c:pt idx="554">
                  <c:v>-1</c:v>
                </c:pt>
                <c:pt idx="555">
                  <c:v>-1</c:v>
                </c:pt>
                <c:pt idx="556">
                  <c:v>-1</c:v>
                </c:pt>
                <c:pt idx="557">
                  <c:v>-1</c:v>
                </c:pt>
                <c:pt idx="558">
                  <c:v>-1</c:v>
                </c:pt>
                <c:pt idx="559">
                  <c:v>-1</c:v>
                </c:pt>
                <c:pt idx="560">
                  <c:v>-1</c:v>
                </c:pt>
                <c:pt idx="561">
                  <c:v>-1</c:v>
                </c:pt>
                <c:pt idx="562">
                  <c:v>-1</c:v>
                </c:pt>
                <c:pt idx="563">
                  <c:v>-1</c:v>
                </c:pt>
                <c:pt idx="564">
                  <c:v>-1</c:v>
                </c:pt>
                <c:pt idx="565">
                  <c:v>-1</c:v>
                </c:pt>
                <c:pt idx="566">
                  <c:v>-1</c:v>
                </c:pt>
                <c:pt idx="567">
                  <c:v>-1</c:v>
                </c:pt>
                <c:pt idx="568">
                  <c:v>-1</c:v>
                </c:pt>
                <c:pt idx="569">
                  <c:v>-1</c:v>
                </c:pt>
                <c:pt idx="570">
                  <c:v>-1</c:v>
                </c:pt>
                <c:pt idx="571">
                  <c:v>-1</c:v>
                </c:pt>
                <c:pt idx="572">
                  <c:v>-1</c:v>
                </c:pt>
                <c:pt idx="573">
                  <c:v>-1</c:v>
                </c:pt>
                <c:pt idx="574">
                  <c:v>-1</c:v>
                </c:pt>
                <c:pt idx="575">
                  <c:v>-1</c:v>
                </c:pt>
                <c:pt idx="576">
                  <c:v>-1</c:v>
                </c:pt>
                <c:pt idx="577">
                  <c:v>-1</c:v>
                </c:pt>
                <c:pt idx="578">
                  <c:v>-1</c:v>
                </c:pt>
                <c:pt idx="579">
                  <c:v>-1</c:v>
                </c:pt>
                <c:pt idx="580">
                  <c:v>-1</c:v>
                </c:pt>
                <c:pt idx="581">
                  <c:v>-1</c:v>
                </c:pt>
                <c:pt idx="582">
                  <c:v>-1</c:v>
                </c:pt>
                <c:pt idx="583">
                  <c:v>-1</c:v>
                </c:pt>
                <c:pt idx="584">
                  <c:v>-1</c:v>
                </c:pt>
                <c:pt idx="585">
                  <c:v>-1</c:v>
                </c:pt>
                <c:pt idx="586">
                  <c:v>-1</c:v>
                </c:pt>
                <c:pt idx="587">
                  <c:v>-1</c:v>
                </c:pt>
                <c:pt idx="588">
                  <c:v>-1</c:v>
                </c:pt>
                <c:pt idx="589">
                  <c:v>-1</c:v>
                </c:pt>
                <c:pt idx="590">
                  <c:v>-1</c:v>
                </c:pt>
                <c:pt idx="591">
                  <c:v>-1</c:v>
                </c:pt>
                <c:pt idx="592">
                  <c:v>-1</c:v>
                </c:pt>
                <c:pt idx="593">
                  <c:v>-1</c:v>
                </c:pt>
                <c:pt idx="594">
                  <c:v>-1</c:v>
                </c:pt>
                <c:pt idx="595">
                  <c:v>-1</c:v>
                </c:pt>
                <c:pt idx="596">
                  <c:v>-1</c:v>
                </c:pt>
                <c:pt idx="597">
                  <c:v>-1</c:v>
                </c:pt>
                <c:pt idx="598">
                  <c:v>-1</c:v>
                </c:pt>
                <c:pt idx="599">
                  <c:v>-1</c:v>
                </c:pt>
                <c:pt idx="600">
                  <c:v>-1</c:v>
                </c:pt>
                <c:pt idx="601">
                  <c:v>-1</c:v>
                </c:pt>
                <c:pt idx="602">
                  <c:v>-1</c:v>
                </c:pt>
                <c:pt idx="603">
                  <c:v>-1</c:v>
                </c:pt>
                <c:pt idx="604">
                  <c:v>-1</c:v>
                </c:pt>
                <c:pt idx="605">
                  <c:v>-1</c:v>
                </c:pt>
                <c:pt idx="606">
                  <c:v>-1</c:v>
                </c:pt>
                <c:pt idx="607">
                  <c:v>-1</c:v>
                </c:pt>
                <c:pt idx="608">
                  <c:v>-1</c:v>
                </c:pt>
                <c:pt idx="609">
                  <c:v>-1</c:v>
                </c:pt>
                <c:pt idx="610">
                  <c:v>-1</c:v>
                </c:pt>
                <c:pt idx="611">
                  <c:v>-1</c:v>
                </c:pt>
                <c:pt idx="612">
                  <c:v>-1</c:v>
                </c:pt>
                <c:pt idx="613">
                  <c:v>-1</c:v>
                </c:pt>
                <c:pt idx="614">
                  <c:v>-1</c:v>
                </c:pt>
                <c:pt idx="615">
                  <c:v>-1</c:v>
                </c:pt>
                <c:pt idx="616">
                  <c:v>-1</c:v>
                </c:pt>
                <c:pt idx="617">
                  <c:v>-1</c:v>
                </c:pt>
                <c:pt idx="618">
                  <c:v>-1</c:v>
                </c:pt>
                <c:pt idx="619">
                  <c:v>-1</c:v>
                </c:pt>
                <c:pt idx="620">
                  <c:v>-1</c:v>
                </c:pt>
                <c:pt idx="621">
                  <c:v>-1</c:v>
                </c:pt>
                <c:pt idx="622">
                  <c:v>-1</c:v>
                </c:pt>
                <c:pt idx="623">
                  <c:v>-1</c:v>
                </c:pt>
                <c:pt idx="624">
                  <c:v>-1</c:v>
                </c:pt>
                <c:pt idx="625">
                  <c:v>-1</c:v>
                </c:pt>
                <c:pt idx="626">
                  <c:v>-1</c:v>
                </c:pt>
                <c:pt idx="627">
                  <c:v>-1</c:v>
                </c:pt>
                <c:pt idx="628">
                  <c:v>-1</c:v>
                </c:pt>
                <c:pt idx="629">
                  <c:v>-1</c:v>
                </c:pt>
                <c:pt idx="630">
                  <c:v>-1</c:v>
                </c:pt>
                <c:pt idx="631">
                  <c:v>-1</c:v>
                </c:pt>
                <c:pt idx="632">
                  <c:v>-1</c:v>
                </c:pt>
                <c:pt idx="633">
                  <c:v>-1</c:v>
                </c:pt>
                <c:pt idx="634">
                  <c:v>-1</c:v>
                </c:pt>
                <c:pt idx="635">
                  <c:v>-1</c:v>
                </c:pt>
                <c:pt idx="636">
                  <c:v>-1</c:v>
                </c:pt>
                <c:pt idx="637">
                  <c:v>-1</c:v>
                </c:pt>
                <c:pt idx="638">
                  <c:v>-1</c:v>
                </c:pt>
                <c:pt idx="639">
                  <c:v>-1</c:v>
                </c:pt>
                <c:pt idx="640">
                  <c:v>-1</c:v>
                </c:pt>
                <c:pt idx="641">
                  <c:v>-1</c:v>
                </c:pt>
                <c:pt idx="642">
                  <c:v>-1</c:v>
                </c:pt>
                <c:pt idx="643">
                  <c:v>-1</c:v>
                </c:pt>
                <c:pt idx="644">
                  <c:v>-1</c:v>
                </c:pt>
                <c:pt idx="645">
                  <c:v>-1</c:v>
                </c:pt>
                <c:pt idx="646">
                  <c:v>-1</c:v>
                </c:pt>
                <c:pt idx="647">
                  <c:v>-1</c:v>
                </c:pt>
                <c:pt idx="648">
                  <c:v>-1</c:v>
                </c:pt>
                <c:pt idx="649">
                  <c:v>-1</c:v>
                </c:pt>
                <c:pt idx="650">
                  <c:v>-1</c:v>
                </c:pt>
                <c:pt idx="651">
                  <c:v>-1</c:v>
                </c:pt>
                <c:pt idx="652">
                  <c:v>-1</c:v>
                </c:pt>
                <c:pt idx="653">
                  <c:v>-1</c:v>
                </c:pt>
                <c:pt idx="654">
                  <c:v>-1</c:v>
                </c:pt>
                <c:pt idx="655">
                  <c:v>-1</c:v>
                </c:pt>
                <c:pt idx="656">
                  <c:v>-1</c:v>
                </c:pt>
                <c:pt idx="657">
                  <c:v>-1</c:v>
                </c:pt>
                <c:pt idx="658">
                  <c:v>-1</c:v>
                </c:pt>
                <c:pt idx="659">
                  <c:v>-1</c:v>
                </c:pt>
                <c:pt idx="660">
                  <c:v>-1</c:v>
                </c:pt>
                <c:pt idx="661">
                  <c:v>-1</c:v>
                </c:pt>
                <c:pt idx="662">
                  <c:v>-1</c:v>
                </c:pt>
                <c:pt idx="663">
                  <c:v>-1</c:v>
                </c:pt>
                <c:pt idx="664">
                  <c:v>-1</c:v>
                </c:pt>
                <c:pt idx="665">
                  <c:v>-1</c:v>
                </c:pt>
                <c:pt idx="666">
                  <c:v>-1</c:v>
                </c:pt>
                <c:pt idx="667">
                  <c:v>-1</c:v>
                </c:pt>
                <c:pt idx="668">
                  <c:v>-1</c:v>
                </c:pt>
                <c:pt idx="669">
                  <c:v>-1</c:v>
                </c:pt>
                <c:pt idx="670">
                  <c:v>-1</c:v>
                </c:pt>
                <c:pt idx="671">
                  <c:v>-1</c:v>
                </c:pt>
                <c:pt idx="672">
                  <c:v>-1</c:v>
                </c:pt>
                <c:pt idx="673">
                  <c:v>-1</c:v>
                </c:pt>
                <c:pt idx="674">
                  <c:v>-1</c:v>
                </c:pt>
                <c:pt idx="675">
                  <c:v>-1</c:v>
                </c:pt>
                <c:pt idx="676">
                  <c:v>-1</c:v>
                </c:pt>
                <c:pt idx="677">
                  <c:v>-1</c:v>
                </c:pt>
                <c:pt idx="678">
                  <c:v>-1</c:v>
                </c:pt>
                <c:pt idx="679">
                  <c:v>-1</c:v>
                </c:pt>
                <c:pt idx="680">
                  <c:v>-1</c:v>
                </c:pt>
                <c:pt idx="681">
                  <c:v>-1</c:v>
                </c:pt>
                <c:pt idx="682">
                  <c:v>-1</c:v>
                </c:pt>
                <c:pt idx="683">
                  <c:v>-1</c:v>
                </c:pt>
                <c:pt idx="684">
                  <c:v>-1</c:v>
                </c:pt>
                <c:pt idx="685">
                  <c:v>-1</c:v>
                </c:pt>
                <c:pt idx="686">
                  <c:v>-1</c:v>
                </c:pt>
                <c:pt idx="687">
                  <c:v>-1</c:v>
                </c:pt>
                <c:pt idx="688">
                  <c:v>-1</c:v>
                </c:pt>
                <c:pt idx="689">
                  <c:v>-1</c:v>
                </c:pt>
                <c:pt idx="690">
                  <c:v>-1</c:v>
                </c:pt>
                <c:pt idx="691">
                  <c:v>-1</c:v>
                </c:pt>
                <c:pt idx="692">
                  <c:v>-1</c:v>
                </c:pt>
                <c:pt idx="693">
                  <c:v>-1</c:v>
                </c:pt>
                <c:pt idx="694">
                  <c:v>-1</c:v>
                </c:pt>
                <c:pt idx="695">
                  <c:v>-1</c:v>
                </c:pt>
                <c:pt idx="696">
                  <c:v>-1</c:v>
                </c:pt>
                <c:pt idx="697">
                  <c:v>-1</c:v>
                </c:pt>
                <c:pt idx="698">
                  <c:v>-1</c:v>
                </c:pt>
                <c:pt idx="699">
                  <c:v>-1</c:v>
                </c:pt>
                <c:pt idx="700">
                  <c:v>-1</c:v>
                </c:pt>
                <c:pt idx="701">
                  <c:v>-1</c:v>
                </c:pt>
                <c:pt idx="702">
                  <c:v>-1</c:v>
                </c:pt>
                <c:pt idx="703">
                  <c:v>-1</c:v>
                </c:pt>
                <c:pt idx="704">
                  <c:v>-1</c:v>
                </c:pt>
                <c:pt idx="705">
                  <c:v>-1</c:v>
                </c:pt>
                <c:pt idx="706">
                  <c:v>-1</c:v>
                </c:pt>
                <c:pt idx="707">
                  <c:v>-1</c:v>
                </c:pt>
                <c:pt idx="708">
                  <c:v>-1</c:v>
                </c:pt>
                <c:pt idx="709">
                  <c:v>-1</c:v>
                </c:pt>
                <c:pt idx="710">
                  <c:v>-1</c:v>
                </c:pt>
                <c:pt idx="711">
                  <c:v>-1</c:v>
                </c:pt>
                <c:pt idx="712">
                  <c:v>-1</c:v>
                </c:pt>
                <c:pt idx="713">
                  <c:v>-1</c:v>
                </c:pt>
                <c:pt idx="714">
                  <c:v>-1</c:v>
                </c:pt>
                <c:pt idx="715">
                  <c:v>-1</c:v>
                </c:pt>
                <c:pt idx="716">
                  <c:v>-1</c:v>
                </c:pt>
                <c:pt idx="717">
                  <c:v>-1</c:v>
                </c:pt>
                <c:pt idx="718">
                  <c:v>-1</c:v>
                </c:pt>
                <c:pt idx="719">
                  <c:v>-1</c:v>
                </c:pt>
                <c:pt idx="720">
                  <c:v>-1</c:v>
                </c:pt>
                <c:pt idx="721">
                  <c:v>-1</c:v>
                </c:pt>
                <c:pt idx="722">
                  <c:v>-1</c:v>
                </c:pt>
                <c:pt idx="723">
                  <c:v>-1</c:v>
                </c:pt>
                <c:pt idx="724">
                  <c:v>-1</c:v>
                </c:pt>
                <c:pt idx="725">
                  <c:v>-1</c:v>
                </c:pt>
                <c:pt idx="726">
                  <c:v>-1</c:v>
                </c:pt>
                <c:pt idx="727">
                  <c:v>-1</c:v>
                </c:pt>
                <c:pt idx="728">
                  <c:v>-1</c:v>
                </c:pt>
                <c:pt idx="729">
                  <c:v>-1</c:v>
                </c:pt>
                <c:pt idx="730">
                  <c:v>-1</c:v>
                </c:pt>
                <c:pt idx="731">
                  <c:v>-1</c:v>
                </c:pt>
                <c:pt idx="732">
                  <c:v>-1</c:v>
                </c:pt>
                <c:pt idx="733">
                  <c:v>-1</c:v>
                </c:pt>
                <c:pt idx="734">
                  <c:v>-1</c:v>
                </c:pt>
                <c:pt idx="735">
                  <c:v>-1</c:v>
                </c:pt>
                <c:pt idx="736">
                  <c:v>-1</c:v>
                </c:pt>
                <c:pt idx="737">
                  <c:v>-1</c:v>
                </c:pt>
                <c:pt idx="738">
                  <c:v>-1</c:v>
                </c:pt>
                <c:pt idx="739">
                  <c:v>-1</c:v>
                </c:pt>
                <c:pt idx="740">
                  <c:v>-1</c:v>
                </c:pt>
                <c:pt idx="741">
                  <c:v>-1</c:v>
                </c:pt>
                <c:pt idx="742">
                  <c:v>-1</c:v>
                </c:pt>
                <c:pt idx="743">
                  <c:v>-1</c:v>
                </c:pt>
                <c:pt idx="744">
                  <c:v>-1</c:v>
                </c:pt>
                <c:pt idx="745">
                  <c:v>-1</c:v>
                </c:pt>
                <c:pt idx="746">
                  <c:v>-1</c:v>
                </c:pt>
                <c:pt idx="747">
                  <c:v>-1</c:v>
                </c:pt>
                <c:pt idx="748">
                  <c:v>-1</c:v>
                </c:pt>
                <c:pt idx="749">
                  <c:v>-1</c:v>
                </c:pt>
                <c:pt idx="750">
                  <c:v>-1</c:v>
                </c:pt>
                <c:pt idx="751">
                  <c:v>-1</c:v>
                </c:pt>
                <c:pt idx="752">
                  <c:v>-1</c:v>
                </c:pt>
                <c:pt idx="753">
                  <c:v>-1</c:v>
                </c:pt>
                <c:pt idx="754">
                  <c:v>-1</c:v>
                </c:pt>
                <c:pt idx="755">
                  <c:v>-1</c:v>
                </c:pt>
                <c:pt idx="756">
                  <c:v>-1</c:v>
                </c:pt>
                <c:pt idx="757">
                  <c:v>-1</c:v>
                </c:pt>
                <c:pt idx="758">
                  <c:v>-1</c:v>
                </c:pt>
                <c:pt idx="759">
                  <c:v>-1</c:v>
                </c:pt>
                <c:pt idx="760">
                  <c:v>-1</c:v>
                </c:pt>
                <c:pt idx="761">
                  <c:v>-1</c:v>
                </c:pt>
                <c:pt idx="762">
                  <c:v>-1</c:v>
                </c:pt>
                <c:pt idx="763">
                  <c:v>-1</c:v>
                </c:pt>
                <c:pt idx="764">
                  <c:v>-1</c:v>
                </c:pt>
                <c:pt idx="765">
                  <c:v>-1</c:v>
                </c:pt>
                <c:pt idx="766">
                  <c:v>-1</c:v>
                </c:pt>
                <c:pt idx="767">
                  <c:v>-1</c:v>
                </c:pt>
                <c:pt idx="768">
                  <c:v>-1</c:v>
                </c:pt>
                <c:pt idx="769">
                  <c:v>-1</c:v>
                </c:pt>
                <c:pt idx="770">
                  <c:v>-1</c:v>
                </c:pt>
                <c:pt idx="771">
                  <c:v>-1</c:v>
                </c:pt>
                <c:pt idx="772">
                  <c:v>-1</c:v>
                </c:pt>
                <c:pt idx="773">
                  <c:v>-1</c:v>
                </c:pt>
                <c:pt idx="774">
                  <c:v>-1</c:v>
                </c:pt>
                <c:pt idx="775">
                  <c:v>-1</c:v>
                </c:pt>
                <c:pt idx="776">
                  <c:v>-1</c:v>
                </c:pt>
                <c:pt idx="777">
                  <c:v>-1</c:v>
                </c:pt>
                <c:pt idx="778">
                  <c:v>-1</c:v>
                </c:pt>
                <c:pt idx="779">
                  <c:v>-1</c:v>
                </c:pt>
                <c:pt idx="780">
                  <c:v>-1</c:v>
                </c:pt>
                <c:pt idx="781">
                  <c:v>-1</c:v>
                </c:pt>
                <c:pt idx="782">
                  <c:v>-1</c:v>
                </c:pt>
                <c:pt idx="783">
                  <c:v>-1</c:v>
                </c:pt>
                <c:pt idx="784">
                  <c:v>-1</c:v>
                </c:pt>
                <c:pt idx="785">
                  <c:v>-1</c:v>
                </c:pt>
                <c:pt idx="786">
                  <c:v>-1</c:v>
                </c:pt>
                <c:pt idx="787">
                  <c:v>-1</c:v>
                </c:pt>
                <c:pt idx="788">
                  <c:v>-1</c:v>
                </c:pt>
                <c:pt idx="789">
                  <c:v>-1</c:v>
                </c:pt>
                <c:pt idx="790">
                  <c:v>-1</c:v>
                </c:pt>
                <c:pt idx="791">
                  <c:v>-1</c:v>
                </c:pt>
                <c:pt idx="792">
                  <c:v>-1</c:v>
                </c:pt>
                <c:pt idx="793">
                  <c:v>-1</c:v>
                </c:pt>
                <c:pt idx="794">
                  <c:v>-1</c:v>
                </c:pt>
                <c:pt idx="795">
                  <c:v>-1</c:v>
                </c:pt>
                <c:pt idx="796">
                  <c:v>-1</c:v>
                </c:pt>
                <c:pt idx="797">
                  <c:v>-1</c:v>
                </c:pt>
                <c:pt idx="798">
                  <c:v>-1</c:v>
                </c:pt>
                <c:pt idx="799">
                  <c:v>-1</c:v>
                </c:pt>
                <c:pt idx="800">
                  <c:v>-1</c:v>
                </c:pt>
                <c:pt idx="801">
                  <c:v>-1</c:v>
                </c:pt>
                <c:pt idx="802">
                  <c:v>-1</c:v>
                </c:pt>
                <c:pt idx="803">
                  <c:v>-1</c:v>
                </c:pt>
                <c:pt idx="804">
                  <c:v>-1</c:v>
                </c:pt>
                <c:pt idx="805">
                  <c:v>-1</c:v>
                </c:pt>
                <c:pt idx="806">
                  <c:v>-1</c:v>
                </c:pt>
                <c:pt idx="807">
                  <c:v>-1</c:v>
                </c:pt>
                <c:pt idx="808">
                  <c:v>-1</c:v>
                </c:pt>
                <c:pt idx="809">
                  <c:v>-1</c:v>
                </c:pt>
                <c:pt idx="810">
                  <c:v>-1</c:v>
                </c:pt>
                <c:pt idx="811">
                  <c:v>-1</c:v>
                </c:pt>
                <c:pt idx="812">
                  <c:v>-1</c:v>
                </c:pt>
                <c:pt idx="813">
                  <c:v>-1</c:v>
                </c:pt>
                <c:pt idx="814">
                  <c:v>-1</c:v>
                </c:pt>
                <c:pt idx="815">
                  <c:v>-1</c:v>
                </c:pt>
                <c:pt idx="816">
                  <c:v>-1</c:v>
                </c:pt>
                <c:pt idx="817">
                  <c:v>-1</c:v>
                </c:pt>
                <c:pt idx="818">
                  <c:v>-1</c:v>
                </c:pt>
                <c:pt idx="819">
                  <c:v>-1</c:v>
                </c:pt>
                <c:pt idx="820">
                  <c:v>-1</c:v>
                </c:pt>
                <c:pt idx="821">
                  <c:v>-1</c:v>
                </c:pt>
                <c:pt idx="822">
                  <c:v>-1</c:v>
                </c:pt>
                <c:pt idx="823">
                  <c:v>-1</c:v>
                </c:pt>
                <c:pt idx="824">
                  <c:v>-1</c:v>
                </c:pt>
                <c:pt idx="825">
                  <c:v>-1</c:v>
                </c:pt>
                <c:pt idx="826">
                  <c:v>-1</c:v>
                </c:pt>
                <c:pt idx="827">
                  <c:v>-1</c:v>
                </c:pt>
                <c:pt idx="828">
                  <c:v>-1</c:v>
                </c:pt>
                <c:pt idx="829">
                  <c:v>-1</c:v>
                </c:pt>
                <c:pt idx="830">
                  <c:v>-1</c:v>
                </c:pt>
                <c:pt idx="831">
                  <c:v>-1</c:v>
                </c:pt>
                <c:pt idx="832">
                  <c:v>-1</c:v>
                </c:pt>
                <c:pt idx="833">
                  <c:v>-1</c:v>
                </c:pt>
                <c:pt idx="834">
                  <c:v>-1</c:v>
                </c:pt>
                <c:pt idx="835">
                  <c:v>-1</c:v>
                </c:pt>
                <c:pt idx="836">
                  <c:v>-1</c:v>
                </c:pt>
                <c:pt idx="837">
                  <c:v>-1</c:v>
                </c:pt>
                <c:pt idx="838">
                  <c:v>-1</c:v>
                </c:pt>
                <c:pt idx="839">
                  <c:v>-1</c:v>
                </c:pt>
                <c:pt idx="840">
                  <c:v>-1</c:v>
                </c:pt>
                <c:pt idx="841">
                  <c:v>-1</c:v>
                </c:pt>
                <c:pt idx="842">
                  <c:v>-1</c:v>
                </c:pt>
                <c:pt idx="843">
                  <c:v>-1</c:v>
                </c:pt>
                <c:pt idx="844">
                  <c:v>-1</c:v>
                </c:pt>
                <c:pt idx="845">
                  <c:v>-1</c:v>
                </c:pt>
                <c:pt idx="846">
                  <c:v>-1</c:v>
                </c:pt>
                <c:pt idx="847">
                  <c:v>-1</c:v>
                </c:pt>
                <c:pt idx="848">
                  <c:v>-1</c:v>
                </c:pt>
                <c:pt idx="849">
                  <c:v>-1</c:v>
                </c:pt>
                <c:pt idx="850">
                  <c:v>-1</c:v>
                </c:pt>
                <c:pt idx="851">
                  <c:v>-1</c:v>
                </c:pt>
                <c:pt idx="852">
                  <c:v>-1</c:v>
                </c:pt>
                <c:pt idx="853">
                  <c:v>-1</c:v>
                </c:pt>
                <c:pt idx="854">
                  <c:v>-1</c:v>
                </c:pt>
                <c:pt idx="855">
                  <c:v>-1</c:v>
                </c:pt>
                <c:pt idx="856">
                  <c:v>-1</c:v>
                </c:pt>
                <c:pt idx="857">
                  <c:v>-1</c:v>
                </c:pt>
                <c:pt idx="858">
                  <c:v>-1</c:v>
                </c:pt>
                <c:pt idx="859">
                  <c:v>-1</c:v>
                </c:pt>
                <c:pt idx="860">
                  <c:v>-1</c:v>
                </c:pt>
                <c:pt idx="861">
                  <c:v>-1</c:v>
                </c:pt>
                <c:pt idx="862">
                  <c:v>-1</c:v>
                </c:pt>
                <c:pt idx="863">
                  <c:v>-1</c:v>
                </c:pt>
                <c:pt idx="864">
                  <c:v>-1</c:v>
                </c:pt>
                <c:pt idx="865">
                  <c:v>-1</c:v>
                </c:pt>
                <c:pt idx="866">
                  <c:v>-1</c:v>
                </c:pt>
                <c:pt idx="867">
                  <c:v>-1</c:v>
                </c:pt>
                <c:pt idx="868">
                  <c:v>-1</c:v>
                </c:pt>
                <c:pt idx="869">
                  <c:v>-1</c:v>
                </c:pt>
                <c:pt idx="870">
                  <c:v>-1</c:v>
                </c:pt>
                <c:pt idx="871">
                  <c:v>-1</c:v>
                </c:pt>
                <c:pt idx="872">
                  <c:v>-1</c:v>
                </c:pt>
                <c:pt idx="873">
                  <c:v>-1</c:v>
                </c:pt>
                <c:pt idx="874">
                  <c:v>-1</c:v>
                </c:pt>
                <c:pt idx="875">
                  <c:v>-1</c:v>
                </c:pt>
                <c:pt idx="876">
                  <c:v>-1</c:v>
                </c:pt>
                <c:pt idx="877">
                  <c:v>-1</c:v>
                </c:pt>
                <c:pt idx="878">
                  <c:v>-1</c:v>
                </c:pt>
                <c:pt idx="879">
                  <c:v>-1</c:v>
                </c:pt>
                <c:pt idx="880">
                  <c:v>-1</c:v>
                </c:pt>
                <c:pt idx="881">
                  <c:v>-1</c:v>
                </c:pt>
                <c:pt idx="882">
                  <c:v>-1</c:v>
                </c:pt>
                <c:pt idx="883">
                  <c:v>-1</c:v>
                </c:pt>
                <c:pt idx="884">
                  <c:v>-1</c:v>
                </c:pt>
                <c:pt idx="885">
                  <c:v>-1</c:v>
                </c:pt>
                <c:pt idx="886">
                  <c:v>-1</c:v>
                </c:pt>
                <c:pt idx="887">
                  <c:v>-1</c:v>
                </c:pt>
                <c:pt idx="888">
                  <c:v>-1</c:v>
                </c:pt>
                <c:pt idx="889">
                  <c:v>-1</c:v>
                </c:pt>
                <c:pt idx="890">
                  <c:v>-1</c:v>
                </c:pt>
                <c:pt idx="891">
                  <c:v>-1</c:v>
                </c:pt>
                <c:pt idx="892">
                  <c:v>-1</c:v>
                </c:pt>
                <c:pt idx="893">
                  <c:v>-1</c:v>
                </c:pt>
                <c:pt idx="894">
                  <c:v>-1</c:v>
                </c:pt>
                <c:pt idx="895">
                  <c:v>-1</c:v>
                </c:pt>
                <c:pt idx="896">
                  <c:v>-1</c:v>
                </c:pt>
                <c:pt idx="897">
                  <c:v>-1</c:v>
                </c:pt>
                <c:pt idx="898">
                  <c:v>-1</c:v>
                </c:pt>
                <c:pt idx="899">
                  <c:v>-1</c:v>
                </c:pt>
                <c:pt idx="900">
                  <c:v>-1</c:v>
                </c:pt>
                <c:pt idx="901">
                  <c:v>-1</c:v>
                </c:pt>
                <c:pt idx="902">
                  <c:v>-1</c:v>
                </c:pt>
                <c:pt idx="903">
                  <c:v>-1</c:v>
                </c:pt>
                <c:pt idx="904">
                  <c:v>-1</c:v>
                </c:pt>
                <c:pt idx="905">
                  <c:v>-1</c:v>
                </c:pt>
                <c:pt idx="906">
                  <c:v>-1</c:v>
                </c:pt>
                <c:pt idx="907">
                  <c:v>-1</c:v>
                </c:pt>
                <c:pt idx="908">
                  <c:v>-1</c:v>
                </c:pt>
                <c:pt idx="909">
                  <c:v>-1</c:v>
                </c:pt>
                <c:pt idx="910">
                  <c:v>-1</c:v>
                </c:pt>
                <c:pt idx="911">
                  <c:v>-1</c:v>
                </c:pt>
                <c:pt idx="912">
                  <c:v>-1</c:v>
                </c:pt>
                <c:pt idx="913">
                  <c:v>-1</c:v>
                </c:pt>
                <c:pt idx="914">
                  <c:v>-1</c:v>
                </c:pt>
                <c:pt idx="915">
                  <c:v>-1</c:v>
                </c:pt>
                <c:pt idx="916">
                  <c:v>-1</c:v>
                </c:pt>
                <c:pt idx="917">
                  <c:v>-1</c:v>
                </c:pt>
                <c:pt idx="918">
                  <c:v>-1</c:v>
                </c:pt>
                <c:pt idx="919">
                  <c:v>-1</c:v>
                </c:pt>
                <c:pt idx="920">
                  <c:v>-1</c:v>
                </c:pt>
                <c:pt idx="921">
                  <c:v>-1</c:v>
                </c:pt>
                <c:pt idx="922">
                  <c:v>-1</c:v>
                </c:pt>
                <c:pt idx="923">
                  <c:v>-1</c:v>
                </c:pt>
                <c:pt idx="924">
                  <c:v>-1</c:v>
                </c:pt>
                <c:pt idx="925">
                  <c:v>-1</c:v>
                </c:pt>
                <c:pt idx="926">
                  <c:v>-1</c:v>
                </c:pt>
                <c:pt idx="927">
                  <c:v>-1</c:v>
                </c:pt>
                <c:pt idx="928">
                  <c:v>-1</c:v>
                </c:pt>
                <c:pt idx="929">
                  <c:v>-1</c:v>
                </c:pt>
                <c:pt idx="930">
                  <c:v>-1</c:v>
                </c:pt>
                <c:pt idx="931">
                  <c:v>-1</c:v>
                </c:pt>
                <c:pt idx="932">
                  <c:v>-1</c:v>
                </c:pt>
                <c:pt idx="933">
                  <c:v>-1</c:v>
                </c:pt>
                <c:pt idx="934">
                  <c:v>-1</c:v>
                </c:pt>
                <c:pt idx="935">
                  <c:v>-1</c:v>
                </c:pt>
                <c:pt idx="936">
                  <c:v>-1</c:v>
                </c:pt>
                <c:pt idx="937">
                  <c:v>-1</c:v>
                </c:pt>
                <c:pt idx="938">
                  <c:v>-1</c:v>
                </c:pt>
                <c:pt idx="939">
                  <c:v>-1</c:v>
                </c:pt>
                <c:pt idx="940">
                  <c:v>-1</c:v>
                </c:pt>
                <c:pt idx="941">
                  <c:v>-1</c:v>
                </c:pt>
                <c:pt idx="942">
                  <c:v>-1</c:v>
                </c:pt>
                <c:pt idx="943">
                  <c:v>-1</c:v>
                </c:pt>
                <c:pt idx="944">
                  <c:v>-1</c:v>
                </c:pt>
                <c:pt idx="945">
                  <c:v>-1</c:v>
                </c:pt>
                <c:pt idx="946">
                  <c:v>-1</c:v>
                </c:pt>
                <c:pt idx="947">
                  <c:v>-1</c:v>
                </c:pt>
                <c:pt idx="948">
                  <c:v>-1</c:v>
                </c:pt>
                <c:pt idx="949">
                  <c:v>-1</c:v>
                </c:pt>
                <c:pt idx="950">
                  <c:v>-1</c:v>
                </c:pt>
                <c:pt idx="951">
                  <c:v>-1</c:v>
                </c:pt>
                <c:pt idx="952">
                  <c:v>-1</c:v>
                </c:pt>
                <c:pt idx="953">
                  <c:v>-1</c:v>
                </c:pt>
                <c:pt idx="954">
                  <c:v>-1</c:v>
                </c:pt>
                <c:pt idx="955">
                  <c:v>-1</c:v>
                </c:pt>
                <c:pt idx="956">
                  <c:v>-1</c:v>
                </c:pt>
                <c:pt idx="957">
                  <c:v>-1</c:v>
                </c:pt>
                <c:pt idx="958">
                  <c:v>-1</c:v>
                </c:pt>
                <c:pt idx="959">
                  <c:v>-1</c:v>
                </c:pt>
                <c:pt idx="960">
                  <c:v>-1</c:v>
                </c:pt>
                <c:pt idx="961">
                  <c:v>-1</c:v>
                </c:pt>
                <c:pt idx="962">
                  <c:v>-1</c:v>
                </c:pt>
                <c:pt idx="963">
                  <c:v>-1</c:v>
                </c:pt>
                <c:pt idx="964">
                  <c:v>-1</c:v>
                </c:pt>
                <c:pt idx="965">
                  <c:v>-1</c:v>
                </c:pt>
                <c:pt idx="966">
                  <c:v>-1</c:v>
                </c:pt>
                <c:pt idx="967">
                  <c:v>-1</c:v>
                </c:pt>
                <c:pt idx="968">
                  <c:v>-1</c:v>
                </c:pt>
                <c:pt idx="969">
                  <c:v>-1</c:v>
                </c:pt>
                <c:pt idx="970">
                  <c:v>-1</c:v>
                </c:pt>
                <c:pt idx="971">
                  <c:v>-1</c:v>
                </c:pt>
                <c:pt idx="972">
                  <c:v>-1</c:v>
                </c:pt>
                <c:pt idx="973">
                  <c:v>-1</c:v>
                </c:pt>
                <c:pt idx="974">
                  <c:v>-1</c:v>
                </c:pt>
                <c:pt idx="975">
                  <c:v>-1</c:v>
                </c:pt>
                <c:pt idx="976">
                  <c:v>-1</c:v>
                </c:pt>
                <c:pt idx="977">
                  <c:v>-1</c:v>
                </c:pt>
                <c:pt idx="978">
                  <c:v>-1</c:v>
                </c:pt>
                <c:pt idx="979">
                  <c:v>-1</c:v>
                </c:pt>
                <c:pt idx="980">
                  <c:v>-1</c:v>
                </c:pt>
                <c:pt idx="981">
                  <c:v>-1</c:v>
                </c:pt>
                <c:pt idx="982">
                  <c:v>-1</c:v>
                </c:pt>
                <c:pt idx="983">
                  <c:v>-1</c:v>
                </c:pt>
                <c:pt idx="984">
                  <c:v>-1</c:v>
                </c:pt>
                <c:pt idx="985">
                  <c:v>-1</c:v>
                </c:pt>
                <c:pt idx="986">
                  <c:v>-1</c:v>
                </c:pt>
                <c:pt idx="987">
                  <c:v>-1</c:v>
                </c:pt>
                <c:pt idx="988">
                  <c:v>-1</c:v>
                </c:pt>
                <c:pt idx="989">
                  <c:v>-1</c:v>
                </c:pt>
                <c:pt idx="990">
                  <c:v>-1</c:v>
                </c:pt>
                <c:pt idx="991">
                  <c:v>-1</c:v>
                </c:pt>
                <c:pt idx="992">
                  <c:v>-1</c:v>
                </c:pt>
                <c:pt idx="993">
                  <c:v>-1</c:v>
                </c:pt>
                <c:pt idx="994">
                  <c:v>-1</c:v>
                </c:pt>
                <c:pt idx="995">
                  <c:v>-1</c:v>
                </c:pt>
                <c:pt idx="996">
                  <c:v>-1</c:v>
                </c:pt>
                <c:pt idx="997">
                  <c:v>-1</c:v>
                </c:pt>
                <c:pt idx="998">
                  <c:v>-1</c:v>
                </c:pt>
                <c:pt idx="999">
                  <c:v>-1</c:v>
                </c:pt>
                <c:pt idx="1000">
                  <c:v>-1</c:v>
                </c:pt>
                <c:pt idx="1001">
                  <c:v>-1</c:v>
                </c:pt>
                <c:pt idx="1002">
                  <c:v>-1</c:v>
                </c:pt>
                <c:pt idx="1003">
                  <c:v>-1</c:v>
                </c:pt>
                <c:pt idx="1004">
                  <c:v>-1</c:v>
                </c:pt>
                <c:pt idx="1005">
                  <c:v>-1</c:v>
                </c:pt>
                <c:pt idx="1006">
                  <c:v>-1</c:v>
                </c:pt>
                <c:pt idx="1007">
                  <c:v>-1</c:v>
                </c:pt>
                <c:pt idx="1008">
                  <c:v>-1</c:v>
                </c:pt>
                <c:pt idx="1009">
                  <c:v>-1</c:v>
                </c:pt>
                <c:pt idx="1010">
                  <c:v>-1</c:v>
                </c:pt>
                <c:pt idx="1011">
                  <c:v>-1</c:v>
                </c:pt>
                <c:pt idx="1012">
                  <c:v>-1</c:v>
                </c:pt>
                <c:pt idx="1013">
                  <c:v>-1</c:v>
                </c:pt>
                <c:pt idx="1014">
                  <c:v>-1</c:v>
                </c:pt>
                <c:pt idx="1015">
                  <c:v>-1</c:v>
                </c:pt>
                <c:pt idx="1016">
                  <c:v>-1</c:v>
                </c:pt>
                <c:pt idx="1017">
                  <c:v>-1</c:v>
                </c:pt>
                <c:pt idx="1018">
                  <c:v>-1</c:v>
                </c:pt>
                <c:pt idx="1019">
                  <c:v>-1</c:v>
                </c:pt>
                <c:pt idx="1020">
                  <c:v>-1</c:v>
                </c:pt>
                <c:pt idx="1021">
                  <c:v>-1</c:v>
                </c:pt>
                <c:pt idx="1022">
                  <c:v>-1</c:v>
                </c:pt>
                <c:pt idx="1023">
                  <c:v>-1</c:v>
                </c:pt>
                <c:pt idx="1024">
                  <c:v>-1</c:v>
                </c:pt>
                <c:pt idx="1025">
                  <c:v>-1</c:v>
                </c:pt>
                <c:pt idx="1026">
                  <c:v>-1</c:v>
                </c:pt>
                <c:pt idx="1027">
                  <c:v>-1</c:v>
                </c:pt>
                <c:pt idx="1028">
                  <c:v>-1</c:v>
                </c:pt>
                <c:pt idx="1029">
                  <c:v>-1</c:v>
                </c:pt>
                <c:pt idx="1030">
                  <c:v>-1</c:v>
                </c:pt>
                <c:pt idx="1031">
                  <c:v>-1</c:v>
                </c:pt>
                <c:pt idx="1032">
                  <c:v>-1</c:v>
                </c:pt>
                <c:pt idx="1033">
                  <c:v>-1</c:v>
                </c:pt>
                <c:pt idx="1034">
                  <c:v>-1</c:v>
                </c:pt>
                <c:pt idx="1035">
                  <c:v>-1</c:v>
                </c:pt>
                <c:pt idx="1036">
                  <c:v>-1</c:v>
                </c:pt>
                <c:pt idx="1037">
                  <c:v>-1</c:v>
                </c:pt>
                <c:pt idx="1038">
                  <c:v>-1</c:v>
                </c:pt>
                <c:pt idx="1039">
                  <c:v>-1</c:v>
                </c:pt>
                <c:pt idx="1040">
                  <c:v>-1</c:v>
                </c:pt>
                <c:pt idx="1041">
                  <c:v>-1</c:v>
                </c:pt>
                <c:pt idx="1042">
                  <c:v>-1</c:v>
                </c:pt>
                <c:pt idx="1043">
                  <c:v>-1</c:v>
                </c:pt>
                <c:pt idx="1044">
                  <c:v>-1</c:v>
                </c:pt>
                <c:pt idx="1045">
                  <c:v>-1</c:v>
                </c:pt>
                <c:pt idx="1046">
                  <c:v>-1</c:v>
                </c:pt>
                <c:pt idx="1047">
                  <c:v>-1</c:v>
                </c:pt>
                <c:pt idx="1048">
                  <c:v>-1</c:v>
                </c:pt>
                <c:pt idx="1049">
                  <c:v>-1</c:v>
                </c:pt>
                <c:pt idx="1050">
                  <c:v>-1</c:v>
                </c:pt>
                <c:pt idx="1051">
                  <c:v>-1</c:v>
                </c:pt>
                <c:pt idx="1052">
                  <c:v>-1</c:v>
                </c:pt>
                <c:pt idx="1053">
                  <c:v>-1</c:v>
                </c:pt>
              </c:numCache>
            </c:numRef>
          </c:xVal>
          <c:yVal>
            <c:numRef>
              <c:f>'Arbitrage Payback Engine'!$P$10:$P$1063</c:f>
              <c:numCache>
                <c:formatCode>_(* #,##0.00_);_(* \(#,##0.00\);_(* "-"??_);_(@_)</c:formatCode>
                <c:ptCount val="1054"/>
                <c:pt idx="0">
                  <c:v>1E-3</c:v>
                </c:pt>
                <c:pt idx="1">
                  <c:v>2E-3</c:v>
                </c:pt>
                <c:pt idx="2">
                  <c:v>3.0000000000000001E-3</c:v>
                </c:pt>
                <c:pt idx="3">
                  <c:v>4.0000000000000001E-3</c:v>
                </c:pt>
                <c:pt idx="4">
                  <c:v>5.0000000000000001E-3</c:v>
                </c:pt>
                <c:pt idx="5">
                  <c:v>6.0000000000000001E-3</c:v>
                </c:pt>
                <c:pt idx="6">
                  <c:v>7.0000000000000001E-3</c:v>
                </c:pt>
                <c:pt idx="7">
                  <c:v>8.0000000000000002E-3</c:v>
                </c:pt>
                <c:pt idx="8">
                  <c:v>9.0000000000000011E-3</c:v>
                </c:pt>
                <c:pt idx="9">
                  <c:v>1.0000000000000002E-2</c:v>
                </c:pt>
                <c:pt idx="10">
                  <c:v>1.1000000000000003E-2</c:v>
                </c:pt>
                <c:pt idx="11">
                  <c:v>1.2000000000000004E-2</c:v>
                </c:pt>
                <c:pt idx="12">
                  <c:v>1.3000000000000005E-2</c:v>
                </c:pt>
                <c:pt idx="13">
                  <c:v>1.4000000000000005E-2</c:v>
                </c:pt>
                <c:pt idx="14">
                  <c:v>1.5000000000000006E-2</c:v>
                </c:pt>
                <c:pt idx="15">
                  <c:v>1.6000000000000007E-2</c:v>
                </c:pt>
                <c:pt idx="16">
                  <c:v>1.7000000000000008E-2</c:v>
                </c:pt>
                <c:pt idx="17">
                  <c:v>1.8000000000000009E-2</c:v>
                </c:pt>
                <c:pt idx="18">
                  <c:v>1.900000000000001E-2</c:v>
                </c:pt>
                <c:pt idx="19">
                  <c:v>2.0000000000000011E-2</c:v>
                </c:pt>
                <c:pt idx="20">
                  <c:v>2.1000000000000012E-2</c:v>
                </c:pt>
                <c:pt idx="21">
                  <c:v>2.2000000000000013E-2</c:v>
                </c:pt>
                <c:pt idx="22">
                  <c:v>2.3000000000000013E-2</c:v>
                </c:pt>
                <c:pt idx="23">
                  <c:v>2.4000000000000014E-2</c:v>
                </c:pt>
                <c:pt idx="24">
                  <c:v>2.5000000000000015E-2</c:v>
                </c:pt>
                <c:pt idx="25">
                  <c:v>2.6000000000000016E-2</c:v>
                </c:pt>
                <c:pt idx="26">
                  <c:v>2.7000000000000017E-2</c:v>
                </c:pt>
                <c:pt idx="27">
                  <c:v>2.8000000000000018E-2</c:v>
                </c:pt>
                <c:pt idx="28">
                  <c:v>2.9000000000000019E-2</c:v>
                </c:pt>
                <c:pt idx="29">
                  <c:v>3.000000000000002E-2</c:v>
                </c:pt>
                <c:pt idx="30">
                  <c:v>3.1000000000000021E-2</c:v>
                </c:pt>
                <c:pt idx="31">
                  <c:v>3.2000000000000021E-2</c:v>
                </c:pt>
                <c:pt idx="32">
                  <c:v>3.3000000000000022E-2</c:v>
                </c:pt>
                <c:pt idx="33">
                  <c:v>3.4000000000000023E-2</c:v>
                </c:pt>
                <c:pt idx="34">
                  <c:v>3.5000000000000024E-2</c:v>
                </c:pt>
                <c:pt idx="35">
                  <c:v>3.6000000000000025E-2</c:v>
                </c:pt>
                <c:pt idx="36">
                  <c:v>3.7000000000000026E-2</c:v>
                </c:pt>
                <c:pt idx="37">
                  <c:v>3.8000000000000027E-2</c:v>
                </c:pt>
                <c:pt idx="38">
                  <c:v>3.9000000000000028E-2</c:v>
                </c:pt>
                <c:pt idx="39">
                  <c:v>4.0000000000000029E-2</c:v>
                </c:pt>
                <c:pt idx="40">
                  <c:v>4.1000000000000029E-2</c:v>
                </c:pt>
                <c:pt idx="41">
                  <c:v>4.200000000000003E-2</c:v>
                </c:pt>
                <c:pt idx="42">
                  <c:v>4.3000000000000031E-2</c:v>
                </c:pt>
                <c:pt idx="43">
                  <c:v>4.4000000000000032E-2</c:v>
                </c:pt>
                <c:pt idx="44">
                  <c:v>4.5000000000000033E-2</c:v>
                </c:pt>
                <c:pt idx="45">
                  <c:v>4.6000000000000034E-2</c:v>
                </c:pt>
                <c:pt idx="46">
                  <c:v>4.7000000000000035E-2</c:v>
                </c:pt>
                <c:pt idx="47">
                  <c:v>4.8000000000000036E-2</c:v>
                </c:pt>
                <c:pt idx="48">
                  <c:v>4.9000000000000037E-2</c:v>
                </c:pt>
                <c:pt idx="49">
                  <c:v>5.0000000000000037E-2</c:v>
                </c:pt>
                <c:pt idx="50">
                  <c:v>5.1000000000000038E-2</c:v>
                </c:pt>
                <c:pt idx="51">
                  <c:v>5.2000000000000039E-2</c:v>
                </c:pt>
                <c:pt idx="52">
                  <c:v>5.300000000000004E-2</c:v>
                </c:pt>
                <c:pt idx="53">
                  <c:v>5.4000000000000041E-2</c:v>
                </c:pt>
                <c:pt idx="54">
                  <c:v>5.5000000000000042E-2</c:v>
                </c:pt>
                <c:pt idx="55">
                  <c:v>5.6000000000000043E-2</c:v>
                </c:pt>
                <c:pt idx="56">
                  <c:v>5.7000000000000044E-2</c:v>
                </c:pt>
                <c:pt idx="57">
                  <c:v>5.8000000000000045E-2</c:v>
                </c:pt>
                <c:pt idx="58">
                  <c:v>5.9000000000000045E-2</c:v>
                </c:pt>
                <c:pt idx="59">
                  <c:v>6.0000000000000046E-2</c:v>
                </c:pt>
                <c:pt idx="60">
                  <c:v>6.1000000000000047E-2</c:v>
                </c:pt>
                <c:pt idx="61">
                  <c:v>6.2000000000000048E-2</c:v>
                </c:pt>
                <c:pt idx="62">
                  <c:v>6.3000000000000042E-2</c:v>
                </c:pt>
                <c:pt idx="63">
                  <c:v>6.4000000000000043E-2</c:v>
                </c:pt>
                <c:pt idx="64">
                  <c:v>6.5000000000000044E-2</c:v>
                </c:pt>
                <c:pt idx="65">
                  <c:v>6.6000000000000045E-2</c:v>
                </c:pt>
                <c:pt idx="66">
                  <c:v>6.7000000000000046E-2</c:v>
                </c:pt>
                <c:pt idx="67">
                  <c:v>6.8000000000000047E-2</c:v>
                </c:pt>
                <c:pt idx="68">
                  <c:v>6.9000000000000047E-2</c:v>
                </c:pt>
                <c:pt idx="69">
                  <c:v>7.0000000000000048E-2</c:v>
                </c:pt>
                <c:pt idx="70">
                  <c:v>7.1000000000000049E-2</c:v>
                </c:pt>
                <c:pt idx="71">
                  <c:v>7.200000000000005E-2</c:v>
                </c:pt>
                <c:pt idx="72">
                  <c:v>7.3000000000000051E-2</c:v>
                </c:pt>
                <c:pt idx="73">
                  <c:v>7.4000000000000052E-2</c:v>
                </c:pt>
                <c:pt idx="74">
                  <c:v>7.5000000000000053E-2</c:v>
                </c:pt>
                <c:pt idx="75">
                  <c:v>7.6000000000000054E-2</c:v>
                </c:pt>
                <c:pt idx="76">
                  <c:v>7.7000000000000055E-2</c:v>
                </c:pt>
                <c:pt idx="77">
                  <c:v>7.8000000000000055E-2</c:v>
                </c:pt>
                <c:pt idx="78">
                  <c:v>7.9000000000000056E-2</c:v>
                </c:pt>
                <c:pt idx="79">
                  <c:v>8.0000000000000057E-2</c:v>
                </c:pt>
                <c:pt idx="80">
                  <c:v>8.1000000000000058E-2</c:v>
                </c:pt>
                <c:pt idx="81">
                  <c:v>8.2000000000000059E-2</c:v>
                </c:pt>
                <c:pt idx="82">
                  <c:v>8.300000000000006E-2</c:v>
                </c:pt>
                <c:pt idx="83">
                  <c:v>8.4000000000000061E-2</c:v>
                </c:pt>
                <c:pt idx="84">
                  <c:v>8.5000000000000062E-2</c:v>
                </c:pt>
                <c:pt idx="85">
                  <c:v>8.6000000000000063E-2</c:v>
                </c:pt>
                <c:pt idx="86">
                  <c:v>8.7000000000000063E-2</c:v>
                </c:pt>
                <c:pt idx="87">
                  <c:v>8.8000000000000064E-2</c:v>
                </c:pt>
                <c:pt idx="88">
                  <c:v>8.9000000000000065E-2</c:v>
                </c:pt>
                <c:pt idx="89">
                  <c:v>9.0000000000000066E-2</c:v>
                </c:pt>
                <c:pt idx="90">
                  <c:v>9.1000000000000067E-2</c:v>
                </c:pt>
                <c:pt idx="91">
                  <c:v>9.2000000000000068E-2</c:v>
                </c:pt>
                <c:pt idx="92">
                  <c:v>9.3000000000000069E-2</c:v>
                </c:pt>
                <c:pt idx="93">
                  <c:v>9.400000000000007E-2</c:v>
                </c:pt>
                <c:pt idx="94">
                  <c:v>9.500000000000007E-2</c:v>
                </c:pt>
                <c:pt idx="95">
                  <c:v>9.6000000000000071E-2</c:v>
                </c:pt>
                <c:pt idx="96">
                  <c:v>9.7000000000000072E-2</c:v>
                </c:pt>
                <c:pt idx="97">
                  <c:v>9.8000000000000073E-2</c:v>
                </c:pt>
                <c:pt idx="98">
                  <c:v>9.9000000000000074E-2</c:v>
                </c:pt>
                <c:pt idx="99">
                  <c:v>0.10000000000000007</c:v>
                </c:pt>
                <c:pt idx="100">
                  <c:v>0.10100000000000008</c:v>
                </c:pt>
                <c:pt idx="101">
                  <c:v>0.10200000000000008</c:v>
                </c:pt>
                <c:pt idx="102">
                  <c:v>0.10300000000000008</c:v>
                </c:pt>
                <c:pt idx="103">
                  <c:v>0.10400000000000008</c:v>
                </c:pt>
                <c:pt idx="104">
                  <c:v>0.10500000000000008</c:v>
                </c:pt>
                <c:pt idx="105">
                  <c:v>0.10600000000000008</c:v>
                </c:pt>
                <c:pt idx="106">
                  <c:v>0.10700000000000008</c:v>
                </c:pt>
                <c:pt idx="107">
                  <c:v>0.10800000000000008</c:v>
                </c:pt>
                <c:pt idx="108">
                  <c:v>0.10900000000000008</c:v>
                </c:pt>
                <c:pt idx="109">
                  <c:v>0.11000000000000008</c:v>
                </c:pt>
                <c:pt idx="110">
                  <c:v>0.11100000000000008</c:v>
                </c:pt>
                <c:pt idx="111">
                  <c:v>0.11200000000000009</c:v>
                </c:pt>
                <c:pt idx="112">
                  <c:v>0.11300000000000009</c:v>
                </c:pt>
                <c:pt idx="113">
                  <c:v>0.11400000000000009</c:v>
                </c:pt>
                <c:pt idx="114">
                  <c:v>0.11500000000000009</c:v>
                </c:pt>
                <c:pt idx="115">
                  <c:v>0.11600000000000009</c:v>
                </c:pt>
                <c:pt idx="116">
                  <c:v>0.11700000000000009</c:v>
                </c:pt>
                <c:pt idx="117">
                  <c:v>0.11800000000000009</c:v>
                </c:pt>
                <c:pt idx="118">
                  <c:v>0.11900000000000009</c:v>
                </c:pt>
                <c:pt idx="119">
                  <c:v>0.12000000000000009</c:v>
                </c:pt>
                <c:pt idx="120">
                  <c:v>0.12100000000000009</c:v>
                </c:pt>
                <c:pt idx="121">
                  <c:v>0.12200000000000009</c:v>
                </c:pt>
                <c:pt idx="122">
                  <c:v>0.1230000000000001</c:v>
                </c:pt>
                <c:pt idx="123">
                  <c:v>0.1240000000000001</c:v>
                </c:pt>
                <c:pt idx="124">
                  <c:v>0.12500000000000008</c:v>
                </c:pt>
                <c:pt idx="125">
                  <c:v>0.12600000000000008</c:v>
                </c:pt>
                <c:pt idx="126">
                  <c:v>0.12700000000000009</c:v>
                </c:pt>
                <c:pt idx="127">
                  <c:v>0.12800000000000009</c:v>
                </c:pt>
                <c:pt idx="128">
                  <c:v>0.12900000000000009</c:v>
                </c:pt>
                <c:pt idx="129">
                  <c:v>0.13000000000000009</c:v>
                </c:pt>
                <c:pt idx="130">
                  <c:v>0.13100000000000009</c:v>
                </c:pt>
                <c:pt idx="131">
                  <c:v>0.13200000000000009</c:v>
                </c:pt>
                <c:pt idx="132">
                  <c:v>0.13300000000000009</c:v>
                </c:pt>
                <c:pt idx="133">
                  <c:v>0.13400000000000009</c:v>
                </c:pt>
                <c:pt idx="134">
                  <c:v>0.13500000000000009</c:v>
                </c:pt>
                <c:pt idx="135">
                  <c:v>0.13600000000000009</c:v>
                </c:pt>
                <c:pt idx="136">
                  <c:v>0.13700000000000009</c:v>
                </c:pt>
                <c:pt idx="137">
                  <c:v>0.13800000000000009</c:v>
                </c:pt>
                <c:pt idx="138">
                  <c:v>0.1390000000000001</c:v>
                </c:pt>
                <c:pt idx="139">
                  <c:v>0.1400000000000001</c:v>
                </c:pt>
                <c:pt idx="140">
                  <c:v>0.1410000000000001</c:v>
                </c:pt>
                <c:pt idx="141">
                  <c:v>0.1420000000000001</c:v>
                </c:pt>
                <c:pt idx="142">
                  <c:v>0.1430000000000001</c:v>
                </c:pt>
                <c:pt idx="143">
                  <c:v>0.1440000000000001</c:v>
                </c:pt>
                <c:pt idx="144">
                  <c:v>0.1450000000000001</c:v>
                </c:pt>
                <c:pt idx="145">
                  <c:v>0.1460000000000001</c:v>
                </c:pt>
                <c:pt idx="146">
                  <c:v>0.1470000000000001</c:v>
                </c:pt>
                <c:pt idx="147">
                  <c:v>0.1480000000000001</c:v>
                </c:pt>
                <c:pt idx="148">
                  <c:v>0.1490000000000001</c:v>
                </c:pt>
                <c:pt idx="149">
                  <c:v>0.15000000000000011</c:v>
                </c:pt>
                <c:pt idx="150">
                  <c:v>0.15100000000000011</c:v>
                </c:pt>
                <c:pt idx="151">
                  <c:v>0.15200000000000011</c:v>
                </c:pt>
                <c:pt idx="152">
                  <c:v>0.15300000000000011</c:v>
                </c:pt>
                <c:pt idx="153">
                  <c:v>0.15400000000000011</c:v>
                </c:pt>
                <c:pt idx="154">
                  <c:v>0.15500000000000011</c:v>
                </c:pt>
                <c:pt idx="155">
                  <c:v>0.15600000000000011</c:v>
                </c:pt>
                <c:pt idx="156">
                  <c:v>0.15700000000000011</c:v>
                </c:pt>
                <c:pt idx="157">
                  <c:v>0.15800000000000011</c:v>
                </c:pt>
                <c:pt idx="158">
                  <c:v>0.15900000000000011</c:v>
                </c:pt>
                <c:pt idx="159">
                  <c:v>0.16000000000000011</c:v>
                </c:pt>
                <c:pt idx="160">
                  <c:v>0.16100000000000012</c:v>
                </c:pt>
                <c:pt idx="161">
                  <c:v>0.16200000000000012</c:v>
                </c:pt>
                <c:pt idx="162">
                  <c:v>0.16300000000000012</c:v>
                </c:pt>
                <c:pt idx="163">
                  <c:v>0.16400000000000012</c:v>
                </c:pt>
                <c:pt idx="164">
                  <c:v>0.16500000000000012</c:v>
                </c:pt>
                <c:pt idx="165">
                  <c:v>0.16600000000000012</c:v>
                </c:pt>
                <c:pt idx="166">
                  <c:v>0.16700000000000012</c:v>
                </c:pt>
                <c:pt idx="167">
                  <c:v>0.16800000000000012</c:v>
                </c:pt>
                <c:pt idx="168">
                  <c:v>0.16900000000000012</c:v>
                </c:pt>
                <c:pt idx="169">
                  <c:v>0.17000000000000012</c:v>
                </c:pt>
                <c:pt idx="170">
                  <c:v>0.17100000000000012</c:v>
                </c:pt>
                <c:pt idx="171">
                  <c:v>0.17200000000000013</c:v>
                </c:pt>
                <c:pt idx="172">
                  <c:v>0.17300000000000013</c:v>
                </c:pt>
                <c:pt idx="173">
                  <c:v>0.17400000000000013</c:v>
                </c:pt>
                <c:pt idx="174">
                  <c:v>0.17500000000000013</c:v>
                </c:pt>
                <c:pt idx="175">
                  <c:v>0.17600000000000013</c:v>
                </c:pt>
                <c:pt idx="176">
                  <c:v>0.17700000000000013</c:v>
                </c:pt>
                <c:pt idx="177">
                  <c:v>0.17800000000000013</c:v>
                </c:pt>
                <c:pt idx="178">
                  <c:v>0.17900000000000013</c:v>
                </c:pt>
                <c:pt idx="179">
                  <c:v>0.18000000000000013</c:v>
                </c:pt>
                <c:pt idx="180">
                  <c:v>0.18100000000000013</c:v>
                </c:pt>
                <c:pt idx="181">
                  <c:v>0.18200000000000013</c:v>
                </c:pt>
                <c:pt idx="182">
                  <c:v>0.18300000000000013</c:v>
                </c:pt>
                <c:pt idx="183">
                  <c:v>0.18400000000000014</c:v>
                </c:pt>
                <c:pt idx="184">
                  <c:v>0.18500000000000014</c:v>
                </c:pt>
                <c:pt idx="185">
                  <c:v>0.18600000000000014</c:v>
                </c:pt>
                <c:pt idx="186">
                  <c:v>0.18700000000000014</c:v>
                </c:pt>
                <c:pt idx="187">
                  <c:v>0.18800000000000014</c:v>
                </c:pt>
                <c:pt idx="188">
                  <c:v>0.18900000000000014</c:v>
                </c:pt>
                <c:pt idx="189">
                  <c:v>0.19000000000000014</c:v>
                </c:pt>
                <c:pt idx="190">
                  <c:v>0.19100000000000014</c:v>
                </c:pt>
                <c:pt idx="191">
                  <c:v>0.19200000000000014</c:v>
                </c:pt>
                <c:pt idx="192">
                  <c:v>0.19300000000000014</c:v>
                </c:pt>
                <c:pt idx="193">
                  <c:v>0.19400000000000014</c:v>
                </c:pt>
                <c:pt idx="194">
                  <c:v>0.19500000000000015</c:v>
                </c:pt>
                <c:pt idx="195">
                  <c:v>0.19600000000000015</c:v>
                </c:pt>
                <c:pt idx="196">
                  <c:v>0.19700000000000015</c:v>
                </c:pt>
                <c:pt idx="197">
                  <c:v>0.19800000000000015</c:v>
                </c:pt>
                <c:pt idx="198">
                  <c:v>0.19900000000000015</c:v>
                </c:pt>
                <c:pt idx="199">
                  <c:v>0.20000000000000015</c:v>
                </c:pt>
                <c:pt idx="200">
                  <c:v>0.20100000000000015</c:v>
                </c:pt>
                <c:pt idx="201">
                  <c:v>0.20200000000000015</c:v>
                </c:pt>
                <c:pt idx="202">
                  <c:v>0.20300000000000015</c:v>
                </c:pt>
                <c:pt idx="203">
                  <c:v>0.20400000000000015</c:v>
                </c:pt>
                <c:pt idx="204">
                  <c:v>0.20500000000000015</c:v>
                </c:pt>
                <c:pt idx="205">
                  <c:v>0.20600000000000016</c:v>
                </c:pt>
                <c:pt idx="206">
                  <c:v>0.20700000000000016</c:v>
                </c:pt>
                <c:pt idx="207">
                  <c:v>0.20800000000000016</c:v>
                </c:pt>
                <c:pt idx="208">
                  <c:v>0.20900000000000016</c:v>
                </c:pt>
                <c:pt idx="209">
                  <c:v>0.21000000000000016</c:v>
                </c:pt>
                <c:pt idx="210">
                  <c:v>0.21100000000000016</c:v>
                </c:pt>
                <c:pt idx="211">
                  <c:v>0.21200000000000016</c:v>
                </c:pt>
                <c:pt idx="212">
                  <c:v>0.21300000000000016</c:v>
                </c:pt>
                <c:pt idx="213">
                  <c:v>0.21400000000000016</c:v>
                </c:pt>
                <c:pt idx="214">
                  <c:v>0.21500000000000016</c:v>
                </c:pt>
                <c:pt idx="215">
                  <c:v>0.21600000000000016</c:v>
                </c:pt>
                <c:pt idx="216">
                  <c:v>0.21700000000000016</c:v>
                </c:pt>
                <c:pt idx="217">
                  <c:v>0.21800000000000017</c:v>
                </c:pt>
                <c:pt idx="218">
                  <c:v>0.21900000000000017</c:v>
                </c:pt>
                <c:pt idx="219">
                  <c:v>0.22000000000000017</c:v>
                </c:pt>
                <c:pt idx="220">
                  <c:v>0.22100000000000017</c:v>
                </c:pt>
                <c:pt idx="221">
                  <c:v>0.22200000000000017</c:v>
                </c:pt>
                <c:pt idx="222">
                  <c:v>0.22300000000000017</c:v>
                </c:pt>
                <c:pt idx="223">
                  <c:v>0.22400000000000017</c:v>
                </c:pt>
                <c:pt idx="224">
                  <c:v>0.22500000000000017</c:v>
                </c:pt>
                <c:pt idx="225">
                  <c:v>0.22600000000000017</c:v>
                </c:pt>
                <c:pt idx="226">
                  <c:v>0.22700000000000017</c:v>
                </c:pt>
                <c:pt idx="227">
                  <c:v>0.22800000000000017</c:v>
                </c:pt>
                <c:pt idx="228">
                  <c:v>0.22900000000000018</c:v>
                </c:pt>
                <c:pt idx="229">
                  <c:v>0.23000000000000018</c:v>
                </c:pt>
                <c:pt idx="230">
                  <c:v>0.23100000000000018</c:v>
                </c:pt>
                <c:pt idx="231">
                  <c:v>0.23200000000000018</c:v>
                </c:pt>
                <c:pt idx="232">
                  <c:v>0.23300000000000018</c:v>
                </c:pt>
                <c:pt idx="233">
                  <c:v>0.23400000000000018</c:v>
                </c:pt>
                <c:pt idx="234">
                  <c:v>0.23500000000000018</c:v>
                </c:pt>
                <c:pt idx="235">
                  <c:v>0.23600000000000018</c:v>
                </c:pt>
                <c:pt idx="236">
                  <c:v>0.23700000000000018</c:v>
                </c:pt>
                <c:pt idx="237">
                  <c:v>0.23800000000000018</c:v>
                </c:pt>
                <c:pt idx="238">
                  <c:v>0.23900000000000018</c:v>
                </c:pt>
                <c:pt idx="239">
                  <c:v>0.24000000000000019</c:v>
                </c:pt>
                <c:pt idx="240">
                  <c:v>0.24100000000000019</c:v>
                </c:pt>
                <c:pt idx="241">
                  <c:v>0.24200000000000019</c:v>
                </c:pt>
                <c:pt idx="242">
                  <c:v>0.24300000000000019</c:v>
                </c:pt>
                <c:pt idx="243">
                  <c:v>0.24400000000000019</c:v>
                </c:pt>
                <c:pt idx="244">
                  <c:v>0.24500000000000019</c:v>
                </c:pt>
                <c:pt idx="245">
                  <c:v>0.24600000000000019</c:v>
                </c:pt>
                <c:pt idx="246">
                  <c:v>0.24700000000000019</c:v>
                </c:pt>
                <c:pt idx="247">
                  <c:v>0.24800000000000019</c:v>
                </c:pt>
                <c:pt idx="248">
                  <c:v>0.24900000000000019</c:v>
                </c:pt>
                <c:pt idx="249">
                  <c:v>0.25000000000000017</c:v>
                </c:pt>
                <c:pt idx="250">
                  <c:v>0.25100000000000017</c:v>
                </c:pt>
                <c:pt idx="251">
                  <c:v>0.25200000000000017</c:v>
                </c:pt>
                <c:pt idx="252">
                  <c:v>0.25300000000000017</c:v>
                </c:pt>
                <c:pt idx="253">
                  <c:v>0.25400000000000017</c:v>
                </c:pt>
                <c:pt idx="254">
                  <c:v>0.25500000000000017</c:v>
                </c:pt>
                <c:pt idx="255">
                  <c:v>0.25600000000000017</c:v>
                </c:pt>
                <c:pt idx="256">
                  <c:v>0.25700000000000017</c:v>
                </c:pt>
                <c:pt idx="257">
                  <c:v>0.25800000000000017</c:v>
                </c:pt>
                <c:pt idx="258">
                  <c:v>0.25900000000000017</c:v>
                </c:pt>
                <c:pt idx="259">
                  <c:v>0.26000000000000018</c:v>
                </c:pt>
                <c:pt idx="260">
                  <c:v>0.26100000000000018</c:v>
                </c:pt>
                <c:pt idx="261">
                  <c:v>0.26200000000000018</c:v>
                </c:pt>
                <c:pt idx="262">
                  <c:v>0.26300000000000018</c:v>
                </c:pt>
                <c:pt idx="263">
                  <c:v>0.26400000000000018</c:v>
                </c:pt>
                <c:pt idx="264">
                  <c:v>0.26500000000000018</c:v>
                </c:pt>
                <c:pt idx="265">
                  <c:v>0.26600000000000018</c:v>
                </c:pt>
                <c:pt idx="266">
                  <c:v>0.26700000000000018</c:v>
                </c:pt>
                <c:pt idx="267">
                  <c:v>0.26800000000000018</c:v>
                </c:pt>
                <c:pt idx="268">
                  <c:v>0.26900000000000018</c:v>
                </c:pt>
                <c:pt idx="269">
                  <c:v>0.27000000000000018</c:v>
                </c:pt>
                <c:pt idx="270">
                  <c:v>0.27100000000000019</c:v>
                </c:pt>
                <c:pt idx="271">
                  <c:v>0.27200000000000019</c:v>
                </c:pt>
                <c:pt idx="272">
                  <c:v>0.27300000000000019</c:v>
                </c:pt>
                <c:pt idx="273">
                  <c:v>0.27400000000000019</c:v>
                </c:pt>
                <c:pt idx="274">
                  <c:v>0.27500000000000019</c:v>
                </c:pt>
                <c:pt idx="275">
                  <c:v>0.27600000000000019</c:v>
                </c:pt>
                <c:pt idx="276">
                  <c:v>0.27700000000000019</c:v>
                </c:pt>
                <c:pt idx="277">
                  <c:v>0.27800000000000019</c:v>
                </c:pt>
                <c:pt idx="278">
                  <c:v>0.27900000000000019</c:v>
                </c:pt>
                <c:pt idx="279">
                  <c:v>0.28000000000000019</c:v>
                </c:pt>
                <c:pt idx="280">
                  <c:v>0.28100000000000019</c:v>
                </c:pt>
                <c:pt idx="281">
                  <c:v>0.28200000000000019</c:v>
                </c:pt>
                <c:pt idx="282">
                  <c:v>0.2830000000000002</c:v>
                </c:pt>
                <c:pt idx="283">
                  <c:v>0.2840000000000002</c:v>
                </c:pt>
                <c:pt idx="284">
                  <c:v>0.2850000000000002</c:v>
                </c:pt>
                <c:pt idx="285">
                  <c:v>0.2860000000000002</c:v>
                </c:pt>
                <c:pt idx="286">
                  <c:v>0.2870000000000002</c:v>
                </c:pt>
                <c:pt idx="287">
                  <c:v>0.2880000000000002</c:v>
                </c:pt>
                <c:pt idx="288">
                  <c:v>0.2890000000000002</c:v>
                </c:pt>
                <c:pt idx="289">
                  <c:v>0.2900000000000002</c:v>
                </c:pt>
                <c:pt idx="290">
                  <c:v>0.2910000000000002</c:v>
                </c:pt>
                <c:pt idx="291">
                  <c:v>0.2920000000000002</c:v>
                </c:pt>
                <c:pt idx="292">
                  <c:v>0.2930000000000002</c:v>
                </c:pt>
                <c:pt idx="293">
                  <c:v>0.29400000000000021</c:v>
                </c:pt>
                <c:pt idx="294">
                  <c:v>0.29500000000000021</c:v>
                </c:pt>
                <c:pt idx="295">
                  <c:v>0.29600000000000021</c:v>
                </c:pt>
                <c:pt idx="296">
                  <c:v>0.29700000000000021</c:v>
                </c:pt>
                <c:pt idx="297">
                  <c:v>0.29800000000000021</c:v>
                </c:pt>
                <c:pt idx="298">
                  <c:v>0.29900000000000021</c:v>
                </c:pt>
                <c:pt idx="299">
                  <c:v>0.30000000000000021</c:v>
                </c:pt>
                <c:pt idx="300">
                  <c:v>0.30100000000000021</c:v>
                </c:pt>
                <c:pt idx="301">
                  <c:v>0.30200000000000021</c:v>
                </c:pt>
                <c:pt idx="302">
                  <c:v>0.30300000000000021</c:v>
                </c:pt>
                <c:pt idx="303">
                  <c:v>0.30400000000000021</c:v>
                </c:pt>
                <c:pt idx="304">
                  <c:v>0.30500000000000022</c:v>
                </c:pt>
                <c:pt idx="305">
                  <c:v>0.30600000000000022</c:v>
                </c:pt>
                <c:pt idx="306">
                  <c:v>0.30700000000000022</c:v>
                </c:pt>
                <c:pt idx="307">
                  <c:v>0.30800000000000022</c:v>
                </c:pt>
                <c:pt idx="308">
                  <c:v>0.30900000000000022</c:v>
                </c:pt>
                <c:pt idx="309">
                  <c:v>0.31000000000000022</c:v>
                </c:pt>
                <c:pt idx="310">
                  <c:v>0.31100000000000022</c:v>
                </c:pt>
                <c:pt idx="311">
                  <c:v>0.31200000000000022</c:v>
                </c:pt>
                <c:pt idx="312">
                  <c:v>0.31300000000000022</c:v>
                </c:pt>
                <c:pt idx="313">
                  <c:v>0.31400000000000022</c:v>
                </c:pt>
                <c:pt idx="314">
                  <c:v>0.31500000000000022</c:v>
                </c:pt>
                <c:pt idx="315">
                  <c:v>0.31600000000000023</c:v>
                </c:pt>
                <c:pt idx="316">
                  <c:v>0.31700000000000023</c:v>
                </c:pt>
                <c:pt idx="317">
                  <c:v>0.31800000000000023</c:v>
                </c:pt>
                <c:pt idx="318">
                  <c:v>0.31900000000000023</c:v>
                </c:pt>
                <c:pt idx="319">
                  <c:v>0.32000000000000023</c:v>
                </c:pt>
                <c:pt idx="320">
                  <c:v>0.32100000000000023</c:v>
                </c:pt>
                <c:pt idx="321">
                  <c:v>0.32200000000000023</c:v>
                </c:pt>
                <c:pt idx="322">
                  <c:v>0.32300000000000023</c:v>
                </c:pt>
                <c:pt idx="323">
                  <c:v>0.32400000000000023</c:v>
                </c:pt>
                <c:pt idx="324">
                  <c:v>0.32500000000000023</c:v>
                </c:pt>
                <c:pt idx="325">
                  <c:v>0.32600000000000023</c:v>
                </c:pt>
                <c:pt idx="326">
                  <c:v>0.32700000000000023</c:v>
                </c:pt>
                <c:pt idx="327">
                  <c:v>0.32800000000000024</c:v>
                </c:pt>
                <c:pt idx="328">
                  <c:v>0.32900000000000024</c:v>
                </c:pt>
                <c:pt idx="329">
                  <c:v>0.33000000000000024</c:v>
                </c:pt>
                <c:pt idx="330">
                  <c:v>0.33100000000000024</c:v>
                </c:pt>
                <c:pt idx="331">
                  <c:v>0.33200000000000024</c:v>
                </c:pt>
                <c:pt idx="332">
                  <c:v>0.33300000000000024</c:v>
                </c:pt>
                <c:pt idx="333">
                  <c:v>0.33400000000000024</c:v>
                </c:pt>
                <c:pt idx="334">
                  <c:v>0.33500000000000024</c:v>
                </c:pt>
                <c:pt idx="335">
                  <c:v>0.33600000000000024</c:v>
                </c:pt>
                <c:pt idx="336">
                  <c:v>0.33700000000000024</c:v>
                </c:pt>
                <c:pt idx="337">
                  <c:v>0.33800000000000024</c:v>
                </c:pt>
                <c:pt idx="338">
                  <c:v>0.33900000000000025</c:v>
                </c:pt>
                <c:pt idx="339">
                  <c:v>0.34000000000000025</c:v>
                </c:pt>
                <c:pt idx="340">
                  <c:v>0.34100000000000025</c:v>
                </c:pt>
                <c:pt idx="341">
                  <c:v>0.34200000000000025</c:v>
                </c:pt>
                <c:pt idx="342">
                  <c:v>0.34300000000000025</c:v>
                </c:pt>
                <c:pt idx="343">
                  <c:v>0.34400000000000025</c:v>
                </c:pt>
                <c:pt idx="344">
                  <c:v>0.34500000000000025</c:v>
                </c:pt>
                <c:pt idx="345">
                  <c:v>0.34600000000000025</c:v>
                </c:pt>
                <c:pt idx="346">
                  <c:v>0.34700000000000025</c:v>
                </c:pt>
                <c:pt idx="347">
                  <c:v>0.34800000000000025</c:v>
                </c:pt>
                <c:pt idx="348">
                  <c:v>0.34900000000000025</c:v>
                </c:pt>
                <c:pt idx="349">
                  <c:v>0.35000000000000026</c:v>
                </c:pt>
                <c:pt idx="350">
                  <c:v>0.35100000000000026</c:v>
                </c:pt>
                <c:pt idx="351">
                  <c:v>0.35200000000000026</c:v>
                </c:pt>
                <c:pt idx="352">
                  <c:v>0.35300000000000026</c:v>
                </c:pt>
                <c:pt idx="353">
                  <c:v>0.35400000000000026</c:v>
                </c:pt>
                <c:pt idx="354">
                  <c:v>0.35500000000000026</c:v>
                </c:pt>
                <c:pt idx="355">
                  <c:v>0.35600000000000026</c:v>
                </c:pt>
                <c:pt idx="356">
                  <c:v>0.35700000000000026</c:v>
                </c:pt>
                <c:pt idx="357">
                  <c:v>0.35800000000000026</c:v>
                </c:pt>
                <c:pt idx="358">
                  <c:v>0.35900000000000026</c:v>
                </c:pt>
                <c:pt idx="359">
                  <c:v>0.36000000000000026</c:v>
                </c:pt>
                <c:pt idx="360">
                  <c:v>0.36100000000000027</c:v>
                </c:pt>
                <c:pt idx="361">
                  <c:v>0.36200000000000027</c:v>
                </c:pt>
                <c:pt idx="362">
                  <c:v>0.36300000000000027</c:v>
                </c:pt>
                <c:pt idx="363">
                  <c:v>0.36400000000000027</c:v>
                </c:pt>
                <c:pt idx="364">
                  <c:v>0.36500000000000027</c:v>
                </c:pt>
                <c:pt idx="365">
                  <c:v>0.36600000000000027</c:v>
                </c:pt>
                <c:pt idx="366">
                  <c:v>0.36700000000000027</c:v>
                </c:pt>
                <c:pt idx="367">
                  <c:v>0.36800000000000027</c:v>
                </c:pt>
                <c:pt idx="368">
                  <c:v>0.36900000000000027</c:v>
                </c:pt>
                <c:pt idx="369">
                  <c:v>0.37000000000000027</c:v>
                </c:pt>
                <c:pt idx="370">
                  <c:v>0.37100000000000027</c:v>
                </c:pt>
                <c:pt idx="371">
                  <c:v>0.37200000000000027</c:v>
                </c:pt>
                <c:pt idx="372">
                  <c:v>0.37300000000000028</c:v>
                </c:pt>
                <c:pt idx="373">
                  <c:v>0.37400000000000028</c:v>
                </c:pt>
                <c:pt idx="374">
                  <c:v>0.37500000000000028</c:v>
                </c:pt>
                <c:pt idx="375">
                  <c:v>0.37600000000000028</c:v>
                </c:pt>
                <c:pt idx="376">
                  <c:v>0.37700000000000028</c:v>
                </c:pt>
                <c:pt idx="377">
                  <c:v>0.37800000000000028</c:v>
                </c:pt>
                <c:pt idx="378">
                  <c:v>0.37900000000000028</c:v>
                </c:pt>
                <c:pt idx="379">
                  <c:v>0.38000000000000028</c:v>
                </c:pt>
                <c:pt idx="380">
                  <c:v>0.38100000000000028</c:v>
                </c:pt>
                <c:pt idx="381">
                  <c:v>0.38200000000000028</c:v>
                </c:pt>
                <c:pt idx="382">
                  <c:v>0.38300000000000028</c:v>
                </c:pt>
                <c:pt idx="383">
                  <c:v>0.38400000000000029</c:v>
                </c:pt>
                <c:pt idx="384">
                  <c:v>0.38500000000000029</c:v>
                </c:pt>
                <c:pt idx="385">
                  <c:v>0.38600000000000029</c:v>
                </c:pt>
                <c:pt idx="386">
                  <c:v>0.38700000000000029</c:v>
                </c:pt>
                <c:pt idx="387">
                  <c:v>0.38800000000000029</c:v>
                </c:pt>
                <c:pt idx="388">
                  <c:v>0.38900000000000029</c:v>
                </c:pt>
                <c:pt idx="389">
                  <c:v>0.39000000000000029</c:v>
                </c:pt>
                <c:pt idx="390">
                  <c:v>0.39100000000000029</c:v>
                </c:pt>
                <c:pt idx="391">
                  <c:v>0.39200000000000029</c:v>
                </c:pt>
                <c:pt idx="392">
                  <c:v>0.39300000000000029</c:v>
                </c:pt>
                <c:pt idx="393">
                  <c:v>0.39400000000000029</c:v>
                </c:pt>
                <c:pt idx="394">
                  <c:v>0.3950000000000003</c:v>
                </c:pt>
                <c:pt idx="395">
                  <c:v>0.3960000000000003</c:v>
                </c:pt>
                <c:pt idx="396">
                  <c:v>0.3970000000000003</c:v>
                </c:pt>
                <c:pt idx="397">
                  <c:v>0.3980000000000003</c:v>
                </c:pt>
                <c:pt idx="398">
                  <c:v>0.3990000000000003</c:v>
                </c:pt>
                <c:pt idx="399">
                  <c:v>0.4000000000000003</c:v>
                </c:pt>
                <c:pt idx="400">
                  <c:v>0.4010000000000003</c:v>
                </c:pt>
                <c:pt idx="401">
                  <c:v>0.4020000000000003</c:v>
                </c:pt>
                <c:pt idx="402">
                  <c:v>0.4030000000000003</c:v>
                </c:pt>
                <c:pt idx="403">
                  <c:v>0.4040000000000003</c:v>
                </c:pt>
                <c:pt idx="404">
                  <c:v>0.4050000000000003</c:v>
                </c:pt>
                <c:pt idx="405">
                  <c:v>0.40600000000000031</c:v>
                </c:pt>
                <c:pt idx="406">
                  <c:v>0.40700000000000031</c:v>
                </c:pt>
                <c:pt idx="407">
                  <c:v>0.40800000000000031</c:v>
                </c:pt>
                <c:pt idx="408">
                  <c:v>0.40900000000000031</c:v>
                </c:pt>
                <c:pt idx="409">
                  <c:v>0.41000000000000031</c:v>
                </c:pt>
                <c:pt idx="410">
                  <c:v>0.41100000000000031</c:v>
                </c:pt>
                <c:pt idx="411">
                  <c:v>0.41200000000000031</c:v>
                </c:pt>
                <c:pt idx="412">
                  <c:v>0.41300000000000031</c:v>
                </c:pt>
                <c:pt idx="413">
                  <c:v>0.41400000000000031</c:v>
                </c:pt>
                <c:pt idx="414">
                  <c:v>0.41500000000000031</c:v>
                </c:pt>
                <c:pt idx="415">
                  <c:v>0.41600000000000031</c:v>
                </c:pt>
                <c:pt idx="416">
                  <c:v>0.41700000000000031</c:v>
                </c:pt>
                <c:pt idx="417">
                  <c:v>0.41800000000000032</c:v>
                </c:pt>
                <c:pt idx="418">
                  <c:v>0.41900000000000032</c:v>
                </c:pt>
                <c:pt idx="419">
                  <c:v>0.42000000000000032</c:v>
                </c:pt>
                <c:pt idx="420">
                  <c:v>0.42100000000000032</c:v>
                </c:pt>
                <c:pt idx="421">
                  <c:v>0.42200000000000032</c:v>
                </c:pt>
                <c:pt idx="422">
                  <c:v>0.42300000000000032</c:v>
                </c:pt>
                <c:pt idx="423">
                  <c:v>0.42400000000000032</c:v>
                </c:pt>
                <c:pt idx="424">
                  <c:v>0.42500000000000032</c:v>
                </c:pt>
                <c:pt idx="425">
                  <c:v>0.42600000000000032</c:v>
                </c:pt>
                <c:pt idx="426">
                  <c:v>0.42700000000000032</c:v>
                </c:pt>
                <c:pt idx="427">
                  <c:v>0.42800000000000032</c:v>
                </c:pt>
                <c:pt idx="428">
                  <c:v>0.42900000000000033</c:v>
                </c:pt>
                <c:pt idx="429">
                  <c:v>0.43000000000000033</c:v>
                </c:pt>
                <c:pt idx="430">
                  <c:v>0.43100000000000033</c:v>
                </c:pt>
                <c:pt idx="431">
                  <c:v>0.43200000000000033</c:v>
                </c:pt>
                <c:pt idx="432">
                  <c:v>0.43300000000000033</c:v>
                </c:pt>
                <c:pt idx="433">
                  <c:v>0.43400000000000033</c:v>
                </c:pt>
                <c:pt idx="434">
                  <c:v>0.43500000000000033</c:v>
                </c:pt>
                <c:pt idx="435">
                  <c:v>0.43600000000000033</c:v>
                </c:pt>
                <c:pt idx="436">
                  <c:v>0.43700000000000033</c:v>
                </c:pt>
                <c:pt idx="437">
                  <c:v>0.43800000000000033</c:v>
                </c:pt>
                <c:pt idx="438">
                  <c:v>0.43900000000000033</c:v>
                </c:pt>
                <c:pt idx="439">
                  <c:v>0.44000000000000034</c:v>
                </c:pt>
                <c:pt idx="440">
                  <c:v>0.44100000000000034</c:v>
                </c:pt>
                <c:pt idx="441">
                  <c:v>0.44200000000000034</c:v>
                </c:pt>
                <c:pt idx="442">
                  <c:v>0.44300000000000034</c:v>
                </c:pt>
                <c:pt idx="443">
                  <c:v>0.44400000000000034</c:v>
                </c:pt>
                <c:pt idx="444">
                  <c:v>0.44500000000000034</c:v>
                </c:pt>
                <c:pt idx="445">
                  <c:v>0.44600000000000034</c:v>
                </c:pt>
                <c:pt idx="446">
                  <c:v>0.44700000000000034</c:v>
                </c:pt>
                <c:pt idx="447">
                  <c:v>0.44800000000000034</c:v>
                </c:pt>
                <c:pt idx="448">
                  <c:v>0.44900000000000034</c:v>
                </c:pt>
                <c:pt idx="449">
                  <c:v>0.45000000000000034</c:v>
                </c:pt>
                <c:pt idx="450">
                  <c:v>0.45100000000000035</c:v>
                </c:pt>
                <c:pt idx="451">
                  <c:v>0.45200000000000035</c:v>
                </c:pt>
                <c:pt idx="452">
                  <c:v>0.45300000000000035</c:v>
                </c:pt>
                <c:pt idx="453">
                  <c:v>0.45400000000000035</c:v>
                </c:pt>
                <c:pt idx="454">
                  <c:v>0.45500000000000035</c:v>
                </c:pt>
                <c:pt idx="455">
                  <c:v>0.45600000000000035</c:v>
                </c:pt>
                <c:pt idx="456">
                  <c:v>0.45700000000000035</c:v>
                </c:pt>
                <c:pt idx="457">
                  <c:v>0.45800000000000035</c:v>
                </c:pt>
                <c:pt idx="458">
                  <c:v>0.45900000000000035</c:v>
                </c:pt>
                <c:pt idx="459">
                  <c:v>0.46000000000000035</c:v>
                </c:pt>
                <c:pt idx="460">
                  <c:v>0.46100000000000035</c:v>
                </c:pt>
                <c:pt idx="461">
                  <c:v>0.46200000000000035</c:v>
                </c:pt>
                <c:pt idx="462">
                  <c:v>0.46300000000000036</c:v>
                </c:pt>
                <c:pt idx="463">
                  <c:v>0.46400000000000036</c:v>
                </c:pt>
                <c:pt idx="464">
                  <c:v>0.46500000000000036</c:v>
                </c:pt>
                <c:pt idx="465">
                  <c:v>0.46600000000000036</c:v>
                </c:pt>
                <c:pt idx="466">
                  <c:v>0.46700000000000036</c:v>
                </c:pt>
                <c:pt idx="467">
                  <c:v>0.46800000000000036</c:v>
                </c:pt>
                <c:pt idx="468">
                  <c:v>0.46900000000000036</c:v>
                </c:pt>
                <c:pt idx="469">
                  <c:v>0.47000000000000036</c:v>
                </c:pt>
                <c:pt idx="470">
                  <c:v>0.47100000000000036</c:v>
                </c:pt>
                <c:pt idx="471">
                  <c:v>0.47200000000000036</c:v>
                </c:pt>
                <c:pt idx="472">
                  <c:v>0.47300000000000036</c:v>
                </c:pt>
                <c:pt idx="473">
                  <c:v>0.47400000000000037</c:v>
                </c:pt>
                <c:pt idx="474">
                  <c:v>0.47500000000000037</c:v>
                </c:pt>
                <c:pt idx="475">
                  <c:v>0.47600000000000037</c:v>
                </c:pt>
                <c:pt idx="476">
                  <c:v>0.47700000000000037</c:v>
                </c:pt>
                <c:pt idx="477">
                  <c:v>0.47800000000000037</c:v>
                </c:pt>
                <c:pt idx="478">
                  <c:v>0.47900000000000037</c:v>
                </c:pt>
                <c:pt idx="479">
                  <c:v>0.48000000000000037</c:v>
                </c:pt>
                <c:pt idx="480">
                  <c:v>0.48100000000000037</c:v>
                </c:pt>
                <c:pt idx="481">
                  <c:v>0.48200000000000037</c:v>
                </c:pt>
                <c:pt idx="482">
                  <c:v>0.48300000000000037</c:v>
                </c:pt>
                <c:pt idx="483">
                  <c:v>0.48400000000000037</c:v>
                </c:pt>
                <c:pt idx="484">
                  <c:v>0.48500000000000038</c:v>
                </c:pt>
                <c:pt idx="485">
                  <c:v>0.48600000000000038</c:v>
                </c:pt>
                <c:pt idx="486">
                  <c:v>0.48700000000000038</c:v>
                </c:pt>
                <c:pt idx="487">
                  <c:v>0.48800000000000038</c:v>
                </c:pt>
                <c:pt idx="488">
                  <c:v>0.48900000000000038</c:v>
                </c:pt>
                <c:pt idx="489">
                  <c:v>0.49000000000000038</c:v>
                </c:pt>
                <c:pt idx="490">
                  <c:v>0.49100000000000038</c:v>
                </c:pt>
                <c:pt idx="491">
                  <c:v>0.49200000000000038</c:v>
                </c:pt>
                <c:pt idx="492">
                  <c:v>0.49300000000000038</c:v>
                </c:pt>
                <c:pt idx="493">
                  <c:v>0.49400000000000038</c:v>
                </c:pt>
                <c:pt idx="494">
                  <c:v>0.49500000000000038</c:v>
                </c:pt>
                <c:pt idx="495">
                  <c:v>0.49600000000000039</c:v>
                </c:pt>
                <c:pt idx="496">
                  <c:v>0.49700000000000039</c:v>
                </c:pt>
                <c:pt idx="497">
                  <c:v>0.49800000000000039</c:v>
                </c:pt>
                <c:pt idx="498">
                  <c:v>0.49900000000000039</c:v>
                </c:pt>
                <c:pt idx="499">
                  <c:v>0.50000000000000033</c:v>
                </c:pt>
                <c:pt idx="500">
                  <c:v>0.50100000000000033</c:v>
                </c:pt>
                <c:pt idx="501">
                  <c:v>0.50200000000000033</c:v>
                </c:pt>
                <c:pt idx="502">
                  <c:v>0.50300000000000034</c:v>
                </c:pt>
                <c:pt idx="503">
                  <c:v>0.50400000000000034</c:v>
                </c:pt>
                <c:pt idx="504">
                  <c:v>0.50500000000000034</c:v>
                </c:pt>
                <c:pt idx="505">
                  <c:v>0.50600000000000034</c:v>
                </c:pt>
                <c:pt idx="506">
                  <c:v>0.50700000000000034</c:v>
                </c:pt>
                <c:pt idx="507">
                  <c:v>0.50800000000000034</c:v>
                </c:pt>
                <c:pt idx="508">
                  <c:v>0.50900000000000034</c:v>
                </c:pt>
                <c:pt idx="509">
                  <c:v>0.51000000000000034</c:v>
                </c:pt>
                <c:pt idx="510">
                  <c:v>0.51100000000000034</c:v>
                </c:pt>
                <c:pt idx="511">
                  <c:v>0.51200000000000034</c:v>
                </c:pt>
                <c:pt idx="512">
                  <c:v>0.51300000000000034</c:v>
                </c:pt>
                <c:pt idx="513">
                  <c:v>0.51400000000000035</c:v>
                </c:pt>
                <c:pt idx="514">
                  <c:v>0.51500000000000035</c:v>
                </c:pt>
                <c:pt idx="515">
                  <c:v>0.51600000000000035</c:v>
                </c:pt>
                <c:pt idx="516">
                  <c:v>0.51700000000000035</c:v>
                </c:pt>
                <c:pt idx="517">
                  <c:v>0.51800000000000035</c:v>
                </c:pt>
                <c:pt idx="518">
                  <c:v>0.51900000000000035</c:v>
                </c:pt>
                <c:pt idx="519">
                  <c:v>0.52000000000000035</c:v>
                </c:pt>
                <c:pt idx="520">
                  <c:v>0.52100000000000035</c:v>
                </c:pt>
                <c:pt idx="521">
                  <c:v>0.52200000000000035</c:v>
                </c:pt>
                <c:pt idx="522">
                  <c:v>0.52300000000000035</c:v>
                </c:pt>
                <c:pt idx="523">
                  <c:v>0.52400000000000035</c:v>
                </c:pt>
                <c:pt idx="524">
                  <c:v>0.52500000000000036</c:v>
                </c:pt>
                <c:pt idx="525">
                  <c:v>0.52600000000000036</c:v>
                </c:pt>
                <c:pt idx="526">
                  <c:v>0.52700000000000036</c:v>
                </c:pt>
                <c:pt idx="527">
                  <c:v>0.52800000000000036</c:v>
                </c:pt>
                <c:pt idx="528">
                  <c:v>0.52900000000000036</c:v>
                </c:pt>
                <c:pt idx="529">
                  <c:v>0.53000000000000036</c:v>
                </c:pt>
                <c:pt idx="530">
                  <c:v>0.53100000000000036</c:v>
                </c:pt>
                <c:pt idx="531">
                  <c:v>0.53200000000000036</c:v>
                </c:pt>
                <c:pt idx="532">
                  <c:v>0.53300000000000036</c:v>
                </c:pt>
                <c:pt idx="533">
                  <c:v>0.53400000000000036</c:v>
                </c:pt>
                <c:pt idx="534">
                  <c:v>0.53500000000000036</c:v>
                </c:pt>
                <c:pt idx="535">
                  <c:v>0.53600000000000037</c:v>
                </c:pt>
                <c:pt idx="536">
                  <c:v>0.53700000000000037</c:v>
                </c:pt>
                <c:pt idx="537">
                  <c:v>0.53800000000000037</c:v>
                </c:pt>
                <c:pt idx="538">
                  <c:v>0.53900000000000037</c:v>
                </c:pt>
                <c:pt idx="539">
                  <c:v>0.54000000000000037</c:v>
                </c:pt>
                <c:pt idx="540">
                  <c:v>0.54100000000000037</c:v>
                </c:pt>
                <c:pt idx="541">
                  <c:v>0.54200000000000037</c:v>
                </c:pt>
                <c:pt idx="542">
                  <c:v>0.54300000000000037</c:v>
                </c:pt>
                <c:pt idx="543">
                  <c:v>0.54400000000000037</c:v>
                </c:pt>
                <c:pt idx="544">
                  <c:v>0.54500000000000037</c:v>
                </c:pt>
                <c:pt idx="545">
                  <c:v>0.54600000000000037</c:v>
                </c:pt>
                <c:pt idx="546">
                  <c:v>0.54700000000000037</c:v>
                </c:pt>
                <c:pt idx="547">
                  <c:v>0.54800000000000038</c:v>
                </c:pt>
                <c:pt idx="548">
                  <c:v>0.54900000000000038</c:v>
                </c:pt>
                <c:pt idx="549">
                  <c:v>0.55000000000000038</c:v>
                </c:pt>
                <c:pt idx="550">
                  <c:v>0.55100000000000038</c:v>
                </c:pt>
                <c:pt idx="551">
                  <c:v>0.55200000000000038</c:v>
                </c:pt>
                <c:pt idx="552">
                  <c:v>0.55300000000000038</c:v>
                </c:pt>
                <c:pt idx="553">
                  <c:v>0.55400000000000038</c:v>
                </c:pt>
                <c:pt idx="554">
                  <c:v>0.55500000000000038</c:v>
                </c:pt>
                <c:pt idx="555">
                  <c:v>0.55600000000000038</c:v>
                </c:pt>
                <c:pt idx="556">
                  <c:v>0.55700000000000038</c:v>
                </c:pt>
                <c:pt idx="557">
                  <c:v>0.55800000000000038</c:v>
                </c:pt>
                <c:pt idx="558">
                  <c:v>0.55900000000000039</c:v>
                </c:pt>
                <c:pt idx="559">
                  <c:v>0.56000000000000039</c:v>
                </c:pt>
                <c:pt idx="560">
                  <c:v>0.56100000000000039</c:v>
                </c:pt>
                <c:pt idx="561">
                  <c:v>0.56200000000000039</c:v>
                </c:pt>
                <c:pt idx="562">
                  <c:v>0.56300000000000039</c:v>
                </c:pt>
                <c:pt idx="563">
                  <c:v>0.56400000000000039</c:v>
                </c:pt>
                <c:pt idx="564">
                  <c:v>0.56500000000000039</c:v>
                </c:pt>
                <c:pt idx="565">
                  <c:v>0.56600000000000039</c:v>
                </c:pt>
                <c:pt idx="566">
                  <c:v>0.56700000000000039</c:v>
                </c:pt>
                <c:pt idx="567">
                  <c:v>0.56800000000000039</c:v>
                </c:pt>
                <c:pt idx="568">
                  <c:v>0.56900000000000039</c:v>
                </c:pt>
                <c:pt idx="569">
                  <c:v>0.5700000000000004</c:v>
                </c:pt>
                <c:pt idx="570">
                  <c:v>0.5710000000000004</c:v>
                </c:pt>
                <c:pt idx="571">
                  <c:v>0.5720000000000004</c:v>
                </c:pt>
                <c:pt idx="572">
                  <c:v>0.5730000000000004</c:v>
                </c:pt>
                <c:pt idx="573">
                  <c:v>0.5740000000000004</c:v>
                </c:pt>
                <c:pt idx="574">
                  <c:v>0.5750000000000004</c:v>
                </c:pt>
                <c:pt idx="575">
                  <c:v>0.5760000000000004</c:v>
                </c:pt>
                <c:pt idx="576">
                  <c:v>0.5770000000000004</c:v>
                </c:pt>
                <c:pt idx="577">
                  <c:v>0.5780000000000004</c:v>
                </c:pt>
                <c:pt idx="578">
                  <c:v>0.5790000000000004</c:v>
                </c:pt>
                <c:pt idx="579">
                  <c:v>0.5800000000000004</c:v>
                </c:pt>
                <c:pt idx="580">
                  <c:v>0.58100000000000041</c:v>
                </c:pt>
                <c:pt idx="581">
                  <c:v>0.58200000000000041</c:v>
                </c:pt>
                <c:pt idx="582">
                  <c:v>0.58300000000000041</c:v>
                </c:pt>
                <c:pt idx="583">
                  <c:v>0.58400000000000041</c:v>
                </c:pt>
                <c:pt idx="584">
                  <c:v>0.58500000000000041</c:v>
                </c:pt>
                <c:pt idx="585">
                  <c:v>0.58600000000000041</c:v>
                </c:pt>
                <c:pt idx="586">
                  <c:v>0.58700000000000041</c:v>
                </c:pt>
                <c:pt idx="587">
                  <c:v>0.58800000000000041</c:v>
                </c:pt>
                <c:pt idx="588">
                  <c:v>0.58900000000000041</c:v>
                </c:pt>
                <c:pt idx="589">
                  <c:v>0.59000000000000041</c:v>
                </c:pt>
                <c:pt idx="590">
                  <c:v>0.59100000000000041</c:v>
                </c:pt>
                <c:pt idx="591">
                  <c:v>0.59200000000000041</c:v>
                </c:pt>
                <c:pt idx="592">
                  <c:v>0.59300000000000042</c:v>
                </c:pt>
                <c:pt idx="593">
                  <c:v>0.59400000000000042</c:v>
                </c:pt>
                <c:pt idx="594">
                  <c:v>0.59500000000000042</c:v>
                </c:pt>
                <c:pt idx="595">
                  <c:v>0.59600000000000042</c:v>
                </c:pt>
                <c:pt idx="596">
                  <c:v>0.59700000000000042</c:v>
                </c:pt>
                <c:pt idx="597">
                  <c:v>0.59800000000000042</c:v>
                </c:pt>
                <c:pt idx="598">
                  <c:v>0.59900000000000042</c:v>
                </c:pt>
                <c:pt idx="599">
                  <c:v>0.60000000000000042</c:v>
                </c:pt>
                <c:pt idx="600">
                  <c:v>0.60100000000000042</c:v>
                </c:pt>
                <c:pt idx="601">
                  <c:v>0.60200000000000042</c:v>
                </c:pt>
                <c:pt idx="602">
                  <c:v>0.60300000000000042</c:v>
                </c:pt>
                <c:pt idx="603">
                  <c:v>0.60400000000000043</c:v>
                </c:pt>
                <c:pt idx="604">
                  <c:v>0.60500000000000043</c:v>
                </c:pt>
                <c:pt idx="605">
                  <c:v>0.60600000000000043</c:v>
                </c:pt>
                <c:pt idx="606">
                  <c:v>0.60700000000000043</c:v>
                </c:pt>
                <c:pt idx="607">
                  <c:v>0.60800000000000043</c:v>
                </c:pt>
                <c:pt idx="608">
                  <c:v>0.60900000000000043</c:v>
                </c:pt>
                <c:pt idx="609">
                  <c:v>0.61000000000000043</c:v>
                </c:pt>
                <c:pt idx="610">
                  <c:v>0.61100000000000043</c:v>
                </c:pt>
                <c:pt idx="611">
                  <c:v>0.61200000000000043</c:v>
                </c:pt>
                <c:pt idx="612">
                  <c:v>0.61300000000000043</c:v>
                </c:pt>
                <c:pt idx="613">
                  <c:v>0.61400000000000043</c:v>
                </c:pt>
                <c:pt idx="614">
                  <c:v>0.61500000000000044</c:v>
                </c:pt>
                <c:pt idx="615">
                  <c:v>0.61600000000000044</c:v>
                </c:pt>
                <c:pt idx="616">
                  <c:v>0.61700000000000044</c:v>
                </c:pt>
                <c:pt idx="617">
                  <c:v>0.61800000000000044</c:v>
                </c:pt>
                <c:pt idx="618">
                  <c:v>0.61900000000000044</c:v>
                </c:pt>
                <c:pt idx="619">
                  <c:v>0.62000000000000044</c:v>
                </c:pt>
                <c:pt idx="620">
                  <c:v>0.62100000000000044</c:v>
                </c:pt>
                <c:pt idx="621">
                  <c:v>0.62200000000000044</c:v>
                </c:pt>
                <c:pt idx="622">
                  <c:v>0.62300000000000044</c:v>
                </c:pt>
                <c:pt idx="623">
                  <c:v>0.62400000000000044</c:v>
                </c:pt>
                <c:pt idx="624">
                  <c:v>0.62500000000000044</c:v>
                </c:pt>
                <c:pt idx="625">
                  <c:v>0.62600000000000044</c:v>
                </c:pt>
                <c:pt idx="626">
                  <c:v>0.62700000000000045</c:v>
                </c:pt>
                <c:pt idx="627">
                  <c:v>0.62800000000000045</c:v>
                </c:pt>
                <c:pt idx="628">
                  <c:v>0.62900000000000045</c:v>
                </c:pt>
                <c:pt idx="629">
                  <c:v>0.63000000000000045</c:v>
                </c:pt>
                <c:pt idx="630">
                  <c:v>0.63100000000000045</c:v>
                </c:pt>
                <c:pt idx="631">
                  <c:v>0.63200000000000045</c:v>
                </c:pt>
                <c:pt idx="632">
                  <c:v>0.63300000000000045</c:v>
                </c:pt>
                <c:pt idx="633">
                  <c:v>0.63400000000000045</c:v>
                </c:pt>
                <c:pt idx="634">
                  <c:v>0.63500000000000045</c:v>
                </c:pt>
                <c:pt idx="635">
                  <c:v>0.63600000000000045</c:v>
                </c:pt>
                <c:pt idx="636">
                  <c:v>0.63700000000000045</c:v>
                </c:pt>
                <c:pt idx="637">
                  <c:v>0.63800000000000046</c:v>
                </c:pt>
                <c:pt idx="638">
                  <c:v>0.63900000000000046</c:v>
                </c:pt>
                <c:pt idx="639">
                  <c:v>0.64000000000000046</c:v>
                </c:pt>
                <c:pt idx="640">
                  <c:v>0.64100000000000046</c:v>
                </c:pt>
                <c:pt idx="641">
                  <c:v>0.64200000000000046</c:v>
                </c:pt>
                <c:pt idx="642">
                  <c:v>0.64300000000000046</c:v>
                </c:pt>
                <c:pt idx="643">
                  <c:v>0.64400000000000046</c:v>
                </c:pt>
                <c:pt idx="644">
                  <c:v>0.64500000000000046</c:v>
                </c:pt>
                <c:pt idx="645">
                  <c:v>0.64600000000000046</c:v>
                </c:pt>
                <c:pt idx="646">
                  <c:v>0.64700000000000046</c:v>
                </c:pt>
                <c:pt idx="647">
                  <c:v>0.64800000000000046</c:v>
                </c:pt>
                <c:pt idx="648">
                  <c:v>0.64900000000000047</c:v>
                </c:pt>
                <c:pt idx="649">
                  <c:v>0.65000000000000047</c:v>
                </c:pt>
                <c:pt idx="650">
                  <c:v>0.65100000000000047</c:v>
                </c:pt>
                <c:pt idx="651">
                  <c:v>0.65200000000000047</c:v>
                </c:pt>
                <c:pt idx="652">
                  <c:v>0.65300000000000047</c:v>
                </c:pt>
                <c:pt idx="653">
                  <c:v>0.65400000000000047</c:v>
                </c:pt>
                <c:pt idx="654">
                  <c:v>0.65500000000000047</c:v>
                </c:pt>
                <c:pt idx="655">
                  <c:v>0.65600000000000047</c:v>
                </c:pt>
                <c:pt idx="656">
                  <c:v>0.65700000000000047</c:v>
                </c:pt>
                <c:pt idx="657">
                  <c:v>0.65800000000000047</c:v>
                </c:pt>
                <c:pt idx="658">
                  <c:v>0.65900000000000047</c:v>
                </c:pt>
                <c:pt idx="659">
                  <c:v>0.66000000000000048</c:v>
                </c:pt>
                <c:pt idx="660">
                  <c:v>0.66100000000000048</c:v>
                </c:pt>
                <c:pt idx="661">
                  <c:v>0.66200000000000048</c:v>
                </c:pt>
                <c:pt idx="662">
                  <c:v>0.66300000000000048</c:v>
                </c:pt>
                <c:pt idx="663">
                  <c:v>0.66400000000000048</c:v>
                </c:pt>
                <c:pt idx="664">
                  <c:v>0.66500000000000048</c:v>
                </c:pt>
                <c:pt idx="665">
                  <c:v>0.66600000000000048</c:v>
                </c:pt>
                <c:pt idx="666">
                  <c:v>0.66700000000000048</c:v>
                </c:pt>
                <c:pt idx="667">
                  <c:v>0.66800000000000048</c:v>
                </c:pt>
                <c:pt idx="668">
                  <c:v>0.66900000000000048</c:v>
                </c:pt>
                <c:pt idx="669">
                  <c:v>0.67000000000000048</c:v>
                </c:pt>
                <c:pt idx="670">
                  <c:v>0.67100000000000048</c:v>
                </c:pt>
                <c:pt idx="671">
                  <c:v>0.67200000000000049</c:v>
                </c:pt>
                <c:pt idx="672">
                  <c:v>0.67300000000000049</c:v>
                </c:pt>
                <c:pt idx="673">
                  <c:v>0.67400000000000049</c:v>
                </c:pt>
                <c:pt idx="674">
                  <c:v>0.67500000000000049</c:v>
                </c:pt>
                <c:pt idx="675">
                  <c:v>0.67600000000000049</c:v>
                </c:pt>
                <c:pt idx="676">
                  <c:v>0.67700000000000049</c:v>
                </c:pt>
                <c:pt idx="677">
                  <c:v>0.67800000000000049</c:v>
                </c:pt>
                <c:pt idx="678">
                  <c:v>0.67900000000000049</c:v>
                </c:pt>
                <c:pt idx="679">
                  <c:v>0.68000000000000049</c:v>
                </c:pt>
                <c:pt idx="680">
                  <c:v>0.68100000000000049</c:v>
                </c:pt>
                <c:pt idx="681">
                  <c:v>0.68200000000000049</c:v>
                </c:pt>
                <c:pt idx="682">
                  <c:v>0.6830000000000005</c:v>
                </c:pt>
                <c:pt idx="683">
                  <c:v>0.6840000000000005</c:v>
                </c:pt>
                <c:pt idx="684">
                  <c:v>0.6850000000000005</c:v>
                </c:pt>
                <c:pt idx="685">
                  <c:v>0.6860000000000005</c:v>
                </c:pt>
                <c:pt idx="686">
                  <c:v>0.6870000000000005</c:v>
                </c:pt>
                <c:pt idx="687">
                  <c:v>0.6880000000000005</c:v>
                </c:pt>
                <c:pt idx="688">
                  <c:v>0.6890000000000005</c:v>
                </c:pt>
                <c:pt idx="689">
                  <c:v>0.6900000000000005</c:v>
                </c:pt>
                <c:pt idx="690">
                  <c:v>0.6910000000000005</c:v>
                </c:pt>
                <c:pt idx="691">
                  <c:v>0.6920000000000005</c:v>
                </c:pt>
                <c:pt idx="692">
                  <c:v>0.6930000000000005</c:v>
                </c:pt>
                <c:pt idx="693">
                  <c:v>0.69400000000000051</c:v>
                </c:pt>
                <c:pt idx="694">
                  <c:v>0.69500000000000051</c:v>
                </c:pt>
                <c:pt idx="695">
                  <c:v>0.69600000000000051</c:v>
                </c:pt>
                <c:pt idx="696">
                  <c:v>0.69700000000000051</c:v>
                </c:pt>
                <c:pt idx="697">
                  <c:v>0.69800000000000051</c:v>
                </c:pt>
                <c:pt idx="698">
                  <c:v>0.69900000000000051</c:v>
                </c:pt>
                <c:pt idx="699">
                  <c:v>0.70000000000000051</c:v>
                </c:pt>
                <c:pt idx="700">
                  <c:v>0.70100000000000051</c:v>
                </c:pt>
                <c:pt idx="701">
                  <c:v>0.70200000000000051</c:v>
                </c:pt>
                <c:pt idx="702">
                  <c:v>0.70300000000000051</c:v>
                </c:pt>
                <c:pt idx="703">
                  <c:v>0.70400000000000051</c:v>
                </c:pt>
                <c:pt idx="704">
                  <c:v>0.70500000000000052</c:v>
                </c:pt>
                <c:pt idx="705">
                  <c:v>0.70600000000000052</c:v>
                </c:pt>
                <c:pt idx="706">
                  <c:v>0.70700000000000052</c:v>
                </c:pt>
                <c:pt idx="707">
                  <c:v>0.70800000000000052</c:v>
                </c:pt>
                <c:pt idx="708">
                  <c:v>0.70900000000000052</c:v>
                </c:pt>
                <c:pt idx="709">
                  <c:v>0.71000000000000052</c:v>
                </c:pt>
                <c:pt idx="710">
                  <c:v>0.71100000000000052</c:v>
                </c:pt>
                <c:pt idx="711">
                  <c:v>0.71200000000000052</c:v>
                </c:pt>
                <c:pt idx="712">
                  <c:v>0.71300000000000052</c:v>
                </c:pt>
                <c:pt idx="713">
                  <c:v>0.71400000000000052</c:v>
                </c:pt>
                <c:pt idx="714">
                  <c:v>0.71500000000000052</c:v>
                </c:pt>
                <c:pt idx="715">
                  <c:v>0.71600000000000052</c:v>
                </c:pt>
                <c:pt idx="716">
                  <c:v>0.71700000000000053</c:v>
                </c:pt>
                <c:pt idx="717">
                  <c:v>0.71800000000000053</c:v>
                </c:pt>
                <c:pt idx="718">
                  <c:v>0.71900000000000053</c:v>
                </c:pt>
                <c:pt idx="719">
                  <c:v>0.72000000000000053</c:v>
                </c:pt>
                <c:pt idx="720">
                  <c:v>0.72100000000000053</c:v>
                </c:pt>
                <c:pt idx="721">
                  <c:v>0.72200000000000053</c:v>
                </c:pt>
                <c:pt idx="722">
                  <c:v>0.72300000000000053</c:v>
                </c:pt>
                <c:pt idx="723">
                  <c:v>0.72400000000000053</c:v>
                </c:pt>
                <c:pt idx="724">
                  <c:v>0.72500000000000053</c:v>
                </c:pt>
                <c:pt idx="725">
                  <c:v>0.72600000000000053</c:v>
                </c:pt>
                <c:pt idx="726">
                  <c:v>0.72700000000000053</c:v>
                </c:pt>
                <c:pt idx="727">
                  <c:v>0.72800000000000054</c:v>
                </c:pt>
                <c:pt idx="728">
                  <c:v>0.72900000000000054</c:v>
                </c:pt>
                <c:pt idx="729">
                  <c:v>0.73000000000000054</c:v>
                </c:pt>
                <c:pt idx="730">
                  <c:v>0.73100000000000054</c:v>
                </c:pt>
                <c:pt idx="731">
                  <c:v>0.73200000000000054</c:v>
                </c:pt>
                <c:pt idx="732">
                  <c:v>0.73300000000000054</c:v>
                </c:pt>
                <c:pt idx="733">
                  <c:v>0.73400000000000054</c:v>
                </c:pt>
                <c:pt idx="734">
                  <c:v>0.73500000000000054</c:v>
                </c:pt>
                <c:pt idx="735">
                  <c:v>0.73600000000000054</c:v>
                </c:pt>
                <c:pt idx="736">
                  <c:v>0.73700000000000054</c:v>
                </c:pt>
                <c:pt idx="737">
                  <c:v>0.73800000000000054</c:v>
                </c:pt>
                <c:pt idx="738">
                  <c:v>0.73900000000000055</c:v>
                </c:pt>
                <c:pt idx="739">
                  <c:v>0.74000000000000055</c:v>
                </c:pt>
                <c:pt idx="740">
                  <c:v>0.74100000000000055</c:v>
                </c:pt>
                <c:pt idx="741">
                  <c:v>0.74200000000000055</c:v>
                </c:pt>
                <c:pt idx="742">
                  <c:v>0.74300000000000055</c:v>
                </c:pt>
                <c:pt idx="743">
                  <c:v>0.74400000000000055</c:v>
                </c:pt>
                <c:pt idx="744">
                  <c:v>0.74500000000000055</c:v>
                </c:pt>
                <c:pt idx="745">
                  <c:v>0.74600000000000055</c:v>
                </c:pt>
                <c:pt idx="746">
                  <c:v>0.74700000000000055</c:v>
                </c:pt>
                <c:pt idx="747">
                  <c:v>0.74800000000000055</c:v>
                </c:pt>
                <c:pt idx="748">
                  <c:v>0.74900000000000055</c:v>
                </c:pt>
                <c:pt idx="749">
                  <c:v>0.75000000000000056</c:v>
                </c:pt>
                <c:pt idx="750">
                  <c:v>0.75100000000000056</c:v>
                </c:pt>
                <c:pt idx="751">
                  <c:v>0.75200000000000056</c:v>
                </c:pt>
                <c:pt idx="752">
                  <c:v>0.75300000000000056</c:v>
                </c:pt>
                <c:pt idx="753">
                  <c:v>0.75400000000000056</c:v>
                </c:pt>
                <c:pt idx="754">
                  <c:v>0.75500000000000056</c:v>
                </c:pt>
                <c:pt idx="755">
                  <c:v>0.75600000000000056</c:v>
                </c:pt>
                <c:pt idx="756">
                  <c:v>0.75700000000000056</c:v>
                </c:pt>
                <c:pt idx="757">
                  <c:v>0.75800000000000056</c:v>
                </c:pt>
                <c:pt idx="758">
                  <c:v>0.75900000000000056</c:v>
                </c:pt>
                <c:pt idx="759">
                  <c:v>0.76000000000000056</c:v>
                </c:pt>
                <c:pt idx="760">
                  <c:v>0.76100000000000056</c:v>
                </c:pt>
                <c:pt idx="761">
                  <c:v>0.76200000000000057</c:v>
                </c:pt>
                <c:pt idx="762">
                  <c:v>0.76300000000000057</c:v>
                </c:pt>
                <c:pt idx="763">
                  <c:v>0.76400000000000057</c:v>
                </c:pt>
                <c:pt idx="764">
                  <c:v>0.76500000000000057</c:v>
                </c:pt>
                <c:pt idx="765">
                  <c:v>0.76600000000000057</c:v>
                </c:pt>
                <c:pt idx="766">
                  <c:v>0.76700000000000057</c:v>
                </c:pt>
                <c:pt idx="767">
                  <c:v>0.76800000000000057</c:v>
                </c:pt>
                <c:pt idx="768">
                  <c:v>0.76900000000000057</c:v>
                </c:pt>
                <c:pt idx="769">
                  <c:v>0.77000000000000057</c:v>
                </c:pt>
                <c:pt idx="770">
                  <c:v>0.77100000000000057</c:v>
                </c:pt>
                <c:pt idx="771">
                  <c:v>0.77200000000000057</c:v>
                </c:pt>
                <c:pt idx="772">
                  <c:v>0.77300000000000058</c:v>
                </c:pt>
                <c:pt idx="773">
                  <c:v>0.77400000000000058</c:v>
                </c:pt>
                <c:pt idx="774">
                  <c:v>0.77500000000000058</c:v>
                </c:pt>
                <c:pt idx="775">
                  <c:v>0.77600000000000058</c:v>
                </c:pt>
                <c:pt idx="776">
                  <c:v>0.77700000000000058</c:v>
                </c:pt>
                <c:pt idx="777">
                  <c:v>0.77800000000000058</c:v>
                </c:pt>
                <c:pt idx="778">
                  <c:v>0.77900000000000058</c:v>
                </c:pt>
                <c:pt idx="779">
                  <c:v>0.78000000000000058</c:v>
                </c:pt>
                <c:pt idx="780">
                  <c:v>0.78100000000000058</c:v>
                </c:pt>
                <c:pt idx="781">
                  <c:v>0.78200000000000058</c:v>
                </c:pt>
                <c:pt idx="782">
                  <c:v>0.78300000000000058</c:v>
                </c:pt>
                <c:pt idx="783">
                  <c:v>0.78400000000000059</c:v>
                </c:pt>
                <c:pt idx="784">
                  <c:v>0.78500000000000059</c:v>
                </c:pt>
                <c:pt idx="785">
                  <c:v>0.78600000000000059</c:v>
                </c:pt>
                <c:pt idx="786">
                  <c:v>0.78700000000000059</c:v>
                </c:pt>
                <c:pt idx="787">
                  <c:v>0.78800000000000059</c:v>
                </c:pt>
                <c:pt idx="788">
                  <c:v>0.78900000000000059</c:v>
                </c:pt>
                <c:pt idx="789">
                  <c:v>0.79000000000000059</c:v>
                </c:pt>
                <c:pt idx="790">
                  <c:v>0.79100000000000059</c:v>
                </c:pt>
                <c:pt idx="791">
                  <c:v>0.79200000000000059</c:v>
                </c:pt>
                <c:pt idx="792">
                  <c:v>0.79300000000000059</c:v>
                </c:pt>
                <c:pt idx="793">
                  <c:v>0.79400000000000059</c:v>
                </c:pt>
                <c:pt idx="794">
                  <c:v>0.7950000000000006</c:v>
                </c:pt>
                <c:pt idx="795">
                  <c:v>0.7960000000000006</c:v>
                </c:pt>
                <c:pt idx="796">
                  <c:v>0.7970000000000006</c:v>
                </c:pt>
                <c:pt idx="797">
                  <c:v>0.7980000000000006</c:v>
                </c:pt>
                <c:pt idx="798">
                  <c:v>0.7990000000000006</c:v>
                </c:pt>
                <c:pt idx="799">
                  <c:v>0.8000000000000006</c:v>
                </c:pt>
                <c:pt idx="800">
                  <c:v>0.8010000000000006</c:v>
                </c:pt>
                <c:pt idx="801">
                  <c:v>0.8020000000000006</c:v>
                </c:pt>
                <c:pt idx="802">
                  <c:v>0.8030000000000006</c:v>
                </c:pt>
                <c:pt idx="803">
                  <c:v>0.8040000000000006</c:v>
                </c:pt>
                <c:pt idx="804">
                  <c:v>0.8050000000000006</c:v>
                </c:pt>
                <c:pt idx="805">
                  <c:v>0.8060000000000006</c:v>
                </c:pt>
                <c:pt idx="806">
                  <c:v>0.80700000000000061</c:v>
                </c:pt>
                <c:pt idx="807">
                  <c:v>0.80800000000000061</c:v>
                </c:pt>
                <c:pt idx="808">
                  <c:v>0.80900000000000061</c:v>
                </c:pt>
                <c:pt idx="809">
                  <c:v>0.81000000000000061</c:v>
                </c:pt>
                <c:pt idx="810">
                  <c:v>0.81100000000000061</c:v>
                </c:pt>
                <c:pt idx="811">
                  <c:v>0.81200000000000061</c:v>
                </c:pt>
                <c:pt idx="812">
                  <c:v>0.81300000000000061</c:v>
                </c:pt>
                <c:pt idx="813">
                  <c:v>0.81400000000000061</c:v>
                </c:pt>
                <c:pt idx="814">
                  <c:v>0.81500000000000061</c:v>
                </c:pt>
                <c:pt idx="815">
                  <c:v>0.81600000000000061</c:v>
                </c:pt>
                <c:pt idx="816">
                  <c:v>0.81700000000000061</c:v>
                </c:pt>
                <c:pt idx="817">
                  <c:v>0.81800000000000062</c:v>
                </c:pt>
                <c:pt idx="818">
                  <c:v>0.81900000000000062</c:v>
                </c:pt>
                <c:pt idx="819">
                  <c:v>0.82000000000000062</c:v>
                </c:pt>
                <c:pt idx="820">
                  <c:v>0.82100000000000062</c:v>
                </c:pt>
                <c:pt idx="821">
                  <c:v>0.82200000000000062</c:v>
                </c:pt>
                <c:pt idx="822">
                  <c:v>0.82300000000000062</c:v>
                </c:pt>
                <c:pt idx="823">
                  <c:v>0.82400000000000062</c:v>
                </c:pt>
                <c:pt idx="824">
                  <c:v>0.82500000000000062</c:v>
                </c:pt>
                <c:pt idx="825">
                  <c:v>0.82600000000000062</c:v>
                </c:pt>
                <c:pt idx="826">
                  <c:v>0.82700000000000062</c:v>
                </c:pt>
                <c:pt idx="827">
                  <c:v>0.82800000000000062</c:v>
                </c:pt>
                <c:pt idx="828">
                  <c:v>0.82900000000000063</c:v>
                </c:pt>
                <c:pt idx="829">
                  <c:v>0.83000000000000063</c:v>
                </c:pt>
                <c:pt idx="830">
                  <c:v>0.83100000000000063</c:v>
                </c:pt>
                <c:pt idx="831">
                  <c:v>0.83200000000000063</c:v>
                </c:pt>
                <c:pt idx="832">
                  <c:v>0.83300000000000063</c:v>
                </c:pt>
                <c:pt idx="833">
                  <c:v>0.83400000000000063</c:v>
                </c:pt>
                <c:pt idx="834">
                  <c:v>0.83500000000000063</c:v>
                </c:pt>
                <c:pt idx="835">
                  <c:v>0.83600000000000063</c:v>
                </c:pt>
                <c:pt idx="836">
                  <c:v>0.83700000000000063</c:v>
                </c:pt>
                <c:pt idx="837">
                  <c:v>0.83800000000000063</c:v>
                </c:pt>
                <c:pt idx="838">
                  <c:v>0.83900000000000063</c:v>
                </c:pt>
                <c:pt idx="839">
                  <c:v>0.84000000000000064</c:v>
                </c:pt>
                <c:pt idx="840">
                  <c:v>0.84100000000000064</c:v>
                </c:pt>
                <c:pt idx="841">
                  <c:v>0.84200000000000064</c:v>
                </c:pt>
                <c:pt idx="842">
                  <c:v>0.84300000000000064</c:v>
                </c:pt>
                <c:pt idx="843">
                  <c:v>0.84400000000000064</c:v>
                </c:pt>
                <c:pt idx="844">
                  <c:v>0.84500000000000064</c:v>
                </c:pt>
                <c:pt idx="845">
                  <c:v>0.84600000000000064</c:v>
                </c:pt>
                <c:pt idx="846">
                  <c:v>0.84700000000000064</c:v>
                </c:pt>
                <c:pt idx="847">
                  <c:v>0.84800000000000064</c:v>
                </c:pt>
                <c:pt idx="848">
                  <c:v>0.84900000000000064</c:v>
                </c:pt>
                <c:pt idx="849">
                  <c:v>0.85000000000000064</c:v>
                </c:pt>
                <c:pt idx="850">
                  <c:v>0.85100000000000064</c:v>
                </c:pt>
                <c:pt idx="851">
                  <c:v>0.85200000000000065</c:v>
                </c:pt>
                <c:pt idx="852">
                  <c:v>0.85300000000000065</c:v>
                </c:pt>
                <c:pt idx="853">
                  <c:v>0.85400000000000065</c:v>
                </c:pt>
                <c:pt idx="854">
                  <c:v>0.85500000000000065</c:v>
                </c:pt>
                <c:pt idx="855">
                  <c:v>0.85600000000000065</c:v>
                </c:pt>
                <c:pt idx="856">
                  <c:v>0.85700000000000065</c:v>
                </c:pt>
                <c:pt idx="857">
                  <c:v>0.85800000000000065</c:v>
                </c:pt>
                <c:pt idx="858">
                  <c:v>0.85900000000000065</c:v>
                </c:pt>
                <c:pt idx="859">
                  <c:v>0.86000000000000065</c:v>
                </c:pt>
                <c:pt idx="860">
                  <c:v>0.86100000000000065</c:v>
                </c:pt>
                <c:pt idx="861">
                  <c:v>0.86200000000000065</c:v>
                </c:pt>
                <c:pt idx="862">
                  <c:v>0.86300000000000066</c:v>
                </c:pt>
                <c:pt idx="863">
                  <c:v>0.86400000000000066</c:v>
                </c:pt>
                <c:pt idx="864">
                  <c:v>0.86500000000000066</c:v>
                </c:pt>
                <c:pt idx="865">
                  <c:v>0.86600000000000066</c:v>
                </c:pt>
                <c:pt idx="866">
                  <c:v>0.86700000000000066</c:v>
                </c:pt>
                <c:pt idx="867">
                  <c:v>0.86800000000000066</c:v>
                </c:pt>
                <c:pt idx="868">
                  <c:v>0.86900000000000066</c:v>
                </c:pt>
                <c:pt idx="869">
                  <c:v>0.87000000000000066</c:v>
                </c:pt>
                <c:pt idx="870">
                  <c:v>0.87100000000000066</c:v>
                </c:pt>
                <c:pt idx="871">
                  <c:v>0.87200000000000066</c:v>
                </c:pt>
                <c:pt idx="872">
                  <c:v>0.87300000000000066</c:v>
                </c:pt>
                <c:pt idx="873">
                  <c:v>0.87400000000000067</c:v>
                </c:pt>
                <c:pt idx="874">
                  <c:v>0.87500000000000067</c:v>
                </c:pt>
                <c:pt idx="875">
                  <c:v>0.87600000000000067</c:v>
                </c:pt>
                <c:pt idx="876">
                  <c:v>0.87700000000000067</c:v>
                </c:pt>
                <c:pt idx="877">
                  <c:v>0.87800000000000067</c:v>
                </c:pt>
                <c:pt idx="878">
                  <c:v>0.87900000000000067</c:v>
                </c:pt>
                <c:pt idx="879">
                  <c:v>0.88000000000000067</c:v>
                </c:pt>
                <c:pt idx="880">
                  <c:v>0.88100000000000067</c:v>
                </c:pt>
                <c:pt idx="881">
                  <c:v>0.88200000000000067</c:v>
                </c:pt>
                <c:pt idx="882">
                  <c:v>0.88300000000000067</c:v>
                </c:pt>
                <c:pt idx="883">
                  <c:v>0.88400000000000067</c:v>
                </c:pt>
                <c:pt idx="884">
                  <c:v>0.88500000000000068</c:v>
                </c:pt>
                <c:pt idx="885">
                  <c:v>0.88600000000000068</c:v>
                </c:pt>
                <c:pt idx="886">
                  <c:v>0.88700000000000068</c:v>
                </c:pt>
                <c:pt idx="887">
                  <c:v>0.88800000000000068</c:v>
                </c:pt>
                <c:pt idx="888">
                  <c:v>0.88900000000000068</c:v>
                </c:pt>
                <c:pt idx="889">
                  <c:v>0.89000000000000068</c:v>
                </c:pt>
                <c:pt idx="890">
                  <c:v>0.89100000000000068</c:v>
                </c:pt>
                <c:pt idx="891">
                  <c:v>0.89200000000000068</c:v>
                </c:pt>
                <c:pt idx="892">
                  <c:v>0.89300000000000068</c:v>
                </c:pt>
                <c:pt idx="893">
                  <c:v>0.89400000000000068</c:v>
                </c:pt>
                <c:pt idx="894">
                  <c:v>0.89500000000000068</c:v>
                </c:pt>
                <c:pt idx="895">
                  <c:v>0.89600000000000068</c:v>
                </c:pt>
                <c:pt idx="896">
                  <c:v>0.89700000000000069</c:v>
                </c:pt>
                <c:pt idx="897">
                  <c:v>0.89800000000000069</c:v>
                </c:pt>
                <c:pt idx="898">
                  <c:v>0.89900000000000069</c:v>
                </c:pt>
                <c:pt idx="899">
                  <c:v>0.90000000000000069</c:v>
                </c:pt>
                <c:pt idx="900">
                  <c:v>0.90100000000000069</c:v>
                </c:pt>
                <c:pt idx="901">
                  <c:v>0.90200000000000069</c:v>
                </c:pt>
                <c:pt idx="902">
                  <c:v>0.90300000000000069</c:v>
                </c:pt>
                <c:pt idx="903">
                  <c:v>0.90400000000000069</c:v>
                </c:pt>
                <c:pt idx="904">
                  <c:v>0.90500000000000069</c:v>
                </c:pt>
                <c:pt idx="905">
                  <c:v>0.90600000000000069</c:v>
                </c:pt>
                <c:pt idx="906">
                  <c:v>0.90700000000000069</c:v>
                </c:pt>
                <c:pt idx="907">
                  <c:v>0.9080000000000007</c:v>
                </c:pt>
                <c:pt idx="908">
                  <c:v>0.9090000000000007</c:v>
                </c:pt>
                <c:pt idx="909">
                  <c:v>0.9100000000000007</c:v>
                </c:pt>
                <c:pt idx="910">
                  <c:v>0.9110000000000007</c:v>
                </c:pt>
                <c:pt idx="911">
                  <c:v>0.9120000000000007</c:v>
                </c:pt>
                <c:pt idx="912">
                  <c:v>0.9130000000000007</c:v>
                </c:pt>
                <c:pt idx="913">
                  <c:v>0.9140000000000007</c:v>
                </c:pt>
                <c:pt idx="914">
                  <c:v>0.9150000000000007</c:v>
                </c:pt>
                <c:pt idx="915">
                  <c:v>0.9160000000000007</c:v>
                </c:pt>
                <c:pt idx="916">
                  <c:v>0.9170000000000007</c:v>
                </c:pt>
                <c:pt idx="917">
                  <c:v>0.9180000000000007</c:v>
                </c:pt>
                <c:pt idx="918">
                  <c:v>0.91900000000000071</c:v>
                </c:pt>
                <c:pt idx="919">
                  <c:v>0.92000000000000071</c:v>
                </c:pt>
                <c:pt idx="920">
                  <c:v>0.92100000000000071</c:v>
                </c:pt>
                <c:pt idx="921">
                  <c:v>0.92200000000000071</c:v>
                </c:pt>
                <c:pt idx="922">
                  <c:v>0.92300000000000071</c:v>
                </c:pt>
                <c:pt idx="923">
                  <c:v>0.92400000000000071</c:v>
                </c:pt>
                <c:pt idx="924">
                  <c:v>0.92500000000000071</c:v>
                </c:pt>
                <c:pt idx="925">
                  <c:v>0.92600000000000071</c:v>
                </c:pt>
                <c:pt idx="926">
                  <c:v>0.92700000000000071</c:v>
                </c:pt>
                <c:pt idx="927">
                  <c:v>0.92800000000000071</c:v>
                </c:pt>
                <c:pt idx="928">
                  <c:v>0.92900000000000071</c:v>
                </c:pt>
                <c:pt idx="929">
                  <c:v>0.93000000000000071</c:v>
                </c:pt>
                <c:pt idx="930">
                  <c:v>0.93100000000000072</c:v>
                </c:pt>
                <c:pt idx="931">
                  <c:v>0.93200000000000072</c:v>
                </c:pt>
                <c:pt idx="932">
                  <c:v>0.93300000000000072</c:v>
                </c:pt>
                <c:pt idx="933">
                  <c:v>0.93400000000000072</c:v>
                </c:pt>
                <c:pt idx="934">
                  <c:v>0.93500000000000072</c:v>
                </c:pt>
                <c:pt idx="935">
                  <c:v>0.93600000000000072</c:v>
                </c:pt>
                <c:pt idx="936">
                  <c:v>0.93700000000000072</c:v>
                </c:pt>
                <c:pt idx="937">
                  <c:v>0.93800000000000072</c:v>
                </c:pt>
                <c:pt idx="938">
                  <c:v>0.93900000000000072</c:v>
                </c:pt>
                <c:pt idx="939">
                  <c:v>0.94000000000000072</c:v>
                </c:pt>
                <c:pt idx="940">
                  <c:v>0.94100000000000072</c:v>
                </c:pt>
                <c:pt idx="941">
                  <c:v>0.94200000000000073</c:v>
                </c:pt>
                <c:pt idx="942">
                  <c:v>0.94300000000000073</c:v>
                </c:pt>
                <c:pt idx="943">
                  <c:v>0.94400000000000073</c:v>
                </c:pt>
                <c:pt idx="944">
                  <c:v>0.94500000000000073</c:v>
                </c:pt>
                <c:pt idx="945">
                  <c:v>0.94600000000000073</c:v>
                </c:pt>
                <c:pt idx="946">
                  <c:v>0.94700000000000073</c:v>
                </c:pt>
                <c:pt idx="947">
                  <c:v>0.94800000000000073</c:v>
                </c:pt>
                <c:pt idx="948">
                  <c:v>0.94900000000000073</c:v>
                </c:pt>
                <c:pt idx="949">
                  <c:v>0.95000000000000073</c:v>
                </c:pt>
                <c:pt idx="950">
                  <c:v>0.95100000000000073</c:v>
                </c:pt>
                <c:pt idx="951">
                  <c:v>0.95200000000000073</c:v>
                </c:pt>
                <c:pt idx="952">
                  <c:v>0.95300000000000074</c:v>
                </c:pt>
                <c:pt idx="953">
                  <c:v>0.95400000000000074</c:v>
                </c:pt>
                <c:pt idx="954">
                  <c:v>0.95500000000000074</c:v>
                </c:pt>
                <c:pt idx="955">
                  <c:v>0.95600000000000074</c:v>
                </c:pt>
                <c:pt idx="956">
                  <c:v>0.95700000000000074</c:v>
                </c:pt>
                <c:pt idx="957">
                  <c:v>0.95800000000000074</c:v>
                </c:pt>
                <c:pt idx="958">
                  <c:v>0.95900000000000074</c:v>
                </c:pt>
                <c:pt idx="959">
                  <c:v>0.96000000000000074</c:v>
                </c:pt>
                <c:pt idx="960">
                  <c:v>0.96100000000000074</c:v>
                </c:pt>
                <c:pt idx="961">
                  <c:v>0.96200000000000074</c:v>
                </c:pt>
                <c:pt idx="962">
                  <c:v>0.96300000000000074</c:v>
                </c:pt>
                <c:pt idx="963">
                  <c:v>0.96400000000000075</c:v>
                </c:pt>
                <c:pt idx="964">
                  <c:v>0.96500000000000075</c:v>
                </c:pt>
                <c:pt idx="965">
                  <c:v>0.96600000000000075</c:v>
                </c:pt>
                <c:pt idx="966">
                  <c:v>0.96700000000000075</c:v>
                </c:pt>
                <c:pt idx="967">
                  <c:v>0.96800000000000075</c:v>
                </c:pt>
                <c:pt idx="968">
                  <c:v>0.96900000000000075</c:v>
                </c:pt>
                <c:pt idx="969">
                  <c:v>0.97000000000000075</c:v>
                </c:pt>
                <c:pt idx="970">
                  <c:v>0.97100000000000075</c:v>
                </c:pt>
                <c:pt idx="971">
                  <c:v>0.97200000000000075</c:v>
                </c:pt>
                <c:pt idx="972">
                  <c:v>0.97300000000000075</c:v>
                </c:pt>
                <c:pt idx="973">
                  <c:v>0.97400000000000075</c:v>
                </c:pt>
                <c:pt idx="974">
                  <c:v>0.97500000000000075</c:v>
                </c:pt>
                <c:pt idx="975">
                  <c:v>0.97600000000000076</c:v>
                </c:pt>
                <c:pt idx="976">
                  <c:v>0.97700000000000076</c:v>
                </c:pt>
                <c:pt idx="977">
                  <c:v>0.97800000000000076</c:v>
                </c:pt>
                <c:pt idx="978">
                  <c:v>0.97900000000000076</c:v>
                </c:pt>
                <c:pt idx="979">
                  <c:v>0.98000000000000076</c:v>
                </c:pt>
                <c:pt idx="980">
                  <c:v>0.98100000000000076</c:v>
                </c:pt>
                <c:pt idx="981">
                  <c:v>0.98200000000000076</c:v>
                </c:pt>
                <c:pt idx="982">
                  <c:v>0.98300000000000076</c:v>
                </c:pt>
                <c:pt idx="983">
                  <c:v>0.98400000000000076</c:v>
                </c:pt>
                <c:pt idx="984">
                  <c:v>0.98500000000000076</c:v>
                </c:pt>
                <c:pt idx="985">
                  <c:v>0.98600000000000076</c:v>
                </c:pt>
                <c:pt idx="986">
                  <c:v>0.98700000000000077</c:v>
                </c:pt>
                <c:pt idx="987">
                  <c:v>0.98800000000000077</c:v>
                </c:pt>
                <c:pt idx="988">
                  <c:v>0.98900000000000077</c:v>
                </c:pt>
                <c:pt idx="989">
                  <c:v>0.99000000000000077</c:v>
                </c:pt>
                <c:pt idx="990">
                  <c:v>0.99100000000000077</c:v>
                </c:pt>
                <c:pt idx="991">
                  <c:v>0.99200000000000077</c:v>
                </c:pt>
                <c:pt idx="992">
                  <c:v>0.99300000000000077</c:v>
                </c:pt>
                <c:pt idx="993">
                  <c:v>0.99400000000000077</c:v>
                </c:pt>
                <c:pt idx="994">
                  <c:v>0.99500000000000077</c:v>
                </c:pt>
                <c:pt idx="995">
                  <c:v>0.99600000000000077</c:v>
                </c:pt>
                <c:pt idx="996">
                  <c:v>0.99700000000000077</c:v>
                </c:pt>
                <c:pt idx="997">
                  <c:v>0.99800000000000078</c:v>
                </c:pt>
                <c:pt idx="998">
                  <c:v>0.99900000000000078</c:v>
                </c:pt>
                <c:pt idx="999">
                  <c:v>1.0000000000000007</c:v>
                </c:pt>
                <c:pt idx="1000">
                  <c:v>1.0010000000000006</c:v>
                </c:pt>
                <c:pt idx="1001">
                  <c:v>1.0020000000000004</c:v>
                </c:pt>
                <c:pt idx="1002">
                  <c:v>1.0030000000000003</c:v>
                </c:pt>
                <c:pt idx="1003">
                  <c:v>1.0040000000000002</c:v>
                </c:pt>
                <c:pt idx="1004">
                  <c:v>1.0050000000000001</c:v>
                </c:pt>
                <c:pt idx="1005">
                  <c:v>1.006</c:v>
                </c:pt>
                <c:pt idx="1006">
                  <c:v>1.0069999999999999</c:v>
                </c:pt>
                <c:pt idx="1007">
                  <c:v>1.0079999999999998</c:v>
                </c:pt>
                <c:pt idx="1008">
                  <c:v>1.0089999999999997</c:v>
                </c:pt>
                <c:pt idx="1009">
                  <c:v>1.0099999999999996</c:v>
                </c:pt>
                <c:pt idx="1010">
                  <c:v>1.0109999999999995</c:v>
                </c:pt>
                <c:pt idx="1011">
                  <c:v>1.0119999999999993</c:v>
                </c:pt>
                <c:pt idx="1012">
                  <c:v>1.0129999999999992</c:v>
                </c:pt>
                <c:pt idx="1013">
                  <c:v>1.0139999999999991</c:v>
                </c:pt>
                <c:pt idx="1014">
                  <c:v>1.014999999999999</c:v>
                </c:pt>
                <c:pt idx="1015">
                  <c:v>1.0159999999999989</c:v>
                </c:pt>
                <c:pt idx="1016">
                  <c:v>1.0169999999999988</c:v>
                </c:pt>
                <c:pt idx="1017">
                  <c:v>1.0179999999999987</c:v>
                </c:pt>
                <c:pt idx="1018">
                  <c:v>1.0189999999999986</c:v>
                </c:pt>
                <c:pt idx="1019">
                  <c:v>1.0199999999999985</c:v>
                </c:pt>
                <c:pt idx="1020">
                  <c:v>1.0209999999999984</c:v>
                </c:pt>
                <c:pt idx="1021">
                  <c:v>1.0219999999999982</c:v>
                </c:pt>
                <c:pt idx="1022">
                  <c:v>1.0229999999999981</c:v>
                </c:pt>
                <c:pt idx="1023">
                  <c:v>1.023999999999998</c:v>
                </c:pt>
                <c:pt idx="1024">
                  <c:v>1.0249999999999979</c:v>
                </c:pt>
                <c:pt idx="1025">
                  <c:v>1.0259999999999978</c:v>
                </c:pt>
                <c:pt idx="1026">
                  <c:v>1.0269999999999977</c:v>
                </c:pt>
                <c:pt idx="1027">
                  <c:v>1.0279999999999976</c:v>
                </c:pt>
                <c:pt idx="1028">
                  <c:v>1.0289999999999975</c:v>
                </c:pt>
                <c:pt idx="1029">
                  <c:v>1.0299999999999974</c:v>
                </c:pt>
                <c:pt idx="1030">
                  <c:v>1.0309999999999973</c:v>
                </c:pt>
                <c:pt idx="1031">
                  <c:v>1.0319999999999971</c:v>
                </c:pt>
                <c:pt idx="1032">
                  <c:v>1.032999999999997</c:v>
                </c:pt>
                <c:pt idx="1033">
                  <c:v>1.0339999999999969</c:v>
                </c:pt>
                <c:pt idx="1034">
                  <c:v>1.0349999999999968</c:v>
                </c:pt>
                <c:pt idx="1035">
                  <c:v>1.0359999999999967</c:v>
                </c:pt>
                <c:pt idx="1036">
                  <c:v>1.0369999999999966</c:v>
                </c:pt>
                <c:pt idx="1037">
                  <c:v>1.0379999999999965</c:v>
                </c:pt>
                <c:pt idx="1038">
                  <c:v>1.0389999999999964</c:v>
                </c:pt>
                <c:pt idx="1039">
                  <c:v>1.0399999999999963</c:v>
                </c:pt>
                <c:pt idx="1040">
                  <c:v>1.0409999999999962</c:v>
                </c:pt>
                <c:pt idx="1041">
                  <c:v>1.041999999999996</c:v>
                </c:pt>
                <c:pt idx="1042">
                  <c:v>1.0429999999999959</c:v>
                </c:pt>
                <c:pt idx="1043">
                  <c:v>1.0439999999999958</c:v>
                </c:pt>
                <c:pt idx="1044">
                  <c:v>1.0449999999999957</c:v>
                </c:pt>
                <c:pt idx="1045">
                  <c:v>1.0459999999999956</c:v>
                </c:pt>
                <c:pt idx="1046">
                  <c:v>1.0469999999999955</c:v>
                </c:pt>
                <c:pt idx="1047">
                  <c:v>1.0479999999999954</c:v>
                </c:pt>
                <c:pt idx="1048">
                  <c:v>1.0489999999999953</c:v>
                </c:pt>
                <c:pt idx="1049">
                  <c:v>1.0499999999999952</c:v>
                </c:pt>
                <c:pt idx="1050">
                  <c:v>1.050999999999995</c:v>
                </c:pt>
                <c:pt idx="1051">
                  <c:v>1.0519999999999949</c:v>
                </c:pt>
                <c:pt idx="1052">
                  <c:v>1.0529999999999948</c:v>
                </c:pt>
                <c:pt idx="1053">
                  <c:v>1.0539999999999947</c:v>
                </c:pt>
              </c:numCache>
            </c:numRef>
          </c:yVal>
          <c:smooth val="1"/>
          <c:extLst xmlns:c16r2="http://schemas.microsoft.com/office/drawing/2015/06/chart">
            <c:ext xmlns:c16="http://schemas.microsoft.com/office/drawing/2014/chart" uri="{C3380CC4-5D6E-409C-BE32-E72D297353CC}">
              <c16:uniqueId val="{0000000A-6484-4791-991D-5E362FC0939B}"/>
            </c:ext>
          </c:extLst>
        </c:ser>
        <c:ser>
          <c:idx val="4"/>
          <c:order val="4"/>
          <c:tx>
            <c:v>Gross Earnings per Cycle</c:v>
          </c:tx>
          <c:spPr>
            <a:ln>
              <a:solidFill>
                <a:srgbClr val="31B784"/>
              </a:solidFill>
            </a:ln>
          </c:spPr>
          <c:marker>
            <c:symbol val="none"/>
          </c:marker>
          <c:xVal>
            <c:numRef>
              <c:f>'Arbitrage Payback Engine'!$E$10:$E$1063</c:f>
              <c:numCache>
                <c:formatCode>General</c:formatCode>
                <c:ptCount val="1054"/>
                <c:pt idx="0">
                  <c:v>2.7393507738665935E-2</c:v>
                </c:pt>
                <c:pt idx="1">
                  <c:v>5.478701547733187E-2</c:v>
                </c:pt>
                <c:pt idx="2">
                  <c:v>8.2180523215997808E-2</c:v>
                </c:pt>
                <c:pt idx="3">
                  <c:v>0.10957403095466374</c:v>
                </c:pt>
                <c:pt idx="4">
                  <c:v>0.13696753869332967</c:v>
                </c:pt>
                <c:pt idx="5">
                  <c:v>0.16436104643199562</c:v>
                </c:pt>
                <c:pt idx="6">
                  <c:v>0.19175455417066153</c:v>
                </c:pt>
                <c:pt idx="7">
                  <c:v>0.21914806190932748</c:v>
                </c:pt>
                <c:pt idx="8">
                  <c:v>0.24654156964799342</c:v>
                </c:pt>
                <c:pt idx="9">
                  <c:v>0.27393507738665934</c:v>
                </c:pt>
                <c:pt idx="10">
                  <c:v>0.30132858512532529</c:v>
                </c:pt>
                <c:pt idx="11">
                  <c:v>0.32872209286399123</c:v>
                </c:pt>
                <c:pt idx="12">
                  <c:v>0.35611560060265718</c:v>
                </c:pt>
                <c:pt idx="13">
                  <c:v>0.38350910834132307</c:v>
                </c:pt>
                <c:pt idx="14">
                  <c:v>0.41090261607998901</c:v>
                </c:pt>
                <c:pt idx="15">
                  <c:v>0.43829612381865496</c:v>
                </c:pt>
                <c:pt idx="16">
                  <c:v>0.4656896315573209</c:v>
                </c:pt>
                <c:pt idx="17">
                  <c:v>0.49308313929598685</c:v>
                </c:pt>
                <c:pt idx="18">
                  <c:v>0.5204766470346528</c:v>
                </c:pt>
                <c:pt idx="19">
                  <c:v>0.54787015477331868</c:v>
                </c:pt>
                <c:pt idx="20">
                  <c:v>0.57526366251198469</c:v>
                </c:pt>
                <c:pt idx="21">
                  <c:v>0.60265717025065058</c:v>
                </c:pt>
                <c:pt idx="22">
                  <c:v>0.63005067798931647</c:v>
                </c:pt>
                <c:pt idx="23">
                  <c:v>0.65744418572798247</c:v>
                </c:pt>
                <c:pt idx="24">
                  <c:v>0.68483769346664836</c:v>
                </c:pt>
                <c:pt idx="25">
                  <c:v>0.71223120120531436</c:v>
                </c:pt>
                <c:pt idx="26">
                  <c:v>0.73962470894398025</c:v>
                </c:pt>
                <c:pt idx="27">
                  <c:v>0.76701821668264614</c:v>
                </c:pt>
                <c:pt idx="28">
                  <c:v>0.79441172442131214</c:v>
                </c:pt>
                <c:pt idx="29">
                  <c:v>0.82180523215997803</c:v>
                </c:pt>
                <c:pt idx="30">
                  <c:v>0.84919873989864403</c:v>
                </c:pt>
                <c:pt idx="31">
                  <c:v>0.87659224763730992</c:v>
                </c:pt>
                <c:pt idx="32">
                  <c:v>0.90398575537597592</c:v>
                </c:pt>
                <c:pt idx="33">
                  <c:v>0.93137926311464181</c:v>
                </c:pt>
                <c:pt idx="34">
                  <c:v>0.9587727708533077</c:v>
                </c:pt>
                <c:pt idx="35">
                  <c:v>0.9861662785919737</c:v>
                </c:pt>
                <c:pt idx="36">
                  <c:v>1.0135597863306396</c:v>
                </c:pt>
                <c:pt idx="37">
                  <c:v>1.0409532940693056</c:v>
                </c:pt>
                <c:pt idx="38">
                  <c:v>1.0683468018079714</c:v>
                </c:pt>
                <c:pt idx="39">
                  <c:v>1.0957403095466374</c:v>
                </c:pt>
                <c:pt idx="40">
                  <c:v>1.1231338172853034</c:v>
                </c:pt>
                <c:pt idx="41">
                  <c:v>1.1505273250239694</c:v>
                </c:pt>
                <c:pt idx="42">
                  <c:v>1.1779208327626352</c:v>
                </c:pt>
                <c:pt idx="43">
                  <c:v>1.2053143405013012</c:v>
                </c:pt>
                <c:pt idx="44">
                  <c:v>1.2327078482399672</c:v>
                </c:pt>
                <c:pt idx="45">
                  <c:v>1.2601013559786329</c:v>
                </c:pt>
                <c:pt idx="46">
                  <c:v>1.2874948637172989</c:v>
                </c:pt>
                <c:pt idx="47">
                  <c:v>1.3148883714559649</c:v>
                </c:pt>
                <c:pt idx="48">
                  <c:v>1.3422818791946309</c:v>
                </c:pt>
                <c:pt idx="49">
                  <c:v>1.3696753869332967</c:v>
                </c:pt>
                <c:pt idx="50">
                  <c:v>1.3970688946719627</c:v>
                </c:pt>
                <c:pt idx="51">
                  <c:v>1.4244624024106287</c:v>
                </c:pt>
                <c:pt idx="52">
                  <c:v>1.4518559101492945</c:v>
                </c:pt>
                <c:pt idx="53">
                  <c:v>1.4792494178879605</c:v>
                </c:pt>
                <c:pt idx="54">
                  <c:v>1.5066429256266265</c:v>
                </c:pt>
                <c:pt idx="55">
                  <c:v>1.5340364333652923</c:v>
                </c:pt>
                <c:pt idx="56">
                  <c:v>1.5614299411039583</c:v>
                </c:pt>
                <c:pt idx="57">
                  <c:v>1.5888234488426243</c:v>
                </c:pt>
                <c:pt idx="58">
                  <c:v>1.6162169565812903</c:v>
                </c:pt>
                <c:pt idx="59">
                  <c:v>1.6436104643199561</c:v>
                </c:pt>
                <c:pt idx="60">
                  <c:v>1.6710039720586221</c:v>
                </c:pt>
                <c:pt idx="61">
                  <c:v>1.6983974797972881</c:v>
                </c:pt>
                <c:pt idx="62">
                  <c:v>1.7257909875359538</c:v>
                </c:pt>
                <c:pt idx="63">
                  <c:v>1.7531844952746198</c:v>
                </c:pt>
                <c:pt idx="64">
                  <c:v>1.7805780030132858</c:v>
                </c:pt>
                <c:pt idx="65">
                  <c:v>1.8079715107519518</c:v>
                </c:pt>
                <c:pt idx="66">
                  <c:v>1.8353650184906176</c:v>
                </c:pt>
                <c:pt idx="67">
                  <c:v>1.8627585262292836</c:v>
                </c:pt>
                <c:pt idx="68">
                  <c:v>1.8901520339679496</c:v>
                </c:pt>
                <c:pt idx="69">
                  <c:v>1.9175455417066154</c:v>
                </c:pt>
                <c:pt idx="70">
                  <c:v>1.9449390494452814</c:v>
                </c:pt>
                <c:pt idx="71">
                  <c:v>1.9723325571839474</c:v>
                </c:pt>
                <c:pt idx="72">
                  <c:v>1.9997260649226132</c:v>
                </c:pt>
                <c:pt idx="73">
                  <c:v>2.0271195726612792</c:v>
                </c:pt>
                <c:pt idx="74">
                  <c:v>2.054513080399945</c:v>
                </c:pt>
                <c:pt idx="75">
                  <c:v>2.0819065881386112</c:v>
                </c:pt>
                <c:pt idx="76">
                  <c:v>2.109300095877277</c:v>
                </c:pt>
                <c:pt idx="77">
                  <c:v>2.1366936036159427</c:v>
                </c:pt>
                <c:pt idx="78">
                  <c:v>2.164087111354609</c:v>
                </c:pt>
                <c:pt idx="79">
                  <c:v>2.1914806190932747</c:v>
                </c:pt>
                <c:pt idx="80">
                  <c:v>2.218874126831941</c:v>
                </c:pt>
                <c:pt idx="81">
                  <c:v>2.2462676345706067</c:v>
                </c:pt>
                <c:pt idx="82">
                  <c:v>2.2736611423092725</c:v>
                </c:pt>
                <c:pt idx="83">
                  <c:v>2.3010546500479387</c:v>
                </c:pt>
                <c:pt idx="84">
                  <c:v>2.3284481577866045</c:v>
                </c:pt>
                <c:pt idx="85">
                  <c:v>2.3558416655252703</c:v>
                </c:pt>
                <c:pt idx="86">
                  <c:v>2.3832351732639365</c:v>
                </c:pt>
                <c:pt idx="87">
                  <c:v>2.4106286810026023</c:v>
                </c:pt>
                <c:pt idx="88">
                  <c:v>2.4380221887412681</c:v>
                </c:pt>
                <c:pt idx="89">
                  <c:v>2.4654156964799343</c:v>
                </c:pt>
                <c:pt idx="90">
                  <c:v>2.4928092042186001</c:v>
                </c:pt>
                <c:pt idx="91">
                  <c:v>2.5202027119572659</c:v>
                </c:pt>
                <c:pt idx="92">
                  <c:v>2.5475962196959321</c:v>
                </c:pt>
                <c:pt idx="93">
                  <c:v>2.5749897274345979</c:v>
                </c:pt>
                <c:pt idx="94">
                  <c:v>2.6023832351732636</c:v>
                </c:pt>
                <c:pt idx="95">
                  <c:v>2.6297767429119299</c:v>
                </c:pt>
                <c:pt idx="96">
                  <c:v>2.6571702506505956</c:v>
                </c:pt>
                <c:pt idx="97">
                  <c:v>2.6845637583892619</c:v>
                </c:pt>
                <c:pt idx="98">
                  <c:v>2.7119572661279276</c:v>
                </c:pt>
                <c:pt idx="99">
                  <c:v>2.7393507738665934</c:v>
                </c:pt>
                <c:pt idx="100">
                  <c:v>2.7667442816052596</c:v>
                </c:pt>
                <c:pt idx="101">
                  <c:v>2.7941377893439254</c:v>
                </c:pt>
                <c:pt idx="102">
                  <c:v>2.8215312970825912</c:v>
                </c:pt>
                <c:pt idx="103">
                  <c:v>2.8489248048212574</c:v>
                </c:pt>
                <c:pt idx="104">
                  <c:v>2.8763183125599232</c:v>
                </c:pt>
                <c:pt idx="105">
                  <c:v>2.903711820298589</c:v>
                </c:pt>
                <c:pt idx="106">
                  <c:v>2.9311053280372552</c:v>
                </c:pt>
                <c:pt idx="107">
                  <c:v>2.958498835775921</c:v>
                </c:pt>
                <c:pt idx="108">
                  <c:v>2.9858923435145868</c:v>
                </c:pt>
                <c:pt idx="109">
                  <c:v>3.013285851253253</c:v>
                </c:pt>
                <c:pt idx="110">
                  <c:v>3.0406793589919188</c:v>
                </c:pt>
                <c:pt idx="111">
                  <c:v>3.0680728667305845</c:v>
                </c:pt>
                <c:pt idx="112">
                  <c:v>3.0954663744692508</c:v>
                </c:pt>
                <c:pt idx="113">
                  <c:v>3.1228598822079165</c:v>
                </c:pt>
                <c:pt idx="114">
                  <c:v>3.1502533899465828</c:v>
                </c:pt>
                <c:pt idx="115">
                  <c:v>3.1776468976852486</c:v>
                </c:pt>
                <c:pt idx="116">
                  <c:v>3.2050404054239143</c:v>
                </c:pt>
                <c:pt idx="117">
                  <c:v>3.2324339131625806</c:v>
                </c:pt>
                <c:pt idx="118">
                  <c:v>3.2598274209012463</c:v>
                </c:pt>
                <c:pt idx="119">
                  <c:v>3.2872209286399121</c:v>
                </c:pt>
                <c:pt idx="120">
                  <c:v>3.3146144363785783</c:v>
                </c:pt>
                <c:pt idx="121">
                  <c:v>3.3420079441172441</c:v>
                </c:pt>
                <c:pt idx="122">
                  <c:v>3.3694014518559099</c:v>
                </c:pt>
                <c:pt idx="123">
                  <c:v>3.3967949595945761</c:v>
                </c:pt>
                <c:pt idx="124">
                  <c:v>3.4241884673332419</c:v>
                </c:pt>
                <c:pt idx="125">
                  <c:v>3.4515819750719077</c:v>
                </c:pt>
                <c:pt idx="126">
                  <c:v>3.4789754828105739</c:v>
                </c:pt>
                <c:pt idx="127">
                  <c:v>3.5063689905492397</c:v>
                </c:pt>
                <c:pt idx="128">
                  <c:v>3.5337624982879055</c:v>
                </c:pt>
                <c:pt idx="129">
                  <c:v>3.5611560060265717</c:v>
                </c:pt>
                <c:pt idx="130">
                  <c:v>3.5885495137652375</c:v>
                </c:pt>
                <c:pt idx="131">
                  <c:v>3.6159430215039037</c:v>
                </c:pt>
                <c:pt idx="132">
                  <c:v>3.6433365292425695</c:v>
                </c:pt>
                <c:pt idx="133">
                  <c:v>3.6707300369812352</c:v>
                </c:pt>
                <c:pt idx="134">
                  <c:v>3.6981235447199015</c:v>
                </c:pt>
                <c:pt idx="135">
                  <c:v>3.7255170524585672</c:v>
                </c:pt>
                <c:pt idx="136">
                  <c:v>3.752910560197233</c:v>
                </c:pt>
                <c:pt idx="137">
                  <c:v>3.7803040679358992</c:v>
                </c:pt>
                <c:pt idx="138">
                  <c:v>3.807697575674565</c:v>
                </c:pt>
                <c:pt idx="139">
                  <c:v>3.8350910834132308</c:v>
                </c:pt>
                <c:pt idx="140">
                  <c:v>3.862484591151897</c:v>
                </c:pt>
                <c:pt idx="141">
                  <c:v>3.8898780988905628</c:v>
                </c:pt>
                <c:pt idx="142">
                  <c:v>3.9172716066292286</c:v>
                </c:pt>
                <c:pt idx="143">
                  <c:v>3.9446651143678948</c:v>
                </c:pt>
                <c:pt idx="144">
                  <c:v>3.9720586221065606</c:v>
                </c:pt>
                <c:pt idx="145">
                  <c:v>3.9994521298452264</c:v>
                </c:pt>
                <c:pt idx="146">
                  <c:v>4.0268456375838921</c:v>
                </c:pt>
                <c:pt idx="147">
                  <c:v>4.0542391453225584</c:v>
                </c:pt>
                <c:pt idx="148">
                  <c:v>4.0816326530612246</c:v>
                </c:pt>
                <c:pt idx="149">
                  <c:v>4.1090261607998899</c:v>
                </c:pt>
                <c:pt idx="150">
                  <c:v>4.1364196685385561</c:v>
                </c:pt>
                <c:pt idx="151">
                  <c:v>4.1638131762772224</c:v>
                </c:pt>
                <c:pt idx="152">
                  <c:v>4.1912066840158877</c:v>
                </c:pt>
                <c:pt idx="153">
                  <c:v>4.2186001917545539</c:v>
                </c:pt>
                <c:pt idx="154">
                  <c:v>4.2459936994932201</c:v>
                </c:pt>
                <c:pt idx="155">
                  <c:v>4.2733872072318855</c:v>
                </c:pt>
                <c:pt idx="156">
                  <c:v>4.3007807149705517</c:v>
                </c:pt>
                <c:pt idx="157">
                  <c:v>4.3281742227092179</c:v>
                </c:pt>
                <c:pt idx="158">
                  <c:v>4.3555677304478841</c:v>
                </c:pt>
                <c:pt idx="159">
                  <c:v>4.3829612381865495</c:v>
                </c:pt>
                <c:pt idx="160">
                  <c:v>4.4103547459252157</c:v>
                </c:pt>
                <c:pt idx="161">
                  <c:v>4.4377482536638819</c:v>
                </c:pt>
                <c:pt idx="162">
                  <c:v>4.4651417614025473</c:v>
                </c:pt>
                <c:pt idx="163">
                  <c:v>4.4925352691412135</c:v>
                </c:pt>
                <c:pt idx="164">
                  <c:v>4.5199287768798797</c:v>
                </c:pt>
                <c:pt idx="165">
                  <c:v>4.547322284618545</c:v>
                </c:pt>
                <c:pt idx="166">
                  <c:v>4.5747157923572113</c:v>
                </c:pt>
                <c:pt idx="167">
                  <c:v>4.6021093000958775</c:v>
                </c:pt>
                <c:pt idx="168">
                  <c:v>4.6295028078345428</c:v>
                </c:pt>
                <c:pt idx="169">
                  <c:v>4.656896315573209</c:v>
                </c:pt>
                <c:pt idx="170">
                  <c:v>4.6842898233118753</c:v>
                </c:pt>
                <c:pt idx="171">
                  <c:v>4.7116833310505406</c:v>
                </c:pt>
                <c:pt idx="172">
                  <c:v>4.7390768387892068</c:v>
                </c:pt>
                <c:pt idx="173">
                  <c:v>4.766470346527873</c:v>
                </c:pt>
                <c:pt idx="174">
                  <c:v>4.7938638542665384</c:v>
                </c:pt>
                <c:pt idx="175">
                  <c:v>4.8212573620052046</c:v>
                </c:pt>
                <c:pt idx="176">
                  <c:v>4.8486508697438708</c:v>
                </c:pt>
                <c:pt idx="177">
                  <c:v>4.8760443774825362</c:v>
                </c:pt>
                <c:pt idx="178">
                  <c:v>4.9034378852212024</c:v>
                </c:pt>
                <c:pt idx="179">
                  <c:v>4.9308313929598686</c:v>
                </c:pt>
                <c:pt idx="180">
                  <c:v>4.9582249006985339</c:v>
                </c:pt>
                <c:pt idx="181">
                  <c:v>4.9856184084372002</c:v>
                </c:pt>
                <c:pt idx="182">
                  <c:v>5.0130119161758664</c:v>
                </c:pt>
                <c:pt idx="183">
                  <c:v>5.0404054239145317</c:v>
                </c:pt>
                <c:pt idx="184">
                  <c:v>5.0677989316531979</c:v>
                </c:pt>
                <c:pt idx="185">
                  <c:v>5.0951924393918642</c:v>
                </c:pt>
                <c:pt idx="186">
                  <c:v>5.1225859471305295</c:v>
                </c:pt>
                <c:pt idx="187">
                  <c:v>5.1499794548691957</c:v>
                </c:pt>
                <c:pt idx="188">
                  <c:v>5.177372962607862</c:v>
                </c:pt>
                <c:pt idx="189">
                  <c:v>5.2047664703465273</c:v>
                </c:pt>
                <c:pt idx="190">
                  <c:v>5.2321599780851935</c:v>
                </c:pt>
                <c:pt idx="191">
                  <c:v>5.2595534858238597</c:v>
                </c:pt>
                <c:pt idx="192">
                  <c:v>5.286946993562526</c:v>
                </c:pt>
                <c:pt idx="193">
                  <c:v>5.3143405013011913</c:v>
                </c:pt>
                <c:pt idx="194">
                  <c:v>5.3417340090398575</c:v>
                </c:pt>
                <c:pt idx="195">
                  <c:v>5.3691275167785237</c:v>
                </c:pt>
                <c:pt idx="196">
                  <c:v>5.3965210245171891</c:v>
                </c:pt>
                <c:pt idx="197">
                  <c:v>5.4239145322558553</c:v>
                </c:pt>
                <c:pt idx="198">
                  <c:v>5.4513080399945215</c:v>
                </c:pt>
                <c:pt idx="199">
                  <c:v>5.4787015477331868</c:v>
                </c:pt>
                <c:pt idx="200">
                  <c:v>5.5060950554718531</c:v>
                </c:pt>
                <c:pt idx="201">
                  <c:v>5.5334885632105193</c:v>
                </c:pt>
                <c:pt idx="202">
                  <c:v>5.5608820709491846</c:v>
                </c:pt>
                <c:pt idx="203">
                  <c:v>5.5882755786878509</c:v>
                </c:pt>
                <c:pt idx="204">
                  <c:v>5.6156690864265171</c:v>
                </c:pt>
                <c:pt idx="205">
                  <c:v>5.6430625941651824</c:v>
                </c:pt>
                <c:pt idx="206">
                  <c:v>5.6704561019038486</c:v>
                </c:pt>
                <c:pt idx="207">
                  <c:v>5.6978496096425149</c:v>
                </c:pt>
                <c:pt idx="208">
                  <c:v>5.7252431173811802</c:v>
                </c:pt>
                <c:pt idx="209">
                  <c:v>5.7526366251198464</c:v>
                </c:pt>
                <c:pt idx="210">
                  <c:v>5.7800301328585126</c:v>
                </c:pt>
                <c:pt idx="211">
                  <c:v>5.807423640597178</c:v>
                </c:pt>
                <c:pt idx="212">
                  <c:v>5.8348171483358442</c:v>
                </c:pt>
                <c:pt idx="213">
                  <c:v>5.8622106560745104</c:v>
                </c:pt>
                <c:pt idx="214">
                  <c:v>5.8896041638131758</c:v>
                </c:pt>
                <c:pt idx="215">
                  <c:v>5.916997671551842</c:v>
                </c:pt>
                <c:pt idx="216">
                  <c:v>5.9443911792905082</c:v>
                </c:pt>
                <c:pt idx="217">
                  <c:v>5.9717846870291735</c:v>
                </c:pt>
                <c:pt idx="218">
                  <c:v>5.9991781947678398</c:v>
                </c:pt>
                <c:pt idx="219">
                  <c:v>6.026571702506506</c:v>
                </c:pt>
                <c:pt idx="220">
                  <c:v>6.0539652102451713</c:v>
                </c:pt>
                <c:pt idx="221">
                  <c:v>6.0813587179838375</c:v>
                </c:pt>
                <c:pt idx="222">
                  <c:v>6.1087522257225038</c:v>
                </c:pt>
                <c:pt idx="223">
                  <c:v>6.1361457334611691</c:v>
                </c:pt>
                <c:pt idx="224">
                  <c:v>6.1635392411998353</c:v>
                </c:pt>
                <c:pt idx="225">
                  <c:v>6.1909327489385015</c:v>
                </c:pt>
                <c:pt idx="226">
                  <c:v>6.2183262566771669</c:v>
                </c:pt>
                <c:pt idx="227">
                  <c:v>6.2457197644158331</c:v>
                </c:pt>
                <c:pt idx="228">
                  <c:v>6.2731132721544993</c:v>
                </c:pt>
                <c:pt idx="229">
                  <c:v>6.3005067798931655</c:v>
                </c:pt>
                <c:pt idx="230">
                  <c:v>6.3279002876318309</c:v>
                </c:pt>
                <c:pt idx="231">
                  <c:v>6.3552937953704971</c:v>
                </c:pt>
                <c:pt idx="232">
                  <c:v>6.3826873031091633</c:v>
                </c:pt>
                <c:pt idx="233">
                  <c:v>6.4100808108478287</c:v>
                </c:pt>
                <c:pt idx="234">
                  <c:v>6.4374743185864949</c:v>
                </c:pt>
                <c:pt idx="235">
                  <c:v>6.4648678263251611</c:v>
                </c:pt>
                <c:pt idx="236">
                  <c:v>6.4922613340638264</c:v>
                </c:pt>
                <c:pt idx="237">
                  <c:v>6.5196548418024927</c:v>
                </c:pt>
                <c:pt idx="238">
                  <c:v>6.5470483495411589</c:v>
                </c:pt>
                <c:pt idx="239">
                  <c:v>6.5744418572798242</c:v>
                </c:pt>
                <c:pt idx="240">
                  <c:v>6.6018353650184904</c:v>
                </c:pt>
                <c:pt idx="241">
                  <c:v>6.6292288727571567</c:v>
                </c:pt>
                <c:pt idx="242">
                  <c:v>6.656622380495822</c:v>
                </c:pt>
                <c:pt idx="243">
                  <c:v>6.6840158882344882</c:v>
                </c:pt>
                <c:pt idx="244">
                  <c:v>6.7114093959731544</c:v>
                </c:pt>
                <c:pt idx="245">
                  <c:v>6.7388029037118198</c:v>
                </c:pt>
                <c:pt idx="246">
                  <c:v>6.766196411450486</c:v>
                </c:pt>
                <c:pt idx="247">
                  <c:v>6.7935899191891522</c:v>
                </c:pt>
                <c:pt idx="248">
                  <c:v>6.8209834269278176</c:v>
                </c:pt>
                <c:pt idx="249">
                  <c:v>6.8483769346664838</c:v>
                </c:pt>
                <c:pt idx="250">
                  <c:v>6.87577044240515</c:v>
                </c:pt>
                <c:pt idx="251">
                  <c:v>6.9031639501438153</c:v>
                </c:pt>
                <c:pt idx="252">
                  <c:v>6.9305574578824816</c:v>
                </c:pt>
                <c:pt idx="253">
                  <c:v>6.9579509656211478</c:v>
                </c:pt>
                <c:pt idx="254">
                  <c:v>6.9853444733598131</c:v>
                </c:pt>
                <c:pt idx="255">
                  <c:v>7.0127379810984793</c:v>
                </c:pt>
                <c:pt idx="256">
                  <c:v>7.0401314888371456</c:v>
                </c:pt>
                <c:pt idx="257">
                  <c:v>7.0675249965758109</c:v>
                </c:pt>
                <c:pt idx="258">
                  <c:v>7.0949185043144771</c:v>
                </c:pt>
                <c:pt idx="259">
                  <c:v>7.1223120120531433</c:v>
                </c:pt>
                <c:pt idx="260">
                  <c:v>7.1497055197918087</c:v>
                </c:pt>
                <c:pt idx="261">
                  <c:v>7.1770990275304749</c:v>
                </c:pt>
                <c:pt idx="262">
                  <c:v>7.2044925352691411</c:v>
                </c:pt>
                <c:pt idx="263">
                  <c:v>7.2318860430078074</c:v>
                </c:pt>
                <c:pt idx="264">
                  <c:v>7.2592795507464727</c:v>
                </c:pt>
                <c:pt idx="265">
                  <c:v>7.2866730584851389</c:v>
                </c:pt>
                <c:pt idx="266">
                  <c:v>7.3140665662238051</c:v>
                </c:pt>
                <c:pt idx="267">
                  <c:v>7.3414600739624705</c:v>
                </c:pt>
                <c:pt idx="268">
                  <c:v>7.3688535817011367</c:v>
                </c:pt>
                <c:pt idx="269">
                  <c:v>7.3962470894398029</c:v>
                </c:pt>
                <c:pt idx="270">
                  <c:v>7.4236405971784682</c:v>
                </c:pt>
                <c:pt idx="271">
                  <c:v>7.4510341049171345</c:v>
                </c:pt>
                <c:pt idx="272">
                  <c:v>7.4784276126558007</c:v>
                </c:pt>
                <c:pt idx="273">
                  <c:v>7.505821120394466</c:v>
                </c:pt>
                <c:pt idx="274">
                  <c:v>7.5332146281331323</c:v>
                </c:pt>
                <c:pt idx="275">
                  <c:v>7.5606081358717985</c:v>
                </c:pt>
                <c:pt idx="276">
                  <c:v>7.5880016436104638</c:v>
                </c:pt>
                <c:pt idx="277">
                  <c:v>7.61539515134913</c:v>
                </c:pt>
                <c:pt idx="278">
                  <c:v>7.6427886590877963</c:v>
                </c:pt>
                <c:pt idx="279">
                  <c:v>7.6701821668264616</c:v>
                </c:pt>
                <c:pt idx="280">
                  <c:v>7.6975756745651278</c:v>
                </c:pt>
                <c:pt idx="281">
                  <c:v>7.724969182303794</c:v>
                </c:pt>
                <c:pt idx="282">
                  <c:v>7.7523626900424594</c:v>
                </c:pt>
                <c:pt idx="283">
                  <c:v>7.7797561977811256</c:v>
                </c:pt>
                <c:pt idx="284">
                  <c:v>7.8071497055197918</c:v>
                </c:pt>
                <c:pt idx="285">
                  <c:v>7.8345432132584572</c:v>
                </c:pt>
                <c:pt idx="286">
                  <c:v>7.8619367209971234</c:v>
                </c:pt>
                <c:pt idx="287">
                  <c:v>7.8893302287357896</c:v>
                </c:pt>
                <c:pt idx="288">
                  <c:v>7.9167237364744549</c:v>
                </c:pt>
                <c:pt idx="289">
                  <c:v>7.9441172442131212</c:v>
                </c:pt>
                <c:pt idx="290">
                  <c:v>7.9715107519517874</c:v>
                </c:pt>
                <c:pt idx="291">
                  <c:v>7.9989042596904527</c:v>
                </c:pt>
                <c:pt idx="292">
                  <c:v>8.0262977674291189</c:v>
                </c:pt>
                <c:pt idx="293">
                  <c:v>8.0536912751677843</c:v>
                </c:pt>
                <c:pt idx="294">
                  <c:v>8.0810847829064514</c:v>
                </c:pt>
                <c:pt idx="295">
                  <c:v>8.1084782906451167</c:v>
                </c:pt>
                <c:pt idx="296">
                  <c:v>8.135871798383782</c:v>
                </c:pt>
                <c:pt idx="297">
                  <c:v>8.1632653061224492</c:v>
                </c:pt>
                <c:pt idx="298">
                  <c:v>8.1906588138611145</c:v>
                </c:pt>
                <c:pt idx="299">
                  <c:v>8.2180523215997798</c:v>
                </c:pt>
                <c:pt idx="300">
                  <c:v>8.2454458293384469</c:v>
                </c:pt>
                <c:pt idx="301">
                  <c:v>8.2728393370771123</c:v>
                </c:pt>
                <c:pt idx="302">
                  <c:v>8.3002328448157776</c:v>
                </c:pt>
                <c:pt idx="303">
                  <c:v>8.3276263525544447</c:v>
                </c:pt>
                <c:pt idx="304">
                  <c:v>8.3550198602931101</c:v>
                </c:pt>
                <c:pt idx="305">
                  <c:v>8.3824133680317754</c:v>
                </c:pt>
                <c:pt idx="306">
                  <c:v>8.4098068757704425</c:v>
                </c:pt>
                <c:pt idx="307">
                  <c:v>8.4372003835091078</c:v>
                </c:pt>
                <c:pt idx="308">
                  <c:v>8.4645938912477732</c:v>
                </c:pt>
                <c:pt idx="309">
                  <c:v>8.4919873989864403</c:v>
                </c:pt>
                <c:pt idx="310">
                  <c:v>8.5193809067251056</c:v>
                </c:pt>
                <c:pt idx="311">
                  <c:v>8.546774414463771</c:v>
                </c:pt>
                <c:pt idx="312">
                  <c:v>8.5741679222024381</c:v>
                </c:pt>
                <c:pt idx="313">
                  <c:v>8.6015614299411034</c:v>
                </c:pt>
                <c:pt idx="314">
                  <c:v>8.6289549376797705</c:v>
                </c:pt>
                <c:pt idx="315">
                  <c:v>8.6563484454184358</c:v>
                </c:pt>
                <c:pt idx="316">
                  <c:v>8.6837419531571012</c:v>
                </c:pt>
                <c:pt idx="317">
                  <c:v>8.7111354608957683</c:v>
                </c:pt>
                <c:pt idx="318">
                  <c:v>8.7385289686344336</c:v>
                </c:pt>
                <c:pt idx="319">
                  <c:v>8.765922476373099</c:v>
                </c:pt>
                <c:pt idx="320">
                  <c:v>8.7933159841117661</c:v>
                </c:pt>
                <c:pt idx="321">
                  <c:v>8.8207094918504314</c:v>
                </c:pt>
                <c:pt idx="322">
                  <c:v>8.8481029995890967</c:v>
                </c:pt>
                <c:pt idx="323">
                  <c:v>8.8754965073277639</c:v>
                </c:pt>
                <c:pt idx="324">
                  <c:v>8.9028900150664292</c:v>
                </c:pt>
                <c:pt idx="325">
                  <c:v>8.9302835228050945</c:v>
                </c:pt>
                <c:pt idx="326">
                  <c:v>8.9576770305437616</c:v>
                </c:pt>
                <c:pt idx="327">
                  <c:v>8.985070538282427</c:v>
                </c:pt>
                <c:pt idx="328">
                  <c:v>9.0124640460210923</c:v>
                </c:pt>
                <c:pt idx="329">
                  <c:v>9.0398575537597594</c:v>
                </c:pt>
                <c:pt idx="330">
                  <c:v>9.0672510614984247</c:v>
                </c:pt>
                <c:pt idx="331">
                  <c:v>9.0946445692370901</c:v>
                </c:pt>
                <c:pt idx="332">
                  <c:v>9.1220380769757572</c:v>
                </c:pt>
                <c:pt idx="333">
                  <c:v>9.1494315847144225</c:v>
                </c:pt>
                <c:pt idx="334">
                  <c:v>9.1768250924530879</c:v>
                </c:pt>
                <c:pt idx="335">
                  <c:v>9.204218600191755</c:v>
                </c:pt>
                <c:pt idx="336">
                  <c:v>9.2316121079304203</c:v>
                </c:pt>
                <c:pt idx="337">
                  <c:v>9.2590056156690856</c:v>
                </c:pt>
                <c:pt idx="338">
                  <c:v>9.2863991234077528</c:v>
                </c:pt>
                <c:pt idx="339">
                  <c:v>9.3137926311464181</c:v>
                </c:pt>
                <c:pt idx="340">
                  <c:v>9.3411861388850834</c:v>
                </c:pt>
                <c:pt idx="341">
                  <c:v>9.3685796466237505</c:v>
                </c:pt>
                <c:pt idx="342">
                  <c:v>9.3959731543624159</c:v>
                </c:pt>
                <c:pt idx="343">
                  <c:v>9.4233666621010812</c:v>
                </c:pt>
                <c:pt idx="344">
                  <c:v>9.4507601698397483</c:v>
                </c:pt>
                <c:pt idx="345">
                  <c:v>9.4781536775784136</c:v>
                </c:pt>
                <c:pt idx="346">
                  <c:v>9.505547185317079</c:v>
                </c:pt>
                <c:pt idx="347">
                  <c:v>9.5329406930557461</c:v>
                </c:pt>
                <c:pt idx="348">
                  <c:v>9.5603342007944114</c:v>
                </c:pt>
                <c:pt idx="349">
                  <c:v>9.5877277085330768</c:v>
                </c:pt>
                <c:pt idx="350">
                  <c:v>9.6151212162717439</c:v>
                </c:pt>
                <c:pt idx="351">
                  <c:v>9.6425147240104092</c:v>
                </c:pt>
                <c:pt idx="352">
                  <c:v>9.6699082317490745</c:v>
                </c:pt>
                <c:pt idx="353">
                  <c:v>9.6973017394877417</c:v>
                </c:pt>
                <c:pt idx="354">
                  <c:v>9.724695247226407</c:v>
                </c:pt>
                <c:pt idx="355">
                  <c:v>9.7520887549650723</c:v>
                </c:pt>
                <c:pt idx="356">
                  <c:v>9.7794822627037394</c:v>
                </c:pt>
                <c:pt idx="357">
                  <c:v>9.8068757704424048</c:v>
                </c:pt>
                <c:pt idx="358">
                  <c:v>9.8342692781810701</c:v>
                </c:pt>
                <c:pt idx="359">
                  <c:v>9.8616627859197372</c:v>
                </c:pt>
                <c:pt idx="360">
                  <c:v>9.8890562936584026</c:v>
                </c:pt>
                <c:pt idx="361">
                  <c:v>9.9164498013970679</c:v>
                </c:pt>
                <c:pt idx="362">
                  <c:v>9.943843309135735</c:v>
                </c:pt>
                <c:pt idx="363">
                  <c:v>9.9712368168744003</c:v>
                </c:pt>
                <c:pt idx="364">
                  <c:v>9.9986303246130657</c:v>
                </c:pt>
                <c:pt idx="365">
                  <c:v>10.026023832351733</c:v>
                </c:pt>
                <c:pt idx="366">
                  <c:v>10.053417340090398</c:v>
                </c:pt>
                <c:pt idx="367">
                  <c:v>10.080810847829063</c:v>
                </c:pt>
                <c:pt idx="368">
                  <c:v>10.108204355567731</c:v>
                </c:pt>
                <c:pt idx="369">
                  <c:v>10.135597863306396</c:v>
                </c:pt>
                <c:pt idx="370">
                  <c:v>10.162991371045061</c:v>
                </c:pt>
                <c:pt idx="371">
                  <c:v>10.190384878783728</c:v>
                </c:pt>
                <c:pt idx="372">
                  <c:v>10.217778386522394</c:v>
                </c:pt>
                <c:pt idx="373">
                  <c:v>10.245171894261059</c:v>
                </c:pt>
                <c:pt idx="374">
                  <c:v>10.272565401999726</c:v>
                </c:pt>
                <c:pt idx="375">
                  <c:v>10.299958909738391</c:v>
                </c:pt>
                <c:pt idx="376">
                  <c:v>10.327352417477057</c:v>
                </c:pt>
                <c:pt idx="377">
                  <c:v>10.354745925215724</c:v>
                </c:pt>
                <c:pt idx="378">
                  <c:v>10.382139432954389</c:v>
                </c:pt>
                <c:pt idx="379">
                  <c:v>10.409532940693055</c:v>
                </c:pt>
                <c:pt idx="380">
                  <c:v>10.436926448431722</c:v>
                </c:pt>
                <c:pt idx="381">
                  <c:v>10.464319956170387</c:v>
                </c:pt>
                <c:pt idx="382">
                  <c:v>10.491713463909052</c:v>
                </c:pt>
                <c:pt idx="383">
                  <c:v>10.519106971647719</c:v>
                </c:pt>
                <c:pt idx="384">
                  <c:v>10.546500479386385</c:v>
                </c:pt>
                <c:pt idx="385">
                  <c:v>10.573893987125052</c:v>
                </c:pt>
                <c:pt idx="386">
                  <c:v>10.601287494863717</c:v>
                </c:pt>
                <c:pt idx="387">
                  <c:v>10.628681002602383</c:v>
                </c:pt>
                <c:pt idx="388">
                  <c:v>10.65607451034105</c:v>
                </c:pt>
                <c:pt idx="389">
                  <c:v>10.683468018079715</c:v>
                </c:pt>
                <c:pt idx="390">
                  <c:v>10.71086152581838</c:v>
                </c:pt>
                <c:pt idx="391">
                  <c:v>10.738255033557047</c:v>
                </c:pt>
                <c:pt idx="392">
                  <c:v>10.765648541295713</c:v>
                </c:pt>
                <c:pt idx="393">
                  <c:v>10.793042049034378</c:v>
                </c:pt>
                <c:pt idx="394">
                  <c:v>10.820435556773045</c:v>
                </c:pt>
                <c:pt idx="395">
                  <c:v>10.847829064511711</c:v>
                </c:pt>
                <c:pt idx="396">
                  <c:v>10.875222572250376</c:v>
                </c:pt>
                <c:pt idx="397">
                  <c:v>10.902616079989043</c:v>
                </c:pt>
                <c:pt idx="398">
                  <c:v>10.930009587727708</c:v>
                </c:pt>
                <c:pt idx="399">
                  <c:v>10.957403095466374</c:v>
                </c:pt>
                <c:pt idx="400">
                  <c:v>10.984796603205041</c:v>
                </c:pt>
                <c:pt idx="401">
                  <c:v>11.012190110943706</c:v>
                </c:pt>
                <c:pt idx="402">
                  <c:v>11.039583618682371</c:v>
                </c:pt>
                <c:pt idx="403">
                  <c:v>11.066977126421039</c:v>
                </c:pt>
                <c:pt idx="404">
                  <c:v>11.094370634159704</c:v>
                </c:pt>
                <c:pt idx="405">
                  <c:v>11.121764141898369</c:v>
                </c:pt>
                <c:pt idx="406">
                  <c:v>11.149157649637036</c:v>
                </c:pt>
                <c:pt idx="407">
                  <c:v>11.176551157375702</c:v>
                </c:pt>
                <c:pt idx="408">
                  <c:v>11.203944665114367</c:v>
                </c:pt>
                <c:pt idx="409">
                  <c:v>11.231338172853034</c:v>
                </c:pt>
                <c:pt idx="410">
                  <c:v>11.258731680591699</c:v>
                </c:pt>
                <c:pt idx="411">
                  <c:v>11.286125188330365</c:v>
                </c:pt>
                <c:pt idx="412">
                  <c:v>11.313518696069032</c:v>
                </c:pt>
                <c:pt idx="413">
                  <c:v>11.340912203807697</c:v>
                </c:pt>
                <c:pt idx="414">
                  <c:v>11.368305711546363</c:v>
                </c:pt>
                <c:pt idx="415">
                  <c:v>11.39569921928503</c:v>
                </c:pt>
                <c:pt idx="416">
                  <c:v>11.423092727023695</c:v>
                </c:pt>
                <c:pt idx="417">
                  <c:v>11.45048623476236</c:v>
                </c:pt>
                <c:pt idx="418">
                  <c:v>11.477879742501027</c:v>
                </c:pt>
                <c:pt idx="419">
                  <c:v>11.505273250239693</c:v>
                </c:pt>
                <c:pt idx="420">
                  <c:v>11.532666757978358</c:v>
                </c:pt>
                <c:pt idx="421">
                  <c:v>11.560060265717025</c:v>
                </c:pt>
                <c:pt idx="422">
                  <c:v>11.587453773455691</c:v>
                </c:pt>
                <c:pt idx="423">
                  <c:v>11.614847281194356</c:v>
                </c:pt>
                <c:pt idx="424">
                  <c:v>11.642240788933023</c:v>
                </c:pt>
                <c:pt idx="425">
                  <c:v>11.669634296671688</c:v>
                </c:pt>
                <c:pt idx="426">
                  <c:v>11.697027804410354</c:v>
                </c:pt>
                <c:pt idx="427">
                  <c:v>11.724421312149021</c:v>
                </c:pt>
                <c:pt idx="428">
                  <c:v>11.751814819887686</c:v>
                </c:pt>
                <c:pt idx="429">
                  <c:v>11.779208327626352</c:v>
                </c:pt>
                <c:pt idx="430">
                  <c:v>11.806601835365019</c:v>
                </c:pt>
                <c:pt idx="431">
                  <c:v>11.833995343103684</c:v>
                </c:pt>
                <c:pt idx="432">
                  <c:v>11.861388850842349</c:v>
                </c:pt>
                <c:pt idx="433">
                  <c:v>11.888782358581016</c:v>
                </c:pt>
                <c:pt idx="434">
                  <c:v>11.916175866319682</c:v>
                </c:pt>
                <c:pt idx="435">
                  <c:v>11.943569374058347</c:v>
                </c:pt>
                <c:pt idx="436">
                  <c:v>11.970962881797014</c:v>
                </c:pt>
                <c:pt idx="437">
                  <c:v>11.99835638953568</c:v>
                </c:pt>
                <c:pt idx="438">
                  <c:v>12.025749897274345</c:v>
                </c:pt>
                <c:pt idx="439">
                  <c:v>12.053143405013012</c:v>
                </c:pt>
                <c:pt idx="440">
                  <c:v>12.080536912751677</c:v>
                </c:pt>
                <c:pt idx="441">
                  <c:v>12.107930420490343</c:v>
                </c:pt>
                <c:pt idx="442">
                  <c:v>12.13532392822901</c:v>
                </c:pt>
                <c:pt idx="443">
                  <c:v>12.162717435967675</c:v>
                </c:pt>
                <c:pt idx="444">
                  <c:v>12.19011094370634</c:v>
                </c:pt>
                <c:pt idx="445">
                  <c:v>12.217504451445008</c:v>
                </c:pt>
                <c:pt idx="446">
                  <c:v>12.244897959183673</c:v>
                </c:pt>
                <c:pt idx="447">
                  <c:v>12.272291466922338</c:v>
                </c:pt>
                <c:pt idx="448">
                  <c:v>12.299684974661005</c:v>
                </c:pt>
                <c:pt idx="449">
                  <c:v>12.327078482399671</c:v>
                </c:pt>
                <c:pt idx="450">
                  <c:v>12.354471990138336</c:v>
                </c:pt>
                <c:pt idx="451">
                  <c:v>12.381865497877003</c:v>
                </c:pt>
                <c:pt idx="452">
                  <c:v>12.409259005615668</c:v>
                </c:pt>
                <c:pt idx="453">
                  <c:v>12.436652513354334</c:v>
                </c:pt>
                <c:pt idx="454">
                  <c:v>12.464046021093001</c:v>
                </c:pt>
                <c:pt idx="455">
                  <c:v>12.491439528831666</c:v>
                </c:pt>
                <c:pt idx="456">
                  <c:v>12.518833036570333</c:v>
                </c:pt>
                <c:pt idx="457">
                  <c:v>12.546226544308999</c:v>
                </c:pt>
                <c:pt idx="458">
                  <c:v>12.573620052047664</c:v>
                </c:pt>
                <c:pt idx="459">
                  <c:v>12.601013559786331</c:v>
                </c:pt>
                <c:pt idx="460">
                  <c:v>12.628407067524996</c:v>
                </c:pt>
                <c:pt idx="461">
                  <c:v>12.655800575263662</c:v>
                </c:pt>
                <c:pt idx="462">
                  <c:v>12.683194083002329</c:v>
                </c:pt>
                <c:pt idx="463">
                  <c:v>12.710587590740994</c:v>
                </c:pt>
                <c:pt idx="464">
                  <c:v>12.73798109847966</c:v>
                </c:pt>
                <c:pt idx="465">
                  <c:v>12.765374606218327</c:v>
                </c:pt>
                <c:pt idx="466">
                  <c:v>12.792768113956992</c:v>
                </c:pt>
                <c:pt idx="467">
                  <c:v>12.820161621695657</c:v>
                </c:pt>
                <c:pt idx="468">
                  <c:v>12.847555129434324</c:v>
                </c:pt>
                <c:pt idx="469">
                  <c:v>12.87494863717299</c:v>
                </c:pt>
                <c:pt idx="470">
                  <c:v>12.902342144911655</c:v>
                </c:pt>
                <c:pt idx="471">
                  <c:v>12.929735652650322</c:v>
                </c:pt>
                <c:pt idx="472">
                  <c:v>12.957129160388988</c:v>
                </c:pt>
                <c:pt idx="473">
                  <c:v>12.984522668127653</c:v>
                </c:pt>
                <c:pt idx="474">
                  <c:v>13.01191617586632</c:v>
                </c:pt>
                <c:pt idx="475">
                  <c:v>13.039309683604985</c:v>
                </c:pt>
                <c:pt idx="476">
                  <c:v>13.066703191343651</c:v>
                </c:pt>
                <c:pt idx="477">
                  <c:v>13.094096699082318</c:v>
                </c:pt>
                <c:pt idx="478">
                  <c:v>13.121490206820983</c:v>
                </c:pt>
                <c:pt idx="479">
                  <c:v>13.148883714559648</c:v>
                </c:pt>
                <c:pt idx="480">
                  <c:v>13.176277222298316</c:v>
                </c:pt>
                <c:pt idx="481">
                  <c:v>13.203670730036981</c:v>
                </c:pt>
                <c:pt idx="482">
                  <c:v>13.231064237775646</c:v>
                </c:pt>
                <c:pt idx="483">
                  <c:v>13.258457745514313</c:v>
                </c:pt>
                <c:pt idx="484">
                  <c:v>13.285851253252979</c:v>
                </c:pt>
                <c:pt idx="485">
                  <c:v>13.313244760991644</c:v>
                </c:pt>
                <c:pt idx="486">
                  <c:v>13.340638268730311</c:v>
                </c:pt>
                <c:pt idx="487">
                  <c:v>13.368031776468976</c:v>
                </c:pt>
                <c:pt idx="488">
                  <c:v>13.395425284207642</c:v>
                </c:pt>
                <c:pt idx="489">
                  <c:v>13.422818791946309</c:v>
                </c:pt>
                <c:pt idx="490">
                  <c:v>13.450212299684974</c:v>
                </c:pt>
                <c:pt idx="491">
                  <c:v>13.47760580742364</c:v>
                </c:pt>
                <c:pt idx="492">
                  <c:v>13.504999315162307</c:v>
                </c:pt>
                <c:pt idx="493">
                  <c:v>13.532392822900972</c:v>
                </c:pt>
                <c:pt idx="494">
                  <c:v>13.559786330639637</c:v>
                </c:pt>
                <c:pt idx="495">
                  <c:v>13.587179838378304</c:v>
                </c:pt>
                <c:pt idx="496">
                  <c:v>13.61457334611697</c:v>
                </c:pt>
                <c:pt idx="497">
                  <c:v>13.641966853855635</c:v>
                </c:pt>
                <c:pt idx="498">
                  <c:v>13.669360361594302</c:v>
                </c:pt>
                <c:pt idx="499">
                  <c:v>13.696753869332968</c:v>
                </c:pt>
                <c:pt idx="500">
                  <c:v>13.724147377071633</c:v>
                </c:pt>
                <c:pt idx="501">
                  <c:v>13.7515408848103</c:v>
                </c:pt>
                <c:pt idx="502">
                  <c:v>13.778934392548965</c:v>
                </c:pt>
                <c:pt idx="503">
                  <c:v>13.806327900287631</c:v>
                </c:pt>
                <c:pt idx="504">
                  <c:v>13.833721408026298</c:v>
                </c:pt>
                <c:pt idx="505">
                  <c:v>13.861114915764963</c:v>
                </c:pt>
                <c:pt idx="506">
                  <c:v>13.888508423503628</c:v>
                </c:pt>
                <c:pt idx="507">
                  <c:v>13.915901931242296</c:v>
                </c:pt>
                <c:pt idx="508">
                  <c:v>13.943295438980961</c:v>
                </c:pt>
                <c:pt idx="509">
                  <c:v>13.970688946719626</c:v>
                </c:pt>
                <c:pt idx="510">
                  <c:v>13.998082454458293</c:v>
                </c:pt>
                <c:pt idx="511">
                  <c:v>14.025475962196959</c:v>
                </c:pt>
                <c:pt idx="512">
                  <c:v>14.052869469935624</c:v>
                </c:pt>
                <c:pt idx="513">
                  <c:v>14.080262977674291</c:v>
                </c:pt>
                <c:pt idx="514">
                  <c:v>14.107656485412956</c:v>
                </c:pt>
                <c:pt idx="515">
                  <c:v>14.135049993151622</c:v>
                </c:pt>
                <c:pt idx="516">
                  <c:v>14.162443500890289</c:v>
                </c:pt>
                <c:pt idx="517">
                  <c:v>14.189837008628954</c:v>
                </c:pt>
                <c:pt idx="518">
                  <c:v>14.21723051636762</c:v>
                </c:pt>
                <c:pt idx="519">
                  <c:v>14.244624024106287</c:v>
                </c:pt>
                <c:pt idx="520">
                  <c:v>14.272017531844952</c:v>
                </c:pt>
                <c:pt idx="521">
                  <c:v>14.299411039583617</c:v>
                </c:pt>
                <c:pt idx="522">
                  <c:v>14.326804547322284</c:v>
                </c:pt>
                <c:pt idx="523">
                  <c:v>14.35419805506095</c:v>
                </c:pt>
                <c:pt idx="524">
                  <c:v>14.381591562799617</c:v>
                </c:pt>
                <c:pt idx="525">
                  <c:v>14.408985070538282</c:v>
                </c:pt>
                <c:pt idx="526">
                  <c:v>14.436378578276948</c:v>
                </c:pt>
                <c:pt idx="527">
                  <c:v>14.463772086015615</c:v>
                </c:pt>
                <c:pt idx="528">
                  <c:v>14.49116559375428</c:v>
                </c:pt>
                <c:pt idx="529">
                  <c:v>14.518559101492945</c:v>
                </c:pt>
                <c:pt idx="530">
                  <c:v>14.545952609231612</c:v>
                </c:pt>
                <c:pt idx="531">
                  <c:v>14.573346116970278</c:v>
                </c:pt>
                <c:pt idx="532">
                  <c:v>14.600739624708943</c:v>
                </c:pt>
                <c:pt idx="533">
                  <c:v>14.62813313244761</c:v>
                </c:pt>
                <c:pt idx="534">
                  <c:v>14.655526640186276</c:v>
                </c:pt>
                <c:pt idx="535">
                  <c:v>14.682920147924941</c:v>
                </c:pt>
                <c:pt idx="536">
                  <c:v>14.710313655663608</c:v>
                </c:pt>
                <c:pt idx="537">
                  <c:v>14.737707163402273</c:v>
                </c:pt>
                <c:pt idx="538">
                  <c:v>14.765100671140939</c:v>
                </c:pt>
                <c:pt idx="539">
                  <c:v>14.792494178879606</c:v>
                </c:pt>
                <c:pt idx="540">
                  <c:v>14.819887686618271</c:v>
                </c:pt>
                <c:pt idx="541">
                  <c:v>14.847281194356936</c:v>
                </c:pt>
                <c:pt idx="542">
                  <c:v>14.874674702095604</c:v>
                </c:pt>
                <c:pt idx="543">
                  <c:v>14.902068209834269</c:v>
                </c:pt>
                <c:pt idx="544">
                  <c:v>14.929461717572934</c:v>
                </c:pt>
                <c:pt idx="545">
                  <c:v>14.956855225311601</c:v>
                </c:pt>
                <c:pt idx="546">
                  <c:v>14.984248733050267</c:v>
                </c:pt>
                <c:pt idx="547">
                  <c:v>15.011642240788932</c:v>
                </c:pt>
                <c:pt idx="548">
                  <c:v>15.039035748527599</c:v>
                </c:pt>
                <c:pt idx="549">
                  <c:v>15.066429256266265</c:v>
                </c:pt>
                <c:pt idx="550">
                  <c:v>15.09382276400493</c:v>
                </c:pt>
                <c:pt idx="551">
                  <c:v>15.121216271743597</c:v>
                </c:pt>
                <c:pt idx="552">
                  <c:v>15.148609779482262</c:v>
                </c:pt>
                <c:pt idx="553">
                  <c:v>15.176003287220928</c:v>
                </c:pt>
                <c:pt idx="554">
                  <c:v>15.203396794959595</c:v>
                </c:pt>
                <c:pt idx="555">
                  <c:v>15.23079030269826</c:v>
                </c:pt>
                <c:pt idx="556">
                  <c:v>15.258183810436925</c:v>
                </c:pt>
                <c:pt idx="557">
                  <c:v>15.285577318175593</c:v>
                </c:pt>
                <c:pt idx="558">
                  <c:v>15.312970825914258</c:v>
                </c:pt>
                <c:pt idx="559">
                  <c:v>15.340364333652923</c:v>
                </c:pt>
                <c:pt idx="560">
                  <c:v>15.36775784139159</c:v>
                </c:pt>
                <c:pt idx="561">
                  <c:v>15.395151349130256</c:v>
                </c:pt>
                <c:pt idx="562">
                  <c:v>15.422544856868921</c:v>
                </c:pt>
                <c:pt idx="563">
                  <c:v>15.449938364607588</c:v>
                </c:pt>
                <c:pt idx="564">
                  <c:v>15.477331872346253</c:v>
                </c:pt>
                <c:pt idx="565">
                  <c:v>15.504725380084919</c:v>
                </c:pt>
                <c:pt idx="566">
                  <c:v>15.532118887823586</c:v>
                </c:pt>
                <c:pt idx="567">
                  <c:v>15.559512395562251</c:v>
                </c:pt>
                <c:pt idx="568">
                  <c:v>15.586905903300917</c:v>
                </c:pt>
                <c:pt idx="569">
                  <c:v>15.614299411039584</c:v>
                </c:pt>
                <c:pt idx="570">
                  <c:v>15.641692918778249</c:v>
                </c:pt>
                <c:pt idx="571">
                  <c:v>15.669086426516914</c:v>
                </c:pt>
                <c:pt idx="572">
                  <c:v>15.696479934255581</c:v>
                </c:pt>
                <c:pt idx="573">
                  <c:v>15.723873441994247</c:v>
                </c:pt>
                <c:pt idx="574">
                  <c:v>15.751266949732912</c:v>
                </c:pt>
                <c:pt idx="575">
                  <c:v>15.778660457471579</c:v>
                </c:pt>
                <c:pt idx="576">
                  <c:v>15.806053965210245</c:v>
                </c:pt>
                <c:pt idx="577">
                  <c:v>15.83344747294891</c:v>
                </c:pt>
                <c:pt idx="578">
                  <c:v>15.860840980687577</c:v>
                </c:pt>
                <c:pt idx="579">
                  <c:v>15.888234488426242</c:v>
                </c:pt>
                <c:pt idx="580">
                  <c:v>15.915627996164908</c:v>
                </c:pt>
                <c:pt idx="581">
                  <c:v>15.943021503903575</c:v>
                </c:pt>
                <c:pt idx="582">
                  <c:v>15.97041501164224</c:v>
                </c:pt>
                <c:pt idx="583">
                  <c:v>15.997808519380905</c:v>
                </c:pt>
                <c:pt idx="584">
                  <c:v>16.025202027119573</c:v>
                </c:pt>
                <c:pt idx="585">
                  <c:v>16.052595534858238</c:v>
                </c:pt>
                <c:pt idx="586">
                  <c:v>16.079989042596903</c:v>
                </c:pt>
                <c:pt idx="587">
                  <c:v>16.107382550335569</c:v>
                </c:pt>
                <c:pt idx="588">
                  <c:v>16.134776058074237</c:v>
                </c:pt>
                <c:pt idx="589">
                  <c:v>16.162169565812903</c:v>
                </c:pt>
                <c:pt idx="590">
                  <c:v>16.189563073551568</c:v>
                </c:pt>
                <c:pt idx="591">
                  <c:v>16.216956581290233</c:v>
                </c:pt>
                <c:pt idx="592">
                  <c:v>16.244350089028899</c:v>
                </c:pt>
                <c:pt idx="593">
                  <c:v>16.271743596767564</c:v>
                </c:pt>
                <c:pt idx="594">
                  <c:v>16.299137104506233</c:v>
                </c:pt>
                <c:pt idx="595">
                  <c:v>16.326530612244898</c:v>
                </c:pt>
                <c:pt idx="596">
                  <c:v>16.353924119983564</c:v>
                </c:pt>
                <c:pt idx="597">
                  <c:v>16.381317627722229</c:v>
                </c:pt>
                <c:pt idx="598">
                  <c:v>16.408711135460894</c:v>
                </c:pt>
                <c:pt idx="599">
                  <c:v>16.43610464319956</c:v>
                </c:pt>
                <c:pt idx="600">
                  <c:v>16.463498150938229</c:v>
                </c:pt>
                <c:pt idx="601">
                  <c:v>16.490891658676894</c:v>
                </c:pt>
                <c:pt idx="602">
                  <c:v>16.518285166415559</c:v>
                </c:pt>
                <c:pt idx="603">
                  <c:v>16.545678674154225</c:v>
                </c:pt>
                <c:pt idx="604">
                  <c:v>16.57307218189289</c:v>
                </c:pt>
                <c:pt idx="605">
                  <c:v>16.600465689631555</c:v>
                </c:pt>
                <c:pt idx="606">
                  <c:v>16.627859197370224</c:v>
                </c:pt>
                <c:pt idx="607">
                  <c:v>16.655252705108889</c:v>
                </c:pt>
                <c:pt idx="608">
                  <c:v>16.682646212847555</c:v>
                </c:pt>
                <c:pt idx="609">
                  <c:v>16.71003972058622</c:v>
                </c:pt>
                <c:pt idx="610">
                  <c:v>16.737433228324885</c:v>
                </c:pt>
                <c:pt idx="611">
                  <c:v>16.764826736063551</c:v>
                </c:pt>
                <c:pt idx="612">
                  <c:v>16.79222024380222</c:v>
                </c:pt>
                <c:pt idx="613">
                  <c:v>16.819613751540885</c:v>
                </c:pt>
                <c:pt idx="614">
                  <c:v>16.84700725927955</c:v>
                </c:pt>
                <c:pt idx="615">
                  <c:v>16.874400767018216</c:v>
                </c:pt>
                <c:pt idx="616">
                  <c:v>16.901794274756881</c:v>
                </c:pt>
                <c:pt idx="617">
                  <c:v>16.929187782495546</c:v>
                </c:pt>
                <c:pt idx="618">
                  <c:v>16.956581290234215</c:v>
                </c:pt>
                <c:pt idx="619">
                  <c:v>16.983974797972881</c:v>
                </c:pt>
                <c:pt idx="620">
                  <c:v>17.011368305711546</c:v>
                </c:pt>
                <c:pt idx="621">
                  <c:v>17.038761813450211</c:v>
                </c:pt>
                <c:pt idx="622">
                  <c:v>17.066155321188877</c:v>
                </c:pt>
                <c:pt idx="623">
                  <c:v>17.093548828927542</c:v>
                </c:pt>
                <c:pt idx="624">
                  <c:v>17.120942336666211</c:v>
                </c:pt>
                <c:pt idx="625">
                  <c:v>17.148335844404876</c:v>
                </c:pt>
                <c:pt idx="626">
                  <c:v>17.175729352143541</c:v>
                </c:pt>
                <c:pt idx="627">
                  <c:v>17.203122859882207</c:v>
                </c:pt>
                <c:pt idx="628">
                  <c:v>17.230516367620872</c:v>
                </c:pt>
                <c:pt idx="629">
                  <c:v>17.257909875359541</c:v>
                </c:pt>
                <c:pt idx="630">
                  <c:v>17.285303383098206</c:v>
                </c:pt>
                <c:pt idx="631">
                  <c:v>17.312696890836872</c:v>
                </c:pt>
                <c:pt idx="632">
                  <c:v>17.340090398575537</c:v>
                </c:pt>
                <c:pt idx="633">
                  <c:v>17.367483906314202</c:v>
                </c:pt>
                <c:pt idx="634">
                  <c:v>17.394877414052868</c:v>
                </c:pt>
                <c:pt idx="635">
                  <c:v>17.422270921791537</c:v>
                </c:pt>
                <c:pt idx="636">
                  <c:v>17.449664429530202</c:v>
                </c:pt>
                <c:pt idx="637">
                  <c:v>17.477057937268867</c:v>
                </c:pt>
                <c:pt idx="638">
                  <c:v>17.504451445007533</c:v>
                </c:pt>
                <c:pt idx="639">
                  <c:v>17.531844952746198</c:v>
                </c:pt>
                <c:pt idx="640">
                  <c:v>17.559238460484863</c:v>
                </c:pt>
                <c:pt idx="641">
                  <c:v>17.586631968223532</c:v>
                </c:pt>
                <c:pt idx="642">
                  <c:v>17.614025475962197</c:v>
                </c:pt>
                <c:pt idx="643">
                  <c:v>17.641418983700863</c:v>
                </c:pt>
                <c:pt idx="644">
                  <c:v>17.668812491439528</c:v>
                </c:pt>
                <c:pt idx="645">
                  <c:v>17.696205999178193</c:v>
                </c:pt>
                <c:pt idx="646">
                  <c:v>17.723599506916859</c:v>
                </c:pt>
                <c:pt idx="647">
                  <c:v>17.750993014655528</c:v>
                </c:pt>
                <c:pt idx="648">
                  <c:v>17.778386522394193</c:v>
                </c:pt>
                <c:pt idx="649">
                  <c:v>17.805780030132858</c:v>
                </c:pt>
                <c:pt idx="650">
                  <c:v>17.833173537871524</c:v>
                </c:pt>
                <c:pt idx="651">
                  <c:v>17.860567045610189</c:v>
                </c:pt>
                <c:pt idx="652">
                  <c:v>17.887960553348854</c:v>
                </c:pt>
                <c:pt idx="653">
                  <c:v>17.915354061087523</c:v>
                </c:pt>
                <c:pt idx="654">
                  <c:v>17.942747568826189</c:v>
                </c:pt>
                <c:pt idx="655">
                  <c:v>17.970141076564854</c:v>
                </c:pt>
                <c:pt idx="656">
                  <c:v>17.997534584303519</c:v>
                </c:pt>
                <c:pt idx="657">
                  <c:v>18.024928092042185</c:v>
                </c:pt>
                <c:pt idx="658">
                  <c:v>18.05232159978085</c:v>
                </c:pt>
                <c:pt idx="659">
                  <c:v>18.079715107519519</c:v>
                </c:pt>
                <c:pt idx="660">
                  <c:v>18.107108615258184</c:v>
                </c:pt>
                <c:pt idx="661">
                  <c:v>18.134502122996849</c:v>
                </c:pt>
                <c:pt idx="662">
                  <c:v>18.161895630735515</c:v>
                </c:pt>
                <c:pt idx="663">
                  <c:v>18.18928913847418</c:v>
                </c:pt>
                <c:pt idx="664">
                  <c:v>18.216682646212845</c:v>
                </c:pt>
                <c:pt idx="665">
                  <c:v>18.244076153951514</c:v>
                </c:pt>
                <c:pt idx="666">
                  <c:v>18.27146966169018</c:v>
                </c:pt>
                <c:pt idx="667">
                  <c:v>18.298863169428845</c:v>
                </c:pt>
                <c:pt idx="668">
                  <c:v>18.32625667716751</c:v>
                </c:pt>
                <c:pt idx="669">
                  <c:v>18.353650184906176</c:v>
                </c:pt>
                <c:pt idx="670">
                  <c:v>18.381043692644841</c:v>
                </c:pt>
                <c:pt idx="671">
                  <c:v>18.40843720038351</c:v>
                </c:pt>
                <c:pt idx="672">
                  <c:v>18.435830708122175</c:v>
                </c:pt>
                <c:pt idx="673">
                  <c:v>18.463224215860841</c:v>
                </c:pt>
                <c:pt idx="674">
                  <c:v>18.490617723599506</c:v>
                </c:pt>
                <c:pt idx="675">
                  <c:v>18.518011231338171</c:v>
                </c:pt>
                <c:pt idx="676">
                  <c:v>18.545404739076837</c:v>
                </c:pt>
                <c:pt idx="677">
                  <c:v>18.572798246815506</c:v>
                </c:pt>
                <c:pt idx="678">
                  <c:v>18.600191754554171</c:v>
                </c:pt>
                <c:pt idx="679">
                  <c:v>18.627585262292836</c:v>
                </c:pt>
                <c:pt idx="680">
                  <c:v>18.654978770031502</c:v>
                </c:pt>
                <c:pt idx="681">
                  <c:v>18.682372277770167</c:v>
                </c:pt>
                <c:pt idx="682">
                  <c:v>18.709765785508832</c:v>
                </c:pt>
                <c:pt idx="683">
                  <c:v>18.737159293247501</c:v>
                </c:pt>
                <c:pt idx="684">
                  <c:v>18.764552800986166</c:v>
                </c:pt>
                <c:pt idx="685">
                  <c:v>18.791946308724832</c:v>
                </c:pt>
                <c:pt idx="686">
                  <c:v>18.819339816463497</c:v>
                </c:pt>
                <c:pt idx="687">
                  <c:v>18.846733324202162</c:v>
                </c:pt>
                <c:pt idx="688">
                  <c:v>18.874126831940828</c:v>
                </c:pt>
                <c:pt idx="689">
                  <c:v>18.901520339679497</c:v>
                </c:pt>
                <c:pt idx="690">
                  <c:v>18.928913847418162</c:v>
                </c:pt>
                <c:pt idx="691">
                  <c:v>18.956307355156827</c:v>
                </c:pt>
                <c:pt idx="692">
                  <c:v>18.983700862895493</c:v>
                </c:pt>
                <c:pt idx="693">
                  <c:v>19.011094370634158</c:v>
                </c:pt>
                <c:pt idx="694">
                  <c:v>19.038487878372823</c:v>
                </c:pt>
                <c:pt idx="695">
                  <c:v>19.065881386111492</c:v>
                </c:pt>
                <c:pt idx="696">
                  <c:v>19.093274893850158</c:v>
                </c:pt>
                <c:pt idx="697">
                  <c:v>19.120668401588823</c:v>
                </c:pt>
                <c:pt idx="698">
                  <c:v>19.148061909327488</c:v>
                </c:pt>
                <c:pt idx="699">
                  <c:v>19.175455417066154</c:v>
                </c:pt>
                <c:pt idx="700">
                  <c:v>19.202848924804822</c:v>
                </c:pt>
                <c:pt idx="701">
                  <c:v>19.230242432543488</c:v>
                </c:pt>
                <c:pt idx="702">
                  <c:v>19.257635940282153</c:v>
                </c:pt>
                <c:pt idx="703">
                  <c:v>19.285029448020818</c:v>
                </c:pt>
                <c:pt idx="704">
                  <c:v>19.312422955759484</c:v>
                </c:pt>
                <c:pt idx="705">
                  <c:v>19.339816463498149</c:v>
                </c:pt>
                <c:pt idx="706">
                  <c:v>19.367209971236818</c:v>
                </c:pt>
                <c:pt idx="707">
                  <c:v>19.394603478975483</c:v>
                </c:pt>
                <c:pt idx="708">
                  <c:v>19.421996986714149</c:v>
                </c:pt>
                <c:pt idx="709">
                  <c:v>19.449390494452814</c:v>
                </c:pt>
                <c:pt idx="710">
                  <c:v>19.476784002191479</c:v>
                </c:pt>
                <c:pt idx="711">
                  <c:v>19.504177509930145</c:v>
                </c:pt>
                <c:pt idx="712">
                  <c:v>19.531571017668814</c:v>
                </c:pt>
                <c:pt idx="713">
                  <c:v>19.558964525407479</c:v>
                </c:pt>
                <c:pt idx="714">
                  <c:v>19.586358033146144</c:v>
                </c:pt>
                <c:pt idx="715">
                  <c:v>19.61375154088481</c:v>
                </c:pt>
                <c:pt idx="716">
                  <c:v>19.641145048623475</c:v>
                </c:pt>
                <c:pt idx="717">
                  <c:v>19.66853855636214</c:v>
                </c:pt>
                <c:pt idx="718">
                  <c:v>19.695932064100809</c:v>
                </c:pt>
                <c:pt idx="719">
                  <c:v>19.723325571839474</c:v>
                </c:pt>
                <c:pt idx="720">
                  <c:v>19.75071907957814</c:v>
                </c:pt>
                <c:pt idx="721">
                  <c:v>19.778112587316805</c:v>
                </c:pt>
                <c:pt idx="722">
                  <c:v>19.80550609505547</c:v>
                </c:pt>
                <c:pt idx="723">
                  <c:v>19.832899602794136</c:v>
                </c:pt>
                <c:pt idx="724">
                  <c:v>19.860293110532805</c:v>
                </c:pt>
                <c:pt idx="725">
                  <c:v>19.88768661827147</c:v>
                </c:pt>
                <c:pt idx="726">
                  <c:v>19.915080126010135</c:v>
                </c:pt>
                <c:pt idx="727">
                  <c:v>19.942473633748801</c:v>
                </c:pt>
                <c:pt idx="728">
                  <c:v>19.969867141487466</c:v>
                </c:pt>
                <c:pt idx="729">
                  <c:v>19.997260649226131</c:v>
                </c:pt>
                <c:pt idx="730">
                  <c:v>20.0246541569648</c:v>
                </c:pt>
                <c:pt idx="731">
                  <c:v>20.052047664703466</c:v>
                </c:pt>
                <c:pt idx="732">
                  <c:v>20.079441172442131</c:v>
                </c:pt>
                <c:pt idx="733">
                  <c:v>20.106834680180796</c:v>
                </c:pt>
                <c:pt idx="734">
                  <c:v>20.134228187919462</c:v>
                </c:pt>
                <c:pt idx="735">
                  <c:v>20.161621695658127</c:v>
                </c:pt>
                <c:pt idx="736">
                  <c:v>20.189015203396796</c:v>
                </c:pt>
                <c:pt idx="737">
                  <c:v>20.216408711135461</c:v>
                </c:pt>
                <c:pt idx="738">
                  <c:v>20.243802218874126</c:v>
                </c:pt>
                <c:pt idx="739">
                  <c:v>20.271195726612792</c:v>
                </c:pt>
                <c:pt idx="740">
                  <c:v>20.298589234351457</c:v>
                </c:pt>
                <c:pt idx="741">
                  <c:v>20.325982742090122</c:v>
                </c:pt>
                <c:pt idx="742">
                  <c:v>20.353376249828791</c:v>
                </c:pt>
                <c:pt idx="743">
                  <c:v>20.380769757567457</c:v>
                </c:pt>
                <c:pt idx="744">
                  <c:v>20.408163265306122</c:v>
                </c:pt>
                <c:pt idx="745">
                  <c:v>20.435556773044787</c:v>
                </c:pt>
                <c:pt idx="746">
                  <c:v>20.462950280783453</c:v>
                </c:pt>
                <c:pt idx="747">
                  <c:v>20.490343788522118</c:v>
                </c:pt>
                <c:pt idx="748">
                  <c:v>20.517737296260787</c:v>
                </c:pt>
                <c:pt idx="749">
                  <c:v>20.545130803999452</c:v>
                </c:pt>
                <c:pt idx="750">
                  <c:v>20.572524311738118</c:v>
                </c:pt>
                <c:pt idx="751">
                  <c:v>20.599917819476783</c:v>
                </c:pt>
                <c:pt idx="752">
                  <c:v>20.627311327215448</c:v>
                </c:pt>
                <c:pt idx="753">
                  <c:v>20.654704834954114</c:v>
                </c:pt>
                <c:pt idx="754">
                  <c:v>20.682098342692782</c:v>
                </c:pt>
                <c:pt idx="755">
                  <c:v>20.709491850431448</c:v>
                </c:pt>
                <c:pt idx="756">
                  <c:v>20.736885358170113</c:v>
                </c:pt>
                <c:pt idx="757">
                  <c:v>20.764278865908778</c:v>
                </c:pt>
                <c:pt idx="758">
                  <c:v>20.791672373647444</c:v>
                </c:pt>
                <c:pt idx="759">
                  <c:v>20.819065881386109</c:v>
                </c:pt>
                <c:pt idx="760">
                  <c:v>20.846459389124778</c:v>
                </c:pt>
                <c:pt idx="761">
                  <c:v>20.873852896863443</c:v>
                </c:pt>
                <c:pt idx="762">
                  <c:v>20.901246404602109</c:v>
                </c:pt>
                <c:pt idx="763">
                  <c:v>20.928639912340774</c:v>
                </c:pt>
                <c:pt idx="764">
                  <c:v>20.956033420079439</c:v>
                </c:pt>
                <c:pt idx="765">
                  <c:v>20.983426927818105</c:v>
                </c:pt>
                <c:pt idx="766">
                  <c:v>21.010820435556774</c:v>
                </c:pt>
                <c:pt idx="767">
                  <c:v>21.038213943295439</c:v>
                </c:pt>
                <c:pt idx="768">
                  <c:v>21.065607451034104</c:v>
                </c:pt>
                <c:pt idx="769">
                  <c:v>21.09300095877277</c:v>
                </c:pt>
                <c:pt idx="770">
                  <c:v>21.120394466511435</c:v>
                </c:pt>
                <c:pt idx="771">
                  <c:v>21.147787974250104</c:v>
                </c:pt>
                <c:pt idx="772">
                  <c:v>21.175181481988769</c:v>
                </c:pt>
                <c:pt idx="773">
                  <c:v>21.202574989727434</c:v>
                </c:pt>
                <c:pt idx="774">
                  <c:v>21.2299684974661</c:v>
                </c:pt>
                <c:pt idx="775">
                  <c:v>21.257362005204765</c:v>
                </c:pt>
                <c:pt idx="776">
                  <c:v>21.28475551294343</c:v>
                </c:pt>
                <c:pt idx="777">
                  <c:v>21.312149020682099</c:v>
                </c:pt>
                <c:pt idx="778">
                  <c:v>21.339542528420765</c:v>
                </c:pt>
                <c:pt idx="779">
                  <c:v>21.36693603615943</c:v>
                </c:pt>
                <c:pt idx="780">
                  <c:v>21.394329543898095</c:v>
                </c:pt>
                <c:pt idx="781">
                  <c:v>21.421723051636761</c:v>
                </c:pt>
                <c:pt idx="782">
                  <c:v>21.449116559375426</c:v>
                </c:pt>
                <c:pt idx="783">
                  <c:v>21.476510067114095</c:v>
                </c:pt>
                <c:pt idx="784">
                  <c:v>21.50390357485276</c:v>
                </c:pt>
                <c:pt idx="785">
                  <c:v>21.531297082591426</c:v>
                </c:pt>
                <c:pt idx="786">
                  <c:v>21.558690590330091</c:v>
                </c:pt>
                <c:pt idx="787">
                  <c:v>21.586084098068756</c:v>
                </c:pt>
                <c:pt idx="788">
                  <c:v>21.613477605807422</c:v>
                </c:pt>
                <c:pt idx="789">
                  <c:v>21.64087111354609</c:v>
                </c:pt>
                <c:pt idx="790">
                  <c:v>21.668264621284756</c:v>
                </c:pt>
                <c:pt idx="791">
                  <c:v>21.695658129023421</c:v>
                </c:pt>
                <c:pt idx="792">
                  <c:v>21.723051636762087</c:v>
                </c:pt>
                <c:pt idx="793">
                  <c:v>21.750445144500752</c:v>
                </c:pt>
                <c:pt idx="794">
                  <c:v>21.777838652239417</c:v>
                </c:pt>
                <c:pt idx="795">
                  <c:v>21.805232159978086</c:v>
                </c:pt>
                <c:pt idx="796">
                  <c:v>21.832625667716751</c:v>
                </c:pt>
                <c:pt idx="797">
                  <c:v>21.860019175455417</c:v>
                </c:pt>
                <c:pt idx="798">
                  <c:v>21.887412683194082</c:v>
                </c:pt>
                <c:pt idx="799">
                  <c:v>21.914806190932747</c:v>
                </c:pt>
                <c:pt idx="800">
                  <c:v>21.942199698671413</c:v>
                </c:pt>
                <c:pt idx="801">
                  <c:v>21.969593206410082</c:v>
                </c:pt>
                <c:pt idx="802">
                  <c:v>21.996986714148747</c:v>
                </c:pt>
                <c:pt idx="803">
                  <c:v>22.024380221887412</c:v>
                </c:pt>
                <c:pt idx="804">
                  <c:v>22.051773729626078</c:v>
                </c:pt>
                <c:pt idx="805">
                  <c:v>22.079167237364743</c:v>
                </c:pt>
                <c:pt idx="806">
                  <c:v>22.106560745103408</c:v>
                </c:pt>
                <c:pt idx="807">
                  <c:v>22.133954252842077</c:v>
                </c:pt>
                <c:pt idx="808">
                  <c:v>22.161347760580743</c:v>
                </c:pt>
                <c:pt idx="809">
                  <c:v>22.188741268319408</c:v>
                </c:pt>
                <c:pt idx="810">
                  <c:v>22.216134776058073</c:v>
                </c:pt>
                <c:pt idx="811">
                  <c:v>22.243528283796739</c:v>
                </c:pt>
                <c:pt idx="812">
                  <c:v>22.270921791535404</c:v>
                </c:pt>
                <c:pt idx="813">
                  <c:v>22.298315299274073</c:v>
                </c:pt>
                <c:pt idx="814">
                  <c:v>22.325708807012738</c:v>
                </c:pt>
                <c:pt idx="815">
                  <c:v>22.353102314751403</c:v>
                </c:pt>
                <c:pt idx="816">
                  <c:v>22.380495822490069</c:v>
                </c:pt>
                <c:pt idx="817">
                  <c:v>22.407889330228734</c:v>
                </c:pt>
                <c:pt idx="818">
                  <c:v>22.435282837967399</c:v>
                </c:pt>
                <c:pt idx="819">
                  <c:v>22.462676345706068</c:v>
                </c:pt>
                <c:pt idx="820">
                  <c:v>22.490069853444734</c:v>
                </c:pt>
                <c:pt idx="821">
                  <c:v>22.517463361183399</c:v>
                </c:pt>
                <c:pt idx="822">
                  <c:v>22.544856868922064</c:v>
                </c:pt>
                <c:pt idx="823">
                  <c:v>22.57225037666073</c:v>
                </c:pt>
                <c:pt idx="824">
                  <c:v>22.599643884399395</c:v>
                </c:pt>
                <c:pt idx="825">
                  <c:v>22.627037392138064</c:v>
                </c:pt>
                <c:pt idx="826">
                  <c:v>22.654430899876729</c:v>
                </c:pt>
                <c:pt idx="827">
                  <c:v>22.681824407615395</c:v>
                </c:pt>
                <c:pt idx="828">
                  <c:v>22.70921791535406</c:v>
                </c:pt>
                <c:pt idx="829">
                  <c:v>22.736611423092725</c:v>
                </c:pt>
                <c:pt idx="830">
                  <c:v>22.764004930831391</c:v>
                </c:pt>
                <c:pt idx="831">
                  <c:v>22.791398438570059</c:v>
                </c:pt>
                <c:pt idx="832">
                  <c:v>22.818791946308725</c:v>
                </c:pt>
                <c:pt idx="833">
                  <c:v>22.84618545404739</c:v>
                </c:pt>
                <c:pt idx="834">
                  <c:v>22.873578961786055</c:v>
                </c:pt>
                <c:pt idx="835">
                  <c:v>22.900972469524721</c:v>
                </c:pt>
                <c:pt idx="836">
                  <c:v>22.928365977263386</c:v>
                </c:pt>
                <c:pt idx="837">
                  <c:v>22.955759485002055</c:v>
                </c:pt>
                <c:pt idx="838">
                  <c:v>22.98315299274072</c:v>
                </c:pt>
                <c:pt idx="839">
                  <c:v>23.010546500479386</c:v>
                </c:pt>
                <c:pt idx="840">
                  <c:v>23.037940008218051</c:v>
                </c:pt>
                <c:pt idx="841">
                  <c:v>23.065333515956716</c:v>
                </c:pt>
                <c:pt idx="842">
                  <c:v>23.092727023695385</c:v>
                </c:pt>
                <c:pt idx="843">
                  <c:v>23.120120531434051</c:v>
                </c:pt>
                <c:pt idx="844">
                  <c:v>23.147514039172716</c:v>
                </c:pt>
                <c:pt idx="845">
                  <c:v>23.174907546911381</c:v>
                </c:pt>
                <c:pt idx="846">
                  <c:v>23.202301054650047</c:v>
                </c:pt>
                <c:pt idx="847">
                  <c:v>23.229694562388712</c:v>
                </c:pt>
                <c:pt idx="848">
                  <c:v>23.257088070127381</c:v>
                </c:pt>
                <c:pt idx="849">
                  <c:v>23.284481577866046</c:v>
                </c:pt>
                <c:pt idx="850">
                  <c:v>23.311875085604711</c:v>
                </c:pt>
                <c:pt idx="851">
                  <c:v>23.339268593343377</c:v>
                </c:pt>
                <c:pt idx="852">
                  <c:v>23.366662101082042</c:v>
                </c:pt>
                <c:pt idx="853">
                  <c:v>23.394055608820707</c:v>
                </c:pt>
                <c:pt idx="854">
                  <c:v>23.421449116559376</c:v>
                </c:pt>
                <c:pt idx="855">
                  <c:v>23.448842624298042</c:v>
                </c:pt>
                <c:pt idx="856">
                  <c:v>23.476236132036707</c:v>
                </c:pt>
                <c:pt idx="857">
                  <c:v>23.503629639775372</c:v>
                </c:pt>
                <c:pt idx="858">
                  <c:v>23.531023147514038</c:v>
                </c:pt>
                <c:pt idx="859">
                  <c:v>23.558416655252703</c:v>
                </c:pt>
                <c:pt idx="860">
                  <c:v>23.585810162991372</c:v>
                </c:pt>
                <c:pt idx="861">
                  <c:v>23.613203670730037</c:v>
                </c:pt>
                <c:pt idx="862">
                  <c:v>23.640597178468703</c:v>
                </c:pt>
                <c:pt idx="863">
                  <c:v>23.667990686207368</c:v>
                </c:pt>
                <c:pt idx="864">
                  <c:v>23.695384193946033</c:v>
                </c:pt>
                <c:pt idx="865">
                  <c:v>23.722777701684699</c:v>
                </c:pt>
                <c:pt idx="866">
                  <c:v>23.750171209423367</c:v>
                </c:pt>
                <c:pt idx="867">
                  <c:v>23.777564717162033</c:v>
                </c:pt>
                <c:pt idx="868">
                  <c:v>23.804958224900698</c:v>
                </c:pt>
                <c:pt idx="869">
                  <c:v>23.832351732639363</c:v>
                </c:pt>
                <c:pt idx="870">
                  <c:v>23.859745240378029</c:v>
                </c:pt>
                <c:pt idx="871">
                  <c:v>23.887138748116694</c:v>
                </c:pt>
                <c:pt idx="872">
                  <c:v>23.914532255855363</c:v>
                </c:pt>
                <c:pt idx="873">
                  <c:v>23.941925763594028</c:v>
                </c:pt>
                <c:pt idx="874">
                  <c:v>23.969319271332694</c:v>
                </c:pt>
                <c:pt idx="875">
                  <c:v>23.996712779071359</c:v>
                </c:pt>
                <c:pt idx="876">
                  <c:v>24.024106286810024</c:v>
                </c:pt>
                <c:pt idx="877">
                  <c:v>24.05149979454869</c:v>
                </c:pt>
                <c:pt idx="878">
                  <c:v>24.078893302287359</c:v>
                </c:pt>
                <c:pt idx="879">
                  <c:v>24.106286810026024</c:v>
                </c:pt>
                <c:pt idx="880">
                  <c:v>24.133680317764689</c:v>
                </c:pt>
                <c:pt idx="881">
                  <c:v>24.161073825503355</c:v>
                </c:pt>
                <c:pt idx="882">
                  <c:v>24.18846733324202</c:v>
                </c:pt>
                <c:pt idx="883">
                  <c:v>24.215860840980685</c:v>
                </c:pt>
                <c:pt idx="884">
                  <c:v>24.243254348719354</c:v>
                </c:pt>
                <c:pt idx="885">
                  <c:v>24.270647856458019</c:v>
                </c:pt>
                <c:pt idx="886">
                  <c:v>24.298041364196685</c:v>
                </c:pt>
                <c:pt idx="887">
                  <c:v>24.32543487193535</c:v>
                </c:pt>
                <c:pt idx="888">
                  <c:v>24.352828379674015</c:v>
                </c:pt>
                <c:pt idx="889">
                  <c:v>24.380221887412681</c:v>
                </c:pt>
                <c:pt idx="890">
                  <c:v>24.40761539515135</c:v>
                </c:pt>
                <c:pt idx="891">
                  <c:v>24.435008902890015</c:v>
                </c:pt>
                <c:pt idx="892">
                  <c:v>24.46240241062868</c:v>
                </c:pt>
                <c:pt idx="893">
                  <c:v>24.489795918367346</c:v>
                </c:pt>
                <c:pt idx="894">
                  <c:v>24.517189426106011</c:v>
                </c:pt>
                <c:pt idx="895">
                  <c:v>24.544582933844676</c:v>
                </c:pt>
                <c:pt idx="896">
                  <c:v>24.571976441583345</c:v>
                </c:pt>
                <c:pt idx="897">
                  <c:v>24.599369949322011</c:v>
                </c:pt>
                <c:pt idx="898">
                  <c:v>24.626763457060676</c:v>
                </c:pt>
                <c:pt idx="899">
                  <c:v>24.654156964799341</c:v>
                </c:pt>
                <c:pt idx="900">
                  <c:v>24.681550472538007</c:v>
                </c:pt>
                <c:pt idx="901">
                  <c:v>24.708943980276672</c:v>
                </c:pt>
                <c:pt idx="902">
                  <c:v>24.736337488015341</c:v>
                </c:pt>
                <c:pt idx="903">
                  <c:v>24.763730995754006</c:v>
                </c:pt>
                <c:pt idx="904">
                  <c:v>24.791124503492671</c:v>
                </c:pt>
                <c:pt idx="905">
                  <c:v>24.818518011231337</c:v>
                </c:pt>
                <c:pt idx="906">
                  <c:v>24.845911518970002</c:v>
                </c:pt>
                <c:pt idx="907">
                  <c:v>24.873305026708667</c:v>
                </c:pt>
                <c:pt idx="908">
                  <c:v>24.900698534447336</c:v>
                </c:pt>
                <c:pt idx="909">
                  <c:v>24.928092042186002</c:v>
                </c:pt>
                <c:pt idx="910">
                  <c:v>24.955485549924667</c:v>
                </c:pt>
                <c:pt idx="911">
                  <c:v>24.982879057663332</c:v>
                </c:pt>
                <c:pt idx="912">
                  <c:v>25.010272565401998</c:v>
                </c:pt>
                <c:pt idx="913">
                  <c:v>25.037666073140667</c:v>
                </c:pt>
                <c:pt idx="914">
                  <c:v>25.065059580879332</c:v>
                </c:pt>
                <c:pt idx="915">
                  <c:v>25.092453088617997</c:v>
                </c:pt>
                <c:pt idx="916">
                  <c:v>25.119846596356663</c:v>
                </c:pt>
                <c:pt idx="917">
                  <c:v>25.147240104095328</c:v>
                </c:pt>
                <c:pt idx="918">
                  <c:v>25.174633611833993</c:v>
                </c:pt>
                <c:pt idx="919">
                  <c:v>25.202027119572662</c:v>
                </c:pt>
                <c:pt idx="920">
                  <c:v>25.229420627311328</c:v>
                </c:pt>
                <c:pt idx="921">
                  <c:v>25.256814135049993</c:v>
                </c:pt>
                <c:pt idx="922">
                  <c:v>25.284207642788658</c:v>
                </c:pt>
                <c:pt idx="923">
                  <c:v>25.311601150527324</c:v>
                </c:pt>
                <c:pt idx="924">
                  <c:v>25.338994658265989</c:v>
                </c:pt>
                <c:pt idx="925">
                  <c:v>25.366388166004658</c:v>
                </c:pt>
                <c:pt idx="926">
                  <c:v>25.393781673743323</c:v>
                </c:pt>
                <c:pt idx="927">
                  <c:v>25.421175181481988</c:v>
                </c:pt>
                <c:pt idx="928">
                  <c:v>25.448568689220654</c:v>
                </c:pt>
                <c:pt idx="929">
                  <c:v>25.475962196959319</c:v>
                </c:pt>
                <c:pt idx="930">
                  <c:v>25.503355704697984</c:v>
                </c:pt>
                <c:pt idx="931">
                  <c:v>25.530749212436653</c:v>
                </c:pt>
                <c:pt idx="932">
                  <c:v>25.558142720175319</c:v>
                </c:pt>
                <c:pt idx="933">
                  <c:v>25.585536227913984</c:v>
                </c:pt>
                <c:pt idx="934">
                  <c:v>25.612929735652649</c:v>
                </c:pt>
                <c:pt idx="935">
                  <c:v>25.640323243391315</c:v>
                </c:pt>
                <c:pt idx="936">
                  <c:v>25.66771675112998</c:v>
                </c:pt>
                <c:pt idx="937">
                  <c:v>25.695110258868649</c:v>
                </c:pt>
                <c:pt idx="938">
                  <c:v>25.722503766607314</c:v>
                </c:pt>
                <c:pt idx="939">
                  <c:v>25.74989727434598</c:v>
                </c:pt>
                <c:pt idx="940">
                  <c:v>25.777290782084645</c:v>
                </c:pt>
                <c:pt idx="941">
                  <c:v>25.80468428982331</c:v>
                </c:pt>
                <c:pt idx="942">
                  <c:v>25.832077797561976</c:v>
                </c:pt>
                <c:pt idx="943">
                  <c:v>25.859471305300644</c:v>
                </c:pt>
                <c:pt idx="944">
                  <c:v>25.88686481303931</c:v>
                </c:pt>
                <c:pt idx="945">
                  <c:v>25.914258320777975</c:v>
                </c:pt>
                <c:pt idx="946">
                  <c:v>25.94165182851664</c:v>
                </c:pt>
                <c:pt idx="947">
                  <c:v>25.969045336255306</c:v>
                </c:pt>
                <c:pt idx="948">
                  <c:v>25.996438843993971</c:v>
                </c:pt>
                <c:pt idx="949">
                  <c:v>26.02383235173264</c:v>
                </c:pt>
                <c:pt idx="950">
                  <c:v>26.051225859471305</c:v>
                </c:pt>
                <c:pt idx="951">
                  <c:v>26.078619367209971</c:v>
                </c:pt>
                <c:pt idx="952">
                  <c:v>26.106012874948636</c:v>
                </c:pt>
                <c:pt idx="953">
                  <c:v>26.133406382687301</c:v>
                </c:pt>
                <c:pt idx="954">
                  <c:v>26.160799890425967</c:v>
                </c:pt>
                <c:pt idx="955">
                  <c:v>26.188193398164636</c:v>
                </c:pt>
                <c:pt idx="956">
                  <c:v>26.215586905903301</c:v>
                </c:pt>
                <c:pt idx="957">
                  <c:v>26.242980413641966</c:v>
                </c:pt>
                <c:pt idx="958">
                  <c:v>26.270373921380632</c:v>
                </c:pt>
                <c:pt idx="959">
                  <c:v>26.297767429119297</c:v>
                </c:pt>
                <c:pt idx="960">
                  <c:v>26.325160936857962</c:v>
                </c:pt>
                <c:pt idx="961">
                  <c:v>26.352554444596631</c:v>
                </c:pt>
                <c:pt idx="962">
                  <c:v>26.379947952335296</c:v>
                </c:pt>
                <c:pt idx="963">
                  <c:v>26.407341460073962</c:v>
                </c:pt>
                <c:pt idx="964">
                  <c:v>26.434734967812627</c:v>
                </c:pt>
                <c:pt idx="965">
                  <c:v>26.462128475551292</c:v>
                </c:pt>
                <c:pt idx="966">
                  <c:v>26.489521983289958</c:v>
                </c:pt>
                <c:pt idx="967">
                  <c:v>26.516915491028627</c:v>
                </c:pt>
                <c:pt idx="968">
                  <c:v>26.544308998767292</c:v>
                </c:pt>
                <c:pt idx="969">
                  <c:v>26.571702506505957</c:v>
                </c:pt>
                <c:pt idx="970">
                  <c:v>26.599096014244623</c:v>
                </c:pt>
                <c:pt idx="971">
                  <c:v>26.626489521983288</c:v>
                </c:pt>
                <c:pt idx="972">
                  <c:v>26.653883029721953</c:v>
                </c:pt>
                <c:pt idx="973">
                  <c:v>26.681276537460622</c:v>
                </c:pt>
                <c:pt idx="974">
                  <c:v>26.708670045199288</c:v>
                </c:pt>
                <c:pt idx="975">
                  <c:v>26.736063552937953</c:v>
                </c:pt>
                <c:pt idx="976">
                  <c:v>26.763457060676618</c:v>
                </c:pt>
                <c:pt idx="977">
                  <c:v>26.790850568415284</c:v>
                </c:pt>
                <c:pt idx="978">
                  <c:v>26.818244076153952</c:v>
                </c:pt>
                <c:pt idx="979">
                  <c:v>26.845637583892618</c:v>
                </c:pt>
                <c:pt idx="980">
                  <c:v>26.873031091631283</c:v>
                </c:pt>
                <c:pt idx="981">
                  <c:v>26.900424599369948</c:v>
                </c:pt>
                <c:pt idx="982">
                  <c:v>26.927818107108614</c:v>
                </c:pt>
                <c:pt idx="983">
                  <c:v>26.955211614847279</c:v>
                </c:pt>
                <c:pt idx="984">
                  <c:v>26.982605122585948</c:v>
                </c:pt>
                <c:pt idx="985">
                  <c:v>27.009998630324613</c:v>
                </c:pt>
                <c:pt idx="986">
                  <c:v>27.037392138063279</c:v>
                </c:pt>
                <c:pt idx="987">
                  <c:v>27.064785645801944</c:v>
                </c:pt>
                <c:pt idx="988">
                  <c:v>27.092179153540609</c:v>
                </c:pt>
                <c:pt idx="989">
                  <c:v>27.119572661279275</c:v>
                </c:pt>
                <c:pt idx="990">
                  <c:v>27.146966169017944</c:v>
                </c:pt>
                <c:pt idx="991">
                  <c:v>27.174359676756609</c:v>
                </c:pt>
                <c:pt idx="992">
                  <c:v>27.201753184495274</c:v>
                </c:pt>
                <c:pt idx="993">
                  <c:v>27.22914669223394</c:v>
                </c:pt>
                <c:pt idx="994">
                  <c:v>27.256540199972605</c:v>
                </c:pt>
                <c:pt idx="995">
                  <c:v>27.28393370771127</c:v>
                </c:pt>
                <c:pt idx="996">
                  <c:v>27.311327215449939</c:v>
                </c:pt>
                <c:pt idx="997">
                  <c:v>27.338720723188604</c:v>
                </c:pt>
                <c:pt idx="998">
                  <c:v>27.36611423092727</c:v>
                </c:pt>
                <c:pt idx="999">
                  <c:v>27.393507738665935</c:v>
                </c:pt>
                <c:pt idx="1000">
                  <c:v>27.4209012464046</c:v>
                </c:pt>
                <c:pt idx="1001">
                  <c:v>27.448294754143266</c:v>
                </c:pt>
                <c:pt idx="1002">
                  <c:v>27.475688261881935</c:v>
                </c:pt>
                <c:pt idx="1003">
                  <c:v>27.5030817696206</c:v>
                </c:pt>
                <c:pt idx="1004">
                  <c:v>27.530475277359265</c:v>
                </c:pt>
                <c:pt idx="1005">
                  <c:v>27.557868785097931</c:v>
                </c:pt>
                <c:pt idx="1006">
                  <c:v>27.585262292836596</c:v>
                </c:pt>
                <c:pt idx="1007">
                  <c:v>27.612655800575261</c:v>
                </c:pt>
                <c:pt idx="1008">
                  <c:v>27.64004930831393</c:v>
                </c:pt>
                <c:pt idx="1009">
                  <c:v>27.667442816052596</c:v>
                </c:pt>
                <c:pt idx="1010">
                  <c:v>27.694836323791261</c:v>
                </c:pt>
                <c:pt idx="1011">
                  <c:v>27.722229831529926</c:v>
                </c:pt>
                <c:pt idx="1012">
                  <c:v>27.749623339268592</c:v>
                </c:pt>
                <c:pt idx="1013">
                  <c:v>27.777016847007257</c:v>
                </c:pt>
                <c:pt idx="1014">
                  <c:v>27.804410354745926</c:v>
                </c:pt>
                <c:pt idx="1015">
                  <c:v>27.831803862484591</c:v>
                </c:pt>
                <c:pt idx="1016">
                  <c:v>27.859197370223256</c:v>
                </c:pt>
                <c:pt idx="1017">
                  <c:v>27.886590877961922</c:v>
                </c:pt>
                <c:pt idx="1018">
                  <c:v>27.913984385700587</c:v>
                </c:pt>
                <c:pt idx="1019">
                  <c:v>27.941377893439252</c:v>
                </c:pt>
                <c:pt idx="1020">
                  <c:v>27.968771401177921</c:v>
                </c:pt>
                <c:pt idx="1021">
                  <c:v>27.996164908916587</c:v>
                </c:pt>
                <c:pt idx="1022">
                  <c:v>28.023558416655252</c:v>
                </c:pt>
                <c:pt idx="1023">
                  <c:v>28.050951924393917</c:v>
                </c:pt>
                <c:pt idx="1024">
                  <c:v>28.078345432132583</c:v>
                </c:pt>
                <c:pt idx="1025">
                  <c:v>28.105738939871248</c:v>
                </c:pt>
                <c:pt idx="1026">
                  <c:v>28.133132447609917</c:v>
                </c:pt>
                <c:pt idx="1027">
                  <c:v>28.160525955348582</c:v>
                </c:pt>
                <c:pt idx="1028">
                  <c:v>28.187919463087248</c:v>
                </c:pt>
                <c:pt idx="1029">
                  <c:v>28.215312970825913</c:v>
                </c:pt>
                <c:pt idx="1030">
                  <c:v>28.242706478564578</c:v>
                </c:pt>
                <c:pt idx="1031">
                  <c:v>28.270099986303244</c:v>
                </c:pt>
                <c:pt idx="1032">
                  <c:v>28.297493494041912</c:v>
                </c:pt>
                <c:pt idx="1033">
                  <c:v>28.324887001780578</c:v>
                </c:pt>
                <c:pt idx="1034">
                  <c:v>28.352280509519243</c:v>
                </c:pt>
                <c:pt idx="1035">
                  <c:v>28.379674017257909</c:v>
                </c:pt>
                <c:pt idx="1036">
                  <c:v>28.407067524996574</c:v>
                </c:pt>
                <c:pt idx="1037">
                  <c:v>28.434461032735239</c:v>
                </c:pt>
                <c:pt idx="1038">
                  <c:v>28.461854540473908</c:v>
                </c:pt>
                <c:pt idx="1039">
                  <c:v>28.489248048212573</c:v>
                </c:pt>
                <c:pt idx="1040">
                  <c:v>28.516641555951239</c:v>
                </c:pt>
                <c:pt idx="1041">
                  <c:v>28.544035063689904</c:v>
                </c:pt>
                <c:pt idx="1042">
                  <c:v>28.571428571428569</c:v>
                </c:pt>
                <c:pt idx="1043">
                  <c:v>28.598822079167235</c:v>
                </c:pt>
                <c:pt idx="1044">
                  <c:v>28.626215586905904</c:v>
                </c:pt>
                <c:pt idx="1045">
                  <c:v>28.653609094644569</c:v>
                </c:pt>
                <c:pt idx="1046">
                  <c:v>28.681002602383234</c:v>
                </c:pt>
                <c:pt idx="1047">
                  <c:v>28.7083961101219</c:v>
                </c:pt>
                <c:pt idx="1048">
                  <c:v>28.735789617860565</c:v>
                </c:pt>
                <c:pt idx="1049">
                  <c:v>28.763183125599234</c:v>
                </c:pt>
                <c:pt idx="1050">
                  <c:v>28.790576633337899</c:v>
                </c:pt>
                <c:pt idx="1051">
                  <c:v>28.817970141076565</c:v>
                </c:pt>
                <c:pt idx="1052">
                  <c:v>28.84536364881523</c:v>
                </c:pt>
                <c:pt idx="1053">
                  <c:v>28.872757156553895</c:v>
                </c:pt>
              </c:numCache>
            </c:numRef>
          </c:xVal>
          <c:yVal>
            <c:numRef>
              <c:f>'Arbitrage Payback Engine'!$J$10:$J$1063</c:f>
              <c:numCache>
                <c:formatCode>_-"$"* #,##0.000_-;\-"$"* #,##0.000_-;_-"$"* "-"??_-;_-@_-</c:formatCode>
                <c:ptCount val="1054"/>
                <c:pt idx="0">
                  <c:v>0.37596638655462183</c:v>
                </c:pt>
                <c:pt idx="1">
                  <c:v>0.37596638655462183</c:v>
                </c:pt>
                <c:pt idx="2">
                  <c:v>0.37596638655462183</c:v>
                </c:pt>
                <c:pt idx="3">
                  <c:v>0.37596638655462183</c:v>
                </c:pt>
                <c:pt idx="4">
                  <c:v>0.37596638655462183</c:v>
                </c:pt>
                <c:pt idx="5">
                  <c:v>0.37596638655462183</c:v>
                </c:pt>
                <c:pt idx="6">
                  <c:v>0.37596638655462183</c:v>
                </c:pt>
                <c:pt idx="7">
                  <c:v>0.37596638655462183</c:v>
                </c:pt>
                <c:pt idx="8">
                  <c:v>0.37596638655462183</c:v>
                </c:pt>
                <c:pt idx="9">
                  <c:v>0.37596638655462183</c:v>
                </c:pt>
                <c:pt idx="10">
                  <c:v>0.37596638655462183</c:v>
                </c:pt>
                <c:pt idx="11">
                  <c:v>0.37596638655462183</c:v>
                </c:pt>
                <c:pt idx="12">
                  <c:v>0.37596638655462183</c:v>
                </c:pt>
                <c:pt idx="13">
                  <c:v>0.37596638655462183</c:v>
                </c:pt>
                <c:pt idx="14">
                  <c:v>0.37596638655462183</c:v>
                </c:pt>
                <c:pt idx="15">
                  <c:v>0.37596638655462183</c:v>
                </c:pt>
                <c:pt idx="16">
                  <c:v>0.37596638655462183</c:v>
                </c:pt>
                <c:pt idx="17">
                  <c:v>0.37596638655462183</c:v>
                </c:pt>
                <c:pt idx="18">
                  <c:v>0.37596638655462183</c:v>
                </c:pt>
                <c:pt idx="19">
                  <c:v>0.37596638655462183</c:v>
                </c:pt>
                <c:pt idx="20">
                  <c:v>0.37596638655462183</c:v>
                </c:pt>
                <c:pt idx="21">
                  <c:v>0.37596638655462183</c:v>
                </c:pt>
                <c:pt idx="22">
                  <c:v>0.37596638655462183</c:v>
                </c:pt>
                <c:pt idx="23">
                  <c:v>0.37596638655462183</c:v>
                </c:pt>
                <c:pt idx="24">
                  <c:v>0.37596638655462183</c:v>
                </c:pt>
                <c:pt idx="25">
                  <c:v>0.37596638655462183</c:v>
                </c:pt>
                <c:pt idx="26">
                  <c:v>0.37596638655462183</c:v>
                </c:pt>
                <c:pt idx="27">
                  <c:v>0.37596638655462183</c:v>
                </c:pt>
                <c:pt idx="28">
                  <c:v>0.37596638655462183</c:v>
                </c:pt>
                <c:pt idx="29">
                  <c:v>0.37596638655462183</c:v>
                </c:pt>
                <c:pt idx="30">
                  <c:v>0.37596638655462183</c:v>
                </c:pt>
                <c:pt idx="31">
                  <c:v>0.37596638655462183</c:v>
                </c:pt>
                <c:pt idx="32">
                  <c:v>0.37596638655462183</c:v>
                </c:pt>
                <c:pt idx="33">
                  <c:v>0.37596638655462183</c:v>
                </c:pt>
                <c:pt idx="34">
                  <c:v>0.37596638655462183</c:v>
                </c:pt>
                <c:pt idx="35">
                  <c:v>0.37596638655462183</c:v>
                </c:pt>
                <c:pt idx="36">
                  <c:v>0.38689495798319323</c:v>
                </c:pt>
                <c:pt idx="37">
                  <c:v>0.38689495798319323</c:v>
                </c:pt>
                <c:pt idx="38">
                  <c:v>0.38689495798319323</c:v>
                </c:pt>
                <c:pt idx="39">
                  <c:v>0.38689495798319323</c:v>
                </c:pt>
                <c:pt idx="40">
                  <c:v>0.38689495798319323</c:v>
                </c:pt>
                <c:pt idx="41">
                  <c:v>0.38689495798319323</c:v>
                </c:pt>
                <c:pt idx="42">
                  <c:v>0.38689495798319323</c:v>
                </c:pt>
                <c:pt idx="43">
                  <c:v>0.38689495798319323</c:v>
                </c:pt>
                <c:pt idx="44">
                  <c:v>0.38689495798319323</c:v>
                </c:pt>
                <c:pt idx="45">
                  <c:v>0.38689495798319323</c:v>
                </c:pt>
                <c:pt idx="46">
                  <c:v>0.38689495798319323</c:v>
                </c:pt>
                <c:pt idx="47">
                  <c:v>0.38689495798319323</c:v>
                </c:pt>
                <c:pt idx="48">
                  <c:v>0.38689495798319323</c:v>
                </c:pt>
                <c:pt idx="49">
                  <c:v>0.38689495798319323</c:v>
                </c:pt>
                <c:pt idx="50">
                  <c:v>0.38689495798319323</c:v>
                </c:pt>
                <c:pt idx="51">
                  <c:v>0.38689495798319323</c:v>
                </c:pt>
                <c:pt idx="52">
                  <c:v>0.38689495798319323</c:v>
                </c:pt>
                <c:pt idx="53">
                  <c:v>0.38689495798319323</c:v>
                </c:pt>
                <c:pt idx="54">
                  <c:v>0.38689495798319323</c:v>
                </c:pt>
                <c:pt idx="55">
                  <c:v>0.38689495798319323</c:v>
                </c:pt>
                <c:pt idx="56">
                  <c:v>0.38689495798319323</c:v>
                </c:pt>
                <c:pt idx="57">
                  <c:v>0.38689495798319323</c:v>
                </c:pt>
                <c:pt idx="58">
                  <c:v>0.38689495798319323</c:v>
                </c:pt>
                <c:pt idx="59">
                  <c:v>0.38689495798319323</c:v>
                </c:pt>
                <c:pt idx="60">
                  <c:v>0.38689495798319323</c:v>
                </c:pt>
                <c:pt idx="61">
                  <c:v>0.38689495798319323</c:v>
                </c:pt>
                <c:pt idx="62">
                  <c:v>0.38689495798319323</c:v>
                </c:pt>
                <c:pt idx="63">
                  <c:v>0.38689495798319323</c:v>
                </c:pt>
                <c:pt idx="64">
                  <c:v>0.38689495798319323</c:v>
                </c:pt>
                <c:pt idx="65">
                  <c:v>0.38689495798319323</c:v>
                </c:pt>
                <c:pt idx="66">
                  <c:v>0.38689495798319323</c:v>
                </c:pt>
                <c:pt idx="67">
                  <c:v>0.38689495798319323</c:v>
                </c:pt>
                <c:pt idx="68">
                  <c:v>0.38689495798319323</c:v>
                </c:pt>
                <c:pt idx="69">
                  <c:v>0.38689495798319323</c:v>
                </c:pt>
                <c:pt idx="70">
                  <c:v>0.38689495798319323</c:v>
                </c:pt>
                <c:pt idx="71">
                  <c:v>0.38689495798319323</c:v>
                </c:pt>
                <c:pt idx="72">
                  <c:v>0.38689495798319323</c:v>
                </c:pt>
                <c:pt idx="73">
                  <c:v>0.39809674369747899</c:v>
                </c:pt>
                <c:pt idx="74">
                  <c:v>0.39809674369747899</c:v>
                </c:pt>
                <c:pt idx="75">
                  <c:v>0.39809674369747899</c:v>
                </c:pt>
                <c:pt idx="76">
                  <c:v>0.39809674369747899</c:v>
                </c:pt>
                <c:pt idx="77">
                  <c:v>0.39809674369747899</c:v>
                </c:pt>
                <c:pt idx="78">
                  <c:v>0.39809674369747899</c:v>
                </c:pt>
                <c:pt idx="79">
                  <c:v>0.39809674369747899</c:v>
                </c:pt>
                <c:pt idx="80">
                  <c:v>0.39809674369747899</c:v>
                </c:pt>
                <c:pt idx="81">
                  <c:v>0.39809674369747899</c:v>
                </c:pt>
                <c:pt idx="82">
                  <c:v>0.39809674369747899</c:v>
                </c:pt>
                <c:pt idx="83">
                  <c:v>0.39809674369747899</c:v>
                </c:pt>
                <c:pt idx="84">
                  <c:v>0.39809674369747899</c:v>
                </c:pt>
                <c:pt idx="85">
                  <c:v>0.39809674369747899</c:v>
                </c:pt>
                <c:pt idx="86">
                  <c:v>0.39809674369747899</c:v>
                </c:pt>
                <c:pt idx="87">
                  <c:v>0.39809674369747899</c:v>
                </c:pt>
                <c:pt idx="88">
                  <c:v>0.39809674369747899</c:v>
                </c:pt>
                <c:pt idx="89">
                  <c:v>0.39809674369747899</c:v>
                </c:pt>
                <c:pt idx="90">
                  <c:v>0.39809674369747899</c:v>
                </c:pt>
                <c:pt idx="91">
                  <c:v>0.39809674369747899</c:v>
                </c:pt>
                <c:pt idx="92">
                  <c:v>0.39809674369747899</c:v>
                </c:pt>
                <c:pt idx="93">
                  <c:v>0.39809674369747899</c:v>
                </c:pt>
                <c:pt idx="94">
                  <c:v>0.39809674369747899</c:v>
                </c:pt>
                <c:pt idx="95">
                  <c:v>0.39809674369747899</c:v>
                </c:pt>
                <c:pt idx="96">
                  <c:v>0.39809674369747899</c:v>
                </c:pt>
                <c:pt idx="97">
                  <c:v>0.39809674369747899</c:v>
                </c:pt>
                <c:pt idx="98">
                  <c:v>0.39809674369747899</c:v>
                </c:pt>
                <c:pt idx="99">
                  <c:v>0.39809674369747899</c:v>
                </c:pt>
                <c:pt idx="100">
                  <c:v>0.39809674369747899</c:v>
                </c:pt>
                <c:pt idx="101">
                  <c:v>0.39809674369747899</c:v>
                </c:pt>
                <c:pt idx="102">
                  <c:v>0.39809674369747899</c:v>
                </c:pt>
                <c:pt idx="103">
                  <c:v>0.39809674369747899</c:v>
                </c:pt>
                <c:pt idx="104">
                  <c:v>0.39809674369747899</c:v>
                </c:pt>
                <c:pt idx="105">
                  <c:v>0.39809674369747899</c:v>
                </c:pt>
                <c:pt idx="106">
                  <c:v>0.39809674369747899</c:v>
                </c:pt>
                <c:pt idx="107">
                  <c:v>0.39809674369747899</c:v>
                </c:pt>
                <c:pt idx="108">
                  <c:v>0.39809674369747899</c:v>
                </c:pt>
                <c:pt idx="109">
                  <c:v>0.40957857405462184</c:v>
                </c:pt>
                <c:pt idx="110">
                  <c:v>0.40957857405462184</c:v>
                </c:pt>
                <c:pt idx="111">
                  <c:v>0.40957857405462184</c:v>
                </c:pt>
                <c:pt idx="112">
                  <c:v>0.40957857405462184</c:v>
                </c:pt>
                <c:pt idx="113">
                  <c:v>0.40957857405462184</c:v>
                </c:pt>
                <c:pt idx="114">
                  <c:v>0.40957857405462184</c:v>
                </c:pt>
                <c:pt idx="115">
                  <c:v>0.40957857405462184</c:v>
                </c:pt>
                <c:pt idx="116">
                  <c:v>0.40957857405462184</c:v>
                </c:pt>
                <c:pt idx="117">
                  <c:v>0.40957857405462184</c:v>
                </c:pt>
                <c:pt idx="118">
                  <c:v>0.40957857405462184</c:v>
                </c:pt>
                <c:pt idx="119">
                  <c:v>0.40957857405462184</c:v>
                </c:pt>
                <c:pt idx="120">
                  <c:v>0.40957857405462184</c:v>
                </c:pt>
                <c:pt idx="121">
                  <c:v>0.40957857405462184</c:v>
                </c:pt>
                <c:pt idx="122">
                  <c:v>0.40957857405462184</c:v>
                </c:pt>
                <c:pt idx="123">
                  <c:v>0.40957857405462184</c:v>
                </c:pt>
                <c:pt idx="124">
                  <c:v>0.40957857405462184</c:v>
                </c:pt>
                <c:pt idx="125">
                  <c:v>0.40957857405462184</c:v>
                </c:pt>
                <c:pt idx="126">
                  <c:v>0.40957857405462184</c:v>
                </c:pt>
                <c:pt idx="127">
                  <c:v>0.40957857405462184</c:v>
                </c:pt>
                <c:pt idx="128">
                  <c:v>0.40957857405462184</c:v>
                </c:pt>
                <c:pt idx="129">
                  <c:v>0.40957857405462184</c:v>
                </c:pt>
                <c:pt idx="130">
                  <c:v>0.40957857405462184</c:v>
                </c:pt>
                <c:pt idx="131">
                  <c:v>0.40957857405462184</c:v>
                </c:pt>
                <c:pt idx="132">
                  <c:v>0.40957857405462184</c:v>
                </c:pt>
                <c:pt idx="133">
                  <c:v>0.40957857405462184</c:v>
                </c:pt>
                <c:pt idx="134">
                  <c:v>0.40957857405462184</c:v>
                </c:pt>
                <c:pt idx="135">
                  <c:v>0.40957857405462184</c:v>
                </c:pt>
                <c:pt idx="136">
                  <c:v>0.40957857405462184</c:v>
                </c:pt>
                <c:pt idx="137">
                  <c:v>0.40957857405462184</c:v>
                </c:pt>
                <c:pt idx="138">
                  <c:v>0.40957857405462184</c:v>
                </c:pt>
                <c:pt idx="139">
                  <c:v>0.40957857405462184</c:v>
                </c:pt>
                <c:pt idx="140">
                  <c:v>0.40957857405462184</c:v>
                </c:pt>
                <c:pt idx="141">
                  <c:v>0.40957857405462184</c:v>
                </c:pt>
                <c:pt idx="142">
                  <c:v>0.40957857405462184</c:v>
                </c:pt>
                <c:pt idx="143">
                  <c:v>0.40957857405462184</c:v>
                </c:pt>
                <c:pt idx="144">
                  <c:v>0.40957857405462184</c:v>
                </c:pt>
                <c:pt idx="145">
                  <c:v>0.40957857405462184</c:v>
                </c:pt>
                <c:pt idx="146">
                  <c:v>0.42134745017069319</c:v>
                </c:pt>
                <c:pt idx="147">
                  <c:v>0.42134745017069319</c:v>
                </c:pt>
                <c:pt idx="148">
                  <c:v>0.42134745017069319</c:v>
                </c:pt>
                <c:pt idx="149">
                  <c:v>0.42134745017069319</c:v>
                </c:pt>
                <c:pt idx="150">
                  <c:v>0.42134745017069319</c:v>
                </c:pt>
                <c:pt idx="151">
                  <c:v>0.42134745017069319</c:v>
                </c:pt>
                <c:pt idx="152">
                  <c:v>0.42134745017069319</c:v>
                </c:pt>
                <c:pt idx="153">
                  <c:v>0.42134745017069319</c:v>
                </c:pt>
                <c:pt idx="154">
                  <c:v>0.42134745017069319</c:v>
                </c:pt>
                <c:pt idx="155">
                  <c:v>0.42134745017069319</c:v>
                </c:pt>
                <c:pt idx="156">
                  <c:v>0.42134745017069319</c:v>
                </c:pt>
                <c:pt idx="157">
                  <c:v>0.42134745017069319</c:v>
                </c:pt>
                <c:pt idx="158">
                  <c:v>0.42134745017069319</c:v>
                </c:pt>
                <c:pt idx="159">
                  <c:v>0.42134745017069319</c:v>
                </c:pt>
                <c:pt idx="160">
                  <c:v>0.42134745017069319</c:v>
                </c:pt>
                <c:pt idx="161">
                  <c:v>0.42134745017069319</c:v>
                </c:pt>
                <c:pt idx="162">
                  <c:v>0.42134745017069319</c:v>
                </c:pt>
                <c:pt idx="163">
                  <c:v>0.42134745017069319</c:v>
                </c:pt>
                <c:pt idx="164">
                  <c:v>0.42134745017069319</c:v>
                </c:pt>
                <c:pt idx="165">
                  <c:v>0.42134745017069319</c:v>
                </c:pt>
                <c:pt idx="166">
                  <c:v>0.42134745017069319</c:v>
                </c:pt>
                <c:pt idx="167">
                  <c:v>0.42134745017069319</c:v>
                </c:pt>
                <c:pt idx="168">
                  <c:v>0.42134745017069319</c:v>
                </c:pt>
                <c:pt idx="169">
                  <c:v>0.42134745017069319</c:v>
                </c:pt>
                <c:pt idx="170">
                  <c:v>0.42134745017069319</c:v>
                </c:pt>
                <c:pt idx="171">
                  <c:v>0.42134745017069319</c:v>
                </c:pt>
                <c:pt idx="172">
                  <c:v>0.42134745017069319</c:v>
                </c:pt>
                <c:pt idx="173">
                  <c:v>0.42134745017069319</c:v>
                </c:pt>
                <c:pt idx="174">
                  <c:v>0.42134745017069319</c:v>
                </c:pt>
                <c:pt idx="175">
                  <c:v>0.42134745017069319</c:v>
                </c:pt>
                <c:pt idx="176">
                  <c:v>0.42134745017069319</c:v>
                </c:pt>
                <c:pt idx="177">
                  <c:v>0.42134745017069319</c:v>
                </c:pt>
                <c:pt idx="178">
                  <c:v>0.42134745017069319</c:v>
                </c:pt>
                <c:pt idx="179">
                  <c:v>0.42134745017069319</c:v>
                </c:pt>
                <c:pt idx="180">
                  <c:v>0.42134745017069319</c:v>
                </c:pt>
                <c:pt idx="181">
                  <c:v>0.42134745017069319</c:v>
                </c:pt>
                <c:pt idx="182">
                  <c:v>0.43341054818966634</c:v>
                </c:pt>
                <c:pt idx="183">
                  <c:v>0.43341054818966634</c:v>
                </c:pt>
                <c:pt idx="184">
                  <c:v>0.43341054818966634</c:v>
                </c:pt>
                <c:pt idx="185">
                  <c:v>0.43341054818966634</c:v>
                </c:pt>
                <c:pt idx="186">
                  <c:v>0.43341054818966634</c:v>
                </c:pt>
                <c:pt idx="187">
                  <c:v>0.43341054818966634</c:v>
                </c:pt>
                <c:pt idx="188">
                  <c:v>0.43341054818966634</c:v>
                </c:pt>
                <c:pt idx="189">
                  <c:v>0.43341054818966634</c:v>
                </c:pt>
                <c:pt idx="190">
                  <c:v>0.43341054818966634</c:v>
                </c:pt>
                <c:pt idx="191">
                  <c:v>0.43341054818966634</c:v>
                </c:pt>
                <c:pt idx="192">
                  <c:v>0.43341054818966634</c:v>
                </c:pt>
                <c:pt idx="193">
                  <c:v>0.43341054818966634</c:v>
                </c:pt>
                <c:pt idx="194">
                  <c:v>0.43341054818966634</c:v>
                </c:pt>
                <c:pt idx="195">
                  <c:v>0.43341054818966634</c:v>
                </c:pt>
                <c:pt idx="196">
                  <c:v>0.43341054818966634</c:v>
                </c:pt>
                <c:pt idx="197">
                  <c:v>0.43341054818966634</c:v>
                </c:pt>
                <c:pt idx="198">
                  <c:v>0.43341054818966634</c:v>
                </c:pt>
                <c:pt idx="199">
                  <c:v>0.43341054818966634</c:v>
                </c:pt>
                <c:pt idx="200">
                  <c:v>0.43341054818966634</c:v>
                </c:pt>
                <c:pt idx="201">
                  <c:v>0.43341054818966634</c:v>
                </c:pt>
                <c:pt idx="202">
                  <c:v>0.43341054818966634</c:v>
                </c:pt>
                <c:pt idx="203">
                  <c:v>0.43341054818966634</c:v>
                </c:pt>
                <c:pt idx="204">
                  <c:v>0.43341054818966634</c:v>
                </c:pt>
                <c:pt idx="205">
                  <c:v>0.43341054818966634</c:v>
                </c:pt>
                <c:pt idx="206">
                  <c:v>0.43341054818966634</c:v>
                </c:pt>
                <c:pt idx="207">
                  <c:v>0.43341054818966634</c:v>
                </c:pt>
                <c:pt idx="208">
                  <c:v>0.43341054818966634</c:v>
                </c:pt>
                <c:pt idx="209">
                  <c:v>0.43341054818966634</c:v>
                </c:pt>
                <c:pt idx="210">
                  <c:v>0.43341054818966634</c:v>
                </c:pt>
                <c:pt idx="211">
                  <c:v>0.43341054818966634</c:v>
                </c:pt>
                <c:pt idx="212">
                  <c:v>0.43341054818966634</c:v>
                </c:pt>
                <c:pt idx="213">
                  <c:v>0.43341054818966634</c:v>
                </c:pt>
                <c:pt idx="214">
                  <c:v>0.43341054818966634</c:v>
                </c:pt>
                <c:pt idx="215">
                  <c:v>0.43341054818966634</c:v>
                </c:pt>
                <c:pt idx="216">
                  <c:v>0.43341054818966634</c:v>
                </c:pt>
                <c:pt idx="217">
                  <c:v>0.43341054818966634</c:v>
                </c:pt>
                <c:pt idx="218">
                  <c:v>0.43341054818966634</c:v>
                </c:pt>
                <c:pt idx="219">
                  <c:v>0.44577522365911387</c:v>
                </c:pt>
                <c:pt idx="220">
                  <c:v>0.44577522365911387</c:v>
                </c:pt>
                <c:pt idx="221">
                  <c:v>0.44577522365911387</c:v>
                </c:pt>
                <c:pt idx="222">
                  <c:v>0.44577522365911387</c:v>
                </c:pt>
                <c:pt idx="223">
                  <c:v>0.44577522365911387</c:v>
                </c:pt>
                <c:pt idx="224">
                  <c:v>0.44577522365911387</c:v>
                </c:pt>
                <c:pt idx="225">
                  <c:v>0.44577522365911387</c:v>
                </c:pt>
                <c:pt idx="226">
                  <c:v>0.44577522365911387</c:v>
                </c:pt>
                <c:pt idx="227">
                  <c:v>0.44577522365911387</c:v>
                </c:pt>
                <c:pt idx="228">
                  <c:v>0.44577522365911387</c:v>
                </c:pt>
                <c:pt idx="229">
                  <c:v>0.44577522365911387</c:v>
                </c:pt>
                <c:pt idx="230">
                  <c:v>0.44577522365911387</c:v>
                </c:pt>
                <c:pt idx="231">
                  <c:v>0.44577522365911387</c:v>
                </c:pt>
                <c:pt idx="232">
                  <c:v>0.44577522365911387</c:v>
                </c:pt>
                <c:pt idx="233">
                  <c:v>0.44577522365911387</c:v>
                </c:pt>
                <c:pt idx="234">
                  <c:v>0.44577522365911387</c:v>
                </c:pt>
                <c:pt idx="235">
                  <c:v>0.44577522365911387</c:v>
                </c:pt>
                <c:pt idx="236">
                  <c:v>0.44577522365911387</c:v>
                </c:pt>
                <c:pt idx="237">
                  <c:v>0.44577522365911387</c:v>
                </c:pt>
                <c:pt idx="238">
                  <c:v>0.44577522365911387</c:v>
                </c:pt>
                <c:pt idx="239">
                  <c:v>0.44577522365911387</c:v>
                </c:pt>
                <c:pt idx="240">
                  <c:v>0.44577522365911387</c:v>
                </c:pt>
                <c:pt idx="241">
                  <c:v>0.44577522365911387</c:v>
                </c:pt>
                <c:pt idx="242">
                  <c:v>0.44577522365911387</c:v>
                </c:pt>
                <c:pt idx="243">
                  <c:v>0.44577522365911387</c:v>
                </c:pt>
                <c:pt idx="244">
                  <c:v>0.44577522365911387</c:v>
                </c:pt>
                <c:pt idx="245">
                  <c:v>0.44577522365911387</c:v>
                </c:pt>
                <c:pt idx="246">
                  <c:v>0.44577522365911387</c:v>
                </c:pt>
                <c:pt idx="247">
                  <c:v>0.44577522365911387</c:v>
                </c:pt>
                <c:pt idx="248">
                  <c:v>0.44577522365911387</c:v>
                </c:pt>
                <c:pt idx="249">
                  <c:v>0.44577522365911387</c:v>
                </c:pt>
                <c:pt idx="250">
                  <c:v>0.44577522365911387</c:v>
                </c:pt>
                <c:pt idx="251">
                  <c:v>0.44577522365911387</c:v>
                </c:pt>
                <c:pt idx="252">
                  <c:v>0.44577522365911387</c:v>
                </c:pt>
                <c:pt idx="253">
                  <c:v>0.44577522365911387</c:v>
                </c:pt>
                <c:pt idx="254">
                  <c:v>0.44577522365911387</c:v>
                </c:pt>
                <c:pt idx="255">
                  <c:v>0.45844901601529758</c:v>
                </c:pt>
                <c:pt idx="256">
                  <c:v>0.45844901601529758</c:v>
                </c:pt>
                <c:pt idx="257">
                  <c:v>0.45844901601529758</c:v>
                </c:pt>
                <c:pt idx="258">
                  <c:v>0.45844901601529758</c:v>
                </c:pt>
                <c:pt idx="259">
                  <c:v>0.45844901601529758</c:v>
                </c:pt>
                <c:pt idx="260">
                  <c:v>0.45844901601529758</c:v>
                </c:pt>
                <c:pt idx="261">
                  <c:v>0.45844901601529758</c:v>
                </c:pt>
                <c:pt idx="262">
                  <c:v>0.45844901601529758</c:v>
                </c:pt>
                <c:pt idx="263">
                  <c:v>0.45844901601529758</c:v>
                </c:pt>
                <c:pt idx="264">
                  <c:v>0.45844901601529758</c:v>
                </c:pt>
                <c:pt idx="265">
                  <c:v>0.45844901601529758</c:v>
                </c:pt>
                <c:pt idx="266">
                  <c:v>0.45844901601529758</c:v>
                </c:pt>
                <c:pt idx="267">
                  <c:v>0.45844901601529758</c:v>
                </c:pt>
                <c:pt idx="268">
                  <c:v>0.45844901601529758</c:v>
                </c:pt>
                <c:pt idx="269">
                  <c:v>0.45844901601529758</c:v>
                </c:pt>
                <c:pt idx="270">
                  <c:v>0.45844901601529758</c:v>
                </c:pt>
                <c:pt idx="271">
                  <c:v>0.45844901601529758</c:v>
                </c:pt>
                <c:pt idx="272">
                  <c:v>0.45844901601529758</c:v>
                </c:pt>
                <c:pt idx="273">
                  <c:v>0.45844901601529758</c:v>
                </c:pt>
                <c:pt idx="274">
                  <c:v>0.45844901601529758</c:v>
                </c:pt>
                <c:pt idx="275">
                  <c:v>0.45844901601529758</c:v>
                </c:pt>
                <c:pt idx="276">
                  <c:v>0.45844901601529758</c:v>
                </c:pt>
                <c:pt idx="277">
                  <c:v>0.45844901601529758</c:v>
                </c:pt>
                <c:pt idx="278">
                  <c:v>0.45844901601529758</c:v>
                </c:pt>
                <c:pt idx="279">
                  <c:v>0.45844901601529758</c:v>
                </c:pt>
                <c:pt idx="280">
                  <c:v>0.45844901601529758</c:v>
                </c:pt>
                <c:pt idx="281">
                  <c:v>0.45844901601529758</c:v>
                </c:pt>
                <c:pt idx="282">
                  <c:v>0.45844901601529758</c:v>
                </c:pt>
                <c:pt idx="283">
                  <c:v>0.45844901601529758</c:v>
                </c:pt>
                <c:pt idx="284">
                  <c:v>0.45844901601529758</c:v>
                </c:pt>
                <c:pt idx="285">
                  <c:v>0.45844901601529758</c:v>
                </c:pt>
                <c:pt idx="286">
                  <c:v>0.45844901601529758</c:v>
                </c:pt>
                <c:pt idx="287">
                  <c:v>0.45844901601529758</c:v>
                </c:pt>
                <c:pt idx="288">
                  <c:v>0.45844901601529758</c:v>
                </c:pt>
                <c:pt idx="289">
                  <c:v>0.45844901601529758</c:v>
                </c:pt>
                <c:pt idx="290">
                  <c:v>0.45844901601529758</c:v>
                </c:pt>
                <c:pt idx="291">
                  <c:v>0.45844901601529758</c:v>
                </c:pt>
                <c:pt idx="292">
                  <c:v>0.47143965318038589</c:v>
                </c:pt>
                <c:pt idx="293">
                  <c:v>0.47143965318038589</c:v>
                </c:pt>
                <c:pt idx="294">
                  <c:v>0.47143965318038589</c:v>
                </c:pt>
                <c:pt idx="295">
                  <c:v>0.47143965318038589</c:v>
                </c:pt>
                <c:pt idx="296">
                  <c:v>0.47143965318038589</c:v>
                </c:pt>
                <c:pt idx="297">
                  <c:v>0.47143965318038589</c:v>
                </c:pt>
                <c:pt idx="298">
                  <c:v>0.47143965318038589</c:v>
                </c:pt>
                <c:pt idx="299">
                  <c:v>0.47143965318038589</c:v>
                </c:pt>
                <c:pt idx="300">
                  <c:v>0.47143965318038589</c:v>
                </c:pt>
                <c:pt idx="301">
                  <c:v>0.47143965318038589</c:v>
                </c:pt>
                <c:pt idx="302">
                  <c:v>0.47143965318038589</c:v>
                </c:pt>
                <c:pt idx="303">
                  <c:v>0.47143965318038589</c:v>
                </c:pt>
                <c:pt idx="304">
                  <c:v>0.47143965318038589</c:v>
                </c:pt>
                <c:pt idx="305">
                  <c:v>0.47143965318038589</c:v>
                </c:pt>
                <c:pt idx="306">
                  <c:v>0.47143965318038589</c:v>
                </c:pt>
                <c:pt idx="307">
                  <c:v>0.47143965318038589</c:v>
                </c:pt>
                <c:pt idx="308">
                  <c:v>0.47143965318038589</c:v>
                </c:pt>
                <c:pt idx="309">
                  <c:v>0.47143965318038589</c:v>
                </c:pt>
                <c:pt idx="310">
                  <c:v>0.47143965318038589</c:v>
                </c:pt>
                <c:pt idx="311">
                  <c:v>0.47143965318038589</c:v>
                </c:pt>
                <c:pt idx="312">
                  <c:v>0.47143965318038589</c:v>
                </c:pt>
                <c:pt idx="313">
                  <c:v>0.47143965318038589</c:v>
                </c:pt>
                <c:pt idx="314">
                  <c:v>0.47143965318038589</c:v>
                </c:pt>
                <c:pt idx="315">
                  <c:v>0.47143965318038589</c:v>
                </c:pt>
                <c:pt idx="316">
                  <c:v>0.47143965318038589</c:v>
                </c:pt>
                <c:pt idx="317">
                  <c:v>0.47143965318038589</c:v>
                </c:pt>
                <c:pt idx="318">
                  <c:v>0.47143965318038589</c:v>
                </c:pt>
                <c:pt idx="319">
                  <c:v>0.47143965318038589</c:v>
                </c:pt>
                <c:pt idx="320">
                  <c:v>0.47143965318038589</c:v>
                </c:pt>
                <c:pt idx="321">
                  <c:v>0.47143965318038589</c:v>
                </c:pt>
                <c:pt idx="322">
                  <c:v>0.47143965318038589</c:v>
                </c:pt>
                <c:pt idx="323">
                  <c:v>0.47143965318038589</c:v>
                </c:pt>
                <c:pt idx="324">
                  <c:v>0.47143965318038589</c:v>
                </c:pt>
                <c:pt idx="325">
                  <c:v>0.47143965318038589</c:v>
                </c:pt>
                <c:pt idx="326">
                  <c:v>0.47143965318038589</c:v>
                </c:pt>
                <c:pt idx="327">
                  <c:v>0.47143965318038589</c:v>
                </c:pt>
                <c:pt idx="328">
                  <c:v>0.48475505627460136</c:v>
                </c:pt>
                <c:pt idx="329">
                  <c:v>0.48475505627460136</c:v>
                </c:pt>
                <c:pt idx="330">
                  <c:v>0.48475505627460136</c:v>
                </c:pt>
                <c:pt idx="331">
                  <c:v>0.48475505627460136</c:v>
                </c:pt>
                <c:pt idx="332">
                  <c:v>0.48475505627460136</c:v>
                </c:pt>
                <c:pt idx="333">
                  <c:v>0.48475505627460136</c:v>
                </c:pt>
                <c:pt idx="334">
                  <c:v>0.48475505627460136</c:v>
                </c:pt>
                <c:pt idx="335">
                  <c:v>0.48475505627460136</c:v>
                </c:pt>
                <c:pt idx="336">
                  <c:v>0.48475505627460136</c:v>
                </c:pt>
                <c:pt idx="337">
                  <c:v>0.48475505627460136</c:v>
                </c:pt>
                <c:pt idx="338">
                  <c:v>0.48475505627460136</c:v>
                </c:pt>
                <c:pt idx="339">
                  <c:v>0.48475505627460136</c:v>
                </c:pt>
                <c:pt idx="340">
                  <c:v>0.48475505627460136</c:v>
                </c:pt>
                <c:pt idx="341">
                  <c:v>0.48475505627460136</c:v>
                </c:pt>
                <c:pt idx="342">
                  <c:v>0.48475505627460136</c:v>
                </c:pt>
                <c:pt idx="343">
                  <c:v>0.48475505627460136</c:v>
                </c:pt>
                <c:pt idx="344">
                  <c:v>0.48475505627460136</c:v>
                </c:pt>
                <c:pt idx="345">
                  <c:v>0.48475505627460136</c:v>
                </c:pt>
                <c:pt idx="346">
                  <c:v>0.48475505627460136</c:v>
                </c:pt>
                <c:pt idx="347">
                  <c:v>0.48475505627460136</c:v>
                </c:pt>
                <c:pt idx="348">
                  <c:v>0.48475505627460136</c:v>
                </c:pt>
                <c:pt idx="349">
                  <c:v>0.48475505627460136</c:v>
                </c:pt>
                <c:pt idx="350">
                  <c:v>0.48475505627460136</c:v>
                </c:pt>
                <c:pt idx="351">
                  <c:v>0.48475505627460136</c:v>
                </c:pt>
                <c:pt idx="352">
                  <c:v>0.48475505627460136</c:v>
                </c:pt>
                <c:pt idx="353">
                  <c:v>0.48475505627460136</c:v>
                </c:pt>
                <c:pt idx="354">
                  <c:v>0.48475505627460136</c:v>
                </c:pt>
                <c:pt idx="355">
                  <c:v>0.48475505627460136</c:v>
                </c:pt>
                <c:pt idx="356">
                  <c:v>0.48475505627460136</c:v>
                </c:pt>
                <c:pt idx="357">
                  <c:v>0.48475505627460136</c:v>
                </c:pt>
                <c:pt idx="358">
                  <c:v>0.48475505627460136</c:v>
                </c:pt>
                <c:pt idx="359">
                  <c:v>0.48475505627460136</c:v>
                </c:pt>
                <c:pt idx="360">
                  <c:v>0.48475505627460136</c:v>
                </c:pt>
                <c:pt idx="361">
                  <c:v>0.48475505627460136</c:v>
                </c:pt>
                <c:pt idx="362">
                  <c:v>0.48475505627460136</c:v>
                </c:pt>
                <c:pt idx="363">
                  <c:v>0.48475505627460136</c:v>
                </c:pt>
                <c:pt idx="364">
                  <c:v>0.48475505627460136</c:v>
                </c:pt>
                <c:pt idx="365">
                  <c:v>0.49840334444617229</c:v>
                </c:pt>
                <c:pt idx="366">
                  <c:v>0.49840334444617229</c:v>
                </c:pt>
                <c:pt idx="367">
                  <c:v>0.49840334444617229</c:v>
                </c:pt>
                <c:pt idx="368">
                  <c:v>0.49840334444617229</c:v>
                </c:pt>
                <c:pt idx="369">
                  <c:v>0.49840334444617229</c:v>
                </c:pt>
                <c:pt idx="370">
                  <c:v>0.49840334444617229</c:v>
                </c:pt>
                <c:pt idx="371">
                  <c:v>0.49840334444617229</c:v>
                </c:pt>
                <c:pt idx="372">
                  <c:v>0.49840334444617229</c:v>
                </c:pt>
                <c:pt idx="373">
                  <c:v>0.49840334444617229</c:v>
                </c:pt>
                <c:pt idx="374">
                  <c:v>0.49840334444617229</c:v>
                </c:pt>
                <c:pt idx="375">
                  <c:v>0.49840334444617229</c:v>
                </c:pt>
                <c:pt idx="376">
                  <c:v>0.49840334444617229</c:v>
                </c:pt>
                <c:pt idx="377">
                  <c:v>0.49840334444617229</c:v>
                </c:pt>
                <c:pt idx="378">
                  <c:v>0.49840334444617229</c:v>
                </c:pt>
                <c:pt idx="379">
                  <c:v>0.49840334444617229</c:v>
                </c:pt>
                <c:pt idx="380">
                  <c:v>0.49840334444617229</c:v>
                </c:pt>
                <c:pt idx="381">
                  <c:v>0.49840334444617229</c:v>
                </c:pt>
                <c:pt idx="382">
                  <c:v>0.49840334444617229</c:v>
                </c:pt>
                <c:pt idx="383">
                  <c:v>0.49840334444617229</c:v>
                </c:pt>
                <c:pt idx="384">
                  <c:v>0.49840334444617229</c:v>
                </c:pt>
                <c:pt idx="385">
                  <c:v>0.49840334444617229</c:v>
                </c:pt>
                <c:pt idx="386">
                  <c:v>0.49840334444617229</c:v>
                </c:pt>
                <c:pt idx="387">
                  <c:v>0.49840334444617229</c:v>
                </c:pt>
                <c:pt idx="388">
                  <c:v>0.49840334444617229</c:v>
                </c:pt>
                <c:pt idx="389">
                  <c:v>0.49840334444617229</c:v>
                </c:pt>
                <c:pt idx="390">
                  <c:v>0.49840334444617229</c:v>
                </c:pt>
                <c:pt idx="391">
                  <c:v>0.49840334444617229</c:v>
                </c:pt>
                <c:pt idx="392">
                  <c:v>0.49840334444617229</c:v>
                </c:pt>
                <c:pt idx="393">
                  <c:v>0.49840334444617229</c:v>
                </c:pt>
                <c:pt idx="394">
                  <c:v>0.49840334444617229</c:v>
                </c:pt>
                <c:pt idx="395">
                  <c:v>0.49840334444617229</c:v>
                </c:pt>
                <c:pt idx="396">
                  <c:v>0.49840334444617229</c:v>
                </c:pt>
                <c:pt idx="397">
                  <c:v>0.49840334444617229</c:v>
                </c:pt>
                <c:pt idx="398">
                  <c:v>0.49840334444617229</c:v>
                </c:pt>
                <c:pt idx="399">
                  <c:v>0.49840334444617229</c:v>
                </c:pt>
                <c:pt idx="400">
                  <c:v>0.49840334444617229</c:v>
                </c:pt>
                <c:pt idx="401">
                  <c:v>0.51239283982203243</c:v>
                </c:pt>
                <c:pt idx="402">
                  <c:v>0.51239283982203243</c:v>
                </c:pt>
                <c:pt idx="403">
                  <c:v>0.51239283982203243</c:v>
                </c:pt>
                <c:pt idx="404">
                  <c:v>0.51239283982203243</c:v>
                </c:pt>
                <c:pt idx="405">
                  <c:v>0.51239283982203243</c:v>
                </c:pt>
                <c:pt idx="406">
                  <c:v>0.51239283982203243</c:v>
                </c:pt>
                <c:pt idx="407">
                  <c:v>0.51239283982203243</c:v>
                </c:pt>
                <c:pt idx="408">
                  <c:v>0.51239283982203243</c:v>
                </c:pt>
                <c:pt idx="409">
                  <c:v>0.51239283982203243</c:v>
                </c:pt>
                <c:pt idx="410">
                  <c:v>0.51239283982203243</c:v>
                </c:pt>
                <c:pt idx="411">
                  <c:v>0.51239283982203243</c:v>
                </c:pt>
                <c:pt idx="412">
                  <c:v>0.51239283982203243</c:v>
                </c:pt>
                <c:pt idx="413">
                  <c:v>0.51239283982203243</c:v>
                </c:pt>
                <c:pt idx="414">
                  <c:v>0.51239283982203243</c:v>
                </c:pt>
                <c:pt idx="415">
                  <c:v>0.51239283982203243</c:v>
                </c:pt>
                <c:pt idx="416">
                  <c:v>0.51239283982203243</c:v>
                </c:pt>
                <c:pt idx="417">
                  <c:v>0.51239283982203243</c:v>
                </c:pt>
                <c:pt idx="418">
                  <c:v>0.51239283982203243</c:v>
                </c:pt>
                <c:pt idx="419">
                  <c:v>0.51239283982203243</c:v>
                </c:pt>
                <c:pt idx="420">
                  <c:v>0.51239283982203243</c:v>
                </c:pt>
                <c:pt idx="421">
                  <c:v>0.51239283982203243</c:v>
                </c:pt>
                <c:pt idx="422">
                  <c:v>0.51239283982203243</c:v>
                </c:pt>
                <c:pt idx="423">
                  <c:v>0.51239283982203243</c:v>
                </c:pt>
                <c:pt idx="424">
                  <c:v>0.51239283982203243</c:v>
                </c:pt>
                <c:pt idx="425">
                  <c:v>0.51239283982203243</c:v>
                </c:pt>
                <c:pt idx="426">
                  <c:v>0.51239283982203243</c:v>
                </c:pt>
                <c:pt idx="427">
                  <c:v>0.51239283982203243</c:v>
                </c:pt>
                <c:pt idx="428">
                  <c:v>0.51239283982203243</c:v>
                </c:pt>
                <c:pt idx="429">
                  <c:v>0.51239283982203243</c:v>
                </c:pt>
                <c:pt idx="430">
                  <c:v>0.51239283982203243</c:v>
                </c:pt>
                <c:pt idx="431">
                  <c:v>0.51239283982203243</c:v>
                </c:pt>
                <c:pt idx="432">
                  <c:v>0.51239283982203243</c:v>
                </c:pt>
                <c:pt idx="433">
                  <c:v>0.51239283982203243</c:v>
                </c:pt>
                <c:pt idx="434">
                  <c:v>0.51239283982203243</c:v>
                </c:pt>
                <c:pt idx="435">
                  <c:v>0.51239283982203243</c:v>
                </c:pt>
                <c:pt idx="436">
                  <c:v>0.51239283982203243</c:v>
                </c:pt>
                <c:pt idx="437">
                  <c:v>0.51239283982203243</c:v>
                </c:pt>
                <c:pt idx="438">
                  <c:v>0.52673207258228905</c:v>
                </c:pt>
                <c:pt idx="439">
                  <c:v>0.52673207258228905</c:v>
                </c:pt>
                <c:pt idx="440">
                  <c:v>0.52673207258228905</c:v>
                </c:pt>
                <c:pt idx="441">
                  <c:v>0.52673207258228905</c:v>
                </c:pt>
                <c:pt idx="442">
                  <c:v>0.52673207258228905</c:v>
                </c:pt>
                <c:pt idx="443">
                  <c:v>0.52673207258228905</c:v>
                </c:pt>
                <c:pt idx="444">
                  <c:v>0.52673207258228905</c:v>
                </c:pt>
                <c:pt idx="445">
                  <c:v>0.52673207258228905</c:v>
                </c:pt>
                <c:pt idx="446">
                  <c:v>0.52673207258228905</c:v>
                </c:pt>
                <c:pt idx="447">
                  <c:v>0.52673207258228905</c:v>
                </c:pt>
                <c:pt idx="448">
                  <c:v>0.52673207258228905</c:v>
                </c:pt>
                <c:pt idx="449">
                  <c:v>0.52673207258228905</c:v>
                </c:pt>
                <c:pt idx="450">
                  <c:v>0.52673207258228905</c:v>
                </c:pt>
                <c:pt idx="451">
                  <c:v>0.52673207258228905</c:v>
                </c:pt>
                <c:pt idx="452">
                  <c:v>0.52673207258228905</c:v>
                </c:pt>
                <c:pt idx="453">
                  <c:v>0.52673207258228905</c:v>
                </c:pt>
                <c:pt idx="454">
                  <c:v>0.52673207258228905</c:v>
                </c:pt>
                <c:pt idx="455">
                  <c:v>0.52673207258228905</c:v>
                </c:pt>
                <c:pt idx="456">
                  <c:v>0.52673207258228905</c:v>
                </c:pt>
                <c:pt idx="457">
                  <c:v>0.52673207258228905</c:v>
                </c:pt>
                <c:pt idx="458">
                  <c:v>0.52673207258228905</c:v>
                </c:pt>
                <c:pt idx="459">
                  <c:v>0.52673207258228905</c:v>
                </c:pt>
                <c:pt idx="460">
                  <c:v>0.52673207258228905</c:v>
                </c:pt>
                <c:pt idx="461">
                  <c:v>0.52673207258228905</c:v>
                </c:pt>
                <c:pt idx="462">
                  <c:v>0.52673207258228905</c:v>
                </c:pt>
                <c:pt idx="463">
                  <c:v>0.52673207258228905</c:v>
                </c:pt>
                <c:pt idx="464">
                  <c:v>0.52673207258228905</c:v>
                </c:pt>
                <c:pt idx="465">
                  <c:v>0.52673207258228905</c:v>
                </c:pt>
                <c:pt idx="466">
                  <c:v>0.52673207258228905</c:v>
                </c:pt>
                <c:pt idx="467">
                  <c:v>0.52673207258228905</c:v>
                </c:pt>
                <c:pt idx="468">
                  <c:v>0.52673207258228905</c:v>
                </c:pt>
                <c:pt idx="469">
                  <c:v>0.52673207258228905</c:v>
                </c:pt>
                <c:pt idx="470">
                  <c:v>0.52673207258228905</c:v>
                </c:pt>
                <c:pt idx="471">
                  <c:v>0.52673207258228905</c:v>
                </c:pt>
                <c:pt idx="472">
                  <c:v>0.52673207258228905</c:v>
                </c:pt>
                <c:pt idx="473">
                  <c:v>0.52673207258228905</c:v>
                </c:pt>
                <c:pt idx="474">
                  <c:v>0.54142978616155213</c:v>
                </c:pt>
                <c:pt idx="475">
                  <c:v>0.54142978616155213</c:v>
                </c:pt>
                <c:pt idx="476">
                  <c:v>0.54142978616155213</c:v>
                </c:pt>
                <c:pt idx="477">
                  <c:v>0.54142978616155213</c:v>
                </c:pt>
                <c:pt idx="478">
                  <c:v>0.54142978616155213</c:v>
                </c:pt>
                <c:pt idx="479">
                  <c:v>0.54142978616155213</c:v>
                </c:pt>
                <c:pt idx="480">
                  <c:v>0.54142978616155213</c:v>
                </c:pt>
                <c:pt idx="481">
                  <c:v>0.54142978616155213</c:v>
                </c:pt>
                <c:pt idx="482">
                  <c:v>0.54142978616155213</c:v>
                </c:pt>
                <c:pt idx="483">
                  <c:v>0.54142978616155213</c:v>
                </c:pt>
                <c:pt idx="484">
                  <c:v>0.54142978616155213</c:v>
                </c:pt>
                <c:pt idx="485">
                  <c:v>0.54142978616155213</c:v>
                </c:pt>
                <c:pt idx="486">
                  <c:v>0.54142978616155213</c:v>
                </c:pt>
                <c:pt idx="487">
                  <c:v>0.54142978616155213</c:v>
                </c:pt>
                <c:pt idx="488">
                  <c:v>0.54142978616155213</c:v>
                </c:pt>
                <c:pt idx="489">
                  <c:v>0.54142978616155213</c:v>
                </c:pt>
                <c:pt idx="490">
                  <c:v>0.54142978616155213</c:v>
                </c:pt>
                <c:pt idx="491">
                  <c:v>0.54142978616155213</c:v>
                </c:pt>
                <c:pt idx="492">
                  <c:v>0.54142978616155213</c:v>
                </c:pt>
                <c:pt idx="493">
                  <c:v>0.54142978616155213</c:v>
                </c:pt>
                <c:pt idx="494">
                  <c:v>0.54142978616155213</c:v>
                </c:pt>
                <c:pt idx="495">
                  <c:v>0.54142978616155213</c:v>
                </c:pt>
                <c:pt idx="496">
                  <c:v>0.54142978616155213</c:v>
                </c:pt>
                <c:pt idx="497">
                  <c:v>0.54142978616155213</c:v>
                </c:pt>
                <c:pt idx="498">
                  <c:v>0.54142978616155213</c:v>
                </c:pt>
                <c:pt idx="499">
                  <c:v>0.54142978616155213</c:v>
                </c:pt>
                <c:pt idx="500">
                  <c:v>0.54142978616155213</c:v>
                </c:pt>
                <c:pt idx="501">
                  <c:v>0.54142978616155213</c:v>
                </c:pt>
                <c:pt idx="502">
                  <c:v>0.54142978616155213</c:v>
                </c:pt>
                <c:pt idx="503">
                  <c:v>0.54142978616155213</c:v>
                </c:pt>
                <c:pt idx="504">
                  <c:v>0.54142978616155213</c:v>
                </c:pt>
                <c:pt idx="505">
                  <c:v>0.54142978616155213</c:v>
                </c:pt>
                <c:pt idx="506">
                  <c:v>0.54142978616155213</c:v>
                </c:pt>
                <c:pt idx="507">
                  <c:v>0.54142978616155213</c:v>
                </c:pt>
                <c:pt idx="508">
                  <c:v>0.54142978616155213</c:v>
                </c:pt>
                <c:pt idx="509">
                  <c:v>0.54142978616155213</c:v>
                </c:pt>
                <c:pt idx="510">
                  <c:v>0.54142978616155213</c:v>
                </c:pt>
                <c:pt idx="511">
                  <c:v>0.55649494258029675</c:v>
                </c:pt>
                <c:pt idx="512">
                  <c:v>0.55649494258029675</c:v>
                </c:pt>
                <c:pt idx="513">
                  <c:v>0.55649494258029675</c:v>
                </c:pt>
                <c:pt idx="514">
                  <c:v>0.55649494258029675</c:v>
                </c:pt>
                <c:pt idx="515">
                  <c:v>0.55649494258029675</c:v>
                </c:pt>
                <c:pt idx="516">
                  <c:v>0.55649494258029675</c:v>
                </c:pt>
                <c:pt idx="517">
                  <c:v>0.55649494258029675</c:v>
                </c:pt>
                <c:pt idx="518">
                  <c:v>0.55649494258029675</c:v>
                </c:pt>
                <c:pt idx="519">
                  <c:v>0.55649494258029675</c:v>
                </c:pt>
                <c:pt idx="520">
                  <c:v>0.55649494258029675</c:v>
                </c:pt>
                <c:pt idx="521">
                  <c:v>0.55649494258029675</c:v>
                </c:pt>
                <c:pt idx="522">
                  <c:v>0.55649494258029675</c:v>
                </c:pt>
                <c:pt idx="523">
                  <c:v>0.55649494258029675</c:v>
                </c:pt>
                <c:pt idx="524">
                  <c:v>0.55649494258029675</c:v>
                </c:pt>
                <c:pt idx="525">
                  <c:v>0.55649494258029675</c:v>
                </c:pt>
                <c:pt idx="526">
                  <c:v>0.55649494258029675</c:v>
                </c:pt>
                <c:pt idx="527">
                  <c:v>0.55649494258029675</c:v>
                </c:pt>
                <c:pt idx="528">
                  <c:v>0.55649494258029675</c:v>
                </c:pt>
                <c:pt idx="529">
                  <c:v>0.55649494258029675</c:v>
                </c:pt>
                <c:pt idx="530">
                  <c:v>0.55649494258029675</c:v>
                </c:pt>
                <c:pt idx="531">
                  <c:v>0.55649494258029675</c:v>
                </c:pt>
                <c:pt idx="532">
                  <c:v>0.55649494258029675</c:v>
                </c:pt>
                <c:pt idx="533">
                  <c:v>0.55649494258029675</c:v>
                </c:pt>
                <c:pt idx="534">
                  <c:v>0.55649494258029675</c:v>
                </c:pt>
                <c:pt idx="535">
                  <c:v>0.55649494258029675</c:v>
                </c:pt>
                <c:pt idx="536">
                  <c:v>0.55649494258029675</c:v>
                </c:pt>
                <c:pt idx="537">
                  <c:v>0.55649494258029675</c:v>
                </c:pt>
                <c:pt idx="538">
                  <c:v>0.55649494258029675</c:v>
                </c:pt>
                <c:pt idx="539">
                  <c:v>0.55649494258029675</c:v>
                </c:pt>
                <c:pt idx="540">
                  <c:v>0.55649494258029675</c:v>
                </c:pt>
                <c:pt idx="541">
                  <c:v>0.55649494258029675</c:v>
                </c:pt>
                <c:pt idx="542">
                  <c:v>0.55649494258029675</c:v>
                </c:pt>
                <c:pt idx="543">
                  <c:v>0.55649494258029675</c:v>
                </c:pt>
                <c:pt idx="544">
                  <c:v>0.55649494258029675</c:v>
                </c:pt>
                <c:pt idx="545">
                  <c:v>0.55649494258029675</c:v>
                </c:pt>
                <c:pt idx="546">
                  <c:v>0.55649494258029675</c:v>
                </c:pt>
                <c:pt idx="547">
                  <c:v>0.57193672790951011</c:v>
                </c:pt>
                <c:pt idx="548">
                  <c:v>0.57193672790951011</c:v>
                </c:pt>
                <c:pt idx="549">
                  <c:v>0.57193672790951011</c:v>
                </c:pt>
                <c:pt idx="550">
                  <c:v>0.57193672790951011</c:v>
                </c:pt>
                <c:pt idx="551">
                  <c:v>0.57193672790951011</c:v>
                </c:pt>
                <c:pt idx="552">
                  <c:v>0.57193672790951011</c:v>
                </c:pt>
                <c:pt idx="553">
                  <c:v>0.57193672790951011</c:v>
                </c:pt>
                <c:pt idx="554">
                  <c:v>0.57193672790951011</c:v>
                </c:pt>
                <c:pt idx="555">
                  <c:v>0.57193672790951011</c:v>
                </c:pt>
                <c:pt idx="556">
                  <c:v>0.57193672790951011</c:v>
                </c:pt>
                <c:pt idx="557">
                  <c:v>0.57193672790951011</c:v>
                </c:pt>
                <c:pt idx="558">
                  <c:v>0.57193672790951011</c:v>
                </c:pt>
                <c:pt idx="559">
                  <c:v>0.57193672790951011</c:v>
                </c:pt>
                <c:pt idx="560">
                  <c:v>0.57193672790951011</c:v>
                </c:pt>
                <c:pt idx="561">
                  <c:v>0.57193672790951011</c:v>
                </c:pt>
                <c:pt idx="562">
                  <c:v>0.57193672790951011</c:v>
                </c:pt>
                <c:pt idx="563">
                  <c:v>0.57193672790951011</c:v>
                </c:pt>
                <c:pt idx="564">
                  <c:v>0.57193672790951011</c:v>
                </c:pt>
                <c:pt idx="565">
                  <c:v>0.57193672790951011</c:v>
                </c:pt>
                <c:pt idx="566">
                  <c:v>0.57193672790951011</c:v>
                </c:pt>
                <c:pt idx="567">
                  <c:v>0.57193672790951011</c:v>
                </c:pt>
                <c:pt idx="568">
                  <c:v>0.57193672790951011</c:v>
                </c:pt>
                <c:pt idx="569">
                  <c:v>0.57193672790951011</c:v>
                </c:pt>
                <c:pt idx="570">
                  <c:v>0.57193672790951011</c:v>
                </c:pt>
                <c:pt idx="571">
                  <c:v>0.57193672790951011</c:v>
                </c:pt>
                <c:pt idx="572">
                  <c:v>0.57193672790951011</c:v>
                </c:pt>
                <c:pt idx="573">
                  <c:v>0.57193672790951011</c:v>
                </c:pt>
                <c:pt idx="574">
                  <c:v>0.57193672790951011</c:v>
                </c:pt>
                <c:pt idx="575">
                  <c:v>0.57193672790951011</c:v>
                </c:pt>
                <c:pt idx="576">
                  <c:v>0.57193672790951011</c:v>
                </c:pt>
                <c:pt idx="577">
                  <c:v>0.57193672790951011</c:v>
                </c:pt>
                <c:pt idx="578">
                  <c:v>0.57193672790951011</c:v>
                </c:pt>
                <c:pt idx="579">
                  <c:v>0.57193672790951011</c:v>
                </c:pt>
                <c:pt idx="580">
                  <c:v>0.57193672790951011</c:v>
                </c:pt>
                <c:pt idx="581">
                  <c:v>0.57193672790951011</c:v>
                </c:pt>
                <c:pt idx="582">
                  <c:v>0.57193672790951011</c:v>
                </c:pt>
                <c:pt idx="583">
                  <c:v>0.57193672790951011</c:v>
                </c:pt>
                <c:pt idx="584">
                  <c:v>0.58776455787195381</c:v>
                </c:pt>
                <c:pt idx="585">
                  <c:v>0.58776455787195381</c:v>
                </c:pt>
                <c:pt idx="586">
                  <c:v>0.58776455787195381</c:v>
                </c:pt>
                <c:pt idx="587">
                  <c:v>0.58776455787195381</c:v>
                </c:pt>
                <c:pt idx="588">
                  <c:v>0.58776455787195381</c:v>
                </c:pt>
                <c:pt idx="589">
                  <c:v>0.58776455787195381</c:v>
                </c:pt>
                <c:pt idx="590">
                  <c:v>0.58776455787195381</c:v>
                </c:pt>
                <c:pt idx="591">
                  <c:v>0.58776455787195381</c:v>
                </c:pt>
                <c:pt idx="592">
                  <c:v>0.58776455787195381</c:v>
                </c:pt>
                <c:pt idx="593">
                  <c:v>0.58776455787195381</c:v>
                </c:pt>
                <c:pt idx="594">
                  <c:v>0.58776455787195381</c:v>
                </c:pt>
                <c:pt idx="595">
                  <c:v>0.58776455787195381</c:v>
                </c:pt>
                <c:pt idx="596">
                  <c:v>0.58776455787195381</c:v>
                </c:pt>
                <c:pt idx="597">
                  <c:v>0.58776455787195381</c:v>
                </c:pt>
                <c:pt idx="598">
                  <c:v>0.58776455787195381</c:v>
                </c:pt>
                <c:pt idx="599">
                  <c:v>0.58776455787195381</c:v>
                </c:pt>
                <c:pt idx="600">
                  <c:v>0.58776455787195381</c:v>
                </c:pt>
                <c:pt idx="601">
                  <c:v>0.58776455787195381</c:v>
                </c:pt>
                <c:pt idx="602">
                  <c:v>0.58776455787195381</c:v>
                </c:pt>
                <c:pt idx="603">
                  <c:v>0.58776455787195381</c:v>
                </c:pt>
                <c:pt idx="604">
                  <c:v>0.58776455787195381</c:v>
                </c:pt>
                <c:pt idx="605">
                  <c:v>0.58776455787195381</c:v>
                </c:pt>
                <c:pt idx="606">
                  <c:v>0.58776455787195381</c:v>
                </c:pt>
                <c:pt idx="607">
                  <c:v>0.58776455787195381</c:v>
                </c:pt>
                <c:pt idx="608">
                  <c:v>0.58776455787195381</c:v>
                </c:pt>
                <c:pt idx="609">
                  <c:v>0.58776455787195381</c:v>
                </c:pt>
                <c:pt idx="610">
                  <c:v>0.58776455787195381</c:v>
                </c:pt>
                <c:pt idx="611">
                  <c:v>0.58776455787195381</c:v>
                </c:pt>
                <c:pt idx="612">
                  <c:v>0.58776455787195381</c:v>
                </c:pt>
                <c:pt idx="613">
                  <c:v>0.58776455787195381</c:v>
                </c:pt>
                <c:pt idx="614">
                  <c:v>0.58776455787195381</c:v>
                </c:pt>
                <c:pt idx="615">
                  <c:v>0.58776455787195381</c:v>
                </c:pt>
                <c:pt idx="616">
                  <c:v>0.58776455787195381</c:v>
                </c:pt>
                <c:pt idx="617">
                  <c:v>0.58776455787195381</c:v>
                </c:pt>
                <c:pt idx="618">
                  <c:v>0.58776455787195381</c:v>
                </c:pt>
                <c:pt idx="619">
                  <c:v>0.58776455787195381</c:v>
                </c:pt>
                <c:pt idx="620">
                  <c:v>0.60398808358345835</c:v>
                </c:pt>
                <c:pt idx="621">
                  <c:v>0.60398808358345835</c:v>
                </c:pt>
                <c:pt idx="622">
                  <c:v>0.60398808358345835</c:v>
                </c:pt>
                <c:pt idx="623">
                  <c:v>0.60398808358345835</c:v>
                </c:pt>
                <c:pt idx="624">
                  <c:v>0.60398808358345835</c:v>
                </c:pt>
                <c:pt idx="625">
                  <c:v>0.60398808358345835</c:v>
                </c:pt>
                <c:pt idx="626">
                  <c:v>0.60398808358345835</c:v>
                </c:pt>
                <c:pt idx="627">
                  <c:v>0.60398808358345835</c:v>
                </c:pt>
                <c:pt idx="628">
                  <c:v>0.60398808358345835</c:v>
                </c:pt>
                <c:pt idx="629">
                  <c:v>0.60398808358345835</c:v>
                </c:pt>
                <c:pt idx="630">
                  <c:v>0.60398808358345835</c:v>
                </c:pt>
                <c:pt idx="631">
                  <c:v>0.60398808358345835</c:v>
                </c:pt>
                <c:pt idx="632">
                  <c:v>0.60398808358345835</c:v>
                </c:pt>
                <c:pt idx="633">
                  <c:v>0.60398808358345835</c:v>
                </c:pt>
                <c:pt idx="634">
                  <c:v>0.60398808358345835</c:v>
                </c:pt>
                <c:pt idx="635">
                  <c:v>0.60398808358345835</c:v>
                </c:pt>
                <c:pt idx="636">
                  <c:v>0.60398808358345835</c:v>
                </c:pt>
                <c:pt idx="637">
                  <c:v>0.60398808358345835</c:v>
                </c:pt>
                <c:pt idx="638">
                  <c:v>0.60398808358345835</c:v>
                </c:pt>
                <c:pt idx="639">
                  <c:v>0.60398808358345835</c:v>
                </c:pt>
                <c:pt idx="640">
                  <c:v>0.60398808358345835</c:v>
                </c:pt>
                <c:pt idx="641">
                  <c:v>0.60398808358345835</c:v>
                </c:pt>
                <c:pt idx="642">
                  <c:v>0.60398808358345835</c:v>
                </c:pt>
                <c:pt idx="643">
                  <c:v>0.60398808358345835</c:v>
                </c:pt>
                <c:pt idx="644">
                  <c:v>0.60398808358345835</c:v>
                </c:pt>
                <c:pt idx="645">
                  <c:v>0.60398808358345835</c:v>
                </c:pt>
                <c:pt idx="646">
                  <c:v>0.60398808358345835</c:v>
                </c:pt>
                <c:pt idx="647">
                  <c:v>0.60398808358345835</c:v>
                </c:pt>
                <c:pt idx="648">
                  <c:v>0.60398808358345835</c:v>
                </c:pt>
                <c:pt idx="649">
                  <c:v>0.60398808358345835</c:v>
                </c:pt>
                <c:pt idx="650">
                  <c:v>0.60398808358345835</c:v>
                </c:pt>
                <c:pt idx="651">
                  <c:v>0.60398808358345835</c:v>
                </c:pt>
                <c:pt idx="652">
                  <c:v>0.60398808358345835</c:v>
                </c:pt>
                <c:pt idx="653">
                  <c:v>0.60398808358345835</c:v>
                </c:pt>
                <c:pt idx="654">
                  <c:v>0.60398808358345835</c:v>
                </c:pt>
                <c:pt idx="655">
                  <c:v>0.60398808358345835</c:v>
                </c:pt>
                <c:pt idx="656">
                  <c:v>0.60398808358345835</c:v>
                </c:pt>
                <c:pt idx="657">
                  <c:v>0.62061719743775079</c:v>
                </c:pt>
                <c:pt idx="658">
                  <c:v>0.62061719743775079</c:v>
                </c:pt>
                <c:pt idx="659">
                  <c:v>0.62061719743775079</c:v>
                </c:pt>
                <c:pt idx="660">
                  <c:v>0.62061719743775079</c:v>
                </c:pt>
                <c:pt idx="661">
                  <c:v>0.62061719743775079</c:v>
                </c:pt>
                <c:pt idx="662">
                  <c:v>0.62061719743775079</c:v>
                </c:pt>
                <c:pt idx="663">
                  <c:v>0.62061719743775079</c:v>
                </c:pt>
                <c:pt idx="664">
                  <c:v>0.62061719743775079</c:v>
                </c:pt>
                <c:pt idx="665">
                  <c:v>0.62061719743775079</c:v>
                </c:pt>
                <c:pt idx="666">
                  <c:v>0.62061719743775079</c:v>
                </c:pt>
                <c:pt idx="667">
                  <c:v>0.62061719743775079</c:v>
                </c:pt>
                <c:pt idx="668">
                  <c:v>0.62061719743775079</c:v>
                </c:pt>
                <c:pt idx="669">
                  <c:v>0.62061719743775079</c:v>
                </c:pt>
                <c:pt idx="670">
                  <c:v>0.62061719743775079</c:v>
                </c:pt>
                <c:pt idx="671">
                  <c:v>0.62061719743775079</c:v>
                </c:pt>
                <c:pt idx="672">
                  <c:v>0.62061719743775079</c:v>
                </c:pt>
                <c:pt idx="673">
                  <c:v>0.62061719743775079</c:v>
                </c:pt>
                <c:pt idx="674">
                  <c:v>0.62061719743775079</c:v>
                </c:pt>
                <c:pt idx="675">
                  <c:v>0.62061719743775079</c:v>
                </c:pt>
                <c:pt idx="676">
                  <c:v>0.62061719743775079</c:v>
                </c:pt>
                <c:pt idx="677">
                  <c:v>0.62061719743775079</c:v>
                </c:pt>
                <c:pt idx="678">
                  <c:v>0.62061719743775079</c:v>
                </c:pt>
                <c:pt idx="679">
                  <c:v>0.62061719743775079</c:v>
                </c:pt>
                <c:pt idx="680">
                  <c:v>0.62061719743775079</c:v>
                </c:pt>
                <c:pt idx="681">
                  <c:v>0.62061719743775079</c:v>
                </c:pt>
                <c:pt idx="682">
                  <c:v>0.62061719743775079</c:v>
                </c:pt>
                <c:pt idx="683">
                  <c:v>0.62061719743775079</c:v>
                </c:pt>
                <c:pt idx="684">
                  <c:v>0.62061719743775079</c:v>
                </c:pt>
                <c:pt idx="685">
                  <c:v>0.62061719743775079</c:v>
                </c:pt>
                <c:pt idx="686">
                  <c:v>0.62061719743775079</c:v>
                </c:pt>
                <c:pt idx="687">
                  <c:v>0.62061719743775079</c:v>
                </c:pt>
                <c:pt idx="688">
                  <c:v>0.62061719743775079</c:v>
                </c:pt>
                <c:pt idx="689">
                  <c:v>0.62061719743775079</c:v>
                </c:pt>
                <c:pt idx="690">
                  <c:v>0.62061719743775079</c:v>
                </c:pt>
                <c:pt idx="691">
                  <c:v>0.62061719743775079</c:v>
                </c:pt>
                <c:pt idx="692">
                  <c:v>0.62061719743775079</c:v>
                </c:pt>
                <c:pt idx="693">
                  <c:v>0.63766203913840036</c:v>
                </c:pt>
                <c:pt idx="694">
                  <c:v>0.63766203913840036</c:v>
                </c:pt>
                <c:pt idx="695">
                  <c:v>0.63766203913840036</c:v>
                </c:pt>
                <c:pt idx="696">
                  <c:v>0.63766203913840036</c:v>
                </c:pt>
                <c:pt idx="697">
                  <c:v>0.63766203913840036</c:v>
                </c:pt>
                <c:pt idx="698">
                  <c:v>0.63766203913840036</c:v>
                </c:pt>
                <c:pt idx="699">
                  <c:v>0.63766203913840036</c:v>
                </c:pt>
                <c:pt idx="700">
                  <c:v>0.63766203913840036</c:v>
                </c:pt>
                <c:pt idx="701">
                  <c:v>0.63766203913840036</c:v>
                </c:pt>
                <c:pt idx="702">
                  <c:v>0.63766203913840036</c:v>
                </c:pt>
                <c:pt idx="703">
                  <c:v>0.63766203913840036</c:v>
                </c:pt>
                <c:pt idx="704">
                  <c:v>0.63766203913840036</c:v>
                </c:pt>
                <c:pt idx="705">
                  <c:v>0.63766203913840036</c:v>
                </c:pt>
                <c:pt idx="706">
                  <c:v>0.63766203913840036</c:v>
                </c:pt>
                <c:pt idx="707">
                  <c:v>0.63766203913840036</c:v>
                </c:pt>
                <c:pt idx="708">
                  <c:v>0.63766203913840036</c:v>
                </c:pt>
                <c:pt idx="709">
                  <c:v>0.63766203913840036</c:v>
                </c:pt>
                <c:pt idx="710">
                  <c:v>0.63766203913840036</c:v>
                </c:pt>
                <c:pt idx="711">
                  <c:v>0.63766203913840036</c:v>
                </c:pt>
                <c:pt idx="712">
                  <c:v>0.63766203913840036</c:v>
                </c:pt>
                <c:pt idx="713">
                  <c:v>0.63766203913840036</c:v>
                </c:pt>
                <c:pt idx="714">
                  <c:v>0.63766203913840036</c:v>
                </c:pt>
                <c:pt idx="715">
                  <c:v>0.63766203913840036</c:v>
                </c:pt>
                <c:pt idx="716">
                  <c:v>0.63766203913840036</c:v>
                </c:pt>
                <c:pt idx="717">
                  <c:v>0.63766203913840036</c:v>
                </c:pt>
                <c:pt idx="718">
                  <c:v>0.63766203913840036</c:v>
                </c:pt>
                <c:pt idx="719">
                  <c:v>0.63766203913840036</c:v>
                </c:pt>
                <c:pt idx="720">
                  <c:v>0.63766203913840036</c:v>
                </c:pt>
                <c:pt idx="721">
                  <c:v>0.63766203913840036</c:v>
                </c:pt>
                <c:pt idx="722">
                  <c:v>0.63766203913840036</c:v>
                </c:pt>
                <c:pt idx="723">
                  <c:v>0.63766203913840036</c:v>
                </c:pt>
                <c:pt idx="724">
                  <c:v>0.63766203913840036</c:v>
                </c:pt>
                <c:pt idx="725">
                  <c:v>0.63766203913840036</c:v>
                </c:pt>
                <c:pt idx="726">
                  <c:v>0.63766203913840036</c:v>
                </c:pt>
                <c:pt idx="727">
                  <c:v>0.63766203913840036</c:v>
                </c:pt>
                <c:pt idx="728">
                  <c:v>0.63766203913840036</c:v>
                </c:pt>
                <c:pt idx="729">
                  <c:v>0.63766203913840036</c:v>
                </c:pt>
                <c:pt idx="730">
                  <c:v>0.6551330018815662</c:v>
                </c:pt>
                <c:pt idx="731">
                  <c:v>0.6551330018815662</c:v>
                </c:pt>
                <c:pt idx="732">
                  <c:v>0.6551330018815662</c:v>
                </c:pt>
                <c:pt idx="733">
                  <c:v>0.6551330018815662</c:v>
                </c:pt>
                <c:pt idx="734">
                  <c:v>0.6551330018815662</c:v>
                </c:pt>
                <c:pt idx="735">
                  <c:v>0.6551330018815662</c:v>
                </c:pt>
                <c:pt idx="736">
                  <c:v>0.6551330018815662</c:v>
                </c:pt>
                <c:pt idx="737">
                  <c:v>0.6551330018815662</c:v>
                </c:pt>
                <c:pt idx="738">
                  <c:v>0.6551330018815662</c:v>
                </c:pt>
                <c:pt idx="739">
                  <c:v>0.6551330018815662</c:v>
                </c:pt>
                <c:pt idx="740">
                  <c:v>0.6551330018815662</c:v>
                </c:pt>
                <c:pt idx="741">
                  <c:v>0.6551330018815662</c:v>
                </c:pt>
                <c:pt idx="742">
                  <c:v>0.6551330018815662</c:v>
                </c:pt>
                <c:pt idx="743">
                  <c:v>0.6551330018815662</c:v>
                </c:pt>
                <c:pt idx="744">
                  <c:v>0.6551330018815662</c:v>
                </c:pt>
                <c:pt idx="745">
                  <c:v>0.6551330018815662</c:v>
                </c:pt>
                <c:pt idx="746">
                  <c:v>0.6551330018815662</c:v>
                </c:pt>
                <c:pt idx="747">
                  <c:v>0.6551330018815662</c:v>
                </c:pt>
                <c:pt idx="748">
                  <c:v>0.6551330018815662</c:v>
                </c:pt>
                <c:pt idx="749">
                  <c:v>0.6551330018815662</c:v>
                </c:pt>
                <c:pt idx="750">
                  <c:v>0.6551330018815662</c:v>
                </c:pt>
                <c:pt idx="751">
                  <c:v>0.6551330018815662</c:v>
                </c:pt>
                <c:pt idx="752">
                  <c:v>0.6551330018815662</c:v>
                </c:pt>
                <c:pt idx="753">
                  <c:v>0.6551330018815662</c:v>
                </c:pt>
                <c:pt idx="754">
                  <c:v>0.6551330018815662</c:v>
                </c:pt>
                <c:pt idx="755">
                  <c:v>0.6551330018815662</c:v>
                </c:pt>
                <c:pt idx="756">
                  <c:v>0.6551330018815662</c:v>
                </c:pt>
                <c:pt idx="757">
                  <c:v>0.6551330018815662</c:v>
                </c:pt>
                <c:pt idx="758">
                  <c:v>0.6551330018815662</c:v>
                </c:pt>
                <c:pt idx="759">
                  <c:v>0.6551330018815662</c:v>
                </c:pt>
                <c:pt idx="760">
                  <c:v>0.6551330018815662</c:v>
                </c:pt>
                <c:pt idx="761">
                  <c:v>0.6551330018815662</c:v>
                </c:pt>
                <c:pt idx="762">
                  <c:v>0.6551330018815662</c:v>
                </c:pt>
                <c:pt idx="763">
                  <c:v>0.6551330018815662</c:v>
                </c:pt>
                <c:pt idx="764">
                  <c:v>0.6551330018815662</c:v>
                </c:pt>
                <c:pt idx="765">
                  <c:v>0.6551330018815662</c:v>
                </c:pt>
                <c:pt idx="766">
                  <c:v>0.67304073869331105</c:v>
                </c:pt>
                <c:pt idx="767">
                  <c:v>0.67304073869331105</c:v>
                </c:pt>
                <c:pt idx="768">
                  <c:v>0.67304073869331105</c:v>
                </c:pt>
                <c:pt idx="769">
                  <c:v>0.67304073869331105</c:v>
                </c:pt>
                <c:pt idx="770">
                  <c:v>0.67304073869331105</c:v>
                </c:pt>
                <c:pt idx="771">
                  <c:v>0.67304073869331105</c:v>
                </c:pt>
                <c:pt idx="772">
                  <c:v>0.67304073869331105</c:v>
                </c:pt>
                <c:pt idx="773">
                  <c:v>0.67304073869331105</c:v>
                </c:pt>
                <c:pt idx="774">
                  <c:v>0.67304073869331105</c:v>
                </c:pt>
                <c:pt idx="775">
                  <c:v>0.67304073869331105</c:v>
                </c:pt>
                <c:pt idx="776">
                  <c:v>0.67304073869331105</c:v>
                </c:pt>
                <c:pt idx="777">
                  <c:v>0.67304073869331105</c:v>
                </c:pt>
                <c:pt idx="778">
                  <c:v>0.67304073869331105</c:v>
                </c:pt>
                <c:pt idx="779">
                  <c:v>0.67304073869331105</c:v>
                </c:pt>
                <c:pt idx="780">
                  <c:v>0.67304073869331105</c:v>
                </c:pt>
                <c:pt idx="781">
                  <c:v>0.67304073869331105</c:v>
                </c:pt>
                <c:pt idx="782">
                  <c:v>0.67304073869331105</c:v>
                </c:pt>
                <c:pt idx="783">
                  <c:v>0.67304073869331105</c:v>
                </c:pt>
                <c:pt idx="784">
                  <c:v>0.67304073869331105</c:v>
                </c:pt>
                <c:pt idx="785">
                  <c:v>0.67304073869331105</c:v>
                </c:pt>
                <c:pt idx="786">
                  <c:v>0.67304073869331105</c:v>
                </c:pt>
                <c:pt idx="787">
                  <c:v>0.67304073869331105</c:v>
                </c:pt>
                <c:pt idx="788">
                  <c:v>0.67304073869331105</c:v>
                </c:pt>
                <c:pt idx="789">
                  <c:v>0.67304073869331105</c:v>
                </c:pt>
                <c:pt idx="790">
                  <c:v>0.67304073869331105</c:v>
                </c:pt>
                <c:pt idx="791">
                  <c:v>0.67304073869331105</c:v>
                </c:pt>
                <c:pt idx="792">
                  <c:v>0.67304073869331105</c:v>
                </c:pt>
                <c:pt idx="793">
                  <c:v>0.67304073869331105</c:v>
                </c:pt>
                <c:pt idx="794">
                  <c:v>0.67304073869331105</c:v>
                </c:pt>
                <c:pt idx="795">
                  <c:v>0.67304073869331105</c:v>
                </c:pt>
                <c:pt idx="796">
                  <c:v>0.67304073869331105</c:v>
                </c:pt>
                <c:pt idx="797">
                  <c:v>0.67304073869331105</c:v>
                </c:pt>
                <c:pt idx="798">
                  <c:v>0.67304073869331105</c:v>
                </c:pt>
                <c:pt idx="799">
                  <c:v>0.67304073869331105</c:v>
                </c:pt>
                <c:pt idx="800">
                  <c:v>0.67304073869331105</c:v>
                </c:pt>
                <c:pt idx="801">
                  <c:v>0.67304073869331105</c:v>
                </c:pt>
                <c:pt idx="802">
                  <c:v>0.67304073869331105</c:v>
                </c:pt>
                <c:pt idx="803">
                  <c:v>0.69139616892534972</c:v>
                </c:pt>
                <c:pt idx="804">
                  <c:v>0.69139616892534972</c:v>
                </c:pt>
                <c:pt idx="805">
                  <c:v>0.69139616892534972</c:v>
                </c:pt>
                <c:pt idx="806">
                  <c:v>0.69139616892534972</c:v>
                </c:pt>
                <c:pt idx="807">
                  <c:v>0.69139616892534972</c:v>
                </c:pt>
                <c:pt idx="808">
                  <c:v>0.69139616892534972</c:v>
                </c:pt>
                <c:pt idx="809">
                  <c:v>0.69139616892534972</c:v>
                </c:pt>
                <c:pt idx="810">
                  <c:v>0.69139616892534972</c:v>
                </c:pt>
                <c:pt idx="811">
                  <c:v>0.69139616892534972</c:v>
                </c:pt>
                <c:pt idx="812">
                  <c:v>0.69139616892534972</c:v>
                </c:pt>
                <c:pt idx="813">
                  <c:v>0.69139616892534972</c:v>
                </c:pt>
                <c:pt idx="814">
                  <c:v>0.69139616892534972</c:v>
                </c:pt>
                <c:pt idx="815">
                  <c:v>0.69139616892534972</c:v>
                </c:pt>
                <c:pt idx="816">
                  <c:v>0.69139616892534972</c:v>
                </c:pt>
                <c:pt idx="817">
                  <c:v>0.69139616892534972</c:v>
                </c:pt>
                <c:pt idx="818">
                  <c:v>0.69139616892534972</c:v>
                </c:pt>
                <c:pt idx="819">
                  <c:v>0.69139616892534972</c:v>
                </c:pt>
                <c:pt idx="820">
                  <c:v>0.69139616892534972</c:v>
                </c:pt>
                <c:pt idx="821">
                  <c:v>0.69139616892534972</c:v>
                </c:pt>
                <c:pt idx="822">
                  <c:v>0.69139616892534972</c:v>
                </c:pt>
                <c:pt idx="823">
                  <c:v>0.69139616892534972</c:v>
                </c:pt>
                <c:pt idx="824">
                  <c:v>0.69139616892534972</c:v>
                </c:pt>
                <c:pt idx="825">
                  <c:v>0.69139616892534972</c:v>
                </c:pt>
                <c:pt idx="826">
                  <c:v>0.69139616892534972</c:v>
                </c:pt>
                <c:pt idx="827">
                  <c:v>0.69139616892534972</c:v>
                </c:pt>
                <c:pt idx="828">
                  <c:v>0.69139616892534972</c:v>
                </c:pt>
                <c:pt idx="829">
                  <c:v>0.69139616892534972</c:v>
                </c:pt>
                <c:pt idx="830">
                  <c:v>0.69139616892534972</c:v>
                </c:pt>
                <c:pt idx="831">
                  <c:v>0.69139616892534972</c:v>
                </c:pt>
                <c:pt idx="832">
                  <c:v>0.69139616892534972</c:v>
                </c:pt>
                <c:pt idx="833">
                  <c:v>0.69139616892534972</c:v>
                </c:pt>
                <c:pt idx="834">
                  <c:v>0.69139616892534972</c:v>
                </c:pt>
                <c:pt idx="835">
                  <c:v>0.69139616892534972</c:v>
                </c:pt>
                <c:pt idx="836">
                  <c:v>0.69139616892534972</c:v>
                </c:pt>
                <c:pt idx="837">
                  <c:v>0.69139616892534972</c:v>
                </c:pt>
                <c:pt idx="838">
                  <c:v>0.69139616892534972</c:v>
                </c:pt>
                <c:pt idx="839">
                  <c:v>0.71021048491318939</c:v>
                </c:pt>
                <c:pt idx="840">
                  <c:v>0.71021048491318939</c:v>
                </c:pt>
                <c:pt idx="841">
                  <c:v>0.71021048491318939</c:v>
                </c:pt>
                <c:pt idx="842">
                  <c:v>0.71021048491318939</c:v>
                </c:pt>
                <c:pt idx="843">
                  <c:v>0.71021048491318939</c:v>
                </c:pt>
                <c:pt idx="844">
                  <c:v>0.71021048491318939</c:v>
                </c:pt>
                <c:pt idx="845">
                  <c:v>0.71021048491318939</c:v>
                </c:pt>
                <c:pt idx="846">
                  <c:v>0.71021048491318939</c:v>
                </c:pt>
                <c:pt idx="847">
                  <c:v>0.71021048491318939</c:v>
                </c:pt>
                <c:pt idx="848">
                  <c:v>0.71021048491318939</c:v>
                </c:pt>
                <c:pt idx="849">
                  <c:v>0.71021048491318939</c:v>
                </c:pt>
                <c:pt idx="850">
                  <c:v>0.71021048491318939</c:v>
                </c:pt>
                <c:pt idx="851">
                  <c:v>0.71021048491318939</c:v>
                </c:pt>
                <c:pt idx="852">
                  <c:v>0.71021048491318939</c:v>
                </c:pt>
                <c:pt idx="853">
                  <c:v>0.71021048491318939</c:v>
                </c:pt>
                <c:pt idx="854">
                  <c:v>0.71021048491318939</c:v>
                </c:pt>
                <c:pt idx="855">
                  <c:v>0.71021048491318939</c:v>
                </c:pt>
                <c:pt idx="856">
                  <c:v>0.71021048491318939</c:v>
                </c:pt>
                <c:pt idx="857">
                  <c:v>0.71021048491318939</c:v>
                </c:pt>
                <c:pt idx="858">
                  <c:v>0.71021048491318939</c:v>
                </c:pt>
                <c:pt idx="859">
                  <c:v>0.71021048491318939</c:v>
                </c:pt>
                <c:pt idx="860">
                  <c:v>0.71021048491318939</c:v>
                </c:pt>
                <c:pt idx="861">
                  <c:v>0.71021048491318939</c:v>
                </c:pt>
                <c:pt idx="862">
                  <c:v>0.71021048491318939</c:v>
                </c:pt>
                <c:pt idx="863">
                  <c:v>0.71021048491318939</c:v>
                </c:pt>
                <c:pt idx="864">
                  <c:v>0.71021048491318939</c:v>
                </c:pt>
                <c:pt idx="865">
                  <c:v>0.71021048491318939</c:v>
                </c:pt>
                <c:pt idx="866">
                  <c:v>0.71021048491318939</c:v>
                </c:pt>
                <c:pt idx="867">
                  <c:v>0.71021048491318939</c:v>
                </c:pt>
                <c:pt idx="868">
                  <c:v>0.71021048491318939</c:v>
                </c:pt>
                <c:pt idx="869">
                  <c:v>0.71021048491318939</c:v>
                </c:pt>
                <c:pt idx="870">
                  <c:v>0.71021048491318939</c:v>
                </c:pt>
                <c:pt idx="871">
                  <c:v>0.71021048491318939</c:v>
                </c:pt>
                <c:pt idx="872">
                  <c:v>0.71021048491318939</c:v>
                </c:pt>
                <c:pt idx="873">
                  <c:v>0.71021048491318939</c:v>
                </c:pt>
                <c:pt idx="874">
                  <c:v>0.71021048491318939</c:v>
                </c:pt>
                <c:pt idx="875">
                  <c:v>0.71021048491318939</c:v>
                </c:pt>
                <c:pt idx="876">
                  <c:v>0.72949515880072491</c:v>
                </c:pt>
                <c:pt idx="877">
                  <c:v>0.72949515880072491</c:v>
                </c:pt>
                <c:pt idx="878">
                  <c:v>0.72949515880072491</c:v>
                </c:pt>
                <c:pt idx="879">
                  <c:v>0.72949515880072491</c:v>
                </c:pt>
                <c:pt idx="880">
                  <c:v>0.72949515880072491</c:v>
                </c:pt>
                <c:pt idx="881">
                  <c:v>0.72949515880072491</c:v>
                </c:pt>
                <c:pt idx="882">
                  <c:v>0.72949515880072491</c:v>
                </c:pt>
                <c:pt idx="883">
                  <c:v>0.72949515880072491</c:v>
                </c:pt>
                <c:pt idx="884">
                  <c:v>0.72949515880072491</c:v>
                </c:pt>
                <c:pt idx="885">
                  <c:v>0.72949515880072491</c:v>
                </c:pt>
                <c:pt idx="886">
                  <c:v>0.72949515880072491</c:v>
                </c:pt>
                <c:pt idx="887">
                  <c:v>0.72949515880072491</c:v>
                </c:pt>
                <c:pt idx="888">
                  <c:v>0.72949515880072491</c:v>
                </c:pt>
                <c:pt idx="889">
                  <c:v>0.72949515880072491</c:v>
                </c:pt>
                <c:pt idx="890">
                  <c:v>0.72949515880072491</c:v>
                </c:pt>
                <c:pt idx="891">
                  <c:v>0.72949515880072491</c:v>
                </c:pt>
                <c:pt idx="892">
                  <c:v>0.72949515880072491</c:v>
                </c:pt>
                <c:pt idx="893">
                  <c:v>0.72949515880072491</c:v>
                </c:pt>
                <c:pt idx="894">
                  <c:v>0.72949515880072491</c:v>
                </c:pt>
                <c:pt idx="895">
                  <c:v>0.72949515880072491</c:v>
                </c:pt>
                <c:pt idx="896">
                  <c:v>0.72949515880072491</c:v>
                </c:pt>
                <c:pt idx="897">
                  <c:v>0.72949515880072491</c:v>
                </c:pt>
                <c:pt idx="898">
                  <c:v>0.72949515880072491</c:v>
                </c:pt>
                <c:pt idx="899">
                  <c:v>0.72949515880072491</c:v>
                </c:pt>
                <c:pt idx="900">
                  <c:v>0.72949515880072491</c:v>
                </c:pt>
                <c:pt idx="901">
                  <c:v>0.72949515880072491</c:v>
                </c:pt>
                <c:pt idx="902">
                  <c:v>0.72949515880072491</c:v>
                </c:pt>
                <c:pt idx="903">
                  <c:v>0.72949515880072491</c:v>
                </c:pt>
                <c:pt idx="904">
                  <c:v>0.72949515880072491</c:v>
                </c:pt>
                <c:pt idx="905">
                  <c:v>0.72949515880072491</c:v>
                </c:pt>
                <c:pt idx="906">
                  <c:v>0.72949515880072491</c:v>
                </c:pt>
                <c:pt idx="907">
                  <c:v>0.72949515880072491</c:v>
                </c:pt>
                <c:pt idx="908">
                  <c:v>0.72949515880072491</c:v>
                </c:pt>
                <c:pt idx="909">
                  <c:v>0.72949515880072491</c:v>
                </c:pt>
                <c:pt idx="910">
                  <c:v>0.72949515880072491</c:v>
                </c:pt>
                <c:pt idx="911">
                  <c:v>0.72949515880072491</c:v>
                </c:pt>
                <c:pt idx="912">
                  <c:v>0.74926194953544878</c:v>
                </c:pt>
                <c:pt idx="913">
                  <c:v>0.74926194953544878</c:v>
                </c:pt>
                <c:pt idx="914">
                  <c:v>0.74926194953544878</c:v>
                </c:pt>
                <c:pt idx="915">
                  <c:v>0.74926194953544878</c:v>
                </c:pt>
                <c:pt idx="916">
                  <c:v>0.74926194953544878</c:v>
                </c:pt>
                <c:pt idx="917">
                  <c:v>0.74926194953544878</c:v>
                </c:pt>
                <c:pt idx="918">
                  <c:v>0.74926194953544878</c:v>
                </c:pt>
                <c:pt idx="919">
                  <c:v>0.74926194953544878</c:v>
                </c:pt>
                <c:pt idx="920">
                  <c:v>0.74926194953544878</c:v>
                </c:pt>
                <c:pt idx="921">
                  <c:v>0.74926194953544878</c:v>
                </c:pt>
                <c:pt idx="922">
                  <c:v>0.74926194953544878</c:v>
                </c:pt>
                <c:pt idx="923">
                  <c:v>0.74926194953544878</c:v>
                </c:pt>
                <c:pt idx="924">
                  <c:v>0.74926194953544878</c:v>
                </c:pt>
                <c:pt idx="925">
                  <c:v>0.74926194953544878</c:v>
                </c:pt>
                <c:pt idx="926">
                  <c:v>0.74926194953544878</c:v>
                </c:pt>
                <c:pt idx="927">
                  <c:v>0.74926194953544878</c:v>
                </c:pt>
                <c:pt idx="928">
                  <c:v>0.74926194953544878</c:v>
                </c:pt>
                <c:pt idx="929">
                  <c:v>0.74926194953544878</c:v>
                </c:pt>
                <c:pt idx="930">
                  <c:v>0.74926194953544878</c:v>
                </c:pt>
                <c:pt idx="931">
                  <c:v>0.74926194953544878</c:v>
                </c:pt>
                <c:pt idx="932">
                  <c:v>0.74926194953544878</c:v>
                </c:pt>
                <c:pt idx="933">
                  <c:v>0.74926194953544878</c:v>
                </c:pt>
                <c:pt idx="934">
                  <c:v>0.74926194953544878</c:v>
                </c:pt>
                <c:pt idx="935">
                  <c:v>0.74926194953544878</c:v>
                </c:pt>
                <c:pt idx="936">
                  <c:v>0.74926194953544878</c:v>
                </c:pt>
                <c:pt idx="937">
                  <c:v>0.74926194953544878</c:v>
                </c:pt>
                <c:pt idx="938">
                  <c:v>0.74926194953544878</c:v>
                </c:pt>
                <c:pt idx="939">
                  <c:v>0.74926194953544878</c:v>
                </c:pt>
                <c:pt idx="940">
                  <c:v>0.74926194953544878</c:v>
                </c:pt>
                <c:pt idx="941">
                  <c:v>0.74926194953544878</c:v>
                </c:pt>
                <c:pt idx="942">
                  <c:v>0.74926194953544878</c:v>
                </c:pt>
                <c:pt idx="943">
                  <c:v>0.74926194953544878</c:v>
                </c:pt>
                <c:pt idx="944">
                  <c:v>0.74926194953544878</c:v>
                </c:pt>
                <c:pt idx="945">
                  <c:v>0.74926194953544878</c:v>
                </c:pt>
                <c:pt idx="946">
                  <c:v>0.74926194953544878</c:v>
                </c:pt>
                <c:pt idx="947">
                  <c:v>0.74926194953544878</c:v>
                </c:pt>
                <c:pt idx="948">
                  <c:v>0.74926194953544878</c:v>
                </c:pt>
                <c:pt idx="949">
                  <c:v>0.76952291003854101</c:v>
                </c:pt>
                <c:pt idx="950">
                  <c:v>0.76952291003854101</c:v>
                </c:pt>
                <c:pt idx="951">
                  <c:v>0.76952291003854101</c:v>
                </c:pt>
                <c:pt idx="952">
                  <c:v>0.76952291003854101</c:v>
                </c:pt>
                <c:pt idx="953">
                  <c:v>0.76952291003854101</c:v>
                </c:pt>
                <c:pt idx="954">
                  <c:v>0.76952291003854101</c:v>
                </c:pt>
                <c:pt idx="955">
                  <c:v>0.76952291003854101</c:v>
                </c:pt>
                <c:pt idx="956">
                  <c:v>0.76952291003854101</c:v>
                </c:pt>
                <c:pt idx="957">
                  <c:v>0.76952291003854101</c:v>
                </c:pt>
                <c:pt idx="958">
                  <c:v>0.76952291003854101</c:v>
                </c:pt>
                <c:pt idx="959">
                  <c:v>0.76952291003854101</c:v>
                </c:pt>
                <c:pt idx="960">
                  <c:v>0.76952291003854101</c:v>
                </c:pt>
                <c:pt idx="961">
                  <c:v>0.76952291003854101</c:v>
                </c:pt>
                <c:pt idx="962">
                  <c:v>0.76952291003854101</c:v>
                </c:pt>
                <c:pt idx="963">
                  <c:v>0.76952291003854101</c:v>
                </c:pt>
                <c:pt idx="964">
                  <c:v>0.76952291003854101</c:v>
                </c:pt>
                <c:pt idx="965">
                  <c:v>0.76952291003854101</c:v>
                </c:pt>
                <c:pt idx="966">
                  <c:v>0.76952291003854101</c:v>
                </c:pt>
                <c:pt idx="967">
                  <c:v>0.76952291003854101</c:v>
                </c:pt>
                <c:pt idx="968">
                  <c:v>0.76952291003854101</c:v>
                </c:pt>
                <c:pt idx="969">
                  <c:v>0.76952291003854101</c:v>
                </c:pt>
                <c:pt idx="970">
                  <c:v>0.76952291003854101</c:v>
                </c:pt>
                <c:pt idx="971">
                  <c:v>0.76952291003854101</c:v>
                </c:pt>
                <c:pt idx="972">
                  <c:v>0.76952291003854101</c:v>
                </c:pt>
                <c:pt idx="973">
                  <c:v>0.76952291003854101</c:v>
                </c:pt>
                <c:pt idx="974">
                  <c:v>0.76952291003854101</c:v>
                </c:pt>
                <c:pt idx="975">
                  <c:v>0.76952291003854101</c:v>
                </c:pt>
                <c:pt idx="976">
                  <c:v>0.76952291003854101</c:v>
                </c:pt>
                <c:pt idx="977">
                  <c:v>0.76952291003854101</c:v>
                </c:pt>
                <c:pt idx="978">
                  <c:v>0.76952291003854101</c:v>
                </c:pt>
                <c:pt idx="979">
                  <c:v>0.76952291003854101</c:v>
                </c:pt>
                <c:pt idx="980">
                  <c:v>0.76952291003854101</c:v>
                </c:pt>
                <c:pt idx="981">
                  <c:v>0.76952291003854101</c:v>
                </c:pt>
                <c:pt idx="982">
                  <c:v>0.76952291003854101</c:v>
                </c:pt>
                <c:pt idx="983">
                  <c:v>0.76952291003854101</c:v>
                </c:pt>
                <c:pt idx="984">
                  <c:v>0.76952291003854101</c:v>
                </c:pt>
                <c:pt idx="985">
                  <c:v>0.79029039455421024</c:v>
                </c:pt>
                <c:pt idx="986">
                  <c:v>0.79029039455421024</c:v>
                </c:pt>
                <c:pt idx="987">
                  <c:v>0.79029039455421024</c:v>
                </c:pt>
                <c:pt idx="988">
                  <c:v>0.79029039455421024</c:v>
                </c:pt>
                <c:pt idx="989">
                  <c:v>0.79029039455421024</c:v>
                </c:pt>
                <c:pt idx="990">
                  <c:v>0.79029039455421024</c:v>
                </c:pt>
                <c:pt idx="991">
                  <c:v>0.79029039455421024</c:v>
                </c:pt>
                <c:pt idx="992">
                  <c:v>0.79029039455421024</c:v>
                </c:pt>
                <c:pt idx="993">
                  <c:v>0.79029039455421024</c:v>
                </c:pt>
                <c:pt idx="994">
                  <c:v>0.79029039455421024</c:v>
                </c:pt>
                <c:pt idx="995">
                  <c:v>0.79029039455421024</c:v>
                </c:pt>
                <c:pt idx="996">
                  <c:v>0.79029039455421024</c:v>
                </c:pt>
                <c:pt idx="997">
                  <c:v>0.79029039455421024</c:v>
                </c:pt>
                <c:pt idx="998">
                  <c:v>0.79029039455421024</c:v>
                </c:pt>
                <c:pt idx="999">
                  <c:v>0.79029039455421024</c:v>
                </c:pt>
                <c:pt idx="1000">
                  <c:v>0.79029039455421024</c:v>
                </c:pt>
                <c:pt idx="1001">
                  <c:v>0.79029039455421024</c:v>
                </c:pt>
                <c:pt idx="1002">
                  <c:v>0.79029039455421024</c:v>
                </c:pt>
                <c:pt idx="1003">
                  <c:v>0.79029039455421024</c:v>
                </c:pt>
                <c:pt idx="1004">
                  <c:v>0.79029039455421024</c:v>
                </c:pt>
                <c:pt idx="1005">
                  <c:v>0.79029039455421024</c:v>
                </c:pt>
                <c:pt idx="1006">
                  <c:v>0.79029039455421024</c:v>
                </c:pt>
                <c:pt idx="1007">
                  <c:v>0.79029039455421024</c:v>
                </c:pt>
                <c:pt idx="1008">
                  <c:v>0.79029039455421024</c:v>
                </c:pt>
                <c:pt idx="1009">
                  <c:v>0.79029039455421024</c:v>
                </c:pt>
                <c:pt idx="1010">
                  <c:v>0.79029039455421024</c:v>
                </c:pt>
                <c:pt idx="1011">
                  <c:v>0.79029039455421024</c:v>
                </c:pt>
                <c:pt idx="1012">
                  <c:v>0.79029039455421024</c:v>
                </c:pt>
                <c:pt idx="1013">
                  <c:v>0.79029039455421024</c:v>
                </c:pt>
                <c:pt idx="1014">
                  <c:v>0.79029039455421024</c:v>
                </c:pt>
                <c:pt idx="1015">
                  <c:v>0.79029039455421024</c:v>
                </c:pt>
                <c:pt idx="1016">
                  <c:v>0.79029039455421024</c:v>
                </c:pt>
                <c:pt idx="1017">
                  <c:v>0.79029039455421024</c:v>
                </c:pt>
                <c:pt idx="1018">
                  <c:v>0.79029039455421024</c:v>
                </c:pt>
                <c:pt idx="1019">
                  <c:v>0.79029039455421024</c:v>
                </c:pt>
                <c:pt idx="1020">
                  <c:v>0.79029039455421024</c:v>
                </c:pt>
                <c:pt idx="1021">
                  <c:v>0.79029039455421024</c:v>
                </c:pt>
                <c:pt idx="1022">
                  <c:v>0.81157706618277137</c:v>
                </c:pt>
                <c:pt idx="1023">
                  <c:v>0.81157706618277137</c:v>
                </c:pt>
                <c:pt idx="1024">
                  <c:v>0.81157706618277137</c:v>
                </c:pt>
                <c:pt idx="1025">
                  <c:v>0.81157706618277137</c:v>
                </c:pt>
                <c:pt idx="1026">
                  <c:v>0.81157706618277137</c:v>
                </c:pt>
                <c:pt idx="1027">
                  <c:v>0.81157706618277137</c:v>
                </c:pt>
                <c:pt idx="1028">
                  <c:v>0.81157706618277137</c:v>
                </c:pt>
                <c:pt idx="1029">
                  <c:v>0.81157706618277137</c:v>
                </c:pt>
                <c:pt idx="1030">
                  <c:v>0.81157706618277137</c:v>
                </c:pt>
                <c:pt idx="1031">
                  <c:v>0.81157706618277137</c:v>
                </c:pt>
                <c:pt idx="1032">
                  <c:v>0.81157706618277137</c:v>
                </c:pt>
                <c:pt idx="1033">
                  <c:v>0.81157706618277137</c:v>
                </c:pt>
                <c:pt idx="1034">
                  <c:v>0.81157706618277137</c:v>
                </c:pt>
                <c:pt idx="1035">
                  <c:v>0.81157706618277137</c:v>
                </c:pt>
                <c:pt idx="1036">
                  <c:v>0.81157706618277137</c:v>
                </c:pt>
                <c:pt idx="1037">
                  <c:v>0.81157706618277137</c:v>
                </c:pt>
                <c:pt idx="1038">
                  <c:v>0.81157706618277137</c:v>
                </c:pt>
                <c:pt idx="1039">
                  <c:v>0.81157706618277137</c:v>
                </c:pt>
                <c:pt idx="1040">
                  <c:v>0.81157706618277137</c:v>
                </c:pt>
                <c:pt idx="1041">
                  <c:v>0.81157706618277137</c:v>
                </c:pt>
                <c:pt idx="1042">
                  <c:v>0.81157706618277137</c:v>
                </c:pt>
                <c:pt idx="1043">
                  <c:v>0.81157706618277137</c:v>
                </c:pt>
                <c:pt idx="1044">
                  <c:v>0.81157706618277137</c:v>
                </c:pt>
                <c:pt idx="1045">
                  <c:v>0.81157706618277137</c:v>
                </c:pt>
                <c:pt idx="1046">
                  <c:v>0.81157706618277137</c:v>
                </c:pt>
                <c:pt idx="1047">
                  <c:v>0.81157706618277137</c:v>
                </c:pt>
                <c:pt idx="1048">
                  <c:v>0.81157706618277137</c:v>
                </c:pt>
                <c:pt idx="1049">
                  <c:v>0.81157706618277137</c:v>
                </c:pt>
                <c:pt idx="1050">
                  <c:v>0.81157706618277137</c:v>
                </c:pt>
                <c:pt idx="1051">
                  <c:v>0.81157706618277137</c:v>
                </c:pt>
                <c:pt idx="1052">
                  <c:v>0.81157706618277137</c:v>
                </c:pt>
                <c:pt idx="1053">
                  <c:v>0.81157706618277137</c:v>
                </c:pt>
              </c:numCache>
            </c:numRef>
          </c:yVal>
          <c:smooth val="1"/>
          <c:extLst xmlns:c16r2="http://schemas.microsoft.com/office/drawing/2015/06/chart">
            <c:ext xmlns:c16="http://schemas.microsoft.com/office/drawing/2014/chart" uri="{C3380CC4-5D6E-409C-BE32-E72D297353CC}">
              <c16:uniqueId val="{0000000B-6484-4791-991D-5E362FC0939B}"/>
            </c:ext>
          </c:extLst>
        </c:ser>
        <c:ser>
          <c:idx val="5"/>
          <c:order val="5"/>
          <c:tx>
            <c:v>Cost per kWh at Payback Year</c:v>
          </c:tx>
          <c:marker>
            <c:symbol val="square"/>
            <c:size val="5"/>
          </c:marker>
          <c:dPt>
            <c:idx val="0"/>
            <c:marker>
              <c:symbol val="none"/>
            </c:marker>
            <c:bubble3D val="0"/>
            <c:extLst xmlns:c16r2="http://schemas.microsoft.com/office/drawing/2015/06/chart">
              <c:ext xmlns:c16="http://schemas.microsoft.com/office/drawing/2014/chart" uri="{C3380CC4-5D6E-409C-BE32-E72D297353CC}">
                <c16:uniqueId val="{0000000C-6484-4791-991D-5E362FC0939B}"/>
              </c:ext>
            </c:extLst>
          </c:dPt>
          <c:dLbls>
            <c:dLbl>
              <c:idx val="0"/>
              <c:layout>
                <c:manualLayout>
                  <c:x val="0.49415973292494758"/>
                  <c:y val="-2.0215150881658932E-3"/>
                </c:manualLayout>
              </c:layout>
              <c:spPr>
                <a:solidFill>
                  <a:schemeClr val="bg1"/>
                </a:solidFill>
                <a:ln>
                  <a:solidFill>
                    <a:srgbClr val="E2173D"/>
                  </a:solidFill>
                </a:ln>
              </c:spPr>
              <c:txPr>
                <a:bodyPr/>
                <a:lstStyle/>
                <a:p>
                  <a:pPr>
                    <a:defRPr>
                      <a:latin typeface="Arial" panose="020B0604020202020204" pitchFamily="34" charset="0"/>
                      <a:cs typeface="Arial" panose="020B0604020202020204" pitchFamily="34" charset="0"/>
                    </a:defRPr>
                  </a:pPr>
                  <a:endParaRPr lang="en-US"/>
                </a:p>
              </c:txPr>
              <c:dLblPos val="r"/>
              <c:showLegendKey val="0"/>
              <c:showVal val="0"/>
              <c:showCatName val="0"/>
              <c:showSerName val="1"/>
              <c:showPercent val="0"/>
              <c:showBubbleSize val="0"/>
              <c:extLst>
                <c:ext xmlns:c15="http://schemas.microsoft.com/office/drawing/2012/chart" uri="{CE6537A1-D6FC-4f65-9D91-7224C49458BB}">
                  <c15:layout/>
                </c:ext>
              </c:extLst>
            </c:dLbl>
            <c:spPr>
              <a:noFill/>
              <a:ln>
                <a:solidFill>
                  <a:srgbClr val="E2173D"/>
                </a:solidFill>
              </a:ln>
            </c:spPr>
            <c:txPr>
              <a:bodyPr/>
              <a:lstStyle/>
              <a:p>
                <a:pPr>
                  <a:defRPr>
                    <a:latin typeface="Arial" panose="020B0604020202020204" pitchFamily="34" charset="0"/>
                    <a:cs typeface="Arial" panose="020B0604020202020204" pitchFamily="34" charset="0"/>
                  </a:defRPr>
                </a:pPr>
                <a:endParaRPr lang="en-US"/>
              </a:p>
            </c:txPr>
            <c:dLblPos val="t"/>
            <c:showLegendKey val="0"/>
            <c:showVal val="0"/>
            <c:showCatName val="0"/>
            <c:showSerName val="1"/>
            <c:showPercent val="0"/>
            <c:showBubbleSize val="0"/>
            <c:showLeaderLines val="0"/>
            <c:extLst xmlns:c16r2="http://schemas.microsoft.com/office/drawing/2015/06/chart">
              <c:ext xmlns:c15="http://schemas.microsoft.com/office/drawing/2012/chart" uri="{CE6537A1-D6FC-4f65-9D91-7224C49458BB}">
                <c15:showLeaderLines val="0"/>
              </c:ext>
            </c:extLst>
          </c:dLbls>
          <c:xVal>
            <c:numLit>
              <c:formatCode>General</c:formatCode>
              <c:ptCount val="1"/>
              <c:pt idx="0">
                <c:v>1</c:v>
              </c:pt>
            </c:numLit>
          </c:xVal>
          <c:yVal>
            <c:numRef>
              <c:f>'Arbitrage Payback Engine'!$U$10</c:f>
              <c:numCache>
                <c:formatCode>_("$"* #,##0.00_);_("$"* \(#,##0.00\);_("$"* "-"??_);_(@_)</c:formatCode>
                <c:ptCount val="1"/>
                <c:pt idx="0">
                  <c:v>0.10964912280701754</c:v>
                </c:pt>
              </c:numCache>
            </c:numRef>
          </c:yVal>
          <c:smooth val="1"/>
          <c:extLst xmlns:c16r2="http://schemas.microsoft.com/office/drawing/2015/06/chart">
            <c:ext xmlns:c16="http://schemas.microsoft.com/office/drawing/2014/chart" uri="{C3380CC4-5D6E-409C-BE32-E72D297353CC}">
              <c16:uniqueId val="{0000000D-6484-4791-991D-5E362FC0939B}"/>
            </c:ext>
          </c:extLst>
        </c:ser>
        <c:ser>
          <c:idx val="6"/>
          <c:order val="6"/>
          <c:tx>
            <c:v>Tariff Earnings per kWh</c:v>
          </c:tx>
          <c:marker>
            <c:symbol val="none"/>
          </c:marker>
          <c:dLbls>
            <c:dLbl>
              <c:idx val="0"/>
              <c:layout>
                <c:manualLayout>
                  <c:x val="-9.228195844514557E-3"/>
                  <c:y val="2.9975273418695632E-4"/>
                </c:manualLayout>
              </c:layout>
              <c:showLegendKey val="0"/>
              <c:showVal val="0"/>
              <c:showCatName val="0"/>
              <c:showSerName val="1"/>
              <c:showPercent val="0"/>
              <c:showBubbleSize val="0"/>
              <c:extLst xmlns:c16r2="http://schemas.microsoft.com/office/drawing/2015/06/chart">
                <c:ext xmlns:c16="http://schemas.microsoft.com/office/drawing/2014/chart" uri="{C3380CC4-5D6E-409C-BE32-E72D297353CC}">
                  <c16:uniqueId val="{0000000E-6484-4791-991D-5E362FC0939B}"/>
                </c:ext>
                <c:ext xmlns:c15="http://schemas.microsoft.com/office/drawing/2012/chart" uri="{CE6537A1-D6FC-4f65-9D91-7224C49458BB}">
                  <c15:layout/>
                </c:ext>
              </c:extLst>
            </c:dLbl>
            <c:spPr>
              <a:solidFill>
                <a:schemeClr val="bg1"/>
              </a:solidFill>
              <a:ln>
                <a:solidFill>
                  <a:srgbClr val="31B784"/>
                </a:solidFill>
              </a:ln>
            </c:spPr>
            <c:txPr>
              <a:bodyPr/>
              <a:lstStyle/>
              <a:p>
                <a:pPr>
                  <a:defRPr>
                    <a:latin typeface="Arial" panose="020B0604020202020204" pitchFamily="34" charset="0"/>
                    <a:cs typeface="Arial" panose="020B0604020202020204" pitchFamily="34" charset="0"/>
                  </a:defRPr>
                </a:pPr>
                <a:endParaRPr lang="en-US"/>
              </a:p>
            </c:txPr>
            <c:showLegendKey val="0"/>
            <c:showVal val="0"/>
            <c:showCatName val="0"/>
            <c:showSerName val="1"/>
            <c:showPercent val="0"/>
            <c:showBubbleSize val="0"/>
            <c:showLeaderLines val="0"/>
            <c:extLst xmlns:c16r2="http://schemas.microsoft.com/office/drawing/2015/06/chart">
              <c:ext xmlns:c15="http://schemas.microsoft.com/office/drawing/2012/chart" uri="{CE6537A1-D6FC-4f65-9D91-7224C49458BB}">
                <c15:showLeaderLines val="0"/>
              </c:ext>
            </c:extLst>
          </c:dLbls>
          <c:xVal>
            <c:numLit>
              <c:formatCode>General</c:formatCode>
              <c:ptCount val="1"/>
              <c:pt idx="0">
                <c:v>17</c:v>
              </c:pt>
            </c:numLit>
          </c:xVal>
          <c:yVal>
            <c:numRef>
              <c:f>'Arbitrage Payback Engine'!$J$630</c:f>
              <c:numCache>
                <c:formatCode>_-"$"* #,##0.000_-;\-"$"* #,##0.000_-;_-"$"* "-"??_-;_-@_-</c:formatCode>
                <c:ptCount val="1"/>
                <c:pt idx="0">
                  <c:v>0.60398808358345835</c:v>
                </c:pt>
              </c:numCache>
            </c:numRef>
          </c:yVal>
          <c:smooth val="1"/>
          <c:extLst xmlns:c16r2="http://schemas.microsoft.com/office/drawing/2015/06/chart">
            <c:ext xmlns:c16="http://schemas.microsoft.com/office/drawing/2014/chart" uri="{C3380CC4-5D6E-409C-BE32-E72D297353CC}">
              <c16:uniqueId val="{0000000F-6484-4791-991D-5E362FC0939B}"/>
            </c:ext>
          </c:extLst>
        </c:ser>
        <c:ser>
          <c:idx val="0"/>
          <c:order val="7"/>
          <c:tx>
            <c:v>Levelised Cost of Battery</c:v>
          </c:tx>
          <c:marker>
            <c:symbol val="square"/>
            <c:size val="5"/>
          </c:marker>
          <c:dLbls>
            <c:dLbl>
              <c:idx val="0"/>
              <c:layout>
                <c:manualLayout>
                  <c:x val="-6.0717263589510108E-2"/>
                  <c:y val="1.8335410384021456E-3"/>
                </c:manualLayout>
              </c:layout>
              <c:showLegendKey val="0"/>
              <c:showVal val="0"/>
              <c:showCatName val="0"/>
              <c:showSerName val="1"/>
              <c:showPercent val="0"/>
              <c:showBubbleSize val="0"/>
              <c:extLst xmlns:c16r2="http://schemas.microsoft.com/office/drawing/2015/06/chart">
                <c:ext xmlns:c16="http://schemas.microsoft.com/office/drawing/2014/chart" uri="{C3380CC4-5D6E-409C-BE32-E72D297353CC}">
                  <c16:uniqueId val="{00000010-6484-4791-991D-5E362FC0939B}"/>
                </c:ext>
                <c:ext xmlns:c15="http://schemas.microsoft.com/office/drawing/2012/chart" uri="{CE6537A1-D6FC-4f65-9D91-7224C49458BB}">
                  <c15:layout/>
                </c:ext>
              </c:extLst>
            </c:dLbl>
            <c:spPr>
              <a:solidFill>
                <a:schemeClr val="bg1"/>
              </a:solidFill>
            </c:spPr>
            <c:txPr>
              <a:bodyPr/>
              <a:lstStyle/>
              <a:p>
                <a:pPr>
                  <a:defRPr>
                    <a:latin typeface="Arial" panose="020B0604020202020204" pitchFamily="34" charset="0"/>
                    <a:cs typeface="Arial" panose="020B0604020202020204" pitchFamily="34" charset="0"/>
                  </a:defRPr>
                </a:pPr>
                <a:endParaRPr lang="en-US"/>
              </a:p>
            </c:txPr>
            <c:showLegendKey val="0"/>
            <c:showVal val="0"/>
            <c:showCatName val="0"/>
            <c:showSerName val="1"/>
            <c:showPercent val="0"/>
            <c:showBubbleSize val="0"/>
            <c:showLeaderLines val="0"/>
            <c:extLst xmlns:c16r2="http://schemas.microsoft.com/office/drawing/2015/06/chart">
              <c:ext xmlns:c15="http://schemas.microsoft.com/office/drawing/2012/chart" uri="{CE6537A1-D6FC-4f65-9D91-7224C49458BB}">
                <c15:showLeaderLines val="0"/>
              </c:ext>
            </c:extLst>
          </c:dLbls>
          <c:xVal>
            <c:numRef>
              <c:f>'Arbitrage Payback Engine'!$E$115</c:f>
              <c:numCache>
                <c:formatCode>General</c:formatCode>
                <c:ptCount val="1"/>
                <c:pt idx="0">
                  <c:v>2.903711820298589</c:v>
                </c:pt>
              </c:numCache>
            </c:numRef>
          </c:xVal>
          <c:yVal>
            <c:numRef>
              <c:f>'Arbitrage Payback Engine'!$F$115</c:f>
              <c:numCache>
                <c:formatCode>_("$"* #,##0.00_);_("$"* \(#,##0.00\);_("$"* "-"??_);_(@_)</c:formatCode>
                <c:ptCount val="1"/>
                <c:pt idx="0">
                  <c:v>0.94339622641509435</c:v>
                </c:pt>
              </c:numCache>
            </c:numRef>
          </c:yVal>
          <c:smooth val="1"/>
          <c:extLst xmlns:c16r2="http://schemas.microsoft.com/office/drawing/2015/06/chart">
            <c:ext xmlns:c16="http://schemas.microsoft.com/office/drawing/2014/chart" uri="{C3380CC4-5D6E-409C-BE32-E72D297353CC}">
              <c16:uniqueId val="{00000011-6484-4791-991D-5E362FC0939B}"/>
            </c:ext>
          </c:extLst>
        </c:ser>
        <c:ser>
          <c:idx val="8"/>
          <c:order val="11"/>
          <c:tx>
            <c:v>Profit ($)</c:v>
          </c:tx>
          <c:marker>
            <c:symbol val="none"/>
          </c:marker>
          <c:dLbls>
            <c:dLbl>
              <c:idx val="0"/>
              <c:layout>
                <c:manualLayout>
                  <c:x val="-4.3096953103196153E-2"/>
                  <c:y val="0"/>
                </c:manualLayout>
              </c:layout>
              <c:showLegendKey val="0"/>
              <c:showVal val="0"/>
              <c:showCatName val="0"/>
              <c:showSerName val="1"/>
              <c:showPercent val="0"/>
              <c:showBubbleSize val="0"/>
              <c:extLst xmlns:c16r2="http://schemas.microsoft.com/office/drawing/2015/06/chart">
                <c:ext xmlns:c16="http://schemas.microsoft.com/office/drawing/2014/chart" uri="{C3380CC4-5D6E-409C-BE32-E72D297353CC}">
                  <c16:uniqueId val="{00000012-6484-4791-991D-5E362FC0939B}"/>
                </c:ext>
                <c:ext xmlns:c15="http://schemas.microsoft.com/office/drawing/2012/chart" uri="{CE6537A1-D6FC-4f65-9D91-7224C49458BB}">
                  <c15:layout/>
                </c:ext>
              </c:extLst>
            </c:dLbl>
            <c:spPr>
              <a:noFill/>
              <a:ln>
                <a:noFill/>
              </a:ln>
              <a:effectLst/>
            </c:spPr>
            <c:txPr>
              <a:bodyPr/>
              <a:lstStyle/>
              <a:p>
                <a:pPr>
                  <a:defRPr sz="1400" b="1">
                    <a:latin typeface="Arial" panose="020B0604020202020204" pitchFamily="34" charset="0"/>
                    <a:cs typeface="Arial" panose="020B0604020202020204" pitchFamily="34" charset="0"/>
                  </a:defRPr>
                </a:pPr>
                <a:endParaRPr lang="en-US"/>
              </a:p>
            </c:txPr>
            <c:showLegendKey val="0"/>
            <c:showVal val="0"/>
            <c:showCatName val="0"/>
            <c:showSerName val="1"/>
            <c:showPercent val="0"/>
            <c:showBubbleSize val="0"/>
            <c:showLeaderLines val="0"/>
            <c:extLst xmlns:c16r2="http://schemas.microsoft.com/office/drawing/2015/06/chart">
              <c:ext xmlns:c15="http://schemas.microsoft.com/office/drawing/2012/chart" uri="{CE6537A1-D6FC-4f65-9D91-7224C49458BB}">
                <c15:showLeaderLines val="0"/>
              </c:ext>
            </c:extLst>
          </c:dLbls>
          <c:xVal>
            <c:numRef>
              <c:f>'Arbitrage Payback Engine'!$AF$3</c:f>
              <c:numCache>
                <c:formatCode>General</c:formatCode>
                <c:ptCount val="1"/>
                <c:pt idx="0">
                  <c:v>12.5</c:v>
                </c:pt>
              </c:numCache>
            </c:numRef>
          </c:xVal>
          <c:yVal>
            <c:numRef>
              <c:f>'Arbitrage Payback Engine'!$AF$4</c:f>
              <c:numCache>
                <c:formatCode>_("$"* #,##0.00_);_("$"* \(#,##0.00\);_("$"* "-"??_);_(@_)</c:formatCode>
                <c:ptCount val="1"/>
                <c:pt idx="0">
                  <c:v>0.24280775468081969</c:v>
                </c:pt>
              </c:numCache>
            </c:numRef>
          </c:yVal>
          <c:smooth val="1"/>
          <c:extLst xmlns:c16r2="http://schemas.microsoft.com/office/drawing/2015/06/chart">
            <c:ext xmlns:c16="http://schemas.microsoft.com/office/drawing/2014/chart" uri="{C3380CC4-5D6E-409C-BE32-E72D297353CC}">
              <c16:uniqueId val="{00000013-6484-4791-991D-5E362FC0939B}"/>
            </c:ext>
          </c:extLst>
        </c:ser>
        <c:ser>
          <c:idx val="9"/>
          <c:order val="12"/>
          <c:tx>
            <c:v>Loss (-$)</c:v>
          </c:tx>
          <c:marker>
            <c:symbol val="none"/>
          </c:marker>
          <c:dLbls>
            <c:dLbl>
              <c:idx val="0"/>
              <c:layout>
                <c:manualLayout>
                  <c:x val="-3.7273040521683141E-2"/>
                  <c:y val="-3.0676950850455067E-3"/>
                </c:manualLayout>
              </c:layout>
              <c:spPr/>
              <c:txPr>
                <a:bodyPr/>
                <a:lstStyle/>
                <a:p>
                  <a:pPr>
                    <a:defRPr sz="1400" b="1">
                      <a:latin typeface="Arial" panose="020B0604020202020204" pitchFamily="34" charset="0"/>
                      <a:cs typeface="Arial" panose="020B0604020202020204" pitchFamily="34" charset="0"/>
                    </a:defRPr>
                  </a:pPr>
                  <a:endParaRPr lang="en-US"/>
                </a:p>
              </c:txPr>
              <c:showLegendKey val="0"/>
              <c:showVal val="0"/>
              <c:showCatName val="0"/>
              <c:showSerName val="1"/>
              <c:showPercent val="0"/>
              <c:showBubbleSize val="0"/>
              <c:extLst>
                <c:ext xmlns:c15="http://schemas.microsoft.com/office/drawing/2012/chart" uri="{CE6537A1-D6FC-4f65-9D91-7224C49458BB}"/>
              </c:extLst>
            </c:dLbl>
            <c:spPr>
              <a:noFill/>
              <a:ln>
                <a:noFill/>
              </a:ln>
              <a:effectLst/>
            </c:spPr>
            <c:txPr>
              <a:bodyPr/>
              <a:lstStyle/>
              <a:p>
                <a:pPr>
                  <a:defRPr>
                    <a:latin typeface="Arial" panose="020B0604020202020204" pitchFamily="34" charset="0"/>
                    <a:cs typeface="Arial" panose="020B0604020202020204" pitchFamily="34" charset="0"/>
                  </a:defRPr>
                </a:pPr>
                <a:endParaRPr lang="en-US"/>
              </a:p>
            </c:txPr>
            <c:showLegendKey val="0"/>
            <c:showVal val="0"/>
            <c:showCatName val="0"/>
            <c:showSerName val="1"/>
            <c:showPercent val="0"/>
            <c:showBubbleSize val="0"/>
            <c:showLeaderLines val="0"/>
            <c:extLst xmlns:c16r2="http://schemas.microsoft.com/office/drawing/2015/06/chart">
              <c:ext xmlns:c15="http://schemas.microsoft.com/office/drawing/2012/chart" uri="{CE6537A1-D6FC-4f65-9D91-7224C49458BB}">
                <c15:showLeaderLines val="0"/>
              </c:ext>
            </c:extLst>
          </c:dLbls>
          <c:xVal>
            <c:numRef>
              <c:f>'Arbitrage Payback Engine'!$AG$3</c:f>
              <c:numCache>
                <c:formatCode>General</c:formatCode>
                <c:ptCount val="1"/>
                <c:pt idx="0">
                  <c:v>12.5</c:v>
                </c:pt>
              </c:numCache>
            </c:numRef>
          </c:xVal>
          <c:yVal>
            <c:numRef>
              <c:f>'Arbitrage Payback Engine'!$AG$4</c:f>
              <c:numCache>
                <c:formatCode>_("$"* #,##0.00_);_("$"* \(#,##0.00\);_("$"* "-"??_);_(@_)</c:formatCode>
                <c:ptCount val="1"/>
                <c:pt idx="0">
                  <c:v>-1</c:v>
                </c:pt>
              </c:numCache>
            </c:numRef>
          </c:yVal>
          <c:smooth val="1"/>
          <c:extLst xmlns:c16r2="http://schemas.microsoft.com/office/drawing/2015/06/chart">
            <c:ext xmlns:c16="http://schemas.microsoft.com/office/drawing/2014/chart" uri="{C3380CC4-5D6E-409C-BE32-E72D297353CC}">
              <c16:uniqueId val="{00000015-6484-4791-991D-5E362FC0939B}"/>
            </c:ext>
          </c:extLst>
        </c:ser>
        <c:dLbls>
          <c:showLegendKey val="0"/>
          <c:showVal val="0"/>
          <c:showCatName val="0"/>
          <c:showSerName val="0"/>
          <c:showPercent val="0"/>
          <c:showBubbleSize val="0"/>
        </c:dLbls>
        <c:axId val="539388184"/>
        <c:axId val="539387400"/>
      </c:scatterChart>
      <c:valAx>
        <c:axId val="539388184"/>
        <c:scaling>
          <c:orientation val="minMax"/>
          <c:max val="20"/>
          <c:min val="0"/>
        </c:scaling>
        <c:delete val="0"/>
        <c:axPos val="b"/>
        <c:title>
          <c:tx>
            <c:rich>
              <a:bodyPr/>
              <a:lstStyle/>
              <a:p>
                <a:pPr>
                  <a:defRPr sz="2400">
                    <a:latin typeface="Arial" panose="020B0604020202020204" pitchFamily="34" charset="0"/>
                    <a:cs typeface="Arial" panose="020B0604020202020204" pitchFamily="34" charset="0"/>
                  </a:defRPr>
                </a:pPr>
                <a:r>
                  <a:rPr lang="en-US" sz="2400">
                    <a:latin typeface="Arial" panose="020B0604020202020204" pitchFamily="34" charset="0"/>
                    <a:cs typeface="Arial" panose="020B0604020202020204" pitchFamily="34" charset="0"/>
                  </a:rPr>
                  <a:t>Payback Duration (Years)</a:t>
                </a:r>
              </a:p>
            </c:rich>
          </c:tx>
          <c:layout>
            <c:manualLayout>
              <c:xMode val="edge"/>
              <c:yMode val="edge"/>
              <c:x val="0.38612667529861927"/>
              <c:y val="0.92415832655234165"/>
            </c:manualLayout>
          </c:layout>
          <c:overlay val="0"/>
        </c:title>
        <c:numFmt formatCode="General" sourceLinked="1"/>
        <c:majorTickMark val="out"/>
        <c:minorTickMark val="none"/>
        <c:tickLblPos val="nextTo"/>
        <c:txPr>
          <a:bodyPr/>
          <a:lstStyle/>
          <a:p>
            <a:pPr>
              <a:defRPr sz="1600"/>
            </a:pPr>
            <a:endParaRPr lang="en-US"/>
          </a:p>
        </c:txPr>
        <c:crossAx val="539387400"/>
        <c:crossesAt val="0"/>
        <c:crossBetween val="midCat"/>
        <c:majorUnit val="1"/>
      </c:valAx>
      <c:valAx>
        <c:axId val="539387400"/>
        <c:scaling>
          <c:orientation val="minMax"/>
          <c:max val="1"/>
          <c:min val="0"/>
        </c:scaling>
        <c:delete val="0"/>
        <c:axPos val="l"/>
        <c:majorGridlines/>
        <c:title>
          <c:tx>
            <c:rich>
              <a:bodyPr rot="-5400000" vert="horz"/>
              <a:lstStyle/>
              <a:p>
                <a:pPr>
                  <a:defRPr sz="2400">
                    <a:latin typeface="Arial" panose="020B0604020202020204" pitchFamily="34" charset="0"/>
                    <a:cs typeface="Arial" panose="020B0604020202020204" pitchFamily="34" charset="0"/>
                  </a:defRPr>
                </a:pPr>
                <a:r>
                  <a:rPr lang="en-US" sz="2400">
                    <a:latin typeface="Arial" panose="020B0604020202020204" pitchFamily="34" charset="0"/>
                    <a:cs typeface="Arial" panose="020B0604020202020204" pitchFamily="34" charset="0"/>
                  </a:rPr>
                  <a:t>Average</a:t>
                </a:r>
                <a:r>
                  <a:rPr lang="en-US" sz="2400" baseline="0">
                    <a:latin typeface="Arial" panose="020B0604020202020204" pitchFamily="34" charset="0"/>
                    <a:cs typeface="Arial" panose="020B0604020202020204" pitchFamily="34" charset="0"/>
                  </a:rPr>
                  <a:t> $ p</a:t>
                </a:r>
                <a:r>
                  <a:rPr lang="en-US" sz="2400">
                    <a:latin typeface="Arial" panose="020B0604020202020204" pitchFamily="34" charset="0"/>
                    <a:cs typeface="Arial" panose="020B0604020202020204" pitchFamily="34" charset="0"/>
                  </a:rPr>
                  <a:t>er kWh</a:t>
                </a:r>
              </a:p>
            </c:rich>
          </c:tx>
          <c:layout>
            <c:manualLayout>
              <c:xMode val="edge"/>
              <c:yMode val="edge"/>
              <c:x val="1.3942904993755886E-2"/>
              <c:y val="0.23331839926421549"/>
            </c:manualLayout>
          </c:layout>
          <c:overlay val="0"/>
        </c:title>
        <c:numFmt formatCode="_(&quot;$&quot;* #,##0.00_);_(&quot;$&quot;* \(#,##0.00\);_(&quot;$&quot;* &quot;-&quot;??_);_(@_)" sourceLinked="1"/>
        <c:majorTickMark val="out"/>
        <c:minorTickMark val="none"/>
        <c:tickLblPos val="nextTo"/>
        <c:txPr>
          <a:bodyPr/>
          <a:lstStyle/>
          <a:p>
            <a:pPr>
              <a:defRPr sz="1400"/>
            </a:pPr>
            <a:endParaRPr lang="en-US"/>
          </a:p>
        </c:txPr>
        <c:crossAx val="539388184"/>
        <c:crosses val="autoZero"/>
        <c:crossBetween val="midCat"/>
      </c:valAx>
      <c:valAx>
        <c:axId val="539387792"/>
        <c:scaling>
          <c:orientation val="minMax"/>
          <c:max val="1"/>
          <c:min val="0"/>
        </c:scaling>
        <c:delete val="1"/>
        <c:axPos val="r"/>
        <c:numFmt formatCode="General" sourceLinked="1"/>
        <c:majorTickMark val="out"/>
        <c:minorTickMark val="none"/>
        <c:tickLblPos val="nextTo"/>
        <c:crossAx val="539387008"/>
        <c:crosses val="max"/>
        <c:crossBetween val="between"/>
      </c:valAx>
      <c:dateAx>
        <c:axId val="539387008"/>
        <c:scaling>
          <c:orientation val="minMax"/>
          <c:max val="692"/>
          <c:min val="0"/>
        </c:scaling>
        <c:delete val="1"/>
        <c:axPos val="t"/>
        <c:numFmt formatCode="_(* #,##0.00_);_(* \(#,##0.00\);_(* &quot;-&quot;??_);_(@_)" sourceLinked="1"/>
        <c:majorTickMark val="out"/>
        <c:minorTickMark val="none"/>
        <c:tickLblPos val="nextTo"/>
        <c:crossAx val="539387792"/>
        <c:crosses val="max"/>
        <c:auto val="0"/>
        <c:lblOffset val="100"/>
        <c:baseTimeUnit val="days"/>
      </c:dateAx>
    </c:plotArea>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6.9709042914926023E-2"/>
          <c:y val="1.9711530732426756E-2"/>
          <c:w val="0.71644728579857409"/>
          <c:h val="0.87440280874709841"/>
        </c:manualLayout>
      </c:layout>
      <c:areaChart>
        <c:grouping val="stacked"/>
        <c:varyColors val="0"/>
        <c:ser>
          <c:idx val="4"/>
          <c:order val="0"/>
          <c:tx>
            <c:v>Battery Capacity</c:v>
          </c:tx>
          <c:cat>
            <c:numRef>
              <c:f>'Peak Models'!$I$12:$I$2016</c:f>
              <c:numCache>
                <c:formatCode>General</c:formatCode>
                <c:ptCount val="2005"/>
                <c:pt idx="0">
                  <c:v>0</c:v>
                </c:pt>
                <c:pt idx="1">
                  <c:v>-500</c:v>
                </c:pt>
                <c:pt idx="2">
                  <c:v>-500</c:v>
                </c:pt>
                <c:pt idx="3">
                  <c:v>-499</c:v>
                </c:pt>
                <c:pt idx="4">
                  <c:v>-498</c:v>
                </c:pt>
                <c:pt idx="5">
                  <c:v>-497.00000000000011</c:v>
                </c:pt>
                <c:pt idx="6">
                  <c:v>-496.00000000000011</c:v>
                </c:pt>
                <c:pt idx="7">
                  <c:v>-495.00000000000011</c:v>
                </c:pt>
                <c:pt idx="8">
                  <c:v>-494.00000000000011</c:v>
                </c:pt>
                <c:pt idx="9">
                  <c:v>-493.00000000000017</c:v>
                </c:pt>
                <c:pt idx="10">
                  <c:v>-492.00000000000017</c:v>
                </c:pt>
                <c:pt idx="11">
                  <c:v>-491.00000000000017</c:v>
                </c:pt>
                <c:pt idx="12">
                  <c:v>-490.00000000000017</c:v>
                </c:pt>
                <c:pt idx="13">
                  <c:v>-489.00000000000028</c:v>
                </c:pt>
                <c:pt idx="14">
                  <c:v>-488.00000000000028</c:v>
                </c:pt>
                <c:pt idx="15">
                  <c:v>-487.00000000000028</c:v>
                </c:pt>
                <c:pt idx="16">
                  <c:v>-486.00000000000028</c:v>
                </c:pt>
                <c:pt idx="17">
                  <c:v>-485.00000000000034</c:v>
                </c:pt>
                <c:pt idx="18">
                  <c:v>-484.00000000000034</c:v>
                </c:pt>
                <c:pt idx="19">
                  <c:v>-483.00000000000034</c:v>
                </c:pt>
                <c:pt idx="20">
                  <c:v>-482.00000000000034</c:v>
                </c:pt>
                <c:pt idx="21">
                  <c:v>-481.00000000000034</c:v>
                </c:pt>
                <c:pt idx="22">
                  <c:v>-480.00000000000045</c:v>
                </c:pt>
                <c:pt idx="23">
                  <c:v>-479.00000000000045</c:v>
                </c:pt>
                <c:pt idx="24">
                  <c:v>-478.00000000000045</c:v>
                </c:pt>
                <c:pt idx="25">
                  <c:v>-477.00000000000045</c:v>
                </c:pt>
                <c:pt idx="26">
                  <c:v>-476.00000000000057</c:v>
                </c:pt>
                <c:pt idx="27">
                  <c:v>-475.00000000000057</c:v>
                </c:pt>
                <c:pt idx="28">
                  <c:v>-474.00000000000057</c:v>
                </c:pt>
                <c:pt idx="29">
                  <c:v>-473.00000000000057</c:v>
                </c:pt>
                <c:pt idx="30">
                  <c:v>-472.00000000000063</c:v>
                </c:pt>
                <c:pt idx="31">
                  <c:v>-471.00000000000063</c:v>
                </c:pt>
                <c:pt idx="32">
                  <c:v>-470.00000000000063</c:v>
                </c:pt>
                <c:pt idx="33">
                  <c:v>-469.00000000000063</c:v>
                </c:pt>
                <c:pt idx="34">
                  <c:v>-468.00000000000074</c:v>
                </c:pt>
                <c:pt idx="35">
                  <c:v>-467.00000000000074</c:v>
                </c:pt>
                <c:pt idx="36">
                  <c:v>-466.00000000000074</c:v>
                </c:pt>
                <c:pt idx="37">
                  <c:v>-465.00000000000074</c:v>
                </c:pt>
                <c:pt idx="38">
                  <c:v>-464.00000000000074</c:v>
                </c:pt>
                <c:pt idx="39">
                  <c:v>-463.0000000000008</c:v>
                </c:pt>
                <c:pt idx="40">
                  <c:v>-462.0000000000008</c:v>
                </c:pt>
                <c:pt idx="41">
                  <c:v>-461.0000000000008</c:v>
                </c:pt>
                <c:pt idx="42">
                  <c:v>-460.0000000000008</c:v>
                </c:pt>
                <c:pt idx="43">
                  <c:v>-459.00000000000091</c:v>
                </c:pt>
                <c:pt idx="44">
                  <c:v>-458.00000000000091</c:v>
                </c:pt>
                <c:pt idx="45">
                  <c:v>-457.00000000000091</c:v>
                </c:pt>
                <c:pt idx="46">
                  <c:v>-456.00000000000091</c:v>
                </c:pt>
                <c:pt idx="47">
                  <c:v>-455.00000000000102</c:v>
                </c:pt>
                <c:pt idx="48">
                  <c:v>-454.00000000000102</c:v>
                </c:pt>
                <c:pt idx="49">
                  <c:v>-453.00000000000102</c:v>
                </c:pt>
                <c:pt idx="50">
                  <c:v>-452.00000000000102</c:v>
                </c:pt>
                <c:pt idx="51">
                  <c:v>-451.00000000000102</c:v>
                </c:pt>
                <c:pt idx="52">
                  <c:v>-450.00000000000108</c:v>
                </c:pt>
                <c:pt idx="53">
                  <c:v>-449.00000000000108</c:v>
                </c:pt>
                <c:pt idx="54">
                  <c:v>-448.00000000000108</c:v>
                </c:pt>
                <c:pt idx="55">
                  <c:v>-447.00000000000108</c:v>
                </c:pt>
                <c:pt idx="56">
                  <c:v>-446.00000000000119</c:v>
                </c:pt>
                <c:pt idx="57">
                  <c:v>-445.00000000000119</c:v>
                </c:pt>
                <c:pt idx="58">
                  <c:v>-444.00000000000119</c:v>
                </c:pt>
                <c:pt idx="59">
                  <c:v>-443.00000000000119</c:v>
                </c:pt>
                <c:pt idx="60">
                  <c:v>-442.00000000000125</c:v>
                </c:pt>
                <c:pt idx="61">
                  <c:v>-441.00000000000125</c:v>
                </c:pt>
                <c:pt idx="62">
                  <c:v>-440.00000000000125</c:v>
                </c:pt>
                <c:pt idx="63">
                  <c:v>-439.00000000000125</c:v>
                </c:pt>
                <c:pt idx="64">
                  <c:v>-438.00000000000136</c:v>
                </c:pt>
                <c:pt idx="65">
                  <c:v>-437.00000000000136</c:v>
                </c:pt>
                <c:pt idx="66">
                  <c:v>-436.00000000000136</c:v>
                </c:pt>
                <c:pt idx="67">
                  <c:v>-435.00000000000136</c:v>
                </c:pt>
                <c:pt idx="68">
                  <c:v>-434.00000000000136</c:v>
                </c:pt>
                <c:pt idx="69">
                  <c:v>-433.00000000000148</c:v>
                </c:pt>
                <c:pt idx="70">
                  <c:v>-432.00000000000148</c:v>
                </c:pt>
                <c:pt idx="71">
                  <c:v>-431.00000000000148</c:v>
                </c:pt>
                <c:pt idx="72">
                  <c:v>-430.00000000000148</c:v>
                </c:pt>
                <c:pt idx="73">
                  <c:v>-429.00000000000153</c:v>
                </c:pt>
                <c:pt idx="74">
                  <c:v>-428.00000000000153</c:v>
                </c:pt>
                <c:pt idx="75">
                  <c:v>-427.00000000000153</c:v>
                </c:pt>
                <c:pt idx="76">
                  <c:v>-426.00000000000153</c:v>
                </c:pt>
                <c:pt idx="77">
                  <c:v>-425.00000000000165</c:v>
                </c:pt>
                <c:pt idx="78">
                  <c:v>-424.00000000000165</c:v>
                </c:pt>
                <c:pt idx="79">
                  <c:v>-423.00000000000165</c:v>
                </c:pt>
                <c:pt idx="80">
                  <c:v>-422.00000000000165</c:v>
                </c:pt>
                <c:pt idx="81">
                  <c:v>-421.00000000000171</c:v>
                </c:pt>
                <c:pt idx="82">
                  <c:v>-420.00000000000171</c:v>
                </c:pt>
                <c:pt idx="83">
                  <c:v>-419.00000000000171</c:v>
                </c:pt>
                <c:pt idx="84">
                  <c:v>-418.00000000000171</c:v>
                </c:pt>
                <c:pt idx="85">
                  <c:v>-417.00000000000171</c:v>
                </c:pt>
                <c:pt idx="86">
                  <c:v>-416.00000000000182</c:v>
                </c:pt>
                <c:pt idx="87">
                  <c:v>-415.00000000000182</c:v>
                </c:pt>
                <c:pt idx="88">
                  <c:v>-414.00000000000182</c:v>
                </c:pt>
                <c:pt idx="89">
                  <c:v>-413.00000000000182</c:v>
                </c:pt>
                <c:pt idx="90">
                  <c:v>-412.00000000000193</c:v>
                </c:pt>
                <c:pt idx="91">
                  <c:v>-411.00000000000193</c:v>
                </c:pt>
                <c:pt idx="92">
                  <c:v>-410.00000000000193</c:v>
                </c:pt>
                <c:pt idx="93">
                  <c:v>-409.00000000000193</c:v>
                </c:pt>
                <c:pt idx="94">
                  <c:v>-408.00000000000193</c:v>
                </c:pt>
                <c:pt idx="95">
                  <c:v>-407.00000000000199</c:v>
                </c:pt>
                <c:pt idx="96">
                  <c:v>-406.00000000000199</c:v>
                </c:pt>
                <c:pt idx="97">
                  <c:v>-405.00000000000205</c:v>
                </c:pt>
                <c:pt idx="98">
                  <c:v>-404.00000000000205</c:v>
                </c:pt>
                <c:pt idx="99">
                  <c:v>-403.00000000000205</c:v>
                </c:pt>
                <c:pt idx="100">
                  <c:v>-402.0000000000021</c:v>
                </c:pt>
                <c:pt idx="101">
                  <c:v>-401.0000000000021</c:v>
                </c:pt>
                <c:pt idx="102">
                  <c:v>-400.00000000000216</c:v>
                </c:pt>
                <c:pt idx="103">
                  <c:v>-399.00000000000216</c:v>
                </c:pt>
                <c:pt idx="104">
                  <c:v>-398.00000000000216</c:v>
                </c:pt>
                <c:pt idx="105">
                  <c:v>-397.00000000000216</c:v>
                </c:pt>
                <c:pt idx="106">
                  <c:v>-396.00000000000222</c:v>
                </c:pt>
                <c:pt idx="107">
                  <c:v>-395.00000000000222</c:v>
                </c:pt>
                <c:pt idx="108">
                  <c:v>-394.00000000000227</c:v>
                </c:pt>
                <c:pt idx="109">
                  <c:v>-393.00000000000227</c:v>
                </c:pt>
                <c:pt idx="110">
                  <c:v>-392.00000000000233</c:v>
                </c:pt>
                <c:pt idx="111">
                  <c:v>-391.00000000000233</c:v>
                </c:pt>
                <c:pt idx="112">
                  <c:v>-390.00000000000239</c:v>
                </c:pt>
                <c:pt idx="113">
                  <c:v>-389.00000000000239</c:v>
                </c:pt>
                <c:pt idx="114">
                  <c:v>-388.00000000000239</c:v>
                </c:pt>
                <c:pt idx="115">
                  <c:v>-387.00000000000239</c:v>
                </c:pt>
                <c:pt idx="116">
                  <c:v>-386.00000000000239</c:v>
                </c:pt>
                <c:pt idx="117">
                  <c:v>-385.00000000000244</c:v>
                </c:pt>
                <c:pt idx="118">
                  <c:v>-384.00000000000244</c:v>
                </c:pt>
                <c:pt idx="119">
                  <c:v>-383.0000000000025</c:v>
                </c:pt>
                <c:pt idx="120">
                  <c:v>-382.0000000000025</c:v>
                </c:pt>
                <c:pt idx="121">
                  <c:v>-381.00000000000256</c:v>
                </c:pt>
                <c:pt idx="122">
                  <c:v>-380.00000000000256</c:v>
                </c:pt>
                <c:pt idx="123">
                  <c:v>-379.00000000000261</c:v>
                </c:pt>
                <c:pt idx="124">
                  <c:v>-378.00000000000261</c:v>
                </c:pt>
                <c:pt idx="125">
                  <c:v>-377.00000000000261</c:v>
                </c:pt>
                <c:pt idx="126">
                  <c:v>-376.00000000000261</c:v>
                </c:pt>
                <c:pt idx="127">
                  <c:v>-375.00000000000267</c:v>
                </c:pt>
                <c:pt idx="128">
                  <c:v>-374.00000000000267</c:v>
                </c:pt>
                <c:pt idx="129">
                  <c:v>-373.00000000000273</c:v>
                </c:pt>
                <c:pt idx="130">
                  <c:v>-372.00000000000273</c:v>
                </c:pt>
                <c:pt idx="131">
                  <c:v>-371.00000000000273</c:v>
                </c:pt>
                <c:pt idx="132">
                  <c:v>-370.00000000000279</c:v>
                </c:pt>
                <c:pt idx="133">
                  <c:v>-369.00000000000279</c:v>
                </c:pt>
                <c:pt idx="134">
                  <c:v>-368.00000000000284</c:v>
                </c:pt>
                <c:pt idx="135">
                  <c:v>-367.00000000000284</c:v>
                </c:pt>
                <c:pt idx="136">
                  <c:v>-366.00000000000284</c:v>
                </c:pt>
                <c:pt idx="137">
                  <c:v>-365.00000000000284</c:v>
                </c:pt>
                <c:pt idx="138">
                  <c:v>-364.0000000000029</c:v>
                </c:pt>
                <c:pt idx="139">
                  <c:v>-363.0000000000029</c:v>
                </c:pt>
                <c:pt idx="140">
                  <c:v>-362.00000000000296</c:v>
                </c:pt>
                <c:pt idx="141">
                  <c:v>-361.00000000000296</c:v>
                </c:pt>
                <c:pt idx="142">
                  <c:v>-360.00000000000301</c:v>
                </c:pt>
                <c:pt idx="143">
                  <c:v>-359.00000000000301</c:v>
                </c:pt>
                <c:pt idx="144">
                  <c:v>-358.00000000000307</c:v>
                </c:pt>
                <c:pt idx="145">
                  <c:v>-357.00000000000307</c:v>
                </c:pt>
                <c:pt idx="146">
                  <c:v>-356.00000000000307</c:v>
                </c:pt>
                <c:pt idx="147">
                  <c:v>-355.00000000000307</c:v>
                </c:pt>
                <c:pt idx="148">
                  <c:v>-354.00000000000307</c:v>
                </c:pt>
                <c:pt idx="149">
                  <c:v>-353.00000000000313</c:v>
                </c:pt>
                <c:pt idx="150">
                  <c:v>-352.00000000000313</c:v>
                </c:pt>
                <c:pt idx="151">
                  <c:v>-351.00000000000318</c:v>
                </c:pt>
                <c:pt idx="152">
                  <c:v>-350.00000000000318</c:v>
                </c:pt>
                <c:pt idx="153">
                  <c:v>-349.00000000000324</c:v>
                </c:pt>
                <c:pt idx="154">
                  <c:v>-348.00000000000324</c:v>
                </c:pt>
                <c:pt idx="155">
                  <c:v>-347.0000000000033</c:v>
                </c:pt>
                <c:pt idx="156">
                  <c:v>-346.0000000000033</c:v>
                </c:pt>
                <c:pt idx="157">
                  <c:v>-345.0000000000033</c:v>
                </c:pt>
                <c:pt idx="158">
                  <c:v>-344.0000000000033</c:v>
                </c:pt>
                <c:pt idx="159">
                  <c:v>-343.00000000000335</c:v>
                </c:pt>
                <c:pt idx="160">
                  <c:v>-342.00000000000335</c:v>
                </c:pt>
                <c:pt idx="161">
                  <c:v>-341.00000000000341</c:v>
                </c:pt>
                <c:pt idx="162">
                  <c:v>-340.00000000000341</c:v>
                </c:pt>
                <c:pt idx="163">
                  <c:v>-339.00000000000341</c:v>
                </c:pt>
                <c:pt idx="164">
                  <c:v>-338.00000000000347</c:v>
                </c:pt>
                <c:pt idx="165">
                  <c:v>-337.00000000000347</c:v>
                </c:pt>
                <c:pt idx="166">
                  <c:v>-336.00000000000352</c:v>
                </c:pt>
                <c:pt idx="167">
                  <c:v>-335.00000000000352</c:v>
                </c:pt>
                <c:pt idx="168">
                  <c:v>-334.00000000000352</c:v>
                </c:pt>
                <c:pt idx="169">
                  <c:v>-333.00000000000352</c:v>
                </c:pt>
                <c:pt idx="170">
                  <c:v>-332.00000000000358</c:v>
                </c:pt>
                <c:pt idx="171">
                  <c:v>-331.00000000000358</c:v>
                </c:pt>
                <c:pt idx="172">
                  <c:v>-330.00000000000364</c:v>
                </c:pt>
                <c:pt idx="173">
                  <c:v>-329.00000000000364</c:v>
                </c:pt>
                <c:pt idx="174">
                  <c:v>-328.00000000000369</c:v>
                </c:pt>
                <c:pt idx="175">
                  <c:v>-327.00000000000369</c:v>
                </c:pt>
                <c:pt idx="176">
                  <c:v>-326.00000000000375</c:v>
                </c:pt>
                <c:pt idx="177">
                  <c:v>-325.00000000000375</c:v>
                </c:pt>
                <c:pt idx="178">
                  <c:v>-324.00000000000375</c:v>
                </c:pt>
                <c:pt idx="179">
                  <c:v>-323.00000000000375</c:v>
                </c:pt>
                <c:pt idx="180">
                  <c:v>-322.00000000000375</c:v>
                </c:pt>
                <c:pt idx="181">
                  <c:v>-321.00000000000381</c:v>
                </c:pt>
                <c:pt idx="182">
                  <c:v>-320.00000000000381</c:v>
                </c:pt>
                <c:pt idx="183">
                  <c:v>-319.00000000000387</c:v>
                </c:pt>
                <c:pt idx="184">
                  <c:v>-318.00000000000387</c:v>
                </c:pt>
                <c:pt idx="185">
                  <c:v>-317.00000000000392</c:v>
                </c:pt>
                <c:pt idx="186">
                  <c:v>-316.00000000000392</c:v>
                </c:pt>
                <c:pt idx="187">
                  <c:v>-315.00000000000398</c:v>
                </c:pt>
                <c:pt idx="188">
                  <c:v>-314.00000000000398</c:v>
                </c:pt>
                <c:pt idx="189">
                  <c:v>-313.00000000000398</c:v>
                </c:pt>
                <c:pt idx="190">
                  <c:v>-312.00000000000398</c:v>
                </c:pt>
                <c:pt idx="191">
                  <c:v>-311.00000000000404</c:v>
                </c:pt>
                <c:pt idx="192">
                  <c:v>-310.00000000000404</c:v>
                </c:pt>
                <c:pt idx="193">
                  <c:v>-309.00000000000409</c:v>
                </c:pt>
                <c:pt idx="194">
                  <c:v>-308.00000000000409</c:v>
                </c:pt>
                <c:pt idx="195">
                  <c:v>-307.00000000000409</c:v>
                </c:pt>
                <c:pt idx="196">
                  <c:v>-306.00000000000415</c:v>
                </c:pt>
                <c:pt idx="197">
                  <c:v>-305.00000000000415</c:v>
                </c:pt>
                <c:pt idx="198">
                  <c:v>-304.00000000000421</c:v>
                </c:pt>
                <c:pt idx="199">
                  <c:v>-303.00000000000421</c:v>
                </c:pt>
                <c:pt idx="200">
                  <c:v>-302.00000000000421</c:v>
                </c:pt>
                <c:pt idx="201">
                  <c:v>-301.00000000000421</c:v>
                </c:pt>
                <c:pt idx="202">
                  <c:v>-300.00000000000426</c:v>
                </c:pt>
                <c:pt idx="203">
                  <c:v>-299.00000000000426</c:v>
                </c:pt>
                <c:pt idx="204">
                  <c:v>-298.00000000000432</c:v>
                </c:pt>
                <c:pt idx="205">
                  <c:v>-297.00000000000432</c:v>
                </c:pt>
                <c:pt idx="206">
                  <c:v>-296.00000000000438</c:v>
                </c:pt>
                <c:pt idx="207">
                  <c:v>-295.00000000000438</c:v>
                </c:pt>
                <c:pt idx="208">
                  <c:v>-294.00000000000443</c:v>
                </c:pt>
                <c:pt idx="209">
                  <c:v>-293.00000000000443</c:v>
                </c:pt>
                <c:pt idx="210">
                  <c:v>-292.00000000000443</c:v>
                </c:pt>
                <c:pt idx="211">
                  <c:v>-291.00000000000443</c:v>
                </c:pt>
                <c:pt idx="212">
                  <c:v>-290.00000000000443</c:v>
                </c:pt>
                <c:pt idx="213">
                  <c:v>-289.00000000000449</c:v>
                </c:pt>
                <c:pt idx="214">
                  <c:v>-288.00000000000449</c:v>
                </c:pt>
                <c:pt idx="215">
                  <c:v>-287.00000000000455</c:v>
                </c:pt>
                <c:pt idx="216">
                  <c:v>-286.00000000000455</c:v>
                </c:pt>
                <c:pt idx="217">
                  <c:v>-285.0000000000046</c:v>
                </c:pt>
                <c:pt idx="218">
                  <c:v>-284.0000000000046</c:v>
                </c:pt>
                <c:pt idx="219">
                  <c:v>-283.00000000000466</c:v>
                </c:pt>
                <c:pt idx="220">
                  <c:v>-282.00000000000466</c:v>
                </c:pt>
                <c:pt idx="221">
                  <c:v>-281.00000000000466</c:v>
                </c:pt>
                <c:pt idx="222">
                  <c:v>-280.00000000000466</c:v>
                </c:pt>
                <c:pt idx="223">
                  <c:v>-279.00000000000472</c:v>
                </c:pt>
                <c:pt idx="224">
                  <c:v>-278.00000000000472</c:v>
                </c:pt>
                <c:pt idx="225">
                  <c:v>-277.00000000000477</c:v>
                </c:pt>
                <c:pt idx="226">
                  <c:v>-276.00000000000477</c:v>
                </c:pt>
                <c:pt idx="227">
                  <c:v>-275.00000000000477</c:v>
                </c:pt>
                <c:pt idx="228">
                  <c:v>-274.00000000000483</c:v>
                </c:pt>
                <c:pt idx="229">
                  <c:v>-273.00000000000483</c:v>
                </c:pt>
                <c:pt idx="230">
                  <c:v>-272.00000000000489</c:v>
                </c:pt>
                <c:pt idx="231">
                  <c:v>-271.00000000000489</c:v>
                </c:pt>
                <c:pt idx="232">
                  <c:v>-270.00000000000489</c:v>
                </c:pt>
                <c:pt idx="233">
                  <c:v>-269.00000000000489</c:v>
                </c:pt>
                <c:pt idx="234">
                  <c:v>-268.00000000000495</c:v>
                </c:pt>
                <c:pt idx="235">
                  <c:v>-267.00000000000495</c:v>
                </c:pt>
                <c:pt idx="236">
                  <c:v>-266.000000000005</c:v>
                </c:pt>
                <c:pt idx="237">
                  <c:v>-265.000000000005</c:v>
                </c:pt>
                <c:pt idx="238">
                  <c:v>-264.00000000000506</c:v>
                </c:pt>
                <c:pt idx="239">
                  <c:v>-263.00000000000506</c:v>
                </c:pt>
                <c:pt idx="240">
                  <c:v>-262.00000000000512</c:v>
                </c:pt>
                <c:pt idx="241">
                  <c:v>-261.00000000000512</c:v>
                </c:pt>
                <c:pt idx="242">
                  <c:v>-260.00000000000512</c:v>
                </c:pt>
                <c:pt idx="243">
                  <c:v>-259.00000000000512</c:v>
                </c:pt>
                <c:pt idx="244">
                  <c:v>-258.00000000000512</c:v>
                </c:pt>
                <c:pt idx="245">
                  <c:v>-257.00000000000517</c:v>
                </c:pt>
                <c:pt idx="246">
                  <c:v>-256.00000000000517</c:v>
                </c:pt>
                <c:pt idx="247">
                  <c:v>-255.00000000000523</c:v>
                </c:pt>
                <c:pt idx="248">
                  <c:v>-254.00000000000523</c:v>
                </c:pt>
                <c:pt idx="249">
                  <c:v>-253.00000000000529</c:v>
                </c:pt>
                <c:pt idx="250">
                  <c:v>-252.00000000000529</c:v>
                </c:pt>
                <c:pt idx="251">
                  <c:v>-251.00000000000531</c:v>
                </c:pt>
                <c:pt idx="252">
                  <c:v>-250.00000000000531</c:v>
                </c:pt>
                <c:pt idx="253">
                  <c:v>-249.00000000000537</c:v>
                </c:pt>
                <c:pt idx="254">
                  <c:v>-248.00000000000537</c:v>
                </c:pt>
                <c:pt idx="255">
                  <c:v>-247.0000000000054</c:v>
                </c:pt>
                <c:pt idx="256">
                  <c:v>-246.0000000000054</c:v>
                </c:pt>
                <c:pt idx="257">
                  <c:v>-245.00000000000546</c:v>
                </c:pt>
                <c:pt idx="258">
                  <c:v>-244.00000000000546</c:v>
                </c:pt>
                <c:pt idx="259">
                  <c:v>-243.00000000000546</c:v>
                </c:pt>
                <c:pt idx="260">
                  <c:v>-242.00000000000551</c:v>
                </c:pt>
                <c:pt idx="261">
                  <c:v>-241.00000000000551</c:v>
                </c:pt>
                <c:pt idx="262">
                  <c:v>-240.00000000000554</c:v>
                </c:pt>
                <c:pt idx="263">
                  <c:v>-239.00000000000554</c:v>
                </c:pt>
                <c:pt idx="264">
                  <c:v>-238.0000000000056</c:v>
                </c:pt>
                <c:pt idx="265">
                  <c:v>-237.0000000000056</c:v>
                </c:pt>
                <c:pt idx="266">
                  <c:v>-236.00000000000563</c:v>
                </c:pt>
                <c:pt idx="267">
                  <c:v>-235.00000000000563</c:v>
                </c:pt>
                <c:pt idx="268">
                  <c:v>-234.00000000000568</c:v>
                </c:pt>
                <c:pt idx="269">
                  <c:v>-233.00000000000568</c:v>
                </c:pt>
                <c:pt idx="270">
                  <c:v>-232.00000000000574</c:v>
                </c:pt>
                <c:pt idx="271">
                  <c:v>-231.00000000000574</c:v>
                </c:pt>
                <c:pt idx="272">
                  <c:v>-230.00000000000577</c:v>
                </c:pt>
                <c:pt idx="273">
                  <c:v>-229.00000000000577</c:v>
                </c:pt>
                <c:pt idx="274">
                  <c:v>-228.00000000000583</c:v>
                </c:pt>
                <c:pt idx="275">
                  <c:v>-227.00000000000583</c:v>
                </c:pt>
                <c:pt idx="276">
                  <c:v>-226.00000000000583</c:v>
                </c:pt>
                <c:pt idx="277">
                  <c:v>-225.00000000000585</c:v>
                </c:pt>
                <c:pt idx="278">
                  <c:v>-224.00000000000585</c:v>
                </c:pt>
                <c:pt idx="279">
                  <c:v>-223.00000000000591</c:v>
                </c:pt>
                <c:pt idx="280">
                  <c:v>-222.00000000000591</c:v>
                </c:pt>
                <c:pt idx="281">
                  <c:v>-221.00000000000597</c:v>
                </c:pt>
                <c:pt idx="282">
                  <c:v>-220.00000000000597</c:v>
                </c:pt>
                <c:pt idx="283">
                  <c:v>-219.000000000006</c:v>
                </c:pt>
                <c:pt idx="284">
                  <c:v>-218.000000000006</c:v>
                </c:pt>
                <c:pt idx="285">
                  <c:v>-217.00000000000605</c:v>
                </c:pt>
                <c:pt idx="286">
                  <c:v>-216.00000000000605</c:v>
                </c:pt>
                <c:pt idx="287">
                  <c:v>-215.00000000000608</c:v>
                </c:pt>
                <c:pt idx="288">
                  <c:v>-214.00000000000608</c:v>
                </c:pt>
                <c:pt idx="289">
                  <c:v>-213.00000000000614</c:v>
                </c:pt>
                <c:pt idx="290">
                  <c:v>-212.00000000000614</c:v>
                </c:pt>
                <c:pt idx="291">
                  <c:v>-211.00000000000614</c:v>
                </c:pt>
                <c:pt idx="292">
                  <c:v>-210.0000000000062</c:v>
                </c:pt>
                <c:pt idx="293">
                  <c:v>-209.0000000000062</c:v>
                </c:pt>
                <c:pt idx="294">
                  <c:v>-208.00000000000622</c:v>
                </c:pt>
                <c:pt idx="295">
                  <c:v>-207.00000000000622</c:v>
                </c:pt>
                <c:pt idx="296">
                  <c:v>-206.00000000000628</c:v>
                </c:pt>
                <c:pt idx="297">
                  <c:v>-205.00000000000628</c:v>
                </c:pt>
                <c:pt idx="298">
                  <c:v>-204.00000000000631</c:v>
                </c:pt>
                <c:pt idx="299">
                  <c:v>-203.00000000000631</c:v>
                </c:pt>
                <c:pt idx="300">
                  <c:v>-202.00000000000634</c:v>
                </c:pt>
                <c:pt idx="301">
                  <c:v>-201.00000000000637</c:v>
                </c:pt>
                <c:pt idx="302">
                  <c:v>-200.00000000000639</c:v>
                </c:pt>
                <c:pt idx="303">
                  <c:v>-199.00000000000642</c:v>
                </c:pt>
                <c:pt idx="304">
                  <c:v>-198.00000000000642</c:v>
                </c:pt>
                <c:pt idx="305">
                  <c:v>-197.00000000000645</c:v>
                </c:pt>
                <c:pt idx="306">
                  <c:v>-196.00000000000648</c:v>
                </c:pt>
                <c:pt idx="307">
                  <c:v>-195.00000000000651</c:v>
                </c:pt>
                <c:pt idx="308">
                  <c:v>-194.00000000000654</c:v>
                </c:pt>
                <c:pt idx="309">
                  <c:v>-193.00000000000654</c:v>
                </c:pt>
                <c:pt idx="310">
                  <c:v>-192.00000000000657</c:v>
                </c:pt>
                <c:pt idx="311">
                  <c:v>-191.00000000000659</c:v>
                </c:pt>
                <c:pt idx="312">
                  <c:v>-190.00000000000662</c:v>
                </c:pt>
                <c:pt idx="313">
                  <c:v>-189.00000000000665</c:v>
                </c:pt>
                <c:pt idx="314">
                  <c:v>-188.00000000000665</c:v>
                </c:pt>
                <c:pt idx="315">
                  <c:v>-187.00000000000665</c:v>
                </c:pt>
                <c:pt idx="316">
                  <c:v>-186.00000000000668</c:v>
                </c:pt>
                <c:pt idx="317">
                  <c:v>-185.00000000000671</c:v>
                </c:pt>
                <c:pt idx="318">
                  <c:v>-184.00000000000674</c:v>
                </c:pt>
                <c:pt idx="319">
                  <c:v>-183.00000000000676</c:v>
                </c:pt>
                <c:pt idx="320">
                  <c:v>-182.00000000000676</c:v>
                </c:pt>
                <c:pt idx="321">
                  <c:v>-181.00000000000679</c:v>
                </c:pt>
                <c:pt idx="322">
                  <c:v>-180.00000000000682</c:v>
                </c:pt>
                <c:pt idx="323">
                  <c:v>-179.00000000000685</c:v>
                </c:pt>
                <c:pt idx="324">
                  <c:v>-178.00000000000688</c:v>
                </c:pt>
                <c:pt idx="325">
                  <c:v>-177.00000000000688</c:v>
                </c:pt>
                <c:pt idx="326">
                  <c:v>-176.00000000000691</c:v>
                </c:pt>
                <c:pt idx="327">
                  <c:v>-175.00000000000693</c:v>
                </c:pt>
                <c:pt idx="328">
                  <c:v>-174.00000000000696</c:v>
                </c:pt>
                <c:pt idx="329">
                  <c:v>-173.00000000000699</c:v>
                </c:pt>
                <c:pt idx="330">
                  <c:v>-172.00000000000699</c:v>
                </c:pt>
                <c:pt idx="331">
                  <c:v>-171.00000000000699</c:v>
                </c:pt>
                <c:pt idx="332">
                  <c:v>-170.00000000000702</c:v>
                </c:pt>
                <c:pt idx="333">
                  <c:v>-169.00000000000705</c:v>
                </c:pt>
                <c:pt idx="334">
                  <c:v>-168.00000000000708</c:v>
                </c:pt>
                <c:pt idx="335">
                  <c:v>-167.00000000000711</c:v>
                </c:pt>
                <c:pt idx="336">
                  <c:v>-166.00000000000711</c:v>
                </c:pt>
                <c:pt idx="337">
                  <c:v>-165.00000000000713</c:v>
                </c:pt>
                <c:pt idx="338">
                  <c:v>-164.00000000000716</c:v>
                </c:pt>
                <c:pt idx="339">
                  <c:v>-163.00000000000719</c:v>
                </c:pt>
                <c:pt idx="340">
                  <c:v>-162.00000000000722</c:v>
                </c:pt>
                <c:pt idx="341">
                  <c:v>-161.00000000000722</c:v>
                </c:pt>
                <c:pt idx="342">
                  <c:v>-160.00000000000725</c:v>
                </c:pt>
                <c:pt idx="343">
                  <c:v>-159.00000000000728</c:v>
                </c:pt>
                <c:pt idx="344">
                  <c:v>-158.0000000000073</c:v>
                </c:pt>
                <c:pt idx="345">
                  <c:v>-157.00000000000733</c:v>
                </c:pt>
                <c:pt idx="346">
                  <c:v>-156.00000000000733</c:v>
                </c:pt>
                <c:pt idx="347">
                  <c:v>-155.00000000000733</c:v>
                </c:pt>
                <c:pt idx="348">
                  <c:v>-154.00000000000736</c:v>
                </c:pt>
                <c:pt idx="349">
                  <c:v>-153.00000000000739</c:v>
                </c:pt>
                <c:pt idx="350">
                  <c:v>-152.00000000000742</c:v>
                </c:pt>
                <c:pt idx="351">
                  <c:v>-151.00000000000745</c:v>
                </c:pt>
                <c:pt idx="352">
                  <c:v>-150.00000000000745</c:v>
                </c:pt>
                <c:pt idx="353">
                  <c:v>-149.00000000000747</c:v>
                </c:pt>
                <c:pt idx="354">
                  <c:v>-148.0000000000075</c:v>
                </c:pt>
                <c:pt idx="355">
                  <c:v>-147.00000000000753</c:v>
                </c:pt>
                <c:pt idx="356">
                  <c:v>-146.00000000000756</c:v>
                </c:pt>
                <c:pt idx="357">
                  <c:v>-145.00000000000756</c:v>
                </c:pt>
                <c:pt idx="358">
                  <c:v>-144.00000000000759</c:v>
                </c:pt>
                <c:pt idx="359">
                  <c:v>-143.00000000000762</c:v>
                </c:pt>
                <c:pt idx="360">
                  <c:v>-142.00000000000765</c:v>
                </c:pt>
                <c:pt idx="361">
                  <c:v>-141.00000000000767</c:v>
                </c:pt>
                <c:pt idx="362">
                  <c:v>-140.00000000000767</c:v>
                </c:pt>
                <c:pt idx="363">
                  <c:v>-139.00000000000767</c:v>
                </c:pt>
                <c:pt idx="364">
                  <c:v>-138.0000000000077</c:v>
                </c:pt>
                <c:pt idx="365">
                  <c:v>-137.00000000000773</c:v>
                </c:pt>
                <c:pt idx="366">
                  <c:v>-136.00000000000776</c:v>
                </c:pt>
                <c:pt idx="367">
                  <c:v>-135.00000000000779</c:v>
                </c:pt>
                <c:pt idx="368">
                  <c:v>-134.00000000000779</c:v>
                </c:pt>
                <c:pt idx="369">
                  <c:v>-133.00000000000782</c:v>
                </c:pt>
                <c:pt idx="370">
                  <c:v>-132.00000000000784</c:v>
                </c:pt>
                <c:pt idx="371">
                  <c:v>-131.00000000000787</c:v>
                </c:pt>
                <c:pt idx="372">
                  <c:v>-130.0000000000079</c:v>
                </c:pt>
                <c:pt idx="373">
                  <c:v>-129.0000000000079</c:v>
                </c:pt>
                <c:pt idx="374">
                  <c:v>-128.00000000000793</c:v>
                </c:pt>
                <c:pt idx="375">
                  <c:v>-127.00000000000796</c:v>
                </c:pt>
                <c:pt idx="376">
                  <c:v>-126.00000000000799</c:v>
                </c:pt>
                <c:pt idx="377">
                  <c:v>-125.000000000008</c:v>
                </c:pt>
                <c:pt idx="378">
                  <c:v>-124.000000000008</c:v>
                </c:pt>
                <c:pt idx="379">
                  <c:v>-123.00000000000803</c:v>
                </c:pt>
                <c:pt idx="380">
                  <c:v>-122.00000000000804</c:v>
                </c:pt>
                <c:pt idx="381">
                  <c:v>-121.00000000000807</c:v>
                </c:pt>
                <c:pt idx="382">
                  <c:v>-120.0000000000081</c:v>
                </c:pt>
                <c:pt idx="383">
                  <c:v>-119.00000000000811</c:v>
                </c:pt>
                <c:pt idx="384">
                  <c:v>-118.00000000000814</c:v>
                </c:pt>
                <c:pt idx="385">
                  <c:v>-117.00000000000816</c:v>
                </c:pt>
                <c:pt idx="386">
                  <c:v>-116.00000000000819</c:v>
                </c:pt>
                <c:pt idx="387">
                  <c:v>-115.00000000000821</c:v>
                </c:pt>
                <c:pt idx="388">
                  <c:v>-114.00000000000823</c:v>
                </c:pt>
                <c:pt idx="389">
                  <c:v>-113.00000000000826</c:v>
                </c:pt>
                <c:pt idx="390">
                  <c:v>-112.00000000000827</c:v>
                </c:pt>
                <c:pt idx="391">
                  <c:v>-111.0000000000083</c:v>
                </c:pt>
                <c:pt idx="392">
                  <c:v>-110.00000000000833</c:v>
                </c:pt>
                <c:pt idx="393">
                  <c:v>-109.00000000000834</c:v>
                </c:pt>
                <c:pt idx="394">
                  <c:v>-108.00000000000837</c:v>
                </c:pt>
                <c:pt idx="395">
                  <c:v>-107.00000000000837</c:v>
                </c:pt>
                <c:pt idx="396">
                  <c:v>-106.00000000000838</c:v>
                </c:pt>
                <c:pt idx="397">
                  <c:v>-105.00000000000841</c:v>
                </c:pt>
                <c:pt idx="398">
                  <c:v>-104.00000000000844</c:v>
                </c:pt>
                <c:pt idx="399">
                  <c:v>-103.00000000000846</c:v>
                </c:pt>
                <c:pt idx="400">
                  <c:v>-102.00000000000848</c:v>
                </c:pt>
                <c:pt idx="401">
                  <c:v>-101.0000000000085</c:v>
                </c:pt>
                <c:pt idx="402">
                  <c:v>-100.00000000000853</c:v>
                </c:pt>
                <c:pt idx="403">
                  <c:v>-99.000000000008555</c:v>
                </c:pt>
                <c:pt idx="404">
                  <c:v>-98.000000000008569</c:v>
                </c:pt>
                <c:pt idx="405">
                  <c:v>-97.000000000008598</c:v>
                </c:pt>
                <c:pt idx="406">
                  <c:v>-96.000000000008612</c:v>
                </c:pt>
                <c:pt idx="407">
                  <c:v>-95.000000000008626</c:v>
                </c:pt>
                <c:pt idx="408">
                  <c:v>-94.000000000008654</c:v>
                </c:pt>
                <c:pt idx="409">
                  <c:v>-93.000000000008669</c:v>
                </c:pt>
                <c:pt idx="410">
                  <c:v>-92.000000000008697</c:v>
                </c:pt>
                <c:pt idx="411">
                  <c:v>-91.000000000008725</c:v>
                </c:pt>
                <c:pt idx="412">
                  <c:v>-90.00000000000874</c:v>
                </c:pt>
                <c:pt idx="413">
                  <c:v>-89.000000000008768</c:v>
                </c:pt>
                <c:pt idx="414">
                  <c:v>-88.000000000008782</c:v>
                </c:pt>
                <c:pt idx="415">
                  <c:v>-87.000000000008797</c:v>
                </c:pt>
                <c:pt idx="416">
                  <c:v>-86.000000000008825</c:v>
                </c:pt>
                <c:pt idx="417">
                  <c:v>-85.000000000008839</c:v>
                </c:pt>
                <c:pt idx="418">
                  <c:v>-84.000000000008868</c:v>
                </c:pt>
                <c:pt idx="419">
                  <c:v>-83.000000000008896</c:v>
                </c:pt>
                <c:pt idx="420">
                  <c:v>-82.00000000000891</c:v>
                </c:pt>
                <c:pt idx="421">
                  <c:v>-81.000000000008939</c:v>
                </c:pt>
                <c:pt idx="422">
                  <c:v>-80.000000000008953</c:v>
                </c:pt>
                <c:pt idx="423">
                  <c:v>-79.000000000008967</c:v>
                </c:pt>
                <c:pt idx="424">
                  <c:v>-78.000000000008995</c:v>
                </c:pt>
                <c:pt idx="425">
                  <c:v>-77.00000000000901</c:v>
                </c:pt>
                <c:pt idx="426">
                  <c:v>-76.000000000009038</c:v>
                </c:pt>
                <c:pt idx="427">
                  <c:v>-75.000000000009067</c:v>
                </c:pt>
                <c:pt idx="428">
                  <c:v>-74.000000000009081</c:v>
                </c:pt>
                <c:pt idx="429">
                  <c:v>-73.000000000009109</c:v>
                </c:pt>
                <c:pt idx="430">
                  <c:v>-72.000000000009123</c:v>
                </c:pt>
                <c:pt idx="431">
                  <c:v>-71.000000000009138</c:v>
                </c:pt>
                <c:pt idx="432">
                  <c:v>-70.000000000009166</c:v>
                </c:pt>
                <c:pt idx="433">
                  <c:v>-69.00000000000918</c:v>
                </c:pt>
                <c:pt idx="434">
                  <c:v>-68.000000000009209</c:v>
                </c:pt>
                <c:pt idx="435">
                  <c:v>-67.000000000009237</c:v>
                </c:pt>
                <c:pt idx="436">
                  <c:v>-66.000000000009251</c:v>
                </c:pt>
                <c:pt idx="437">
                  <c:v>-65.00000000000928</c:v>
                </c:pt>
                <c:pt idx="438">
                  <c:v>-64.000000000009294</c:v>
                </c:pt>
                <c:pt idx="439">
                  <c:v>-63.000000000009308</c:v>
                </c:pt>
                <c:pt idx="440">
                  <c:v>-62.000000000009337</c:v>
                </c:pt>
                <c:pt idx="441">
                  <c:v>-61.000000000009358</c:v>
                </c:pt>
                <c:pt idx="442">
                  <c:v>-60.000000000009379</c:v>
                </c:pt>
                <c:pt idx="443">
                  <c:v>-59.0000000000094</c:v>
                </c:pt>
                <c:pt idx="444">
                  <c:v>-58.000000000009422</c:v>
                </c:pt>
                <c:pt idx="445">
                  <c:v>-57.00000000000945</c:v>
                </c:pt>
                <c:pt idx="446">
                  <c:v>-56.000000000009457</c:v>
                </c:pt>
                <c:pt idx="447">
                  <c:v>-55.000000000009479</c:v>
                </c:pt>
                <c:pt idx="448">
                  <c:v>-54.000000000009507</c:v>
                </c:pt>
                <c:pt idx="449">
                  <c:v>-53.000000000009528</c:v>
                </c:pt>
                <c:pt idx="450">
                  <c:v>-52.00000000000955</c:v>
                </c:pt>
                <c:pt idx="451">
                  <c:v>-51.000000000009571</c:v>
                </c:pt>
                <c:pt idx="452">
                  <c:v>-50.000000000009592</c:v>
                </c:pt>
                <c:pt idx="453">
                  <c:v>-49.000000000009614</c:v>
                </c:pt>
                <c:pt idx="454">
                  <c:v>-48.000000000009635</c:v>
                </c:pt>
                <c:pt idx="455">
                  <c:v>-47.000000000009656</c:v>
                </c:pt>
                <c:pt idx="456">
                  <c:v>-46.000000000009678</c:v>
                </c:pt>
                <c:pt idx="457">
                  <c:v>-45.000000000009699</c:v>
                </c:pt>
                <c:pt idx="458">
                  <c:v>-44.00000000000972</c:v>
                </c:pt>
                <c:pt idx="459">
                  <c:v>-43.000000000009742</c:v>
                </c:pt>
                <c:pt idx="460">
                  <c:v>-42.000000000009763</c:v>
                </c:pt>
                <c:pt idx="461">
                  <c:v>-41.000000000009784</c:v>
                </c:pt>
                <c:pt idx="462">
                  <c:v>-40.000000000009805</c:v>
                </c:pt>
                <c:pt idx="463">
                  <c:v>-39.000000000009827</c:v>
                </c:pt>
                <c:pt idx="464">
                  <c:v>-38.000000000009848</c:v>
                </c:pt>
                <c:pt idx="465">
                  <c:v>-37.000000000009869</c:v>
                </c:pt>
                <c:pt idx="466">
                  <c:v>-36.000000000009891</c:v>
                </c:pt>
                <c:pt idx="467">
                  <c:v>-35.000000000009912</c:v>
                </c:pt>
                <c:pt idx="468">
                  <c:v>-34.000000000009933</c:v>
                </c:pt>
                <c:pt idx="469">
                  <c:v>-33.000000000009955</c:v>
                </c:pt>
                <c:pt idx="470">
                  <c:v>-32.000000000009976</c:v>
                </c:pt>
                <c:pt idx="471">
                  <c:v>-31.000000000009997</c:v>
                </c:pt>
                <c:pt idx="472">
                  <c:v>-30.000000000010015</c:v>
                </c:pt>
                <c:pt idx="473">
                  <c:v>-29.00000000001004</c:v>
                </c:pt>
                <c:pt idx="474">
                  <c:v>-28.000000000010061</c:v>
                </c:pt>
                <c:pt idx="475">
                  <c:v>-27.000000000010083</c:v>
                </c:pt>
                <c:pt idx="476">
                  <c:v>-26.000000000010107</c:v>
                </c:pt>
                <c:pt idx="477">
                  <c:v>-25.000000000010125</c:v>
                </c:pt>
                <c:pt idx="478">
                  <c:v>-24.000000000010147</c:v>
                </c:pt>
                <c:pt idx="479">
                  <c:v>-23.000000000010168</c:v>
                </c:pt>
                <c:pt idx="480">
                  <c:v>-22.000000000010189</c:v>
                </c:pt>
                <c:pt idx="481">
                  <c:v>-21.00000000001021</c:v>
                </c:pt>
                <c:pt idx="482">
                  <c:v>-20.000000000010232</c:v>
                </c:pt>
                <c:pt idx="483">
                  <c:v>-19.000000000010253</c:v>
                </c:pt>
                <c:pt idx="484">
                  <c:v>-18.000000000010274</c:v>
                </c:pt>
                <c:pt idx="485">
                  <c:v>-17.000000000010296</c:v>
                </c:pt>
                <c:pt idx="486">
                  <c:v>-16.000000000010317</c:v>
                </c:pt>
                <c:pt idx="487">
                  <c:v>-15.00000000001034</c:v>
                </c:pt>
                <c:pt idx="488">
                  <c:v>-14.00000000001036</c:v>
                </c:pt>
                <c:pt idx="489">
                  <c:v>-13.000000000010379</c:v>
                </c:pt>
                <c:pt idx="490">
                  <c:v>-12.000000000010402</c:v>
                </c:pt>
                <c:pt idx="491">
                  <c:v>-11.000000000010424</c:v>
                </c:pt>
                <c:pt idx="492">
                  <c:v>-10.000000000010445</c:v>
                </c:pt>
                <c:pt idx="493">
                  <c:v>-9.0000000000104663</c:v>
                </c:pt>
                <c:pt idx="494">
                  <c:v>-8.0000000000104876</c:v>
                </c:pt>
                <c:pt idx="495">
                  <c:v>-7.0000000000105089</c:v>
                </c:pt>
                <c:pt idx="496">
                  <c:v>-6.0000000000105302</c:v>
                </c:pt>
                <c:pt idx="497">
                  <c:v>-5.0000000000105516</c:v>
                </c:pt>
                <c:pt idx="498">
                  <c:v>-4.0000000000105729</c:v>
                </c:pt>
                <c:pt idx="499">
                  <c:v>-3.0000000000105942</c:v>
                </c:pt>
                <c:pt idx="500">
                  <c:v>-2.0000000000106155</c:v>
                </c:pt>
                <c:pt idx="501">
                  <c:v>-1.0000000000106368</c:v>
                </c:pt>
                <c:pt idx="502">
                  <c:v>-1.0658141036401503E-11</c:v>
                </c:pt>
                <c:pt idx="503">
                  <c:v>0.99999999998932054</c:v>
                </c:pt>
                <c:pt idx="504">
                  <c:v>1.9999999999892992</c:v>
                </c:pt>
                <c:pt idx="505">
                  <c:v>2.9999999999892779</c:v>
                </c:pt>
                <c:pt idx="506">
                  <c:v>3.9999999999892566</c:v>
                </c:pt>
                <c:pt idx="507">
                  <c:v>4.9999999999892353</c:v>
                </c:pt>
                <c:pt idx="508">
                  <c:v>5.999999999989214</c:v>
                </c:pt>
                <c:pt idx="509">
                  <c:v>6.9999999999891926</c:v>
                </c:pt>
                <c:pt idx="510">
                  <c:v>7.9999999999891713</c:v>
                </c:pt>
                <c:pt idx="511">
                  <c:v>8.99999999998915</c:v>
                </c:pt>
                <c:pt idx="512">
                  <c:v>9.9999999999891287</c:v>
                </c:pt>
                <c:pt idx="513">
                  <c:v>10.999999999989107</c:v>
                </c:pt>
                <c:pt idx="514">
                  <c:v>11.999999999989086</c:v>
                </c:pt>
                <c:pt idx="515">
                  <c:v>12.999999999989063</c:v>
                </c:pt>
                <c:pt idx="516">
                  <c:v>13.999999999989043</c:v>
                </c:pt>
                <c:pt idx="517">
                  <c:v>14.999999999989024</c:v>
                </c:pt>
                <c:pt idx="518">
                  <c:v>15.999999999989001</c:v>
                </c:pt>
                <c:pt idx="519">
                  <c:v>16.999999999988979</c:v>
                </c:pt>
                <c:pt idx="520">
                  <c:v>17.999999999988958</c:v>
                </c:pt>
                <c:pt idx="521">
                  <c:v>18.999999999988937</c:v>
                </c:pt>
                <c:pt idx="522">
                  <c:v>19.999999999988916</c:v>
                </c:pt>
                <c:pt idx="523">
                  <c:v>20.999999999988894</c:v>
                </c:pt>
                <c:pt idx="524">
                  <c:v>21.999999999988873</c:v>
                </c:pt>
                <c:pt idx="525">
                  <c:v>22.999999999988852</c:v>
                </c:pt>
                <c:pt idx="526">
                  <c:v>23.99999999998883</c:v>
                </c:pt>
                <c:pt idx="527">
                  <c:v>24.999999999988809</c:v>
                </c:pt>
                <c:pt idx="528">
                  <c:v>25.999999999988791</c:v>
                </c:pt>
                <c:pt idx="529">
                  <c:v>26.999999999988766</c:v>
                </c:pt>
                <c:pt idx="530">
                  <c:v>27.999999999988745</c:v>
                </c:pt>
                <c:pt idx="531">
                  <c:v>28.999999999988724</c:v>
                </c:pt>
                <c:pt idx="532">
                  <c:v>29.999999999988699</c:v>
                </c:pt>
                <c:pt idx="533">
                  <c:v>30.999999999988681</c:v>
                </c:pt>
                <c:pt idx="534">
                  <c:v>31.99999999998866</c:v>
                </c:pt>
                <c:pt idx="535">
                  <c:v>32.999999999988638</c:v>
                </c:pt>
                <c:pt idx="536">
                  <c:v>33.999999999988617</c:v>
                </c:pt>
                <c:pt idx="537">
                  <c:v>34.999999999988596</c:v>
                </c:pt>
                <c:pt idx="538">
                  <c:v>35.999999999988574</c:v>
                </c:pt>
                <c:pt idx="539">
                  <c:v>36.999999999988553</c:v>
                </c:pt>
                <c:pt idx="540">
                  <c:v>37.999999999988532</c:v>
                </c:pt>
                <c:pt idx="541">
                  <c:v>38.999999999988511</c:v>
                </c:pt>
                <c:pt idx="542">
                  <c:v>39.999999999988489</c:v>
                </c:pt>
                <c:pt idx="543">
                  <c:v>40.999999999988468</c:v>
                </c:pt>
                <c:pt idx="544">
                  <c:v>41.999999999988447</c:v>
                </c:pt>
                <c:pt idx="545">
                  <c:v>42.999999999988425</c:v>
                </c:pt>
                <c:pt idx="546">
                  <c:v>43.999999999988404</c:v>
                </c:pt>
                <c:pt idx="547">
                  <c:v>44.999999999988383</c:v>
                </c:pt>
                <c:pt idx="548">
                  <c:v>45.999999999988361</c:v>
                </c:pt>
                <c:pt idx="549">
                  <c:v>46.99999999998834</c:v>
                </c:pt>
                <c:pt idx="550">
                  <c:v>47.999999999988319</c:v>
                </c:pt>
                <c:pt idx="551">
                  <c:v>48.999999999988297</c:v>
                </c:pt>
                <c:pt idx="552">
                  <c:v>49.999999999988276</c:v>
                </c:pt>
                <c:pt idx="553">
                  <c:v>50.999999999988255</c:v>
                </c:pt>
                <c:pt idx="554">
                  <c:v>51.999999999988233</c:v>
                </c:pt>
                <c:pt idx="555">
                  <c:v>52.999999999988212</c:v>
                </c:pt>
                <c:pt idx="556">
                  <c:v>53.999999999988191</c:v>
                </c:pt>
                <c:pt idx="557">
                  <c:v>54.999999999988162</c:v>
                </c:pt>
                <c:pt idx="558">
                  <c:v>55.999999999988155</c:v>
                </c:pt>
                <c:pt idx="559">
                  <c:v>56.999999999988134</c:v>
                </c:pt>
                <c:pt idx="560">
                  <c:v>57.999999999988106</c:v>
                </c:pt>
                <c:pt idx="561">
                  <c:v>58.999999999988084</c:v>
                </c:pt>
                <c:pt idx="562">
                  <c:v>59.999999999988063</c:v>
                </c:pt>
                <c:pt idx="563">
                  <c:v>60.999999999988042</c:v>
                </c:pt>
                <c:pt idx="564">
                  <c:v>61.99999999998802</c:v>
                </c:pt>
                <c:pt idx="565">
                  <c:v>62.999999999987992</c:v>
                </c:pt>
                <c:pt idx="566">
                  <c:v>63.999999999987971</c:v>
                </c:pt>
                <c:pt idx="567">
                  <c:v>64.999999999987963</c:v>
                </c:pt>
                <c:pt idx="568">
                  <c:v>65.999999999987935</c:v>
                </c:pt>
                <c:pt idx="569">
                  <c:v>66.999999999987921</c:v>
                </c:pt>
                <c:pt idx="570">
                  <c:v>67.999999999987892</c:v>
                </c:pt>
                <c:pt idx="571">
                  <c:v>68.999999999987864</c:v>
                </c:pt>
                <c:pt idx="572">
                  <c:v>69.99999999998785</c:v>
                </c:pt>
                <c:pt idx="573">
                  <c:v>70.999999999987821</c:v>
                </c:pt>
                <c:pt idx="574">
                  <c:v>71.999999999987807</c:v>
                </c:pt>
                <c:pt idx="575">
                  <c:v>72.999999999987793</c:v>
                </c:pt>
                <c:pt idx="576">
                  <c:v>73.999999999987764</c:v>
                </c:pt>
                <c:pt idx="577">
                  <c:v>74.99999999998775</c:v>
                </c:pt>
                <c:pt idx="578">
                  <c:v>75.999999999987722</c:v>
                </c:pt>
                <c:pt idx="579">
                  <c:v>76.999999999987693</c:v>
                </c:pt>
                <c:pt idx="580">
                  <c:v>77.999999999987679</c:v>
                </c:pt>
                <c:pt idx="581">
                  <c:v>78.999999999987651</c:v>
                </c:pt>
                <c:pt idx="582">
                  <c:v>79.999999999987637</c:v>
                </c:pt>
                <c:pt idx="583">
                  <c:v>80.999999999987622</c:v>
                </c:pt>
                <c:pt idx="584">
                  <c:v>81.999999999987594</c:v>
                </c:pt>
                <c:pt idx="585">
                  <c:v>82.99999999998758</c:v>
                </c:pt>
                <c:pt idx="586">
                  <c:v>83.999999999987551</c:v>
                </c:pt>
                <c:pt idx="587">
                  <c:v>84.999999999987523</c:v>
                </c:pt>
                <c:pt idx="588">
                  <c:v>85.999999999987509</c:v>
                </c:pt>
                <c:pt idx="589">
                  <c:v>86.99999999998748</c:v>
                </c:pt>
                <c:pt idx="590">
                  <c:v>87.999999999987466</c:v>
                </c:pt>
                <c:pt idx="591">
                  <c:v>88.999999999987452</c:v>
                </c:pt>
                <c:pt idx="592">
                  <c:v>89.999999999987423</c:v>
                </c:pt>
                <c:pt idx="593">
                  <c:v>90.999999999987409</c:v>
                </c:pt>
                <c:pt idx="594">
                  <c:v>91.999999999987381</c:v>
                </c:pt>
                <c:pt idx="595">
                  <c:v>92.999999999987352</c:v>
                </c:pt>
                <c:pt idx="596">
                  <c:v>93.999999999987338</c:v>
                </c:pt>
                <c:pt idx="597">
                  <c:v>94.99999999998731</c:v>
                </c:pt>
                <c:pt idx="598">
                  <c:v>95.999999999987295</c:v>
                </c:pt>
                <c:pt idx="599">
                  <c:v>96.999999999987281</c:v>
                </c:pt>
                <c:pt idx="600">
                  <c:v>97.999999999987253</c:v>
                </c:pt>
                <c:pt idx="601">
                  <c:v>98.999999999987239</c:v>
                </c:pt>
                <c:pt idx="602">
                  <c:v>99.99999999998721</c:v>
                </c:pt>
                <c:pt idx="603">
                  <c:v>100.99999999998718</c:v>
                </c:pt>
                <c:pt idx="604">
                  <c:v>101.99999999998717</c:v>
                </c:pt>
                <c:pt idx="605">
                  <c:v>102.99999999998715</c:v>
                </c:pt>
                <c:pt idx="606">
                  <c:v>103.99999999998712</c:v>
                </c:pt>
                <c:pt idx="607">
                  <c:v>104.99999999998711</c:v>
                </c:pt>
                <c:pt idx="608">
                  <c:v>105.99999999998708</c:v>
                </c:pt>
                <c:pt idx="609">
                  <c:v>106.99999999998707</c:v>
                </c:pt>
                <c:pt idx="610">
                  <c:v>107.99999999998704</c:v>
                </c:pt>
                <c:pt idx="611">
                  <c:v>108.99999999998701</c:v>
                </c:pt>
                <c:pt idx="612">
                  <c:v>109.999999999987</c:v>
                </c:pt>
                <c:pt idx="613">
                  <c:v>110.99999999998697</c:v>
                </c:pt>
                <c:pt idx="614">
                  <c:v>111.99999999998695</c:v>
                </c:pt>
                <c:pt idx="615">
                  <c:v>112.99999999998693</c:v>
                </c:pt>
                <c:pt idx="616">
                  <c:v>113.9999999999869</c:v>
                </c:pt>
                <c:pt idx="617">
                  <c:v>114.99999999998688</c:v>
                </c:pt>
                <c:pt idx="618">
                  <c:v>115.99999999998685</c:v>
                </c:pt>
                <c:pt idx="619">
                  <c:v>116.99999999998685</c:v>
                </c:pt>
                <c:pt idx="620">
                  <c:v>117.99999999998684</c:v>
                </c:pt>
                <c:pt idx="621">
                  <c:v>118.99999999998681</c:v>
                </c:pt>
                <c:pt idx="622">
                  <c:v>119.99999999998678</c:v>
                </c:pt>
                <c:pt idx="623">
                  <c:v>120.99999999998677</c:v>
                </c:pt>
                <c:pt idx="624">
                  <c:v>121.99999999998674</c:v>
                </c:pt>
                <c:pt idx="625">
                  <c:v>122.99999999998673</c:v>
                </c:pt>
                <c:pt idx="626">
                  <c:v>123.9999999999867</c:v>
                </c:pt>
                <c:pt idx="627">
                  <c:v>124.99999999998667</c:v>
                </c:pt>
                <c:pt idx="628">
                  <c:v>125.99999999998666</c:v>
                </c:pt>
                <c:pt idx="629">
                  <c:v>126.99999999998663</c:v>
                </c:pt>
                <c:pt idx="630">
                  <c:v>127.99999999998661</c:v>
                </c:pt>
                <c:pt idx="631">
                  <c:v>128.99999999998658</c:v>
                </c:pt>
                <c:pt idx="632">
                  <c:v>129.99999999998656</c:v>
                </c:pt>
                <c:pt idx="633">
                  <c:v>130.99999999998653</c:v>
                </c:pt>
                <c:pt idx="634">
                  <c:v>131.99999999998653</c:v>
                </c:pt>
                <c:pt idx="635">
                  <c:v>132.99999999998653</c:v>
                </c:pt>
                <c:pt idx="636">
                  <c:v>133.9999999999865</c:v>
                </c:pt>
                <c:pt idx="637">
                  <c:v>134.99999999998647</c:v>
                </c:pt>
                <c:pt idx="638">
                  <c:v>135.99999999998644</c:v>
                </c:pt>
                <c:pt idx="639">
                  <c:v>136.99999999998641</c:v>
                </c:pt>
                <c:pt idx="640">
                  <c:v>137.99999999998641</c:v>
                </c:pt>
                <c:pt idx="641">
                  <c:v>138.99999999998639</c:v>
                </c:pt>
                <c:pt idx="642">
                  <c:v>139.99999999998636</c:v>
                </c:pt>
                <c:pt idx="643">
                  <c:v>140.99999999998633</c:v>
                </c:pt>
                <c:pt idx="644">
                  <c:v>141.9999999999863</c:v>
                </c:pt>
                <c:pt idx="645">
                  <c:v>142.9999999999863</c:v>
                </c:pt>
                <c:pt idx="646">
                  <c:v>143.99999999998627</c:v>
                </c:pt>
                <c:pt idx="647">
                  <c:v>144.99999999998624</c:v>
                </c:pt>
                <c:pt idx="648">
                  <c:v>145.99999999998622</c:v>
                </c:pt>
                <c:pt idx="649">
                  <c:v>146.99999999998619</c:v>
                </c:pt>
                <c:pt idx="650">
                  <c:v>147.99999999998619</c:v>
                </c:pt>
                <c:pt idx="651">
                  <c:v>148.99999999998619</c:v>
                </c:pt>
                <c:pt idx="652">
                  <c:v>149.99999999998616</c:v>
                </c:pt>
                <c:pt idx="653">
                  <c:v>150.99999999998613</c:v>
                </c:pt>
                <c:pt idx="654">
                  <c:v>151.9999999999861</c:v>
                </c:pt>
                <c:pt idx="655">
                  <c:v>152.99999999998607</c:v>
                </c:pt>
                <c:pt idx="656">
                  <c:v>153.99999999998607</c:v>
                </c:pt>
                <c:pt idx="657">
                  <c:v>154.99999999998604</c:v>
                </c:pt>
                <c:pt idx="658">
                  <c:v>155.99999999998602</c:v>
                </c:pt>
                <c:pt idx="659">
                  <c:v>156.99999999998599</c:v>
                </c:pt>
                <c:pt idx="660">
                  <c:v>157.99999999998596</c:v>
                </c:pt>
                <c:pt idx="661">
                  <c:v>158.99999999998596</c:v>
                </c:pt>
                <c:pt idx="662">
                  <c:v>159.99999999998593</c:v>
                </c:pt>
                <c:pt idx="663">
                  <c:v>160.9999999999859</c:v>
                </c:pt>
                <c:pt idx="664">
                  <c:v>161.99999999998587</c:v>
                </c:pt>
                <c:pt idx="665">
                  <c:v>162.99999999998585</c:v>
                </c:pt>
                <c:pt idx="666">
                  <c:v>163.99999999998585</c:v>
                </c:pt>
                <c:pt idx="667">
                  <c:v>164.99999999998585</c:v>
                </c:pt>
                <c:pt idx="668">
                  <c:v>165.99999999998582</c:v>
                </c:pt>
                <c:pt idx="669">
                  <c:v>166.99999999998579</c:v>
                </c:pt>
                <c:pt idx="670">
                  <c:v>167.99999999998576</c:v>
                </c:pt>
                <c:pt idx="671">
                  <c:v>168.99999999998573</c:v>
                </c:pt>
                <c:pt idx="672">
                  <c:v>169.99999999998573</c:v>
                </c:pt>
                <c:pt idx="673">
                  <c:v>170.9999999999857</c:v>
                </c:pt>
                <c:pt idx="674">
                  <c:v>171.99999999998568</c:v>
                </c:pt>
                <c:pt idx="675">
                  <c:v>172.99999999998565</c:v>
                </c:pt>
                <c:pt idx="676">
                  <c:v>173.99999999998562</c:v>
                </c:pt>
                <c:pt idx="677">
                  <c:v>174.99999999998562</c:v>
                </c:pt>
                <c:pt idx="678">
                  <c:v>175.99999999998559</c:v>
                </c:pt>
                <c:pt idx="679">
                  <c:v>176.99999999998556</c:v>
                </c:pt>
                <c:pt idx="680">
                  <c:v>177.99999999998553</c:v>
                </c:pt>
                <c:pt idx="681">
                  <c:v>178.9999999999855</c:v>
                </c:pt>
                <c:pt idx="682">
                  <c:v>179.9999999999855</c:v>
                </c:pt>
                <c:pt idx="683">
                  <c:v>180.9999999999855</c:v>
                </c:pt>
                <c:pt idx="684">
                  <c:v>181.99999999998548</c:v>
                </c:pt>
                <c:pt idx="685">
                  <c:v>182.99999999998545</c:v>
                </c:pt>
                <c:pt idx="686">
                  <c:v>183.99999999998542</c:v>
                </c:pt>
                <c:pt idx="687">
                  <c:v>184.99999999998539</c:v>
                </c:pt>
                <c:pt idx="688">
                  <c:v>185.99999999998539</c:v>
                </c:pt>
                <c:pt idx="689">
                  <c:v>186.99999999998536</c:v>
                </c:pt>
                <c:pt idx="690">
                  <c:v>187.99999999998533</c:v>
                </c:pt>
                <c:pt idx="691">
                  <c:v>188.99999999998531</c:v>
                </c:pt>
                <c:pt idx="692">
                  <c:v>189.99999999998528</c:v>
                </c:pt>
                <c:pt idx="693">
                  <c:v>190.99999999998528</c:v>
                </c:pt>
                <c:pt idx="694">
                  <c:v>191.99999999998525</c:v>
                </c:pt>
                <c:pt idx="695">
                  <c:v>192.99999999998522</c:v>
                </c:pt>
                <c:pt idx="696">
                  <c:v>193.99999999998519</c:v>
                </c:pt>
                <c:pt idx="697">
                  <c:v>194.99999999998516</c:v>
                </c:pt>
                <c:pt idx="698">
                  <c:v>195.99999999998516</c:v>
                </c:pt>
                <c:pt idx="699">
                  <c:v>196.99999999998516</c:v>
                </c:pt>
                <c:pt idx="700">
                  <c:v>197.99999999998514</c:v>
                </c:pt>
                <c:pt idx="701">
                  <c:v>198.99999999998511</c:v>
                </c:pt>
                <c:pt idx="702">
                  <c:v>199.99999999998508</c:v>
                </c:pt>
                <c:pt idx="703">
                  <c:v>200.99999999998505</c:v>
                </c:pt>
                <c:pt idx="704">
                  <c:v>201.99999999998505</c:v>
                </c:pt>
                <c:pt idx="705">
                  <c:v>202.99999999998502</c:v>
                </c:pt>
                <c:pt idx="706">
                  <c:v>203.99999999998499</c:v>
                </c:pt>
                <c:pt idx="707">
                  <c:v>204.99999999998499</c:v>
                </c:pt>
                <c:pt idx="708">
                  <c:v>205.99999999998494</c:v>
                </c:pt>
                <c:pt idx="709">
                  <c:v>206.99999999998494</c:v>
                </c:pt>
                <c:pt idx="710">
                  <c:v>207.99999999998491</c:v>
                </c:pt>
                <c:pt idx="711">
                  <c:v>208.99999999998491</c:v>
                </c:pt>
                <c:pt idx="712">
                  <c:v>209.99999999998485</c:v>
                </c:pt>
                <c:pt idx="713">
                  <c:v>210.99999999998485</c:v>
                </c:pt>
                <c:pt idx="714">
                  <c:v>211.99999999998482</c:v>
                </c:pt>
                <c:pt idx="715">
                  <c:v>212.99999999998482</c:v>
                </c:pt>
                <c:pt idx="716">
                  <c:v>213.99999999998477</c:v>
                </c:pt>
                <c:pt idx="717">
                  <c:v>214.99999999998477</c:v>
                </c:pt>
                <c:pt idx="718">
                  <c:v>215.99999999998471</c:v>
                </c:pt>
                <c:pt idx="719">
                  <c:v>216.99999999998471</c:v>
                </c:pt>
                <c:pt idx="720">
                  <c:v>217.99999999998468</c:v>
                </c:pt>
                <c:pt idx="721">
                  <c:v>218.99999999998468</c:v>
                </c:pt>
                <c:pt idx="722">
                  <c:v>219.99999999998462</c:v>
                </c:pt>
                <c:pt idx="723">
                  <c:v>220.99999999998462</c:v>
                </c:pt>
                <c:pt idx="724">
                  <c:v>221.99999999998462</c:v>
                </c:pt>
                <c:pt idx="725">
                  <c:v>222.9999999999846</c:v>
                </c:pt>
                <c:pt idx="726">
                  <c:v>223.9999999999846</c:v>
                </c:pt>
                <c:pt idx="727">
                  <c:v>224.99999999998454</c:v>
                </c:pt>
                <c:pt idx="728">
                  <c:v>225.99999999998454</c:v>
                </c:pt>
                <c:pt idx="729">
                  <c:v>226.99999999998448</c:v>
                </c:pt>
                <c:pt idx="730">
                  <c:v>227.99999999998448</c:v>
                </c:pt>
                <c:pt idx="731">
                  <c:v>228.99999999998445</c:v>
                </c:pt>
                <c:pt idx="732">
                  <c:v>229.99999999998445</c:v>
                </c:pt>
                <c:pt idx="733">
                  <c:v>230.9999999999844</c:v>
                </c:pt>
                <c:pt idx="734">
                  <c:v>231.9999999999844</c:v>
                </c:pt>
                <c:pt idx="735">
                  <c:v>232.99999999998437</c:v>
                </c:pt>
                <c:pt idx="736">
                  <c:v>233.99999999998437</c:v>
                </c:pt>
                <c:pt idx="737">
                  <c:v>234.99999999998431</c:v>
                </c:pt>
                <c:pt idx="738">
                  <c:v>235.99999999998431</c:v>
                </c:pt>
                <c:pt idx="739">
                  <c:v>236.99999999998431</c:v>
                </c:pt>
                <c:pt idx="740">
                  <c:v>237.99999999998425</c:v>
                </c:pt>
                <c:pt idx="741">
                  <c:v>238.99999999998425</c:v>
                </c:pt>
                <c:pt idx="742">
                  <c:v>239.99999999998423</c:v>
                </c:pt>
                <c:pt idx="743">
                  <c:v>240.99999999998423</c:v>
                </c:pt>
                <c:pt idx="744">
                  <c:v>241.99999999998417</c:v>
                </c:pt>
                <c:pt idx="745">
                  <c:v>242.99999999998417</c:v>
                </c:pt>
                <c:pt idx="746">
                  <c:v>243.99999999998414</c:v>
                </c:pt>
                <c:pt idx="747">
                  <c:v>244.99999999998414</c:v>
                </c:pt>
                <c:pt idx="748">
                  <c:v>245.99999999998408</c:v>
                </c:pt>
                <c:pt idx="749">
                  <c:v>246.99999999998408</c:v>
                </c:pt>
                <c:pt idx="750">
                  <c:v>247.99999999998403</c:v>
                </c:pt>
                <c:pt idx="751">
                  <c:v>248.99999999998403</c:v>
                </c:pt>
                <c:pt idx="752">
                  <c:v>249.999999999984</c:v>
                </c:pt>
                <c:pt idx="753">
                  <c:v>250.999999999984</c:v>
                </c:pt>
                <c:pt idx="754">
                  <c:v>251.999999999984</c:v>
                </c:pt>
                <c:pt idx="755">
                  <c:v>252.99999999998394</c:v>
                </c:pt>
                <c:pt idx="756">
                  <c:v>253.99999999998394</c:v>
                </c:pt>
                <c:pt idx="757">
                  <c:v>254.99999999998391</c:v>
                </c:pt>
                <c:pt idx="758">
                  <c:v>255.99999999998391</c:v>
                </c:pt>
                <c:pt idx="759">
                  <c:v>256.99999999998386</c:v>
                </c:pt>
                <c:pt idx="760">
                  <c:v>257.99999999998386</c:v>
                </c:pt>
                <c:pt idx="761">
                  <c:v>258.9999999999838</c:v>
                </c:pt>
                <c:pt idx="762">
                  <c:v>259.9999999999838</c:v>
                </c:pt>
                <c:pt idx="763">
                  <c:v>260.99999999998374</c:v>
                </c:pt>
                <c:pt idx="764">
                  <c:v>261.99999999998374</c:v>
                </c:pt>
                <c:pt idx="765">
                  <c:v>262.99999999998374</c:v>
                </c:pt>
                <c:pt idx="766">
                  <c:v>263.99999999998374</c:v>
                </c:pt>
                <c:pt idx="767">
                  <c:v>264.99999999998369</c:v>
                </c:pt>
                <c:pt idx="768">
                  <c:v>265.99999999998369</c:v>
                </c:pt>
                <c:pt idx="769">
                  <c:v>266.99999999998363</c:v>
                </c:pt>
                <c:pt idx="770">
                  <c:v>267.99999999998363</c:v>
                </c:pt>
                <c:pt idx="771">
                  <c:v>268.99999999998363</c:v>
                </c:pt>
                <c:pt idx="772">
                  <c:v>269.99999999998357</c:v>
                </c:pt>
                <c:pt idx="773">
                  <c:v>270.99999999998357</c:v>
                </c:pt>
                <c:pt idx="774">
                  <c:v>271.99999999998352</c:v>
                </c:pt>
                <c:pt idx="775">
                  <c:v>272.99999999998352</c:v>
                </c:pt>
                <c:pt idx="776">
                  <c:v>273.99999999998352</c:v>
                </c:pt>
                <c:pt idx="777">
                  <c:v>274.99999999998352</c:v>
                </c:pt>
                <c:pt idx="778">
                  <c:v>275.99999999998346</c:v>
                </c:pt>
                <c:pt idx="779">
                  <c:v>276.99999999998346</c:v>
                </c:pt>
                <c:pt idx="780">
                  <c:v>277.9999999999834</c:v>
                </c:pt>
                <c:pt idx="781">
                  <c:v>278.9999999999834</c:v>
                </c:pt>
                <c:pt idx="782">
                  <c:v>279.99999999998334</c:v>
                </c:pt>
                <c:pt idx="783">
                  <c:v>280.99999999998334</c:v>
                </c:pt>
                <c:pt idx="784">
                  <c:v>281.99999999998329</c:v>
                </c:pt>
                <c:pt idx="785">
                  <c:v>282.99999999998329</c:v>
                </c:pt>
                <c:pt idx="786">
                  <c:v>283.99999999998329</c:v>
                </c:pt>
                <c:pt idx="787">
                  <c:v>284.99999999998329</c:v>
                </c:pt>
                <c:pt idx="788">
                  <c:v>285.99999999998329</c:v>
                </c:pt>
                <c:pt idx="789">
                  <c:v>286.99999999998323</c:v>
                </c:pt>
                <c:pt idx="790">
                  <c:v>287.99999999998323</c:v>
                </c:pt>
                <c:pt idx="791">
                  <c:v>288.99999999998317</c:v>
                </c:pt>
                <c:pt idx="792">
                  <c:v>289.99999999998317</c:v>
                </c:pt>
                <c:pt idx="793">
                  <c:v>290.99999999998312</c:v>
                </c:pt>
                <c:pt idx="794">
                  <c:v>291.99999999998312</c:v>
                </c:pt>
                <c:pt idx="795">
                  <c:v>292.99999999998306</c:v>
                </c:pt>
                <c:pt idx="796">
                  <c:v>293.99999999998306</c:v>
                </c:pt>
                <c:pt idx="797">
                  <c:v>294.99999999998306</c:v>
                </c:pt>
                <c:pt idx="798">
                  <c:v>295.99999999998306</c:v>
                </c:pt>
                <c:pt idx="799">
                  <c:v>296.999999999983</c:v>
                </c:pt>
                <c:pt idx="800">
                  <c:v>297.999999999983</c:v>
                </c:pt>
                <c:pt idx="801">
                  <c:v>298.99999999998295</c:v>
                </c:pt>
                <c:pt idx="802">
                  <c:v>299.99999999998295</c:v>
                </c:pt>
                <c:pt idx="803">
                  <c:v>300.99999999998295</c:v>
                </c:pt>
                <c:pt idx="804">
                  <c:v>301.99999999998295</c:v>
                </c:pt>
                <c:pt idx="805">
                  <c:v>302.999999999983</c:v>
                </c:pt>
                <c:pt idx="806">
                  <c:v>303.99999999998295</c:v>
                </c:pt>
                <c:pt idx="807">
                  <c:v>304.99999999998295</c:v>
                </c:pt>
                <c:pt idx="808">
                  <c:v>305.99999999998295</c:v>
                </c:pt>
                <c:pt idx="809">
                  <c:v>306.999999999983</c:v>
                </c:pt>
                <c:pt idx="810">
                  <c:v>307.99999999998295</c:v>
                </c:pt>
                <c:pt idx="811">
                  <c:v>308.99999999998295</c:v>
                </c:pt>
                <c:pt idx="812">
                  <c:v>309.99999999998295</c:v>
                </c:pt>
                <c:pt idx="813">
                  <c:v>310.999999999983</c:v>
                </c:pt>
                <c:pt idx="814">
                  <c:v>311.99999999998295</c:v>
                </c:pt>
                <c:pt idx="815">
                  <c:v>312.99999999998295</c:v>
                </c:pt>
                <c:pt idx="816">
                  <c:v>313.99999999998295</c:v>
                </c:pt>
                <c:pt idx="817">
                  <c:v>314.999999999983</c:v>
                </c:pt>
                <c:pt idx="818">
                  <c:v>315.99999999998295</c:v>
                </c:pt>
                <c:pt idx="819">
                  <c:v>316.99999999998295</c:v>
                </c:pt>
                <c:pt idx="820">
                  <c:v>317.99999999998295</c:v>
                </c:pt>
                <c:pt idx="821">
                  <c:v>318.999999999983</c:v>
                </c:pt>
                <c:pt idx="822">
                  <c:v>319.99999999998295</c:v>
                </c:pt>
                <c:pt idx="823">
                  <c:v>320.99999999998295</c:v>
                </c:pt>
                <c:pt idx="824">
                  <c:v>321.99999999998295</c:v>
                </c:pt>
                <c:pt idx="825">
                  <c:v>322.999999999983</c:v>
                </c:pt>
                <c:pt idx="826">
                  <c:v>323.99999999998295</c:v>
                </c:pt>
                <c:pt idx="827">
                  <c:v>324.99999999998295</c:v>
                </c:pt>
                <c:pt idx="828">
                  <c:v>325.999999999983</c:v>
                </c:pt>
                <c:pt idx="829">
                  <c:v>326.999999999983</c:v>
                </c:pt>
                <c:pt idx="830">
                  <c:v>327.999999999983</c:v>
                </c:pt>
                <c:pt idx="831">
                  <c:v>328.99999999998295</c:v>
                </c:pt>
                <c:pt idx="832">
                  <c:v>329.999999999983</c:v>
                </c:pt>
                <c:pt idx="833">
                  <c:v>330.999999999983</c:v>
                </c:pt>
                <c:pt idx="834">
                  <c:v>331.999999999983</c:v>
                </c:pt>
                <c:pt idx="835">
                  <c:v>332.99999999998295</c:v>
                </c:pt>
                <c:pt idx="836">
                  <c:v>333.999999999983</c:v>
                </c:pt>
                <c:pt idx="837">
                  <c:v>334.999999999983</c:v>
                </c:pt>
                <c:pt idx="838">
                  <c:v>335.999999999983</c:v>
                </c:pt>
                <c:pt idx="839">
                  <c:v>336.99999999998295</c:v>
                </c:pt>
                <c:pt idx="840">
                  <c:v>337.999999999983</c:v>
                </c:pt>
                <c:pt idx="841">
                  <c:v>338.999999999983</c:v>
                </c:pt>
                <c:pt idx="842">
                  <c:v>339.999999999983</c:v>
                </c:pt>
                <c:pt idx="843">
                  <c:v>340.99999999998295</c:v>
                </c:pt>
                <c:pt idx="844">
                  <c:v>341.999999999983</c:v>
                </c:pt>
                <c:pt idx="845">
                  <c:v>342.999999999983</c:v>
                </c:pt>
                <c:pt idx="846">
                  <c:v>343.999999999983</c:v>
                </c:pt>
                <c:pt idx="847">
                  <c:v>344.99999999998295</c:v>
                </c:pt>
                <c:pt idx="848">
                  <c:v>345.999999999983</c:v>
                </c:pt>
                <c:pt idx="849">
                  <c:v>346.999999999983</c:v>
                </c:pt>
                <c:pt idx="850">
                  <c:v>347.999999999983</c:v>
                </c:pt>
                <c:pt idx="851">
                  <c:v>348.99999999998295</c:v>
                </c:pt>
                <c:pt idx="852">
                  <c:v>349.999999999983</c:v>
                </c:pt>
                <c:pt idx="853">
                  <c:v>350.999999999983</c:v>
                </c:pt>
                <c:pt idx="854">
                  <c:v>351.999999999983</c:v>
                </c:pt>
                <c:pt idx="855">
                  <c:v>352.999999999983</c:v>
                </c:pt>
                <c:pt idx="856">
                  <c:v>353.999999999983</c:v>
                </c:pt>
                <c:pt idx="857">
                  <c:v>354.99999999998306</c:v>
                </c:pt>
                <c:pt idx="858">
                  <c:v>355.999999999983</c:v>
                </c:pt>
                <c:pt idx="859">
                  <c:v>356.999999999983</c:v>
                </c:pt>
                <c:pt idx="860">
                  <c:v>357.999999999983</c:v>
                </c:pt>
                <c:pt idx="861">
                  <c:v>358.99999999998306</c:v>
                </c:pt>
                <c:pt idx="862">
                  <c:v>359.999999999983</c:v>
                </c:pt>
                <c:pt idx="863">
                  <c:v>360.999999999983</c:v>
                </c:pt>
                <c:pt idx="864">
                  <c:v>361.999999999983</c:v>
                </c:pt>
                <c:pt idx="865">
                  <c:v>362.99999999998306</c:v>
                </c:pt>
                <c:pt idx="866">
                  <c:v>363.999999999983</c:v>
                </c:pt>
                <c:pt idx="867">
                  <c:v>364.999999999983</c:v>
                </c:pt>
                <c:pt idx="868">
                  <c:v>365.999999999983</c:v>
                </c:pt>
                <c:pt idx="869">
                  <c:v>366.99999999998306</c:v>
                </c:pt>
                <c:pt idx="870">
                  <c:v>367.999999999983</c:v>
                </c:pt>
                <c:pt idx="871">
                  <c:v>368.999999999983</c:v>
                </c:pt>
                <c:pt idx="872">
                  <c:v>369.999999999983</c:v>
                </c:pt>
                <c:pt idx="873">
                  <c:v>370.99999999998306</c:v>
                </c:pt>
                <c:pt idx="874">
                  <c:v>371.999999999983</c:v>
                </c:pt>
                <c:pt idx="875">
                  <c:v>372.999999999983</c:v>
                </c:pt>
                <c:pt idx="876">
                  <c:v>373.999999999983</c:v>
                </c:pt>
                <c:pt idx="877">
                  <c:v>374.99999999998306</c:v>
                </c:pt>
                <c:pt idx="878">
                  <c:v>375.999999999983</c:v>
                </c:pt>
                <c:pt idx="879">
                  <c:v>376.999999999983</c:v>
                </c:pt>
                <c:pt idx="880">
                  <c:v>377.99999999998306</c:v>
                </c:pt>
                <c:pt idx="881">
                  <c:v>378.99999999998306</c:v>
                </c:pt>
                <c:pt idx="882">
                  <c:v>379.99999999998306</c:v>
                </c:pt>
                <c:pt idx="883">
                  <c:v>380.999999999983</c:v>
                </c:pt>
                <c:pt idx="884">
                  <c:v>381.99999999998306</c:v>
                </c:pt>
                <c:pt idx="885">
                  <c:v>382.99999999998306</c:v>
                </c:pt>
                <c:pt idx="886">
                  <c:v>383.99999999998306</c:v>
                </c:pt>
                <c:pt idx="887">
                  <c:v>384.999999999983</c:v>
                </c:pt>
                <c:pt idx="888">
                  <c:v>385.99999999998306</c:v>
                </c:pt>
                <c:pt idx="889">
                  <c:v>386.99999999998306</c:v>
                </c:pt>
                <c:pt idx="890">
                  <c:v>387.99999999998306</c:v>
                </c:pt>
                <c:pt idx="891">
                  <c:v>388.999999999983</c:v>
                </c:pt>
                <c:pt idx="892">
                  <c:v>389.99999999998306</c:v>
                </c:pt>
                <c:pt idx="893">
                  <c:v>390.99999999998306</c:v>
                </c:pt>
                <c:pt idx="894">
                  <c:v>391.99999999998306</c:v>
                </c:pt>
                <c:pt idx="895">
                  <c:v>392.999999999983</c:v>
                </c:pt>
                <c:pt idx="896">
                  <c:v>393.99999999998306</c:v>
                </c:pt>
                <c:pt idx="897">
                  <c:v>394.99999999998306</c:v>
                </c:pt>
                <c:pt idx="898">
                  <c:v>395.99999999998306</c:v>
                </c:pt>
                <c:pt idx="899">
                  <c:v>396.999999999983</c:v>
                </c:pt>
                <c:pt idx="900">
                  <c:v>397.99999999998306</c:v>
                </c:pt>
                <c:pt idx="901">
                  <c:v>398.99999999998306</c:v>
                </c:pt>
                <c:pt idx="902">
                  <c:v>399.99999999998306</c:v>
                </c:pt>
                <c:pt idx="903">
                  <c:v>400.999999999983</c:v>
                </c:pt>
                <c:pt idx="904">
                  <c:v>401.99999999998306</c:v>
                </c:pt>
                <c:pt idx="905">
                  <c:v>402.99999999998306</c:v>
                </c:pt>
                <c:pt idx="906">
                  <c:v>403.99999999998306</c:v>
                </c:pt>
                <c:pt idx="907">
                  <c:v>404.99999999998306</c:v>
                </c:pt>
                <c:pt idx="908">
                  <c:v>405.999999999983</c:v>
                </c:pt>
                <c:pt idx="909">
                  <c:v>406.99999999998306</c:v>
                </c:pt>
                <c:pt idx="910">
                  <c:v>407.99999999998306</c:v>
                </c:pt>
                <c:pt idx="911">
                  <c:v>408.99999999998306</c:v>
                </c:pt>
                <c:pt idx="912">
                  <c:v>409.99999999998306</c:v>
                </c:pt>
                <c:pt idx="913">
                  <c:v>410.99999999998306</c:v>
                </c:pt>
                <c:pt idx="914">
                  <c:v>411.99999999998306</c:v>
                </c:pt>
                <c:pt idx="915">
                  <c:v>412.999999999983</c:v>
                </c:pt>
                <c:pt idx="916">
                  <c:v>413.999999999983</c:v>
                </c:pt>
                <c:pt idx="917">
                  <c:v>414.99999999998306</c:v>
                </c:pt>
                <c:pt idx="918">
                  <c:v>415.99999999998306</c:v>
                </c:pt>
                <c:pt idx="919">
                  <c:v>416.999999999983</c:v>
                </c:pt>
                <c:pt idx="920">
                  <c:v>417.99999999998306</c:v>
                </c:pt>
                <c:pt idx="921">
                  <c:v>418.99999999998306</c:v>
                </c:pt>
                <c:pt idx="922">
                  <c:v>419.99999999998306</c:v>
                </c:pt>
                <c:pt idx="923">
                  <c:v>420.999999999983</c:v>
                </c:pt>
                <c:pt idx="924">
                  <c:v>421.999999999983</c:v>
                </c:pt>
                <c:pt idx="925">
                  <c:v>422.99999999998306</c:v>
                </c:pt>
                <c:pt idx="926">
                  <c:v>423.99999999998306</c:v>
                </c:pt>
                <c:pt idx="927">
                  <c:v>424.999999999983</c:v>
                </c:pt>
                <c:pt idx="928">
                  <c:v>425.99999999998306</c:v>
                </c:pt>
                <c:pt idx="929">
                  <c:v>426.99999999998306</c:v>
                </c:pt>
                <c:pt idx="930">
                  <c:v>427.99999999998306</c:v>
                </c:pt>
                <c:pt idx="931">
                  <c:v>428.99999999998306</c:v>
                </c:pt>
                <c:pt idx="932">
                  <c:v>429.999999999983</c:v>
                </c:pt>
                <c:pt idx="933">
                  <c:v>430.99999999998306</c:v>
                </c:pt>
                <c:pt idx="934">
                  <c:v>431.99999999998306</c:v>
                </c:pt>
                <c:pt idx="935">
                  <c:v>432.99999999998306</c:v>
                </c:pt>
                <c:pt idx="936">
                  <c:v>433.99999999998306</c:v>
                </c:pt>
                <c:pt idx="937">
                  <c:v>434.99999999998306</c:v>
                </c:pt>
                <c:pt idx="938">
                  <c:v>435.99999999998306</c:v>
                </c:pt>
                <c:pt idx="939">
                  <c:v>436.99999999998306</c:v>
                </c:pt>
                <c:pt idx="940">
                  <c:v>437.999999999983</c:v>
                </c:pt>
                <c:pt idx="941">
                  <c:v>438.99999999998306</c:v>
                </c:pt>
                <c:pt idx="942">
                  <c:v>439.99999999998306</c:v>
                </c:pt>
                <c:pt idx="943">
                  <c:v>440.99999999998306</c:v>
                </c:pt>
                <c:pt idx="944">
                  <c:v>441.99999999998306</c:v>
                </c:pt>
                <c:pt idx="945">
                  <c:v>442.99999999998306</c:v>
                </c:pt>
                <c:pt idx="946">
                  <c:v>443.99999999998306</c:v>
                </c:pt>
                <c:pt idx="947">
                  <c:v>444.99999999998306</c:v>
                </c:pt>
                <c:pt idx="948">
                  <c:v>445.999999999983</c:v>
                </c:pt>
                <c:pt idx="949">
                  <c:v>446.99999999998306</c:v>
                </c:pt>
                <c:pt idx="950">
                  <c:v>447.99999999998306</c:v>
                </c:pt>
                <c:pt idx="951">
                  <c:v>448.99999999998306</c:v>
                </c:pt>
                <c:pt idx="952">
                  <c:v>449.99999999998306</c:v>
                </c:pt>
                <c:pt idx="953">
                  <c:v>450.99999999998306</c:v>
                </c:pt>
                <c:pt idx="954">
                  <c:v>451.99999999998306</c:v>
                </c:pt>
                <c:pt idx="955">
                  <c:v>452.99999999998306</c:v>
                </c:pt>
                <c:pt idx="956">
                  <c:v>453.99999999998306</c:v>
                </c:pt>
                <c:pt idx="957">
                  <c:v>454.99999999998306</c:v>
                </c:pt>
                <c:pt idx="958">
                  <c:v>455.99999999998306</c:v>
                </c:pt>
                <c:pt idx="959">
                  <c:v>456.99999999998306</c:v>
                </c:pt>
                <c:pt idx="960">
                  <c:v>457.99999999998317</c:v>
                </c:pt>
                <c:pt idx="961">
                  <c:v>458.99999999998306</c:v>
                </c:pt>
                <c:pt idx="962">
                  <c:v>459.99999999998306</c:v>
                </c:pt>
                <c:pt idx="963">
                  <c:v>460.99999999998306</c:v>
                </c:pt>
                <c:pt idx="964">
                  <c:v>461.99999999998306</c:v>
                </c:pt>
                <c:pt idx="965">
                  <c:v>462.99999999998306</c:v>
                </c:pt>
                <c:pt idx="966">
                  <c:v>463.99999999998306</c:v>
                </c:pt>
                <c:pt idx="967">
                  <c:v>464.99999999998306</c:v>
                </c:pt>
                <c:pt idx="968">
                  <c:v>465.99999999998317</c:v>
                </c:pt>
                <c:pt idx="969">
                  <c:v>466.99999999998306</c:v>
                </c:pt>
                <c:pt idx="970">
                  <c:v>467.99999999998306</c:v>
                </c:pt>
                <c:pt idx="971">
                  <c:v>468.99999999998306</c:v>
                </c:pt>
                <c:pt idx="972">
                  <c:v>469.99999999998306</c:v>
                </c:pt>
                <c:pt idx="973">
                  <c:v>470.99999999998306</c:v>
                </c:pt>
                <c:pt idx="974">
                  <c:v>471.99999999998306</c:v>
                </c:pt>
                <c:pt idx="975">
                  <c:v>472.99999999998306</c:v>
                </c:pt>
                <c:pt idx="976">
                  <c:v>473.99999999998317</c:v>
                </c:pt>
                <c:pt idx="977">
                  <c:v>474.99999999998306</c:v>
                </c:pt>
                <c:pt idx="978">
                  <c:v>475.99999999998306</c:v>
                </c:pt>
                <c:pt idx="979">
                  <c:v>476.99999999998306</c:v>
                </c:pt>
                <c:pt idx="980">
                  <c:v>477.99999999998306</c:v>
                </c:pt>
                <c:pt idx="981">
                  <c:v>478.99999999998306</c:v>
                </c:pt>
                <c:pt idx="982">
                  <c:v>479.99999999998306</c:v>
                </c:pt>
                <c:pt idx="983">
                  <c:v>480.99999999998306</c:v>
                </c:pt>
                <c:pt idx="984">
                  <c:v>481.99999999998317</c:v>
                </c:pt>
                <c:pt idx="985">
                  <c:v>482.99999999998317</c:v>
                </c:pt>
                <c:pt idx="986">
                  <c:v>483.99999999998306</c:v>
                </c:pt>
                <c:pt idx="987">
                  <c:v>484.99999999998306</c:v>
                </c:pt>
                <c:pt idx="988">
                  <c:v>485.99999999998306</c:v>
                </c:pt>
                <c:pt idx="989">
                  <c:v>486.99999999998317</c:v>
                </c:pt>
                <c:pt idx="990">
                  <c:v>487.99999999998306</c:v>
                </c:pt>
                <c:pt idx="991">
                  <c:v>488.99999999998306</c:v>
                </c:pt>
                <c:pt idx="992">
                  <c:v>489.99999999998306</c:v>
                </c:pt>
                <c:pt idx="993">
                  <c:v>490.99999999998317</c:v>
                </c:pt>
                <c:pt idx="994">
                  <c:v>491.99999999998306</c:v>
                </c:pt>
                <c:pt idx="995">
                  <c:v>492.99999999998306</c:v>
                </c:pt>
                <c:pt idx="996">
                  <c:v>493.99999999998306</c:v>
                </c:pt>
                <c:pt idx="997">
                  <c:v>494.99999999998317</c:v>
                </c:pt>
                <c:pt idx="998">
                  <c:v>495.99999999998306</c:v>
                </c:pt>
                <c:pt idx="999">
                  <c:v>496.99999999998306</c:v>
                </c:pt>
                <c:pt idx="1000">
                  <c:v>497.99999999998306</c:v>
                </c:pt>
                <c:pt idx="1001">
                  <c:v>498.99999999998317</c:v>
                </c:pt>
                <c:pt idx="1002">
                  <c:v>499.99999999998306</c:v>
                </c:pt>
                <c:pt idx="1003">
                  <c:v>500.99999999998306</c:v>
                </c:pt>
                <c:pt idx="1004">
                  <c:v>501.99999999998306</c:v>
                </c:pt>
                <c:pt idx="1005">
                  <c:v>502.99999999998317</c:v>
                </c:pt>
                <c:pt idx="1006">
                  <c:v>503.99999999998306</c:v>
                </c:pt>
                <c:pt idx="1007">
                  <c:v>504.99999999998306</c:v>
                </c:pt>
                <c:pt idx="1008">
                  <c:v>505.99999999998306</c:v>
                </c:pt>
                <c:pt idx="1009">
                  <c:v>506.99999999998317</c:v>
                </c:pt>
                <c:pt idx="1010">
                  <c:v>507.99999999998317</c:v>
                </c:pt>
                <c:pt idx="1011">
                  <c:v>508.99999999998306</c:v>
                </c:pt>
                <c:pt idx="1012">
                  <c:v>509.99999999998306</c:v>
                </c:pt>
                <c:pt idx="1013">
                  <c:v>510.99999999998306</c:v>
                </c:pt>
                <c:pt idx="1014">
                  <c:v>511.99999999998317</c:v>
                </c:pt>
                <c:pt idx="1015">
                  <c:v>512.99999999998306</c:v>
                </c:pt>
                <c:pt idx="1016">
                  <c:v>513.99999999998306</c:v>
                </c:pt>
                <c:pt idx="1017">
                  <c:v>514.99999999998306</c:v>
                </c:pt>
                <c:pt idx="1018">
                  <c:v>515.99999999998317</c:v>
                </c:pt>
                <c:pt idx="1019">
                  <c:v>516.99999999998306</c:v>
                </c:pt>
                <c:pt idx="1020">
                  <c:v>517.99999999998306</c:v>
                </c:pt>
                <c:pt idx="1021">
                  <c:v>518.99999999998306</c:v>
                </c:pt>
                <c:pt idx="1022">
                  <c:v>519.99999999998317</c:v>
                </c:pt>
                <c:pt idx="1023">
                  <c:v>520.99999999998306</c:v>
                </c:pt>
                <c:pt idx="1024">
                  <c:v>521.99999999998306</c:v>
                </c:pt>
                <c:pt idx="1025">
                  <c:v>522.99999999998306</c:v>
                </c:pt>
                <c:pt idx="1026">
                  <c:v>523.99999999998317</c:v>
                </c:pt>
                <c:pt idx="1027">
                  <c:v>524.99999999998306</c:v>
                </c:pt>
                <c:pt idx="1028">
                  <c:v>525.99999999998306</c:v>
                </c:pt>
                <c:pt idx="1029">
                  <c:v>526.99999999998306</c:v>
                </c:pt>
                <c:pt idx="1030">
                  <c:v>527.99999999998317</c:v>
                </c:pt>
                <c:pt idx="1031">
                  <c:v>528.99999999998306</c:v>
                </c:pt>
                <c:pt idx="1032">
                  <c:v>529.99999999998306</c:v>
                </c:pt>
                <c:pt idx="1033">
                  <c:v>530.99999999998306</c:v>
                </c:pt>
                <c:pt idx="1034">
                  <c:v>531.99999999998317</c:v>
                </c:pt>
                <c:pt idx="1035">
                  <c:v>532.99999999998317</c:v>
                </c:pt>
                <c:pt idx="1036">
                  <c:v>533.99999999998306</c:v>
                </c:pt>
                <c:pt idx="1037">
                  <c:v>534.99999999998306</c:v>
                </c:pt>
                <c:pt idx="1038">
                  <c:v>535.99999999998317</c:v>
                </c:pt>
                <c:pt idx="1039">
                  <c:v>536.99999999998317</c:v>
                </c:pt>
                <c:pt idx="1040">
                  <c:v>537.99999999998306</c:v>
                </c:pt>
                <c:pt idx="1041">
                  <c:v>538.99999999998306</c:v>
                </c:pt>
                <c:pt idx="1042">
                  <c:v>539.99999999998317</c:v>
                </c:pt>
                <c:pt idx="1043">
                  <c:v>540.99999999998317</c:v>
                </c:pt>
                <c:pt idx="1044">
                  <c:v>541.99999999998306</c:v>
                </c:pt>
                <c:pt idx="1045">
                  <c:v>542.99999999998306</c:v>
                </c:pt>
                <c:pt idx="1046">
                  <c:v>543.99999999998317</c:v>
                </c:pt>
                <c:pt idx="1047">
                  <c:v>544.99999999998317</c:v>
                </c:pt>
                <c:pt idx="1048">
                  <c:v>545.99999999998306</c:v>
                </c:pt>
                <c:pt idx="1049">
                  <c:v>546.99999999998306</c:v>
                </c:pt>
                <c:pt idx="1050">
                  <c:v>547.99999999998317</c:v>
                </c:pt>
                <c:pt idx="1051">
                  <c:v>548.99999999998317</c:v>
                </c:pt>
                <c:pt idx="1052">
                  <c:v>549.99999999998306</c:v>
                </c:pt>
                <c:pt idx="1053">
                  <c:v>550.99999999998306</c:v>
                </c:pt>
                <c:pt idx="1054">
                  <c:v>551.99999999998317</c:v>
                </c:pt>
                <c:pt idx="1055">
                  <c:v>552.99999999998317</c:v>
                </c:pt>
                <c:pt idx="1056">
                  <c:v>553.99999999998306</c:v>
                </c:pt>
                <c:pt idx="1057">
                  <c:v>554.99999999998306</c:v>
                </c:pt>
                <c:pt idx="1058">
                  <c:v>555.99999999998317</c:v>
                </c:pt>
                <c:pt idx="1059">
                  <c:v>556.99999999998317</c:v>
                </c:pt>
                <c:pt idx="1060">
                  <c:v>557.99999999998317</c:v>
                </c:pt>
                <c:pt idx="1061">
                  <c:v>558.99999999998306</c:v>
                </c:pt>
                <c:pt idx="1062">
                  <c:v>559.99999999998317</c:v>
                </c:pt>
                <c:pt idx="1063">
                  <c:v>560.99999999998317</c:v>
                </c:pt>
                <c:pt idx="1064">
                  <c:v>561.99999999998317</c:v>
                </c:pt>
                <c:pt idx="1065">
                  <c:v>562.99999999998306</c:v>
                </c:pt>
                <c:pt idx="1066">
                  <c:v>563.99999999998317</c:v>
                </c:pt>
                <c:pt idx="1067">
                  <c:v>564.99999999998317</c:v>
                </c:pt>
                <c:pt idx="1068">
                  <c:v>565.99999999998317</c:v>
                </c:pt>
                <c:pt idx="1069">
                  <c:v>566.99999999998306</c:v>
                </c:pt>
                <c:pt idx="1070">
                  <c:v>567.99999999998317</c:v>
                </c:pt>
                <c:pt idx="1071">
                  <c:v>568.99999999998317</c:v>
                </c:pt>
                <c:pt idx="1072">
                  <c:v>569.99999999998317</c:v>
                </c:pt>
                <c:pt idx="1073">
                  <c:v>570.99999999998306</c:v>
                </c:pt>
                <c:pt idx="1074">
                  <c:v>571.99999999998317</c:v>
                </c:pt>
                <c:pt idx="1075">
                  <c:v>572.99999999998317</c:v>
                </c:pt>
                <c:pt idx="1076">
                  <c:v>573.99999999998317</c:v>
                </c:pt>
                <c:pt idx="1077">
                  <c:v>574.99999999998306</c:v>
                </c:pt>
                <c:pt idx="1078">
                  <c:v>575.99999999998317</c:v>
                </c:pt>
                <c:pt idx="1079">
                  <c:v>576.99999999998317</c:v>
                </c:pt>
                <c:pt idx="1080">
                  <c:v>577.99999999998317</c:v>
                </c:pt>
                <c:pt idx="1081">
                  <c:v>578.99999999998306</c:v>
                </c:pt>
                <c:pt idx="1082">
                  <c:v>579.99999999998317</c:v>
                </c:pt>
                <c:pt idx="1083">
                  <c:v>580.99999999998317</c:v>
                </c:pt>
                <c:pt idx="1084">
                  <c:v>581.99999999998317</c:v>
                </c:pt>
                <c:pt idx="1085">
                  <c:v>582.99999999998317</c:v>
                </c:pt>
                <c:pt idx="1086">
                  <c:v>583.99999999998317</c:v>
                </c:pt>
                <c:pt idx="1087">
                  <c:v>584.99999999998317</c:v>
                </c:pt>
                <c:pt idx="1088">
                  <c:v>585.99999999998317</c:v>
                </c:pt>
                <c:pt idx="1089">
                  <c:v>586.99999999998317</c:v>
                </c:pt>
                <c:pt idx="1090">
                  <c:v>587.99999999998317</c:v>
                </c:pt>
                <c:pt idx="1091">
                  <c:v>588.99999999998317</c:v>
                </c:pt>
                <c:pt idx="1092">
                  <c:v>589.99999999998317</c:v>
                </c:pt>
                <c:pt idx="1093">
                  <c:v>590.99999999998317</c:v>
                </c:pt>
                <c:pt idx="1094">
                  <c:v>591.99999999998317</c:v>
                </c:pt>
                <c:pt idx="1095">
                  <c:v>592.99999999998317</c:v>
                </c:pt>
                <c:pt idx="1096">
                  <c:v>593.99999999998317</c:v>
                </c:pt>
                <c:pt idx="1097">
                  <c:v>594.99999999998317</c:v>
                </c:pt>
                <c:pt idx="1098">
                  <c:v>595.99999999998317</c:v>
                </c:pt>
                <c:pt idx="1099">
                  <c:v>596.99999999998317</c:v>
                </c:pt>
                <c:pt idx="1100">
                  <c:v>597.99999999998317</c:v>
                </c:pt>
                <c:pt idx="1101">
                  <c:v>598.99999999998317</c:v>
                </c:pt>
                <c:pt idx="1102">
                  <c:v>599.99999999998317</c:v>
                </c:pt>
                <c:pt idx="1103">
                  <c:v>600.99999999998317</c:v>
                </c:pt>
                <c:pt idx="1104">
                  <c:v>601.99999999998317</c:v>
                </c:pt>
                <c:pt idx="1105">
                  <c:v>602.99999999998317</c:v>
                </c:pt>
                <c:pt idx="1106">
                  <c:v>603.99999999998317</c:v>
                </c:pt>
                <c:pt idx="1107">
                  <c:v>604.99999999998317</c:v>
                </c:pt>
                <c:pt idx="1108">
                  <c:v>605.99999999998317</c:v>
                </c:pt>
                <c:pt idx="1109">
                  <c:v>606.99999999998317</c:v>
                </c:pt>
                <c:pt idx="1110">
                  <c:v>607.99999999998317</c:v>
                </c:pt>
                <c:pt idx="1111">
                  <c:v>608.99999999998317</c:v>
                </c:pt>
                <c:pt idx="1112">
                  <c:v>609.99999999998317</c:v>
                </c:pt>
                <c:pt idx="1113">
                  <c:v>610.99999999998317</c:v>
                </c:pt>
                <c:pt idx="1114">
                  <c:v>611.99999999998329</c:v>
                </c:pt>
                <c:pt idx="1115">
                  <c:v>612.99999999998317</c:v>
                </c:pt>
                <c:pt idx="1116">
                  <c:v>613.99999999998317</c:v>
                </c:pt>
                <c:pt idx="1117">
                  <c:v>614.99999999998317</c:v>
                </c:pt>
                <c:pt idx="1118">
                  <c:v>615.99999999998317</c:v>
                </c:pt>
                <c:pt idx="1119">
                  <c:v>616.99999999998317</c:v>
                </c:pt>
                <c:pt idx="1120">
                  <c:v>617.99999999998317</c:v>
                </c:pt>
                <c:pt idx="1121">
                  <c:v>618.99999999998317</c:v>
                </c:pt>
                <c:pt idx="1122">
                  <c:v>619.99999999998329</c:v>
                </c:pt>
                <c:pt idx="1123">
                  <c:v>620.99999999998317</c:v>
                </c:pt>
                <c:pt idx="1124">
                  <c:v>621.99999999998317</c:v>
                </c:pt>
                <c:pt idx="1125">
                  <c:v>622.99999999998317</c:v>
                </c:pt>
                <c:pt idx="1126">
                  <c:v>623.99999999998317</c:v>
                </c:pt>
                <c:pt idx="1127">
                  <c:v>624.99999999998317</c:v>
                </c:pt>
                <c:pt idx="1128">
                  <c:v>625.99999999998317</c:v>
                </c:pt>
                <c:pt idx="1129">
                  <c:v>626.99999999998317</c:v>
                </c:pt>
                <c:pt idx="1130">
                  <c:v>627.99999999998329</c:v>
                </c:pt>
                <c:pt idx="1131">
                  <c:v>628.99999999998317</c:v>
                </c:pt>
                <c:pt idx="1132">
                  <c:v>629.99999999998317</c:v>
                </c:pt>
                <c:pt idx="1133">
                  <c:v>630.99999999998317</c:v>
                </c:pt>
                <c:pt idx="1134">
                  <c:v>631.99999999998317</c:v>
                </c:pt>
                <c:pt idx="1135">
                  <c:v>632.99999999998329</c:v>
                </c:pt>
                <c:pt idx="1136">
                  <c:v>633.99999999998317</c:v>
                </c:pt>
                <c:pt idx="1137">
                  <c:v>634.99999999998317</c:v>
                </c:pt>
                <c:pt idx="1138">
                  <c:v>635.99999999998329</c:v>
                </c:pt>
                <c:pt idx="1139">
                  <c:v>636.99999999998329</c:v>
                </c:pt>
                <c:pt idx="1140">
                  <c:v>637.99999999998317</c:v>
                </c:pt>
                <c:pt idx="1141">
                  <c:v>638.99999999998317</c:v>
                </c:pt>
                <c:pt idx="1142">
                  <c:v>639.99999999998317</c:v>
                </c:pt>
                <c:pt idx="1143">
                  <c:v>640.99999999998329</c:v>
                </c:pt>
                <c:pt idx="1144">
                  <c:v>641.99999999998317</c:v>
                </c:pt>
                <c:pt idx="1145">
                  <c:v>642.99999999998317</c:v>
                </c:pt>
                <c:pt idx="1146">
                  <c:v>643.99999999998329</c:v>
                </c:pt>
                <c:pt idx="1147">
                  <c:v>644.99999999998329</c:v>
                </c:pt>
                <c:pt idx="1148">
                  <c:v>645.99999999998317</c:v>
                </c:pt>
                <c:pt idx="1149">
                  <c:v>646.99999999998317</c:v>
                </c:pt>
                <c:pt idx="1150">
                  <c:v>647.99999999998317</c:v>
                </c:pt>
                <c:pt idx="1151">
                  <c:v>648.99999999998329</c:v>
                </c:pt>
                <c:pt idx="1152">
                  <c:v>649.99999999998317</c:v>
                </c:pt>
                <c:pt idx="1153">
                  <c:v>650.99999999998317</c:v>
                </c:pt>
                <c:pt idx="1154">
                  <c:v>651.99999999998329</c:v>
                </c:pt>
                <c:pt idx="1155">
                  <c:v>652.99999999998329</c:v>
                </c:pt>
                <c:pt idx="1156">
                  <c:v>653.99999999998317</c:v>
                </c:pt>
                <c:pt idx="1157">
                  <c:v>654.99999999998317</c:v>
                </c:pt>
                <c:pt idx="1158">
                  <c:v>655.99999999998317</c:v>
                </c:pt>
                <c:pt idx="1159">
                  <c:v>656.99999999998329</c:v>
                </c:pt>
                <c:pt idx="1160">
                  <c:v>657.99999999998329</c:v>
                </c:pt>
                <c:pt idx="1161">
                  <c:v>658.99999999998317</c:v>
                </c:pt>
                <c:pt idx="1162">
                  <c:v>659.99999999998329</c:v>
                </c:pt>
                <c:pt idx="1163">
                  <c:v>660.99999999998329</c:v>
                </c:pt>
                <c:pt idx="1164">
                  <c:v>661.99999999998329</c:v>
                </c:pt>
                <c:pt idx="1165">
                  <c:v>662.99999999998317</c:v>
                </c:pt>
                <c:pt idx="1166">
                  <c:v>663.99999999998317</c:v>
                </c:pt>
                <c:pt idx="1167">
                  <c:v>664.99999999998329</c:v>
                </c:pt>
                <c:pt idx="1168">
                  <c:v>665.99999999998329</c:v>
                </c:pt>
                <c:pt idx="1169">
                  <c:v>666.99999999998317</c:v>
                </c:pt>
                <c:pt idx="1170">
                  <c:v>667.99999999998329</c:v>
                </c:pt>
                <c:pt idx="1171">
                  <c:v>668.99999999998329</c:v>
                </c:pt>
                <c:pt idx="1172">
                  <c:v>669.99999999998329</c:v>
                </c:pt>
                <c:pt idx="1173">
                  <c:v>670.99999999998317</c:v>
                </c:pt>
                <c:pt idx="1174">
                  <c:v>671.99999999998317</c:v>
                </c:pt>
                <c:pt idx="1175">
                  <c:v>672.99999999998329</c:v>
                </c:pt>
                <c:pt idx="1176">
                  <c:v>673.99999999998329</c:v>
                </c:pt>
                <c:pt idx="1177">
                  <c:v>674.99999999998317</c:v>
                </c:pt>
                <c:pt idx="1178">
                  <c:v>675.99999999998329</c:v>
                </c:pt>
                <c:pt idx="1179">
                  <c:v>676.99999999998329</c:v>
                </c:pt>
                <c:pt idx="1180">
                  <c:v>677.99999999998329</c:v>
                </c:pt>
                <c:pt idx="1181">
                  <c:v>678.99999999998317</c:v>
                </c:pt>
                <c:pt idx="1182">
                  <c:v>679.99999999998317</c:v>
                </c:pt>
                <c:pt idx="1183">
                  <c:v>680.99999999998329</c:v>
                </c:pt>
                <c:pt idx="1184">
                  <c:v>681.99999999998329</c:v>
                </c:pt>
                <c:pt idx="1185">
                  <c:v>682.99999999998329</c:v>
                </c:pt>
                <c:pt idx="1186">
                  <c:v>683.99999999998329</c:v>
                </c:pt>
                <c:pt idx="1187">
                  <c:v>684.99999999998329</c:v>
                </c:pt>
                <c:pt idx="1188">
                  <c:v>685.99999999998329</c:v>
                </c:pt>
                <c:pt idx="1189">
                  <c:v>686.99999999998329</c:v>
                </c:pt>
                <c:pt idx="1190">
                  <c:v>687.99999999998317</c:v>
                </c:pt>
                <c:pt idx="1191">
                  <c:v>688.99999999998329</c:v>
                </c:pt>
                <c:pt idx="1192">
                  <c:v>689.99999999998329</c:v>
                </c:pt>
                <c:pt idx="1193">
                  <c:v>690.99999999998329</c:v>
                </c:pt>
                <c:pt idx="1194">
                  <c:v>691.99999999998329</c:v>
                </c:pt>
                <c:pt idx="1195">
                  <c:v>692.99999999998329</c:v>
                </c:pt>
                <c:pt idx="1196">
                  <c:v>693.99999999998329</c:v>
                </c:pt>
                <c:pt idx="1197">
                  <c:v>694.99999999998329</c:v>
                </c:pt>
                <c:pt idx="1198">
                  <c:v>695.99999999998317</c:v>
                </c:pt>
                <c:pt idx="1199">
                  <c:v>696.99999999998329</c:v>
                </c:pt>
                <c:pt idx="1200">
                  <c:v>697.99999999998329</c:v>
                </c:pt>
                <c:pt idx="1201">
                  <c:v>698.99999999998329</c:v>
                </c:pt>
                <c:pt idx="1202">
                  <c:v>699.99999999998329</c:v>
                </c:pt>
                <c:pt idx="1203">
                  <c:v>700.99999999998329</c:v>
                </c:pt>
                <c:pt idx="1204">
                  <c:v>701.99999999998329</c:v>
                </c:pt>
                <c:pt idx="1205">
                  <c:v>702.99999999998329</c:v>
                </c:pt>
                <c:pt idx="1206">
                  <c:v>703.99999999998317</c:v>
                </c:pt>
                <c:pt idx="1207">
                  <c:v>704.99999999998317</c:v>
                </c:pt>
                <c:pt idx="1208">
                  <c:v>705.99999999998317</c:v>
                </c:pt>
                <c:pt idx="1209">
                  <c:v>706.99999999998317</c:v>
                </c:pt>
                <c:pt idx="1210">
                  <c:v>707.99999999998317</c:v>
                </c:pt>
                <c:pt idx="1211">
                  <c:v>708.99999999998306</c:v>
                </c:pt>
                <c:pt idx="1212">
                  <c:v>709.99999999998306</c:v>
                </c:pt>
                <c:pt idx="1213">
                  <c:v>710.99999999998306</c:v>
                </c:pt>
                <c:pt idx="1214">
                  <c:v>711.99999999998306</c:v>
                </c:pt>
                <c:pt idx="1215">
                  <c:v>712.99999999998295</c:v>
                </c:pt>
                <c:pt idx="1216">
                  <c:v>713.99999999998295</c:v>
                </c:pt>
                <c:pt idx="1217">
                  <c:v>714.99999999998295</c:v>
                </c:pt>
                <c:pt idx="1218">
                  <c:v>715.99999999998295</c:v>
                </c:pt>
                <c:pt idx="1219">
                  <c:v>716.99999999998295</c:v>
                </c:pt>
                <c:pt idx="1220">
                  <c:v>717.99999999998295</c:v>
                </c:pt>
                <c:pt idx="1221">
                  <c:v>718.99999999998295</c:v>
                </c:pt>
                <c:pt idx="1222">
                  <c:v>719.99999999998295</c:v>
                </c:pt>
                <c:pt idx="1223">
                  <c:v>720.99999999998283</c:v>
                </c:pt>
                <c:pt idx="1224">
                  <c:v>721.99999999998283</c:v>
                </c:pt>
                <c:pt idx="1225">
                  <c:v>722.99999999998283</c:v>
                </c:pt>
                <c:pt idx="1226">
                  <c:v>723.99999999998283</c:v>
                </c:pt>
                <c:pt idx="1227">
                  <c:v>724.99999999998283</c:v>
                </c:pt>
                <c:pt idx="1228">
                  <c:v>725.99999999998272</c:v>
                </c:pt>
                <c:pt idx="1229">
                  <c:v>726.99999999998272</c:v>
                </c:pt>
                <c:pt idx="1230">
                  <c:v>727.99999999998272</c:v>
                </c:pt>
                <c:pt idx="1231">
                  <c:v>728.99999999998272</c:v>
                </c:pt>
                <c:pt idx="1232">
                  <c:v>729.99999999998261</c:v>
                </c:pt>
                <c:pt idx="1233">
                  <c:v>730.99999999998261</c:v>
                </c:pt>
                <c:pt idx="1234">
                  <c:v>731.99999999998261</c:v>
                </c:pt>
                <c:pt idx="1235">
                  <c:v>732.99999999998261</c:v>
                </c:pt>
                <c:pt idx="1236">
                  <c:v>733.99999999998249</c:v>
                </c:pt>
                <c:pt idx="1237">
                  <c:v>734.99999999998249</c:v>
                </c:pt>
                <c:pt idx="1238">
                  <c:v>735.99999999998249</c:v>
                </c:pt>
                <c:pt idx="1239">
                  <c:v>736.99999999998249</c:v>
                </c:pt>
                <c:pt idx="1240">
                  <c:v>737.99999999998249</c:v>
                </c:pt>
                <c:pt idx="1241">
                  <c:v>738.99999999998249</c:v>
                </c:pt>
                <c:pt idx="1242">
                  <c:v>739.99999999998249</c:v>
                </c:pt>
                <c:pt idx="1243">
                  <c:v>740.99999999998249</c:v>
                </c:pt>
                <c:pt idx="1244">
                  <c:v>741.99999999998249</c:v>
                </c:pt>
                <c:pt idx="1245">
                  <c:v>742.99999999998238</c:v>
                </c:pt>
                <c:pt idx="1246">
                  <c:v>743.99999999998238</c:v>
                </c:pt>
                <c:pt idx="1247">
                  <c:v>744.99999999998238</c:v>
                </c:pt>
                <c:pt idx="1248">
                  <c:v>745.99999999998238</c:v>
                </c:pt>
                <c:pt idx="1249">
                  <c:v>746.99999999998226</c:v>
                </c:pt>
                <c:pt idx="1250">
                  <c:v>747.99999999998226</c:v>
                </c:pt>
                <c:pt idx="1251">
                  <c:v>748.99999999998226</c:v>
                </c:pt>
                <c:pt idx="1252">
                  <c:v>749.99999999998226</c:v>
                </c:pt>
                <c:pt idx="1253">
                  <c:v>750.99999999998215</c:v>
                </c:pt>
                <c:pt idx="1254">
                  <c:v>751.99999999998215</c:v>
                </c:pt>
                <c:pt idx="1255">
                  <c:v>752.99999999998215</c:v>
                </c:pt>
                <c:pt idx="1256">
                  <c:v>753.99999999998215</c:v>
                </c:pt>
                <c:pt idx="1257">
                  <c:v>754.99999999998215</c:v>
                </c:pt>
                <c:pt idx="1258">
                  <c:v>755.99999999998204</c:v>
                </c:pt>
                <c:pt idx="1259">
                  <c:v>756.99999999998204</c:v>
                </c:pt>
                <c:pt idx="1260">
                  <c:v>757.99999999998204</c:v>
                </c:pt>
                <c:pt idx="1261">
                  <c:v>758.99999999998204</c:v>
                </c:pt>
                <c:pt idx="1262">
                  <c:v>759.99999999998204</c:v>
                </c:pt>
                <c:pt idx="1263">
                  <c:v>760.99999999998204</c:v>
                </c:pt>
                <c:pt idx="1264">
                  <c:v>761.99999999998204</c:v>
                </c:pt>
                <c:pt idx="1265">
                  <c:v>762.99999999998204</c:v>
                </c:pt>
                <c:pt idx="1266">
                  <c:v>763.99999999998192</c:v>
                </c:pt>
                <c:pt idx="1267">
                  <c:v>764.99999999998192</c:v>
                </c:pt>
                <c:pt idx="1268">
                  <c:v>765.99999999998192</c:v>
                </c:pt>
                <c:pt idx="1269">
                  <c:v>766.99999999998192</c:v>
                </c:pt>
                <c:pt idx="1270">
                  <c:v>767.99999999998181</c:v>
                </c:pt>
                <c:pt idx="1271">
                  <c:v>768.99999999998181</c:v>
                </c:pt>
                <c:pt idx="1272">
                  <c:v>769.99999999998181</c:v>
                </c:pt>
                <c:pt idx="1273">
                  <c:v>770.99999999998181</c:v>
                </c:pt>
                <c:pt idx="1274">
                  <c:v>771.99999999998181</c:v>
                </c:pt>
                <c:pt idx="1275">
                  <c:v>772.9999999999817</c:v>
                </c:pt>
                <c:pt idx="1276">
                  <c:v>773.9999999999817</c:v>
                </c:pt>
                <c:pt idx="1277">
                  <c:v>774.9999999999817</c:v>
                </c:pt>
                <c:pt idx="1278">
                  <c:v>775.9999999999817</c:v>
                </c:pt>
                <c:pt idx="1279">
                  <c:v>776.99999999998158</c:v>
                </c:pt>
                <c:pt idx="1280">
                  <c:v>777.99999999998158</c:v>
                </c:pt>
                <c:pt idx="1281">
                  <c:v>778.99999999998158</c:v>
                </c:pt>
                <c:pt idx="1282">
                  <c:v>779.99999999998158</c:v>
                </c:pt>
                <c:pt idx="1283">
                  <c:v>780.99999999998158</c:v>
                </c:pt>
                <c:pt idx="1284">
                  <c:v>781.99999999998158</c:v>
                </c:pt>
                <c:pt idx="1285">
                  <c:v>782.99999999998158</c:v>
                </c:pt>
                <c:pt idx="1286">
                  <c:v>783.99999999998158</c:v>
                </c:pt>
                <c:pt idx="1287">
                  <c:v>784.99999999998147</c:v>
                </c:pt>
                <c:pt idx="1288">
                  <c:v>785.99999999998147</c:v>
                </c:pt>
                <c:pt idx="1289">
                  <c:v>786.99999999998147</c:v>
                </c:pt>
                <c:pt idx="1290">
                  <c:v>787.99999999998147</c:v>
                </c:pt>
                <c:pt idx="1291">
                  <c:v>788.99999999998147</c:v>
                </c:pt>
                <c:pt idx="1292">
                  <c:v>789.99999999998136</c:v>
                </c:pt>
                <c:pt idx="1293">
                  <c:v>790.99999999998136</c:v>
                </c:pt>
                <c:pt idx="1294">
                  <c:v>791.99999999998136</c:v>
                </c:pt>
                <c:pt idx="1295">
                  <c:v>792.99999999998136</c:v>
                </c:pt>
                <c:pt idx="1296">
                  <c:v>793.99999999998124</c:v>
                </c:pt>
                <c:pt idx="1297">
                  <c:v>794.99999999998124</c:v>
                </c:pt>
                <c:pt idx="1298">
                  <c:v>795.99999999998124</c:v>
                </c:pt>
                <c:pt idx="1299">
                  <c:v>796.99999999998124</c:v>
                </c:pt>
                <c:pt idx="1300">
                  <c:v>797.99999999998113</c:v>
                </c:pt>
                <c:pt idx="1301">
                  <c:v>798.99999999998113</c:v>
                </c:pt>
                <c:pt idx="1302">
                  <c:v>799.99999999998113</c:v>
                </c:pt>
                <c:pt idx="1303">
                  <c:v>800.99999999998113</c:v>
                </c:pt>
                <c:pt idx="1304">
                  <c:v>801.99999999998113</c:v>
                </c:pt>
                <c:pt idx="1305">
                  <c:v>802.99999999998113</c:v>
                </c:pt>
                <c:pt idx="1306">
                  <c:v>803.99999999998113</c:v>
                </c:pt>
                <c:pt idx="1307">
                  <c:v>804.99999999998113</c:v>
                </c:pt>
                <c:pt idx="1308">
                  <c:v>805.99999999998113</c:v>
                </c:pt>
                <c:pt idx="1309">
                  <c:v>806.99999999998101</c:v>
                </c:pt>
                <c:pt idx="1310">
                  <c:v>807.99999999998101</c:v>
                </c:pt>
                <c:pt idx="1311">
                  <c:v>808.99999999998101</c:v>
                </c:pt>
                <c:pt idx="1312">
                  <c:v>809.99999999998101</c:v>
                </c:pt>
                <c:pt idx="1313">
                  <c:v>810.9999999999809</c:v>
                </c:pt>
                <c:pt idx="1314">
                  <c:v>811.9999999999809</c:v>
                </c:pt>
                <c:pt idx="1315">
                  <c:v>812.9999999999809</c:v>
                </c:pt>
                <c:pt idx="1316">
                  <c:v>813.9999999999809</c:v>
                </c:pt>
                <c:pt idx="1317">
                  <c:v>814.99999999998079</c:v>
                </c:pt>
                <c:pt idx="1318">
                  <c:v>815.99999999998079</c:v>
                </c:pt>
                <c:pt idx="1319">
                  <c:v>816.99999999998079</c:v>
                </c:pt>
                <c:pt idx="1320">
                  <c:v>817.99999999998079</c:v>
                </c:pt>
                <c:pt idx="1321">
                  <c:v>818.99999999998079</c:v>
                </c:pt>
                <c:pt idx="1322">
                  <c:v>819.99999999998067</c:v>
                </c:pt>
                <c:pt idx="1323">
                  <c:v>820.99999999998067</c:v>
                </c:pt>
                <c:pt idx="1324">
                  <c:v>821.99999999998067</c:v>
                </c:pt>
                <c:pt idx="1325">
                  <c:v>822.99999999998067</c:v>
                </c:pt>
                <c:pt idx="1326">
                  <c:v>823.99999999998067</c:v>
                </c:pt>
                <c:pt idx="1327">
                  <c:v>824.99999999998067</c:v>
                </c:pt>
                <c:pt idx="1328">
                  <c:v>825.99999999998056</c:v>
                </c:pt>
                <c:pt idx="1329">
                  <c:v>826.99999999998056</c:v>
                </c:pt>
                <c:pt idx="1330">
                  <c:v>827.99999999998056</c:v>
                </c:pt>
                <c:pt idx="1331">
                  <c:v>828.99999999998056</c:v>
                </c:pt>
                <c:pt idx="1332">
                  <c:v>829.99999999998056</c:v>
                </c:pt>
                <c:pt idx="1333">
                  <c:v>830.99999999998056</c:v>
                </c:pt>
                <c:pt idx="1334">
                  <c:v>831.99999999998056</c:v>
                </c:pt>
                <c:pt idx="1335">
                  <c:v>832.99999999998056</c:v>
                </c:pt>
                <c:pt idx="1336">
                  <c:v>833.99999999998033</c:v>
                </c:pt>
                <c:pt idx="1337">
                  <c:v>834.99999999998033</c:v>
                </c:pt>
                <c:pt idx="1338">
                  <c:v>835.99999999998033</c:v>
                </c:pt>
                <c:pt idx="1339">
                  <c:v>836.99999999998033</c:v>
                </c:pt>
                <c:pt idx="1340">
                  <c:v>837.99999999998033</c:v>
                </c:pt>
                <c:pt idx="1341">
                  <c:v>838.99999999998033</c:v>
                </c:pt>
                <c:pt idx="1342">
                  <c:v>839.99999999998033</c:v>
                </c:pt>
                <c:pt idx="1343">
                  <c:v>840.99999999998033</c:v>
                </c:pt>
                <c:pt idx="1344">
                  <c:v>841.99999999998033</c:v>
                </c:pt>
                <c:pt idx="1345">
                  <c:v>842.99999999998022</c:v>
                </c:pt>
                <c:pt idx="1346">
                  <c:v>843.99999999998022</c:v>
                </c:pt>
                <c:pt idx="1347">
                  <c:v>844.99999999998022</c:v>
                </c:pt>
                <c:pt idx="1348">
                  <c:v>845.99999999998022</c:v>
                </c:pt>
                <c:pt idx="1349">
                  <c:v>846.99999999998022</c:v>
                </c:pt>
                <c:pt idx="1350">
                  <c:v>847.99999999998022</c:v>
                </c:pt>
                <c:pt idx="1351">
                  <c:v>848.99999999998022</c:v>
                </c:pt>
                <c:pt idx="1352">
                  <c:v>849.99999999998022</c:v>
                </c:pt>
                <c:pt idx="1353">
                  <c:v>850.99999999998022</c:v>
                </c:pt>
                <c:pt idx="1354">
                  <c:v>851.99999999997999</c:v>
                </c:pt>
                <c:pt idx="1355">
                  <c:v>852.99999999997999</c:v>
                </c:pt>
                <c:pt idx="1356">
                  <c:v>853.99999999997999</c:v>
                </c:pt>
                <c:pt idx="1357">
                  <c:v>854.99999999997999</c:v>
                </c:pt>
                <c:pt idx="1358">
                  <c:v>855.99999999997999</c:v>
                </c:pt>
                <c:pt idx="1359">
                  <c:v>856.99999999997999</c:v>
                </c:pt>
                <c:pt idx="1360">
                  <c:v>857.99999999997999</c:v>
                </c:pt>
                <c:pt idx="1361">
                  <c:v>858.99999999997999</c:v>
                </c:pt>
                <c:pt idx="1362">
                  <c:v>859.99999999997976</c:v>
                </c:pt>
                <c:pt idx="1363">
                  <c:v>860.99999999997976</c:v>
                </c:pt>
                <c:pt idx="1364">
                  <c:v>861.99999999997976</c:v>
                </c:pt>
                <c:pt idx="1365">
                  <c:v>862.99999999997976</c:v>
                </c:pt>
                <c:pt idx="1366">
                  <c:v>863.99999999997976</c:v>
                </c:pt>
                <c:pt idx="1367">
                  <c:v>864.99999999997976</c:v>
                </c:pt>
                <c:pt idx="1368">
                  <c:v>865.99999999997976</c:v>
                </c:pt>
                <c:pt idx="1369">
                  <c:v>866.99999999997976</c:v>
                </c:pt>
                <c:pt idx="1370">
                  <c:v>867.99999999997976</c:v>
                </c:pt>
                <c:pt idx="1371">
                  <c:v>868.99999999997965</c:v>
                </c:pt>
                <c:pt idx="1372">
                  <c:v>869.99999999997965</c:v>
                </c:pt>
                <c:pt idx="1373">
                  <c:v>870.99999999997965</c:v>
                </c:pt>
                <c:pt idx="1374">
                  <c:v>871.99999999997965</c:v>
                </c:pt>
                <c:pt idx="1375">
                  <c:v>872.99999999997965</c:v>
                </c:pt>
                <c:pt idx="1376">
                  <c:v>873.99999999997965</c:v>
                </c:pt>
                <c:pt idx="1377">
                  <c:v>874.99999999997965</c:v>
                </c:pt>
                <c:pt idx="1378">
                  <c:v>875.99999999997965</c:v>
                </c:pt>
                <c:pt idx="1379">
                  <c:v>876.99999999997942</c:v>
                </c:pt>
                <c:pt idx="1380">
                  <c:v>877.99999999997942</c:v>
                </c:pt>
                <c:pt idx="1381">
                  <c:v>878.99999999997942</c:v>
                </c:pt>
                <c:pt idx="1382">
                  <c:v>879.99999999997942</c:v>
                </c:pt>
                <c:pt idx="1383">
                  <c:v>880.99999999997942</c:v>
                </c:pt>
                <c:pt idx="1384">
                  <c:v>881.99999999997942</c:v>
                </c:pt>
                <c:pt idx="1385">
                  <c:v>882.99999999997942</c:v>
                </c:pt>
                <c:pt idx="1386">
                  <c:v>883.99999999997942</c:v>
                </c:pt>
                <c:pt idx="1387">
                  <c:v>884.99999999997942</c:v>
                </c:pt>
                <c:pt idx="1388">
                  <c:v>885.99999999997931</c:v>
                </c:pt>
                <c:pt idx="1389">
                  <c:v>886.99999999997931</c:v>
                </c:pt>
                <c:pt idx="1390">
                  <c:v>887.99999999997931</c:v>
                </c:pt>
                <c:pt idx="1391">
                  <c:v>888.99999999997931</c:v>
                </c:pt>
                <c:pt idx="1392">
                  <c:v>889.99999999997931</c:v>
                </c:pt>
                <c:pt idx="1393">
                  <c:v>890.99999999997931</c:v>
                </c:pt>
                <c:pt idx="1394">
                  <c:v>891.99999999997931</c:v>
                </c:pt>
                <c:pt idx="1395">
                  <c:v>892.99999999997931</c:v>
                </c:pt>
                <c:pt idx="1396">
                  <c:v>893.99999999997908</c:v>
                </c:pt>
                <c:pt idx="1397">
                  <c:v>894.99999999997908</c:v>
                </c:pt>
                <c:pt idx="1398">
                  <c:v>895.99999999997908</c:v>
                </c:pt>
                <c:pt idx="1399">
                  <c:v>896.99999999997908</c:v>
                </c:pt>
                <c:pt idx="1400">
                  <c:v>897.99999999997908</c:v>
                </c:pt>
                <c:pt idx="1401">
                  <c:v>898.99999999997908</c:v>
                </c:pt>
                <c:pt idx="1402">
                  <c:v>899.99999999997908</c:v>
                </c:pt>
                <c:pt idx="1403">
                  <c:v>900.99999999997908</c:v>
                </c:pt>
                <c:pt idx="1404">
                  <c:v>901.99999999997908</c:v>
                </c:pt>
                <c:pt idx="1405">
                  <c:v>902.99999999997885</c:v>
                </c:pt>
                <c:pt idx="1406">
                  <c:v>903.99999999997885</c:v>
                </c:pt>
                <c:pt idx="1407">
                  <c:v>904.99999999997885</c:v>
                </c:pt>
                <c:pt idx="1408">
                  <c:v>905.99999999997885</c:v>
                </c:pt>
                <c:pt idx="1409">
                  <c:v>906.99999999997885</c:v>
                </c:pt>
                <c:pt idx="1410">
                  <c:v>907.99999999997885</c:v>
                </c:pt>
                <c:pt idx="1411">
                  <c:v>908.99999999997885</c:v>
                </c:pt>
                <c:pt idx="1412">
                  <c:v>909.99999999997885</c:v>
                </c:pt>
                <c:pt idx="1413">
                  <c:v>910.99999999997874</c:v>
                </c:pt>
                <c:pt idx="1414">
                  <c:v>911.99999999997874</c:v>
                </c:pt>
                <c:pt idx="1415">
                  <c:v>912.99999999997874</c:v>
                </c:pt>
                <c:pt idx="1416">
                  <c:v>913.99999999997874</c:v>
                </c:pt>
                <c:pt idx="1417">
                  <c:v>914.99999999997874</c:v>
                </c:pt>
                <c:pt idx="1418">
                  <c:v>915.99999999997874</c:v>
                </c:pt>
                <c:pt idx="1419">
                  <c:v>916.99999999997874</c:v>
                </c:pt>
                <c:pt idx="1420">
                  <c:v>917.99999999997874</c:v>
                </c:pt>
                <c:pt idx="1421">
                  <c:v>918.99999999997874</c:v>
                </c:pt>
                <c:pt idx="1422">
                  <c:v>919.99999999997851</c:v>
                </c:pt>
                <c:pt idx="1423">
                  <c:v>920.99999999997851</c:v>
                </c:pt>
                <c:pt idx="1424">
                  <c:v>921.99999999997851</c:v>
                </c:pt>
                <c:pt idx="1425">
                  <c:v>922.99999999997851</c:v>
                </c:pt>
                <c:pt idx="1426">
                  <c:v>923.99999999997851</c:v>
                </c:pt>
                <c:pt idx="1427">
                  <c:v>924.99999999997851</c:v>
                </c:pt>
                <c:pt idx="1428">
                  <c:v>925.99999999997851</c:v>
                </c:pt>
                <c:pt idx="1429">
                  <c:v>926.99999999997851</c:v>
                </c:pt>
                <c:pt idx="1430">
                  <c:v>927.9999999999784</c:v>
                </c:pt>
                <c:pt idx="1431">
                  <c:v>928.9999999999784</c:v>
                </c:pt>
                <c:pt idx="1432">
                  <c:v>929.9999999999784</c:v>
                </c:pt>
                <c:pt idx="1433">
                  <c:v>930.9999999999784</c:v>
                </c:pt>
                <c:pt idx="1434">
                  <c:v>931.9999999999784</c:v>
                </c:pt>
                <c:pt idx="1435">
                  <c:v>932.9999999999784</c:v>
                </c:pt>
                <c:pt idx="1436">
                  <c:v>933.9999999999784</c:v>
                </c:pt>
                <c:pt idx="1437">
                  <c:v>934.9999999999784</c:v>
                </c:pt>
                <c:pt idx="1438">
                  <c:v>935.9999999999784</c:v>
                </c:pt>
                <c:pt idx="1439">
                  <c:v>936.99999999997817</c:v>
                </c:pt>
                <c:pt idx="1440">
                  <c:v>937.99999999997817</c:v>
                </c:pt>
                <c:pt idx="1441">
                  <c:v>938.99999999997817</c:v>
                </c:pt>
                <c:pt idx="1442">
                  <c:v>939.99999999997817</c:v>
                </c:pt>
                <c:pt idx="1443">
                  <c:v>940.99999999997817</c:v>
                </c:pt>
                <c:pt idx="1444">
                  <c:v>941.99999999997817</c:v>
                </c:pt>
                <c:pt idx="1445">
                  <c:v>942.99999999997817</c:v>
                </c:pt>
                <c:pt idx="1446">
                  <c:v>943.99999999997817</c:v>
                </c:pt>
                <c:pt idx="1447">
                  <c:v>944.99999999997794</c:v>
                </c:pt>
                <c:pt idx="1448">
                  <c:v>945.99999999997794</c:v>
                </c:pt>
                <c:pt idx="1449">
                  <c:v>946.99999999997794</c:v>
                </c:pt>
                <c:pt idx="1450">
                  <c:v>947.99999999997794</c:v>
                </c:pt>
                <c:pt idx="1451">
                  <c:v>948.99999999997794</c:v>
                </c:pt>
                <c:pt idx="1452">
                  <c:v>949.99999999997794</c:v>
                </c:pt>
                <c:pt idx="1453">
                  <c:v>950.99999999997794</c:v>
                </c:pt>
                <c:pt idx="1454">
                  <c:v>951.99999999997794</c:v>
                </c:pt>
                <c:pt idx="1455">
                  <c:v>952.99999999997794</c:v>
                </c:pt>
                <c:pt idx="1456">
                  <c:v>953.99999999997783</c:v>
                </c:pt>
                <c:pt idx="1457">
                  <c:v>954.99999999997783</c:v>
                </c:pt>
                <c:pt idx="1458">
                  <c:v>955.99999999997783</c:v>
                </c:pt>
                <c:pt idx="1459">
                  <c:v>956.99999999997783</c:v>
                </c:pt>
                <c:pt idx="1460">
                  <c:v>957.99999999997783</c:v>
                </c:pt>
                <c:pt idx="1461">
                  <c:v>958.99999999997783</c:v>
                </c:pt>
                <c:pt idx="1462">
                  <c:v>959.99999999997783</c:v>
                </c:pt>
                <c:pt idx="1463">
                  <c:v>960.99999999997783</c:v>
                </c:pt>
                <c:pt idx="1464">
                  <c:v>961.99999999997783</c:v>
                </c:pt>
                <c:pt idx="1465">
                  <c:v>962.9999999999776</c:v>
                </c:pt>
                <c:pt idx="1466">
                  <c:v>963.9999999999776</c:v>
                </c:pt>
                <c:pt idx="1467">
                  <c:v>964.9999999999776</c:v>
                </c:pt>
                <c:pt idx="1468">
                  <c:v>965.9999999999776</c:v>
                </c:pt>
                <c:pt idx="1469">
                  <c:v>966.9999999999776</c:v>
                </c:pt>
                <c:pt idx="1470">
                  <c:v>967.9999999999776</c:v>
                </c:pt>
                <c:pt idx="1471">
                  <c:v>968.9999999999776</c:v>
                </c:pt>
                <c:pt idx="1472">
                  <c:v>969.9999999999776</c:v>
                </c:pt>
                <c:pt idx="1473">
                  <c:v>970.99999999997749</c:v>
                </c:pt>
                <c:pt idx="1474">
                  <c:v>971.99999999997749</c:v>
                </c:pt>
                <c:pt idx="1475">
                  <c:v>972.99999999997749</c:v>
                </c:pt>
                <c:pt idx="1476">
                  <c:v>973.99999999997749</c:v>
                </c:pt>
                <c:pt idx="1477">
                  <c:v>974.99999999997749</c:v>
                </c:pt>
                <c:pt idx="1478">
                  <c:v>975.99999999997749</c:v>
                </c:pt>
                <c:pt idx="1479">
                  <c:v>976.99999999997749</c:v>
                </c:pt>
                <c:pt idx="1480">
                  <c:v>977.99999999997749</c:v>
                </c:pt>
                <c:pt idx="1481">
                  <c:v>978.99999999997749</c:v>
                </c:pt>
                <c:pt idx="1482">
                  <c:v>979.99999999997726</c:v>
                </c:pt>
                <c:pt idx="1483">
                  <c:v>980.99999999997726</c:v>
                </c:pt>
                <c:pt idx="1484">
                  <c:v>981.99999999997726</c:v>
                </c:pt>
                <c:pt idx="1485">
                  <c:v>982.99999999997726</c:v>
                </c:pt>
                <c:pt idx="1486">
                  <c:v>983.99999999997726</c:v>
                </c:pt>
                <c:pt idx="1487">
                  <c:v>984.99999999997726</c:v>
                </c:pt>
                <c:pt idx="1488">
                  <c:v>985.99999999997726</c:v>
                </c:pt>
                <c:pt idx="1489">
                  <c:v>986.99999999997726</c:v>
                </c:pt>
                <c:pt idx="1490">
                  <c:v>987.99999999997704</c:v>
                </c:pt>
                <c:pt idx="1491">
                  <c:v>988.99999999997704</c:v>
                </c:pt>
                <c:pt idx="1492">
                  <c:v>989.99999999997704</c:v>
                </c:pt>
                <c:pt idx="1493">
                  <c:v>990.99999999997704</c:v>
                </c:pt>
                <c:pt idx="1494">
                  <c:v>991.99999999997704</c:v>
                </c:pt>
                <c:pt idx="1495">
                  <c:v>992.99999999997704</c:v>
                </c:pt>
                <c:pt idx="1496">
                  <c:v>993.99999999997704</c:v>
                </c:pt>
                <c:pt idx="1497">
                  <c:v>994.99999999997704</c:v>
                </c:pt>
                <c:pt idx="1498">
                  <c:v>995.99999999997704</c:v>
                </c:pt>
                <c:pt idx="1499">
                  <c:v>996.99999999997692</c:v>
                </c:pt>
                <c:pt idx="1500">
                  <c:v>997.99999999997692</c:v>
                </c:pt>
                <c:pt idx="1501">
                  <c:v>998.99999999997692</c:v>
                </c:pt>
                <c:pt idx="1502">
                  <c:v>999.99999999997692</c:v>
                </c:pt>
                <c:pt idx="1503">
                  <c:v>1000.9999999999769</c:v>
                </c:pt>
                <c:pt idx="1504">
                  <c:v>1001.9999999999769</c:v>
                </c:pt>
                <c:pt idx="1505">
                  <c:v>1002.9999999999769</c:v>
                </c:pt>
                <c:pt idx="1506">
                  <c:v>1003.9999999999769</c:v>
                </c:pt>
                <c:pt idx="1507">
                  <c:v>1004.9999999999767</c:v>
                </c:pt>
                <c:pt idx="1508">
                  <c:v>1005.9999999999767</c:v>
                </c:pt>
                <c:pt idx="1509">
                  <c:v>1006.9999999999767</c:v>
                </c:pt>
                <c:pt idx="1510">
                  <c:v>1007.9999999999767</c:v>
                </c:pt>
                <c:pt idx="1511">
                  <c:v>1008.9999999999767</c:v>
                </c:pt>
                <c:pt idx="1512">
                  <c:v>1009.9999999999767</c:v>
                </c:pt>
                <c:pt idx="1513">
                  <c:v>1010.9999999999767</c:v>
                </c:pt>
                <c:pt idx="1514">
                  <c:v>1011.9999999999767</c:v>
                </c:pt>
                <c:pt idx="1515">
                  <c:v>1012.9999999999767</c:v>
                </c:pt>
                <c:pt idx="1516">
                  <c:v>1013.9999999999766</c:v>
                </c:pt>
                <c:pt idx="1517">
                  <c:v>1014.9999999999766</c:v>
                </c:pt>
                <c:pt idx="1518">
                  <c:v>1015.9999999999766</c:v>
                </c:pt>
                <c:pt idx="1519">
                  <c:v>1016.9999999999766</c:v>
                </c:pt>
                <c:pt idx="1520">
                  <c:v>1017.9999999999766</c:v>
                </c:pt>
                <c:pt idx="1521">
                  <c:v>1018.9999999999766</c:v>
                </c:pt>
                <c:pt idx="1522">
                  <c:v>1019.9999999999766</c:v>
                </c:pt>
                <c:pt idx="1523">
                  <c:v>1020.9999999999766</c:v>
                </c:pt>
                <c:pt idx="1524">
                  <c:v>1021.9999999999764</c:v>
                </c:pt>
                <c:pt idx="1525">
                  <c:v>1022.9999999999764</c:v>
                </c:pt>
                <c:pt idx="1526">
                  <c:v>1023.9999999999764</c:v>
                </c:pt>
                <c:pt idx="1527">
                  <c:v>1024.9999999999764</c:v>
                </c:pt>
                <c:pt idx="1528">
                  <c:v>1025.9999999999764</c:v>
                </c:pt>
                <c:pt idx="1529">
                  <c:v>1026.9999999999764</c:v>
                </c:pt>
                <c:pt idx="1530">
                  <c:v>1027.9999999999764</c:v>
                </c:pt>
                <c:pt idx="1531">
                  <c:v>1028.9999999999764</c:v>
                </c:pt>
                <c:pt idx="1532">
                  <c:v>1029.9999999999764</c:v>
                </c:pt>
                <c:pt idx="1533">
                  <c:v>1030.9999999999761</c:v>
                </c:pt>
                <c:pt idx="1534">
                  <c:v>1031.9999999999761</c:v>
                </c:pt>
                <c:pt idx="1535">
                  <c:v>1032.9999999999761</c:v>
                </c:pt>
                <c:pt idx="1536">
                  <c:v>1033.9999999999761</c:v>
                </c:pt>
                <c:pt idx="1537">
                  <c:v>1034.9999999999761</c:v>
                </c:pt>
                <c:pt idx="1538">
                  <c:v>1035.9999999999761</c:v>
                </c:pt>
                <c:pt idx="1539">
                  <c:v>1036.9999999999761</c:v>
                </c:pt>
                <c:pt idx="1540">
                  <c:v>1037.9999999999761</c:v>
                </c:pt>
                <c:pt idx="1541">
                  <c:v>1038.9999999999759</c:v>
                </c:pt>
                <c:pt idx="1542">
                  <c:v>1039.9999999999759</c:v>
                </c:pt>
                <c:pt idx="1543">
                  <c:v>1040.9999999999759</c:v>
                </c:pt>
                <c:pt idx="1544">
                  <c:v>1041.9999999999759</c:v>
                </c:pt>
                <c:pt idx="1545">
                  <c:v>1042.9999999999759</c:v>
                </c:pt>
                <c:pt idx="1546">
                  <c:v>1043.9999999999759</c:v>
                </c:pt>
                <c:pt idx="1547">
                  <c:v>1044.9999999999759</c:v>
                </c:pt>
                <c:pt idx="1548">
                  <c:v>1045.9999999999759</c:v>
                </c:pt>
                <c:pt idx="1549">
                  <c:v>1046.9999999999759</c:v>
                </c:pt>
                <c:pt idx="1550">
                  <c:v>1047.9999999999759</c:v>
                </c:pt>
                <c:pt idx="1551">
                  <c:v>1048.9999999999759</c:v>
                </c:pt>
                <c:pt idx="1552">
                  <c:v>1049.9999999999759</c:v>
                </c:pt>
                <c:pt idx="1553">
                  <c:v>1050.9999999999759</c:v>
                </c:pt>
                <c:pt idx="1554">
                  <c:v>1051.9999999999759</c:v>
                </c:pt>
                <c:pt idx="1555">
                  <c:v>1052.9999999999759</c:v>
                </c:pt>
                <c:pt idx="1556">
                  <c:v>1053.9999999999759</c:v>
                </c:pt>
                <c:pt idx="1557">
                  <c:v>1054.9999999999759</c:v>
                </c:pt>
                <c:pt idx="1558">
                  <c:v>1055.9999999999757</c:v>
                </c:pt>
                <c:pt idx="1559">
                  <c:v>1056.9999999999757</c:v>
                </c:pt>
                <c:pt idx="1560">
                  <c:v>1057.9999999999757</c:v>
                </c:pt>
                <c:pt idx="1561">
                  <c:v>1058.9999999999757</c:v>
                </c:pt>
                <c:pt idx="1562">
                  <c:v>1059.9999999999757</c:v>
                </c:pt>
                <c:pt idx="1563">
                  <c:v>1060.9999999999757</c:v>
                </c:pt>
                <c:pt idx="1564">
                  <c:v>1061.9999999999757</c:v>
                </c:pt>
                <c:pt idx="1565">
                  <c:v>1062.9999999999757</c:v>
                </c:pt>
                <c:pt idx="1566">
                  <c:v>1063.9999999999757</c:v>
                </c:pt>
                <c:pt idx="1567">
                  <c:v>1064.9999999999754</c:v>
                </c:pt>
                <c:pt idx="1568">
                  <c:v>1065.9999999999754</c:v>
                </c:pt>
                <c:pt idx="1569">
                  <c:v>1066.9999999999754</c:v>
                </c:pt>
                <c:pt idx="1570">
                  <c:v>1067.9999999999754</c:v>
                </c:pt>
                <c:pt idx="1571">
                  <c:v>1068.9999999999754</c:v>
                </c:pt>
                <c:pt idx="1572">
                  <c:v>1069.9999999999754</c:v>
                </c:pt>
                <c:pt idx="1573">
                  <c:v>1070.9999999999754</c:v>
                </c:pt>
                <c:pt idx="1574">
                  <c:v>1071.9999999999754</c:v>
                </c:pt>
                <c:pt idx="1575">
                  <c:v>1072.9999999999752</c:v>
                </c:pt>
                <c:pt idx="1576">
                  <c:v>1073.9999999999752</c:v>
                </c:pt>
                <c:pt idx="1577">
                  <c:v>1074.9999999999752</c:v>
                </c:pt>
                <c:pt idx="1578">
                  <c:v>1075.9999999999752</c:v>
                </c:pt>
                <c:pt idx="1579">
                  <c:v>1076.9999999999752</c:v>
                </c:pt>
                <c:pt idx="1580">
                  <c:v>1077.9999999999752</c:v>
                </c:pt>
                <c:pt idx="1581">
                  <c:v>1078.9999999999752</c:v>
                </c:pt>
                <c:pt idx="1582">
                  <c:v>1079.9999999999752</c:v>
                </c:pt>
                <c:pt idx="1583">
                  <c:v>1080.9999999999752</c:v>
                </c:pt>
                <c:pt idx="1584">
                  <c:v>1081.999999999975</c:v>
                </c:pt>
                <c:pt idx="1585">
                  <c:v>1082.999999999975</c:v>
                </c:pt>
                <c:pt idx="1586">
                  <c:v>1083.999999999975</c:v>
                </c:pt>
                <c:pt idx="1587">
                  <c:v>1084.999999999975</c:v>
                </c:pt>
                <c:pt idx="1588">
                  <c:v>1085.999999999975</c:v>
                </c:pt>
                <c:pt idx="1589">
                  <c:v>1086.999999999975</c:v>
                </c:pt>
                <c:pt idx="1590">
                  <c:v>1087.999999999975</c:v>
                </c:pt>
                <c:pt idx="1591">
                  <c:v>1088.999999999975</c:v>
                </c:pt>
                <c:pt idx="1592">
                  <c:v>1089.999999999975</c:v>
                </c:pt>
                <c:pt idx="1593">
                  <c:v>1090.999999999975</c:v>
                </c:pt>
                <c:pt idx="1594">
                  <c:v>1091.999999999975</c:v>
                </c:pt>
                <c:pt idx="1595">
                  <c:v>1092.999999999975</c:v>
                </c:pt>
                <c:pt idx="1596">
                  <c:v>1093.999999999975</c:v>
                </c:pt>
                <c:pt idx="1597">
                  <c:v>1094.999999999975</c:v>
                </c:pt>
                <c:pt idx="1598">
                  <c:v>1095.999999999975</c:v>
                </c:pt>
                <c:pt idx="1599">
                  <c:v>1096.999999999975</c:v>
                </c:pt>
                <c:pt idx="1600">
                  <c:v>1097.999999999975</c:v>
                </c:pt>
                <c:pt idx="1601">
                  <c:v>1098.9999999999748</c:v>
                </c:pt>
                <c:pt idx="1602">
                  <c:v>1099.9999999999748</c:v>
                </c:pt>
                <c:pt idx="1603">
                  <c:v>1100.9999999999748</c:v>
                </c:pt>
                <c:pt idx="1604">
                  <c:v>1101.9999999999748</c:v>
                </c:pt>
                <c:pt idx="1605">
                  <c:v>1102.9999999999748</c:v>
                </c:pt>
                <c:pt idx="1606">
                  <c:v>1103.9999999999748</c:v>
                </c:pt>
                <c:pt idx="1607">
                  <c:v>1104.9999999999748</c:v>
                </c:pt>
                <c:pt idx="1608">
                  <c:v>1105.9999999999748</c:v>
                </c:pt>
                <c:pt idx="1609">
                  <c:v>1106.9999999999748</c:v>
                </c:pt>
                <c:pt idx="1610">
                  <c:v>1107.9999999999745</c:v>
                </c:pt>
                <c:pt idx="1611">
                  <c:v>1108.9999999999745</c:v>
                </c:pt>
                <c:pt idx="1612">
                  <c:v>1109.9999999999745</c:v>
                </c:pt>
                <c:pt idx="1613">
                  <c:v>1110.9999999999745</c:v>
                </c:pt>
                <c:pt idx="1614">
                  <c:v>1111.9999999999745</c:v>
                </c:pt>
                <c:pt idx="1615">
                  <c:v>1112.9999999999745</c:v>
                </c:pt>
                <c:pt idx="1616">
                  <c:v>1113.9999999999745</c:v>
                </c:pt>
                <c:pt idx="1617">
                  <c:v>1114.9999999999745</c:v>
                </c:pt>
                <c:pt idx="1618">
                  <c:v>1115.9999999999743</c:v>
                </c:pt>
                <c:pt idx="1619">
                  <c:v>1116.9999999999743</c:v>
                </c:pt>
                <c:pt idx="1620">
                  <c:v>1117.9999999999743</c:v>
                </c:pt>
                <c:pt idx="1621">
                  <c:v>1118.9999999999743</c:v>
                </c:pt>
                <c:pt idx="1622">
                  <c:v>1119.9999999999743</c:v>
                </c:pt>
                <c:pt idx="1623">
                  <c:v>1120.9999999999743</c:v>
                </c:pt>
                <c:pt idx="1624">
                  <c:v>1121.9999999999743</c:v>
                </c:pt>
                <c:pt idx="1625">
                  <c:v>1122.9999999999743</c:v>
                </c:pt>
                <c:pt idx="1626">
                  <c:v>1123.9999999999743</c:v>
                </c:pt>
                <c:pt idx="1627">
                  <c:v>1124.9999999999741</c:v>
                </c:pt>
                <c:pt idx="1628">
                  <c:v>1125.9999999999741</c:v>
                </c:pt>
                <c:pt idx="1629">
                  <c:v>1126.9999999999741</c:v>
                </c:pt>
                <c:pt idx="1630">
                  <c:v>1127.9999999999741</c:v>
                </c:pt>
                <c:pt idx="1631">
                  <c:v>1128.9999999999741</c:v>
                </c:pt>
                <c:pt idx="1632">
                  <c:v>1129.9999999999741</c:v>
                </c:pt>
                <c:pt idx="1633">
                  <c:v>1130.9999999999741</c:v>
                </c:pt>
                <c:pt idx="1634">
                  <c:v>1131.9999999999741</c:v>
                </c:pt>
                <c:pt idx="1635">
                  <c:v>1132.9999999999741</c:v>
                </c:pt>
                <c:pt idx="1636">
                  <c:v>1133.9999999999741</c:v>
                </c:pt>
                <c:pt idx="1637">
                  <c:v>1134.9999999999741</c:v>
                </c:pt>
                <c:pt idx="1638">
                  <c:v>1135.9999999999741</c:v>
                </c:pt>
                <c:pt idx="1639">
                  <c:v>1136.9999999999741</c:v>
                </c:pt>
                <c:pt idx="1640">
                  <c:v>1137.9999999999741</c:v>
                </c:pt>
                <c:pt idx="1641">
                  <c:v>1138.9999999999741</c:v>
                </c:pt>
                <c:pt idx="1642">
                  <c:v>1139.9999999999741</c:v>
                </c:pt>
                <c:pt idx="1643">
                  <c:v>1140.9999999999741</c:v>
                </c:pt>
                <c:pt idx="1644">
                  <c:v>1141.9999999999739</c:v>
                </c:pt>
                <c:pt idx="1645">
                  <c:v>1142.9999999999739</c:v>
                </c:pt>
                <c:pt idx="1646">
                  <c:v>1143.9999999999739</c:v>
                </c:pt>
                <c:pt idx="1647">
                  <c:v>1144.9999999999739</c:v>
                </c:pt>
                <c:pt idx="1648">
                  <c:v>1145.9999999999739</c:v>
                </c:pt>
                <c:pt idx="1649">
                  <c:v>1146.9999999999739</c:v>
                </c:pt>
                <c:pt idx="1650">
                  <c:v>1147.9999999999739</c:v>
                </c:pt>
                <c:pt idx="1651">
                  <c:v>1148.9999999999739</c:v>
                </c:pt>
                <c:pt idx="1652">
                  <c:v>1149.9999999999736</c:v>
                </c:pt>
                <c:pt idx="1653">
                  <c:v>1150.9999999999736</c:v>
                </c:pt>
                <c:pt idx="1654">
                  <c:v>1151.9999999999736</c:v>
                </c:pt>
                <c:pt idx="1655">
                  <c:v>1152.9999999999736</c:v>
                </c:pt>
                <c:pt idx="1656">
                  <c:v>1153.9999999999736</c:v>
                </c:pt>
                <c:pt idx="1657">
                  <c:v>1154.9999999999736</c:v>
                </c:pt>
                <c:pt idx="1658">
                  <c:v>1155.9999999999736</c:v>
                </c:pt>
                <c:pt idx="1659">
                  <c:v>1156.9999999999736</c:v>
                </c:pt>
                <c:pt idx="1660">
                  <c:v>1157.9999999999736</c:v>
                </c:pt>
                <c:pt idx="1661">
                  <c:v>1158.9999999999734</c:v>
                </c:pt>
                <c:pt idx="1662">
                  <c:v>1159.9999999999734</c:v>
                </c:pt>
                <c:pt idx="1663">
                  <c:v>1160.9999999999734</c:v>
                </c:pt>
                <c:pt idx="1664">
                  <c:v>1161.9999999999734</c:v>
                </c:pt>
                <c:pt idx="1665">
                  <c:v>1162.9999999999734</c:v>
                </c:pt>
                <c:pt idx="1666">
                  <c:v>1163.9999999999734</c:v>
                </c:pt>
                <c:pt idx="1667">
                  <c:v>1164.9999999999734</c:v>
                </c:pt>
                <c:pt idx="1668">
                  <c:v>1165.9999999999734</c:v>
                </c:pt>
                <c:pt idx="1669">
                  <c:v>1166.9999999999732</c:v>
                </c:pt>
                <c:pt idx="1670">
                  <c:v>1167.9999999999732</c:v>
                </c:pt>
                <c:pt idx="1671">
                  <c:v>1168.9999999999732</c:v>
                </c:pt>
                <c:pt idx="1672">
                  <c:v>1169.9999999999732</c:v>
                </c:pt>
                <c:pt idx="1673">
                  <c:v>1170.9999999999732</c:v>
                </c:pt>
                <c:pt idx="1674">
                  <c:v>1171.9999999999732</c:v>
                </c:pt>
                <c:pt idx="1675">
                  <c:v>1172.9999999999732</c:v>
                </c:pt>
                <c:pt idx="1676">
                  <c:v>1173.9999999999732</c:v>
                </c:pt>
                <c:pt idx="1677">
                  <c:v>1174.9999999999732</c:v>
                </c:pt>
                <c:pt idx="1678">
                  <c:v>1175.9999999999732</c:v>
                </c:pt>
                <c:pt idx="1679">
                  <c:v>1176.9999999999732</c:v>
                </c:pt>
                <c:pt idx="1680">
                  <c:v>1177.9999999999732</c:v>
                </c:pt>
                <c:pt idx="1681">
                  <c:v>1178.9999999999732</c:v>
                </c:pt>
                <c:pt idx="1682">
                  <c:v>1179.9999999999732</c:v>
                </c:pt>
                <c:pt idx="1683">
                  <c:v>1180.9999999999732</c:v>
                </c:pt>
                <c:pt idx="1684">
                  <c:v>1181.9999999999732</c:v>
                </c:pt>
                <c:pt idx="1685">
                  <c:v>1182.9999999999732</c:v>
                </c:pt>
                <c:pt idx="1686">
                  <c:v>1183.9999999999729</c:v>
                </c:pt>
                <c:pt idx="1687">
                  <c:v>1184.9999999999729</c:v>
                </c:pt>
                <c:pt idx="1688">
                  <c:v>1185.9999999999729</c:v>
                </c:pt>
                <c:pt idx="1689">
                  <c:v>1186.9999999999729</c:v>
                </c:pt>
                <c:pt idx="1690">
                  <c:v>1187.9999999999729</c:v>
                </c:pt>
                <c:pt idx="1691">
                  <c:v>1188.9999999999729</c:v>
                </c:pt>
                <c:pt idx="1692">
                  <c:v>1189.9999999999729</c:v>
                </c:pt>
                <c:pt idx="1693">
                  <c:v>1190.9999999999729</c:v>
                </c:pt>
                <c:pt idx="1694">
                  <c:v>1191.9999999999729</c:v>
                </c:pt>
                <c:pt idx="1695">
                  <c:v>1192.9999999999727</c:v>
                </c:pt>
                <c:pt idx="1696">
                  <c:v>1193.9999999999727</c:v>
                </c:pt>
                <c:pt idx="1697">
                  <c:v>1194.9999999999727</c:v>
                </c:pt>
                <c:pt idx="1698">
                  <c:v>1195.9999999999727</c:v>
                </c:pt>
                <c:pt idx="1699">
                  <c:v>1196.9999999999727</c:v>
                </c:pt>
                <c:pt idx="1700">
                  <c:v>1197.9999999999727</c:v>
                </c:pt>
                <c:pt idx="1701">
                  <c:v>1198.9999999999727</c:v>
                </c:pt>
                <c:pt idx="1702">
                  <c:v>1199.9999999999727</c:v>
                </c:pt>
                <c:pt idx="1703">
                  <c:v>1200.9999999999725</c:v>
                </c:pt>
                <c:pt idx="1704">
                  <c:v>1201.9999999999725</c:v>
                </c:pt>
                <c:pt idx="1705">
                  <c:v>1202.9999999999725</c:v>
                </c:pt>
                <c:pt idx="1706">
                  <c:v>1203.9999999999725</c:v>
                </c:pt>
                <c:pt idx="1707">
                  <c:v>1204.9999999999725</c:v>
                </c:pt>
                <c:pt idx="1708">
                  <c:v>1205.9999999999725</c:v>
                </c:pt>
                <c:pt idx="1709">
                  <c:v>1206.9999999999725</c:v>
                </c:pt>
                <c:pt idx="1710">
                  <c:v>1207.9999999999725</c:v>
                </c:pt>
                <c:pt idx="1711">
                  <c:v>1208.9999999999725</c:v>
                </c:pt>
                <c:pt idx="1712">
                  <c:v>1209.9999999999723</c:v>
                </c:pt>
                <c:pt idx="1713">
                  <c:v>1210.9999999999723</c:v>
                </c:pt>
                <c:pt idx="1714">
                  <c:v>1211.9999999999723</c:v>
                </c:pt>
                <c:pt idx="1715">
                  <c:v>1212.9999999999723</c:v>
                </c:pt>
                <c:pt idx="1716">
                  <c:v>1213.9999999999723</c:v>
                </c:pt>
                <c:pt idx="1717">
                  <c:v>1214.9999999999723</c:v>
                </c:pt>
                <c:pt idx="1718">
                  <c:v>1215.9999999999723</c:v>
                </c:pt>
                <c:pt idx="1719">
                  <c:v>1216.9999999999723</c:v>
                </c:pt>
                <c:pt idx="1720">
                  <c:v>1217.9999999999723</c:v>
                </c:pt>
                <c:pt idx="1721">
                  <c:v>1218.9999999999723</c:v>
                </c:pt>
                <c:pt idx="1722">
                  <c:v>1219.9999999999723</c:v>
                </c:pt>
                <c:pt idx="1723">
                  <c:v>1220.9999999999723</c:v>
                </c:pt>
                <c:pt idx="1724">
                  <c:v>1221.9999999999723</c:v>
                </c:pt>
                <c:pt idx="1725">
                  <c:v>1222.9999999999723</c:v>
                </c:pt>
                <c:pt idx="1726">
                  <c:v>1223.9999999999723</c:v>
                </c:pt>
                <c:pt idx="1727">
                  <c:v>1224.9999999999723</c:v>
                </c:pt>
                <c:pt idx="1728">
                  <c:v>1225.9999999999723</c:v>
                </c:pt>
                <c:pt idx="1729">
                  <c:v>1226.999999999972</c:v>
                </c:pt>
                <c:pt idx="1730">
                  <c:v>1227.999999999972</c:v>
                </c:pt>
                <c:pt idx="1731">
                  <c:v>1228.999999999972</c:v>
                </c:pt>
                <c:pt idx="1732">
                  <c:v>1229.999999999972</c:v>
                </c:pt>
                <c:pt idx="1733">
                  <c:v>1230.999999999972</c:v>
                </c:pt>
                <c:pt idx="1734">
                  <c:v>1231.999999999972</c:v>
                </c:pt>
                <c:pt idx="1735">
                  <c:v>1232.999999999972</c:v>
                </c:pt>
                <c:pt idx="1736">
                  <c:v>1233.999999999972</c:v>
                </c:pt>
                <c:pt idx="1737">
                  <c:v>1234.999999999972</c:v>
                </c:pt>
                <c:pt idx="1738">
                  <c:v>1235.9999999999718</c:v>
                </c:pt>
                <c:pt idx="1739">
                  <c:v>1236.9999999999718</c:v>
                </c:pt>
                <c:pt idx="1740">
                  <c:v>1237.9999999999718</c:v>
                </c:pt>
                <c:pt idx="1741">
                  <c:v>1238.9999999999718</c:v>
                </c:pt>
                <c:pt idx="1742">
                  <c:v>1239.9999999999718</c:v>
                </c:pt>
                <c:pt idx="1743">
                  <c:v>1240.9999999999718</c:v>
                </c:pt>
                <c:pt idx="1744">
                  <c:v>1241.9999999999718</c:v>
                </c:pt>
                <c:pt idx="1745">
                  <c:v>1242.9999999999718</c:v>
                </c:pt>
                <c:pt idx="1746">
                  <c:v>1243.9999999999716</c:v>
                </c:pt>
                <c:pt idx="1747">
                  <c:v>1244.9999999999716</c:v>
                </c:pt>
                <c:pt idx="1748">
                  <c:v>1245.9999999999716</c:v>
                </c:pt>
                <c:pt idx="1749">
                  <c:v>1246.9999999999716</c:v>
                </c:pt>
                <c:pt idx="1750">
                  <c:v>1247.9999999999716</c:v>
                </c:pt>
                <c:pt idx="1751">
                  <c:v>1248.9999999999716</c:v>
                </c:pt>
                <c:pt idx="1752">
                  <c:v>1249.9999999999716</c:v>
                </c:pt>
                <c:pt idx="1753">
                  <c:v>1250.9999999999716</c:v>
                </c:pt>
                <c:pt idx="1754">
                  <c:v>1251.9999999999716</c:v>
                </c:pt>
                <c:pt idx="1755">
                  <c:v>1252.9999999999714</c:v>
                </c:pt>
                <c:pt idx="1756">
                  <c:v>1253.9999999999714</c:v>
                </c:pt>
                <c:pt idx="1757">
                  <c:v>1254.9999999999714</c:v>
                </c:pt>
                <c:pt idx="1758">
                  <c:v>1255.9999999999714</c:v>
                </c:pt>
                <c:pt idx="1759">
                  <c:v>1256.9999999999714</c:v>
                </c:pt>
                <c:pt idx="1760">
                  <c:v>1257.9999999999714</c:v>
                </c:pt>
                <c:pt idx="1761">
                  <c:v>1258.9999999999714</c:v>
                </c:pt>
                <c:pt idx="1762">
                  <c:v>1259.9999999999714</c:v>
                </c:pt>
                <c:pt idx="1763">
                  <c:v>1260.9999999999714</c:v>
                </c:pt>
                <c:pt idx="1764">
                  <c:v>1261.9999999999714</c:v>
                </c:pt>
                <c:pt idx="1765">
                  <c:v>1262.9999999999714</c:v>
                </c:pt>
                <c:pt idx="1766">
                  <c:v>1263.9999999999714</c:v>
                </c:pt>
                <c:pt idx="1767">
                  <c:v>1264.9999999999714</c:v>
                </c:pt>
                <c:pt idx="1768">
                  <c:v>1265.9999999999714</c:v>
                </c:pt>
                <c:pt idx="1769">
                  <c:v>1266.9999999999714</c:v>
                </c:pt>
                <c:pt idx="1770">
                  <c:v>1267.9999999999714</c:v>
                </c:pt>
                <c:pt idx="1771">
                  <c:v>1268.9999999999714</c:v>
                </c:pt>
                <c:pt idx="1772">
                  <c:v>1269.9999999999711</c:v>
                </c:pt>
                <c:pt idx="1773">
                  <c:v>1270.9999999999711</c:v>
                </c:pt>
                <c:pt idx="1774">
                  <c:v>1271.9999999999711</c:v>
                </c:pt>
                <c:pt idx="1775">
                  <c:v>1272.9999999999711</c:v>
                </c:pt>
                <c:pt idx="1776">
                  <c:v>1273.9999999999711</c:v>
                </c:pt>
                <c:pt idx="1777">
                  <c:v>1274.9999999999711</c:v>
                </c:pt>
                <c:pt idx="1778">
                  <c:v>1275.9999999999711</c:v>
                </c:pt>
                <c:pt idx="1779">
                  <c:v>1276.9999999999711</c:v>
                </c:pt>
                <c:pt idx="1780">
                  <c:v>1277.9999999999709</c:v>
                </c:pt>
                <c:pt idx="1781">
                  <c:v>1278.9999999999709</c:v>
                </c:pt>
                <c:pt idx="1782">
                  <c:v>1279.9999999999709</c:v>
                </c:pt>
                <c:pt idx="1783">
                  <c:v>1280.9999999999709</c:v>
                </c:pt>
                <c:pt idx="1784">
                  <c:v>1281.9999999999709</c:v>
                </c:pt>
                <c:pt idx="1785">
                  <c:v>1282.9999999999709</c:v>
                </c:pt>
                <c:pt idx="1786">
                  <c:v>1283.9999999999709</c:v>
                </c:pt>
                <c:pt idx="1787">
                  <c:v>1284.9999999999709</c:v>
                </c:pt>
                <c:pt idx="1788">
                  <c:v>1285.9999999999709</c:v>
                </c:pt>
                <c:pt idx="1789">
                  <c:v>1286.9999999999707</c:v>
                </c:pt>
                <c:pt idx="1790">
                  <c:v>1287.9999999999707</c:v>
                </c:pt>
                <c:pt idx="1791">
                  <c:v>1288.9999999999707</c:v>
                </c:pt>
                <c:pt idx="1792">
                  <c:v>1289.9999999999707</c:v>
                </c:pt>
                <c:pt idx="1793">
                  <c:v>1290.9999999999707</c:v>
                </c:pt>
                <c:pt idx="1794">
                  <c:v>1291.9999999999707</c:v>
                </c:pt>
                <c:pt idx="1795">
                  <c:v>1292.9999999999707</c:v>
                </c:pt>
                <c:pt idx="1796">
                  <c:v>1293.9999999999707</c:v>
                </c:pt>
                <c:pt idx="1797">
                  <c:v>1294.9999999999704</c:v>
                </c:pt>
                <c:pt idx="1798">
                  <c:v>1295.9999999999704</c:v>
                </c:pt>
                <c:pt idx="1799">
                  <c:v>1296.9999999999704</c:v>
                </c:pt>
                <c:pt idx="1800">
                  <c:v>1297.9999999999704</c:v>
                </c:pt>
                <c:pt idx="1801">
                  <c:v>1298.9999999999704</c:v>
                </c:pt>
                <c:pt idx="1802">
                  <c:v>1299.9999999999704</c:v>
                </c:pt>
                <c:pt idx="1803">
                  <c:v>1300.9999999999704</c:v>
                </c:pt>
                <c:pt idx="1804">
                  <c:v>1301.9999999999704</c:v>
                </c:pt>
                <c:pt idx="1805">
                  <c:v>1302.9999999999704</c:v>
                </c:pt>
                <c:pt idx="1806">
                  <c:v>1303.9999999999704</c:v>
                </c:pt>
                <c:pt idx="1807">
                  <c:v>1304.9999999999704</c:v>
                </c:pt>
                <c:pt idx="1808">
                  <c:v>1305.9999999999704</c:v>
                </c:pt>
                <c:pt idx="1809">
                  <c:v>1306.9999999999704</c:v>
                </c:pt>
                <c:pt idx="1810">
                  <c:v>1307.9999999999704</c:v>
                </c:pt>
                <c:pt idx="1811">
                  <c:v>1308.9999999999704</c:v>
                </c:pt>
                <c:pt idx="1812">
                  <c:v>1309.9999999999704</c:v>
                </c:pt>
                <c:pt idx="1813">
                  <c:v>1310.9999999999704</c:v>
                </c:pt>
                <c:pt idx="1814">
                  <c:v>1311.9999999999702</c:v>
                </c:pt>
                <c:pt idx="1815">
                  <c:v>1312.9999999999702</c:v>
                </c:pt>
                <c:pt idx="1816">
                  <c:v>1313.9999999999702</c:v>
                </c:pt>
                <c:pt idx="1817">
                  <c:v>1314.9999999999702</c:v>
                </c:pt>
                <c:pt idx="1818">
                  <c:v>1315.9999999999702</c:v>
                </c:pt>
                <c:pt idx="1819">
                  <c:v>1316.9999999999702</c:v>
                </c:pt>
                <c:pt idx="1820">
                  <c:v>1317.9999999999702</c:v>
                </c:pt>
                <c:pt idx="1821">
                  <c:v>1318.9999999999702</c:v>
                </c:pt>
                <c:pt idx="1822">
                  <c:v>1319.9999999999702</c:v>
                </c:pt>
                <c:pt idx="1823">
                  <c:v>1320.99999999997</c:v>
                </c:pt>
                <c:pt idx="1824">
                  <c:v>1321.99999999997</c:v>
                </c:pt>
                <c:pt idx="1825">
                  <c:v>1322.99999999997</c:v>
                </c:pt>
                <c:pt idx="1826">
                  <c:v>1323.99999999997</c:v>
                </c:pt>
                <c:pt idx="1827">
                  <c:v>1324.99999999997</c:v>
                </c:pt>
                <c:pt idx="1828">
                  <c:v>1325.99999999997</c:v>
                </c:pt>
                <c:pt idx="1829">
                  <c:v>1326.99999999997</c:v>
                </c:pt>
                <c:pt idx="1830">
                  <c:v>1327.99999999997</c:v>
                </c:pt>
                <c:pt idx="1831">
                  <c:v>1328.9999999999698</c:v>
                </c:pt>
                <c:pt idx="1832">
                  <c:v>1329.9999999999698</c:v>
                </c:pt>
                <c:pt idx="1833">
                  <c:v>1330.9999999999698</c:v>
                </c:pt>
                <c:pt idx="1834">
                  <c:v>1331.9999999999698</c:v>
                </c:pt>
                <c:pt idx="1835">
                  <c:v>1332.9999999999698</c:v>
                </c:pt>
                <c:pt idx="1836">
                  <c:v>1333.9999999999698</c:v>
                </c:pt>
                <c:pt idx="1837">
                  <c:v>1334.9999999999698</c:v>
                </c:pt>
                <c:pt idx="1838">
                  <c:v>1335.9999999999698</c:v>
                </c:pt>
                <c:pt idx="1839">
                  <c:v>1336.9999999999698</c:v>
                </c:pt>
                <c:pt idx="1840">
                  <c:v>1337.9999999999695</c:v>
                </c:pt>
                <c:pt idx="1841">
                  <c:v>1338.9999999999695</c:v>
                </c:pt>
                <c:pt idx="1842">
                  <c:v>1339.9999999999695</c:v>
                </c:pt>
                <c:pt idx="1843">
                  <c:v>1340.9999999999695</c:v>
                </c:pt>
                <c:pt idx="1844">
                  <c:v>1341.9999999999695</c:v>
                </c:pt>
                <c:pt idx="1845">
                  <c:v>1342.9999999999695</c:v>
                </c:pt>
                <c:pt idx="1846">
                  <c:v>1343.9999999999695</c:v>
                </c:pt>
                <c:pt idx="1847">
                  <c:v>1344.9999999999695</c:v>
                </c:pt>
                <c:pt idx="1848">
                  <c:v>1345.9999999999695</c:v>
                </c:pt>
                <c:pt idx="1849">
                  <c:v>1346.9999999999695</c:v>
                </c:pt>
                <c:pt idx="1850">
                  <c:v>1347.9999999999695</c:v>
                </c:pt>
                <c:pt idx="1851">
                  <c:v>1348.9999999999695</c:v>
                </c:pt>
                <c:pt idx="1852">
                  <c:v>1349.9999999999695</c:v>
                </c:pt>
                <c:pt idx="1853">
                  <c:v>1350.9999999999695</c:v>
                </c:pt>
                <c:pt idx="1854">
                  <c:v>1351.9999999999695</c:v>
                </c:pt>
                <c:pt idx="1855">
                  <c:v>1352.9999999999695</c:v>
                </c:pt>
                <c:pt idx="1856">
                  <c:v>1353.9999999999695</c:v>
                </c:pt>
                <c:pt idx="1857">
                  <c:v>1354.9999999999693</c:v>
                </c:pt>
                <c:pt idx="1858">
                  <c:v>1355.9999999999693</c:v>
                </c:pt>
                <c:pt idx="1859">
                  <c:v>1356.9999999999693</c:v>
                </c:pt>
                <c:pt idx="1860">
                  <c:v>1357.9999999999693</c:v>
                </c:pt>
                <c:pt idx="1861">
                  <c:v>1358.9999999999693</c:v>
                </c:pt>
                <c:pt idx="1862">
                  <c:v>1359.9999999999693</c:v>
                </c:pt>
                <c:pt idx="1863">
                  <c:v>1360.9999999999693</c:v>
                </c:pt>
                <c:pt idx="1864">
                  <c:v>1361.9999999999693</c:v>
                </c:pt>
                <c:pt idx="1865">
                  <c:v>1362.9999999999693</c:v>
                </c:pt>
                <c:pt idx="1866">
                  <c:v>1363.9999999999691</c:v>
                </c:pt>
                <c:pt idx="1867">
                  <c:v>1364.9999999999691</c:v>
                </c:pt>
                <c:pt idx="1868">
                  <c:v>1365.9999999999691</c:v>
                </c:pt>
                <c:pt idx="1869">
                  <c:v>1366.9999999999691</c:v>
                </c:pt>
                <c:pt idx="1870">
                  <c:v>1367.9999999999691</c:v>
                </c:pt>
                <c:pt idx="1871">
                  <c:v>1368.9999999999691</c:v>
                </c:pt>
                <c:pt idx="1872">
                  <c:v>1369.9999999999691</c:v>
                </c:pt>
                <c:pt idx="1873">
                  <c:v>1370.9999999999691</c:v>
                </c:pt>
                <c:pt idx="1874">
                  <c:v>1371.9999999999688</c:v>
                </c:pt>
                <c:pt idx="1875">
                  <c:v>1372.9999999999688</c:v>
                </c:pt>
                <c:pt idx="1876">
                  <c:v>1373.9999999999688</c:v>
                </c:pt>
                <c:pt idx="1877">
                  <c:v>1374.9999999999688</c:v>
                </c:pt>
                <c:pt idx="1878">
                  <c:v>1375.9999999999688</c:v>
                </c:pt>
                <c:pt idx="1879">
                  <c:v>1376.9999999999688</c:v>
                </c:pt>
                <c:pt idx="1880">
                  <c:v>1377.9999999999688</c:v>
                </c:pt>
                <c:pt idx="1881">
                  <c:v>1378.9999999999688</c:v>
                </c:pt>
                <c:pt idx="1882">
                  <c:v>1379.9999999999688</c:v>
                </c:pt>
                <c:pt idx="1883">
                  <c:v>1380.9999999999686</c:v>
                </c:pt>
                <c:pt idx="1884">
                  <c:v>1381.9999999999686</c:v>
                </c:pt>
                <c:pt idx="1885">
                  <c:v>1382.9999999999686</c:v>
                </c:pt>
                <c:pt idx="1886">
                  <c:v>1383.9999999999686</c:v>
                </c:pt>
                <c:pt idx="1887">
                  <c:v>1384.9999999999686</c:v>
                </c:pt>
                <c:pt idx="1888">
                  <c:v>1385.9999999999686</c:v>
                </c:pt>
                <c:pt idx="1889">
                  <c:v>1386.9999999999686</c:v>
                </c:pt>
                <c:pt idx="1890">
                  <c:v>1387.9999999999686</c:v>
                </c:pt>
                <c:pt idx="1891">
                  <c:v>1388.9999999999686</c:v>
                </c:pt>
                <c:pt idx="1892">
                  <c:v>1389.9999999999686</c:v>
                </c:pt>
                <c:pt idx="1893">
                  <c:v>1390.9999999999686</c:v>
                </c:pt>
                <c:pt idx="1894">
                  <c:v>1391.9999999999686</c:v>
                </c:pt>
                <c:pt idx="1895">
                  <c:v>1392.9999999999686</c:v>
                </c:pt>
                <c:pt idx="1896">
                  <c:v>1393.9999999999686</c:v>
                </c:pt>
                <c:pt idx="1897">
                  <c:v>1394.9999999999686</c:v>
                </c:pt>
                <c:pt idx="1898">
                  <c:v>1395.9999999999686</c:v>
                </c:pt>
                <c:pt idx="1899">
                  <c:v>1396.9999999999686</c:v>
                </c:pt>
                <c:pt idx="1900">
                  <c:v>1397.9999999999684</c:v>
                </c:pt>
                <c:pt idx="1901">
                  <c:v>1398.9999999999684</c:v>
                </c:pt>
                <c:pt idx="1902">
                  <c:v>1399.9999999999684</c:v>
                </c:pt>
                <c:pt idx="1903">
                  <c:v>1400.9999999999684</c:v>
                </c:pt>
                <c:pt idx="1904">
                  <c:v>1401.9999999999684</c:v>
                </c:pt>
                <c:pt idx="1905">
                  <c:v>1402.9999999999684</c:v>
                </c:pt>
                <c:pt idx="1906">
                  <c:v>1403.9999999999684</c:v>
                </c:pt>
                <c:pt idx="1907">
                  <c:v>1404.9999999999684</c:v>
                </c:pt>
                <c:pt idx="1908">
                  <c:v>1405.9999999999682</c:v>
                </c:pt>
                <c:pt idx="1909">
                  <c:v>1406.9999999999682</c:v>
                </c:pt>
                <c:pt idx="1910">
                  <c:v>1407.9999999999682</c:v>
                </c:pt>
                <c:pt idx="1911">
                  <c:v>1408.9999999999682</c:v>
                </c:pt>
                <c:pt idx="1912">
                  <c:v>1409.9999999999682</c:v>
                </c:pt>
                <c:pt idx="1913">
                  <c:v>1410.9999999999682</c:v>
                </c:pt>
                <c:pt idx="1914">
                  <c:v>1411.9999999999682</c:v>
                </c:pt>
                <c:pt idx="1915">
                  <c:v>1412.9999999999682</c:v>
                </c:pt>
                <c:pt idx="1916">
                  <c:v>1413.9999999999682</c:v>
                </c:pt>
                <c:pt idx="1917">
                  <c:v>1414.9999999999679</c:v>
                </c:pt>
                <c:pt idx="1918">
                  <c:v>1415.9999999999679</c:v>
                </c:pt>
                <c:pt idx="1919">
                  <c:v>1416.9999999999679</c:v>
                </c:pt>
                <c:pt idx="1920">
                  <c:v>1417.9999999999679</c:v>
                </c:pt>
                <c:pt idx="1921">
                  <c:v>1418.9999999999679</c:v>
                </c:pt>
                <c:pt idx="1922">
                  <c:v>1419.9999999999679</c:v>
                </c:pt>
                <c:pt idx="1923">
                  <c:v>1420.9999999999679</c:v>
                </c:pt>
                <c:pt idx="1924">
                  <c:v>1421.9999999999679</c:v>
                </c:pt>
                <c:pt idx="1925">
                  <c:v>1422.9999999999677</c:v>
                </c:pt>
                <c:pt idx="1926">
                  <c:v>1423.9999999999677</c:v>
                </c:pt>
                <c:pt idx="1927">
                  <c:v>1424.9999999999677</c:v>
                </c:pt>
                <c:pt idx="1928">
                  <c:v>1425.9999999999677</c:v>
                </c:pt>
                <c:pt idx="1929">
                  <c:v>1426.9999999999677</c:v>
                </c:pt>
                <c:pt idx="1930">
                  <c:v>1427.9999999999677</c:v>
                </c:pt>
                <c:pt idx="1931">
                  <c:v>1428.9999999999677</c:v>
                </c:pt>
                <c:pt idx="1932">
                  <c:v>1429.9999999999677</c:v>
                </c:pt>
                <c:pt idx="1933">
                  <c:v>1430.9999999999677</c:v>
                </c:pt>
                <c:pt idx="1934">
                  <c:v>1431.9999999999677</c:v>
                </c:pt>
                <c:pt idx="1935">
                  <c:v>1432.9999999999677</c:v>
                </c:pt>
                <c:pt idx="1936">
                  <c:v>1433.9999999999677</c:v>
                </c:pt>
                <c:pt idx="1937">
                  <c:v>1434.9999999999677</c:v>
                </c:pt>
                <c:pt idx="1938">
                  <c:v>1435.9999999999677</c:v>
                </c:pt>
                <c:pt idx="1939">
                  <c:v>1436.9999999999677</c:v>
                </c:pt>
                <c:pt idx="1940">
                  <c:v>1437.9999999999677</c:v>
                </c:pt>
                <c:pt idx="1941">
                  <c:v>1438.9999999999677</c:v>
                </c:pt>
                <c:pt idx="1942">
                  <c:v>1439.9999999999675</c:v>
                </c:pt>
                <c:pt idx="1943">
                  <c:v>1440.9999999999675</c:v>
                </c:pt>
                <c:pt idx="1944">
                  <c:v>1441.9999999999675</c:v>
                </c:pt>
                <c:pt idx="1945">
                  <c:v>1442.9999999999675</c:v>
                </c:pt>
                <c:pt idx="1946">
                  <c:v>1443.9999999999675</c:v>
                </c:pt>
                <c:pt idx="1947">
                  <c:v>1444.9999999999675</c:v>
                </c:pt>
                <c:pt idx="1948">
                  <c:v>1445.9999999999675</c:v>
                </c:pt>
                <c:pt idx="1949">
                  <c:v>1446.9999999999675</c:v>
                </c:pt>
                <c:pt idx="1950">
                  <c:v>1447.9999999999675</c:v>
                </c:pt>
                <c:pt idx="1951">
                  <c:v>1448.9999999999673</c:v>
                </c:pt>
                <c:pt idx="1952">
                  <c:v>1449.9999999999673</c:v>
                </c:pt>
                <c:pt idx="1953">
                  <c:v>1450.9999999999673</c:v>
                </c:pt>
                <c:pt idx="1954">
                  <c:v>1451.9999999999673</c:v>
                </c:pt>
                <c:pt idx="1955">
                  <c:v>1452.9999999999673</c:v>
                </c:pt>
                <c:pt idx="1956">
                  <c:v>1453.9999999999673</c:v>
                </c:pt>
                <c:pt idx="1957">
                  <c:v>1454.9999999999673</c:v>
                </c:pt>
                <c:pt idx="1958">
                  <c:v>1455.9999999999673</c:v>
                </c:pt>
                <c:pt idx="1959">
                  <c:v>1456.999999999967</c:v>
                </c:pt>
                <c:pt idx="1960">
                  <c:v>1457.999999999967</c:v>
                </c:pt>
                <c:pt idx="1961">
                  <c:v>1458.999999999967</c:v>
                </c:pt>
                <c:pt idx="1962">
                  <c:v>1459.999999999967</c:v>
                </c:pt>
                <c:pt idx="1963">
                  <c:v>1460.999999999967</c:v>
                </c:pt>
                <c:pt idx="1964">
                  <c:v>1461.999999999967</c:v>
                </c:pt>
                <c:pt idx="1965">
                  <c:v>1462.999999999967</c:v>
                </c:pt>
                <c:pt idx="1966">
                  <c:v>1463.999999999967</c:v>
                </c:pt>
                <c:pt idx="1967">
                  <c:v>1464.999999999967</c:v>
                </c:pt>
                <c:pt idx="1968">
                  <c:v>1465.9999999999668</c:v>
                </c:pt>
                <c:pt idx="1969">
                  <c:v>1466.9999999999668</c:v>
                </c:pt>
                <c:pt idx="1970">
                  <c:v>1467.9999999999668</c:v>
                </c:pt>
                <c:pt idx="1971">
                  <c:v>1468.9999999999668</c:v>
                </c:pt>
                <c:pt idx="1972">
                  <c:v>1469.9999999999668</c:v>
                </c:pt>
                <c:pt idx="1973">
                  <c:v>1470.9999999999668</c:v>
                </c:pt>
                <c:pt idx="1974">
                  <c:v>1471.9999999999668</c:v>
                </c:pt>
                <c:pt idx="1975">
                  <c:v>1472.9999999999668</c:v>
                </c:pt>
                <c:pt idx="1976">
                  <c:v>1473.9999999999668</c:v>
                </c:pt>
                <c:pt idx="1977">
                  <c:v>1474.9999999999668</c:v>
                </c:pt>
                <c:pt idx="1978">
                  <c:v>1475.9999999999668</c:v>
                </c:pt>
                <c:pt idx="1979">
                  <c:v>1476.9999999999668</c:v>
                </c:pt>
                <c:pt idx="1980">
                  <c:v>1477.9999999999668</c:v>
                </c:pt>
                <c:pt idx="1981">
                  <c:v>1478.9999999999668</c:v>
                </c:pt>
                <c:pt idx="1982">
                  <c:v>1479.9999999999668</c:v>
                </c:pt>
                <c:pt idx="1983">
                  <c:v>1480.9999999999668</c:v>
                </c:pt>
                <c:pt idx="1984">
                  <c:v>1481.9999999999668</c:v>
                </c:pt>
                <c:pt idx="1985">
                  <c:v>1482.9999999999666</c:v>
                </c:pt>
                <c:pt idx="1986">
                  <c:v>1483.9999999999666</c:v>
                </c:pt>
                <c:pt idx="1987">
                  <c:v>1484.9999999999666</c:v>
                </c:pt>
                <c:pt idx="1988">
                  <c:v>1485.9999999999666</c:v>
                </c:pt>
                <c:pt idx="1989">
                  <c:v>1486.9999999999666</c:v>
                </c:pt>
                <c:pt idx="1990">
                  <c:v>1487.9999999999666</c:v>
                </c:pt>
                <c:pt idx="1991">
                  <c:v>1488.9999999999666</c:v>
                </c:pt>
                <c:pt idx="1992">
                  <c:v>1489.9999999999666</c:v>
                </c:pt>
                <c:pt idx="1993">
                  <c:v>1490.9999999999666</c:v>
                </c:pt>
                <c:pt idx="1994">
                  <c:v>1491.9999999999663</c:v>
                </c:pt>
                <c:pt idx="1995">
                  <c:v>1492.9999999999663</c:v>
                </c:pt>
                <c:pt idx="1996">
                  <c:v>1493.9999999999663</c:v>
                </c:pt>
                <c:pt idx="1997">
                  <c:v>1494.9999999999663</c:v>
                </c:pt>
                <c:pt idx="1998">
                  <c:v>1495.9999999999663</c:v>
                </c:pt>
                <c:pt idx="1999">
                  <c:v>1496.9999999999663</c:v>
                </c:pt>
                <c:pt idx="2000">
                  <c:v>1497.9999999999663</c:v>
                </c:pt>
                <c:pt idx="2001">
                  <c:v>1498.9999999999663</c:v>
                </c:pt>
                <c:pt idx="2002">
                  <c:v>1499.9999999999661</c:v>
                </c:pt>
                <c:pt idx="2003">
                  <c:v>500</c:v>
                </c:pt>
                <c:pt idx="2004">
                  <c:v>500</c:v>
                </c:pt>
              </c:numCache>
            </c:numRef>
          </c:cat>
          <c:val>
            <c:numRef>
              <c:f>'Peak Models'!$J$12:$J$2016</c:f>
              <c:numCache>
                <c:formatCode>General</c:formatCode>
                <c:ptCount val="200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pt idx="994">
                  <c:v>0</c:v>
                </c:pt>
                <c:pt idx="995">
                  <c:v>0</c:v>
                </c:pt>
                <c:pt idx="996">
                  <c:v>0</c:v>
                </c:pt>
                <c:pt idx="997">
                  <c:v>0</c:v>
                </c:pt>
                <c:pt idx="998">
                  <c:v>0</c:v>
                </c:pt>
                <c:pt idx="999">
                  <c:v>0</c:v>
                </c:pt>
                <c:pt idx="1000">
                  <c:v>0</c:v>
                </c:pt>
                <c:pt idx="1001">
                  <c:v>0</c:v>
                </c:pt>
                <c:pt idx="1002">
                  <c:v>0</c:v>
                </c:pt>
                <c:pt idx="1003">
                  <c:v>0</c:v>
                </c:pt>
                <c:pt idx="1004">
                  <c:v>0</c:v>
                </c:pt>
                <c:pt idx="1005">
                  <c:v>0</c:v>
                </c:pt>
                <c:pt idx="1006">
                  <c:v>0</c:v>
                </c:pt>
                <c:pt idx="1007">
                  <c:v>0</c:v>
                </c:pt>
                <c:pt idx="1008">
                  <c:v>0</c:v>
                </c:pt>
                <c:pt idx="1009">
                  <c:v>0</c:v>
                </c:pt>
                <c:pt idx="1010">
                  <c:v>0</c:v>
                </c:pt>
                <c:pt idx="1011">
                  <c:v>0</c:v>
                </c:pt>
                <c:pt idx="1012">
                  <c:v>0</c:v>
                </c:pt>
                <c:pt idx="1013">
                  <c:v>0</c:v>
                </c:pt>
                <c:pt idx="1014">
                  <c:v>0</c:v>
                </c:pt>
                <c:pt idx="1015">
                  <c:v>0</c:v>
                </c:pt>
                <c:pt idx="1016">
                  <c:v>0</c:v>
                </c:pt>
                <c:pt idx="1017">
                  <c:v>0</c:v>
                </c:pt>
                <c:pt idx="1018">
                  <c:v>0</c:v>
                </c:pt>
                <c:pt idx="1019">
                  <c:v>0</c:v>
                </c:pt>
                <c:pt idx="1020">
                  <c:v>0</c:v>
                </c:pt>
                <c:pt idx="1021">
                  <c:v>0</c:v>
                </c:pt>
                <c:pt idx="1022">
                  <c:v>0</c:v>
                </c:pt>
                <c:pt idx="1023">
                  <c:v>0</c:v>
                </c:pt>
                <c:pt idx="1024">
                  <c:v>0</c:v>
                </c:pt>
                <c:pt idx="1025">
                  <c:v>0</c:v>
                </c:pt>
                <c:pt idx="1026">
                  <c:v>0</c:v>
                </c:pt>
                <c:pt idx="1027">
                  <c:v>0</c:v>
                </c:pt>
                <c:pt idx="1028">
                  <c:v>0</c:v>
                </c:pt>
                <c:pt idx="1029">
                  <c:v>0</c:v>
                </c:pt>
                <c:pt idx="1030">
                  <c:v>0</c:v>
                </c:pt>
                <c:pt idx="1031">
                  <c:v>0</c:v>
                </c:pt>
                <c:pt idx="1032">
                  <c:v>0</c:v>
                </c:pt>
                <c:pt idx="1033">
                  <c:v>0</c:v>
                </c:pt>
                <c:pt idx="1034">
                  <c:v>0</c:v>
                </c:pt>
                <c:pt idx="1035">
                  <c:v>0</c:v>
                </c:pt>
                <c:pt idx="1036">
                  <c:v>0</c:v>
                </c:pt>
                <c:pt idx="1037">
                  <c:v>0</c:v>
                </c:pt>
                <c:pt idx="1038">
                  <c:v>0</c:v>
                </c:pt>
                <c:pt idx="1039">
                  <c:v>0</c:v>
                </c:pt>
                <c:pt idx="1040">
                  <c:v>0</c:v>
                </c:pt>
                <c:pt idx="1041">
                  <c:v>0</c:v>
                </c:pt>
                <c:pt idx="1042">
                  <c:v>0</c:v>
                </c:pt>
                <c:pt idx="1043">
                  <c:v>0</c:v>
                </c:pt>
                <c:pt idx="1044">
                  <c:v>0</c:v>
                </c:pt>
                <c:pt idx="1045">
                  <c:v>0</c:v>
                </c:pt>
                <c:pt idx="1046">
                  <c:v>0</c:v>
                </c:pt>
                <c:pt idx="1047">
                  <c:v>0</c:v>
                </c:pt>
                <c:pt idx="1048">
                  <c:v>0</c:v>
                </c:pt>
                <c:pt idx="1049">
                  <c:v>0</c:v>
                </c:pt>
                <c:pt idx="1050">
                  <c:v>0</c:v>
                </c:pt>
                <c:pt idx="1051">
                  <c:v>0</c:v>
                </c:pt>
                <c:pt idx="1052">
                  <c:v>0</c:v>
                </c:pt>
                <c:pt idx="1053">
                  <c:v>0</c:v>
                </c:pt>
                <c:pt idx="1054">
                  <c:v>0</c:v>
                </c:pt>
                <c:pt idx="1055">
                  <c:v>0</c:v>
                </c:pt>
                <c:pt idx="1056">
                  <c:v>0</c:v>
                </c:pt>
                <c:pt idx="1057">
                  <c:v>0</c:v>
                </c:pt>
                <c:pt idx="1058">
                  <c:v>0</c:v>
                </c:pt>
                <c:pt idx="1059">
                  <c:v>0</c:v>
                </c:pt>
                <c:pt idx="1060">
                  <c:v>0</c:v>
                </c:pt>
                <c:pt idx="1061">
                  <c:v>0</c:v>
                </c:pt>
                <c:pt idx="1062">
                  <c:v>0</c:v>
                </c:pt>
                <c:pt idx="1063">
                  <c:v>0</c:v>
                </c:pt>
                <c:pt idx="1064">
                  <c:v>0</c:v>
                </c:pt>
                <c:pt idx="1065">
                  <c:v>0</c:v>
                </c:pt>
                <c:pt idx="1066">
                  <c:v>0</c:v>
                </c:pt>
                <c:pt idx="1067">
                  <c:v>0</c:v>
                </c:pt>
                <c:pt idx="1068">
                  <c:v>0</c:v>
                </c:pt>
                <c:pt idx="1069">
                  <c:v>0</c:v>
                </c:pt>
                <c:pt idx="1070">
                  <c:v>0</c:v>
                </c:pt>
                <c:pt idx="1071">
                  <c:v>0</c:v>
                </c:pt>
                <c:pt idx="1072">
                  <c:v>0</c:v>
                </c:pt>
                <c:pt idx="1073">
                  <c:v>0</c:v>
                </c:pt>
                <c:pt idx="1074">
                  <c:v>0</c:v>
                </c:pt>
                <c:pt idx="1075">
                  <c:v>0</c:v>
                </c:pt>
                <c:pt idx="1076">
                  <c:v>0</c:v>
                </c:pt>
                <c:pt idx="1077">
                  <c:v>0</c:v>
                </c:pt>
                <c:pt idx="1078">
                  <c:v>0</c:v>
                </c:pt>
                <c:pt idx="1079">
                  <c:v>0</c:v>
                </c:pt>
                <c:pt idx="1080">
                  <c:v>0</c:v>
                </c:pt>
                <c:pt idx="1081">
                  <c:v>0</c:v>
                </c:pt>
                <c:pt idx="1082">
                  <c:v>0</c:v>
                </c:pt>
                <c:pt idx="1083">
                  <c:v>0</c:v>
                </c:pt>
                <c:pt idx="1084">
                  <c:v>0</c:v>
                </c:pt>
                <c:pt idx="1085">
                  <c:v>0</c:v>
                </c:pt>
                <c:pt idx="1086">
                  <c:v>0</c:v>
                </c:pt>
                <c:pt idx="1087">
                  <c:v>0</c:v>
                </c:pt>
                <c:pt idx="1088">
                  <c:v>0</c:v>
                </c:pt>
                <c:pt idx="1089">
                  <c:v>0</c:v>
                </c:pt>
                <c:pt idx="1090">
                  <c:v>0</c:v>
                </c:pt>
                <c:pt idx="1091">
                  <c:v>0</c:v>
                </c:pt>
                <c:pt idx="1092">
                  <c:v>0</c:v>
                </c:pt>
                <c:pt idx="1093">
                  <c:v>0</c:v>
                </c:pt>
                <c:pt idx="1094">
                  <c:v>0</c:v>
                </c:pt>
                <c:pt idx="1095">
                  <c:v>0</c:v>
                </c:pt>
                <c:pt idx="1096">
                  <c:v>0</c:v>
                </c:pt>
                <c:pt idx="1097">
                  <c:v>0</c:v>
                </c:pt>
                <c:pt idx="1098">
                  <c:v>0</c:v>
                </c:pt>
                <c:pt idx="1099">
                  <c:v>0</c:v>
                </c:pt>
                <c:pt idx="1100">
                  <c:v>0</c:v>
                </c:pt>
                <c:pt idx="1101">
                  <c:v>0</c:v>
                </c:pt>
                <c:pt idx="1102">
                  <c:v>0</c:v>
                </c:pt>
                <c:pt idx="1103">
                  <c:v>0</c:v>
                </c:pt>
                <c:pt idx="1104">
                  <c:v>0</c:v>
                </c:pt>
                <c:pt idx="1105">
                  <c:v>0</c:v>
                </c:pt>
                <c:pt idx="1106">
                  <c:v>0</c:v>
                </c:pt>
                <c:pt idx="1107">
                  <c:v>0</c:v>
                </c:pt>
                <c:pt idx="1108">
                  <c:v>0</c:v>
                </c:pt>
                <c:pt idx="1109">
                  <c:v>0</c:v>
                </c:pt>
                <c:pt idx="1110">
                  <c:v>0</c:v>
                </c:pt>
                <c:pt idx="1111">
                  <c:v>0</c:v>
                </c:pt>
                <c:pt idx="1112">
                  <c:v>0</c:v>
                </c:pt>
                <c:pt idx="1113">
                  <c:v>0</c:v>
                </c:pt>
                <c:pt idx="1114">
                  <c:v>0</c:v>
                </c:pt>
                <c:pt idx="1115">
                  <c:v>0</c:v>
                </c:pt>
                <c:pt idx="1116">
                  <c:v>0</c:v>
                </c:pt>
                <c:pt idx="1117">
                  <c:v>0</c:v>
                </c:pt>
                <c:pt idx="1118">
                  <c:v>0</c:v>
                </c:pt>
                <c:pt idx="1119">
                  <c:v>0</c:v>
                </c:pt>
                <c:pt idx="1120">
                  <c:v>0</c:v>
                </c:pt>
                <c:pt idx="1121">
                  <c:v>0</c:v>
                </c:pt>
                <c:pt idx="1122">
                  <c:v>0</c:v>
                </c:pt>
                <c:pt idx="1123">
                  <c:v>0</c:v>
                </c:pt>
                <c:pt idx="1124">
                  <c:v>0</c:v>
                </c:pt>
                <c:pt idx="1125">
                  <c:v>0</c:v>
                </c:pt>
                <c:pt idx="1126">
                  <c:v>0</c:v>
                </c:pt>
                <c:pt idx="1127">
                  <c:v>0</c:v>
                </c:pt>
                <c:pt idx="1128">
                  <c:v>0</c:v>
                </c:pt>
                <c:pt idx="1129">
                  <c:v>0</c:v>
                </c:pt>
                <c:pt idx="1130">
                  <c:v>0</c:v>
                </c:pt>
                <c:pt idx="1131">
                  <c:v>0</c:v>
                </c:pt>
                <c:pt idx="1132">
                  <c:v>0</c:v>
                </c:pt>
                <c:pt idx="1133">
                  <c:v>0</c:v>
                </c:pt>
                <c:pt idx="1134">
                  <c:v>0</c:v>
                </c:pt>
                <c:pt idx="1135">
                  <c:v>0</c:v>
                </c:pt>
                <c:pt idx="1136">
                  <c:v>0</c:v>
                </c:pt>
                <c:pt idx="1137">
                  <c:v>0</c:v>
                </c:pt>
                <c:pt idx="1138">
                  <c:v>0</c:v>
                </c:pt>
                <c:pt idx="1139">
                  <c:v>0</c:v>
                </c:pt>
                <c:pt idx="1140">
                  <c:v>0</c:v>
                </c:pt>
                <c:pt idx="1141">
                  <c:v>0</c:v>
                </c:pt>
                <c:pt idx="1142">
                  <c:v>0</c:v>
                </c:pt>
                <c:pt idx="1143">
                  <c:v>0</c:v>
                </c:pt>
                <c:pt idx="1144">
                  <c:v>0</c:v>
                </c:pt>
                <c:pt idx="1145">
                  <c:v>0</c:v>
                </c:pt>
                <c:pt idx="1146">
                  <c:v>0</c:v>
                </c:pt>
                <c:pt idx="1147">
                  <c:v>0</c:v>
                </c:pt>
                <c:pt idx="1148">
                  <c:v>0</c:v>
                </c:pt>
                <c:pt idx="1149">
                  <c:v>0</c:v>
                </c:pt>
                <c:pt idx="1150">
                  <c:v>0</c:v>
                </c:pt>
                <c:pt idx="1151">
                  <c:v>0</c:v>
                </c:pt>
                <c:pt idx="1152">
                  <c:v>0</c:v>
                </c:pt>
                <c:pt idx="1153">
                  <c:v>0</c:v>
                </c:pt>
                <c:pt idx="1154">
                  <c:v>0</c:v>
                </c:pt>
                <c:pt idx="1155">
                  <c:v>0</c:v>
                </c:pt>
                <c:pt idx="1156">
                  <c:v>0</c:v>
                </c:pt>
                <c:pt idx="1157">
                  <c:v>0</c:v>
                </c:pt>
                <c:pt idx="1158">
                  <c:v>0</c:v>
                </c:pt>
                <c:pt idx="1159">
                  <c:v>0</c:v>
                </c:pt>
                <c:pt idx="1160">
                  <c:v>0</c:v>
                </c:pt>
                <c:pt idx="1161">
                  <c:v>0</c:v>
                </c:pt>
                <c:pt idx="1162">
                  <c:v>0</c:v>
                </c:pt>
                <c:pt idx="1163">
                  <c:v>0</c:v>
                </c:pt>
                <c:pt idx="1164">
                  <c:v>0</c:v>
                </c:pt>
                <c:pt idx="1165">
                  <c:v>0</c:v>
                </c:pt>
                <c:pt idx="1166">
                  <c:v>0</c:v>
                </c:pt>
                <c:pt idx="1167">
                  <c:v>0</c:v>
                </c:pt>
                <c:pt idx="1168">
                  <c:v>0</c:v>
                </c:pt>
                <c:pt idx="1169">
                  <c:v>0</c:v>
                </c:pt>
                <c:pt idx="1170">
                  <c:v>0</c:v>
                </c:pt>
                <c:pt idx="1171">
                  <c:v>0</c:v>
                </c:pt>
                <c:pt idx="1172">
                  <c:v>0</c:v>
                </c:pt>
                <c:pt idx="1173">
                  <c:v>0</c:v>
                </c:pt>
                <c:pt idx="1174">
                  <c:v>0</c:v>
                </c:pt>
                <c:pt idx="1175">
                  <c:v>0</c:v>
                </c:pt>
                <c:pt idx="1176">
                  <c:v>0</c:v>
                </c:pt>
                <c:pt idx="1177">
                  <c:v>0</c:v>
                </c:pt>
                <c:pt idx="1178">
                  <c:v>0</c:v>
                </c:pt>
                <c:pt idx="1179">
                  <c:v>0</c:v>
                </c:pt>
                <c:pt idx="1180">
                  <c:v>0</c:v>
                </c:pt>
                <c:pt idx="1181">
                  <c:v>0</c:v>
                </c:pt>
                <c:pt idx="1182">
                  <c:v>0</c:v>
                </c:pt>
                <c:pt idx="1183">
                  <c:v>0</c:v>
                </c:pt>
                <c:pt idx="1184">
                  <c:v>0</c:v>
                </c:pt>
                <c:pt idx="1185">
                  <c:v>0</c:v>
                </c:pt>
                <c:pt idx="1186">
                  <c:v>0</c:v>
                </c:pt>
                <c:pt idx="1187">
                  <c:v>0</c:v>
                </c:pt>
                <c:pt idx="1188">
                  <c:v>0</c:v>
                </c:pt>
                <c:pt idx="1189">
                  <c:v>0</c:v>
                </c:pt>
                <c:pt idx="1190">
                  <c:v>0</c:v>
                </c:pt>
                <c:pt idx="1191">
                  <c:v>0</c:v>
                </c:pt>
                <c:pt idx="1192">
                  <c:v>0</c:v>
                </c:pt>
                <c:pt idx="1193">
                  <c:v>0</c:v>
                </c:pt>
                <c:pt idx="1194">
                  <c:v>0</c:v>
                </c:pt>
                <c:pt idx="1195">
                  <c:v>0</c:v>
                </c:pt>
                <c:pt idx="1196">
                  <c:v>0</c:v>
                </c:pt>
                <c:pt idx="1197">
                  <c:v>0</c:v>
                </c:pt>
                <c:pt idx="1198">
                  <c:v>0</c:v>
                </c:pt>
                <c:pt idx="1199">
                  <c:v>0</c:v>
                </c:pt>
                <c:pt idx="1200">
                  <c:v>0</c:v>
                </c:pt>
                <c:pt idx="1201">
                  <c:v>0</c:v>
                </c:pt>
                <c:pt idx="1202">
                  <c:v>0</c:v>
                </c:pt>
                <c:pt idx="1203">
                  <c:v>0</c:v>
                </c:pt>
                <c:pt idx="1204">
                  <c:v>0</c:v>
                </c:pt>
                <c:pt idx="1205">
                  <c:v>0</c:v>
                </c:pt>
                <c:pt idx="1206">
                  <c:v>0</c:v>
                </c:pt>
                <c:pt idx="1207">
                  <c:v>0</c:v>
                </c:pt>
                <c:pt idx="1208">
                  <c:v>0</c:v>
                </c:pt>
                <c:pt idx="1209">
                  <c:v>0</c:v>
                </c:pt>
                <c:pt idx="1210">
                  <c:v>0</c:v>
                </c:pt>
                <c:pt idx="1211">
                  <c:v>0</c:v>
                </c:pt>
                <c:pt idx="1212">
                  <c:v>0</c:v>
                </c:pt>
                <c:pt idx="1213">
                  <c:v>0</c:v>
                </c:pt>
                <c:pt idx="1214">
                  <c:v>0</c:v>
                </c:pt>
                <c:pt idx="1215">
                  <c:v>0</c:v>
                </c:pt>
                <c:pt idx="1216">
                  <c:v>0</c:v>
                </c:pt>
                <c:pt idx="1217">
                  <c:v>0</c:v>
                </c:pt>
                <c:pt idx="1218">
                  <c:v>0</c:v>
                </c:pt>
                <c:pt idx="1219">
                  <c:v>0</c:v>
                </c:pt>
                <c:pt idx="1220">
                  <c:v>0</c:v>
                </c:pt>
                <c:pt idx="1221">
                  <c:v>0</c:v>
                </c:pt>
                <c:pt idx="1222">
                  <c:v>0</c:v>
                </c:pt>
                <c:pt idx="1223">
                  <c:v>0</c:v>
                </c:pt>
                <c:pt idx="1224">
                  <c:v>0</c:v>
                </c:pt>
                <c:pt idx="1225">
                  <c:v>0</c:v>
                </c:pt>
                <c:pt idx="1226">
                  <c:v>0</c:v>
                </c:pt>
                <c:pt idx="1227">
                  <c:v>0</c:v>
                </c:pt>
                <c:pt idx="1228">
                  <c:v>0</c:v>
                </c:pt>
                <c:pt idx="1229">
                  <c:v>0</c:v>
                </c:pt>
                <c:pt idx="1230">
                  <c:v>0</c:v>
                </c:pt>
                <c:pt idx="1231">
                  <c:v>0</c:v>
                </c:pt>
                <c:pt idx="1232">
                  <c:v>0</c:v>
                </c:pt>
                <c:pt idx="1233">
                  <c:v>0</c:v>
                </c:pt>
                <c:pt idx="1234">
                  <c:v>0</c:v>
                </c:pt>
                <c:pt idx="1235">
                  <c:v>0</c:v>
                </c:pt>
                <c:pt idx="1236">
                  <c:v>0</c:v>
                </c:pt>
                <c:pt idx="1237">
                  <c:v>0</c:v>
                </c:pt>
                <c:pt idx="1238">
                  <c:v>0</c:v>
                </c:pt>
                <c:pt idx="1239">
                  <c:v>0</c:v>
                </c:pt>
                <c:pt idx="1240">
                  <c:v>0</c:v>
                </c:pt>
                <c:pt idx="1241">
                  <c:v>0</c:v>
                </c:pt>
                <c:pt idx="1242">
                  <c:v>0</c:v>
                </c:pt>
                <c:pt idx="1243">
                  <c:v>0</c:v>
                </c:pt>
                <c:pt idx="1244">
                  <c:v>0</c:v>
                </c:pt>
                <c:pt idx="1245">
                  <c:v>0</c:v>
                </c:pt>
                <c:pt idx="1246">
                  <c:v>0</c:v>
                </c:pt>
                <c:pt idx="1247">
                  <c:v>0</c:v>
                </c:pt>
                <c:pt idx="1248">
                  <c:v>0</c:v>
                </c:pt>
                <c:pt idx="1249">
                  <c:v>0</c:v>
                </c:pt>
                <c:pt idx="1250">
                  <c:v>0</c:v>
                </c:pt>
                <c:pt idx="1251">
                  <c:v>0</c:v>
                </c:pt>
                <c:pt idx="1252">
                  <c:v>0</c:v>
                </c:pt>
                <c:pt idx="1253">
                  <c:v>0</c:v>
                </c:pt>
                <c:pt idx="1254">
                  <c:v>0</c:v>
                </c:pt>
                <c:pt idx="1255">
                  <c:v>0</c:v>
                </c:pt>
                <c:pt idx="1256">
                  <c:v>0</c:v>
                </c:pt>
                <c:pt idx="1257">
                  <c:v>0</c:v>
                </c:pt>
                <c:pt idx="1258">
                  <c:v>0</c:v>
                </c:pt>
                <c:pt idx="1259">
                  <c:v>0</c:v>
                </c:pt>
                <c:pt idx="1260">
                  <c:v>0</c:v>
                </c:pt>
                <c:pt idx="1261">
                  <c:v>0</c:v>
                </c:pt>
                <c:pt idx="1262">
                  <c:v>0</c:v>
                </c:pt>
                <c:pt idx="1263">
                  <c:v>0</c:v>
                </c:pt>
                <c:pt idx="1264">
                  <c:v>0</c:v>
                </c:pt>
                <c:pt idx="1265">
                  <c:v>0</c:v>
                </c:pt>
                <c:pt idx="1266">
                  <c:v>0</c:v>
                </c:pt>
                <c:pt idx="1267">
                  <c:v>0</c:v>
                </c:pt>
                <c:pt idx="1268">
                  <c:v>0</c:v>
                </c:pt>
                <c:pt idx="1269">
                  <c:v>0</c:v>
                </c:pt>
                <c:pt idx="1270">
                  <c:v>0</c:v>
                </c:pt>
                <c:pt idx="1271">
                  <c:v>0</c:v>
                </c:pt>
                <c:pt idx="1272">
                  <c:v>0</c:v>
                </c:pt>
                <c:pt idx="1273">
                  <c:v>0</c:v>
                </c:pt>
                <c:pt idx="1274">
                  <c:v>0</c:v>
                </c:pt>
                <c:pt idx="1275">
                  <c:v>0</c:v>
                </c:pt>
                <c:pt idx="1276">
                  <c:v>0</c:v>
                </c:pt>
                <c:pt idx="1277">
                  <c:v>0</c:v>
                </c:pt>
                <c:pt idx="1278">
                  <c:v>0</c:v>
                </c:pt>
                <c:pt idx="1279">
                  <c:v>0</c:v>
                </c:pt>
                <c:pt idx="1280">
                  <c:v>0</c:v>
                </c:pt>
                <c:pt idx="1281">
                  <c:v>0</c:v>
                </c:pt>
                <c:pt idx="1282">
                  <c:v>0</c:v>
                </c:pt>
                <c:pt idx="1283">
                  <c:v>0</c:v>
                </c:pt>
                <c:pt idx="1284">
                  <c:v>0</c:v>
                </c:pt>
                <c:pt idx="1285">
                  <c:v>0</c:v>
                </c:pt>
                <c:pt idx="1286">
                  <c:v>0</c:v>
                </c:pt>
                <c:pt idx="1287">
                  <c:v>0</c:v>
                </c:pt>
                <c:pt idx="1288">
                  <c:v>0</c:v>
                </c:pt>
                <c:pt idx="1289">
                  <c:v>0</c:v>
                </c:pt>
                <c:pt idx="1290">
                  <c:v>0</c:v>
                </c:pt>
                <c:pt idx="1291">
                  <c:v>0</c:v>
                </c:pt>
                <c:pt idx="1292">
                  <c:v>0</c:v>
                </c:pt>
                <c:pt idx="1293">
                  <c:v>0</c:v>
                </c:pt>
                <c:pt idx="1294">
                  <c:v>0</c:v>
                </c:pt>
                <c:pt idx="1295">
                  <c:v>0</c:v>
                </c:pt>
                <c:pt idx="1296">
                  <c:v>0</c:v>
                </c:pt>
                <c:pt idx="1297">
                  <c:v>0</c:v>
                </c:pt>
                <c:pt idx="1298">
                  <c:v>0</c:v>
                </c:pt>
                <c:pt idx="1299">
                  <c:v>0</c:v>
                </c:pt>
                <c:pt idx="1300">
                  <c:v>0</c:v>
                </c:pt>
                <c:pt idx="1301">
                  <c:v>0</c:v>
                </c:pt>
                <c:pt idx="1302">
                  <c:v>0</c:v>
                </c:pt>
                <c:pt idx="1303">
                  <c:v>0</c:v>
                </c:pt>
                <c:pt idx="1304">
                  <c:v>0</c:v>
                </c:pt>
                <c:pt idx="1305">
                  <c:v>0</c:v>
                </c:pt>
                <c:pt idx="1306">
                  <c:v>0</c:v>
                </c:pt>
                <c:pt idx="1307">
                  <c:v>0</c:v>
                </c:pt>
                <c:pt idx="1308">
                  <c:v>0</c:v>
                </c:pt>
                <c:pt idx="1309">
                  <c:v>0</c:v>
                </c:pt>
                <c:pt idx="1310">
                  <c:v>0</c:v>
                </c:pt>
                <c:pt idx="1311">
                  <c:v>0</c:v>
                </c:pt>
                <c:pt idx="1312">
                  <c:v>0</c:v>
                </c:pt>
                <c:pt idx="1313">
                  <c:v>0</c:v>
                </c:pt>
                <c:pt idx="1314">
                  <c:v>0</c:v>
                </c:pt>
                <c:pt idx="1315">
                  <c:v>0</c:v>
                </c:pt>
                <c:pt idx="1316">
                  <c:v>0</c:v>
                </c:pt>
                <c:pt idx="1317">
                  <c:v>0</c:v>
                </c:pt>
                <c:pt idx="1318">
                  <c:v>0</c:v>
                </c:pt>
                <c:pt idx="1319">
                  <c:v>0</c:v>
                </c:pt>
                <c:pt idx="1320">
                  <c:v>0</c:v>
                </c:pt>
                <c:pt idx="1321">
                  <c:v>0</c:v>
                </c:pt>
                <c:pt idx="1322">
                  <c:v>0</c:v>
                </c:pt>
                <c:pt idx="1323">
                  <c:v>0</c:v>
                </c:pt>
                <c:pt idx="1324">
                  <c:v>0</c:v>
                </c:pt>
                <c:pt idx="1325">
                  <c:v>0</c:v>
                </c:pt>
                <c:pt idx="1326">
                  <c:v>0</c:v>
                </c:pt>
                <c:pt idx="1327">
                  <c:v>0</c:v>
                </c:pt>
                <c:pt idx="1328">
                  <c:v>0</c:v>
                </c:pt>
                <c:pt idx="1329">
                  <c:v>0</c:v>
                </c:pt>
                <c:pt idx="1330">
                  <c:v>0</c:v>
                </c:pt>
                <c:pt idx="1331">
                  <c:v>0</c:v>
                </c:pt>
                <c:pt idx="1332">
                  <c:v>0</c:v>
                </c:pt>
                <c:pt idx="1333">
                  <c:v>0</c:v>
                </c:pt>
                <c:pt idx="1334">
                  <c:v>0</c:v>
                </c:pt>
                <c:pt idx="1335">
                  <c:v>0</c:v>
                </c:pt>
                <c:pt idx="1336">
                  <c:v>0</c:v>
                </c:pt>
                <c:pt idx="1337">
                  <c:v>0</c:v>
                </c:pt>
                <c:pt idx="1338">
                  <c:v>0</c:v>
                </c:pt>
                <c:pt idx="1339">
                  <c:v>0</c:v>
                </c:pt>
                <c:pt idx="1340">
                  <c:v>0</c:v>
                </c:pt>
                <c:pt idx="1341">
                  <c:v>0</c:v>
                </c:pt>
                <c:pt idx="1342">
                  <c:v>0</c:v>
                </c:pt>
                <c:pt idx="1343">
                  <c:v>0</c:v>
                </c:pt>
                <c:pt idx="1344">
                  <c:v>0</c:v>
                </c:pt>
                <c:pt idx="1345">
                  <c:v>0</c:v>
                </c:pt>
                <c:pt idx="1346">
                  <c:v>0</c:v>
                </c:pt>
                <c:pt idx="1347">
                  <c:v>0</c:v>
                </c:pt>
                <c:pt idx="1348">
                  <c:v>0</c:v>
                </c:pt>
                <c:pt idx="1349">
                  <c:v>0</c:v>
                </c:pt>
                <c:pt idx="1350">
                  <c:v>0</c:v>
                </c:pt>
                <c:pt idx="1351">
                  <c:v>0</c:v>
                </c:pt>
                <c:pt idx="1352">
                  <c:v>0</c:v>
                </c:pt>
                <c:pt idx="1353">
                  <c:v>0</c:v>
                </c:pt>
                <c:pt idx="1354">
                  <c:v>0</c:v>
                </c:pt>
                <c:pt idx="1355">
                  <c:v>0</c:v>
                </c:pt>
                <c:pt idx="1356">
                  <c:v>0</c:v>
                </c:pt>
                <c:pt idx="1357">
                  <c:v>0</c:v>
                </c:pt>
                <c:pt idx="1358">
                  <c:v>0</c:v>
                </c:pt>
                <c:pt idx="1359">
                  <c:v>0</c:v>
                </c:pt>
                <c:pt idx="1360">
                  <c:v>0</c:v>
                </c:pt>
                <c:pt idx="1361">
                  <c:v>0</c:v>
                </c:pt>
                <c:pt idx="1362">
                  <c:v>0</c:v>
                </c:pt>
                <c:pt idx="1363">
                  <c:v>0</c:v>
                </c:pt>
                <c:pt idx="1364">
                  <c:v>0</c:v>
                </c:pt>
                <c:pt idx="1365">
                  <c:v>0</c:v>
                </c:pt>
                <c:pt idx="1366">
                  <c:v>0</c:v>
                </c:pt>
                <c:pt idx="1367">
                  <c:v>0</c:v>
                </c:pt>
                <c:pt idx="1368">
                  <c:v>0</c:v>
                </c:pt>
                <c:pt idx="1369">
                  <c:v>0</c:v>
                </c:pt>
                <c:pt idx="1370">
                  <c:v>0</c:v>
                </c:pt>
                <c:pt idx="1371">
                  <c:v>0</c:v>
                </c:pt>
                <c:pt idx="1372">
                  <c:v>0</c:v>
                </c:pt>
                <c:pt idx="1373">
                  <c:v>0</c:v>
                </c:pt>
                <c:pt idx="1374">
                  <c:v>0</c:v>
                </c:pt>
                <c:pt idx="1375">
                  <c:v>0</c:v>
                </c:pt>
                <c:pt idx="1376">
                  <c:v>0</c:v>
                </c:pt>
                <c:pt idx="1377">
                  <c:v>0</c:v>
                </c:pt>
                <c:pt idx="1378">
                  <c:v>0</c:v>
                </c:pt>
                <c:pt idx="1379">
                  <c:v>0</c:v>
                </c:pt>
                <c:pt idx="1380">
                  <c:v>0</c:v>
                </c:pt>
                <c:pt idx="1381">
                  <c:v>0</c:v>
                </c:pt>
                <c:pt idx="1382">
                  <c:v>0</c:v>
                </c:pt>
                <c:pt idx="1383">
                  <c:v>0</c:v>
                </c:pt>
                <c:pt idx="1384">
                  <c:v>0</c:v>
                </c:pt>
                <c:pt idx="1385">
                  <c:v>0</c:v>
                </c:pt>
                <c:pt idx="1386">
                  <c:v>0</c:v>
                </c:pt>
                <c:pt idx="1387">
                  <c:v>0</c:v>
                </c:pt>
                <c:pt idx="1388">
                  <c:v>0</c:v>
                </c:pt>
                <c:pt idx="1389">
                  <c:v>0</c:v>
                </c:pt>
                <c:pt idx="1390">
                  <c:v>0</c:v>
                </c:pt>
                <c:pt idx="1391">
                  <c:v>0</c:v>
                </c:pt>
                <c:pt idx="1392">
                  <c:v>0</c:v>
                </c:pt>
                <c:pt idx="1393">
                  <c:v>0</c:v>
                </c:pt>
                <c:pt idx="1394">
                  <c:v>0</c:v>
                </c:pt>
                <c:pt idx="1395">
                  <c:v>0</c:v>
                </c:pt>
                <c:pt idx="1396">
                  <c:v>0</c:v>
                </c:pt>
                <c:pt idx="1397">
                  <c:v>0</c:v>
                </c:pt>
                <c:pt idx="1398">
                  <c:v>0</c:v>
                </c:pt>
                <c:pt idx="1399">
                  <c:v>0</c:v>
                </c:pt>
                <c:pt idx="1400">
                  <c:v>0</c:v>
                </c:pt>
                <c:pt idx="1401">
                  <c:v>0</c:v>
                </c:pt>
                <c:pt idx="1402">
                  <c:v>0</c:v>
                </c:pt>
                <c:pt idx="1403">
                  <c:v>0</c:v>
                </c:pt>
                <c:pt idx="1404">
                  <c:v>0</c:v>
                </c:pt>
                <c:pt idx="1405">
                  <c:v>0</c:v>
                </c:pt>
                <c:pt idx="1406">
                  <c:v>0</c:v>
                </c:pt>
                <c:pt idx="1407">
                  <c:v>0</c:v>
                </c:pt>
                <c:pt idx="1408">
                  <c:v>0</c:v>
                </c:pt>
                <c:pt idx="1409">
                  <c:v>0</c:v>
                </c:pt>
                <c:pt idx="1410">
                  <c:v>0</c:v>
                </c:pt>
                <c:pt idx="1411">
                  <c:v>0</c:v>
                </c:pt>
                <c:pt idx="1412">
                  <c:v>0</c:v>
                </c:pt>
                <c:pt idx="1413">
                  <c:v>0</c:v>
                </c:pt>
                <c:pt idx="1414">
                  <c:v>0</c:v>
                </c:pt>
                <c:pt idx="1415">
                  <c:v>0</c:v>
                </c:pt>
                <c:pt idx="1416">
                  <c:v>0</c:v>
                </c:pt>
                <c:pt idx="1417">
                  <c:v>0</c:v>
                </c:pt>
                <c:pt idx="1418">
                  <c:v>0</c:v>
                </c:pt>
                <c:pt idx="1419">
                  <c:v>0</c:v>
                </c:pt>
                <c:pt idx="1420">
                  <c:v>0</c:v>
                </c:pt>
                <c:pt idx="1421">
                  <c:v>0</c:v>
                </c:pt>
                <c:pt idx="1422">
                  <c:v>0</c:v>
                </c:pt>
                <c:pt idx="1423">
                  <c:v>0</c:v>
                </c:pt>
                <c:pt idx="1424">
                  <c:v>0</c:v>
                </c:pt>
                <c:pt idx="1425">
                  <c:v>0</c:v>
                </c:pt>
                <c:pt idx="1426">
                  <c:v>0</c:v>
                </c:pt>
                <c:pt idx="1427">
                  <c:v>0</c:v>
                </c:pt>
                <c:pt idx="1428">
                  <c:v>0</c:v>
                </c:pt>
                <c:pt idx="1429">
                  <c:v>0</c:v>
                </c:pt>
                <c:pt idx="1430">
                  <c:v>0</c:v>
                </c:pt>
                <c:pt idx="1431">
                  <c:v>0</c:v>
                </c:pt>
                <c:pt idx="1432">
                  <c:v>0</c:v>
                </c:pt>
                <c:pt idx="1433">
                  <c:v>0</c:v>
                </c:pt>
                <c:pt idx="1434">
                  <c:v>0</c:v>
                </c:pt>
                <c:pt idx="1435">
                  <c:v>0</c:v>
                </c:pt>
                <c:pt idx="1436">
                  <c:v>0</c:v>
                </c:pt>
                <c:pt idx="1437">
                  <c:v>0</c:v>
                </c:pt>
                <c:pt idx="1438">
                  <c:v>0</c:v>
                </c:pt>
                <c:pt idx="1439">
                  <c:v>0</c:v>
                </c:pt>
                <c:pt idx="1440">
                  <c:v>0</c:v>
                </c:pt>
                <c:pt idx="1441">
                  <c:v>0</c:v>
                </c:pt>
                <c:pt idx="1442">
                  <c:v>0</c:v>
                </c:pt>
                <c:pt idx="1443">
                  <c:v>0</c:v>
                </c:pt>
                <c:pt idx="1444">
                  <c:v>0</c:v>
                </c:pt>
                <c:pt idx="1445">
                  <c:v>0</c:v>
                </c:pt>
                <c:pt idx="1446">
                  <c:v>0</c:v>
                </c:pt>
                <c:pt idx="1447">
                  <c:v>0</c:v>
                </c:pt>
                <c:pt idx="1448">
                  <c:v>0</c:v>
                </c:pt>
                <c:pt idx="1449">
                  <c:v>0</c:v>
                </c:pt>
                <c:pt idx="1450">
                  <c:v>0</c:v>
                </c:pt>
                <c:pt idx="1451">
                  <c:v>0</c:v>
                </c:pt>
                <c:pt idx="1452">
                  <c:v>0</c:v>
                </c:pt>
                <c:pt idx="1453">
                  <c:v>0</c:v>
                </c:pt>
                <c:pt idx="1454">
                  <c:v>0</c:v>
                </c:pt>
                <c:pt idx="1455">
                  <c:v>0</c:v>
                </c:pt>
                <c:pt idx="1456">
                  <c:v>0</c:v>
                </c:pt>
                <c:pt idx="1457">
                  <c:v>0</c:v>
                </c:pt>
                <c:pt idx="1458">
                  <c:v>0</c:v>
                </c:pt>
                <c:pt idx="1459">
                  <c:v>0</c:v>
                </c:pt>
                <c:pt idx="1460">
                  <c:v>0</c:v>
                </c:pt>
                <c:pt idx="1461">
                  <c:v>0</c:v>
                </c:pt>
                <c:pt idx="1462">
                  <c:v>0</c:v>
                </c:pt>
                <c:pt idx="1463">
                  <c:v>0</c:v>
                </c:pt>
                <c:pt idx="1464">
                  <c:v>0</c:v>
                </c:pt>
                <c:pt idx="1465">
                  <c:v>0</c:v>
                </c:pt>
                <c:pt idx="1466">
                  <c:v>0</c:v>
                </c:pt>
                <c:pt idx="1467">
                  <c:v>0</c:v>
                </c:pt>
                <c:pt idx="1468">
                  <c:v>0</c:v>
                </c:pt>
                <c:pt idx="1469">
                  <c:v>0</c:v>
                </c:pt>
                <c:pt idx="1470">
                  <c:v>0</c:v>
                </c:pt>
                <c:pt idx="1471">
                  <c:v>0</c:v>
                </c:pt>
                <c:pt idx="1472">
                  <c:v>0</c:v>
                </c:pt>
                <c:pt idx="1473">
                  <c:v>0</c:v>
                </c:pt>
                <c:pt idx="1474">
                  <c:v>0</c:v>
                </c:pt>
                <c:pt idx="1475">
                  <c:v>0</c:v>
                </c:pt>
                <c:pt idx="1476">
                  <c:v>0</c:v>
                </c:pt>
                <c:pt idx="1477">
                  <c:v>0</c:v>
                </c:pt>
                <c:pt idx="1478">
                  <c:v>0</c:v>
                </c:pt>
                <c:pt idx="1479">
                  <c:v>0</c:v>
                </c:pt>
                <c:pt idx="1480">
                  <c:v>0</c:v>
                </c:pt>
                <c:pt idx="1481">
                  <c:v>0</c:v>
                </c:pt>
                <c:pt idx="1482">
                  <c:v>0</c:v>
                </c:pt>
                <c:pt idx="1483">
                  <c:v>0</c:v>
                </c:pt>
                <c:pt idx="1484">
                  <c:v>0</c:v>
                </c:pt>
                <c:pt idx="1485">
                  <c:v>0</c:v>
                </c:pt>
                <c:pt idx="1486">
                  <c:v>0</c:v>
                </c:pt>
                <c:pt idx="1487">
                  <c:v>0</c:v>
                </c:pt>
                <c:pt idx="1488">
                  <c:v>0</c:v>
                </c:pt>
                <c:pt idx="1489">
                  <c:v>0</c:v>
                </c:pt>
                <c:pt idx="1490">
                  <c:v>0</c:v>
                </c:pt>
                <c:pt idx="1491">
                  <c:v>0</c:v>
                </c:pt>
                <c:pt idx="1492">
                  <c:v>0</c:v>
                </c:pt>
                <c:pt idx="1493">
                  <c:v>0</c:v>
                </c:pt>
                <c:pt idx="1494">
                  <c:v>0</c:v>
                </c:pt>
                <c:pt idx="1495">
                  <c:v>0</c:v>
                </c:pt>
                <c:pt idx="1496">
                  <c:v>0</c:v>
                </c:pt>
                <c:pt idx="1497">
                  <c:v>0</c:v>
                </c:pt>
                <c:pt idx="1498">
                  <c:v>0</c:v>
                </c:pt>
                <c:pt idx="1499">
                  <c:v>0</c:v>
                </c:pt>
                <c:pt idx="1500">
                  <c:v>0</c:v>
                </c:pt>
                <c:pt idx="1501">
                  <c:v>0</c:v>
                </c:pt>
                <c:pt idx="1502">
                  <c:v>0</c:v>
                </c:pt>
                <c:pt idx="1503">
                  <c:v>0</c:v>
                </c:pt>
                <c:pt idx="1504">
                  <c:v>0</c:v>
                </c:pt>
                <c:pt idx="1505">
                  <c:v>0</c:v>
                </c:pt>
                <c:pt idx="1506">
                  <c:v>0</c:v>
                </c:pt>
                <c:pt idx="1507">
                  <c:v>0</c:v>
                </c:pt>
                <c:pt idx="1508">
                  <c:v>0</c:v>
                </c:pt>
                <c:pt idx="1509">
                  <c:v>0</c:v>
                </c:pt>
                <c:pt idx="1510">
                  <c:v>0</c:v>
                </c:pt>
                <c:pt idx="1511">
                  <c:v>0</c:v>
                </c:pt>
                <c:pt idx="1512">
                  <c:v>0</c:v>
                </c:pt>
                <c:pt idx="1513">
                  <c:v>0</c:v>
                </c:pt>
                <c:pt idx="1514">
                  <c:v>0</c:v>
                </c:pt>
                <c:pt idx="1515">
                  <c:v>0</c:v>
                </c:pt>
                <c:pt idx="1516">
                  <c:v>0</c:v>
                </c:pt>
                <c:pt idx="1517">
                  <c:v>0</c:v>
                </c:pt>
                <c:pt idx="1518">
                  <c:v>0</c:v>
                </c:pt>
                <c:pt idx="1519">
                  <c:v>0</c:v>
                </c:pt>
                <c:pt idx="1520">
                  <c:v>0</c:v>
                </c:pt>
                <c:pt idx="1521">
                  <c:v>0</c:v>
                </c:pt>
                <c:pt idx="1522">
                  <c:v>0</c:v>
                </c:pt>
                <c:pt idx="1523">
                  <c:v>0</c:v>
                </c:pt>
                <c:pt idx="1524">
                  <c:v>0</c:v>
                </c:pt>
                <c:pt idx="1525">
                  <c:v>0</c:v>
                </c:pt>
                <c:pt idx="1526">
                  <c:v>0</c:v>
                </c:pt>
                <c:pt idx="1527">
                  <c:v>0</c:v>
                </c:pt>
                <c:pt idx="1528">
                  <c:v>0</c:v>
                </c:pt>
                <c:pt idx="1529">
                  <c:v>0</c:v>
                </c:pt>
                <c:pt idx="1530">
                  <c:v>0</c:v>
                </c:pt>
                <c:pt idx="1531">
                  <c:v>0</c:v>
                </c:pt>
                <c:pt idx="1532">
                  <c:v>0</c:v>
                </c:pt>
                <c:pt idx="1533">
                  <c:v>0</c:v>
                </c:pt>
                <c:pt idx="1534">
                  <c:v>0</c:v>
                </c:pt>
                <c:pt idx="1535">
                  <c:v>0</c:v>
                </c:pt>
                <c:pt idx="1536">
                  <c:v>0</c:v>
                </c:pt>
                <c:pt idx="1537">
                  <c:v>0</c:v>
                </c:pt>
                <c:pt idx="1538">
                  <c:v>0</c:v>
                </c:pt>
                <c:pt idx="1539">
                  <c:v>0</c:v>
                </c:pt>
                <c:pt idx="1540">
                  <c:v>0</c:v>
                </c:pt>
                <c:pt idx="1541">
                  <c:v>0</c:v>
                </c:pt>
                <c:pt idx="1542">
                  <c:v>0</c:v>
                </c:pt>
                <c:pt idx="1543">
                  <c:v>0</c:v>
                </c:pt>
                <c:pt idx="1544">
                  <c:v>0</c:v>
                </c:pt>
                <c:pt idx="1545">
                  <c:v>0</c:v>
                </c:pt>
                <c:pt idx="1546">
                  <c:v>0</c:v>
                </c:pt>
                <c:pt idx="1547">
                  <c:v>0</c:v>
                </c:pt>
                <c:pt idx="1548">
                  <c:v>0</c:v>
                </c:pt>
                <c:pt idx="1549">
                  <c:v>0</c:v>
                </c:pt>
                <c:pt idx="1550">
                  <c:v>0</c:v>
                </c:pt>
                <c:pt idx="1551">
                  <c:v>0</c:v>
                </c:pt>
                <c:pt idx="1552">
                  <c:v>0</c:v>
                </c:pt>
                <c:pt idx="1553">
                  <c:v>0</c:v>
                </c:pt>
                <c:pt idx="1554">
                  <c:v>0</c:v>
                </c:pt>
                <c:pt idx="1555">
                  <c:v>0</c:v>
                </c:pt>
                <c:pt idx="1556">
                  <c:v>0</c:v>
                </c:pt>
                <c:pt idx="1557">
                  <c:v>0</c:v>
                </c:pt>
                <c:pt idx="1558">
                  <c:v>0</c:v>
                </c:pt>
                <c:pt idx="1559">
                  <c:v>0</c:v>
                </c:pt>
                <c:pt idx="1560">
                  <c:v>0</c:v>
                </c:pt>
                <c:pt idx="1561">
                  <c:v>0</c:v>
                </c:pt>
                <c:pt idx="1562">
                  <c:v>0</c:v>
                </c:pt>
                <c:pt idx="1563">
                  <c:v>0</c:v>
                </c:pt>
                <c:pt idx="1564">
                  <c:v>0</c:v>
                </c:pt>
                <c:pt idx="1565">
                  <c:v>0</c:v>
                </c:pt>
                <c:pt idx="1566">
                  <c:v>0</c:v>
                </c:pt>
                <c:pt idx="1567">
                  <c:v>0</c:v>
                </c:pt>
                <c:pt idx="1568">
                  <c:v>0</c:v>
                </c:pt>
                <c:pt idx="1569">
                  <c:v>0</c:v>
                </c:pt>
                <c:pt idx="1570">
                  <c:v>0</c:v>
                </c:pt>
                <c:pt idx="1571">
                  <c:v>0</c:v>
                </c:pt>
                <c:pt idx="1572">
                  <c:v>0</c:v>
                </c:pt>
                <c:pt idx="1573">
                  <c:v>0</c:v>
                </c:pt>
                <c:pt idx="1574">
                  <c:v>0</c:v>
                </c:pt>
                <c:pt idx="1575">
                  <c:v>0</c:v>
                </c:pt>
                <c:pt idx="1576">
                  <c:v>0</c:v>
                </c:pt>
                <c:pt idx="1577">
                  <c:v>0</c:v>
                </c:pt>
                <c:pt idx="1578">
                  <c:v>0</c:v>
                </c:pt>
                <c:pt idx="1579">
                  <c:v>0</c:v>
                </c:pt>
                <c:pt idx="1580">
                  <c:v>0</c:v>
                </c:pt>
                <c:pt idx="1581">
                  <c:v>0</c:v>
                </c:pt>
                <c:pt idx="1582">
                  <c:v>0</c:v>
                </c:pt>
                <c:pt idx="1583">
                  <c:v>0</c:v>
                </c:pt>
                <c:pt idx="1584">
                  <c:v>0</c:v>
                </c:pt>
                <c:pt idx="1585">
                  <c:v>0</c:v>
                </c:pt>
                <c:pt idx="1586">
                  <c:v>0</c:v>
                </c:pt>
                <c:pt idx="1587">
                  <c:v>0</c:v>
                </c:pt>
                <c:pt idx="1588">
                  <c:v>0</c:v>
                </c:pt>
                <c:pt idx="1589">
                  <c:v>0</c:v>
                </c:pt>
                <c:pt idx="1590">
                  <c:v>0</c:v>
                </c:pt>
                <c:pt idx="1591">
                  <c:v>0</c:v>
                </c:pt>
                <c:pt idx="1592">
                  <c:v>0</c:v>
                </c:pt>
                <c:pt idx="1593">
                  <c:v>0</c:v>
                </c:pt>
                <c:pt idx="1594">
                  <c:v>0</c:v>
                </c:pt>
                <c:pt idx="1595">
                  <c:v>0</c:v>
                </c:pt>
                <c:pt idx="1596">
                  <c:v>0</c:v>
                </c:pt>
                <c:pt idx="1597">
                  <c:v>0</c:v>
                </c:pt>
                <c:pt idx="1598">
                  <c:v>0</c:v>
                </c:pt>
                <c:pt idx="1599">
                  <c:v>0</c:v>
                </c:pt>
                <c:pt idx="1600">
                  <c:v>0</c:v>
                </c:pt>
                <c:pt idx="1601">
                  <c:v>0</c:v>
                </c:pt>
                <c:pt idx="1602">
                  <c:v>0</c:v>
                </c:pt>
                <c:pt idx="1603">
                  <c:v>0</c:v>
                </c:pt>
                <c:pt idx="1604">
                  <c:v>0</c:v>
                </c:pt>
                <c:pt idx="1605">
                  <c:v>0</c:v>
                </c:pt>
                <c:pt idx="1606">
                  <c:v>0</c:v>
                </c:pt>
                <c:pt idx="1607">
                  <c:v>0</c:v>
                </c:pt>
                <c:pt idx="1608">
                  <c:v>0</c:v>
                </c:pt>
                <c:pt idx="1609">
                  <c:v>0</c:v>
                </c:pt>
                <c:pt idx="1610">
                  <c:v>0</c:v>
                </c:pt>
                <c:pt idx="1611">
                  <c:v>0</c:v>
                </c:pt>
                <c:pt idx="1612">
                  <c:v>0</c:v>
                </c:pt>
                <c:pt idx="1613">
                  <c:v>0</c:v>
                </c:pt>
                <c:pt idx="1614">
                  <c:v>0</c:v>
                </c:pt>
                <c:pt idx="1615">
                  <c:v>0</c:v>
                </c:pt>
                <c:pt idx="1616">
                  <c:v>0</c:v>
                </c:pt>
                <c:pt idx="1617">
                  <c:v>0</c:v>
                </c:pt>
                <c:pt idx="1618">
                  <c:v>0</c:v>
                </c:pt>
                <c:pt idx="1619">
                  <c:v>0</c:v>
                </c:pt>
                <c:pt idx="1620">
                  <c:v>0</c:v>
                </c:pt>
                <c:pt idx="1621">
                  <c:v>0</c:v>
                </c:pt>
                <c:pt idx="1622">
                  <c:v>0</c:v>
                </c:pt>
                <c:pt idx="1623">
                  <c:v>0</c:v>
                </c:pt>
                <c:pt idx="1624">
                  <c:v>0</c:v>
                </c:pt>
                <c:pt idx="1625">
                  <c:v>0</c:v>
                </c:pt>
                <c:pt idx="1626">
                  <c:v>0</c:v>
                </c:pt>
                <c:pt idx="1627">
                  <c:v>0</c:v>
                </c:pt>
                <c:pt idx="1628">
                  <c:v>0</c:v>
                </c:pt>
                <c:pt idx="1629">
                  <c:v>0</c:v>
                </c:pt>
                <c:pt idx="1630">
                  <c:v>0</c:v>
                </c:pt>
                <c:pt idx="1631">
                  <c:v>0</c:v>
                </c:pt>
                <c:pt idx="1632">
                  <c:v>0</c:v>
                </c:pt>
                <c:pt idx="1633">
                  <c:v>0</c:v>
                </c:pt>
                <c:pt idx="1634">
                  <c:v>0</c:v>
                </c:pt>
                <c:pt idx="1635">
                  <c:v>0</c:v>
                </c:pt>
                <c:pt idx="1636">
                  <c:v>0</c:v>
                </c:pt>
                <c:pt idx="1637">
                  <c:v>0</c:v>
                </c:pt>
                <c:pt idx="1638">
                  <c:v>0</c:v>
                </c:pt>
                <c:pt idx="1639">
                  <c:v>0</c:v>
                </c:pt>
                <c:pt idx="1640">
                  <c:v>0</c:v>
                </c:pt>
                <c:pt idx="1641">
                  <c:v>0</c:v>
                </c:pt>
                <c:pt idx="1642">
                  <c:v>0</c:v>
                </c:pt>
                <c:pt idx="1643">
                  <c:v>0</c:v>
                </c:pt>
                <c:pt idx="1644">
                  <c:v>0</c:v>
                </c:pt>
                <c:pt idx="1645">
                  <c:v>0</c:v>
                </c:pt>
                <c:pt idx="1646">
                  <c:v>0</c:v>
                </c:pt>
                <c:pt idx="1647">
                  <c:v>0</c:v>
                </c:pt>
                <c:pt idx="1648">
                  <c:v>0</c:v>
                </c:pt>
                <c:pt idx="1649">
                  <c:v>0</c:v>
                </c:pt>
                <c:pt idx="1650">
                  <c:v>0</c:v>
                </c:pt>
                <c:pt idx="1651">
                  <c:v>0</c:v>
                </c:pt>
                <c:pt idx="1652">
                  <c:v>0</c:v>
                </c:pt>
                <c:pt idx="1653">
                  <c:v>0</c:v>
                </c:pt>
                <c:pt idx="1654">
                  <c:v>0</c:v>
                </c:pt>
                <c:pt idx="1655">
                  <c:v>0</c:v>
                </c:pt>
                <c:pt idx="1656">
                  <c:v>0</c:v>
                </c:pt>
                <c:pt idx="1657">
                  <c:v>0</c:v>
                </c:pt>
                <c:pt idx="1658">
                  <c:v>0</c:v>
                </c:pt>
                <c:pt idx="1659">
                  <c:v>0</c:v>
                </c:pt>
                <c:pt idx="1660">
                  <c:v>0</c:v>
                </c:pt>
                <c:pt idx="1661">
                  <c:v>0</c:v>
                </c:pt>
                <c:pt idx="1662">
                  <c:v>0</c:v>
                </c:pt>
                <c:pt idx="1663">
                  <c:v>0</c:v>
                </c:pt>
                <c:pt idx="1664">
                  <c:v>0</c:v>
                </c:pt>
                <c:pt idx="1665">
                  <c:v>0</c:v>
                </c:pt>
                <c:pt idx="1666">
                  <c:v>0</c:v>
                </c:pt>
                <c:pt idx="1667">
                  <c:v>0</c:v>
                </c:pt>
                <c:pt idx="1668">
                  <c:v>0</c:v>
                </c:pt>
                <c:pt idx="1669">
                  <c:v>0</c:v>
                </c:pt>
                <c:pt idx="1670">
                  <c:v>0</c:v>
                </c:pt>
                <c:pt idx="1671">
                  <c:v>0</c:v>
                </c:pt>
                <c:pt idx="1672">
                  <c:v>0</c:v>
                </c:pt>
                <c:pt idx="1673">
                  <c:v>0</c:v>
                </c:pt>
                <c:pt idx="1674">
                  <c:v>0</c:v>
                </c:pt>
                <c:pt idx="1675">
                  <c:v>0</c:v>
                </c:pt>
                <c:pt idx="1676">
                  <c:v>0</c:v>
                </c:pt>
                <c:pt idx="1677">
                  <c:v>0</c:v>
                </c:pt>
                <c:pt idx="1678">
                  <c:v>0</c:v>
                </c:pt>
                <c:pt idx="1679">
                  <c:v>0</c:v>
                </c:pt>
                <c:pt idx="1680">
                  <c:v>0</c:v>
                </c:pt>
                <c:pt idx="1681">
                  <c:v>0</c:v>
                </c:pt>
                <c:pt idx="1682">
                  <c:v>0</c:v>
                </c:pt>
                <c:pt idx="1683">
                  <c:v>0</c:v>
                </c:pt>
                <c:pt idx="1684">
                  <c:v>0</c:v>
                </c:pt>
                <c:pt idx="1685">
                  <c:v>0</c:v>
                </c:pt>
                <c:pt idx="1686">
                  <c:v>0</c:v>
                </c:pt>
                <c:pt idx="1687">
                  <c:v>0</c:v>
                </c:pt>
                <c:pt idx="1688">
                  <c:v>0</c:v>
                </c:pt>
                <c:pt idx="1689">
                  <c:v>0</c:v>
                </c:pt>
                <c:pt idx="1690">
                  <c:v>0</c:v>
                </c:pt>
                <c:pt idx="1691">
                  <c:v>0</c:v>
                </c:pt>
                <c:pt idx="1692">
                  <c:v>0</c:v>
                </c:pt>
                <c:pt idx="1693">
                  <c:v>0</c:v>
                </c:pt>
                <c:pt idx="1694">
                  <c:v>0</c:v>
                </c:pt>
                <c:pt idx="1695">
                  <c:v>0</c:v>
                </c:pt>
                <c:pt idx="1696">
                  <c:v>0</c:v>
                </c:pt>
                <c:pt idx="1697">
                  <c:v>0</c:v>
                </c:pt>
                <c:pt idx="1698">
                  <c:v>0</c:v>
                </c:pt>
                <c:pt idx="1699">
                  <c:v>0</c:v>
                </c:pt>
                <c:pt idx="1700">
                  <c:v>0</c:v>
                </c:pt>
                <c:pt idx="1701">
                  <c:v>0</c:v>
                </c:pt>
                <c:pt idx="1702">
                  <c:v>0</c:v>
                </c:pt>
                <c:pt idx="1703">
                  <c:v>0</c:v>
                </c:pt>
                <c:pt idx="1704">
                  <c:v>0</c:v>
                </c:pt>
                <c:pt idx="1705">
                  <c:v>0</c:v>
                </c:pt>
                <c:pt idx="1706">
                  <c:v>0</c:v>
                </c:pt>
                <c:pt idx="1707">
                  <c:v>0</c:v>
                </c:pt>
                <c:pt idx="1708">
                  <c:v>0</c:v>
                </c:pt>
                <c:pt idx="1709">
                  <c:v>0</c:v>
                </c:pt>
                <c:pt idx="1710">
                  <c:v>0</c:v>
                </c:pt>
                <c:pt idx="1711">
                  <c:v>0</c:v>
                </c:pt>
                <c:pt idx="1712">
                  <c:v>0</c:v>
                </c:pt>
                <c:pt idx="1713">
                  <c:v>0</c:v>
                </c:pt>
                <c:pt idx="1714">
                  <c:v>0</c:v>
                </c:pt>
                <c:pt idx="1715">
                  <c:v>0</c:v>
                </c:pt>
                <c:pt idx="1716">
                  <c:v>0</c:v>
                </c:pt>
                <c:pt idx="1717">
                  <c:v>0</c:v>
                </c:pt>
                <c:pt idx="1718">
                  <c:v>0</c:v>
                </c:pt>
                <c:pt idx="1719">
                  <c:v>0</c:v>
                </c:pt>
                <c:pt idx="1720">
                  <c:v>0</c:v>
                </c:pt>
                <c:pt idx="1721">
                  <c:v>0</c:v>
                </c:pt>
                <c:pt idx="1722">
                  <c:v>0</c:v>
                </c:pt>
                <c:pt idx="1723">
                  <c:v>0</c:v>
                </c:pt>
                <c:pt idx="1724">
                  <c:v>0</c:v>
                </c:pt>
                <c:pt idx="1725">
                  <c:v>0</c:v>
                </c:pt>
                <c:pt idx="1726">
                  <c:v>0</c:v>
                </c:pt>
                <c:pt idx="1727">
                  <c:v>0</c:v>
                </c:pt>
                <c:pt idx="1728">
                  <c:v>0</c:v>
                </c:pt>
                <c:pt idx="1729">
                  <c:v>0</c:v>
                </c:pt>
                <c:pt idx="1730">
                  <c:v>0</c:v>
                </c:pt>
                <c:pt idx="1731">
                  <c:v>0</c:v>
                </c:pt>
                <c:pt idx="1732">
                  <c:v>0</c:v>
                </c:pt>
                <c:pt idx="1733">
                  <c:v>0</c:v>
                </c:pt>
                <c:pt idx="1734">
                  <c:v>0</c:v>
                </c:pt>
                <c:pt idx="1735">
                  <c:v>0</c:v>
                </c:pt>
                <c:pt idx="1736">
                  <c:v>0</c:v>
                </c:pt>
                <c:pt idx="1737">
                  <c:v>0</c:v>
                </c:pt>
                <c:pt idx="1738">
                  <c:v>0</c:v>
                </c:pt>
                <c:pt idx="1739">
                  <c:v>0</c:v>
                </c:pt>
                <c:pt idx="1740">
                  <c:v>0</c:v>
                </c:pt>
                <c:pt idx="1741">
                  <c:v>0</c:v>
                </c:pt>
                <c:pt idx="1742">
                  <c:v>0</c:v>
                </c:pt>
                <c:pt idx="1743">
                  <c:v>0</c:v>
                </c:pt>
                <c:pt idx="1744">
                  <c:v>0</c:v>
                </c:pt>
                <c:pt idx="1745">
                  <c:v>0</c:v>
                </c:pt>
                <c:pt idx="1746">
                  <c:v>0</c:v>
                </c:pt>
                <c:pt idx="1747">
                  <c:v>0</c:v>
                </c:pt>
                <c:pt idx="1748">
                  <c:v>0</c:v>
                </c:pt>
                <c:pt idx="1749">
                  <c:v>0</c:v>
                </c:pt>
                <c:pt idx="1750">
                  <c:v>0</c:v>
                </c:pt>
                <c:pt idx="1751">
                  <c:v>0</c:v>
                </c:pt>
                <c:pt idx="1752">
                  <c:v>0</c:v>
                </c:pt>
                <c:pt idx="1753">
                  <c:v>0</c:v>
                </c:pt>
                <c:pt idx="1754">
                  <c:v>0</c:v>
                </c:pt>
                <c:pt idx="1755">
                  <c:v>0</c:v>
                </c:pt>
                <c:pt idx="1756">
                  <c:v>0</c:v>
                </c:pt>
                <c:pt idx="1757">
                  <c:v>0</c:v>
                </c:pt>
                <c:pt idx="1758">
                  <c:v>0</c:v>
                </c:pt>
                <c:pt idx="1759">
                  <c:v>0</c:v>
                </c:pt>
                <c:pt idx="1760">
                  <c:v>0</c:v>
                </c:pt>
                <c:pt idx="1761">
                  <c:v>0</c:v>
                </c:pt>
                <c:pt idx="1762">
                  <c:v>0</c:v>
                </c:pt>
                <c:pt idx="1763">
                  <c:v>0</c:v>
                </c:pt>
                <c:pt idx="1764">
                  <c:v>0</c:v>
                </c:pt>
                <c:pt idx="1765">
                  <c:v>0</c:v>
                </c:pt>
                <c:pt idx="1766">
                  <c:v>0</c:v>
                </c:pt>
                <c:pt idx="1767">
                  <c:v>0</c:v>
                </c:pt>
                <c:pt idx="1768">
                  <c:v>0</c:v>
                </c:pt>
                <c:pt idx="1769">
                  <c:v>0</c:v>
                </c:pt>
                <c:pt idx="1770">
                  <c:v>0</c:v>
                </c:pt>
                <c:pt idx="1771">
                  <c:v>0</c:v>
                </c:pt>
                <c:pt idx="1772">
                  <c:v>0</c:v>
                </c:pt>
                <c:pt idx="1773">
                  <c:v>0</c:v>
                </c:pt>
                <c:pt idx="1774">
                  <c:v>0</c:v>
                </c:pt>
                <c:pt idx="1775">
                  <c:v>0</c:v>
                </c:pt>
                <c:pt idx="1776">
                  <c:v>0</c:v>
                </c:pt>
                <c:pt idx="1777">
                  <c:v>0</c:v>
                </c:pt>
                <c:pt idx="1778">
                  <c:v>0</c:v>
                </c:pt>
                <c:pt idx="1779">
                  <c:v>0</c:v>
                </c:pt>
                <c:pt idx="1780">
                  <c:v>0</c:v>
                </c:pt>
                <c:pt idx="1781">
                  <c:v>0</c:v>
                </c:pt>
                <c:pt idx="1782">
                  <c:v>0</c:v>
                </c:pt>
                <c:pt idx="1783">
                  <c:v>0</c:v>
                </c:pt>
                <c:pt idx="1784">
                  <c:v>0</c:v>
                </c:pt>
                <c:pt idx="1785">
                  <c:v>0</c:v>
                </c:pt>
                <c:pt idx="1786">
                  <c:v>0</c:v>
                </c:pt>
                <c:pt idx="1787">
                  <c:v>0</c:v>
                </c:pt>
                <c:pt idx="1788">
                  <c:v>0</c:v>
                </c:pt>
                <c:pt idx="1789">
                  <c:v>0</c:v>
                </c:pt>
                <c:pt idx="1790">
                  <c:v>0</c:v>
                </c:pt>
                <c:pt idx="1791">
                  <c:v>0</c:v>
                </c:pt>
                <c:pt idx="1792">
                  <c:v>0</c:v>
                </c:pt>
                <c:pt idx="1793">
                  <c:v>0</c:v>
                </c:pt>
                <c:pt idx="1794">
                  <c:v>0</c:v>
                </c:pt>
                <c:pt idx="1795">
                  <c:v>0</c:v>
                </c:pt>
                <c:pt idx="1796">
                  <c:v>0</c:v>
                </c:pt>
                <c:pt idx="1797">
                  <c:v>0</c:v>
                </c:pt>
                <c:pt idx="1798">
                  <c:v>0</c:v>
                </c:pt>
                <c:pt idx="1799">
                  <c:v>0</c:v>
                </c:pt>
                <c:pt idx="1800">
                  <c:v>0</c:v>
                </c:pt>
                <c:pt idx="1801">
                  <c:v>0</c:v>
                </c:pt>
                <c:pt idx="1802">
                  <c:v>0</c:v>
                </c:pt>
                <c:pt idx="1803">
                  <c:v>0</c:v>
                </c:pt>
                <c:pt idx="1804">
                  <c:v>0</c:v>
                </c:pt>
                <c:pt idx="1805">
                  <c:v>0</c:v>
                </c:pt>
                <c:pt idx="1806">
                  <c:v>0</c:v>
                </c:pt>
                <c:pt idx="1807">
                  <c:v>0</c:v>
                </c:pt>
                <c:pt idx="1808">
                  <c:v>0</c:v>
                </c:pt>
                <c:pt idx="1809">
                  <c:v>0</c:v>
                </c:pt>
                <c:pt idx="1810">
                  <c:v>0</c:v>
                </c:pt>
                <c:pt idx="1811">
                  <c:v>0</c:v>
                </c:pt>
                <c:pt idx="1812">
                  <c:v>0</c:v>
                </c:pt>
                <c:pt idx="1813">
                  <c:v>0</c:v>
                </c:pt>
                <c:pt idx="1814">
                  <c:v>0</c:v>
                </c:pt>
                <c:pt idx="1815">
                  <c:v>0</c:v>
                </c:pt>
                <c:pt idx="1816">
                  <c:v>0</c:v>
                </c:pt>
                <c:pt idx="1817">
                  <c:v>0</c:v>
                </c:pt>
                <c:pt idx="1818">
                  <c:v>0</c:v>
                </c:pt>
                <c:pt idx="1819">
                  <c:v>0</c:v>
                </c:pt>
                <c:pt idx="1820">
                  <c:v>0</c:v>
                </c:pt>
                <c:pt idx="1821">
                  <c:v>0</c:v>
                </c:pt>
                <c:pt idx="1822">
                  <c:v>0</c:v>
                </c:pt>
                <c:pt idx="1823">
                  <c:v>0</c:v>
                </c:pt>
                <c:pt idx="1824">
                  <c:v>0</c:v>
                </c:pt>
                <c:pt idx="1825">
                  <c:v>0</c:v>
                </c:pt>
                <c:pt idx="1826">
                  <c:v>0</c:v>
                </c:pt>
                <c:pt idx="1827">
                  <c:v>0</c:v>
                </c:pt>
                <c:pt idx="1828">
                  <c:v>0</c:v>
                </c:pt>
                <c:pt idx="1829">
                  <c:v>0</c:v>
                </c:pt>
                <c:pt idx="1830">
                  <c:v>0</c:v>
                </c:pt>
                <c:pt idx="1831">
                  <c:v>0</c:v>
                </c:pt>
                <c:pt idx="1832">
                  <c:v>0</c:v>
                </c:pt>
                <c:pt idx="1833">
                  <c:v>0</c:v>
                </c:pt>
                <c:pt idx="1834">
                  <c:v>0</c:v>
                </c:pt>
                <c:pt idx="1835">
                  <c:v>0</c:v>
                </c:pt>
                <c:pt idx="1836">
                  <c:v>0</c:v>
                </c:pt>
                <c:pt idx="1837">
                  <c:v>0</c:v>
                </c:pt>
                <c:pt idx="1838">
                  <c:v>0</c:v>
                </c:pt>
                <c:pt idx="1839">
                  <c:v>0</c:v>
                </c:pt>
                <c:pt idx="1840">
                  <c:v>0</c:v>
                </c:pt>
                <c:pt idx="1841">
                  <c:v>0</c:v>
                </c:pt>
                <c:pt idx="1842">
                  <c:v>0</c:v>
                </c:pt>
                <c:pt idx="1843">
                  <c:v>0</c:v>
                </c:pt>
                <c:pt idx="1844">
                  <c:v>0</c:v>
                </c:pt>
                <c:pt idx="1845">
                  <c:v>0</c:v>
                </c:pt>
                <c:pt idx="1846">
                  <c:v>0</c:v>
                </c:pt>
                <c:pt idx="1847">
                  <c:v>0</c:v>
                </c:pt>
                <c:pt idx="1848">
                  <c:v>0</c:v>
                </c:pt>
                <c:pt idx="1849">
                  <c:v>0</c:v>
                </c:pt>
                <c:pt idx="1850">
                  <c:v>0</c:v>
                </c:pt>
                <c:pt idx="1851">
                  <c:v>0</c:v>
                </c:pt>
                <c:pt idx="1852">
                  <c:v>0</c:v>
                </c:pt>
                <c:pt idx="1853">
                  <c:v>0</c:v>
                </c:pt>
                <c:pt idx="1854">
                  <c:v>0</c:v>
                </c:pt>
                <c:pt idx="1855">
                  <c:v>0</c:v>
                </c:pt>
                <c:pt idx="1856">
                  <c:v>0</c:v>
                </c:pt>
                <c:pt idx="1857">
                  <c:v>0</c:v>
                </c:pt>
                <c:pt idx="1858">
                  <c:v>0</c:v>
                </c:pt>
                <c:pt idx="1859">
                  <c:v>0</c:v>
                </c:pt>
                <c:pt idx="1860">
                  <c:v>0</c:v>
                </c:pt>
                <c:pt idx="1861">
                  <c:v>0</c:v>
                </c:pt>
                <c:pt idx="1862">
                  <c:v>0</c:v>
                </c:pt>
                <c:pt idx="1863">
                  <c:v>0</c:v>
                </c:pt>
                <c:pt idx="1864">
                  <c:v>0</c:v>
                </c:pt>
                <c:pt idx="1865">
                  <c:v>0</c:v>
                </c:pt>
                <c:pt idx="1866">
                  <c:v>0</c:v>
                </c:pt>
                <c:pt idx="1867">
                  <c:v>0</c:v>
                </c:pt>
                <c:pt idx="1868">
                  <c:v>0</c:v>
                </c:pt>
                <c:pt idx="1869">
                  <c:v>0</c:v>
                </c:pt>
                <c:pt idx="1870">
                  <c:v>0</c:v>
                </c:pt>
                <c:pt idx="1871">
                  <c:v>0</c:v>
                </c:pt>
                <c:pt idx="1872">
                  <c:v>0</c:v>
                </c:pt>
                <c:pt idx="1873">
                  <c:v>0</c:v>
                </c:pt>
                <c:pt idx="1874">
                  <c:v>0</c:v>
                </c:pt>
                <c:pt idx="1875">
                  <c:v>0</c:v>
                </c:pt>
                <c:pt idx="1876">
                  <c:v>0</c:v>
                </c:pt>
                <c:pt idx="1877">
                  <c:v>0</c:v>
                </c:pt>
                <c:pt idx="1878">
                  <c:v>0</c:v>
                </c:pt>
                <c:pt idx="1879">
                  <c:v>0</c:v>
                </c:pt>
                <c:pt idx="1880">
                  <c:v>0</c:v>
                </c:pt>
                <c:pt idx="1881">
                  <c:v>0</c:v>
                </c:pt>
                <c:pt idx="1882">
                  <c:v>0</c:v>
                </c:pt>
                <c:pt idx="1883">
                  <c:v>0</c:v>
                </c:pt>
                <c:pt idx="1884">
                  <c:v>0</c:v>
                </c:pt>
                <c:pt idx="1885">
                  <c:v>0</c:v>
                </c:pt>
                <c:pt idx="1886">
                  <c:v>0</c:v>
                </c:pt>
                <c:pt idx="1887">
                  <c:v>0</c:v>
                </c:pt>
                <c:pt idx="1888">
                  <c:v>0</c:v>
                </c:pt>
                <c:pt idx="1889">
                  <c:v>0</c:v>
                </c:pt>
                <c:pt idx="1890">
                  <c:v>0</c:v>
                </c:pt>
                <c:pt idx="1891">
                  <c:v>0</c:v>
                </c:pt>
                <c:pt idx="1892">
                  <c:v>0</c:v>
                </c:pt>
                <c:pt idx="1893">
                  <c:v>0</c:v>
                </c:pt>
                <c:pt idx="1894">
                  <c:v>0</c:v>
                </c:pt>
                <c:pt idx="1895">
                  <c:v>0</c:v>
                </c:pt>
                <c:pt idx="1896">
                  <c:v>0</c:v>
                </c:pt>
                <c:pt idx="1897">
                  <c:v>0</c:v>
                </c:pt>
                <c:pt idx="1898">
                  <c:v>0</c:v>
                </c:pt>
                <c:pt idx="1899">
                  <c:v>0</c:v>
                </c:pt>
                <c:pt idx="1900">
                  <c:v>0</c:v>
                </c:pt>
                <c:pt idx="1901">
                  <c:v>0</c:v>
                </c:pt>
                <c:pt idx="1902">
                  <c:v>0</c:v>
                </c:pt>
                <c:pt idx="1903">
                  <c:v>0</c:v>
                </c:pt>
                <c:pt idx="1904">
                  <c:v>0</c:v>
                </c:pt>
                <c:pt idx="1905">
                  <c:v>0</c:v>
                </c:pt>
                <c:pt idx="1906">
                  <c:v>0</c:v>
                </c:pt>
                <c:pt idx="1907">
                  <c:v>0</c:v>
                </c:pt>
                <c:pt idx="1908">
                  <c:v>0</c:v>
                </c:pt>
                <c:pt idx="1909">
                  <c:v>0</c:v>
                </c:pt>
                <c:pt idx="1910">
                  <c:v>0</c:v>
                </c:pt>
                <c:pt idx="1911">
                  <c:v>0</c:v>
                </c:pt>
                <c:pt idx="1912">
                  <c:v>0</c:v>
                </c:pt>
                <c:pt idx="1913">
                  <c:v>0</c:v>
                </c:pt>
                <c:pt idx="1914">
                  <c:v>0</c:v>
                </c:pt>
                <c:pt idx="1915">
                  <c:v>0</c:v>
                </c:pt>
                <c:pt idx="1916">
                  <c:v>0</c:v>
                </c:pt>
                <c:pt idx="1917">
                  <c:v>0</c:v>
                </c:pt>
                <c:pt idx="1918">
                  <c:v>0</c:v>
                </c:pt>
                <c:pt idx="1919">
                  <c:v>0</c:v>
                </c:pt>
                <c:pt idx="1920">
                  <c:v>0</c:v>
                </c:pt>
                <c:pt idx="1921">
                  <c:v>0</c:v>
                </c:pt>
                <c:pt idx="1922">
                  <c:v>0</c:v>
                </c:pt>
                <c:pt idx="1923">
                  <c:v>0</c:v>
                </c:pt>
                <c:pt idx="1924">
                  <c:v>0</c:v>
                </c:pt>
                <c:pt idx="1925">
                  <c:v>0</c:v>
                </c:pt>
                <c:pt idx="1926">
                  <c:v>0</c:v>
                </c:pt>
                <c:pt idx="1927">
                  <c:v>0</c:v>
                </c:pt>
                <c:pt idx="1928">
                  <c:v>0</c:v>
                </c:pt>
                <c:pt idx="1929">
                  <c:v>0</c:v>
                </c:pt>
                <c:pt idx="1930">
                  <c:v>0</c:v>
                </c:pt>
                <c:pt idx="1931">
                  <c:v>0</c:v>
                </c:pt>
                <c:pt idx="1932">
                  <c:v>0</c:v>
                </c:pt>
                <c:pt idx="1933">
                  <c:v>0</c:v>
                </c:pt>
                <c:pt idx="1934">
                  <c:v>0</c:v>
                </c:pt>
                <c:pt idx="1935">
                  <c:v>0</c:v>
                </c:pt>
                <c:pt idx="1936">
                  <c:v>0</c:v>
                </c:pt>
                <c:pt idx="1937">
                  <c:v>0</c:v>
                </c:pt>
                <c:pt idx="1938">
                  <c:v>0</c:v>
                </c:pt>
                <c:pt idx="1939">
                  <c:v>0</c:v>
                </c:pt>
                <c:pt idx="1940">
                  <c:v>0</c:v>
                </c:pt>
                <c:pt idx="1941">
                  <c:v>0</c:v>
                </c:pt>
                <c:pt idx="1942">
                  <c:v>0</c:v>
                </c:pt>
                <c:pt idx="1943">
                  <c:v>0</c:v>
                </c:pt>
                <c:pt idx="1944">
                  <c:v>0</c:v>
                </c:pt>
                <c:pt idx="1945">
                  <c:v>0</c:v>
                </c:pt>
                <c:pt idx="1946">
                  <c:v>0</c:v>
                </c:pt>
                <c:pt idx="1947">
                  <c:v>0</c:v>
                </c:pt>
                <c:pt idx="1948">
                  <c:v>0</c:v>
                </c:pt>
                <c:pt idx="1949">
                  <c:v>0</c:v>
                </c:pt>
                <c:pt idx="1950">
                  <c:v>0</c:v>
                </c:pt>
                <c:pt idx="1951">
                  <c:v>0</c:v>
                </c:pt>
                <c:pt idx="1952">
                  <c:v>0</c:v>
                </c:pt>
                <c:pt idx="1953">
                  <c:v>0</c:v>
                </c:pt>
                <c:pt idx="1954">
                  <c:v>0</c:v>
                </c:pt>
                <c:pt idx="1955">
                  <c:v>0</c:v>
                </c:pt>
                <c:pt idx="1956">
                  <c:v>0</c:v>
                </c:pt>
                <c:pt idx="1957">
                  <c:v>0</c:v>
                </c:pt>
                <c:pt idx="1958">
                  <c:v>0</c:v>
                </c:pt>
                <c:pt idx="1959">
                  <c:v>0</c:v>
                </c:pt>
                <c:pt idx="1960">
                  <c:v>0</c:v>
                </c:pt>
                <c:pt idx="1961">
                  <c:v>0</c:v>
                </c:pt>
                <c:pt idx="1962">
                  <c:v>0</c:v>
                </c:pt>
                <c:pt idx="1963">
                  <c:v>0</c:v>
                </c:pt>
                <c:pt idx="1964">
                  <c:v>0</c:v>
                </c:pt>
                <c:pt idx="1965">
                  <c:v>0</c:v>
                </c:pt>
                <c:pt idx="1966">
                  <c:v>0</c:v>
                </c:pt>
                <c:pt idx="1967">
                  <c:v>0</c:v>
                </c:pt>
                <c:pt idx="1968">
                  <c:v>0</c:v>
                </c:pt>
                <c:pt idx="1969">
                  <c:v>0</c:v>
                </c:pt>
                <c:pt idx="1970">
                  <c:v>0</c:v>
                </c:pt>
                <c:pt idx="1971">
                  <c:v>0</c:v>
                </c:pt>
                <c:pt idx="1972">
                  <c:v>0</c:v>
                </c:pt>
                <c:pt idx="1973">
                  <c:v>0</c:v>
                </c:pt>
                <c:pt idx="1974">
                  <c:v>0</c:v>
                </c:pt>
                <c:pt idx="1975">
                  <c:v>0</c:v>
                </c:pt>
                <c:pt idx="1976">
                  <c:v>0</c:v>
                </c:pt>
                <c:pt idx="1977">
                  <c:v>0</c:v>
                </c:pt>
                <c:pt idx="1978">
                  <c:v>0</c:v>
                </c:pt>
                <c:pt idx="1979">
                  <c:v>0</c:v>
                </c:pt>
                <c:pt idx="1980">
                  <c:v>0</c:v>
                </c:pt>
                <c:pt idx="1981">
                  <c:v>0</c:v>
                </c:pt>
                <c:pt idx="1982">
                  <c:v>0</c:v>
                </c:pt>
                <c:pt idx="1983">
                  <c:v>0</c:v>
                </c:pt>
                <c:pt idx="1984">
                  <c:v>0</c:v>
                </c:pt>
                <c:pt idx="1985">
                  <c:v>0</c:v>
                </c:pt>
                <c:pt idx="1986">
                  <c:v>0</c:v>
                </c:pt>
                <c:pt idx="1987">
                  <c:v>0</c:v>
                </c:pt>
                <c:pt idx="1988">
                  <c:v>0</c:v>
                </c:pt>
                <c:pt idx="1989">
                  <c:v>0</c:v>
                </c:pt>
                <c:pt idx="1990">
                  <c:v>0</c:v>
                </c:pt>
                <c:pt idx="1991">
                  <c:v>0</c:v>
                </c:pt>
                <c:pt idx="1992">
                  <c:v>0</c:v>
                </c:pt>
                <c:pt idx="1993">
                  <c:v>0</c:v>
                </c:pt>
                <c:pt idx="1994">
                  <c:v>0</c:v>
                </c:pt>
                <c:pt idx="1995">
                  <c:v>0</c:v>
                </c:pt>
                <c:pt idx="1996">
                  <c:v>0</c:v>
                </c:pt>
                <c:pt idx="1997">
                  <c:v>0</c:v>
                </c:pt>
                <c:pt idx="1998">
                  <c:v>0</c:v>
                </c:pt>
                <c:pt idx="1999">
                  <c:v>0</c:v>
                </c:pt>
                <c:pt idx="2000">
                  <c:v>0</c:v>
                </c:pt>
                <c:pt idx="2001">
                  <c:v>0</c:v>
                </c:pt>
                <c:pt idx="2002">
                  <c:v>0</c:v>
                </c:pt>
                <c:pt idx="2003">
                  <c:v>0</c:v>
                </c:pt>
                <c:pt idx="2004">
                  <c:v>0</c:v>
                </c:pt>
              </c:numCache>
            </c:numRef>
          </c:val>
          <c:extLst xmlns:c16r2="http://schemas.microsoft.com/office/drawing/2015/06/chart">
            <c:ext xmlns:c16="http://schemas.microsoft.com/office/drawing/2014/chart" uri="{C3380CC4-5D6E-409C-BE32-E72D297353CC}">
              <c16:uniqueId val="{00000000-676B-479B-8242-7EB6D8847C1D}"/>
            </c:ext>
          </c:extLst>
        </c:ser>
        <c:dLbls>
          <c:showLegendKey val="0"/>
          <c:showVal val="0"/>
          <c:showCatName val="0"/>
          <c:showSerName val="0"/>
          <c:showPercent val="0"/>
          <c:showBubbleSize val="0"/>
        </c:dLbls>
        <c:axId val="539385048"/>
        <c:axId val="539385440"/>
      </c:areaChart>
      <c:scatterChart>
        <c:scatterStyle val="smoothMarker"/>
        <c:varyColors val="0"/>
        <c:ser>
          <c:idx val="1"/>
          <c:order val="1"/>
          <c:tx>
            <c:v>Electricity Usage</c:v>
          </c:tx>
          <c:spPr>
            <a:ln w="0">
              <a:solidFill>
                <a:srgbClr val="FFC000"/>
              </a:solidFill>
            </a:ln>
          </c:spPr>
          <c:marker>
            <c:symbol val="none"/>
          </c:marker>
          <c:xVal>
            <c:numRef>
              <c:f>'Peak Models'!$A$14:$A$2014</c:f>
              <c:numCache>
                <c:formatCode>General</c:formatCode>
                <c:ptCount val="2001"/>
                <c:pt idx="0">
                  <c:v>-10</c:v>
                </c:pt>
                <c:pt idx="1">
                  <c:v>-9.99</c:v>
                </c:pt>
                <c:pt idx="2">
                  <c:v>-9.98</c:v>
                </c:pt>
                <c:pt idx="3">
                  <c:v>-9.9700000000000006</c:v>
                </c:pt>
                <c:pt idx="4">
                  <c:v>-9.9600000000000009</c:v>
                </c:pt>
                <c:pt idx="5">
                  <c:v>-9.9500000000000011</c:v>
                </c:pt>
                <c:pt idx="6">
                  <c:v>-9.9400000000000013</c:v>
                </c:pt>
                <c:pt idx="7">
                  <c:v>-9.9300000000000015</c:v>
                </c:pt>
                <c:pt idx="8">
                  <c:v>-9.9200000000000017</c:v>
                </c:pt>
                <c:pt idx="9">
                  <c:v>-9.9100000000000019</c:v>
                </c:pt>
                <c:pt idx="10">
                  <c:v>-9.9000000000000021</c:v>
                </c:pt>
                <c:pt idx="11">
                  <c:v>-9.8900000000000023</c:v>
                </c:pt>
                <c:pt idx="12">
                  <c:v>-9.8800000000000026</c:v>
                </c:pt>
                <c:pt idx="13">
                  <c:v>-9.8700000000000028</c:v>
                </c:pt>
                <c:pt idx="14">
                  <c:v>-9.860000000000003</c:v>
                </c:pt>
                <c:pt idx="15">
                  <c:v>-9.8500000000000032</c:v>
                </c:pt>
                <c:pt idx="16">
                  <c:v>-9.8400000000000034</c:v>
                </c:pt>
                <c:pt idx="17">
                  <c:v>-9.8300000000000036</c:v>
                </c:pt>
                <c:pt idx="18">
                  <c:v>-9.8200000000000038</c:v>
                </c:pt>
                <c:pt idx="19">
                  <c:v>-9.8100000000000041</c:v>
                </c:pt>
                <c:pt idx="20">
                  <c:v>-9.8000000000000043</c:v>
                </c:pt>
                <c:pt idx="21">
                  <c:v>-9.7900000000000045</c:v>
                </c:pt>
                <c:pt idx="22">
                  <c:v>-9.7800000000000047</c:v>
                </c:pt>
                <c:pt idx="23">
                  <c:v>-9.7700000000000049</c:v>
                </c:pt>
                <c:pt idx="24">
                  <c:v>-9.7600000000000051</c:v>
                </c:pt>
                <c:pt idx="25">
                  <c:v>-9.7500000000000053</c:v>
                </c:pt>
                <c:pt idx="26">
                  <c:v>-9.7400000000000055</c:v>
                </c:pt>
                <c:pt idx="27">
                  <c:v>-9.7300000000000058</c:v>
                </c:pt>
                <c:pt idx="28">
                  <c:v>-9.720000000000006</c:v>
                </c:pt>
                <c:pt idx="29">
                  <c:v>-9.7100000000000062</c:v>
                </c:pt>
                <c:pt idx="30">
                  <c:v>-9.7000000000000064</c:v>
                </c:pt>
                <c:pt idx="31">
                  <c:v>-9.6900000000000066</c:v>
                </c:pt>
                <c:pt idx="32">
                  <c:v>-9.6800000000000068</c:v>
                </c:pt>
                <c:pt idx="33">
                  <c:v>-9.670000000000007</c:v>
                </c:pt>
                <c:pt idx="34">
                  <c:v>-9.6600000000000072</c:v>
                </c:pt>
                <c:pt idx="35">
                  <c:v>-9.6500000000000075</c:v>
                </c:pt>
                <c:pt idx="36">
                  <c:v>-9.6400000000000077</c:v>
                </c:pt>
                <c:pt idx="37">
                  <c:v>-9.6300000000000079</c:v>
                </c:pt>
                <c:pt idx="38">
                  <c:v>-9.6200000000000081</c:v>
                </c:pt>
                <c:pt idx="39">
                  <c:v>-9.6100000000000083</c:v>
                </c:pt>
                <c:pt idx="40">
                  <c:v>-9.6000000000000085</c:v>
                </c:pt>
                <c:pt idx="41">
                  <c:v>-9.5900000000000087</c:v>
                </c:pt>
                <c:pt idx="42">
                  <c:v>-9.580000000000009</c:v>
                </c:pt>
                <c:pt idx="43">
                  <c:v>-9.5700000000000092</c:v>
                </c:pt>
                <c:pt idx="44">
                  <c:v>-9.5600000000000094</c:v>
                </c:pt>
                <c:pt idx="45">
                  <c:v>-9.5500000000000096</c:v>
                </c:pt>
                <c:pt idx="46">
                  <c:v>-9.5400000000000098</c:v>
                </c:pt>
                <c:pt idx="47">
                  <c:v>-9.53000000000001</c:v>
                </c:pt>
                <c:pt idx="48">
                  <c:v>-9.5200000000000102</c:v>
                </c:pt>
                <c:pt idx="49">
                  <c:v>-9.5100000000000104</c:v>
                </c:pt>
                <c:pt idx="50">
                  <c:v>-9.5000000000000107</c:v>
                </c:pt>
                <c:pt idx="51">
                  <c:v>-9.4900000000000109</c:v>
                </c:pt>
                <c:pt idx="52">
                  <c:v>-9.4800000000000111</c:v>
                </c:pt>
                <c:pt idx="53">
                  <c:v>-9.4700000000000113</c:v>
                </c:pt>
                <c:pt idx="54">
                  <c:v>-9.4600000000000115</c:v>
                </c:pt>
                <c:pt idx="55">
                  <c:v>-9.4500000000000117</c:v>
                </c:pt>
                <c:pt idx="56">
                  <c:v>-9.4400000000000119</c:v>
                </c:pt>
                <c:pt idx="57">
                  <c:v>-9.4300000000000122</c:v>
                </c:pt>
                <c:pt idx="58">
                  <c:v>-9.4200000000000124</c:v>
                </c:pt>
                <c:pt idx="59">
                  <c:v>-9.4100000000000126</c:v>
                </c:pt>
                <c:pt idx="60">
                  <c:v>-9.4000000000000128</c:v>
                </c:pt>
                <c:pt idx="61">
                  <c:v>-9.390000000000013</c:v>
                </c:pt>
                <c:pt idx="62">
                  <c:v>-9.3800000000000132</c:v>
                </c:pt>
                <c:pt idx="63">
                  <c:v>-9.3700000000000134</c:v>
                </c:pt>
                <c:pt idx="64">
                  <c:v>-9.3600000000000136</c:v>
                </c:pt>
                <c:pt idx="65">
                  <c:v>-9.3500000000000139</c:v>
                </c:pt>
                <c:pt idx="66">
                  <c:v>-9.3400000000000141</c:v>
                </c:pt>
                <c:pt idx="67">
                  <c:v>-9.3300000000000143</c:v>
                </c:pt>
                <c:pt idx="68">
                  <c:v>-9.3200000000000145</c:v>
                </c:pt>
                <c:pt idx="69">
                  <c:v>-9.3100000000000147</c:v>
                </c:pt>
                <c:pt idx="70">
                  <c:v>-9.3000000000000149</c:v>
                </c:pt>
                <c:pt idx="71">
                  <c:v>-9.2900000000000151</c:v>
                </c:pt>
                <c:pt idx="72">
                  <c:v>-9.2800000000000153</c:v>
                </c:pt>
                <c:pt idx="73">
                  <c:v>-9.2700000000000156</c:v>
                </c:pt>
                <c:pt idx="74">
                  <c:v>-9.2600000000000158</c:v>
                </c:pt>
                <c:pt idx="75">
                  <c:v>-9.250000000000016</c:v>
                </c:pt>
                <c:pt idx="76">
                  <c:v>-9.2400000000000162</c:v>
                </c:pt>
                <c:pt idx="77">
                  <c:v>-9.2300000000000164</c:v>
                </c:pt>
                <c:pt idx="78">
                  <c:v>-9.2200000000000166</c:v>
                </c:pt>
                <c:pt idx="79">
                  <c:v>-9.2100000000000168</c:v>
                </c:pt>
                <c:pt idx="80">
                  <c:v>-9.2000000000000171</c:v>
                </c:pt>
                <c:pt idx="81">
                  <c:v>-9.1900000000000173</c:v>
                </c:pt>
                <c:pt idx="82">
                  <c:v>-9.1800000000000175</c:v>
                </c:pt>
                <c:pt idx="83">
                  <c:v>-9.1700000000000177</c:v>
                </c:pt>
                <c:pt idx="84">
                  <c:v>-9.1600000000000179</c:v>
                </c:pt>
                <c:pt idx="85">
                  <c:v>-9.1500000000000181</c:v>
                </c:pt>
                <c:pt idx="86">
                  <c:v>-9.1400000000000183</c:v>
                </c:pt>
                <c:pt idx="87">
                  <c:v>-9.1300000000000185</c:v>
                </c:pt>
                <c:pt idx="88">
                  <c:v>-9.1200000000000188</c:v>
                </c:pt>
                <c:pt idx="89">
                  <c:v>-9.110000000000019</c:v>
                </c:pt>
                <c:pt idx="90">
                  <c:v>-9.1000000000000192</c:v>
                </c:pt>
                <c:pt idx="91">
                  <c:v>-9.0900000000000194</c:v>
                </c:pt>
                <c:pt idx="92">
                  <c:v>-9.0800000000000196</c:v>
                </c:pt>
                <c:pt idx="93">
                  <c:v>-9.0700000000000198</c:v>
                </c:pt>
                <c:pt idx="94">
                  <c:v>-9.06000000000002</c:v>
                </c:pt>
                <c:pt idx="95">
                  <c:v>-9.0500000000000203</c:v>
                </c:pt>
                <c:pt idx="96">
                  <c:v>-9.0400000000000205</c:v>
                </c:pt>
                <c:pt idx="97">
                  <c:v>-9.0300000000000207</c:v>
                </c:pt>
                <c:pt idx="98">
                  <c:v>-9.0200000000000209</c:v>
                </c:pt>
                <c:pt idx="99">
                  <c:v>-9.0100000000000211</c:v>
                </c:pt>
                <c:pt idx="100">
                  <c:v>-9.0000000000000213</c:v>
                </c:pt>
                <c:pt idx="101">
                  <c:v>-8.9900000000000215</c:v>
                </c:pt>
                <c:pt idx="102">
                  <c:v>-8.9800000000000217</c:v>
                </c:pt>
                <c:pt idx="103">
                  <c:v>-8.970000000000022</c:v>
                </c:pt>
                <c:pt idx="104">
                  <c:v>-8.9600000000000222</c:v>
                </c:pt>
                <c:pt idx="105">
                  <c:v>-8.9500000000000224</c:v>
                </c:pt>
                <c:pt idx="106">
                  <c:v>-8.9400000000000226</c:v>
                </c:pt>
                <c:pt idx="107">
                  <c:v>-8.9300000000000228</c:v>
                </c:pt>
                <c:pt idx="108">
                  <c:v>-8.920000000000023</c:v>
                </c:pt>
                <c:pt idx="109">
                  <c:v>-8.9100000000000232</c:v>
                </c:pt>
                <c:pt idx="110">
                  <c:v>-8.9000000000000234</c:v>
                </c:pt>
                <c:pt idx="111">
                  <c:v>-8.8900000000000237</c:v>
                </c:pt>
                <c:pt idx="112">
                  <c:v>-8.8800000000000239</c:v>
                </c:pt>
                <c:pt idx="113">
                  <c:v>-8.8700000000000241</c:v>
                </c:pt>
                <c:pt idx="114">
                  <c:v>-8.8600000000000243</c:v>
                </c:pt>
                <c:pt idx="115">
                  <c:v>-8.8500000000000245</c:v>
                </c:pt>
                <c:pt idx="116">
                  <c:v>-8.8400000000000247</c:v>
                </c:pt>
                <c:pt idx="117">
                  <c:v>-8.8300000000000249</c:v>
                </c:pt>
                <c:pt idx="118">
                  <c:v>-8.8200000000000252</c:v>
                </c:pt>
                <c:pt idx="119">
                  <c:v>-8.8100000000000254</c:v>
                </c:pt>
                <c:pt idx="120">
                  <c:v>-8.8000000000000256</c:v>
                </c:pt>
                <c:pt idx="121">
                  <c:v>-8.7900000000000258</c:v>
                </c:pt>
                <c:pt idx="122">
                  <c:v>-8.780000000000026</c:v>
                </c:pt>
                <c:pt idx="123">
                  <c:v>-8.7700000000000262</c:v>
                </c:pt>
                <c:pt idx="124">
                  <c:v>-8.7600000000000264</c:v>
                </c:pt>
                <c:pt idx="125">
                  <c:v>-8.7500000000000266</c:v>
                </c:pt>
                <c:pt idx="126">
                  <c:v>-8.7400000000000269</c:v>
                </c:pt>
                <c:pt idx="127">
                  <c:v>-8.7300000000000271</c:v>
                </c:pt>
                <c:pt idx="128">
                  <c:v>-8.7200000000000273</c:v>
                </c:pt>
                <c:pt idx="129">
                  <c:v>-8.7100000000000275</c:v>
                </c:pt>
                <c:pt idx="130">
                  <c:v>-8.7000000000000277</c:v>
                </c:pt>
                <c:pt idx="131">
                  <c:v>-8.6900000000000279</c:v>
                </c:pt>
                <c:pt idx="132">
                  <c:v>-8.6800000000000281</c:v>
                </c:pt>
                <c:pt idx="133">
                  <c:v>-8.6700000000000284</c:v>
                </c:pt>
                <c:pt idx="134">
                  <c:v>-8.6600000000000286</c:v>
                </c:pt>
                <c:pt idx="135">
                  <c:v>-8.6500000000000288</c:v>
                </c:pt>
                <c:pt idx="136">
                  <c:v>-8.640000000000029</c:v>
                </c:pt>
                <c:pt idx="137">
                  <c:v>-8.6300000000000292</c:v>
                </c:pt>
                <c:pt idx="138">
                  <c:v>-8.6200000000000294</c:v>
                </c:pt>
                <c:pt idx="139">
                  <c:v>-8.6100000000000296</c:v>
                </c:pt>
                <c:pt idx="140">
                  <c:v>-8.6000000000000298</c:v>
                </c:pt>
                <c:pt idx="141">
                  <c:v>-8.5900000000000301</c:v>
                </c:pt>
                <c:pt idx="142">
                  <c:v>-8.5800000000000303</c:v>
                </c:pt>
                <c:pt idx="143">
                  <c:v>-8.5700000000000305</c:v>
                </c:pt>
                <c:pt idx="144">
                  <c:v>-8.5600000000000307</c:v>
                </c:pt>
                <c:pt idx="145">
                  <c:v>-8.5500000000000309</c:v>
                </c:pt>
                <c:pt idx="146">
                  <c:v>-8.5400000000000311</c:v>
                </c:pt>
                <c:pt idx="147">
                  <c:v>-8.5300000000000313</c:v>
                </c:pt>
                <c:pt idx="148">
                  <c:v>-8.5200000000000315</c:v>
                </c:pt>
                <c:pt idx="149">
                  <c:v>-8.5100000000000318</c:v>
                </c:pt>
                <c:pt idx="150">
                  <c:v>-8.500000000000032</c:v>
                </c:pt>
                <c:pt idx="151">
                  <c:v>-8.4900000000000322</c:v>
                </c:pt>
                <c:pt idx="152">
                  <c:v>-8.4800000000000324</c:v>
                </c:pt>
                <c:pt idx="153">
                  <c:v>-8.4700000000000326</c:v>
                </c:pt>
                <c:pt idx="154">
                  <c:v>-8.4600000000000328</c:v>
                </c:pt>
                <c:pt idx="155">
                  <c:v>-8.450000000000033</c:v>
                </c:pt>
                <c:pt idx="156">
                  <c:v>-8.4400000000000333</c:v>
                </c:pt>
                <c:pt idx="157">
                  <c:v>-8.4300000000000335</c:v>
                </c:pt>
                <c:pt idx="158">
                  <c:v>-8.4200000000000337</c:v>
                </c:pt>
                <c:pt idx="159">
                  <c:v>-8.4100000000000339</c:v>
                </c:pt>
                <c:pt idx="160">
                  <c:v>-8.4000000000000341</c:v>
                </c:pt>
                <c:pt idx="161">
                  <c:v>-8.3900000000000343</c:v>
                </c:pt>
                <c:pt idx="162">
                  <c:v>-8.3800000000000345</c:v>
                </c:pt>
                <c:pt idx="163">
                  <c:v>-8.3700000000000347</c:v>
                </c:pt>
                <c:pt idx="164">
                  <c:v>-8.360000000000035</c:v>
                </c:pt>
                <c:pt idx="165">
                  <c:v>-8.3500000000000352</c:v>
                </c:pt>
                <c:pt idx="166">
                  <c:v>-8.3400000000000354</c:v>
                </c:pt>
                <c:pt idx="167">
                  <c:v>-8.3300000000000356</c:v>
                </c:pt>
                <c:pt idx="168">
                  <c:v>-8.3200000000000358</c:v>
                </c:pt>
                <c:pt idx="169">
                  <c:v>-8.310000000000036</c:v>
                </c:pt>
                <c:pt idx="170">
                  <c:v>-8.3000000000000362</c:v>
                </c:pt>
                <c:pt idx="171">
                  <c:v>-8.2900000000000365</c:v>
                </c:pt>
                <c:pt idx="172">
                  <c:v>-8.2800000000000367</c:v>
                </c:pt>
                <c:pt idx="173">
                  <c:v>-8.2700000000000369</c:v>
                </c:pt>
                <c:pt idx="174">
                  <c:v>-8.2600000000000371</c:v>
                </c:pt>
                <c:pt idx="175">
                  <c:v>-8.2500000000000373</c:v>
                </c:pt>
                <c:pt idx="176">
                  <c:v>-8.2400000000000375</c:v>
                </c:pt>
                <c:pt idx="177">
                  <c:v>-8.2300000000000377</c:v>
                </c:pt>
                <c:pt idx="178">
                  <c:v>-8.2200000000000379</c:v>
                </c:pt>
                <c:pt idx="179">
                  <c:v>-8.2100000000000382</c:v>
                </c:pt>
                <c:pt idx="180">
                  <c:v>-8.2000000000000384</c:v>
                </c:pt>
                <c:pt idx="181">
                  <c:v>-8.1900000000000386</c:v>
                </c:pt>
                <c:pt idx="182">
                  <c:v>-8.1800000000000388</c:v>
                </c:pt>
                <c:pt idx="183">
                  <c:v>-8.170000000000039</c:v>
                </c:pt>
                <c:pt idx="184">
                  <c:v>-8.1600000000000392</c:v>
                </c:pt>
                <c:pt idx="185">
                  <c:v>-8.1500000000000394</c:v>
                </c:pt>
                <c:pt idx="186">
                  <c:v>-8.1400000000000396</c:v>
                </c:pt>
                <c:pt idx="187">
                  <c:v>-8.1300000000000399</c:v>
                </c:pt>
                <c:pt idx="188">
                  <c:v>-8.1200000000000401</c:v>
                </c:pt>
                <c:pt idx="189">
                  <c:v>-8.1100000000000403</c:v>
                </c:pt>
                <c:pt idx="190">
                  <c:v>-8.1000000000000405</c:v>
                </c:pt>
                <c:pt idx="191">
                  <c:v>-8.0900000000000407</c:v>
                </c:pt>
                <c:pt idx="192">
                  <c:v>-8.0800000000000409</c:v>
                </c:pt>
                <c:pt idx="193">
                  <c:v>-8.0700000000000411</c:v>
                </c:pt>
                <c:pt idx="194">
                  <c:v>-8.0600000000000414</c:v>
                </c:pt>
                <c:pt idx="195">
                  <c:v>-8.0500000000000416</c:v>
                </c:pt>
                <c:pt idx="196">
                  <c:v>-8.0400000000000418</c:v>
                </c:pt>
                <c:pt idx="197">
                  <c:v>-8.030000000000042</c:v>
                </c:pt>
                <c:pt idx="198">
                  <c:v>-8.0200000000000422</c:v>
                </c:pt>
                <c:pt idx="199">
                  <c:v>-8.0100000000000424</c:v>
                </c:pt>
                <c:pt idx="200">
                  <c:v>-8.0000000000000426</c:v>
                </c:pt>
                <c:pt idx="201">
                  <c:v>-7.9900000000000428</c:v>
                </c:pt>
                <c:pt idx="202">
                  <c:v>-7.9800000000000431</c:v>
                </c:pt>
                <c:pt idx="203">
                  <c:v>-7.9700000000000433</c:v>
                </c:pt>
                <c:pt idx="204">
                  <c:v>-7.9600000000000435</c:v>
                </c:pt>
                <c:pt idx="205">
                  <c:v>-7.9500000000000437</c:v>
                </c:pt>
                <c:pt idx="206">
                  <c:v>-7.9400000000000439</c:v>
                </c:pt>
                <c:pt idx="207">
                  <c:v>-7.9300000000000441</c:v>
                </c:pt>
                <c:pt idx="208">
                  <c:v>-7.9200000000000443</c:v>
                </c:pt>
                <c:pt idx="209">
                  <c:v>-7.9100000000000446</c:v>
                </c:pt>
                <c:pt idx="210">
                  <c:v>-7.9000000000000448</c:v>
                </c:pt>
                <c:pt idx="211">
                  <c:v>-7.890000000000045</c:v>
                </c:pt>
                <c:pt idx="212">
                  <c:v>-7.8800000000000452</c:v>
                </c:pt>
                <c:pt idx="213">
                  <c:v>-7.8700000000000454</c:v>
                </c:pt>
                <c:pt idx="214">
                  <c:v>-7.8600000000000456</c:v>
                </c:pt>
                <c:pt idx="215">
                  <c:v>-7.8500000000000458</c:v>
                </c:pt>
                <c:pt idx="216">
                  <c:v>-7.840000000000046</c:v>
                </c:pt>
                <c:pt idx="217">
                  <c:v>-7.8300000000000463</c:v>
                </c:pt>
                <c:pt idx="218">
                  <c:v>-7.8200000000000465</c:v>
                </c:pt>
                <c:pt idx="219">
                  <c:v>-7.8100000000000467</c:v>
                </c:pt>
                <c:pt idx="220">
                  <c:v>-7.8000000000000469</c:v>
                </c:pt>
                <c:pt idx="221">
                  <c:v>-7.7900000000000471</c:v>
                </c:pt>
                <c:pt idx="222">
                  <c:v>-7.7800000000000473</c:v>
                </c:pt>
                <c:pt idx="223">
                  <c:v>-7.7700000000000475</c:v>
                </c:pt>
                <c:pt idx="224">
                  <c:v>-7.7600000000000477</c:v>
                </c:pt>
                <c:pt idx="225">
                  <c:v>-7.750000000000048</c:v>
                </c:pt>
                <c:pt idx="226">
                  <c:v>-7.7400000000000482</c:v>
                </c:pt>
                <c:pt idx="227">
                  <c:v>-7.7300000000000484</c:v>
                </c:pt>
                <c:pt idx="228">
                  <c:v>-7.7200000000000486</c:v>
                </c:pt>
                <c:pt idx="229">
                  <c:v>-7.7100000000000488</c:v>
                </c:pt>
                <c:pt idx="230">
                  <c:v>-7.700000000000049</c:v>
                </c:pt>
                <c:pt idx="231">
                  <c:v>-7.6900000000000492</c:v>
                </c:pt>
                <c:pt idx="232">
                  <c:v>-7.6800000000000495</c:v>
                </c:pt>
                <c:pt idx="233">
                  <c:v>-7.6700000000000497</c:v>
                </c:pt>
                <c:pt idx="234">
                  <c:v>-7.6600000000000499</c:v>
                </c:pt>
                <c:pt idx="235">
                  <c:v>-7.6500000000000501</c:v>
                </c:pt>
                <c:pt idx="236">
                  <c:v>-7.6400000000000503</c:v>
                </c:pt>
                <c:pt idx="237">
                  <c:v>-7.6300000000000505</c:v>
                </c:pt>
                <c:pt idx="238">
                  <c:v>-7.6200000000000507</c:v>
                </c:pt>
                <c:pt idx="239">
                  <c:v>-7.6100000000000509</c:v>
                </c:pt>
                <c:pt idx="240">
                  <c:v>-7.6000000000000512</c:v>
                </c:pt>
                <c:pt idx="241">
                  <c:v>-7.5900000000000514</c:v>
                </c:pt>
                <c:pt idx="242">
                  <c:v>-7.5800000000000516</c:v>
                </c:pt>
                <c:pt idx="243">
                  <c:v>-7.5700000000000518</c:v>
                </c:pt>
                <c:pt idx="244">
                  <c:v>-7.560000000000052</c:v>
                </c:pt>
                <c:pt idx="245">
                  <c:v>-7.5500000000000522</c:v>
                </c:pt>
                <c:pt idx="246">
                  <c:v>-7.5400000000000524</c:v>
                </c:pt>
                <c:pt idx="247">
                  <c:v>-7.5300000000000527</c:v>
                </c:pt>
                <c:pt idx="248">
                  <c:v>-7.5200000000000529</c:v>
                </c:pt>
                <c:pt idx="249">
                  <c:v>-7.5100000000000531</c:v>
                </c:pt>
                <c:pt idx="250">
                  <c:v>-7.5000000000000533</c:v>
                </c:pt>
                <c:pt idx="251">
                  <c:v>-7.4900000000000535</c:v>
                </c:pt>
                <c:pt idx="252">
                  <c:v>-7.4800000000000537</c:v>
                </c:pt>
                <c:pt idx="253">
                  <c:v>-7.4700000000000539</c:v>
                </c:pt>
                <c:pt idx="254">
                  <c:v>-7.4600000000000541</c:v>
                </c:pt>
                <c:pt idx="255">
                  <c:v>-7.4500000000000544</c:v>
                </c:pt>
                <c:pt idx="256">
                  <c:v>-7.4400000000000546</c:v>
                </c:pt>
                <c:pt idx="257">
                  <c:v>-7.4300000000000548</c:v>
                </c:pt>
                <c:pt idx="258">
                  <c:v>-7.420000000000055</c:v>
                </c:pt>
                <c:pt idx="259">
                  <c:v>-7.4100000000000552</c:v>
                </c:pt>
                <c:pt idx="260">
                  <c:v>-7.4000000000000554</c:v>
                </c:pt>
                <c:pt idx="261">
                  <c:v>-7.3900000000000556</c:v>
                </c:pt>
                <c:pt idx="262">
                  <c:v>-7.3800000000000558</c:v>
                </c:pt>
                <c:pt idx="263">
                  <c:v>-7.3700000000000561</c:v>
                </c:pt>
                <c:pt idx="264">
                  <c:v>-7.3600000000000563</c:v>
                </c:pt>
                <c:pt idx="265">
                  <c:v>-7.3500000000000565</c:v>
                </c:pt>
                <c:pt idx="266">
                  <c:v>-7.3400000000000567</c:v>
                </c:pt>
                <c:pt idx="267">
                  <c:v>-7.3300000000000569</c:v>
                </c:pt>
                <c:pt idx="268">
                  <c:v>-7.3200000000000571</c:v>
                </c:pt>
                <c:pt idx="269">
                  <c:v>-7.3100000000000573</c:v>
                </c:pt>
                <c:pt idx="270">
                  <c:v>-7.3000000000000576</c:v>
                </c:pt>
                <c:pt idx="271">
                  <c:v>-7.2900000000000578</c:v>
                </c:pt>
                <c:pt idx="272">
                  <c:v>-7.280000000000058</c:v>
                </c:pt>
                <c:pt idx="273">
                  <c:v>-7.2700000000000582</c:v>
                </c:pt>
                <c:pt idx="274">
                  <c:v>-7.2600000000000584</c:v>
                </c:pt>
                <c:pt idx="275">
                  <c:v>-7.2500000000000586</c:v>
                </c:pt>
                <c:pt idx="276">
                  <c:v>-7.2400000000000588</c:v>
                </c:pt>
                <c:pt idx="277">
                  <c:v>-7.230000000000059</c:v>
                </c:pt>
                <c:pt idx="278">
                  <c:v>-7.2200000000000593</c:v>
                </c:pt>
                <c:pt idx="279">
                  <c:v>-7.2100000000000595</c:v>
                </c:pt>
                <c:pt idx="280">
                  <c:v>-7.2000000000000597</c:v>
                </c:pt>
                <c:pt idx="281">
                  <c:v>-7.1900000000000599</c:v>
                </c:pt>
                <c:pt idx="282">
                  <c:v>-7.1800000000000601</c:v>
                </c:pt>
                <c:pt idx="283">
                  <c:v>-7.1700000000000603</c:v>
                </c:pt>
                <c:pt idx="284">
                  <c:v>-7.1600000000000605</c:v>
                </c:pt>
                <c:pt idx="285">
                  <c:v>-7.1500000000000608</c:v>
                </c:pt>
                <c:pt idx="286">
                  <c:v>-7.140000000000061</c:v>
                </c:pt>
                <c:pt idx="287">
                  <c:v>-7.1300000000000612</c:v>
                </c:pt>
                <c:pt idx="288">
                  <c:v>-7.1200000000000614</c:v>
                </c:pt>
                <c:pt idx="289">
                  <c:v>-7.1100000000000616</c:v>
                </c:pt>
                <c:pt idx="290">
                  <c:v>-7.1000000000000618</c:v>
                </c:pt>
                <c:pt idx="291">
                  <c:v>-7.090000000000062</c:v>
                </c:pt>
                <c:pt idx="292">
                  <c:v>-7.0800000000000622</c:v>
                </c:pt>
                <c:pt idx="293">
                  <c:v>-7.0700000000000625</c:v>
                </c:pt>
                <c:pt idx="294">
                  <c:v>-7.0600000000000627</c:v>
                </c:pt>
                <c:pt idx="295">
                  <c:v>-7.0500000000000629</c:v>
                </c:pt>
                <c:pt idx="296">
                  <c:v>-7.0400000000000631</c:v>
                </c:pt>
                <c:pt idx="297">
                  <c:v>-7.0300000000000633</c:v>
                </c:pt>
                <c:pt idx="298">
                  <c:v>-7.0200000000000635</c:v>
                </c:pt>
                <c:pt idx="299">
                  <c:v>-7.0100000000000637</c:v>
                </c:pt>
                <c:pt idx="300">
                  <c:v>-7.0000000000000639</c:v>
                </c:pt>
                <c:pt idx="301">
                  <c:v>-6.9900000000000642</c:v>
                </c:pt>
                <c:pt idx="302">
                  <c:v>-6.9800000000000644</c:v>
                </c:pt>
                <c:pt idx="303">
                  <c:v>-6.9700000000000646</c:v>
                </c:pt>
                <c:pt idx="304">
                  <c:v>-6.9600000000000648</c:v>
                </c:pt>
                <c:pt idx="305">
                  <c:v>-6.950000000000065</c:v>
                </c:pt>
                <c:pt idx="306">
                  <c:v>-6.9400000000000652</c:v>
                </c:pt>
                <c:pt idx="307">
                  <c:v>-6.9300000000000654</c:v>
                </c:pt>
                <c:pt idx="308">
                  <c:v>-6.9200000000000657</c:v>
                </c:pt>
                <c:pt idx="309">
                  <c:v>-6.9100000000000659</c:v>
                </c:pt>
                <c:pt idx="310">
                  <c:v>-6.9000000000000661</c:v>
                </c:pt>
                <c:pt idx="311">
                  <c:v>-6.8900000000000663</c:v>
                </c:pt>
                <c:pt idx="312">
                  <c:v>-6.8800000000000665</c:v>
                </c:pt>
                <c:pt idx="313">
                  <c:v>-6.8700000000000667</c:v>
                </c:pt>
                <c:pt idx="314">
                  <c:v>-6.8600000000000669</c:v>
                </c:pt>
                <c:pt idx="315">
                  <c:v>-6.8500000000000671</c:v>
                </c:pt>
                <c:pt idx="316">
                  <c:v>-6.8400000000000674</c:v>
                </c:pt>
                <c:pt idx="317">
                  <c:v>-6.8300000000000676</c:v>
                </c:pt>
                <c:pt idx="318">
                  <c:v>-6.8200000000000678</c:v>
                </c:pt>
                <c:pt idx="319">
                  <c:v>-6.810000000000068</c:v>
                </c:pt>
                <c:pt idx="320">
                  <c:v>-6.8000000000000682</c:v>
                </c:pt>
                <c:pt idx="321">
                  <c:v>-6.7900000000000684</c:v>
                </c:pt>
                <c:pt idx="322">
                  <c:v>-6.7800000000000686</c:v>
                </c:pt>
                <c:pt idx="323">
                  <c:v>-6.7700000000000689</c:v>
                </c:pt>
                <c:pt idx="324">
                  <c:v>-6.7600000000000691</c:v>
                </c:pt>
                <c:pt idx="325">
                  <c:v>-6.7500000000000693</c:v>
                </c:pt>
                <c:pt idx="326">
                  <c:v>-6.7400000000000695</c:v>
                </c:pt>
                <c:pt idx="327">
                  <c:v>-6.7300000000000697</c:v>
                </c:pt>
                <c:pt idx="328">
                  <c:v>-6.7200000000000699</c:v>
                </c:pt>
                <c:pt idx="329">
                  <c:v>-6.7100000000000701</c:v>
                </c:pt>
                <c:pt idx="330">
                  <c:v>-6.7000000000000703</c:v>
                </c:pt>
                <c:pt idx="331">
                  <c:v>-6.6900000000000706</c:v>
                </c:pt>
                <c:pt idx="332">
                  <c:v>-6.6800000000000708</c:v>
                </c:pt>
                <c:pt idx="333">
                  <c:v>-6.670000000000071</c:v>
                </c:pt>
                <c:pt idx="334">
                  <c:v>-6.6600000000000712</c:v>
                </c:pt>
                <c:pt idx="335">
                  <c:v>-6.6500000000000714</c:v>
                </c:pt>
                <c:pt idx="336">
                  <c:v>-6.6400000000000716</c:v>
                </c:pt>
                <c:pt idx="337">
                  <c:v>-6.6300000000000718</c:v>
                </c:pt>
                <c:pt idx="338">
                  <c:v>-6.620000000000072</c:v>
                </c:pt>
                <c:pt idx="339">
                  <c:v>-6.6100000000000723</c:v>
                </c:pt>
                <c:pt idx="340">
                  <c:v>-6.6000000000000725</c:v>
                </c:pt>
                <c:pt idx="341">
                  <c:v>-6.5900000000000727</c:v>
                </c:pt>
                <c:pt idx="342">
                  <c:v>-6.5800000000000729</c:v>
                </c:pt>
                <c:pt idx="343">
                  <c:v>-6.5700000000000731</c:v>
                </c:pt>
                <c:pt idx="344">
                  <c:v>-6.5600000000000733</c:v>
                </c:pt>
                <c:pt idx="345">
                  <c:v>-6.5500000000000735</c:v>
                </c:pt>
                <c:pt idx="346">
                  <c:v>-6.5400000000000738</c:v>
                </c:pt>
                <c:pt idx="347">
                  <c:v>-6.530000000000074</c:v>
                </c:pt>
                <c:pt idx="348">
                  <c:v>-6.5200000000000742</c:v>
                </c:pt>
                <c:pt idx="349">
                  <c:v>-6.5100000000000744</c:v>
                </c:pt>
                <c:pt idx="350">
                  <c:v>-6.5000000000000746</c:v>
                </c:pt>
                <c:pt idx="351">
                  <c:v>-6.4900000000000748</c:v>
                </c:pt>
                <c:pt idx="352">
                  <c:v>-6.480000000000075</c:v>
                </c:pt>
                <c:pt idx="353">
                  <c:v>-6.4700000000000752</c:v>
                </c:pt>
                <c:pt idx="354">
                  <c:v>-6.4600000000000755</c:v>
                </c:pt>
                <c:pt idx="355">
                  <c:v>-6.4500000000000757</c:v>
                </c:pt>
                <c:pt idx="356">
                  <c:v>-6.4400000000000759</c:v>
                </c:pt>
                <c:pt idx="357">
                  <c:v>-6.4300000000000761</c:v>
                </c:pt>
                <c:pt idx="358">
                  <c:v>-6.4200000000000763</c:v>
                </c:pt>
                <c:pt idx="359">
                  <c:v>-6.4100000000000765</c:v>
                </c:pt>
                <c:pt idx="360">
                  <c:v>-6.4000000000000767</c:v>
                </c:pt>
                <c:pt idx="361">
                  <c:v>-6.390000000000077</c:v>
                </c:pt>
                <c:pt idx="362">
                  <c:v>-6.3800000000000772</c:v>
                </c:pt>
                <c:pt idx="363">
                  <c:v>-6.3700000000000774</c:v>
                </c:pt>
                <c:pt idx="364">
                  <c:v>-6.3600000000000776</c:v>
                </c:pt>
                <c:pt idx="365">
                  <c:v>-6.3500000000000778</c:v>
                </c:pt>
                <c:pt idx="366">
                  <c:v>-6.340000000000078</c:v>
                </c:pt>
                <c:pt idx="367">
                  <c:v>-6.3300000000000782</c:v>
                </c:pt>
                <c:pt idx="368">
                  <c:v>-6.3200000000000784</c:v>
                </c:pt>
                <c:pt idx="369">
                  <c:v>-6.3100000000000787</c:v>
                </c:pt>
                <c:pt idx="370">
                  <c:v>-6.3000000000000789</c:v>
                </c:pt>
                <c:pt idx="371">
                  <c:v>-6.2900000000000791</c:v>
                </c:pt>
                <c:pt idx="372">
                  <c:v>-6.2800000000000793</c:v>
                </c:pt>
                <c:pt idx="373">
                  <c:v>-6.2700000000000795</c:v>
                </c:pt>
                <c:pt idx="374">
                  <c:v>-6.2600000000000797</c:v>
                </c:pt>
                <c:pt idx="375">
                  <c:v>-6.2500000000000799</c:v>
                </c:pt>
                <c:pt idx="376">
                  <c:v>-6.2400000000000801</c:v>
                </c:pt>
                <c:pt idx="377">
                  <c:v>-6.2300000000000804</c:v>
                </c:pt>
                <c:pt idx="378">
                  <c:v>-6.2200000000000806</c:v>
                </c:pt>
                <c:pt idx="379">
                  <c:v>-6.2100000000000808</c:v>
                </c:pt>
                <c:pt idx="380">
                  <c:v>-6.200000000000081</c:v>
                </c:pt>
                <c:pt idx="381">
                  <c:v>-6.1900000000000812</c:v>
                </c:pt>
                <c:pt idx="382">
                  <c:v>-6.1800000000000814</c:v>
                </c:pt>
                <c:pt idx="383">
                  <c:v>-6.1700000000000816</c:v>
                </c:pt>
                <c:pt idx="384">
                  <c:v>-6.1600000000000819</c:v>
                </c:pt>
                <c:pt idx="385">
                  <c:v>-6.1500000000000821</c:v>
                </c:pt>
                <c:pt idx="386">
                  <c:v>-6.1400000000000823</c:v>
                </c:pt>
                <c:pt idx="387">
                  <c:v>-6.1300000000000825</c:v>
                </c:pt>
                <c:pt idx="388">
                  <c:v>-6.1200000000000827</c:v>
                </c:pt>
                <c:pt idx="389">
                  <c:v>-6.1100000000000829</c:v>
                </c:pt>
                <c:pt idx="390">
                  <c:v>-6.1000000000000831</c:v>
                </c:pt>
                <c:pt idx="391">
                  <c:v>-6.0900000000000833</c:v>
                </c:pt>
                <c:pt idx="392">
                  <c:v>-6.0800000000000836</c:v>
                </c:pt>
                <c:pt idx="393">
                  <c:v>-6.0700000000000838</c:v>
                </c:pt>
                <c:pt idx="394">
                  <c:v>-6.060000000000084</c:v>
                </c:pt>
                <c:pt idx="395">
                  <c:v>-6.0500000000000842</c:v>
                </c:pt>
                <c:pt idx="396">
                  <c:v>-6.0400000000000844</c:v>
                </c:pt>
                <c:pt idx="397">
                  <c:v>-6.0300000000000846</c:v>
                </c:pt>
                <c:pt idx="398">
                  <c:v>-6.0200000000000848</c:v>
                </c:pt>
                <c:pt idx="399">
                  <c:v>-6.0100000000000851</c:v>
                </c:pt>
                <c:pt idx="400">
                  <c:v>-6.0000000000000853</c:v>
                </c:pt>
                <c:pt idx="401">
                  <c:v>-5.9900000000000855</c:v>
                </c:pt>
                <c:pt idx="402">
                  <c:v>-5.9800000000000857</c:v>
                </c:pt>
                <c:pt idx="403">
                  <c:v>-5.9700000000000859</c:v>
                </c:pt>
                <c:pt idx="404">
                  <c:v>-5.9600000000000861</c:v>
                </c:pt>
                <c:pt idx="405">
                  <c:v>-5.9500000000000863</c:v>
                </c:pt>
                <c:pt idx="406">
                  <c:v>-5.9400000000000865</c:v>
                </c:pt>
                <c:pt idx="407">
                  <c:v>-5.9300000000000868</c:v>
                </c:pt>
                <c:pt idx="408">
                  <c:v>-5.920000000000087</c:v>
                </c:pt>
                <c:pt idx="409">
                  <c:v>-5.9100000000000872</c:v>
                </c:pt>
                <c:pt idx="410">
                  <c:v>-5.9000000000000874</c:v>
                </c:pt>
                <c:pt idx="411">
                  <c:v>-5.8900000000000876</c:v>
                </c:pt>
                <c:pt idx="412">
                  <c:v>-5.8800000000000878</c:v>
                </c:pt>
                <c:pt idx="413">
                  <c:v>-5.870000000000088</c:v>
                </c:pt>
                <c:pt idx="414">
                  <c:v>-5.8600000000000882</c:v>
                </c:pt>
                <c:pt idx="415">
                  <c:v>-5.8500000000000885</c:v>
                </c:pt>
                <c:pt idx="416">
                  <c:v>-5.8400000000000887</c:v>
                </c:pt>
                <c:pt idx="417">
                  <c:v>-5.8300000000000889</c:v>
                </c:pt>
                <c:pt idx="418">
                  <c:v>-5.8200000000000891</c:v>
                </c:pt>
                <c:pt idx="419">
                  <c:v>-5.8100000000000893</c:v>
                </c:pt>
                <c:pt idx="420">
                  <c:v>-5.8000000000000895</c:v>
                </c:pt>
                <c:pt idx="421">
                  <c:v>-5.7900000000000897</c:v>
                </c:pt>
                <c:pt idx="422">
                  <c:v>-5.78000000000009</c:v>
                </c:pt>
                <c:pt idx="423">
                  <c:v>-5.7700000000000902</c:v>
                </c:pt>
                <c:pt idx="424">
                  <c:v>-5.7600000000000904</c:v>
                </c:pt>
                <c:pt idx="425">
                  <c:v>-5.7500000000000906</c:v>
                </c:pt>
                <c:pt idx="426">
                  <c:v>-5.7400000000000908</c:v>
                </c:pt>
                <c:pt idx="427">
                  <c:v>-5.730000000000091</c:v>
                </c:pt>
                <c:pt idx="428">
                  <c:v>-5.7200000000000912</c:v>
                </c:pt>
                <c:pt idx="429">
                  <c:v>-5.7100000000000914</c:v>
                </c:pt>
                <c:pt idx="430">
                  <c:v>-5.7000000000000917</c:v>
                </c:pt>
                <c:pt idx="431">
                  <c:v>-5.6900000000000919</c:v>
                </c:pt>
                <c:pt idx="432">
                  <c:v>-5.6800000000000921</c:v>
                </c:pt>
                <c:pt idx="433">
                  <c:v>-5.6700000000000923</c:v>
                </c:pt>
                <c:pt idx="434">
                  <c:v>-5.6600000000000925</c:v>
                </c:pt>
                <c:pt idx="435">
                  <c:v>-5.6500000000000927</c:v>
                </c:pt>
                <c:pt idx="436">
                  <c:v>-5.6400000000000929</c:v>
                </c:pt>
                <c:pt idx="437">
                  <c:v>-5.6300000000000932</c:v>
                </c:pt>
                <c:pt idx="438">
                  <c:v>-5.6200000000000934</c:v>
                </c:pt>
                <c:pt idx="439">
                  <c:v>-5.6100000000000936</c:v>
                </c:pt>
                <c:pt idx="440">
                  <c:v>-5.6000000000000938</c:v>
                </c:pt>
                <c:pt idx="441">
                  <c:v>-5.590000000000094</c:v>
                </c:pt>
                <c:pt idx="442">
                  <c:v>-5.5800000000000942</c:v>
                </c:pt>
                <c:pt idx="443">
                  <c:v>-5.5700000000000944</c:v>
                </c:pt>
                <c:pt idx="444">
                  <c:v>-5.5600000000000946</c:v>
                </c:pt>
                <c:pt idx="445">
                  <c:v>-5.5500000000000949</c:v>
                </c:pt>
                <c:pt idx="446">
                  <c:v>-5.5400000000000951</c:v>
                </c:pt>
                <c:pt idx="447">
                  <c:v>-5.5300000000000953</c:v>
                </c:pt>
                <c:pt idx="448">
                  <c:v>-5.5200000000000955</c:v>
                </c:pt>
                <c:pt idx="449">
                  <c:v>-5.5100000000000957</c:v>
                </c:pt>
                <c:pt idx="450">
                  <c:v>-5.5000000000000959</c:v>
                </c:pt>
                <c:pt idx="451">
                  <c:v>-5.4900000000000961</c:v>
                </c:pt>
                <c:pt idx="452">
                  <c:v>-5.4800000000000963</c:v>
                </c:pt>
                <c:pt idx="453">
                  <c:v>-5.4700000000000966</c:v>
                </c:pt>
                <c:pt idx="454">
                  <c:v>-5.4600000000000968</c:v>
                </c:pt>
                <c:pt idx="455">
                  <c:v>-5.450000000000097</c:v>
                </c:pt>
                <c:pt idx="456">
                  <c:v>-5.4400000000000972</c:v>
                </c:pt>
                <c:pt idx="457">
                  <c:v>-5.4300000000000974</c:v>
                </c:pt>
                <c:pt idx="458">
                  <c:v>-5.4200000000000976</c:v>
                </c:pt>
                <c:pt idx="459">
                  <c:v>-5.4100000000000978</c:v>
                </c:pt>
                <c:pt idx="460">
                  <c:v>-5.4000000000000981</c:v>
                </c:pt>
                <c:pt idx="461">
                  <c:v>-5.3900000000000983</c:v>
                </c:pt>
                <c:pt idx="462">
                  <c:v>-5.3800000000000985</c:v>
                </c:pt>
                <c:pt idx="463">
                  <c:v>-5.3700000000000987</c:v>
                </c:pt>
                <c:pt idx="464">
                  <c:v>-5.3600000000000989</c:v>
                </c:pt>
                <c:pt idx="465">
                  <c:v>-5.3500000000000991</c:v>
                </c:pt>
                <c:pt idx="466">
                  <c:v>-5.3400000000000993</c:v>
                </c:pt>
                <c:pt idx="467">
                  <c:v>-5.3300000000000995</c:v>
                </c:pt>
                <c:pt idx="468">
                  <c:v>-5.3200000000000998</c:v>
                </c:pt>
                <c:pt idx="469">
                  <c:v>-5.3100000000001</c:v>
                </c:pt>
                <c:pt idx="470">
                  <c:v>-5.3000000000001002</c:v>
                </c:pt>
                <c:pt idx="471">
                  <c:v>-5.2900000000001004</c:v>
                </c:pt>
                <c:pt idx="472">
                  <c:v>-5.2800000000001006</c:v>
                </c:pt>
                <c:pt idx="473">
                  <c:v>-5.2700000000001008</c:v>
                </c:pt>
                <c:pt idx="474">
                  <c:v>-5.260000000000101</c:v>
                </c:pt>
                <c:pt idx="475">
                  <c:v>-5.2500000000001013</c:v>
                </c:pt>
                <c:pt idx="476">
                  <c:v>-5.2400000000001015</c:v>
                </c:pt>
                <c:pt idx="477">
                  <c:v>-5.2300000000001017</c:v>
                </c:pt>
                <c:pt idx="478">
                  <c:v>-5.2200000000001019</c:v>
                </c:pt>
                <c:pt idx="479">
                  <c:v>-5.2100000000001021</c:v>
                </c:pt>
                <c:pt idx="480">
                  <c:v>-5.2000000000001023</c:v>
                </c:pt>
                <c:pt idx="481">
                  <c:v>-5.1900000000001025</c:v>
                </c:pt>
                <c:pt idx="482">
                  <c:v>-5.1800000000001027</c:v>
                </c:pt>
                <c:pt idx="483">
                  <c:v>-5.170000000000103</c:v>
                </c:pt>
                <c:pt idx="484">
                  <c:v>-5.1600000000001032</c:v>
                </c:pt>
                <c:pt idx="485">
                  <c:v>-5.1500000000001034</c:v>
                </c:pt>
                <c:pt idx="486">
                  <c:v>-5.1400000000001036</c:v>
                </c:pt>
                <c:pt idx="487">
                  <c:v>-5.1300000000001038</c:v>
                </c:pt>
                <c:pt idx="488">
                  <c:v>-5.120000000000104</c:v>
                </c:pt>
                <c:pt idx="489">
                  <c:v>-5.1100000000001042</c:v>
                </c:pt>
                <c:pt idx="490">
                  <c:v>-5.1000000000001044</c:v>
                </c:pt>
                <c:pt idx="491">
                  <c:v>-5.0900000000001047</c:v>
                </c:pt>
                <c:pt idx="492">
                  <c:v>-5.0800000000001049</c:v>
                </c:pt>
                <c:pt idx="493">
                  <c:v>-5.0700000000001051</c:v>
                </c:pt>
                <c:pt idx="494">
                  <c:v>-5.0600000000001053</c:v>
                </c:pt>
                <c:pt idx="495">
                  <c:v>-5.0500000000001055</c:v>
                </c:pt>
                <c:pt idx="496">
                  <c:v>-5.0400000000001057</c:v>
                </c:pt>
                <c:pt idx="497">
                  <c:v>-5.0300000000001059</c:v>
                </c:pt>
                <c:pt idx="498">
                  <c:v>-5.0200000000001062</c:v>
                </c:pt>
                <c:pt idx="499">
                  <c:v>-5.0100000000001064</c:v>
                </c:pt>
                <c:pt idx="500">
                  <c:v>-5.0000000000001066</c:v>
                </c:pt>
                <c:pt idx="501">
                  <c:v>-4.9900000000001068</c:v>
                </c:pt>
                <c:pt idx="502">
                  <c:v>-4.980000000000107</c:v>
                </c:pt>
                <c:pt idx="503">
                  <c:v>-4.9700000000001072</c:v>
                </c:pt>
                <c:pt idx="504">
                  <c:v>-4.9600000000001074</c:v>
                </c:pt>
                <c:pt idx="505">
                  <c:v>-4.9500000000001076</c:v>
                </c:pt>
                <c:pt idx="506">
                  <c:v>-4.9400000000001079</c:v>
                </c:pt>
                <c:pt idx="507">
                  <c:v>-4.9300000000001081</c:v>
                </c:pt>
                <c:pt idx="508">
                  <c:v>-4.9200000000001083</c:v>
                </c:pt>
                <c:pt idx="509">
                  <c:v>-4.9100000000001085</c:v>
                </c:pt>
                <c:pt idx="510">
                  <c:v>-4.9000000000001087</c:v>
                </c:pt>
                <c:pt idx="511">
                  <c:v>-4.8900000000001089</c:v>
                </c:pt>
                <c:pt idx="512">
                  <c:v>-4.8800000000001091</c:v>
                </c:pt>
                <c:pt idx="513">
                  <c:v>-4.8700000000001094</c:v>
                </c:pt>
                <c:pt idx="514">
                  <c:v>-4.8600000000001096</c:v>
                </c:pt>
                <c:pt idx="515">
                  <c:v>-4.8500000000001098</c:v>
                </c:pt>
                <c:pt idx="516">
                  <c:v>-4.84000000000011</c:v>
                </c:pt>
                <c:pt idx="517">
                  <c:v>-4.8300000000001102</c:v>
                </c:pt>
                <c:pt idx="518">
                  <c:v>-4.8200000000001104</c:v>
                </c:pt>
                <c:pt idx="519">
                  <c:v>-4.8100000000001106</c:v>
                </c:pt>
                <c:pt idx="520">
                  <c:v>-4.8000000000001108</c:v>
                </c:pt>
                <c:pt idx="521">
                  <c:v>-4.7900000000001111</c:v>
                </c:pt>
                <c:pt idx="522">
                  <c:v>-4.7800000000001113</c:v>
                </c:pt>
                <c:pt idx="523">
                  <c:v>-4.7700000000001115</c:v>
                </c:pt>
                <c:pt idx="524">
                  <c:v>-4.7600000000001117</c:v>
                </c:pt>
                <c:pt idx="525">
                  <c:v>-4.7500000000001119</c:v>
                </c:pt>
                <c:pt idx="526">
                  <c:v>-4.7400000000001121</c:v>
                </c:pt>
                <c:pt idx="527">
                  <c:v>-4.7300000000001123</c:v>
                </c:pt>
                <c:pt idx="528">
                  <c:v>-4.7200000000001125</c:v>
                </c:pt>
                <c:pt idx="529">
                  <c:v>-4.7100000000001128</c:v>
                </c:pt>
                <c:pt idx="530">
                  <c:v>-4.700000000000113</c:v>
                </c:pt>
                <c:pt idx="531">
                  <c:v>-4.6900000000001132</c:v>
                </c:pt>
                <c:pt idx="532">
                  <c:v>-4.6800000000001134</c:v>
                </c:pt>
                <c:pt idx="533">
                  <c:v>-4.6700000000001136</c:v>
                </c:pt>
                <c:pt idx="534">
                  <c:v>-4.6600000000001138</c:v>
                </c:pt>
                <c:pt idx="535">
                  <c:v>-4.650000000000114</c:v>
                </c:pt>
                <c:pt idx="536">
                  <c:v>-4.6400000000001143</c:v>
                </c:pt>
                <c:pt idx="537">
                  <c:v>-4.6300000000001145</c:v>
                </c:pt>
                <c:pt idx="538">
                  <c:v>-4.6200000000001147</c:v>
                </c:pt>
                <c:pt idx="539">
                  <c:v>-4.6100000000001149</c:v>
                </c:pt>
                <c:pt idx="540">
                  <c:v>-4.6000000000001151</c:v>
                </c:pt>
                <c:pt idx="541">
                  <c:v>-4.5900000000001153</c:v>
                </c:pt>
                <c:pt idx="542">
                  <c:v>-4.5800000000001155</c:v>
                </c:pt>
                <c:pt idx="543">
                  <c:v>-4.5700000000001157</c:v>
                </c:pt>
                <c:pt idx="544">
                  <c:v>-4.560000000000116</c:v>
                </c:pt>
                <c:pt idx="545">
                  <c:v>-4.5500000000001162</c:v>
                </c:pt>
                <c:pt idx="546">
                  <c:v>-4.5400000000001164</c:v>
                </c:pt>
                <c:pt idx="547">
                  <c:v>-4.5300000000001166</c:v>
                </c:pt>
                <c:pt idx="548">
                  <c:v>-4.5200000000001168</c:v>
                </c:pt>
                <c:pt idx="549">
                  <c:v>-4.510000000000117</c:v>
                </c:pt>
                <c:pt idx="550">
                  <c:v>-4.5000000000001172</c:v>
                </c:pt>
                <c:pt idx="551">
                  <c:v>-4.4900000000001175</c:v>
                </c:pt>
                <c:pt idx="552">
                  <c:v>-4.4800000000001177</c:v>
                </c:pt>
                <c:pt idx="553">
                  <c:v>-4.4700000000001179</c:v>
                </c:pt>
                <c:pt idx="554">
                  <c:v>-4.4600000000001181</c:v>
                </c:pt>
                <c:pt idx="555">
                  <c:v>-4.4500000000001183</c:v>
                </c:pt>
                <c:pt idx="556">
                  <c:v>-4.4400000000001185</c:v>
                </c:pt>
                <c:pt idx="557">
                  <c:v>-4.4300000000001187</c:v>
                </c:pt>
                <c:pt idx="558">
                  <c:v>-4.4200000000001189</c:v>
                </c:pt>
                <c:pt idx="559">
                  <c:v>-4.4100000000001192</c:v>
                </c:pt>
                <c:pt idx="560">
                  <c:v>-4.4000000000001194</c:v>
                </c:pt>
                <c:pt idx="561">
                  <c:v>-4.3900000000001196</c:v>
                </c:pt>
                <c:pt idx="562">
                  <c:v>-4.3800000000001198</c:v>
                </c:pt>
                <c:pt idx="563">
                  <c:v>-4.37000000000012</c:v>
                </c:pt>
                <c:pt idx="564">
                  <c:v>-4.3600000000001202</c:v>
                </c:pt>
                <c:pt idx="565">
                  <c:v>-4.3500000000001204</c:v>
                </c:pt>
                <c:pt idx="566">
                  <c:v>-4.3400000000001207</c:v>
                </c:pt>
                <c:pt idx="567">
                  <c:v>-4.3300000000001209</c:v>
                </c:pt>
                <c:pt idx="568">
                  <c:v>-4.3200000000001211</c:v>
                </c:pt>
                <c:pt idx="569">
                  <c:v>-4.3100000000001213</c:v>
                </c:pt>
                <c:pt idx="570">
                  <c:v>-4.3000000000001215</c:v>
                </c:pt>
                <c:pt idx="571">
                  <c:v>-4.2900000000001217</c:v>
                </c:pt>
                <c:pt idx="572">
                  <c:v>-4.2800000000001219</c:v>
                </c:pt>
                <c:pt idx="573">
                  <c:v>-4.2700000000001221</c:v>
                </c:pt>
                <c:pt idx="574">
                  <c:v>-4.2600000000001224</c:v>
                </c:pt>
                <c:pt idx="575">
                  <c:v>-4.2500000000001226</c:v>
                </c:pt>
                <c:pt idx="576">
                  <c:v>-4.2400000000001228</c:v>
                </c:pt>
                <c:pt idx="577">
                  <c:v>-4.230000000000123</c:v>
                </c:pt>
                <c:pt idx="578">
                  <c:v>-4.2200000000001232</c:v>
                </c:pt>
                <c:pt idx="579">
                  <c:v>-4.2100000000001234</c:v>
                </c:pt>
                <c:pt idx="580">
                  <c:v>-4.2000000000001236</c:v>
                </c:pt>
                <c:pt idx="581">
                  <c:v>-4.1900000000001238</c:v>
                </c:pt>
                <c:pt idx="582">
                  <c:v>-4.1800000000001241</c:v>
                </c:pt>
                <c:pt idx="583">
                  <c:v>-4.1700000000001243</c:v>
                </c:pt>
                <c:pt idx="584">
                  <c:v>-4.1600000000001245</c:v>
                </c:pt>
                <c:pt idx="585">
                  <c:v>-4.1500000000001247</c:v>
                </c:pt>
                <c:pt idx="586">
                  <c:v>-4.1400000000001249</c:v>
                </c:pt>
                <c:pt idx="587">
                  <c:v>-4.1300000000001251</c:v>
                </c:pt>
                <c:pt idx="588">
                  <c:v>-4.1200000000001253</c:v>
                </c:pt>
                <c:pt idx="589">
                  <c:v>-4.1100000000001256</c:v>
                </c:pt>
                <c:pt idx="590">
                  <c:v>-4.1000000000001258</c:v>
                </c:pt>
                <c:pt idx="591">
                  <c:v>-4.090000000000126</c:v>
                </c:pt>
                <c:pt idx="592">
                  <c:v>-4.0800000000001262</c:v>
                </c:pt>
                <c:pt idx="593">
                  <c:v>-4.0700000000001264</c:v>
                </c:pt>
                <c:pt idx="594">
                  <c:v>-4.0600000000001266</c:v>
                </c:pt>
                <c:pt idx="595">
                  <c:v>-4.0500000000001268</c:v>
                </c:pt>
                <c:pt idx="596">
                  <c:v>-4.040000000000127</c:v>
                </c:pt>
                <c:pt idx="597">
                  <c:v>-4.0300000000001273</c:v>
                </c:pt>
                <c:pt idx="598">
                  <c:v>-4.0200000000001275</c:v>
                </c:pt>
                <c:pt idx="599">
                  <c:v>-4.0100000000001277</c:v>
                </c:pt>
                <c:pt idx="600">
                  <c:v>-4.0000000000001279</c:v>
                </c:pt>
                <c:pt idx="601">
                  <c:v>-3.9900000000001281</c:v>
                </c:pt>
                <c:pt idx="602">
                  <c:v>-3.9800000000001283</c:v>
                </c:pt>
                <c:pt idx="603">
                  <c:v>-3.9700000000001285</c:v>
                </c:pt>
                <c:pt idx="604">
                  <c:v>-3.9600000000001288</c:v>
                </c:pt>
                <c:pt idx="605">
                  <c:v>-3.950000000000129</c:v>
                </c:pt>
                <c:pt idx="606">
                  <c:v>-3.9400000000001292</c:v>
                </c:pt>
                <c:pt idx="607">
                  <c:v>-3.9300000000001294</c:v>
                </c:pt>
                <c:pt idx="608">
                  <c:v>-3.9200000000001296</c:v>
                </c:pt>
                <c:pt idx="609">
                  <c:v>-3.9100000000001298</c:v>
                </c:pt>
                <c:pt idx="610">
                  <c:v>-3.90000000000013</c:v>
                </c:pt>
                <c:pt idx="611">
                  <c:v>-3.8900000000001302</c:v>
                </c:pt>
                <c:pt idx="612">
                  <c:v>-3.8800000000001305</c:v>
                </c:pt>
                <c:pt idx="613">
                  <c:v>-3.8700000000001307</c:v>
                </c:pt>
                <c:pt idx="614">
                  <c:v>-3.8600000000001309</c:v>
                </c:pt>
                <c:pt idx="615">
                  <c:v>-3.8500000000001311</c:v>
                </c:pt>
                <c:pt idx="616">
                  <c:v>-3.8400000000001313</c:v>
                </c:pt>
                <c:pt idx="617">
                  <c:v>-3.8300000000001315</c:v>
                </c:pt>
                <c:pt idx="618">
                  <c:v>-3.8200000000001317</c:v>
                </c:pt>
                <c:pt idx="619">
                  <c:v>-3.8100000000001319</c:v>
                </c:pt>
                <c:pt idx="620">
                  <c:v>-3.8000000000001322</c:v>
                </c:pt>
                <c:pt idx="621">
                  <c:v>-3.7900000000001324</c:v>
                </c:pt>
                <c:pt idx="622">
                  <c:v>-3.7800000000001326</c:v>
                </c:pt>
                <c:pt idx="623">
                  <c:v>-3.7700000000001328</c:v>
                </c:pt>
                <c:pt idx="624">
                  <c:v>-3.760000000000133</c:v>
                </c:pt>
                <c:pt idx="625">
                  <c:v>-3.7500000000001332</c:v>
                </c:pt>
                <c:pt idx="626">
                  <c:v>-3.7400000000001334</c:v>
                </c:pt>
                <c:pt idx="627">
                  <c:v>-3.7300000000001337</c:v>
                </c:pt>
                <c:pt idx="628">
                  <c:v>-3.7200000000001339</c:v>
                </c:pt>
                <c:pt idx="629">
                  <c:v>-3.7100000000001341</c:v>
                </c:pt>
                <c:pt idx="630">
                  <c:v>-3.7000000000001343</c:v>
                </c:pt>
                <c:pt idx="631">
                  <c:v>-3.6900000000001345</c:v>
                </c:pt>
                <c:pt idx="632">
                  <c:v>-3.6800000000001347</c:v>
                </c:pt>
                <c:pt idx="633">
                  <c:v>-3.6700000000001349</c:v>
                </c:pt>
                <c:pt idx="634">
                  <c:v>-3.6600000000001351</c:v>
                </c:pt>
                <c:pt idx="635">
                  <c:v>-3.6500000000001354</c:v>
                </c:pt>
                <c:pt idx="636">
                  <c:v>-3.6400000000001356</c:v>
                </c:pt>
                <c:pt idx="637">
                  <c:v>-3.6300000000001358</c:v>
                </c:pt>
                <c:pt idx="638">
                  <c:v>-3.620000000000136</c:v>
                </c:pt>
                <c:pt idx="639">
                  <c:v>-3.6100000000001362</c:v>
                </c:pt>
                <c:pt idx="640">
                  <c:v>-3.6000000000001364</c:v>
                </c:pt>
                <c:pt idx="641">
                  <c:v>-3.5900000000001366</c:v>
                </c:pt>
                <c:pt idx="642">
                  <c:v>-3.5800000000001369</c:v>
                </c:pt>
                <c:pt idx="643">
                  <c:v>-3.5700000000001371</c:v>
                </c:pt>
                <c:pt idx="644">
                  <c:v>-3.5600000000001373</c:v>
                </c:pt>
                <c:pt idx="645">
                  <c:v>-3.5500000000001375</c:v>
                </c:pt>
                <c:pt idx="646">
                  <c:v>-3.5400000000001377</c:v>
                </c:pt>
                <c:pt idx="647">
                  <c:v>-3.5300000000001379</c:v>
                </c:pt>
                <c:pt idx="648">
                  <c:v>-3.5200000000001381</c:v>
                </c:pt>
                <c:pt idx="649">
                  <c:v>-3.5100000000001383</c:v>
                </c:pt>
                <c:pt idx="650">
                  <c:v>-3.5000000000001386</c:v>
                </c:pt>
                <c:pt idx="651">
                  <c:v>-3.4900000000001388</c:v>
                </c:pt>
                <c:pt idx="652">
                  <c:v>-3.480000000000139</c:v>
                </c:pt>
                <c:pt idx="653">
                  <c:v>-3.4700000000001392</c:v>
                </c:pt>
                <c:pt idx="654">
                  <c:v>-3.4600000000001394</c:v>
                </c:pt>
                <c:pt idx="655">
                  <c:v>-3.4500000000001396</c:v>
                </c:pt>
                <c:pt idx="656">
                  <c:v>-3.4400000000001398</c:v>
                </c:pt>
                <c:pt idx="657">
                  <c:v>-3.43000000000014</c:v>
                </c:pt>
                <c:pt idx="658">
                  <c:v>-3.4200000000001403</c:v>
                </c:pt>
                <c:pt idx="659">
                  <c:v>-3.4100000000001405</c:v>
                </c:pt>
                <c:pt idx="660">
                  <c:v>-3.4000000000001407</c:v>
                </c:pt>
                <c:pt idx="661">
                  <c:v>-3.3900000000001409</c:v>
                </c:pt>
                <c:pt idx="662">
                  <c:v>-3.3800000000001411</c:v>
                </c:pt>
                <c:pt idx="663">
                  <c:v>-3.3700000000001413</c:v>
                </c:pt>
                <c:pt idx="664">
                  <c:v>-3.3600000000001415</c:v>
                </c:pt>
                <c:pt idx="665">
                  <c:v>-3.3500000000001418</c:v>
                </c:pt>
                <c:pt idx="666">
                  <c:v>-3.340000000000142</c:v>
                </c:pt>
                <c:pt idx="667">
                  <c:v>-3.3300000000001422</c:v>
                </c:pt>
                <c:pt idx="668">
                  <c:v>-3.3200000000001424</c:v>
                </c:pt>
                <c:pt idx="669">
                  <c:v>-3.3100000000001426</c:v>
                </c:pt>
                <c:pt idx="670">
                  <c:v>-3.3000000000001428</c:v>
                </c:pt>
                <c:pt idx="671">
                  <c:v>-3.290000000000143</c:v>
                </c:pt>
                <c:pt idx="672">
                  <c:v>-3.2800000000001432</c:v>
                </c:pt>
                <c:pt idx="673">
                  <c:v>-3.2700000000001435</c:v>
                </c:pt>
                <c:pt idx="674">
                  <c:v>-3.2600000000001437</c:v>
                </c:pt>
                <c:pt idx="675">
                  <c:v>-3.2500000000001439</c:v>
                </c:pt>
                <c:pt idx="676">
                  <c:v>-3.2400000000001441</c:v>
                </c:pt>
                <c:pt idx="677">
                  <c:v>-3.2300000000001443</c:v>
                </c:pt>
                <c:pt idx="678">
                  <c:v>-3.2200000000001445</c:v>
                </c:pt>
                <c:pt idx="679">
                  <c:v>-3.2100000000001447</c:v>
                </c:pt>
                <c:pt idx="680">
                  <c:v>-3.200000000000145</c:v>
                </c:pt>
                <c:pt idx="681">
                  <c:v>-3.1900000000001452</c:v>
                </c:pt>
                <c:pt idx="682">
                  <c:v>-3.1800000000001454</c:v>
                </c:pt>
                <c:pt idx="683">
                  <c:v>-3.1700000000001456</c:v>
                </c:pt>
                <c:pt idx="684">
                  <c:v>-3.1600000000001458</c:v>
                </c:pt>
                <c:pt idx="685">
                  <c:v>-3.150000000000146</c:v>
                </c:pt>
                <c:pt idx="686">
                  <c:v>-3.1400000000001462</c:v>
                </c:pt>
                <c:pt idx="687">
                  <c:v>-3.1300000000001464</c:v>
                </c:pt>
                <c:pt idx="688">
                  <c:v>-3.1200000000001467</c:v>
                </c:pt>
                <c:pt idx="689">
                  <c:v>-3.1100000000001469</c:v>
                </c:pt>
                <c:pt idx="690">
                  <c:v>-3.1000000000001471</c:v>
                </c:pt>
                <c:pt idx="691">
                  <c:v>-3.0900000000001473</c:v>
                </c:pt>
                <c:pt idx="692">
                  <c:v>-3.0800000000001475</c:v>
                </c:pt>
                <c:pt idx="693">
                  <c:v>-3.0700000000001477</c:v>
                </c:pt>
                <c:pt idx="694">
                  <c:v>-3.0600000000001479</c:v>
                </c:pt>
                <c:pt idx="695">
                  <c:v>-3.0500000000001481</c:v>
                </c:pt>
                <c:pt idx="696">
                  <c:v>-3.0400000000001484</c:v>
                </c:pt>
                <c:pt idx="697">
                  <c:v>-3.0300000000001486</c:v>
                </c:pt>
                <c:pt idx="698">
                  <c:v>-3.0200000000001488</c:v>
                </c:pt>
                <c:pt idx="699">
                  <c:v>-3.010000000000149</c:v>
                </c:pt>
                <c:pt idx="700">
                  <c:v>-3.0000000000001492</c:v>
                </c:pt>
                <c:pt idx="701">
                  <c:v>-2.9900000000001494</c:v>
                </c:pt>
                <c:pt idx="702">
                  <c:v>-2.9800000000001496</c:v>
                </c:pt>
                <c:pt idx="703">
                  <c:v>-2.9700000000001499</c:v>
                </c:pt>
                <c:pt idx="704">
                  <c:v>-2.9600000000001501</c:v>
                </c:pt>
                <c:pt idx="705">
                  <c:v>-2.9500000000001503</c:v>
                </c:pt>
                <c:pt idx="706">
                  <c:v>-2.9400000000001505</c:v>
                </c:pt>
                <c:pt idx="707">
                  <c:v>-2.9300000000001507</c:v>
                </c:pt>
                <c:pt idx="708">
                  <c:v>-2.9200000000001509</c:v>
                </c:pt>
                <c:pt idx="709">
                  <c:v>-2.9100000000001511</c:v>
                </c:pt>
                <c:pt idx="710">
                  <c:v>-2.9000000000001513</c:v>
                </c:pt>
                <c:pt idx="711">
                  <c:v>-2.8900000000001516</c:v>
                </c:pt>
                <c:pt idx="712">
                  <c:v>-2.8800000000001518</c:v>
                </c:pt>
                <c:pt idx="713">
                  <c:v>-2.870000000000152</c:v>
                </c:pt>
                <c:pt idx="714">
                  <c:v>-2.8600000000001522</c:v>
                </c:pt>
                <c:pt idx="715">
                  <c:v>-2.8500000000001524</c:v>
                </c:pt>
                <c:pt idx="716">
                  <c:v>-2.8400000000001526</c:v>
                </c:pt>
                <c:pt idx="717">
                  <c:v>-2.8300000000001528</c:v>
                </c:pt>
                <c:pt idx="718">
                  <c:v>-2.8200000000001531</c:v>
                </c:pt>
                <c:pt idx="719">
                  <c:v>-2.8100000000001533</c:v>
                </c:pt>
                <c:pt idx="720">
                  <c:v>-2.8000000000001535</c:v>
                </c:pt>
                <c:pt idx="721">
                  <c:v>-2.7900000000001537</c:v>
                </c:pt>
                <c:pt idx="722">
                  <c:v>-2.7800000000001539</c:v>
                </c:pt>
                <c:pt idx="723">
                  <c:v>-2.7700000000001541</c:v>
                </c:pt>
                <c:pt idx="724">
                  <c:v>-2.7600000000001543</c:v>
                </c:pt>
                <c:pt idx="725">
                  <c:v>-2.7500000000001545</c:v>
                </c:pt>
                <c:pt idx="726">
                  <c:v>-2.7400000000001548</c:v>
                </c:pt>
                <c:pt idx="727">
                  <c:v>-2.730000000000155</c:v>
                </c:pt>
                <c:pt idx="728">
                  <c:v>-2.7200000000001552</c:v>
                </c:pt>
                <c:pt idx="729">
                  <c:v>-2.7100000000001554</c:v>
                </c:pt>
                <c:pt idx="730">
                  <c:v>-2.7000000000001556</c:v>
                </c:pt>
                <c:pt idx="731">
                  <c:v>-2.6900000000001558</c:v>
                </c:pt>
                <c:pt idx="732">
                  <c:v>-2.680000000000156</c:v>
                </c:pt>
                <c:pt idx="733">
                  <c:v>-2.6700000000001562</c:v>
                </c:pt>
                <c:pt idx="734">
                  <c:v>-2.6600000000001565</c:v>
                </c:pt>
                <c:pt idx="735">
                  <c:v>-2.6500000000001567</c:v>
                </c:pt>
                <c:pt idx="736">
                  <c:v>-2.6400000000001569</c:v>
                </c:pt>
                <c:pt idx="737">
                  <c:v>-2.6300000000001571</c:v>
                </c:pt>
                <c:pt idx="738">
                  <c:v>-2.6200000000001573</c:v>
                </c:pt>
                <c:pt idx="739">
                  <c:v>-2.6100000000001575</c:v>
                </c:pt>
                <c:pt idx="740">
                  <c:v>-2.6000000000001577</c:v>
                </c:pt>
                <c:pt idx="741">
                  <c:v>-2.590000000000158</c:v>
                </c:pt>
                <c:pt idx="742">
                  <c:v>-2.5800000000001582</c:v>
                </c:pt>
                <c:pt idx="743">
                  <c:v>-2.5700000000001584</c:v>
                </c:pt>
                <c:pt idx="744">
                  <c:v>-2.5600000000001586</c:v>
                </c:pt>
                <c:pt idx="745">
                  <c:v>-2.5500000000001588</c:v>
                </c:pt>
                <c:pt idx="746">
                  <c:v>-2.540000000000159</c:v>
                </c:pt>
                <c:pt idx="747">
                  <c:v>-2.5300000000001592</c:v>
                </c:pt>
                <c:pt idx="748">
                  <c:v>-2.5200000000001594</c:v>
                </c:pt>
                <c:pt idx="749">
                  <c:v>-2.5100000000001597</c:v>
                </c:pt>
                <c:pt idx="750">
                  <c:v>-2.5000000000001599</c:v>
                </c:pt>
                <c:pt idx="751">
                  <c:v>-2.4900000000001601</c:v>
                </c:pt>
                <c:pt idx="752">
                  <c:v>-2.4800000000001603</c:v>
                </c:pt>
                <c:pt idx="753">
                  <c:v>-2.4700000000001605</c:v>
                </c:pt>
                <c:pt idx="754">
                  <c:v>-2.4600000000001607</c:v>
                </c:pt>
                <c:pt idx="755">
                  <c:v>-2.4500000000001609</c:v>
                </c:pt>
                <c:pt idx="756">
                  <c:v>-2.4400000000001612</c:v>
                </c:pt>
                <c:pt idx="757">
                  <c:v>-2.4300000000001614</c:v>
                </c:pt>
                <c:pt idx="758">
                  <c:v>-2.4200000000001616</c:v>
                </c:pt>
                <c:pt idx="759">
                  <c:v>-2.4100000000001618</c:v>
                </c:pt>
                <c:pt idx="760">
                  <c:v>-2.400000000000162</c:v>
                </c:pt>
                <c:pt idx="761">
                  <c:v>-2.3900000000001622</c:v>
                </c:pt>
                <c:pt idx="762">
                  <c:v>-2.3800000000001624</c:v>
                </c:pt>
                <c:pt idx="763">
                  <c:v>-2.3700000000001626</c:v>
                </c:pt>
                <c:pt idx="764">
                  <c:v>-2.3600000000001629</c:v>
                </c:pt>
                <c:pt idx="765">
                  <c:v>-2.3500000000001631</c:v>
                </c:pt>
                <c:pt idx="766">
                  <c:v>-2.3400000000001633</c:v>
                </c:pt>
                <c:pt idx="767">
                  <c:v>-2.3300000000001635</c:v>
                </c:pt>
                <c:pt idx="768">
                  <c:v>-2.3200000000001637</c:v>
                </c:pt>
                <c:pt idx="769">
                  <c:v>-2.3100000000001639</c:v>
                </c:pt>
                <c:pt idx="770">
                  <c:v>-2.3000000000001641</c:v>
                </c:pt>
                <c:pt idx="771">
                  <c:v>-2.2900000000001643</c:v>
                </c:pt>
                <c:pt idx="772">
                  <c:v>-2.2800000000001646</c:v>
                </c:pt>
                <c:pt idx="773">
                  <c:v>-2.2700000000001648</c:v>
                </c:pt>
                <c:pt idx="774">
                  <c:v>-2.260000000000165</c:v>
                </c:pt>
                <c:pt idx="775">
                  <c:v>-2.2500000000001652</c:v>
                </c:pt>
                <c:pt idx="776">
                  <c:v>-2.2400000000001654</c:v>
                </c:pt>
                <c:pt idx="777">
                  <c:v>-2.2300000000001656</c:v>
                </c:pt>
                <c:pt idx="778">
                  <c:v>-2.2200000000001658</c:v>
                </c:pt>
                <c:pt idx="779">
                  <c:v>-2.2100000000001661</c:v>
                </c:pt>
                <c:pt idx="780">
                  <c:v>-2.2000000000001663</c:v>
                </c:pt>
                <c:pt idx="781">
                  <c:v>-2.1900000000001665</c:v>
                </c:pt>
                <c:pt idx="782">
                  <c:v>-2.1800000000001667</c:v>
                </c:pt>
                <c:pt idx="783">
                  <c:v>-2.1700000000001669</c:v>
                </c:pt>
                <c:pt idx="784">
                  <c:v>-2.1600000000001671</c:v>
                </c:pt>
                <c:pt idx="785">
                  <c:v>-2.1500000000001673</c:v>
                </c:pt>
                <c:pt idx="786">
                  <c:v>-2.1400000000001675</c:v>
                </c:pt>
                <c:pt idx="787">
                  <c:v>-2.1300000000001678</c:v>
                </c:pt>
                <c:pt idx="788">
                  <c:v>-2.120000000000168</c:v>
                </c:pt>
                <c:pt idx="789">
                  <c:v>-2.1100000000001682</c:v>
                </c:pt>
                <c:pt idx="790">
                  <c:v>-2.1000000000001684</c:v>
                </c:pt>
                <c:pt idx="791">
                  <c:v>-2.0900000000001686</c:v>
                </c:pt>
                <c:pt idx="792">
                  <c:v>-2.0800000000001688</c:v>
                </c:pt>
                <c:pt idx="793">
                  <c:v>-2.070000000000169</c:v>
                </c:pt>
                <c:pt idx="794">
                  <c:v>-2.0600000000001693</c:v>
                </c:pt>
                <c:pt idx="795">
                  <c:v>-2.0500000000001695</c:v>
                </c:pt>
                <c:pt idx="796">
                  <c:v>-2.0400000000001697</c:v>
                </c:pt>
                <c:pt idx="797">
                  <c:v>-2.0300000000001699</c:v>
                </c:pt>
                <c:pt idx="798">
                  <c:v>-2.0200000000001701</c:v>
                </c:pt>
                <c:pt idx="799">
                  <c:v>-2.0100000000001703</c:v>
                </c:pt>
                <c:pt idx="800">
                  <c:v>-2.0000000000001705</c:v>
                </c:pt>
                <c:pt idx="801">
                  <c:v>-1.9900000000001705</c:v>
                </c:pt>
                <c:pt idx="802">
                  <c:v>-1.9800000000001705</c:v>
                </c:pt>
                <c:pt idx="803">
                  <c:v>-1.9700000000001705</c:v>
                </c:pt>
                <c:pt idx="804">
                  <c:v>-1.9600000000001705</c:v>
                </c:pt>
                <c:pt idx="805">
                  <c:v>-1.9500000000001705</c:v>
                </c:pt>
                <c:pt idx="806">
                  <c:v>-1.9400000000001705</c:v>
                </c:pt>
                <c:pt idx="807">
                  <c:v>-1.9300000000001705</c:v>
                </c:pt>
                <c:pt idx="808">
                  <c:v>-1.9200000000001705</c:v>
                </c:pt>
                <c:pt idx="809">
                  <c:v>-1.9100000000001705</c:v>
                </c:pt>
                <c:pt idx="810">
                  <c:v>-1.9000000000001704</c:v>
                </c:pt>
                <c:pt idx="811">
                  <c:v>-1.8900000000001704</c:v>
                </c:pt>
                <c:pt idx="812">
                  <c:v>-1.8800000000001704</c:v>
                </c:pt>
                <c:pt idx="813">
                  <c:v>-1.8700000000001704</c:v>
                </c:pt>
                <c:pt idx="814">
                  <c:v>-1.8600000000001704</c:v>
                </c:pt>
                <c:pt idx="815">
                  <c:v>-1.8500000000001704</c:v>
                </c:pt>
                <c:pt idx="816">
                  <c:v>-1.8400000000001704</c:v>
                </c:pt>
                <c:pt idx="817">
                  <c:v>-1.8300000000001704</c:v>
                </c:pt>
                <c:pt idx="818">
                  <c:v>-1.8200000000001704</c:v>
                </c:pt>
                <c:pt idx="819">
                  <c:v>-1.8100000000001704</c:v>
                </c:pt>
                <c:pt idx="820">
                  <c:v>-1.8000000000001704</c:v>
                </c:pt>
                <c:pt idx="821">
                  <c:v>-1.7900000000001703</c:v>
                </c:pt>
                <c:pt idx="822">
                  <c:v>-1.7800000000001703</c:v>
                </c:pt>
                <c:pt idx="823">
                  <c:v>-1.7700000000001703</c:v>
                </c:pt>
                <c:pt idx="824">
                  <c:v>-1.7600000000001703</c:v>
                </c:pt>
                <c:pt idx="825">
                  <c:v>-1.7500000000001703</c:v>
                </c:pt>
                <c:pt idx="826">
                  <c:v>-1.7400000000001703</c:v>
                </c:pt>
                <c:pt idx="827">
                  <c:v>-1.7300000000001703</c:v>
                </c:pt>
                <c:pt idx="828">
                  <c:v>-1.7200000000001703</c:v>
                </c:pt>
                <c:pt idx="829">
                  <c:v>-1.7100000000001703</c:v>
                </c:pt>
                <c:pt idx="830">
                  <c:v>-1.7000000000001703</c:v>
                </c:pt>
                <c:pt idx="831">
                  <c:v>-1.6900000000001703</c:v>
                </c:pt>
                <c:pt idx="832">
                  <c:v>-1.6800000000001702</c:v>
                </c:pt>
                <c:pt idx="833">
                  <c:v>-1.6700000000001702</c:v>
                </c:pt>
                <c:pt idx="834">
                  <c:v>-1.6600000000001702</c:v>
                </c:pt>
                <c:pt idx="835">
                  <c:v>-1.6500000000001702</c:v>
                </c:pt>
                <c:pt idx="836">
                  <c:v>-1.6400000000001702</c:v>
                </c:pt>
                <c:pt idx="837">
                  <c:v>-1.6300000000001702</c:v>
                </c:pt>
                <c:pt idx="838">
                  <c:v>-1.6200000000001702</c:v>
                </c:pt>
                <c:pt idx="839">
                  <c:v>-1.6100000000001702</c:v>
                </c:pt>
                <c:pt idx="840">
                  <c:v>-1.6000000000001702</c:v>
                </c:pt>
                <c:pt idx="841">
                  <c:v>-1.5900000000001702</c:v>
                </c:pt>
                <c:pt idx="842">
                  <c:v>-1.5800000000001702</c:v>
                </c:pt>
                <c:pt idx="843">
                  <c:v>-1.5700000000001701</c:v>
                </c:pt>
                <c:pt idx="844">
                  <c:v>-1.5600000000001701</c:v>
                </c:pt>
                <c:pt idx="845">
                  <c:v>-1.5500000000001701</c:v>
                </c:pt>
                <c:pt idx="846">
                  <c:v>-1.5400000000001701</c:v>
                </c:pt>
                <c:pt idx="847">
                  <c:v>-1.5300000000001701</c:v>
                </c:pt>
                <c:pt idx="848">
                  <c:v>-1.5200000000001701</c:v>
                </c:pt>
                <c:pt idx="849">
                  <c:v>-1.5100000000001701</c:v>
                </c:pt>
                <c:pt idx="850">
                  <c:v>-1.5000000000001701</c:v>
                </c:pt>
                <c:pt idx="851">
                  <c:v>-1.4900000000001701</c:v>
                </c:pt>
                <c:pt idx="852">
                  <c:v>-1.4800000000001701</c:v>
                </c:pt>
                <c:pt idx="853">
                  <c:v>-1.4700000000001701</c:v>
                </c:pt>
                <c:pt idx="854">
                  <c:v>-1.4600000000001701</c:v>
                </c:pt>
                <c:pt idx="855">
                  <c:v>-1.45000000000017</c:v>
                </c:pt>
                <c:pt idx="856">
                  <c:v>-1.44000000000017</c:v>
                </c:pt>
                <c:pt idx="857">
                  <c:v>-1.43000000000017</c:v>
                </c:pt>
                <c:pt idx="858">
                  <c:v>-1.42000000000017</c:v>
                </c:pt>
                <c:pt idx="859">
                  <c:v>-1.41000000000017</c:v>
                </c:pt>
                <c:pt idx="860">
                  <c:v>-1.40000000000017</c:v>
                </c:pt>
                <c:pt idx="861">
                  <c:v>-1.39000000000017</c:v>
                </c:pt>
                <c:pt idx="862">
                  <c:v>-1.38000000000017</c:v>
                </c:pt>
                <c:pt idx="863">
                  <c:v>-1.37000000000017</c:v>
                </c:pt>
                <c:pt idx="864">
                  <c:v>-1.36000000000017</c:v>
                </c:pt>
                <c:pt idx="865">
                  <c:v>-1.35000000000017</c:v>
                </c:pt>
                <c:pt idx="866">
                  <c:v>-1.3400000000001699</c:v>
                </c:pt>
                <c:pt idx="867">
                  <c:v>-1.3300000000001699</c:v>
                </c:pt>
                <c:pt idx="868">
                  <c:v>-1.3200000000001699</c:v>
                </c:pt>
                <c:pt idx="869">
                  <c:v>-1.3100000000001699</c:v>
                </c:pt>
                <c:pt idx="870">
                  <c:v>-1.3000000000001699</c:v>
                </c:pt>
                <c:pt idx="871">
                  <c:v>-1.2900000000001699</c:v>
                </c:pt>
                <c:pt idx="872">
                  <c:v>-1.2800000000001699</c:v>
                </c:pt>
                <c:pt idx="873">
                  <c:v>-1.2700000000001699</c:v>
                </c:pt>
                <c:pt idx="874">
                  <c:v>-1.2600000000001699</c:v>
                </c:pt>
                <c:pt idx="875">
                  <c:v>-1.2500000000001699</c:v>
                </c:pt>
                <c:pt idx="876">
                  <c:v>-1.2400000000001699</c:v>
                </c:pt>
                <c:pt idx="877">
                  <c:v>-1.2300000000001698</c:v>
                </c:pt>
                <c:pt idx="878">
                  <c:v>-1.2200000000001698</c:v>
                </c:pt>
                <c:pt idx="879">
                  <c:v>-1.2100000000001698</c:v>
                </c:pt>
                <c:pt idx="880">
                  <c:v>-1.2000000000001698</c:v>
                </c:pt>
                <c:pt idx="881">
                  <c:v>-1.1900000000001698</c:v>
                </c:pt>
                <c:pt idx="882">
                  <c:v>-1.1800000000001698</c:v>
                </c:pt>
                <c:pt idx="883">
                  <c:v>-1.1700000000001698</c:v>
                </c:pt>
                <c:pt idx="884">
                  <c:v>-1.1600000000001698</c:v>
                </c:pt>
                <c:pt idx="885">
                  <c:v>-1.1500000000001698</c:v>
                </c:pt>
                <c:pt idx="886">
                  <c:v>-1.1400000000001698</c:v>
                </c:pt>
                <c:pt idx="887">
                  <c:v>-1.1300000000001698</c:v>
                </c:pt>
                <c:pt idx="888">
                  <c:v>-1.1200000000001697</c:v>
                </c:pt>
                <c:pt idx="889">
                  <c:v>-1.1100000000001697</c:v>
                </c:pt>
                <c:pt idx="890">
                  <c:v>-1.1000000000001697</c:v>
                </c:pt>
                <c:pt idx="891">
                  <c:v>-1.0900000000001697</c:v>
                </c:pt>
                <c:pt idx="892">
                  <c:v>-1.0800000000001697</c:v>
                </c:pt>
                <c:pt idx="893">
                  <c:v>-1.0700000000001697</c:v>
                </c:pt>
                <c:pt idx="894">
                  <c:v>-1.0600000000001697</c:v>
                </c:pt>
                <c:pt idx="895">
                  <c:v>-1.0500000000001697</c:v>
                </c:pt>
                <c:pt idx="896">
                  <c:v>-1.0400000000001697</c:v>
                </c:pt>
                <c:pt idx="897">
                  <c:v>-1.0300000000001697</c:v>
                </c:pt>
                <c:pt idx="898">
                  <c:v>-1.0200000000001697</c:v>
                </c:pt>
                <c:pt idx="899">
                  <c:v>-1.0100000000001697</c:v>
                </c:pt>
                <c:pt idx="900">
                  <c:v>-1.0000000000001696</c:v>
                </c:pt>
                <c:pt idx="901">
                  <c:v>-0.99000000000016963</c:v>
                </c:pt>
                <c:pt idx="902">
                  <c:v>-0.98000000000016962</c:v>
                </c:pt>
                <c:pt idx="903">
                  <c:v>-0.97000000000016962</c:v>
                </c:pt>
                <c:pt idx="904">
                  <c:v>-0.96000000000016961</c:v>
                </c:pt>
                <c:pt idx="905">
                  <c:v>-0.9500000000001696</c:v>
                </c:pt>
                <c:pt idx="906">
                  <c:v>-0.94000000000016959</c:v>
                </c:pt>
                <c:pt idx="907">
                  <c:v>-0.93000000000016958</c:v>
                </c:pt>
                <c:pt idx="908">
                  <c:v>-0.92000000000016957</c:v>
                </c:pt>
                <c:pt idx="909">
                  <c:v>-0.91000000000016956</c:v>
                </c:pt>
                <c:pt idx="910">
                  <c:v>-0.90000000000016955</c:v>
                </c:pt>
                <c:pt idx="911">
                  <c:v>-0.89000000000016954</c:v>
                </c:pt>
                <c:pt idx="912">
                  <c:v>-0.88000000000016954</c:v>
                </c:pt>
                <c:pt idx="913">
                  <c:v>-0.87000000000016953</c:v>
                </c:pt>
                <c:pt idx="914">
                  <c:v>-0.86000000000016952</c:v>
                </c:pt>
                <c:pt idx="915">
                  <c:v>-0.85000000000016951</c:v>
                </c:pt>
                <c:pt idx="916">
                  <c:v>-0.8400000000001695</c:v>
                </c:pt>
                <c:pt idx="917">
                  <c:v>-0.83000000000016949</c:v>
                </c:pt>
                <c:pt idx="918">
                  <c:v>-0.82000000000016948</c:v>
                </c:pt>
                <c:pt idx="919">
                  <c:v>-0.81000000000016947</c:v>
                </c:pt>
                <c:pt idx="920">
                  <c:v>-0.80000000000016946</c:v>
                </c:pt>
                <c:pt idx="921">
                  <c:v>-0.79000000000016946</c:v>
                </c:pt>
                <c:pt idx="922">
                  <c:v>-0.78000000000016945</c:v>
                </c:pt>
                <c:pt idx="923">
                  <c:v>-0.77000000000016944</c:v>
                </c:pt>
                <c:pt idx="924">
                  <c:v>-0.76000000000016943</c:v>
                </c:pt>
                <c:pt idx="925">
                  <c:v>-0.75000000000016942</c:v>
                </c:pt>
                <c:pt idx="926">
                  <c:v>-0.74000000000016941</c:v>
                </c:pt>
                <c:pt idx="927">
                  <c:v>-0.7300000000001694</c:v>
                </c:pt>
                <c:pt idx="928">
                  <c:v>-0.72000000000016939</c:v>
                </c:pt>
                <c:pt idx="929">
                  <c:v>-0.71000000000016938</c:v>
                </c:pt>
                <c:pt idx="930">
                  <c:v>-0.70000000000016938</c:v>
                </c:pt>
                <c:pt idx="931">
                  <c:v>-0.69000000000016937</c:v>
                </c:pt>
                <c:pt idx="932">
                  <c:v>-0.68000000000016936</c:v>
                </c:pt>
                <c:pt idx="933">
                  <c:v>-0.67000000000016935</c:v>
                </c:pt>
                <c:pt idx="934">
                  <c:v>-0.66000000000016934</c:v>
                </c:pt>
                <c:pt idx="935">
                  <c:v>-0.65000000000016933</c:v>
                </c:pt>
                <c:pt idx="936">
                  <c:v>-0.64000000000016932</c:v>
                </c:pt>
                <c:pt idx="937">
                  <c:v>-0.63000000000016931</c:v>
                </c:pt>
                <c:pt idx="938">
                  <c:v>-0.6200000000001693</c:v>
                </c:pt>
                <c:pt idx="939">
                  <c:v>-0.6100000000001693</c:v>
                </c:pt>
                <c:pt idx="940">
                  <c:v>-0.60000000000016929</c:v>
                </c:pt>
                <c:pt idx="941">
                  <c:v>-0.59000000000016928</c:v>
                </c:pt>
                <c:pt idx="942">
                  <c:v>-0.58000000000016927</c:v>
                </c:pt>
                <c:pt idx="943">
                  <c:v>-0.57000000000016926</c:v>
                </c:pt>
                <c:pt idx="944">
                  <c:v>-0.56000000000016925</c:v>
                </c:pt>
                <c:pt idx="945">
                  <c:v>-0.55000000000016924</c:v>
                </c:pt>
                <c:pt idx="946">
                  <c:v>-0.54000000000016923</c:v>
                </c:pt>
                <c:pt idx="947">
                  <c:v>-0.53000000000016922</c:v>
                </c:pt>
                <c:pt idx="948">
                  <c:v>-0.52000000000016922</c:v>
                </c:pt>
                <c:pt idx="949">
                  <c:v>-0.51000000000016921</c:v>
                </c:pt>
                <c:pt idx="950">
                  <c:v>-0.5000000000001692</c:v>
                </c:pt>
                <c:pt idx="951">
                  <c:v>-0.49000000000016919</c:v>
                </c:pt>
                <c:pt idx="952">
                  <c:v>-0.48000000000016918</c:v>
                </c:pt>
                <c:pt idx="953">
                  <c:v>-0.47000000000016917</c:v>
                </c:pt>
                <c:pt idx="954">
                  <c:v>-0.46000000000016916</c:v>
                </c:pt>
                <c:pt idx="955">
                  <c:v>-0.45000000000016915</c:v>
                </c:pt>
                <c:pt idx="956">
                  <c:v>-0.44000000000016914</c:v>
                </c:pt>
                <c:pt idx="957">
                  <c:v>-0.43000000000016914</c:v>
                </c:pt>
                <c:pt idx="958">
                  <c:v>-0.42000000000016913</c:v>
                </c:pt>
                <c:pt idx="959">
                  <c:v>-0.41000000000016912</c:v>
                </c:pt>
                <c:pt idx="960">
                  <c:v>-0.40000000000016911</c:v>
                </c:pt>
                <c:pt idx="961">
                  <c:v>-0.3900000000001691</c:v>
                </c:pt>
                <c:pt idx="962">
                  <c:v>-0.38000000000016909</c:v>
                </c:pt>
                <c:pt idx="963">
                  <c:v>-0.37000000000016908</c:v>
                </c:pt>
                <c:pt idx="964">
                  <c:v>-0.36000000000016907</c:v>
                </c:pt>
                <c:pt idx="965">
                  <c:v>-0.35000000000016906</c:v>
                </c:pt>
                <c:pt idx="966">
                  <c:v>-0.34000000000016906</c:v>
                </c:pt>
                <c:pt idx="967">
                  <c:v>-0.33000000000016905</c:v>
                </c:pt>
                <c:pt idx="968">
                  <c:v>-0.32000000000016904</c:v>
                </c:pt>
                <c:pt idx="969">
                  <c:v>-0.31000000000016903</c:v>
                </c:pt>
                <c:pt idx="970">
                  <c:v>-0.30000000000016902</c:v>
                </c:pt>
                <c:pt idx="971">
                  <c:v>-0.29000000000016901</c:v>
                </c:pt>
                <c:pt idx="972">
                  <c:v>-0.280000000000169</c:v>
                </c:pt>
                <c:pt idx="973">
                  <c:v>-0.27000000000016899</c:v>
                </c:pt>
                <c:pt idx="974">
                  <c:v>-0.26000000000016898</c:v>
                </c:pt>
                <c:pt idx="975">
                  <c:v>-0.25000000000016898</c:v>
                </c:pt>
                <c:pt idx="976">
                  <c:v>-0.24000000000016897</c:v>
                </c:pt>
                <c:pt idx="977">
                  <c:v>-0.23000000000016896</c:v>
                </c:pt>
                <c:pt idx="978">
                  <c:v>-0.22000000000016895</c:v>
                </c:pt>
                <c:pt idx="979">
                  <c:v>-0.21000000000016894</c:v>
                </c:pt>
                <c:pt idx="980">
                  <c:v>-0.20000000000016893</c:v>
                </c:pt>
                <c:pt idx="981">
                  <c:v>-0.19000000000016892</c:v>
                </c:pt>
                <c:pt idx="982">
                  <c:v>-0.18000000000016891</c:v>
                </c:pt>
                <c:pt idx="983">
                  <c:v>-0.1700000000001689</c:v>
                </c:pt>
                <c:pt idx="984">
                  <c:v>-0.1600000000001689</c:v>
                </c:pt>
                <c:pt idx="985">
                  <c:v>-0.15000000000016889</c:v>
                </c:pt>
                <c:pt idx="986">
                  <c:v>-0.14000000000016888</c:v>
                </c:pt>
                <c:pt idx="987">
                  <c:v>-0.13000000000016887</c:v>
                </c:pt>
                <c:pt idx="988">
                  <c:v>-0.12000000000016887</c:v>
                </c:pt>
                <c:pt idx="989">
                  <c:v>-0.11000000000016888</c:v>
                </c:pt>
                <c:pt idx="990">
                  <c:v>-0.10000000000016888</c:v>
                </c:pt>
                <c:pt idx="991">
                  <c:v>-9.0000000000168889E-2</c:v>
                </c:pt>
                <c:pt idx="992">
                  <c:v>-8.0000000000168894E-2</c:v>
                </c:pt>
                <c:pt idx="993">
                  <c:v>-7.0000000000168899E-2</c:v>
                </c:pt>
                <c:pt idx="994">
                  <c:v>-6.0000000000168897E-2</c:v>
                </c:pt>
                <c:pt idx="995">
                  <c:v>-5.0000000000168895E-2</c:v>
                </c:pt>
                <c:pt idx="996">
                  <c:v>-4.0000000000168894E-2</c:v>
                </c:pt>
                <c:pt idx="997">
                  <c:v>-3.0000000000168892E-2</c:v>
                </c:pt>
                <c:pt idx="998">
                  <c:v>-2.000000000016889E-2</c:v>
                </c:pt>
                <c:pt idx="999">
                  <c:v>-1.0000000000168889E-2</c:v>
                </c:pt>
                <c:pt idx="1000">
                  <c:v>-1.6888920817414999E-13</c:v>
                </c:pt>
                <c:pt idx="1001">
                  <c:v>9.999999999831111E-3</c:v>
                </c:pt>
                <c:pt idx="1002">
                  <c:v>1.9999999999831111E-2</c:v>
                </c:pt>
                <c:pt idx="1003">
                  <c:v>2.9999999999831113E-2</c:v>
                </c:pt>
                <c:pt idx="1004">
                  <c:v>3.9999999999831115E-2</c:v>
                </c:pt>
                <c:pt idx="1005">
                  <c:v>4.9999999999831117E-2</c:v>
                </c:pt>
                <c:pt idx="1006">
                  <c:v>5.9999999999831119E-2</c:v>
                </c:pt>
                <c:pt idx="1007">
                  <c:v>6.9999999999831114E-2</c:v>
                </c:pt>
                <c:pt idx="1008">
                  <c:v>7.9999999999831109E-2</c:v>
                </c:pt>
                <c:pt idx="1009">
                  <c:v>8.9999999999831104E-2</c:v>
                </c:pt>
                <c:pt idx="1010">
                  <c:v>9.9999999999831099E-2</c:v>
                </c:pt>
                <c:pt idx="1011">
                  <c:v>0.10999999999983109</c:v>
                </c:pt>
                <c:pt idx="1012">
                  <c:v>0.11999999999983109</c:v>
                </c:pt>
                <c:pt idx="1013">
                  <c:v>0.12999999999983108</c:v>
                </c:pt>
                <c:pt idx="1014">
                  <c:v>0.13999999999983109</c:v>
                </c:pt>
                <c:pt idx="1015">
                  <c:v>0.1499999999998311</c:v>
                </c:pt>
                <c:pt idx="1016">
                  <c:v>0.15999999999983111</c:v>
                </c:pt>
                <c:pt idx="1017">
                  <c:v>0.16999999999983112</c:v>
                </c:pt>
                <c:pt idx="1018">
                  <c:v>0.17999999999983113</c:v>
                </c:pt>
                <c:pt idx="1019">
                  <c:v>0.18999999999983114</c:v>
                </c:pt>
                <c:pt idx="1020">
                  <c:v>0.19999999999983115</c:v>
                </c:pt>
                <c:pt idx="1021">
                  <c:v>0.20999999999983116</c:v>
                </c:pt>
                <c:pt idx="1022">
                  <c:v>0.21999999999983116</c:v>
                </c:pt>
                <c:pt idx="1023">
                  <c:v>0.22999999999983117</c:v>
                </c:pt>
                <c:pt idx="1024">
                  <c:v>0.23999999999983118</c:v>
                </c:pt>
                <c:pt idx="1025">
                  <c:v>0.24999999999983119</c:v>
                </c:pt>
                <c:pt idx="1026">
                  <c:v>0.2599999999998312</c:v>
                </c:pt>
                <c:pt idx="1027">
                  <c:v>0.26999999999983121</c:v>
                </c:pt>
                <c:pt idx="1028">
                  <c:v>0.27999999999983122</c:v>
                </c:pt>
                <c:pt idx="1029">
                  <c:v>0.28999999999983123</c:v>
                </c:pt>
                <c:pt idx="1030">
                  <c:v>0.29999999999983123</c:v>
                </c:pt>
                <c:pt idx="1031">
                  <c:v>0.30999999999983124</c:v>
                </c:pt>
                <c:pt idx="1032">
                  <c:v>0.31999999999983125</c:v>
                </c:pt>
                <c:pt idx="1033">
                  <c:v>0.32999999999983126</c:v>
                </c:pt>
                <c:pt idx="1034">
                  <c:v>0.33999999999983127</c:v>
                </c:pt>
                <c:pt idx="1035">
                  <c:v>0.34999999999983128</c:v>
                </c:pt>
                <c:pt idx="1036">
                  <c:v>0.35999999999983129</c:v>
                </c:pt>
                <c:pt idx="1037">
                  <c:v>0.3699999999998313</c:v>
                </c:pt>
                <c:pt idx="1038">
                  <c:v>0.37999999999983131</c:v>
                </c:pt>
                <c:pt idx="1039">
                  <c:v>0.38999999999983131</c:v>
                </c:pt>
                <c:pt idx="1040">
                  <c:v>0.39999999999983132</c:v>
                </c:pt>
                <c:pt idx="1041">
                  <c:v>0.40999999999983133</c:v>
                </c:pt>
                <c:pt idx="1042">
                  <c:v>0.41999999999983134</c:v>
                </c:pt>
                <c:pt idx="1043">
                  <c:v>0.42999999999983135</c:v>
                </c:pt>
                <c:pt idx="1044">
                  <c:v>0.43999999999983136</c:v>
                </c:pt>
                <c:pt idx="1045">
                  <c:v>0.44999999999983137</c:v>
                </c:pt>
                <c:pt idx="1046">
                  <c:v>0.45999999999983138</c:v>
                </c:pt>
                <c:pt idx="1047">
                  <c:v>0.46999999999983139</c:v>
                </c:pt>
                <c:pt idx="1048">
                  <c:v>0.47999999999983139</c:v>
                </c:pt>
                <c:pt idx="1049">
                  <c:v>0.4899999999998314</c:v>
                </c:pt>
                <c:pt idx="1050">
                  <c:v>0.49999999999983141</c:v>
                </c:pt>
                <c:pt idx="1051">
                  <c:v>0.50999999999983137</c:v>
                </c:pt>
                <c:pt idx="1052">
                  <c:v>0.51999999999983137</c:v>
                </c:pt>
                <c:pt idx="1053">
                  <c:v>0.52999999999983138</c:v>
                </c:pt>
                <c:pt idx="1054">
                  <c:v>0.53999999999983139</c:v>
                </c:pt>
                <c:pt idx="1055">
                  <c:v>0.5499999999998314</c:v>
                </c:pt>
                <c:pt idx="1056">
                  <c:v>0.55999999999983141</c:v>
                </c:pt>
                <c:pt idx="1057">
                  <c:v>0.56999999999983142</c:v>
                </c:pt>
                <c:pt idx="1058">
                  <c:v>0.57999999999983143</c:v>
                </c:pt>
                <c:pt idx="1059">
                  <c:v>0.58999999999983144</c:v>
                </c:pt>
                <c:pt idx="1060">
                  <c:v>0.59999999999983145</c:v>
                </c:pt>
                <c:pt idx="1061">
                  <c:v>0.60999999999983145</c:v>
                </c:pt>
                <c:pt idx="1062">
                  <c:v>0.61999999999983146</c:v>
                </c:pt>
                <c:pt idx="1063">
                  <c:v>0.62999999999983147</c:v>
                </c:pt>
                <c:pt idx="1064">
                  <c:v>0.63999999999983148</c:v>
                </c:pt>
                <c:pt idx="1065">
                  <c:v>0.64999999999983149</c:v>
                </c:pt>
                <c:pt idx="1066">
                  <c:v>0.6599999999998315</c:v>
                </c:pt>
                <c:pt idx="1067">
                  <c:v>0.66999999999983151</c:v>
                </c:pt>
                <c:pt idx="1068">
                  <c:v>0.67999999999983152</c:v>
                </c:pt>
                <c:pt idx="1069">
                  <c:v>0.68999999999983153</c:v>
                </c:pt>
                <c:pt idx="1070">
                  <c:v>0.69999999999983153</c:v>
                </c:pt>
                <c:pt idx="1071">
                  <c:v>0.70999999999983154</c:v>
                </c:pt>
                <c:pt idx="1072">
                  <c:v>0.71999999999983155</c:v>
                </c:pt>
                <c:pt idx="1073">
                  <c:v>0.72999999999983156</c:v>
                </c:pt>
                <c:pt idx="1074">
                  <c:v>0.73999999999983157</c:v>
                </c:pt>
                <c:pt idx="1075">
                  <c:v>0.74999999999983158</c:v>
                </c:pt>
                <c:pt idx="1076">
                  <c:v>0.75999999999983159</c:v>
                </c:pt>
                <c:pt idx="1077">
                  <c:v>0.7699999999998316</c:v>
                </c:pt>
                <c:pt idx="1078">
                  <c:v>0.77999999999983161</c:v>
                </c:pt>
                <c:pt idx="1079">
                  <c:v>0.78999999999983161</c:v>
                </c:pt>
                <c:pt idx="1080">
                  <c:v>0.79999999999983162</c:v>
                </c:pt>
                <c:pt idx="1081">
                  <c:v>0.80999999999983163</c:v>
                </c:pt>
                <c:pt idx="1082">
                  <c:v>0.81999999999983164</c:v>
                </c:pt>
                <c:pt idx="1083">
                  <c:v>0.82999999999983165</c:v>
                </c:pt>
                <c:pt idx="1084">
                  <c:v>0.83999999999983166</c:v>
                </c:pt>
                <c:pt idx="1085">
                  <c:v>0.84999999999983167</c:v>
                </c:pt>
                <c:pt idx="1086">
                  <c:v>0.85999999999983168</c:v>
                </c:pt>
                <c:pt idx="1087">
                  <c:v>0.86999999999983169</c:v>
                </c:pt>
                <c:pt idx="1088">
                  <c:v>0.87999999999983169</c:v>
                </c:pt>
                <c:pt idx="1089">
                  <c:v>0.8899999999998317</c:v>
                </c:pt>
                <c:pt idx="1090">
                  <c:v>0.89999999999983171</c:v>
                </c:pt>
                <c:pt idx="1091">
                  <c:v>0.90999999999983172</c:v>
                </c:pt>
                <c:pt idx="1092">
                  <c:v>0.91999999999983173</c:v>
                </c:pt>
                <c:pt idx="1093">
                  <c:v>0.92999999999983174</c:v>
                </c:pt>
                <c:pt idx="1094">
                  <c:v>0.93999999999983175</c:v>
                </c:pt>
                <c:pt idx="1095">
                  <c:v>0.94999999999983176</c:v>
                </c:pt>
                <c:pt idx="1096">
                  <c:v>0.95999999999983177</c:v>
                </c:pt>
                <c:pt idx="1097">
                  <c:v>0.96999999999983177</c:v>
                </c:pt>
                <c:pt idx="1098">
                  <c:v>0.97999999999983178</c:v>
                </c:pt>
                <c:pt idx="1099">
                  <c:v>0.98999999999983179</c:v>
                </c:pt>
                <c:pt idx="1100">
                  <c:v>0.9999999999998318</c:v>
                </c:pt>
                <c:pt idx="1101">
                  <c:v>1.0099999999998317</c:v>
                </c:pt>
                <c:pt idx="1102">
                  <c:v>1.0199999999998317</c:v>
                </c:pt>
                <c:pt idx="1103">
                  <c:v>1.0299999999998317</c:v>
                </c:pt>
                <c:pt idx="1104">
                  <c:v>1.0399999999998317</c:v>
                </c:pt>
                <c:pt idx="1105">
                  <c:v>1.0499999999998317</c:v>
                </c:pt>
                <c:pt idx="1106">
                  <c:v>1.0599999999998317</c:v>
                </c:pt>
                <c:pt idx="1107">
                  <c:v>1.0699999999998318</c:v>
                </c:pt>
                <c:pt idx="1108">
                  <c:v>1.0799999999998318</c:v>
                </c:pt>
                <c:pt idx="1109">
                  <c:v>1.0899999999998318</c:v>
                </c:pt>
                <c:pt idx="1110">
                  <c:v>1.0999999999998318</c:v>
                </c:pt>
                <c:pt idx="1111">
                  <c:v>1.1099999999998318</c:v>
                </c:pt>
                <c:pt idx="1112">
                  <c:v>1.1199999999998318</c:v>
                </c:pt>
                <c:pt idx="1113">
                  <c:v>1.1299999999998318</c:v>
                </c:pt>
                <c:pt idx="1114">
                  <c:v>1.1399999999998318</c:v>
                </c:pt>
                <c:pt idx="1115">
                  <c:v>1.1499999999998318</c:v>
                </c:pt>
                <c:pt idx="1116">
                  <c:v>1.1599999999998318</c:v>
                </c:pt>
                <c:pt idx="1117">
                  <c:v>1.1699999999998318</c:v>
                </c:pt>
                <c:pt idx="1118">
                  <c:v>1.1799999999998319</c:v>
                </c:pt>
                <c:pt idx="1119">
                  <c:v>1.1899999999998319</c:v>
                </c:pt>
                <c:pt idx="1120">
                  <c:v>1.1999999999998319</c:v>
                </c:pt>
                <c:pt idx="1121">
                  <c:v>1.2099999999998319</c:v>
                </c:pt>
                <c:pt idx="1122">
                  <c:v>1.2199999999998319</c:v>
                </c:pt>
                <c:pt idx="1123">
                  <c:v>1.2299999999998319</c:v>
                </c:pt>
                <c:pt idx="1124">
                  <c:v>1.2399999999998319</c:v>
                </c:pt>
                <c:pt idx="1125">
                  <c:v>1.2499999999998319</c:v>
                </c:pt>
                <c:pt idx="1126">
                  <c:v>1.2599999999998319</c:v>
                </c:pt>
                <c:pt idx="1127">
                  <c:v>1.2699999999998319</c:v>
                </c:pt>
                <c:pt idx="1128">
                  <c:v>1.2799999999998319</c:v>
                </c:pt>
                <c:pt idx="1129">
                  <c:v>1.2899999999998319</c:v>
                </c:pt>
                <c:pt idx="1130">
                  <c:v>1.299999999999832</c:v>
                </c:pt>
                <c:pt idx="1131">
                  <c:v>1.309999999999832</c:v>
                </c:pt>
                <c:pt idx="1132">
                  <c:v>1.319999999999832</c:v>
                </c:pt>
                <c:pt idx="1133">
                  <c:v>1.329999999999832</c:v>
                </c:pt>
                <c:pt idx="1134">
                  <c:v>1.339999999999832</c:v>
                </c:pt>
                <c:pt idx="1135">
                  <c:v>1.349999999999832</c:v>
                </c:pt>
                <c:pt idx="1136">
                  <c:v>1.359999999999832</c:v>
                </c:pt>
                <c:pt idx="1137">
                  <c:v>1.369999999999832</c:v>
                </c:pt>
                <c:pt idx="1138">
                  <c:v>1.379999999999832</c:v>
                </c:pt>
                <c:pt idx="1139">
                  <c:v>1.389999999999832</c:v>
                </c:pt>
                <c:pt idx="1140">
                  <c:v>1.399999999999832</c:v>
                </c:pt>
                <c:pt idx="1141">
                  <c:v>1.4099999999998321</c:v>
                </c:pt>
                <c:pt idx="1142">
                  <c:v>1.4199999999998321</c:v>
                </c:pt>
                <c:pt idx="1143">
                  <c:v>1.4299999999998321</c:v>
                </c:pt>
                <c:pt idx="1144">
                  <c:v>1.4399999999998321</c:v>
                </c:pt>
                <c:pt idx="1145">
                  <c:v>1.4499999999998321</c:v>
                </c:pt>
                <c:pt idx="1146">
                  <c:v>1.4599999999998321</c:v>
                </c:pt>
                <c:pt idx="1147">
                  <c:v>1.4699999999998321</c:v>
                </c:pt>
                <c:pt idx="1148">
                  <c:v>1.4799999999998321</c:v>
                </c:pt>
                <c:pt idx="1149">
                  <c:v>1.4899999999998321</c:v>
                </c:pt>
                <c:pt idx="1150">
                  <c:v>1.4999999999998321</c:v>
                </c:pt>
                <c:pt idx="1151">
                  <c:v>1.5099999999998321</c:v>
                </c:pt>
                <c:pt idx="1152">
                  <c:v>1.5199999999998322</c:v>
                </c:pt>
                <c:pt idx="1153">
                  <c:v>1.5299999999998322</c:v>
                </c:pt>
                <c:pt idx="1154">
                  <c:v>1.5399999999998322</c:v>
                </c:pt>
                <c:pt idx="1155">
                  <c:v>1.5499999999998322</c:v>
                </c:pt>
                <c:pt idx="1156">
                  <c:v>1.5599999999998322</c:v>
                </c:pt>
                <c:pt idx="1157">
                  <c:v>1.5699999999998322</c:v>
                </c:pt>
                <c:pt idx="1158">
                  <c:v>1.5799999999998322</c:v>
                </c:pt>
                <c:pt idx="1159">
                  <c:v>1.5899999999998322</c:v>
                </c:pt>
                <c:pt idx="1160">
                  <c:v>1.5999999999998322</c:v>
                </c:pt>
                <c:pt idx="1161">
                  <c:v>1.6099999999998322</c:v>
                </c:pt>
                <c:pt idx="1162">
                  <c:v>1.6199999999998322</c:v>
                </c:pt>
                <c:pt idx="1163">
                  <c:v>1.6299999999998322</c:v>
                </c:pt>
                <c:pt idx="1164">
                  <c:v>1.6399999999998323</c:v>
                </c:pt>
                <c:pt idx="1165">
                  <c:v>1.6499999999998323</c:v>
                </c:pt>
                <c:pt idx="1166">
                  <c:v>1.6599999999998323</c:v>
                </c:pt>
                <c:pt idx="1167">
                  <c:v>1.6699999999998323</c:v>
                </c:pt>
                <c:pt idx="1168">
                  <c:v>1.6799999999998323</c:v>
                </c:pt>
                <c:pt idx="1169">
                  <c:v>1.6899999999998323</c:v>
                </c:pt>
                <c:pt idx="1170">
                  <c:v>1.6999999999998323</c:v>
                </c:pt>
                <c:pt idx="1171">
                  <c:v>1.7099999999998323</c:v>
                </c:pt>
                <c:pt idx="1172">
                  <c:v>1.7199999999998323</c:v>
                </c:pt>
                <c:pt idx="1173">
                  <c:v>1.7299999999998323</c:v>
                </c:pt>
                <c:pt idx="1174">
                  <c:v>1.7399999999998323</c:v>
                </c:pt>
                <c:pt idx="1175">
                  <c:v>1.7499999999998324</c:v>
                </c:pt>
                <c:pt idx="1176">
                  <c:v>1.7599999999998324</c:v>
                </c:pt>
                <c:pt idx="1177">
                  <c:v>1.7699999999998324</c:v>
                </c:pt>
                <c:pt idx="1178">
                  <c:v>1.7799999999998324</c:v>
                </c:pt>
                <c:pt idx="1179">
                  <c:v>1.7899999999998324</c:v>
                </c:pt>
                <c:pt idx="1180">
                  <c:v>1.7999999999998324</c:v>
                </c:pt>
                <c:pt idx="1181">
                  <c:v>1.8099999999998324</c:v>
                </c:pt>
                <c:pt idx="1182">
                  <c:v>1.8199999999998324</c:v>
                </c:pt>
                <c:pt idx="1183">
                  <c:v>1.8299999999998324</c:v>
                </c:pt>
                <c:pt idx="1184">
                  <c:v>1.8399999999998324</c:v>
                </c:pt>
                <c:pt idx="1185">
                  <c:v>1.8499999999998324</c:v>
                </c:pt>
                <c:pt idx="1186">
                  <c:v>1.8599999999998325</c:v>
                </c:pt>
                <c:pt idx="1187">
                  <c:v>1.8699999999998325</c:v>
                </c:pt>
                <c:pt idx="1188">
                  <c:v>1.8799999999998325</c:v>
                </c:pt>
                <c:pt idx="1189">
                  <c:v>1.8899999999998325</c:v>
                </c:pt>
                <c:pt idx="1190">
                  <c:v>1.8999999999998325</c:v>
                </c:pt>
                <c:pt idx="1191">
                  <c:v>1.9099999999998325</c:v>
                </c:pt>
                <c:pt idx="1192">
                  <c:v>1.9199999999998325</c:v>
                </c:pt>
                <c:pt idx="1193">
                  <c:v>1.9299999999998325</c:v>
                </c:pt>
                <c:pt idx="1194">
                  <c:v>1.9399999999998325</c:v>
                </c:pt>
                <c:pt idx="1195">
                  <c:v>1.9499999999998325</c:v>
                </c:pt>
                <c:pt idx="1196">
                  <c:v>1.9599999999998325</c:v>
                </c:pt>
                <c:pt idx="1197">
                  <c:v>1.9699999999998326</c:v>
                </c:pt>
                <c:pt idx="1198">
                  <c:v>1.9799999999998326</c:v>
                </c:pt>
                <c:pt idx="1199">
                  <c:v>1.9899999999998326</c:v>
                </c:pt>
                <c:pt idx="1200">
                  <c:v>1.9999999999998326</c:v>
                </c:pt>
                <c:pt idx="1201">
                  <c:v>2.0099999999998324</c:v>
                </c:pt>
                <c:pt idx="1202">
                  <c:v>2.0199999999998322</c:v>
                </c:pt>
                <c:pt idx="1203">
                  <c:v>2.0299999999998319</c:v>
                </c:pt>
                <c:pt idx="1204">
                  <c:v>2.0399999999998317</c:v>
                </c:pt>
                <c:pt idx="1205">
                  <c:v>2.0499999999998315</c:v>
                </c:pt>
                <c:pt idx="1206">
                  <c:v>2.0599999999998313</c:v>
                </c:pt>
                <c:pt idx="1207">
                  <c:v>2.0699999999998311</c:v>
                </c:pt>
                <c:pt idx="1208">
                  <c:v>2.0799999999998309</c:v>
                </c:pt>
                <c:pt idx="1209">
                  <c:v>2.0899999999998307</c:v>
                </c:pt>
                <c:pt idx="1210">
                  <c:v>2.0999999999998304</c:v>
                </c:pt>
                <c:pt idx="1211">
                  <c:v>2.1099999999998302</c:v>
                </c:pt>
                <c:pt idx="1212">
                  <c:v>2.11999999999983</c:v>
                </c:pt>
                <c:pt idx="1213">
                  <c:v>2.1299999999998298</c:v>
                </c:pt>
                <c:pt idx="1214">
                  <c:v>2.1399999999998296</c:v>
                </c:pt>
                <c:pt idx="1215">
                  <c:v>2.1499999999998294</c:v>
                </c:pt>
                <c:pt idx="1216">
                  <c:v>2.1599999999998292</c:v>
                </c:pt>
                <c:pt idx="1217">
                  <c:v>2.169999999999829</c:v>
                </c:pt>
                <c:pt idx="1218">
                  <c:v>2.1799999999998287</c:v>
                </c:pt>
                <c:pt idx="1219">
                  <c:v>2.1899999999998285</c:v>
                </c:pt>
                <c:pt idx="1220">
                  <c:v>2.1999999999998283</c:v>
                </c:pt>
                <c:pt idx="1221">
                  <c:v>2.2099999999998281</c:v>
                </c:pt>
                <c:pt idx="1222">
                  <c:v>2.2199999999998279</c:v>
                </c:pt>
                <c:pt idx="1223">
                  <c:v>2.2299999999998277</c:v>
                </c:pt>
                <c:pt idx="1224">
                  <c:v>2.2399999999998275</c:v>
                </c:pt>
                <c:pt idx="1225">
                  <c:v>2.2499999999998272</c:v>
                </c:pt>
                <c:pt idx="1226">
                  <c:v>2.259999999999827</c:v>
                </c:pt>
                <c:pt idx="1227">
                  <c:v>2.2699999999998268</c:v>
                </c:pt>
                <c:pt idx="1228">
                  <c:v>2.2799999999998266</c:v>
                </c:pt>
                <c:pt idx="1229">
                  <c:v>2.2899999999998264</c:v>
                </c:pt>
                <c:pt idx="1230">
                  <c:v>2.2999999999998262</c:v>
                </c:pt>
                <c:pt idx="1231">
                  <c:v>2.309999999999826</c:v>
                </c:pt>
                <c:pt idx="1232">
                  <c:v>2.3199999999998258</c:v>
                </c:pt>
                <c:pt idx="1233">
                  <c:v>2.3299999999998255</c:v>
                </c:pt>
                <c:pt idx="1234">
                  <c:v>2.3399999999998253</c:v>
                </c:pt>
                <c:pt idx="1235">
                  <c:v>2.3499999999998251</c:v>
                </c:pt>
                <c:pt idx="1236">
                  <c:v>2.3599999999998249</c:v>
                </c:pt>
                <c:pt idx="1237">
                  <c:v>2.3699999999998247</c:v>
                </c:pt>
                <c:pt idx="1238">
                  <c:v>2.3799999999998245</c:v>
                </c:pt>
                <c:pt idx="1239">
                  <c:v>2.3899999999998243</c:v>
                </c:pt>
                <c:pt idx="1240">
                  <c:v>2.3999999999998241</c:v>
                </c:pt>
                <c:pt idx="1241">
                  <c:v>2.4099999999998238</c:v>
                </c:pt>
                <c:pt idx="1242">
                  <c:v>2.4199999999998236</c:v>
                </c:pt>
                <c:pt idx="1243">
                  <c:v>2.4299999999998234</c:v>
                </c:pt>
                <c:pt idx="1244">
                  <c:v>2.4399999999998232</c:v>
                </c:pt>
                <c:pt idx="1245">
                  <c:v>2.449999999999823</c:v>
                </c:pt>
                <c:pt idx="1246">
                  <c:v>2.4599999999998228</c:v>
                </c:pt>
                <c:pt idx="1247">
                  <c:v>2.4699999999998226</c:v>
                </c:pt>
                <c:pt idx="1248">
                  <c:v>2.4799999999998223</c:v>
                </c:pt>
                <c:pt idx="1249">
                  <c:v>2.4899999999998221</c:v>
                </c:pt>
                <c:pt idx="1250">
                  <c:v>2.4999999999998219</c:v>
                </c:pt>
                <c:pt idx="1251">
                  <c:v>2.5099999999998217</c:v>
                </c:pt>
                <c:pt idx="1252">
                  <c:v>2.5199999999998215</c:v>
                </c:pt>
                <c:pt idx="1253">
                  <c:v>2.5299999999998213</c:v>
                </c:pt>
                <c:pt idx="1254">
                  <c:v>2.5399999999998211</c:v>
                </c:pt>
                <c:pt idx="1255">
                  <c:v>2.5499999999998209</c:v>
                </c:pt>
                <c:pt idx="1256">
                  <c:v>2.5599999999998206</c:v>
                </c:pt>
                <c:pt idx="1257">
                  <c:v>2.5699999999998204</c:v>
                </c:pt>
                <c:pt idx="1258">
                  <c:v>2.5799999999998202</c:v>
                </c:pt>
                <c:pt idx="1259">
                  <c:v>2.58999999999982</c:v>
                </c:pt>
                <c:pt idx="1260">
                  <c:v>2.5999999999998198</c:v>
                </c:pt>
                <c:pt idx="1261">
                  <c:v>2.6099999999998196</c:v>
                </c:pt>
                <c:pt idx="1262">
                  <c:v>2.6199999999998194</c:v>
                </c:pt>
                <c:pt idx="1263">
                  <c:v>2.6299999999998191</c:v>
                </c:pt>
                <c:pt idx="1264">
                  <c:v>2.6399999999998189</c:v>
                </c:pt>
                <c:pt idx="1265">
                  <c:v>2.6499999999998187</c:v>
                </c:pt>
                <c:pt idx="1266">
                  <c:v>2.6599999999998185</c:v>
                </c:pt>
                <c:pt idx="1267">
                  <c:v>2.6699999999998183</c:v>
                </c:pt>
                <c:pt idx="1268">
                  <c:v>2.6799999999998181</c:v>
                </c:pt>
                <c:pt idx="1269">
                  <c:v>2.6899999999998179</c:v>
                </c:pt>
                <c:pt idx="1270">
                  <c:v>2.6999999999998177</c:v>
                </c:pt>
                <c:pt idx="1271">
                  <c:v>2.7099999999998174</c:v>
                </c:pt>
                <c:pt idx="1272">
                  <c:v>2.7199999999998172</c:v>
                </c:pt>
                <c:pt idx="1273">
                  <c:v>2.729999999999817</c:v>
                </c:pt>
                <c:pt idx="1274">
                  <c:v>2.7399999999998168</c:v>
                </c:pt>
                <c:pt idx="1275">
                  <c:v>2.7499999999998166</c:v>
                </c:pt>
                <c:pt idx="1276">
                  <c:v>2.7599999999998164</c:v>
                </c:pt>
                <c:pt idx="1277">
                  <c:v>2.7699999999998162</c:v>
                </c:pt>
                <c:pt idx="1278">
                  <c:v>2.779999999999816</c:v>
                </c:pt>
                <c:pt idx="1279">
                  <c:v>2.7899999999998157</c:v>
                </c:pt>
                <c:pt idx="1280">
                  <c:v>2.7999999999998155</c:v>
                </c:pt>
                <c:pt idx="1281">
                  <c:v>2.8099999999998153</c:v>
                </c:pt>
                <c:pt idx="1282">
                  <c:v>2.8199999999998151</c:v>
                </c:pt>
                <c:pt idx="1283">
                  <c:v>2.8299999999998149</c:v>
                </c:pt>
                <c:pt idx="1284">
                  <c:v>2.8399999999998147</c:v>
                </c:pt>
                <c:pt idx="1285">
                  <c:v>2.8499999999998145</c:v>
                </c:pt>
                <c:pt idx="1286">
                  <c:v>2.8599999999998142</c:v>
                </c:pt>
                <c:pt idx="1287">
                  <c:v>2.869999999999814</c:v>
                </c:pt>
                <c:pt idx="1288">
                  <c:v>2.8799999999998138</c:v>
                </c:pt>
                <c:pt idx="1289">
                  <c:v>2.8899999999998136</c:v>
                </c:pt>
                <c:pt idx="1290">
                  <c:v>2.8999999999998134</c:v>
                </c:pt>
                <c:pt idx="1291">
                  <c:v>2.9099999999998132</c:v>
                </c:pt>
                <c:pt idx="1292">
                  <c:v>2.919999999999813</c:v>
                </c:pt>
                <c:pt idx="1293">
                  <c:v>2.9299999999998128</c:v>
                </c:pt>
                <c:pt idx="1294">
                  <c:v>2.9399999999998125</c:v>
                </c:pt>
                <c:pt idx="1295">
                  <c:v>2.9499999999998123</c:v>
                </c:pt>
                <c:pt idx="1296">
                  <c:v>2.9599999999998121</c:v>
                </c:pt>
                <c:pt idx="1297">
                  <c:v>2.9699999999998119</c:v>
                </c:pt>
                <c:pt idx="1298">
                  <c:v>2.9799999999998117</c:v>
                </c:pt>
                <c:pt idx="1299">
                  <c:v>2.9899999999998115</c:v>
                </c:pt>
                <c:pt idx="1300">
                  <c:v>2.9999999999998113</c:v>
                </c:pt>
                <c:pt idx="1301">
                  <c:v>3.009999999999811</c:v>
                </c:pt>
                <c:pt idx="1302">
                  <c:v>3.0199999999998108</c:v>
                </c:pt>
                <c:pt idx="1303">
                  <c:v>3.0299999999998106</c:v>
                </c:pt>
                <c:pt idx="1304">
                  <c:v>3.0399999999998104</c:v>
                </c:pt>
                <c:pt idx="1305">
                  <c:v>3.0499999999998102</c:v>
                </c:pt>
                <c:pt idx="1306">
                  <c:v>3.05999999999981</c:v>
                </c:pt>
                <c:pt idx="1307">
                  <c:v>3.0699999999998098</c:v>
                </c:pt>
                <c:pt idx="1308">
                  <c:v>3.0799999999998096</c:v>
                </c:pt>
                <c:pt idx="1309">
                  <c:v>3.0899999999998093</c:v>
                </c:pt>
                <c:pt idx="1310">
                  <c:v>3.0999999999998091</c:v>
                </c:pt>
                <c:pt idx="1311">
                  <c:v>3.1099999999998089</c:v>
                </c:pt>
                <c:pt idx="1312">
                  <c:v>3.1199999999998087</c:v>
                </c:pt>
                <c:pt idx="1313">
                  <c:v>3.1299999999998085</c:v>
                </c:pt>
                <c:pt idx="1314">
                  <c:v>3.1399999999998083</c:v>
                </c:pt>
                <c:pt idx="1315">
                  <c:v>3.1499999999998081</c:v>
                </c:pt>
                <c:pt idx="1316">
                  <c:v>3.1599999999998079</c:v>
                </c:pt>
                <c:pt idx="1317">
                  <c:v>3.1699999999998076</c:v>
                </c:pt>
                <c:pt idx="1318">
                  <c:v>3.1799999999998074</c:v>
                </c:pt>
                <c:pt idx="1319">
                  <c:v>3.1899999999998072</c:v>
                </c:pt>
                <c:pt idx="1320">
                  <c:v>3.199999999999807</c:v>
                </c:pt>
                <c:pt idx="1321">
                  <c:v>3.2099999999998068</c:v>
                </c:pt>
                <c:pt idx="1322">
                  <c:v>3.2199999999998066</c:v>
                </c:pt>
                <c:pt idx="1323">
                  <c:v>3.2299999999998064</c:v>
                </c:pt>
                <c:pt idx="1324">
                  <c:v>3.2399999999998061</c:v>
                </c:pt>
                <c:pt idx="1325">
                  <c:v>3.2499999999998059</c:v>
                </c:pt>
                <c:pt idx="1326">
                  <c:v>3.2599999999998057</c:v>
                </c:pt>
                <c:pt idx="1327">
                  <c:v>3.2699999999998055</c:v>
                </c:pt>
                <c:pt idx="1328">
                  <c:v>3.2799999999998053</c:v>
                </c:pt>
                <c:pt idx="1329">
                  <c:v>3.2899999999998051</c:v>
                </c:pt>
                <c:pt idx="1330">
                  <c:v>3.2999999999998049</c:v>
                </c:pt>
                <c:pt idx="1331">
                  <c:v>3.3099999999998047</c:v>
                </c:pt>
                <c:pt idx="1332">
                  <c:v>3.3199999999998044</c:v>
                </c:pt>
                <c:pt idx="1333">
                  <c:v>3.3299999999998042</c:v>
                </c:pt>
                <c:pt idx="1334">
                  <c:v>3.339999999999804</c:v>
                </c:pt>
                <c:pt idx="1335">
                  <c:v>3.3499999999998038</c:v>
                </c:pt>
                <c:pt idx="1336">
                  <c:v>3.3599999999998036</c:v>
                </c:pt>
                <c:pt idx="1337">
                  <c:v>3.3699999999998034</c:v>
                </c:pt>
                <c:pt idx="1338">
                  <c:v>3.3799999999998032</c:v>
                </c:pt>
                <c:pt idx="1339">
                  <c:v>3.3899999999998029</c:v>
                </c:pt>
                <c:pt idx="1340">
                  <c:v>3.3999999999998027</c:v>
                </c:pt>
                <c:pt idx="1341">
                  <c:v>3.4099999999998025</c:v>
                </c:pt>
                <c:pt idx="1342">
                  <c:v>3.4199999999998023</c:v>
                </c:pt>
                <c:pt idx="1343">
                  <c:v>3.4299999999998021</c:v>
                </c:pt>
                <c:pt idx="1344">
                  <c:v>3.4399999999998019</c:v>
                </c:pt>
                <c:pt idx="1345">
                  <c:v>3.4499999999998017</c:v>
                </c:pt>
                <c:pt idx="1346">
                  <c:v>3.4599999999998015</c:v>
                </c:pt>
                <c:pt idx="1347">
                  <c:v>3.4699999999998012</c:v>
                </c:pt>
                <c:pt idx="1348">
                  <c:v>3.479999999999801</c:v>
                </c:pt>
                <c:pt idx="1349">
                  <c:v>3.4899999999998008</c:v>
                </c:pt>
                <c:pt idx="1350">
                  <c:v>3.4999999999998006</c:v>
                </c:pt>
                <c:pt idx="1351">
                  <c:v>3.5099999999998004</c:v>
                </c:pt>
                <c:pt idx="1352">
                  <c:v>3.5199999999998002</c:v>
                </c:pt>
                <c:pt idx="1353">
                  <c:v>3.5299999999998</c:v>
                </c:pt>
                <c:pt idx="1354">
                  <c:v>3.5399999999997998</c:v>
                </c:pt>
                <c:pt idx="1355">
                  <c:v>3.5499999999997995</c:v>
                </c:pt>
                <c:pt idx="1356">
                  <c:v>3.5599999999997993</c:v>
                </c:pt>
                <c:pt idx="1357">
                  <c:v>3.5699999999997991</c:v>
                </c:pt>
                <c:pt idx="1358">
                  <c:v>3.5799999999997989</c:v>
                </c:pt>
                <c:pt idx="1359">
                  <c:v>3.5899999999997987</c:v>
                </c:pt>
                <c:pt idx="1360">
                  <c:v>3.5999999999997985</c:v>
                </c:pt>
                <c:pt idx="1361">
                  <c:v>3.6099999999997983</c:v>
                </c:pt>
                <c:pt idx="1362">
                  <c:v>3.619999999999798</c:v>
                </c:pt>
                <c:pt idx="1363">
                  <c:v>3.6299999999997978</c:v>
                </c:pt>
                <c:pt idx="1364">
                  <c:v>3.6399999999997976</c:v>
                </c:pt>
                <c:pt idx="1365">
                  <c:v>3.6499999999997974</c:v>
                </c:pt>
                <c:pt idx="1366">
                  <c:v>3.6599999999997972</c:v>
                </c:pt>
                <c:pt idx="1367">
                  <c:v>3.669999999999797</c:v>
                </c:pt>
                <c:pt idx="1368">
                  <c:v>3.6799999999997968</c:v>
                </c:pt>
                <c:pt idx="1369">
                  <c:v>3.6899999999997966</c:v>
                </c:pt>
                <c:pt idx="1370">
                  <c:v>3.6999999999997963</c:v>
                </c:pt>
                <c:pt idx="1371">
                  <c:v>3.7099999999997961</c:v>
                </c:pt>
                <c:pt idx="1372">
                  <c:v>3.7199999999997959</c:v>
                </c:pt>
                <c:pt idx="1373">
                  <c:v>3.7299999999997957</c:v>
                </c:pt>
                <c:pt idx="1374">
                  <c:v>3.7399999999997955</c:v>
                </c:pt>
                <c:pt idx="1375">
                  <c:v>3.7499999999997953</c:v>
                </c:pt>
                <c:pt idx="1376">
                  <c:v>3.7599999999997951</c:v>
                </c:pt>
                <c:pt idx="1377">
                  <c:v>3.7699999999997948</c:v>
                </c:pt>
                <c:pt idx="1378">
                  <c:v>3.7799999999997946</c:v>
                </c:pt>
                <c:pt idx="1379">
                  <c:v>3.7899999999997944</c:v>
                </c:pt>
                <c:pt idx="1380">
                  <c:v>3.7999999999997942</c:v>
                </c:pt>
                <c:pt idx="1381">
                  <c:v>3.809999999999794</c:v>
                </c:pt>
                <c:pt idx="1382">
                  <c:v>3.8199999999997938</c:v>
                </c:pt>
                <c:pt idx="1383">
                  <c:v>3.8299999999997936</c:v>
                </c:pt>
                <c:pt idx="1384">
                  <c:v>3.8399999999997934</c:v>
                </c:pt>
                <c:pt idx="1385">
                  <c:v>3.8499999999997931</c:v>
                </c:pt>
                <c:pt idx="1386">
                  <c:v>3.8599999999997929</c:v>
                </c:pt>
                <c:pt idx="1387">
                  <c:v>3.8699999999997927</c:v>
                </c:pt>
                <c:pt idx="1388">
                  <c:v>3.8799999999997925</c:v>
                </c:pt>
                <c:pt idx="1389">
                  <c:v>3.8899999999997923</c:v>
                </c:pt>
                <c:pt idx="1390">
                  <c:v>3.8999999999997921</c:v>
                </c:pt>
                <c:pt idx="1391">
                  <c:v>3.9099999999997919</c:v>
                </c:pt>
                <c:pt idx="1392">
                  <c:v>3.9199999999997917</c:v>
                </c:pt>
                <c:pt idx="1393">
                  <c:v>3.9299999999997914</c:v>
                </c:pt>
                <c:pt idx="1394">
                  <c:v>3.9399999999997912</c:v>
                </c:pt>
                <c:pt idx="1395">
                  <c:v>3.949999999999791</c:v>
                </c:pt>
                <c:pt idx="1396">
                  <c:v>3.9599999999997908</c:v>
                </c:pt>
                <c:pt idx="1397">
                  <c:v>3.9699999999997906</c:v>
                </c:pt>
                <c:pt idx="1398">
                  <c:v>3.9799999999997904</c:v>
                </c:pt>
                <c:pt idx="1399">
                  <c:v>3.9899999999997902</c:v>
                </c:pt>
                <c:pt idx="1400">
                  <c:v>3.9999999999997899</c:v>
                </c:pt>
                <c:pt idx="1401">
                  <c:v>4.0099999999997902</c:v>
                </c:pt>
                <c:pt idx="1402">
                  <c:v>4.01999999999979</c:v>
                </c:pt>
                <c:pt idx="1403">
                  <c:v>4.0299999999997898</c:v>
                </c:pt>
                <c:pt idx="1404">
                  <c:v>4.0399999999997895</c:v>
                </c:pt>
                <c:pt idx="1405">
                  <c:v>4.0499999999997893</c:v>
                </c:pt>
                <c:pt idx="1406">
                  <c:v>4.0599999999997891</c:v>
                </c:pt>
                <c:pt idx="1407">
                  <c:v>4.0699999999997889</c:v>
                </c:pt>
                <c:pt idx="1408">
                  <c:v>4.0799999999997887</c:v>
                </c:pt>
                <c:pt idx="1409">
                  <c:v>4.0899999999997885</c:v>
                </c:pt>
                <c:pt idx="1410">
                  <c:v>4.0999999999997883</c:v>
                </c:pt>
                <c:pt idx="1411">
                  <c:v>4.109999999999788</c:v>
                </c:pt>
                <c:pt idx="1412">
                  <c:v>4.1199999999997878</c:v>
                </c:pt>
                <c:pt idx="1413">
                  <c:v>4.1299999999997876</c:v>
                </c:pt>
                <c:pt idx="1414">
                  <c:v>4.1399999999997874</c:v>
                </c:pt>
                <c:pt idx="1415">
                  <c:v>4.1499999999997872</c:v>
                </c:pt>
                <c:pt idx="1416">
                  <c:v>4.159999999999787</c:v>
                </c:pt>
                <c:pt idx="1417">
                  <c:v>4.1699999999997868</c:v>
                </c:pt>
                <c:pt idx="1418">
                  <c:v>4.1799999999997866</c:v>
                </c:pt>
                <c:pt idx="1419">
                  <c:v>4.1899999999997863</c:v>
                </c:pt>
                <c:pt idx="1420">
                  <c:v>4.1999999999997861</c:v>
                </c:pt>
                <c:pt idx="1421">
                  <c:v>4.2099999999997859</c:v>
                </c:pt>
                <c:pt idx="1422">
                  <c:v>4.2199999999997857</c:v>
                </c:pt>
                <c:pt idx="1423">
                  <c:v>4.2299999999997855</c:v>
                </c:pt>
                <c:pt idx="1424">
                  <c:v>4.2399999999997853</c:v>
                </c:pt>
                <c:pt idx="1425">
                  <c:v>4.2499999999997851</c:v>
                </c:pt>
                <c:pt idx="1426">
                  <c:v>4.2599999999997848</c:v>
                </c:pt>
                <c:pt idx="1427">
                  <c:v>4.2699999999997846</c:v>
                </c:pt>
                <c:pt idx="1428">
                  <c:v>4.2799999999997844</c:v>
                </c:pt>
                <c:pt idx="1429">
                  <c:v>4.2899999999997842</c:v>
                </c:pt>
                <c:pt idx="1430">
                  <c:v>4.299999999999784</c:v>
                </c:pt>
                <c:pt idx="1431">
                  <c:v>4.3099999999997838</c:v>
                </c:pt>
                <c:pt idx="1432">
                  <c:v>4.3199999999997836</c:v>
                </c:pt>
                <c:pt idx="1433">
                  <c:v>4.3299999999997834</c:v>
                </c:pt>
                <c:pt idx="1434">
                  <c:v>4.3399999999997831</c:v>
                </c:pt>
                <c:pt idx="1435">
                  <c:v>4.3499999999997829</c:v>
                </c:pt>
                <c:pt idx="1436">
                  <c:v>4.3599999999997827</c:v>
                </c:pt>
                <c:pt idx="1437">
                  <c:v>4.3699999999997825</c:v>
                </c:pt>
                <c:pt idx="1438">
                  <c:v>4.3799999999997823</c:v>
                </c:pt>
                <c:pt idx="1439">
                  <c:v>4.3899999999997821</c:v>
                </c:pt>
                <c:pt idx="1440">
                  <c:v>4.3999999999997819</c:v>
                </c:pt>
                <c:pt idx="1441">
                  <c:v>4.4099999999997817</c:v>
                </c:pt>
                <c:pt idx="1442">
                  <c:v>4.4199999999997814</c:v>
                </c:pt>
                <c:pt idx="1443">
                  <c:v>4.4299999999997812</c:v>
                </c:pt>
                <c:pt idx="1444">
                  <c:v>4.439999999999781</c:v>
                </c:pt>
                <c:pt idx="1445">
                  <c:v>4.4499999999997808</c:v>
                </c:pt>
                <c:pt idx="1446">
                  <c:v>4.4599999999997806</c:v>
                </c:pt>
                <c:pt idx="1447">
                  <c:v>4.4699999999997804</c:v>
                </c:pt>
                <c:pt idx="1448">
                  <c:v>4.4799999999997802</c:v>
                </c:pt>
                <c:pt idx="1449">
                  <c:v>4.4899999999997799</c:v>
                </c:pt>
                <c:pt idx="1450">
                  <c:v>4.4999999999997797</c:v>
                </c:pt>
                <c:pt idx="1451">
                  <c:v>4.5099999999997795</c:v>
                </c:pt>
                <c:pt idx="1452">
                  <c:v>4.5199999999997793</c:v>
                </c:pt>
                <c:pt idx="1453">
                  <c:v>4.5299999999997791</c:v>
                </c:pt>
                <c:pt idx="1454">
                  <c:v>4.5399999999997789</c:v>
                </c:pt>
                <c:pt idx="1455">
                  <c:v>4.5499999999997787</c:v>
                </c:pt>
                <c:pt idx="1456">
                  <c:v>4.5599999999997785</c:v>
                </c:pt>
                <c:pt idx="1457">
                  <c:v>4.5699999999997782</c:v>
                </c:pt>
                <c:pt idx="1458">
                  <c:v>4.579999999999778</c:v>
                </c:pt>
                <c:pt idx="1459">
                  <c:v>4.5899999999997778</c:v>
                </c:pt>
                <c:pt idx="1460">
                  <c:v>4.5999999999997776</c:v>
                </c:pt>
                <c:pt idx="1461">
                  <c:v>4.6099999999997774</c:v>
                </c:pt>
                <c:pt idx="1462">
                  <c:v>4.6199999999997772</c:v>
                </c:pt>
                <c:pt idx="1463">
                  <c:v>4.629999999999777</c:v>
                </c:pt>
                <c:pt idx="1464">
                  <c:v>4.6399999999997767</c:v>
                </c:pt>
                <c:pt idx="1465">
                  <c:v>4.6499999999997765</c:v>
                </c:pt>
                <c:pt idx="1466">
                  <c:v>4.6599999999997763</c:v>
                </c:pt>
                <c:pt idx="1467">
                  <c:v>4.6699999999997761</c:v>
                </c:pt>
                <c:pt idx="1468">
                  <c:v>4.6799999999997759</c:v>
                </c:pt>
                <c:pt idx="1469">
                  <c:v>4.6899999999997757</c:v>
                </c:pt>
                <c:pt idx="1470">
                  <c:v>4.6999999999997755</c:v>
                </c:pt>
                <c:pt idx="1471">
                  <c:v>4.7099999999997753</c:v>
                </c:pt>
                <c:pt idx="1472">
                  <c:v>4.719999999999775</c:v>
                </c:pt>
                <c:pt idx="1473">
                  <c:v>4.7299999999997748</c:v>
                </c:pt>
                <c:pt idx="1474">
                  <c:v>4.7399999999997746</c:v>
                </c:pt>
                <c:pt idx="1475">
                  <c:v>4.7499999999997744</c:v>
                </c:pt>
                <c:pt idx="1476">
                  <c:v>4.7599999999997742</c:v>
                </c:pt>
                <c:pt idx="1477">
                  <c:v>4.769999999999774</c:v>
                </c:pt>
                <c:pt idx="1478">
                  <c:v>4.7799999999997738</c:v>
                </c:pt>
                <c:pt idx="1479">
                  <c:v>4.7899999999997736</c:v>
                </c:pt>
                <c:pt idx="1480">
                  <c:v>4.7999999999997733</c:v>
                </c:pt>
                <c:pt idx="1481">
                  <c:v>4.8099999999997731</c:v>
                </c:pt>
                <c:pt idx="1482">
                  <c:v>4.8199999999997729</c:v>
                </c:pt>
                <c:pt idx="1483">
                  <c:v>4.8299999999997727</c:v>
                </c:pt>
                <c:pt idx="1484">
                  <c:v>4.8399999999997725</c:v>
                </c:pt>
                <c:pt idx="1485">
                  <c:v>4.8499999999997723</c:v>
                </c:pt>
                <c:pt idx="1486">
                  <c:v>4.8599999999997721</c:v>
                </c:pt>
                <c:pt idx="1487">
                  <c:v>4.8699999999997718</c:v>
                </c:pt>
                <c:pt idx="1488">
                  <c:v>4.8799999999997716</c:v>
                </c:pt>
                <c:pt idx="1489">
                  <c:v>4.8899999999997714</c:v>
                </c:pt>
                <c:pt idx="1490">
                  <c:v>4.8999999999997712</c:v>
                </c:pt>
                <c:pt idx="1491">
                  <c:v>4.909999999999771</c:v>
                </c:pt>
                <c:pt idx="1492">
                  <c:v>4.9199999999997708</c:v>
                </c:pt>
                <c:pt idx="1493">
                  <c:v>4.9299999999997706</c:v>
                </c:pt>
                <c:pt idx="1494">
                  <c:v>4.9399999999997704</c:v>
                </c:pt>
                <c:pt idx="1495">
                  <c:v>4.9499999999997701</c:v>
                </c:pt>
                <c:pt idx="1496">
                  <c:v>4.9599999999997699</c:v>
                </c:pt>
                <c:pt idx="1497">
                  <c:v>4.9699999999997697</c:v>
                </c:pt>
                <c:pt idx="1498">
                  <c:v>4.9799999999997695</c:v>
                </c:pt>
                <c:pt idx="1499">
                  <c:v>4.9899999999997693</c:v>
                </c:pt>
                <c:pt idx="1500">
                  <c:v>4.9999999999997691</c:v>
                </c:pt>
                <c:pt idx="1501">
                  <c:v>5.0099999999997689</c:v>
                </c:pt>
                <c:pt idx="1502">
                  <c:v>5.0199999999997686</c:v>
                </c:pt>
                <c:pt idx="1503">
                  <c:v>5.0299999999997684</c:v>
                </c:pt>
                <c:pt idx="1504">
                  <c:v>5.0399999999997682</c:v>
                </c:pt>
                <c:pt idx="1505">
                  <c:v>5.049999999999768</c:v>
                </c:pt>
                <c:pt idx="1506">
                  <c:v>5.0599999999997678</c:v>
                </c:pt>
                <c:pt idx="1507">
                  <c:v>5.0699999999997676</c:v>
                </c:pt>
                <c:pt idx="1508">
                  <c:v>5.0799999999997674</c:v>
                </c:pt>
                <c:pt idx="1509">
                  <c:v>5.0899999999997672</c:v>
                </c:pt>
                <c:pt idx="1510">
                  <c:v>5.0999999999997669</c:v>
                </c:pt>
                <c:pt idx="1511">
                  <c:v>5.1099999999997667</c:v>
                </c:pt>
                <c:pt idx="1512">
                  <c:v>5.1199999999997665</c:v>
                </c:pt>
                <c:pt idx="1513">
                  <c:v>5.1299999999997663</c:v>
                </c:pt>
                <c:pt idx="1514">
                  <c:v>5.1399999999997661</c:v>
                </c:pt>
                <c:pt idx="1515">
                  <c:v>5.1499999999997659</c:v>
                </c:pt>
                <c:pt idx="1516">
                  <c:v>5.1599999999997657</c:v>
                </c:pt>
                <c:pt idx="1517">
                  <c:v>5.1699999999997654</c:v>
                </c:pt>
                <c:pt idx="1518">
                  <c:v>5.1799999999997652</c:v>
                </c:pt>
                <c:pt idx="1519">
                  <c:v>5.189999999999765</c:v>
                </c:pt>
                <c:pt idx="1520">
                  <c:v>5.1999999999997648</c:v>
                </c:pt>
                <c:pt idx="1521">
                  <c:v>5.2099999999997646</c:v>
                </c:pt>
                <c:pt idx="1522">
                  <c:v>5.2199999999997644</c:v>
                </c:pt>
                <c:pt idx="1523">
                  <c:v>5.2299999999997642</c:v>
                </c:pt>
                <c:pt idx="1524">
                  <c:v>5.239999999999764</c:v>
                </c:pt>
                <c:pt idx="1525">
                  <c:v>5.2499999999997637</c:v>
                </c:pt>
                <c:pt idx="1526">
                  <c:v>5.2599999999997635</c:v>
                </c:pt>
                <c:pt idx="1527">
                  <c:v>5.2699999999997633</c:v>
                </c:pt>
                <c:pt idx="1528">
                  <c:v>5.2799999999997631</c:v>
                </c:pt>
                <c:pt idx="1529">
                  <c:v>5.2899999999997629</c:v>
                </c:pt>
                <c:pt idx="1530">
                  <c:v>5.2999999999997627</c:v>
                </c:pt>
                <c:pt idx="1531">
                  <c:v>5.3099999999997625</c:v>
                </c:pt>
                <c:pt idx="1532">
                  <c:v>5.3199999999997623</c:v>
                </c:pt>
                <c:pt idx="1533">
                  <c:v>5.329999999999762</c:v>
                </c:pt>
                <c:pt idx="1534">
                  <c:v>5.3399999999997618</c:v>
                </c:pt>
                <c:pt idx="1535">
                  <c:v>5.3499999999997616</c:v>
                </c:pt>
                <c:pt idx="1536">
                  <c:v>5.3599999999997614</c:v>
                </c:pt>
                <c:pt idx="1537">
                  <c:v>5.3699999999997612</c:v>
                </c:pt>
                <c:pt idx="1538">
                  <c:v>5.379999999999761</c:v>
                </c:pt>
                <c:pt idx="1539">
                  <c:v>5.3899999999997608</c:v>
                </c:pt>
                <c:pt idx="1540">
                  <c:v>5.3999999999997605</c:v>
                </c:pt>
                <c:pt idx="1541">
                  <c:v>5.4099999999997603</c:v>
                </c:pt>
                <c:pt idx="1542">
                  <c:v>5.4199999999997601</c:v>
                </c:pt>
                <c:pt idx="1543">
                  <c:v>5.4299999999997599</c:v>
                </c:pt>
                <c:pt idx="1544">
                  <c:v>5.4399999999997597</c:v>
                </c:pt>
                <c:pt idx="1545">
                  <c:v>5.4499999999997595</c:v>
                </c:pt>
                <c:pt idx="1546">
                  <c:v>5.4599999999997593</c:v>
                </c:pt>
                <c:pt idx="1547">
                  <c:v>5.4699999999997591</c:v>
                </c:pt>
                <c:pt idx="1548">
                  <c:v>5.4799999999997588</c:v>
                </c:pt>
                <c:pt idx="1549">
                  <c:v>5.4899999999997586</c:v>
                </c:pt>
                <c:pt idx="1550">
                  <c:v>5.4999999999997584</c:v>
                </c:pt>
                <c:pt idx="1551">
                  <c:v>5.5099999999997582</c:v>
                </c:pt>
                <c:pt idx="1552">
                  <c:v>5.519999999999758</c:v>
                </c:pt>
                <c:pt idx="1553">
                  <c:v>5.5299999999997578</c:v>
                </c:pt>
                <c:pt idx="1554">
                  <c:v>5.5399999999997576</c:v>
                </c:pt>
                <c:pt idx="1555">
                  <c:v>5.5499999999997573</c:v>
                </c:pt>
                <c:pt idx="1556">
                  <c:v>5.5599999999997571</c:v>
                </c:pt>
                <c:pt idx="1557">
                  <c:v>5.5699999999997569</c:v>
                </c:pt>
                <c:pt idx="1558">
                  <c:v>5.5799999999997567</c:v>
                </c:pt>
                <c:pt idx="1559">
                  <c:v>5.5899999999997565</c:v>
                </c:pt>
                <c:pt idx="1560">
                  <c:v>5.5999999999997563</c:v>
                </c:pt>
                <c:pt idx="1561">
                  <c:v>5.6099999999997561</c:v>
                </c:pt>
                <c:pt idx="1562">
                  <c:v>5.6199999999997559</c:v>
                </c:pt>
                <c:pt idx="1563">
                  <c:v>5.6299999999997556</c:v>
                </c:pt>
                <c:pt idx="1564">
                  <c:v>5.6399999999997554</c:v>
                </c:pt>
                <c:pt idx="1565">
                  <c:v>5.6499999999997552</c:v>
                </c:pt>
                <c:pt idx="1566">
                  <c:v>5.659999999999755</c:v>
                </c:pt>
                <c:pt idx="1567">
                  <c:v>5.6699999999997548</c:v>
                </c:pt>
                <c:pt idx="1568">
                  <c:v>5.6799999999997546</c:v>
                </c:pt>
                <c:pt idx="1569">
                  <c:v>5.6899999999997544</c:v>
                </c:pt>
                <c:pt idx="1570">
                  <c:v>5.6999999999997542</c:v>
                </c:pt>
                <c:pt idx="1571">
                  <c:v>5.7099999999997539</c:v>
                </c:pt>
                <c:pt idx="1572">
                  <c:v>5.7199999999997537</c:v>
                </c:pt>
                <c:pt idx="1573">
                  <c:v>5.7299999999997535</c:v>
                </c:pt>
                <c:pt idx="1574">
                  <c:v>5.7399999999997533</c:v>
                </c:pt>
                <c:pt idx="1575">
                  <c:v>5.7499999999997531</c:v>
                </c:pt>
                <c:pt idx="1576">
                  <c:v>5.7599999999997529</c:v>
                </c:pt>
                <c:pt idx="1577">
                  <c:v>5.7699999999997527</c:v>
                </c:pt>
                <c:pt idx="1578">
                  <c:v>5.7799999999997524</c:v>
                </c:pt>
                <c:pt idx="1579">
                  <c:v>5.7899999999997522</c:v>
                </c:pt>
                <c:pt idx="1580">
                  <c:v>5.799999999999752</c:v>
                </c:pt>
                <c:pt idx="1581">
                  <c:v>5.8099999999997518</c:v>
                </c:pt>
                <c:pt idx="1582">
                  <c:v>5.8199999999997516</c:v>
                </c:pt>
                <c:pt idx="1583">
                  <c:v>5.8299999999997514</c:v>
                </c:pt>
                <c:pt idx="1584">
                  <c:v>5.8399999999997512</c:v>
                </c:pt>
                <c:pt idx="1585">
                  <c:v>5.849999999999751</c:v>
                </c:pt>
                <c:pt idx="1586">
                  <c:v>5.8599999999997507</c:v>
                </c:pt>
                <c:pt idx="1587">
                  <c:v>5.8699999999997505</c:v>
                </c:pt>
                <c:pt idx="1588">
                  <c:v>5.8799999999997503</c:v>
                </c:pt>
                <c:pt idx="1589">
                  <c:v>5.8899999999997501</c:v>
                </c:pt>
                <c:pt idx="1590">
                  <c:v>5.8999999999997499</c:v>
                </c:pt>
                <c:pt idx="1591">
                  <c:v>5.9099999999997497</c:v>
                </c:pt>
                <c:pt idx="1592">
                  <c:v>5.9199999999997495</c:v>
                </c:pt>
                <c:pt idx="1593">
                  <c:v>5.9299999999997492</c:v>
                </c:pt>
                <c:pt idx="1594">
                  <c:v>5.939999999999749</c:v>
                </c:pt>
                <c:pt idx="1595">
                  <c:v>5.9499999999997488</c:v>
                </c:pt>
                <c:pt idx="1596">
                  <c:v>5.9599999999997486</c:v>
                </c:pt>
                <c:pt idx="1597">
                  <c:v>5.9699999999997484</c:v>
                </c:pt>
                <c:pt idx="1598">
                  <c:v>5.9799999999997482</c:v>
                </c:pt>
                <c:pt idx="1599">
                  <c:v>5.989999999999748</c:v>
                </c:pt>
                <c:pt idx="1600">
                  <c:v>5.9999999999997478</c:v>
                </c:pt>
                <c:pt idx="1601">
                  <c:v>6.0099999999997475</c:v>
                </c:pt>
                <c:pt idx="1602">
                  <c:v>6.0199999999997473</c:v>
                </c:pt>
                <c:pt idx="1603">
                  <c:v>6.0299999999997471</c:v>
                </c:pt>
                <c:pt idx="1604">
                  <c:v>6.0399999999997469</c:v>
                </c:pt>
                <c:pt idx="1605">
                  <c:v>6.0499999999997467</c:v>
                </c:pt>
                <c:pt idx="1606">
                  <c:v>6.0599999999997465</c:v>
                </c:pt>
                <c:pt idx="1607">
                  <c:v>6.0699999999997463</c:v>
                </c:pt>
                <c:pt idx="1608">
                  <c:v>6.0799999999997461</c:v>
                </c:pt>
                <c:pt idx="1609">
                  <c:v>6.0899999999997458</c:v>
                </c:pt>
                <c:pt idx="1610">
                  <c:v>6.0999999999997456</c:v>
                </c:pt>
                <c:pt idx="1611">
                  <c:v>6.1099999999997454</c:v>
                </c:pt>
                <c:pt idx="1612">
                  <c:v>6.1199999999997452</c:v>
                </c:pt>
                <c:pt idx="1613">
                  <c:v>6.129999999999745</c:v>
                </c:pt>
                <c:pt idx="1614">
                  <c:v>6.1399999999997448</c:v>
                </c:pt>
                <c:pt idx="1615">
                  <c:v>6.1499999999997446</c:v>
                </c:pt>
                <c:pt idx="1616">
                  <c:v>6.1599999999997443</c:v>
                </c:pt>
                <c:pt idx="1617">
                  <c:v>6.1699999999997441</c:v>
                </c:pt>
                <c:pt idx="1618">
                  <c:v>6.1799999999997439</c:v>
                </c:pt>
                <c:pt idx="1619">
                  <c:v>6.1899999999997437</c:v>
                </c:pt>
                <c:pt idx="1620">
                  <c:v>6.1999999999997435</c:v>
                </c:pt>
                <c:pt idx="1621">
                  <c:v>6.2099999999997433</c:v>
                </c:pt>
                <c:pt idx="1622">
                  <c:v>6.2199999999997431</c:v>
                </c:pt>
                <c:pt idx="1623">
                  <c:v>6.2299999999997429</c:v>
                </c:pt>
                <c:pt idx="1624">
                  <c:v>6.2399999999997426</c:v>
                </c:pt>
                <c:pt idx="1625">
                  <c:v>6.2499999999997424</c:v>
                </c:pt>
                <c:pt idx="1626">
                  <c:v>6.2599999999997422</c:v>
                </c:pt>
                <c:pt idx="1627">
                  <c:v>6.269999999999742</c:v>
                </c:pt>
                <c:pt idx="1628">
                  <c:v>6.2799999999997418</c:v>
                </c:pt>
                <c:pt idx="1629">
                  <c:v>6.2899999999997416</c:v>
                </c:pt>
                <c:pt idx="1630">
                  <c:v>6.2999999999997414</c:v>
                </c:pt>
                <c:pt idx="1631">
                  <c:v>6.3099999999997411</c:v>
                </c:pt>
                <c:pt idx="1632">
                  <c:v>6.3199999999997409</c:v>
                </c:pt>
                <c:pt idx="1633">
                  <c:v>6.3299999999997407</c:v>
                </c:pt>
                <c:pt idx="1634">
                  <c:v>6.3399999999997405</c:v>
                </c:pt>
                <c:pt idx="1635">
                  <c:v>6.3499999999997403</c:v>
                </c:pt>
                <c:pt idx="1636">
                  <c:v>6.3599999999997401</c:v>
                </c:pt>
                <c:pt idx="1637">
                  <c:v>6.3699999999997399</c:v>
                </c:pt>
                <c:pt idx="1638">
                  <c:v>6.3799999999997397</c:v>
                </c:pt>
                <c:pt idx="1639">
                  <c:v>6.3899999999997394</c:v>
                </c:pt>
                <c:pt idx="1640">
                  <c:v>6.3999999999997392</c:v>
                </c:pt>
                <c:pt idx="1641">
                  <c:v>6.409999999999739</c:v>
                </c:pt>
                <c:pt idx="1642">
                  <c:v>6.4199999999997388</c:v>
                </c:pt>
                <c:pt idx="1643">
                  <c:v>6.4299999999997386</c:v>
                </c:pt>
                <c:pt idx="1644">
                  <c:v>6.4399999999997384</c:v>
                </c:pt>
                <c:pt idx="1645">
                  <c:v>6.4499999999997382</c:v>
                </c:pt>
                <c:pt idx="1646">
                  <c:v>6.459999999999738</c:v>
                </c:pt>
                <c:pt idx="1647">
                  <c:v>6.4699999999997377</c:v>
                </c:pt>
                <c:pt idx="1648">
                  <c:v>6.4799999999997375</c:v>
                </c:pt>
                <c:pt idx="1649">
                  <c:v>6.4899999999997373</c:v>
                </c:pt>
                <c:pt idx="1650">
                  <c:v>6.4999999999997371</c:v>
                </c:pt>
                <c:pt idx="1651">
                  <c:v>6.5099999999997369</c:v>
                </c:pt>
                <c:pt idx="1652">
                  <c:v>6.5199999999997367</c:v>
                </c:pt>
                <c:pt idx="1653">
                  <c:v>6.5299999999997365</c:v>
                </c:pt>
                <c:pt idx="1654">
                  <c:v>6.5399999999997362</c:v>
                </c:pt>
                <c:pt idx="1655">
                  <c:v>6.549999999999736</c:v>
                </c:pt>
                <c:pt idx="1656">
                  <c:v>6.5599999999997358</c:v>
                </c:pt>
                <c:pt idx="1657">
                  <c:v>6.5699999999997356</c:v>
                </c:pt>
                <c:pt idx="1658">
                  <c:v>6.5799999999997354</c:v>
                </c:pt>
                <c:pt idx="1659">
                  <c:v>6.5899999999997352</c:v>
                </c:pt>
                <c:pt idx="1660">
                  <c:v>6.599999999999735</c:v>
                </c:pt>
                <c:pt idx="1661">
                  <c:v>6.6099999999997348</c:v>
                </c:pt>
                <c:pt idx="1662">
                  <c:v>6.6199999999997345</c:v>
                </c:pt>
                <c:pt idx="1663">
                  <c:v>6.6299999999997343</c:v>
                </c:pt>
                <c:pt idx="1664">
                  <c:v>6.6399999999997341</c:v>
                </c:pt>
                <c:pt idx="1665">
                  <c:v>6.6499999999997339</c:v>
                </c:pt>
                <c:pt idx="1666">
                  <c:v>6.6599999999997337</c:v>
                </c:pt>
                <c:pt idx="1667">
                  <c:v>6.6699999999997335</c:v>
                </c:pt>
                <c:pt idx="1668">
                  <c:v>6.6799999999997333</c:v>
                </c:pt>
                <c:pt idx="1669">
                  <c:v>6.689999999999733</c:v>
                </c:pt>
                <c:pt idx="1670">
                  <c:v>6.6999999999997328</c:v>
                </c:pt>
                <c:pt idx="1671">
                  <c:v>6.7099999999997326</c:v>
                </c:pt>
                <c:pt idx="1672">
                  <c:v>6.7199999999997324</c:v>
                </c:pt>
                <c:pt idx="1673">
                  <c:v>6.7299999999997322</c:v>
                </c:pt>
                <c:pt idx="1674">
                  <c:v>6.739999999999732</c:v>
                </c:pt>
                <c:pt idx="1675">
                  <c:v>6.7499999999997318</c:v>
                </c:pt>
                <c:pt idx="1676">
                  <c:v>6.7599999999997316</c:v>
                </c:pt>
                <c:pt idx="1677">
                  <c:v>6.7699999999997313</c:v>
                </c:pt>
                <c:pt idx="1678">
                  <c:v>6.7799999999997311</c:v>
                </c:pt>
                <c:pt idx="1679">
                  <c:v>6.7899999999997309</c:v>
                </c:pt>
                <c:pt idx="1680">
                  <c:v>6.7999999999997307</c:v>
                </c:pt>
                <c:pt idx="1681">
                  <c:v>6.8099999999997305</c:v>
                </c:pt>
                <c:pt idx="1682">
                  <c:v>6.8199999999997303</c:v>
                </c:pt>
                <c:pt idx="1683">
                  <c:v>6.8299999999997301</c:v>
                </c:pt>
                <c:pt idx="1684">
                  <c:v>6.8399999999997299</c:v>
                </c:pt>
                <c:pt idx="1685">
                  <c:v>6.8499999999997296</c:v>
                </c:pt>
                <c:pt idx="1686">
                  <c:v>6.8599999999997294</c:v>
                </c:pt>
                <c:pt idx="1687">
                  <c:v>6.8699999999997292</c:v>
                </c:pt>
                <c:pt idx="1688">
                  <c:v>6.879999999999729</c:v>
                </c:pt>
                <c:pt idx="1689">
                  <c:v>6.8899999999997288</c:v>
                </c:pt>
                <c:pt idx="1690">
                  <c:v>6.8999999999997286</c:v>
                </c:pt>
                <c:pt idx="1691">
                  <c:v>6.9099999999997284</c:v>
                </c:pt>
                <c:pt idx="1692">
                  <c:v>6.9199999999997281</c:v>
                </c:pt>
                <c:pt idx="1693">
                  <c:v>6.9299999999997279</c:v>
                </c:pt>
                <c:pt idx="1694">
                  <c:v>6.9399999999997277</c:v>
                </c:pt>
                <c:pt idx="1695">
                  <c:v>6.9499999999997275</c:v>
                </c:pt>
                <c:pt idx="1696">
                  <c:v>6.9599999999997273</c:v>
                </c:pt>
                <c:pt idx="1697">
                  <c:v>6.9699999999997271</c:v>
                </c:pt>
                <c:pt idx="1698">
                  <c:v>6.9799999999997269</c:v>
                </c:pt>
                <c:pt idx="1699">
                  <c:v>6.9899999999997267</c:v>
                </c:pt>
                <c:pt idx="1700">
                  <c:v>6.9999999999997264</c:v>
                </c:pt>
                <c:pt idx="1701">
                  <c:v>7.0099999999997262</c:v>
                </c:pt>
                <c:pt idx="1702">
                  <c:v>7.019999999999726</c:v>
                </c:pt>
                <c:pt idx="1703">
                  <c:v>7.0299999999997258</c:v>
                </c:pt>
                <c:pt idx="1704">
                  <c:v>7.0399999999997256</c:v>
                </c:pt>
                <c:pt idx="1705">
                  <c:v>7.0499999999997254</c:v>
                </c:pt>
                <c:pt idx="1706">
                  <c:v>7.0599999999997252</c:v>
                </c:pt>
                <c:pt idx="1707">
                  <c:v>7.0699999999997249</c:v>
                </c:pt>
                <c:pt idx="1708">
                  <c:v>7.0799999999997247</c:v>
                </c:pt>
                <c:pt idx="1709">
                  <c:v>7.0899999999997245</c:v>
                </c:pt>
                <c:pt idx="1710">
                  <c:v>7.0999999999997243</c:v>
                </c:pt>
                <c:pt idx="1711">
                  <c:v>7.1099999999997241</c:v>
                </c:pt>
                <c:pt idx="1712">
                  <c:v>7.1199999999997239</c:v>
                </c:pt>
                <c:pt idx="1713">
                  <c:v>7.1299999999997237</c:v>
                </c:pt>
                <c:pt idx="1714">
                  <c:v>7.1399999999997235</c:v>
                </c:pt>
                <c:pt idx="1715">
                  <c:v>7.1499999999997232</c:v>
                </c:pt>
                <c:pt idx="1716">
                  <c:v>7.159999999999723</c:v>
                </c:pt>
                <c:pt idx="1717">
                  <c:v>7.1699999999997228</c:v>
                </c:pt>
                <c:pt idx="1718">
                  <c:v>7.1799999999997226</c:v>
                </c:pt>
                <c:pt idx="1719">
                  <c:v>7.1899999999997224</c:v>
                </c:pt>
                <c:pt idx="1720">
                  <c:v>7.1999999999997222</c:v>
                </c:pt>
                <c:pt idx="1721">
                  <c:v>7.209999999999722</c:v>
                </c:pt>
                <c:pt idx="1722">
                  <c:v>7.2199999999997218</c:v>
                </c:pt>
                <c:pt idx="1723">
                  <c:v>7.2299999999997215</c:v>
                </c:pt>
                <c:pt idx="1724">
                  <c:v>7.2399999999997213</c:v>
                </c:pt>
                <c:pt idx="1725">
                  <c:v>7.2499999999997211</c:v>
                </c:pt>
                <c:pt idx="1726">
                  <c:v>7.2599999999997209</c:v>
                </c:pt>
                <c:pt idx="1727">
                  <c:v>7.2699999999997207</c:v>
                </c:pt>
                <c:pt idx="1728">
                  <c:v>7.2799999999997205</c:v>
                </c:pt>
                <c:pt idx="1729">
                  <c:v>7.2899999999997203</c:v>
                </c:pt>
                <c:pt idx="1730">
                  <c:v>7.29999999999972</c:v>
                </c:pt>
                <c:pt idx="1731">
                  <c:v>7.3099999999997198</c:v>
                </c:pt>
                <c:pt idx="1732">
                  <c:v>7.3199999999997196</c:v>
                </c:pt>
                <c:pt idx="1733">
                  <c:v>7.3299999999997194</c:v>
                </c:pt>
                <c:pt idx="1734">
                  <c:v>7.3399999999997192</c:v>
                </c:pt>
                <c:pt idx="1735">
                  <c:v>7.349999999999719</c:v>
                </c:pt>
                <c:pt idx="1736">
                  <c:v>7.3599999999997188</c:v>
                </c:pt>
                <c:pt idx="1737">
                  <c:v>7.3699999999997186</c:v>
                </c:pt>
                <c:pt idx="1738">
                  <c:v>7.3799999999997183</c:v>
                </c:pt>
                <c:pt idx="1739">
                  <c:v>7.3899999999997181</c:v>
                </c:pt>
                <c:pt idx="1740">
                  <c:v>7.3999999999997179</c:v>
                </c:pt>
                <c:pt idx="1741">
                  <c:v>7.4099999999997177</c:v>
                </c:pt>
                <c:pt idx="1742">
                  <c:v>7.4199999999997175</c:v>
                </c:pt>
                <c:pt idx="1743">
                  <c:v>7.4299999999997173</c:v>
                </c:pt>
                <c:pt idx="1744">
                  <c:v>7.4399999999997171</c:v>
                </c:pt>
                <c:pt idx="1745">
                  <c:v>7.4499999999997168</c:v>
                </c:pt>
                <c:pt idx="1746">
                  <c:v>7.4599999999997166</c:v>
                </c:pt>
                <c:pt idx="1747">
                  <c:v>7.4699999999997164</c:v>
                </c:pt>
                <c:pt idx="1748">
                  <c:v>7.4799999999997162</c:v>
                </c:pt>
                <c:pt idx="1749">
                  <c:v>7.489999999999716</c:v>
                </c:pt>
                <c:pt idx="1750">
                  <c:v>7.4999999999997158</c:v>
                </c:pt>
                <c:pt idx="1751">
                  <c:v>7.5099999999997156</c:v>
                </c:pt>
                <c:pt idx="1752">
                  <c:v>7.5199999999997154</c:v>
                </c:pt>
                <c:pt idx="1753">
                  <c:v>7.5299999999997151</c:v>
                </c:pt>
                <c:pt idx="1754">
                  <c:v>7.5399999999997149</c:v>
                </c:pt>
                <c:pt idx="1755">
                  <c:v>7.5499999999997147</c:v>
                </c:pt>
                <c:pt idx="1756">
                  <c:v>7.5599999999997145</c:v>
                </c:pt>
                <c:pt idx="1757">
                  <c:v>7.5699999999997143</c:v>
                </c:pt>
                <c:pt idx="1758">
                  <c:v>7.5799999999997141</c:v>
                </c:pt>
                <c:pt idx="1759">
                  <c:v>7.5899999999997139</c:v>
                </c:pt>
                <c:pt idx="1760">
                  <c:v>7.5999999999997137</c:v>
                </c:pt>
                <c:pt idx="1761">
                  <c:v>7.6099999999997134</c:v>
                </c:pt>
                <c:pt idx="1762">
                  <c:v>7.6199999999997132</c:v>
                </c:pt>
                <c:pt idx="1763">
                  <c:v>7.629999999999713</c:v>
                </c:pt>
                <c:pt idx="1764">
                  <c:v>7.6399999999997128</c:v>
                </c:pt>
                <c:pt idx="1765">
                  <c:v>7.6499999999997126</c:v>
                </c:pt>
                <c:pt idx="1766">
                  <c:v>7.6599999999997124</c:v>
                </c:pt>
                <c:pt idx="1767">
                  <c:v>7.6699999999997122</c:v>
                </c:pt>
                <c:pt idx="1768">
                  <c:v>7.6799999999997119</c:v>
                </c:pt>
                <c:pt idx="1769">
                  <c:v>7.6899999999997117</c:v>
                </c:pt>
                <c:pt idx="1770">
                  <c:v>7.6999999999997115</c:v>
                </c:pt>
                <c:pt idx="1771">
                  <c:v>7.7099999999997113</c:v>
                </c:pt>
                <c:pt idx="1772">
                  <c:v>7.7199999999997111</c:v>
                </c:pt>
                <c:pt idx="1773">
                  <c:v>7.7299999999997109</c:v>
                </c:pt>
                <c:pt idx="1774">
                  <c:v>7.7399999999997107</c:v>
                </c:pt>
                <c:pt idx="1775">
                  <c:v>7.7499999999997105</c:v>
                </c:pt>
                <c:pt idx="1776">
                  <c:v>7.7599999999997102</c:v>
                </c:pt>
                <c:pt idx="1777">
                  <c:v>7.76999999999971</c:v>
                </c:pt>
                <c:pt idx="1778">
                  <c:v>7.7799999999997098</c:v>
                </c:pt>
                <c:pt idx="1779">
                  <c:v>7.7899999999997096</c:v>
                </c:pt>
                <c:pt idx="1780">
                  <c:v>7.7999999999997094</c:v>
                </c:pt>
                <c:pt idx="1781">
                  <c:v>7.8099999999997092</c:v>
                </c:pt>
                <c:pt idx="1782">
                  <c:v>7.819999999999709</c:v>
                </c:pt>
                <c:pt idx="1783">
                  <c:v>7.8299999999997087</c:v>
                </c:pt>
                <c:pt idx="1784">
                  <c:v>7.8399999999997085</c:v>
                </c:pt>
                <c:pt idx="1785">
                  <c:v>7.8499999999997083</c:v>
                </c:pt>
                <c:pt idx="1786">
                  <c:v>7.8599999999997081</c:v>
                </c:pt>
                <c:pt idx="1787">
                  <c:v>7.8699999999997079</c:v>
                </c:pt>
                <c:pt idx="1788">
                  <c:v>7.8799999999997077</c:v>
                </c:pt>
                <c:pt idx="1789">
                  <c:v>7.8899999999997075</c:v>
                </c:pt>
                <c:pt idx="1790">
                  <c:v>7.8999999999997073</c:v>
                </c:pt>
                <c:pt idx="1791">
                  <c:v>7.909999999999707</c:v>
                </c:pt>
                <c:pt idx="1792">
                  <c:v>7.9199999999997068</c:v>
                </c:pt>
                <c:pt idx="1793">
                  <c:v>7.9299999999997066</c:v>
                </c:pt>
                <c:pt idx="1794">
                  <c:v>7.9399999999997064</c:v>
                </c:pt>
                <c:pt idx="1795">
                  <c:v>7.9499999999997062</c:v>
                </c:pt>
                <c:pt idx="1796">
                  <c:v>7.959999999999706</c:v>
                </c:pt>
                <c:pt idx="1797">
                  <c:v>7.9699999999997058</c:v>
                </c:pt>
                <c:pt idx="1798">
                  <c:v>7.9799999999997056</c:v>
                </c:pt>
                <c:pt idx="1799">
                  <c:v>7.9899999999997053</c:v>
                </c:pt>
                <c:pt idx="1800">
                  <c:v>7.9999999999997051</c:v>
                </c:pt>
                <c:pt idx="1801">
                  <c:v>8.0099999999997049</c:v>
                </c:pt>
                <c:pt idx="1802">
                  <c:v>8.0199999999997047</c:v>
                </c:pt>
                <c:pt idx="1803">
                  <c:v>8.0299999999997045</c:v>
                </c:pt>
                <c:pt idx="1804">
                  <c:v>8.0399999999997043</c:v>
                </c:pt>
                <c:pt idx="1805">
                  <c:v>8.0499999999997041</c:v>
                </c:pt>
                <c:pt idx="1806">
                  <c:v>8.0599999999997038</c:v>
                </c:pt>
                <c:pt idx="1807">
                  <c:v>8.0699999999997036</c:v>
                </c:pt>
                <c:pt idx="1808">
                  <c:v>8.0799999999997034</c:v>
                </c:pt>
                <c:pt idx="1809">
                  <c:v>8.0899999999997032</c:v>
                </c:pt>
                <c:pt idx="1810">
                  <c:v>8.099999999999703</c:v>
                </c:pt>
                <c:pt idx="1811">
                  <c:v>8.1099999999997028</c:v>
                </c:pt>
                <c:pt idx="1812">
                  <c:v>8.1199999999997026</c:v>
                </c:pt>
                <c:pt idx="1813">
                  <c:v>8.1299999999997024</c:v>
                </c:pt>
                <c:pt idx="1814">
                  <c:v>8.1399999999997021</c:v>
                </c:pt>
                <c:pt idx="1815">
                  <c:v>8.1499999999997019</c:v>
                </c:pt>
                <c:pt idx="1816">
                  <c:v>8.1599999999997017</c:v>
                </c:pt>
                <c:pt idx="1817">
                  <c:v>8.1699999999997015</c:v>
                </c:pt>
                <c:pt idx="1818">
                  <c:v>8.1799999999997013</c:v>
                </c:pt>
                <c:pt idx="1819">
                  <c:v>8.1899999999997011</c:v>
                </c:pt>
                <c:pt idx="1820">
                  <c:v>8.1999999999997009</c:v>
                </c:pt>
                <c:pt idx="1821">
                  <c:v>8.2099999999997006</c:v>
                </c:pt>
                <c:pt idx="1822">
                  <c:v>8.2199999999997004</c:v>
                </c:pt>
                <c:pt idx="1823">
                  <c:v>8.2299999999997002</c:v>
                </c:pt>
                <c:pt idx="1824">
                  <c:v>8.2399999999997</c:v>
                </c:pt>
                <c:pt idx="1825">
                  <c:v>8.2499999999996998</c:v>
                </c:pt>
                <c:pt idx="1826">
                  <c:v>8.2599999999996996</c:v>
                </c:pt>
                <c:pt idx="1827">
                  <c:v>8.2699999999996994</c:v>
                </c:pt>
                <c:pt idx="1828">
                  <c:v>8.2799999999996992</c:v>
                </c:pt>
                <c:pt idx="1829">
                  <c:v>8.2899999999996989</c:v>
                </c:pt>
                <c:pt idx="1830">
                  <c:v>8.2999999999996987</c:v>
                </c:pt>
                <c:pt idx="1831">
                  <c:v>8.3099999999996985</c:v>
                </c:pt>
                <c:pt idx="1832">
                  <c:v>8.3199999999996983</c:v>
                </c:pt>
                <c:pt idx="1833">
                  <c:v>8.3299999999996981</c:v>
                </c:pt>
                <c:pt idx="1834">
                  <c:v>8.3399999999996979</c:v>
                </c:pt>
                <c:pt idx="1835">
                  <c:v>8.3499999999996977</c:v>
                </c:pt>
                <c:pt idx="1836">
                  <c:v>8.3599999999996975</c:v>
                </c:pt>
                <c:pt idx="1837">
                  <c:v>8.3699999999996972</c:v>
                </c:pt>
                <c:pt idx="1838">
                  <c:v>8.379999999999697</c:v>
                </c:pt>
                <c:pt idx="1839">
                  <c:v>8.3899999999996968</c:v>
                </c:pt>
                <c:pt idx="1840">
                  <c:v>8.3999999999996966</c:v>
                </c:pt>
                <c:pt idx="1841">
                  <c:v>8.4099999999996964</c:v>
                </c:pt>
                <c:pt idx="1842">
                  <c:v>8.4199999999996962</c:v>
                </c:pt>
                <c:pt idx="1843">
                  <c:v>8.429999999999696</c:v>
                </c:pt>
                <c:pt idx="1844">
                  <c:v>8.4399999999996957</c:v>
                </c:pt>
                <c:pt idx="1845">
                  <c:v>8.4499999999996955</c:v>
                </c:pt>
                <c:pt idx="1846">
                  <c:v>8.4599999999996953</c:v>
                </c:pt>
                <c:pt idx="1847">
                  <c:v>8.4699999999996951</c:v>
                </c:pt>
                <c:pt idx="1848">
                  <c:v>8.4799999999996949</c:v>
                </c:pt>
                <c:pt idx="1849">
                  <c:v>8.4899999999996947</c:v>
                </c:pt>
                <c:pt idx="1850">
                  <c:v>8.4999999999996945</c:v>
                </c:pt>
                <c:pt idx="1851">
                  <c:v>8.5099999999996943</c:v>
                </c:pt>
                <c:pt idx="1852">
                  <c:v>8.519999999999694</c:v>
                </c:pt>
                <c:pt idx="1853">
                  <c:v>8.5299999999996938</c:v>
                </c:pt>
                <c:pt idx="1854">
                  <c:v>8.5399999999996936</c:v>
                </c:pt>
                <c:pt idx="1855">
                  <c:v>8.5499999999996934</c:v>
                </c:pt>
                <c:pt idx="1856">
                  <c:v>8.5599999999996932</c:v>
                </c:pt>
                <c:pt idx="1857">
                  <c:v>8.569999999999693</c:v>
                </c:pt>
                <c:pt idx="1858">
                  <c:v>8.5799999999996928</c:v>
                </c:pt>
                <c:pt idx="1859">
                  <c:v>8.5899999999996925</c:v>
                </c:pt>
                <c:pt idx="1860">
                  <c:v>8.5999999999996923</c:v>
                </c:pt>
                <c:pt idx="1861">
                  <c:v>8.6099999999996921</c:v>
                </c:pt>
                <c:pt idx="1862">
                  <c:v>8.6199999999996919</c:v>
                </c:pt>
                <c:pt idx="1863">
                  <c:v>8.6299999999996917</c:v>
                </c:pt>
                <c:pt idx="1864">
                  <c:v>8.6399999999996915</c:v>
                </c:pt>
                <c:pt idx="1865">
                  <c:v>8.6499999999996913</c:v>
                </c:pt>
                <c:pt idx="1866">
                  <c:v>8.6599999999996911</c:v>
                </c:pt>
                <c:pt idx="1867">
                  <c:v>8.6699999999996908</c:v>
                </c:pt>
                <c:pt idx="1868">
                  <c:v>8.6799999999996906</c:v>
                </c:pt>
                <c:pt idx="1869">
                  <c:v>8.6899999999996904</c:v>
                </c:pt>
                <c:pt idx="1870">
                  <c:v>8.6999999999996902</c:v>
                </c:pt>
                <c:pt idx="1871">
                  <c:v>8.70999999999969</c:v>
                </c:pt>
                <c:pt idx="1872">
                  <c:v>8.7199999999996898</c:v>
                </c:pt>
                <c:pt idx="1873">
                  <c:v>8.7299999999996896</c:v>
                </c:pt>
                <c:pt idx="1874">
                  <c:v>8.7399999999996894</c:v>
                </c:pt>
                <c:pt idx="1875">
                  <c:v>8.7499999999996891</c:v>
                </c:pt>
                <c:pt idx="1876">
                  <c:v>8.7599999999996889</c:v>
                </c:pt>
                <c:pt idx="1877">
                  <c:v>8.7699999999996887</c:v>
                </c:pt>
                <c:pt idx="1878">
                  <c:v>8.7799999999996885</c:v>
                </c:pt>
                <c:pt idx="1879">
                  <c:v>8.7899999999996883</c:v>
                </c:pt>
                <c:pt idx="1880">
                  <c:v>8.7999999999996881</c:v>
                </c:pt>
                <c:pt idx="1881">
                  <c:v>8.8099999999996879</c:v>
                </c:pt>
                <c:pt idx="1882">
                  <c:v>8.8199999999996876</c:v>
                </c:pt>
                <c:pt idx="1883">
                  <c:v>8.8299999999996874</c:v>
                </c:pt>
                <c:pt idx="1884">
                  <c:v>8.8399999999996872</c:v>
                </c:pt>
                <c:pt idx="1885">
                  <c:v>8.849999999999687</c:v>
                </c:pt>
                <c:pt idx="1886">
                  <c:v>8.8599999999996868</c:v>
                </c:pt>
                <c:pt idx="1887">
                  <c:v>8.8699999999996866</c:v>
                </c:pt>
                <c:pt idx="1888">
                  <c:v>8.8799999999996864</c:v>
                </c:pt>
                <c:pt idx="1889">
                  <c:v>8.8899999999996862</c:v>
                </c:pt>
                <c:pt idx="1890">
                  <c:v>8.8999999999996859</c:v>
                </c:pt>
                <c:pt idx="1891">
                  <c:v>8.9099999999996857</c:v>
                </c:pt>
                <c:pt idx="1892">
                  <c:v>8.9199999999996855</c:v>
                </c:pt>
                <c:pt idx="1893">
                  <c:v>8.9299999999996853</c:v>
                </c:pt>
                <c:pt idx="1894">
                  <c:v>8.9399999999996851</c:v>
                </c:pt>
                <c:pt idx="1895">
                  <c:v>8.9499999999996849</c:v>
                </c:pt>
                <c:pt idx="1896">
                  <c:v>8.9599999999996847</c:v>
                </c:pt>
                <c:pt idx="1897">
                  <c:v>8.9699999999996844</c:v>
                </c:pt>
                <c:pt idx="1898">
                  <c:v>8.9799999999996842</c:v>
                </c:pt>
                <c:pt idx="1899">
                  <c:v>8.989999999999684</c:v>
                </c:pt>
                <c:pt idx="1900">
                  <c:v>8.9999999999996838</c:v>
                </c:pt>
                <c:pt idx="1901">
                  <c:v>9.0099999999996836</c:v>
                </c:pt>
                <c:pt idx="1902">
                  <c:v>9.0199999999996834</c:v>
                </c:pt>
                <c:pt idx="1903">
                  <c:v>9.0299999999996832</c:v>
                </c:pt>
                <c:pt idx="1904">
                  <c:v>9.039999999999683</c:v>
                </c:pt>
                <c:pt idx="1905">
                  <c:v>9.0499999999996827</c:v>
                </c:pt>
                <c:pt idx="1906">
                  <c:v>9.0599999999996825</c:v>
                </c:pt>
                <c:pt idx="1907">
                  <c:v>9.0699999999996823</c:v>
                </c:pt>
                <c:pt idx="1908">
                  <c:v>9.0799999999996821</c:v>
                </c:pt>
                <c:pt idx="1909">
                  <c:v>9.0899999999996819</c:v>
                </c:pt>
                <c:pt idx="1910">
                  <c:v>9.0999999999996817</c:v>
                </c:pt>
                <c:pt idx="1911">
                  <c:v>9.1099999999996815</c:v>
                </c:pt>
                <c:pt idx="1912">
                  <c:v>9.1199999999996813</c:v>
                </c:pt>
                <c:pt idx="1913">
                  <c:v>9.129999999999681</c:v>
                </c:pt>
                <c:pt idx="1914">
                  <c:v>9.1399999999996808</c:v>
                </c:pt>
                <c:pt idx="1915">
                  <c:v>9.1499999999996806</c:v>
                </c:pt>
                <c:pt idx="1916">
                  <c:v>9.1599999999996804</c:v>
                </c:pt>
                <c:pt idx="1917">
                  <c:v>9.1699999999996802</c:v>
                </c:pt>
                <c:pt idx="1918">
                  <c:v>9.17999999999968</c:v>
                </c:pt>
                <c:pt idx="1919">
                  <c:v>9.1899999999996798</c:v>
                </c:pt>
                <c:pt idx="1920">
                  <c:v>9.1999999999996795</c:v>
                </c:pt>
                <c:pt idx="1921">
                  <c:v>9.2099999999996793</c:v>
                </c:pt>
                <c:pt idx="1922">
                  <c:v>9.2199999999996791</c:v>
                </c:pt>
                <c:pt idx="1923">
                  <c:v>9.2299999999996789</c:v>
                </c:pt>
                <c:pt idx="1924">
                  <c:v>9.2399999999996787</c:v>
                </c:pt>
                <c:pt idx="1925">
                  <c:v>9.2499999999996785</c:v>
                </c:pt>
                <c:pt idx="1926">
                  <c:v>9.2599999999996783</c:v>
                </c:pt>
                <c:pt idx="1927">
                  <c:v>9.2699999999996781</c:v>
                </c:pt>
                <c:pt idx="1928">
                  <c:v>9.2799999999996778</c:v>
                </c:pt>
                <c:pt idx="1929">
                  <c:v>9.2899999999996776</c:v>
                </c:pt>
                <c:pt idx="1930">
                  <c:v>9.2999999999996774</c:v>
                </c:pt>
                <c:pt idx="1931">
                  <c:v>9.3099999999996772</c:v>
                </c:pt>
                <c:pt idx="1932">
                  <c:v>9.319999999999677</c:v>
                </c:pt>
                <c:pt idx="1933">
                  <c:v>9.3299999999996768</c:v>
                </c:pt>
                <c:pt idx="1934">
                  <c:v>9.3399999999996766</c:v>
                </c:pt>
                <c:pt idx="1935">
                  <c:v>9.3499999999996763</c:v>
                </c:pt>
                <c:pt idx="1936">
                  <c:v>9.3599999999996761</c:v>
                </c:pt>
                <c:pt idx="1937">
                  <c:v>9.3699999999996759</c:v>
                </c:pt>
                <c:pt idx="1938">
                  <c:v>9.3799999999996757</c:v>
                </c:pt>
                <c:pt idx="1939">
                  <c:v>9.3899999999996755</c:v>
                </c:pt>
                <c:pt idx="1940">
                  <c:v>9.3999999999996753</c:v>
                </c:pt>
                <c:pt idx="1941">
                  <c:v>9.4099999999996751</c:v>
                </c:pt>
                <c:pt idx="1942">
                  <c:v>9.4199999999996749</c:v>
                </c:pt>
                <c:pt idx="1943">
                  <c:v>9.4299999999996746</c:v>
                </c:pt>
                <c:pt idx="1944">
                  <c:v>9.4399999999996744</c:v>
                </c:pt>
                <c:pt idx="1945">
                  <c:v>9.4499999999996742</c:v>
                </c:pt>
                <c:pt idx="1946">
                  <c:v>9.459999999999674</c:v>
                </c:pt>
                <c:pt idx="1947">
                  <c:v>9.4699999999996738</c:v>
                </c:pt>
                <c:pt idx="1948">
                  <c:v>9.4799999999996736</c:v>
                </c:pt>
                <c:pt idx="1949">
                  <c:v>9.4899999999996734</c:v>
                </c:pt>
                <c:pt idx="1950">
                  <c:v>9.4999999999996732</c:v>
                </c:pt>
                <c:pt idx="1951">
                  <c:v>9.5099999999996729</c:v>
                </c:pt>
                <c:pt idx="1952">
                  <c:v>9.5199999999996727</c:v>
                </c:pt>
                <c:pt idx="1953">
                  <c:v>9.5299999999996725</c:v>
                </c:pt>
                <c:pt idx="1954">
                  <c:v>9.5399999999996723</c:v>
                </c:pt>
                <c:pt idx="1955">
                  <c:v>9.5499999999996721</c:v>
                </c:pt>
                <c:pt idx="1956">
                  <c:v>9.5599999999996719</c:v>
                </c:pt>
                <c:pt idx="1957">
                  <c:v>9.5699999999996717</c:v>
                </c:pt>
                <c:pt idx="1958">
                  <c:v>9.5799999999996714</c:v>
                </c:pt>
                <c:pt idx="1959">
                  <c:v>9.5899999999996712</c:v>
                </c:pt>
                <c:pt idx="1960">
                  <c:v>9.599999999999671</c:v>
                </c:pt>
                <c:pt idx="1961">
                  <c:v>9.6099999999996708</c:v>
                </c:pt>
                <c:pt idx="1962">
                  <c:v>9.6199999999996706</c:v>
                </c:pt>
                <c:pt idx="1963">
                  <c:v>9.6299999999996704</c:v>
                </c:pt>
                <c:pt idx="1964">
                  <c:v>9.6399999999996702</c:v>
                </c:pt>
                <c:pt idx="1965">
                  <c:v>9.64999999999967</c:v>
                </c:pt>
                <c:pt idx="1966">
                  <c:v>9.6599999999996697</c:v>
                </c:pt>
                <c:pt idx="1967">
                  <c:v>9.6699999999996695</c:v>
                </c:pt>
                <c:pt idx="1968">
                  <c:v>9.6799999999996693</c:v>
                </c:pt>
                <c:pt idx="1969">
                  <c:v>9.6899999999996691</c:v>
                </c:pt>
                <c:pt idx="1970">
                  <c:v>9.6999999999996689</c:v>
                </c:pt>
                <c:pt idx="1971">
                  <c:v>9.7099999999996687</c:v>
                </c:pt>
                <c:pt idx="1972">
                  <c:v>9.7199999999996685</c:v>
                </c:pt>
                <c:pt idx="1973">
                  <c:v>9.7299999999996682</c:v>
                </c:pt>
                <c:pt idx="1974">
                  <c:v>9.739999999999668</c:v>
                </c:pt>
                <c:pt idx="1975">
                  <c:v>9.7499999999996678</c:v>
                </c:pt>
                <c:pt idx="1976">
                  <c:v>9.7599999999996676</c:v>
                </c:pt>
                <c:pt idx="1977">
                  <c:v>9.7699999999996674</c:v>
                </c:pt>
                <c:pt idx="1978">
                  <c:v>9.7799999999996672</c:v>
                </c:pt>
                <c:pt idx="1979">
                  <c:v>9.789999999999667</c:v>
                </c:pt>
                <c:pt idx="1980">
                  <c:v>9.7999999999996668</c:v>
                </c:pt>
                <c:pt idx="1981">
                  <c:v>9.8099999999996665</c:v>
                </c:pt>
                <c:pt idx="1982">
                  <c:v>9.8199999999996663</c:v>
                </c:pt>
                <c:pt idx="1983">
                  <c:v>9.8299999999996661</c:v>
                </c:pt>
                <c:pt idx="1984">
                  <c:v>9.8399999999996659</c:v>
                </c:pt>
                <c:pt idx="1985">
                  <c:v>9.8499999999996657</c:v>
                </c:pt>
                <c:pt idx="1986">
                  <c:v>9.8599999999996655</c:v>
                </c:pt>
                <c:pt idx="1987">
                  <c:v>9.8699999999996653</c:v>
                </c:pt>
                <c:pt idx="1988">
                  <c:v>9.8799999999996651</c:v>
                </c:pt>
                <c:pt idx="1989">
                  <c:v>9.8899999999996648</c:v>
                </c:pt>
                <c:pt idx="1990">
                  <c:v>9.8999999999996646</c:v>
                </c:pt>
                <c:pt idx="1991">
                  <c:v>9.9099999999996644</c:v>
                </c:pt>
                <c:pt idx="1992">
                  <c:v>9.9199999999996642</c:v>
                </c:pt>
                <c:pt idx="1993">
                  <c:v>9.929999999999664</c:v>
                </c:pt>
                <c:pt idx="1994">
                  <c:v>9.9399999999996638</c:v>
                </c:pt>
                <c:pt idx="1995">
                  <c:v>9.9499999999996636</c:v>
                </c:pt>
                <c:pt idx="1996">
                  <c:v>9.9599999999996633</c:v>
                </c:pt>
                <c:pt idx="1997">
                  <c:v>9.9699999999996631</c:v>
                </c:pt>
                <c:pt idx="1998">
                  <c:v>9.9799999999996629</c:v>
                </c:pt>
                <c:pt idx="1999">
                  <c:v>9.9899999999996627</c:v>
                </c:pt>
                <c:pt idx="2000">
                  <c:v>9.9999999999996625</c:v>
                </c:pt>
              </c:numCache>
            </c:numRef>
          </c:xVal>
          <c:yVal>
            <c:numRef>
              <c:f>'Peak Models'!$F$14:$F$2014</c:f>
              <c:numCache>
                <c:formatCode>General</c:formatCode>
                <c:ptCount val="200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1.0016284705967644</c:v>
                </c:pt>
                <c:pt idx="977">
                  <c:v>0.89558012612276117</c:v>
                </c:pt>
                <c:pt idx="978">
                  <c:v>1.0092809606818758</c:v>
                </c:pt>
                <c:pt idx="979">
                  <c:v>0.96438885253346118</c:v>
                </c:pt>
                <c:pt idx="980">
                  <c:v>1.1146517345753979</c:v>
                </c:pt>
                <c:pt idx="981">
                  <c:v>0.91028533851913873</c:v>
                </c:pt>
                <c:pt idx="982">
                  <c:v>0.87749050360481307</c:v>
                </c:pt>
                <c:pt idx="983">
                  <c:v>0.88665184162299304</c:v>
                </c:pt>
                <c:pt idx="984">
                  <c:v>0.98424868912420294</c:v>
                </c:pt>
                <c:pt idx="985">
                  <c:v>0.83219492759247815</c:v>
                </c:pt>
                <c:pt idx="986">
                  <c:v>0.85166644283819071</c:v>
                </c:pt>
                <c:pt idx="987">
                  <c:v>0.9313506908325655</c:v>
                </c:pt>
                <c:pt idx="988">
                  <c:v>0.80728246567631212</c:v>
                </c:pt>
                <c:pt idx="989">
                  <c:v>0.91991445361017465</c:v>
                </c:pt>
                <c:pt idx="990">
                  <c:v>1.1125290174006337</c:v>
                </c:pt>
                <c:pt idx="991">
                  <c:v>1.0544005727624912</c:v>
                </c:pt>
                <c:pt idx="992">
                  <c:v>0.90160467619540119</c:v>
                </c:pt>
                <c:pt idx="993">
                  <c:v>1.1287108194316287</c:v>
                </c:pt>
                <c:pt idx="994">
                  <c:v>1.1109203481874901</c:v>
                </c:pt>
                <c:pt idx="995">
                  <c:v>1.062153709527093</c:v>
                </c:pt>
                <c:pt idx="996">
                  <c:v>0.90020365033955174</c:v>
                </c:pt>
                <c:pt idx="997">
                  <c:v>0.91672773206030489</c:v>
                </c:pt>
                <c:pt idx="998">
                  <c:v>1.0892067905555349</c:v>
                </c:pt>
                <c:pt idx="999">
                  <c:v>1.1142075059449092</c:v>
                </c:pt>
                <c:pt idx="1000">
                  <c:v>0.90915439320488833</c:v>
                </c:pt>
                <c:pt idx="1001">
                  <c:v>0.82367460754355604</c:v>
                </c:pt>
                <c:pt idx="1002">
                  <c:v>0.95638522200523213</c:v>
                </c:pt>
                <c:pt idx="1003">
                  <c:v>0.83022047497854301</c:v>
                </c:pt>
                <c:pt idx="1004">
                  <c:v>1.1037091262004197</c:v>
                </c:pt>
                <c:pt idx="1005">
                  <c:v>0.91342095923456879</c:v>
                </c:pt>
                <c:pt idx="1006">
                  <c:v>0.86375418412924188</c:v>
                </c:pt>
                <c:pt idx="1007">
                  <c:v>1.0941414747624014</c:v>
                </c:pt>
                <c:pt idx="1008">
                  <c:v>0.88133529629170615</c:v>
                </c:pt>
                <c:pt idx="1009">
                  <c:v>1.0756132226382227</c:v>
                </c:pt>
                <c:pt idx="1010">
                  <c:v>0.83695499886569491</c:v>
                </c:pt>
                <c:pt idx="1011">
                  <c:v>0.97269638283053106</c:v>
                </c:pt>
                <c:pt idx="1012">
                  <c:v>1.0783918567733977</c:v>
                </c:pt>
                <c:pt idx="1013">
                  <c:v>0.82689187030727185</c:v>
                </c:pt>
                <c:pt idx="1014">
                  <c:v>1.0470591053226181</c:v>
                </c:pt>
                <c:pt idx="1015">
                  <c:v>0.84270788031542165</c:v>
                </c:pt>
                <c:pt idx="1016">
                  <c:v>0.88739540515412529</c:v>
                </c:pt>
                <c:pt idx="1017">
                  <c:v>0.96095637107131626</c:v>
                </c:pt>
                <c:pt idx="1018">
                  <c:v>0.81607619748219717</c:v>
                </c:pt>
                <c:pt idx="1019">
                  <c:v>0.98112559898623253</c:v>
                </c:pt>
                <c:pt idx="1020">
                  <c:v>0.86348719865023071</c:v>
                </c:pt>
                <c:pt idx="1021">
                  <c:v>0.95388376776124806</c:v>
                </c:pt>
                <c:pt idx="1022">
                  <c:v>0.94323498113040249</c:v>
                </c:pt>
                <c:pt idx="1023">
                  <c:v>0.90954525028508793</c:v>
                </c:pt>
                <c:pt idx="1024">
                  <c:v>0.89484307997791945</c:v>
                </c:pt>
                <c:pt idx="1025">
                  <c:v>0.84610262668880698</c:v>
                </c:pt>
                <c:pt idx="1026">
                  <c:v>0</c:v>
                </c:pt>
                <c:pt idx="1027">
                  <c:v>0</c:v>
                </c:pt>
                <c:pt idx="1028">
                  <c:v>0</c:v>
                </c:pt>
                <c:pt idx="1029">
                  <c:v>0</c:v>
                </c:pt>
                <c:pt idx="1030">
                  <c:v>0</c:v>
                </c:pt>
                <c:pt idx="1031">
                  <c:v>0</c:v>
                </c:pt>
                <c:pt idx="1032">
                  <c:v>0</c:v>
                </c:pt>
                <c:pt idx="1033">
                  <c:v>0</c:v>
                </c:pt>
                <c:pt idx="1034">
                  <c:v>0</c:v>
                </c:pt>
                <c:pt idx="1035">
                  <c:v>0</c:v>
                </c:pt>
                <c:pt idx="1036">
                  <c:v>0</c:v>
                </c:pt>
                <c:pt idx="1037">
                  <c:v>0</c:v>
                </c:pt>
                <c:pt idx="1038">
                  <c:v>0</c:v>
                </c:pt>
                <c:pt idx="1039">
                  <c:v>0</c:v>
                </c:pt>
                <c:pt idx="1040">
                  <c:v>0</c:v>
                </c:pt>
                <c:pt idx="1041">
                  <c:v>0</c:v>
                </c:pt>
                <c:pt idx="1042">
                  <c:v>0</c:v>
                </c:pt>
                <c:pt idx="1043">
                  <c:v>0</c:v>
                </c:pt>
                <c:pt idx="1044">
                  <c:v>0</c:v>
                </c:pt>
                <c:pt idx="1045">
                  <c:v>0</c:v>
                </c:pt>
                <c:pt idx="1046">
                  <c:v>0</c:v>
                </c:pt>
                <c:pt idx="1047">
                  <c:v>0</c:v>
                </c:pt>
                <c:pt idx="1048">
                  <c:v>0</c:v>
                </c:pt>
                <c:pt idx="1049">
                  <c:v>0</c:v>
                </c:pt>
                <c:pt idx="1050">
                  <c:v>0</c:v>
                </c:pt>
                <c:pt idx="1051">
                  <c:v>0</c:v>
                </c:pt>
                <c:pt idx="1052">
                  <c:v>0</c:v>
                </c:pt>
                <c:pt idx="1053">
                  <c:v>0</c:v>
                </c:pt>
                <c:pt idx="1054">
                  <c:v>0</c:v>
                </c:pt>
                <c:pt idx="1055">
                  <c:v>0</c:v>
                </c:pt>
                <c:pt idx="1056">
                  <c:v>0</c:v>
                </c:pt>
                <c:pt idx="1057">
                  <c:v>0</c:v>
                </c:pt>
                <c:pt idx="1058">
                  <c:v>0</c:v>
                </c:pt>
                <c:pt idx="1059">
                  <c:v>0</c:v>
                </c:pt>
                <c:pt idx="1060">
                  <c:v>0</c:v>
                </c:pt>
                <c:pt idx="1061">
                  <c:v>0</c:v>
                </c:pt>
                <c:pt idx="1062">
                  <c:v>0</c:v>
                </c:pt>
                <c:pt idx="1063">
                  <c:v>0</c:v>
                </c:pt>
                <c:pt idx="1064">
                  <c:v>0</c:v>
                </c:pt>
                <c:pt idx="1065">
                  <c:v>0</c:v>
                </c:pt>
                <c:pt idx="1066">
                  <c:v>0</c:v>
                </c:pt>
                <c:pt idx="1067">
                  <c:v>0</c:v>
                </c:pt>
                <c:pt idx="1068">
                  <c:v>0</c:v>
                </c:pt>
                <c:pt idx="1069">
                  <c:v>0</c:v>
                </c:pt>
                <c:pt idx="1070">
                  <c:v>0</c:v>
                </c:pt>
                <c:pt idx="1071">
                  <c:v>0</c:v>
                </c:pt>
                <c:pt idx="1072">
                  <c:v>0</c:v>
                </c:pt>
                <c:pt idx="1073">
                  <c:v>0</c:v>
                </c:pt>
                <c:pt idx="1074">
                  <c:v>0</c:v>
                </c:pt>
                <c:pt idx="1075">
                  <c:v>0</c:v>
                </c:pt>
                <c:pt idx="1076">
                  <c:v>0</c:v>
                </c:pt>
                <c:pt idx="1077">
                  <c:v>0</c:v>
                </c:pt>
                <c:pt idx="1078">
                  <c:v>0</c:v>
                </c:pt>
                <c:pt idx="1079">
                  <c:v>0</c:v>
                </c:pt>
                <c:pt idx="1080">
                  <c:v>0</c:v>
                </c:pt>
                <c:pt idx="1081">
                  <c:v>0</c:v>
                </c:pt>
                <c:pt idx="1082">
                  <c:v>0</c:v>
                </c:pt>
                <c:pt idx="1083">
                  <c:v>0</c:v>
                </c:pt>
                <c:pt idx="1084">
                  <c:v>0</c:v>
                </c:pt>
                <c:pt idx="1085">
                  <c:v>0</c:v>
                </c:pt>
                <c:pt idx="1086">
                  <c:v>0</c:v>
                </c:pt>
                <c:pt idx="1087">
                  <c:v>0</c:v>
                </c:pt>
                <c:pt idx="1088">
                  <c:v>0</c:v>
                </c:pt>
                <c:pt idx="1089">
                  <c:v>0</c:v>
                </c:pt>
                <c:pt idx="1090">
                  <c:v>0</c:v>
                </c:pt>
                <c:pt idx="1091">
                  <c:v>0</c:v>
                </c:pt>
                <c:pt idx="1092">
                  <c:v>0</c:v>
                </c:pt>
                <c:pt idx="1093">
                  <c:v>0</c:v>
                </c:pt>
                <c:pt idx="1094">
                  <c:v>0</c:v>
                </c:pt>
                <c:pt idx="1095">
                  <c:v>0</c:v>
                </c:pt>
                <c:pt idx="1096">
                  <c:v>0</c:v>
                </c:pt>
                <c:pt idx="1097">
                  <c:v>0</c:v>
                </c:pt>
                <c:pt idx="1098">
                  <c:v>0</c:v>
                </c:pt>
                <c:pt idx="1099">
                  <c:v>0</c:v>
                </c:pt>
                <c:pt idx="1100">
                  <c:v>0</c:v>
                </c:pt>
                <c:pt idx="1101">
                  <c:v>0</c:v>
                </c:pt>
                <c:pt idx="1102">
                  <c:v>0</c:v>
                </c:pt>
                <c:pt idx="1103">
                  <c:v>0</c:v>
                </c:pt>
                <c:pt idx="1104">
                  <c:v>0</c:v>
                </c:pt>
                <c:pt idx="1105">
                  <c:v>0</c:v>
                </c:pt>
                <c:pt idx="1106">
                  <c:v>0</c:v>
                </c:pt>
                <c:pt idx="1107">
                  <c:v>0</c:v>
                </c:pt>
                <c:pt idx="1108">
                  <c:v>0</c:v>
                </c:pt>
                <c:pt idx="1109">
                  <c:v>0</c:v>
                </c:pt>
                <c:pt idx="1110">
                  <c:v>0</c:v>
                </c:pt>
                <c:pt idx="1111">
                  <c:v>0</c:v>
                </c:pt>
                <c:pt idx="1112">
                  <c:v>0</c:v>
                </c:pt>
                <c:pt idx="1113">
                  <c:v>0</c:v>
                </c:pt>
                <c:pt idx="1114">
                  <c:v>0</c:v>
                </c:pt>
                <c:pt idx="1115">
                  <c:v>0</c:v>
                </c:pt>
                <c:pt idx="1116">
                  <c:v>0</c:v>
                </c:pt>
                <c:pt idx="1117">
                  <c:v>0</c:v>
                </c:pt>
                <c:pt idx="1118">
                  <c:v>0</c:v>
                </c:pt>
                <c:pt idx="1119">
                  <c:v>0</c:v>
                </c:pt>
                <c:pt idx="1120">
                  <c:v>0</c:v>
                </c:pt>
                <c:pt idx="1121">
                  <c:v>0</c:v>
                </c:pt>
                <c:pt idx="1122">
                  <c:v>0</c:v>
                </c:pt>
                <c:pt idx="1123">
                  <c:v>0</c:v>
                </c:pt>
                <c:pt idx="1124">
                  <c:v>0</c:v>
                </c:pt>
                <c:pt idx="1125">
                  <c:v>0</c:v>
                </c:pt>
                <c:pt idx="1126">
                  <c:v>0</c:v>
                </c:pt>
                <c:pt idx="1127">
                  <c:v>0</c:v>
                </c:pt>
                <c:pt idx="1128">
                  <c:v>0</c:v>
                </c:pt>
                <c:pt idx="1129">
                  <c:v>0</c:v>
                </c:pt>
                <c:pt idx="1130">
                  <c:v>0</c:v>
                </c:pt>
                <c:pt idx="1131">
                  <c:v>0</c:v>
                </c:pt>
                <c:pt idx="1132">
                  <c:v>0</c:v>
                </c:pt>
                <c:pt idx="1133">
                  <c:v>0</c:v>
                </c:pt>
                <c:pt idx="1134">
                  <c:v>0</c:v>
                </c:pt>
                <c:pt idx="1135">
                  <c:v>0</c:v>
                </c:pt>
                <c:pt idx="1136">
                  <c:v>0</c:v>
                </c:pt>
                <c:pt idx="1137">
                  <c:v>0</c:v>
                </c:pt>
                <c:pt idx="1138">
                  <c:v>0</c:v>
                </c:pt>
                <c:pt idx="1139">
                  <c:v>0</c:v>
                </c:pt>
                <c:pt idx="1140">
                  <c:v>0</c:v>
                </c:pt>
                <c:pt idx="1141">
                  <c:v>0</c:v>
                </c:pt>
                <c:pt idx="1142">
                  <c:v>0</c:v>
                </c:pt>
                <c:pt idx="1143">
                  <c:v>0</c:v>
                </c:pt>
                <c:pt idx="1144">
                  <c:v>0</c:v>
                </c:pt>
                <c:pt idx="1145">
                  <c:v>0</c:v>
                </c:pt>
                <c:pt idx="1146">
                  <c:v>0</c:v>
                </c:pt>
                <c:pt idx="1147">
                  <c:v>0</c:v>
                </c:pt>
                <c:pt idx="1148">
                  <c:v>0</c:v>
                </c:pt>
                <c:pt idx="1149">
                  <c:v>0</c:v>
                </c:pt>
                <c:pt idx="1150">
                  <c:v>0</c:v>
                </c:pt>
                <c:pt idx="1151">
                  <c:v>0</c:v>
                </c:pt>
                <c:pt idx="1152">
                  <c:v>0</c:v>
                </c:pt>
                <c:pt idx="1153">
                  <c:v>0</c:v>
                </c:pt>
                <c:pt idx="1154">
                  <c:v>0</c:v>
                </c:pt>
                <c:pt idx="1155">
                  <c:v>0</c:v>
                </c:pt>
                <c:pt idx="1156">
                  <c:v>0</c:v>
                </c:pt>
                <c:pt idx="1157">
                  <c:v>0</c:v>
                </c:pt>
                <c:pt idx="1158">
                  <c:v>0</c:v>
                </c:pt>
                <c:pt idx="1159">
                  <c:v>0</c:v>
                </c:pt>
                <c:pt idx="1160">
                  <c:v>0</c:v>
                </c:pt>
                <c:pt idx="1161">
                  <c:v>0</c:v>
                </c:pt>
                <c:pt idx="1162">
                  <c:v>0</c:v>
                </c:pt>
                <c:pt idx="1163">
                  <c:v>0</c:v>
                </c:pt>
                <c:pt idx="1164">
                  <c:v>0</c:v>
                </c:pt>
                <c:pt idx="1165">
                  <c:v>0</c:v>
                </c:pt>
                <c:pt idx="1166">
                  <c:v>0</c:v>
                </c:pt>
                <c:pt idx="1167">
                  <c:v>0</c:v>
                </c:pt>
                <c:pt idx="1168">
                  <c:v>0</c:v>
                </c:pt>
                <c:pt idx="1169">
                  <c:v>0</c:v>
                </c:pt>
                <c:pt idx="1170">
                  <c:v>0</c:v>
                </c:pt>
                <c:pt idx="1171">
                  <c:v>0</c:v>
                </c:pt>
                <c:pt idx="1172">
                  <c:v>0</c:v>
                </c:pt>
                <c:pt idx="1173">
                  <c:v>0</c:v>
                </c:pt>
                <c:pt idx="1174">
                  <c:v>0</c:v>
                </c:pt>
                <c:pt idx="1175">
                  <c:v>0</c:v>
                </c:pt>
                <c:pt idx="1176">
                  <c:v>0</c:v>
                </c:pt>
                <c:pt idx="1177">
                  <c:v>0</c:v>
                </c:pt>
                <c:pt idx="1178">
                  <c:v>0</c:v>
                </c:pt>
                <c:pt idx="1179">
                  <c:v>0</c:v>
                </c:pt>
                <c:pt idx="1180">
                  <c:v>0</c:v>
                </c:pt>
                <c:pt idx="1181">
                  <c:v>0</c:v>
                </c:pt>
                <c:pt idx="1182">
                  <c:v>0</c:v>
                </c:pt>
                <c:pt idx="1183">
                  <c:v>0</c:v>
                </c:pt>
                <c:pt idx="1184">
                  <c:v>0</c:v>
                </c:pt>
                <c:pt idx="1185">
                  <c:v>0</c:v>
                </c:pt>
                <c:pt idx="1186">
                  <c:v>0</c:v>
                </c:pt>
                <c:pt idx="1187">
                  <c:v>0</c:v>
                </c:pt>
                <c:pt idx="1188">
                  <c:v>0</c:v>
                </c:pt>
                <c:pt idx="1189">
                  <c:v>0</c:v>
                </c:pt>
                <c:pt idx="1190">
                  <c:v>0</c:v>
                </c:pt>
                <c:pt idx="1191">
                  <c:v>0</c:v>
                </c:pt>
                <c:pt idx="1192">
                  <c:v>0</c:v>
                </c:pt>
                <c:pt idx="1193">
                  <c:v>0</c:v>
                </c:pt>
                <c:pt idx="1194">
                  <c:v>0</c:v>
                </c:pt>
                <c:pt idx="1195">
                  <c:v>0</c:v>
                </c:pt>
                <c:pt idx="1196">
                  <c:v>0</c:v>
                </c:pt>
                <c:pt idx="1197">
                  <c:v>0</c:v>
                </c:pt>
                <c:pt idx="1198">
                  <c:v>0</c:v>
                </c:pt>
                <c:pt idx="1199">
                  <c:v>0</c:v>
                </c:pt>
                <c:pt idx="1200">
                  <c:v>0</c:v>
                </c:pt>
                <c:pt idx="1201">
                  <c:v>0</c:v>
                </c:pt>
                <c:pt idx="1202">
                  <c:v>0</c:v>
                </c:pt>
                <c:pt idx="1203">
                  <c:v>0</c:v>
                </c:pt>
                <c:pt idx="1204">
                  <c:v>0</c:v>
                </c:pt>
                <c:pt idx="1205">
                  <c:v>0</c:v>
                </c:pt>
                <c:pt idx="1206">
                  <c:v>0</c:v>
                </c:pt>
                <c:pt idx="1207">
                  <c:v>0</c:v>
                </c:pt>
                <c:pt idx="1208">
                  <c:v>0</c:v>
                </c:pt>
                <c:pt idx="1209">
                  <c:v>0</c:v>
                </c:pt>
                <c:pt idx="1210">
                  <c:v>0</c:v>
                </c:pt>
                <c:pt idx="1211">
                  <c:v>0</c:v>
                </c:pt>
                <c:pt idx="1212">
                  <c:v>0</c:v>
                </c:pt>
                <c:pt idx="1213">
                  <c:v>0</c:v>
                </c:pt>
                <c:pt idx="1214">
                  <c:v>0</c:v>
                </c:pt>
                <c:pt idx="1215">
                  <c:v>0</c:v>
                </c:pt>
                <c:pt idx="1216">
                  <c:v>0</c:v>
                </c:pt>
                <c:pt idx="1217">
                  <c:v>0</c:v>
                </c:pt>
                <c:pt idx="1218">
                  <c:v>0</c:v>
                </c:pt>
                <c:pt idx="1219">
                  <c:v>0</c:v>
                </c:pt>
                <c:pt idx="1220">
                  <c:v>0</c:v>
                </c:pt>
                <c:pt idx="1221">
                  <c:v>0</c:v>
                </c:pt>
                <c:pt idx="1222">
                  <c:v>0</c:v>
                </c:pt>
                <c:pt idx="1223">
                  <c:v>0</c:v>
                </c:pt>
                <c:pt idx="1224">
                  <c:v>0</c:v>
                </c:pt>
                <c:pt idx="1225">
                  <c:v>0</c:v>
                </c:pt>
                <c:pt idx="1226">
                  <c:v>0</c:v>
                </c:pt>
                <c:pt idx="1227">
                  <c:v>0</c:v>
                </c:pt>
                <c:pt idx="1228">
                  <c:v>0</c:v>
                </c:pt>
                <c:pt idx="1229">
                  <c:v>0</c:v>
                </c:pt>
                <c:pt idx="1230">
                  <c:v>0</c:v>
                </c:pt>
                <c:pt idx="1231">
                  <c:v>0</c:v>
                </c:pt>
                <c:pt idx="1232">
                  <c:v>0</c:v>
                </c:pt>
                <c:pt idx="1233">
                  <c:v>0</c:v>
                </c:pt>
                <c:pt idx="1234">
                  <c:v>0</c:v>
                </c:pt>
                <c:pt idx="1235">
                  <c:v>0</c:v>
                </c:pt>
                <c:pt idx="1236">
                  <c:v>0</c:v>
                </c:pt>
                <c:pt idx="1237">
                  <c:v>0</c:v>
                </c:pt>
                <c:pt idx="1238">
                  <c:v>0</c:v>
                </c:pt>
                <c:pt idx="1239">
                  <c:v>0</c:v>
                </c:pt>
                <c:pt idx="1240">
                  <c:v>0</c:v>
                </c:pt>
                <c:pt idx="1241">
                  <c:v>0</c:v>
                </c:pt>
                <c:pt idx="1242">
                  <c:v>0</c:v>
                </c:pt>
                <c:pt idx="1243">
                  <c:v>0</c:v>
                </c:pt>
                <c:pt idx="1244">
                  <c:v>0</c:v>
                </c:pt>
                <c:pt idx="1245">
                  <c:v>0</c:v>
                </c:pt>
                <c:pt idx="1246">
                  <c:v>0</c:v>
                </c:pt>
                <c:pt idx="1247">
                  <c:v>0</c:v>
                </c:pt>
                <c:pt idx="1248">
                  <c:v>0</c:v>
                </c:pt>
                <c:pt idx="1249">
                  <c:v>0</c:v>
                </c:pt>
                <c:pt idx="1250">
                  <c:v>0</c:v>
                </c:pt>
                <c:pt idx="1251">
                  <c:v>0</c:v>
                </c:pt>
                <c:pt idx="1252">
                  <c:v>0</c:v>
                </c:pt>
                <c:pt idx="1253">
                  <c:v>0</c:v>
                </c:pt>
                <c:pt idx="1254">
                  <c:v>0</c:v>
                </c:pt>
                <c:pt idx="1255">
                  <c:v>0</c:v>
                </c:pt>
                <c:pt idx="1256">
                  <c:v>0</c:v>
                </c:pt>
                <c:pt idx="1257">
                  <c:v>0</c:v>
                </c:pt>
                <c:pt idx="1258">
                  <c:v>0</c:v>
                </c:pt>
                <c:pt idx="1259">
                  <c:v>0</c:v>
                </c:pt>
                <c:pt idx="1260">
                  <c:v>0</c:v>
                </c:pt>
                <c:pt idx="1261">
                  <c:v>0</c:v>
                </c:pt>
                <c:pt idx="1262">
                  <c:v>0</c:v>
                </c:pt>
                <c:pt idx="1263">
                  <c:v>0</c:v>
                </c:pt>
                <c:pt idx="1264">
                  <c:v>0</c:v>
                </c:pt>
                <c:pt idx="1265">
                  <c:v>0</c:v>
                </c:pt>
                <c:pt idx="1266">
                  <c:v>0</c:v>
                </c:pt>
                <c:pt idx="1267">
                  <c:v>0</c:v>
                </c:pt>
                <c:pt idx="1268">
                  <c:v>0</c:v>
                </c:pt>
                <c:pt idx="1269">
                  <c:v>0</c:v>
                </c:pt>
                <c:pt idx="1270">
                  <c:v>0</c:v>
                </c:pt>
                <c:pt idx="1271">
                  <c:v>0</c:v>
                </c:pt>
                <c:pt idx="1272">
                  <c:v>0</c:v>
                </c:pt>
                <c:pt idx="1273">
                  <c:v>0</c:v>
                </c:pt>
                <c:pt idx="1274">
                  <c:v>0</c:v>
                </c:pt>
                <c:pt idx="1275">
                  <c:v>0</c:v>
                </c:pt>
                <c:pt idx="1276">
                  <c:v>0</c:v>
                </c:pt>
                <c:pt idx="1277">
                  <c:v>0</c:v>
                </c:pt>
                <c:pt idx="1278">
                  <c:v>0</c:v>
                </c:pt>
                <c:pt idx="1279">
                  <c:v>0</c:v>
                </c:pt>
                <c:pt idx="1280">
                  <c:v>0</c:v>
                </c:pt>
                <c:pt idx="1281">
                  <c:v>0</c:v>
                </c:pt>
                <c:pt idx="1282">
                  <c:v>0</c:v>
                </c:pt>
                <c:pt idx="1283">
                  <c:v>0</c:v>
                </c:pt>
                <c:pt idx="1284">
                  <c:v>0</c:v>
                </c:pt>
                <c:pt idx="1285">
                  <c:v>0</c:v>
                </c:pt>
                <c:pt idx="1286">
                  <c:v>0</c:v>
                </c:pt>
                <c:pt idx="1287">
                  <c:v>0</c:v>
                </c:pt>
                <c:pt idx="1288">
                  <c:v>0</c:v>
                </c:pt>
                <c:pt idx="1289">
                  <c:v>0</c:v>
                </c:pt>
                <c:pt idx="1290">
                  <c:v>0</c:v>
                </c:pt>
                <c:pt idx="1291">
                  <c:v>0</c:v>
                </c:pt>
                <c:pt idx="1292">
                  <c:v>0</c:v>
                </c:pt>
                <c:pt idx="1293">
                  <c:v>0</c:v>
                </c:pt>
                <c:pt idx="1294">
                  <c:v>0</c:v>
                </c:pt>
                <c:pt idx="1295">
                  <c:v>0</c:v>
                </c:pt>
                <c:pt idx="1296">
                  <c:v>0</c:v>
                </c:pt>
                <c:pt idx="1297">
                  <c:v>0</c:v>
                </c:pt>
                <c:pt idx="1298">
                  <c:v>0</c:v>
                </c:pt>
                <c:pt idx="1299">
                  <c:v>0</c:v>
                </c:pt>
                <c:pt idx="1300">
                  <c:v>0</c:v>
                </c:pt>
                <c:pt idx="1301">
                  <c:v>0</c:v>
                </c:pt>
                <c:pt idx="1302">
                  <c:v>0</c:v>
                </c:pt>
                <c:pt idx="1303">
                  <c:v>0</c:v>
                </c:pt>
                <c:pt idx="1304">
                  <c:v>0</c:v>
                </c:pt>
                <c:pt idx="1305">
                  <c:v>0</c:v>
                </c:pt>
                <c:pt idx="1306">
                  <c:v>0</c:v>
                </c:pt>
                <c:pt idx="1307">
                  <c:v>0</c:v>
                </c:pt>
                <c:pt idx="1308">
                  <c:v>0</c:v>
                </c:pt>
                <c:pt idx="1309">
                  <c:v>0</c:v>
                </c:pt>
                <c:pt idx="1310">
                  <c:v>0</c:v>
                </c:pt>
                <c:pt idx="1311">
                  <c:v>0</c:v>
                </c:pt>
                <c:pt idx="1312">
                  <c:v>0</c:v>
                </c:pt>
                <c:pt idx="1313">
                  <c:v>0</c:v>
                </c:pt>
                <c:pt idx="1314">
                  <c:v>0</c:v>
                </c:pt>
                <c:pt idx="1315">
                  <c:v>0</c:v>
                </c:pt>
                <c:pt idx="1316">
                  <c:v>0</c:v>
                </c:pt>
                <c:pt idx="1317">
                  <c:v>0</c:v>
                </c:pt>
                <c:pt idx="1318">
                  <c:v>0</c:v>
                </c:pt>
                <c:pt idx="1319">
                  <c:v>0</c:v>
                </c:pt>
                <c:pt idx="1320">
                  <c:v>0</c:v>
                </c:pt>
                <c:pt idx="1321">
                  <c:v>0</c:v>
                </c:pt>
                <c:pt idx="1322">
                  <c:v>0</c:v>
                </c:pt>
                <c:pt idx="1323">
                  <c:v>0</c:v>
                </c:pt>
                <c:pt idx="1324">
                  <c:v>0</c:v>
                </c:pt>
                <c:pt idx="1325">
                  <c:v>0</c:v>
                </c:pt>
                <c:pt idx="1326">
                  <c:v>0</c:v>
                </c:pt>
                <c:pt idx="1327">
                  <c:v>0</c:v>
                </c:pt>
                <c:pt idx="1328">
                  <c:v>0</c:v>
                </c:pt>
                <c:pt idx="1329">
                  <c:v>0</c:v>
                </c:pt>
                <c:pt idx="1330">
                  <c:v>0</c:v>
                </c:pt>
                <c:pt idx="1331">
                  <c:v>0</c:v>
                </c:pt>
                <c:pt idx="1332">
                  <c:v>0</c:v>
                </c:pt>
                <c:pt idx="1333">
                  <c:v>0</c:v>
                </c:pt>
                <c:pt idx="1334">
                  <c:v>0</c:v>
                </c:pt>
                <c:pt idx="1335">
                  <c:v>0</c:v>
                </c:pt>
                <c:pt idx="1336">
                  <c:v>0</c:v>
                </c:pt>
                <c:pt idx="1337">
                  <c:v>0</c:v>
                </c:pt>
                <c:pt idx="1338">
                  <c:v>0</c:v>
                </c:pt>
                <c:pt idx="1339">
                  <c:v>0</c:v>
                </c:pt>
                <c:pt idx="1340">
                  <c:v>0</c:v>
                </c:pt>
                <c:pt idx="1341">
                  <c:v>0</c:v>
                </c:pt>
                <c:pt idx="1342">
                  <c:v>0</c:v>
                </c:pt>
                <c:pt idx="1343">
                  <c:v>0</c:v>
                </c:pt>
                <c:pt idx="1344">
                  <c:v>0</c:v>
                </c:pt>
                <c:pt idx="1345">
                  <c:v>0</c:v>
                </c:pt>
                <c:pt idx="1346">
                  <c:v>0</c:v>
                </c:pt>
                <c:pt idx="1347">
                  <c:v>0</c:v>
                </c:pt>
                <c:pt idx="1348">
                  <c:v>0</c:v>
                </c:pt>
                <c:pt idx="1349">
                  <c:v>0</c:v>
                </c:pt>
                <c:pt idx="1350">
                  <c:v>0</c:v>
                </c:pt>
                <c:pt idx="1351">
                  <c:v>0</c:v>
                </c:pt>
                <c:pt idx="1352">
                  <c:v>0</c:v>
                </c:pt>
                <c:pt idx="1353">
                  <c:v>0</c:v>
                </c:pt>
                <c:pt idx="1354">
                  <c:v>0</c:v>
                </c:pt>
                <c:pt idx="1355">
                  <c:v>0</c:v>
                </c:pt>
                <c:pt idx="1356">
                  <c:v>0</c:v>
                </c:pt>
                <c:pt idx="1357">
                  <c:v>0</c:v>
                </c:pt>
                <c:pt idx="1358">
                  <c:v>0</c:v>
                </c:pt>
                <c:pt idx="1359">
                  <c:v>0</c:v>
                </c:pt>
                <c:pt idx="1360">
                  <c:v>0</c:v>
                </c:pt>
                <c:pt idx="1361">
                  <c:v>0</c:v>
                </c:pt>
                <c:pt idx="1362">
                  <c:v>0</c:v>
                </c:pt>
                <c:pt idx="1363">
                  <c:v>0</c:v>
                </c:pt>
                <c:pt idx="1364">
                  <c:v>0</c:v>
                </c:pt>
                <c:pt idx="1365">
                  <c:v>0</c:v>
                </c:pt>
                <c:pt idx="1366">
                  <c:v>0</c:v>
                </c:pt>
                <c:pt idx="1367">
                  <c:v>0</c:v>
                </c:pt>
                <c:pt idx="1368">
                  <c:v>0</c:v>
                </c:pt>
                <c:pt idx="1369">
                  <c:v>0</c:v>
                </c:pt>
                <c:pt idx="1370">
                  <c:v>0</c:v>
                </c:pt>
                <c:pt idx="1371">
                  <c:v>0</c:v>
                </c:pt>
                <c:pt idx="1372">
                  <c:v>0</c:v>
                </c:pt>
                <c:pt idx="1373">
                  <c:v>0</c:v>
                </c:pt>
                <c:pt idx="1374">
                  <c:v>0</c:v>
                </c:pt>
                <c:pt idx="1375">
                  <c:v>0</c:v>
                </c:pt>
                <c:pt idx="1376">
                  <c:v>0</c:v>
                </c:pt>
                <c:pt idx="1377">
                  <c:v>0</c:v>
                </c:pt>
                <c:pt idx="1378">
                  <c:v>0</c:v>
                </c:pt>
                <c:pt idx="1379">
                  <c:v>0</c:v>
                </c:pt>
                <c:pt idx="1380">
                  <c:v>0</c:v>
                </c:pt>
                <c:pt idx="1381">
                  <c:v>0</c:v>
                </c:pt>
                <c:pt idx="1382">
                  <c:v>0</c:v>
                </c:pt>
                <c:pt idx="1383">
                  <c:v>0</c:v>
                </c:pt>
                <c:pt idx="1384">
                  <c:v>0</c:v>
                </c:pt>
                <c:pt idx="1385">
                  <c:v>0</c:v>
                </c:pt>
                <c:pt idx="1386">
                  <c:v>0</c:v>
                </c:pt>
                <c:pt idx="1387">
                  <c:v>0</c:v>
                </c:pt>
                <c:pt idx="1388">
                  <c:v>0</c:v>
                </c:pt>
                <c:pt idx="1389">
                  <c:v>0</c:v>
                </c:pt>
                <c:pt idx="1390">
                  <c:v>0</c:v>
                </c:pt>
                <c:pt idx="1391">
                  <c:v>0</c:v>
                </c:pt>
                <c:pt idx="1392">
                  <c:v>0</c:v>
                </c:pt>
                <c:pt idx="1393">
                  <c:v>0</c:v>
                </c:pt>
                <c:pt idx="1394">
                  <c:v>0</c:v>
                </c:pt>
                <c:pt idx="1395">
                  <c:v>0</c:v>
                </c:pt>
                <c:pt idx="1396">
                  <c:v>0</c:v>
                </c:pt>
                <c:pt idx="1397">
                  <c:v>0</c:v>
                </c:pt>
                <c:pt idx="1398">
                  <c:v>0</c:v>
                </c:pt>
                <c:pt idx="1399">
                  <c:v>0</c:v>
                </c:pt>
                <c:pt idx="1400">
                  <c:v>0</c:v>
                </c:pt>
                <c:pt idx="1401">
                  <c:v>0</c:v>
                </c:pt>
                <c:pt idx="1402">
                  <c:v>0</c:v>
                </c:pt>
                <c:pt idx="1403">
                  <c:v>0</c:v>
                </c:pt>
                <c:pt idx="1404">
                  <c:v>0</c:v>
                </c:pt>
                <c:pt idx="1405">
                  <c:v>0</c:v>
                </c:pt>
                <c:pt idx="1406">
                  <c:v>0</c:v>
                </c:pt>
                <c:pt idx="1407">
                  <c:v>0</c:v>
                </c:pt>
                <c:pt idx="1408">
                  <c:v>0</c:v>
                </c:pt>
                <c:pt idx="1409">
                  <c:v>0</c:v>
                </c:pt>
                <c:pt idx="1410">
                  <c:v>0</c:v>
                </c:pt>
                <c:pt idx="1411">
                  <c:v>0</c:v>
                </c:pt>
                <c:pt idx="1412">
                  <c:v>0</c:v>
                </c:pt>
                <c:pt idx="1413">
                  <c:v>0</c:v>
                </c:pt>
                <c:pt idx="1414">
                  <c:v>0</c:v>
                </c:pt>
                <c:pt idx="1415">
                  <c:v>0</c:v>
                </c:pt>
                <c:pt idx="1416">
                  <c:v>0</c:v>
                </c:pt>
                <c:pt idx="1417">
                  <c:v>0</c:v>
                </c:pt>
                <c:pt idx="1418">
                  <c:v>0</c:v>
                </c:pt>
                <c:pt idx="1419">
                  <c:v>0</c:v>
                </c:pt>
                <c:pt idx="1420">
                  <c:v>0</c:v>
                </c:pt>
                <c:pt idx="1421">
                  <c:v>0</c:v>
                </c:pt>
                <c:pt idx="1422">
                  <c:v>0</c:v>
                </c:pt>
                <c:pt idx="1423">
                  <c:v>0</c:v>
                </c:pt>
                <c:pt idx="1424">
                  <c:v>0</c:v>
                </c:pt>
                <c:pt idx="1425">
                  <c:v>0</c:v>
                </c:pt>
                <c:pt idx="1426">
                  <c:v>0</c:v>
                </c:pt>
                <c:pt idx="1427">
                  <c:v>0</c:v>
                </c:pt>
                <c:pt idx="1428">
                  <c:v>0</c:v>
                </c:pt>
                <c:pt idx="1429">
                  <c:v>0</c:v>
                </c:pt>
                <c:pt idx="1430">
                  <c:v>0</c:v>
                </c:pt>
                <c:pt idx="1431">
                  <c:v>0</c:v>
                </c:pt>
                <c:pt idx="1432">
                  <c:v>0</c:v>
                </c:pt>
                <c:pt idx="1433">
                  <c:v>0</c:v>
                </c:pt>
                <c:pt idx="1434">
                  <c:v>0</c:v>
                </c:pt>
                <c:pt idx="1435">
                  <c:v>0</c:v>
                </c:pt>
                <c:pt idx="1436">
                  <c:v>0</c:v>
                </c:pt>
                <c:pt idx="1437">
                  <c:v>0</c:v>
                </c:pt>
                <c:pt idx="1438">
                  <c:v>0</c:v>
                </c:pt>
                <c:pt idx="1439">
                  <c:v>0</c:v>
                </c:pt>
                <c:pt idx="1440">
                  <c:v>0</c:v>
                </c:pt>
                <c:pt idx="1441">
                  <c:v>0</c:v>
                </c:pt>
                <c:pt idx="1442">
                  <c:v>0</c:v>
                </c:pt>
                <c:pt idx="1443">
                  <c:v>0</c:v>
                </c:pt>
                <c:pt idx="1444">
                  <c:v>0</c:v>
                </c:pt>
                <c:pt idx="1445">
                  <c:v>0</c:v>
                </c:pt>
                <c:pt idx="1446">
                  <c:v>0</c:v>
                </c:pt>
                <c:pt idx="1447">
                  <c:v>0</c:v>
                </c:pt>
                <c:pt idx="1448">
                  <c:v>0</c:v>
                </c:pt>
                <c:pt idx="1449">
                  <c:v>0</c:v>
                </c:pt>
                <c:pt idx="1450">
                  <c:v>0</c:v>
                </c:pt>
                <c:pt idx="1451">
                  <c:v>0</c:v>
                </c:pt>
                <c:pt idx="1452">
                  <c:v>0</c:v>
                </c:pt>
                <c:pt idx="1453">
                  <c:v>0</c:v>
                </c:pt>
                <c:pt idx="1454">
                  <c:v>0</c:v>
                </c:pt>
                <c:pt idx="1455">
                  <c:v>0</c:v>
                </c:pt>
                <c:pt idx="1456">
                  <c:v>0</c:v>
                </c:pt>
                <c:pt idx="1457">
                  <c:v>0</c:v>
                </c:pt>
                <c:pt idx="1458">
                  <c:v>0</c:v>
                </c:pt>
                <c:pt idx="1459">
                  <c:v>0</c:v>
                </c:pt>
                <c:pt idx="1460">
                  <c:v>0</c:v>
                </c:pt>
                <c:pt idx="1461">
                  <c:v>0</c:v>
                </c:pt>
                <c:pt idx="1462">
                  <c:v>0</c:v>
                </c:pt>
                <c:pt idx="1463">
                  <c:v>0</c:v>
                </c:pt>
                <c:pt idx="1464">
                  <c:v>0</c:v>
                </c:pt>
                <c:pt idx="1465">
                  <c:v>0</c:v>
                </c:pt>
                <c:pt idx="1466">
                  <c:v>0</c:v>
                </c:pt>
                <c:pt idx="1467">
                  <c:v>0</c:v>
                </c:pt>
                <c:pt idx="1468">
                  <c:v>0</c:v>
                </c:pt>
                <c:pt idx="1469">
                  <c:v>0</c:v>
                </c:pt>
                <c:pt idx="1470">
                  <c:v>0</c:v>
                </c:pt>
                <c:pt idx="1471">
                  <c:v>0</c:v>
                </c:pt>
                <c:pt idx="1472">
                  <c:v>0</c:v>
                </c:pt>
                <c:pt idx="1473">
                  <c:v>0</c:v>
                </c:pt>
                <c:pt idx="1474">
                  <c:v>0</c:v>
                </c:pt>
                <c:pt idx="1475">
                  <c:v>0</c:v>
                </c:pt>
                <c:pt idx="1476">
                  <c:v>0</c:v>
                </c:pt>
                <c:pt idx="1477">
                  <c:v>0</c:v>
                </c:pt>
                <c:pt idx="1478">
                  <c:v>0</c:v>
                </c:pt>
                <c:pt idx="1479">
                  <c:v>0</c:v>
                </c:pt>
                <c:pt idx="1480">
                  <c:v>0</c:v>
                </c:pt>
                <c:pt idx="1481">
                  <c:v>0</c:v>
                </c:pt>
                <c:pt idx="1482">
                  <c:v>0</c:v>
                </c:pt>
                <c:pt idx="1483">
                  <c:v>0</c:v>
                </c:pt>
                <c:pt idx="1484">
                  <c:v>0</c:v>
                </c:pt>
                <c:pt idx="1485">
                  <c:v>0</c:v>
                </c:pt>
                <c:pt idx="1486">
                  <c:v>0</c:v>
                </c:pt>
                <c:pt idx="1487">
                  <c:v>0</c:v>
                </c:pt>
                <c:pt idx="1488">
                  <c:v>0</c:v>
                </c:pt>
                <c:pt idx="1489">
                  <c:v>0</c:v>
                </c:pt>
                <c:pt idx="1490">
                  <c:v>0</c:v>
                </c:pt>
                <c:pt idx="1491">
                  <c:v>0</c:v>
                </c:pt>
                <c:pt idx="1492">
                  <c:v>0</c:v>
                </c:pt>
                <c:pt idx="1493">
                  <c:v>0</c:v>
                </c:pt>
                <c:pt idx="1494">
                  <c:v>0</c:v>
                </c:pt>
                <c:pt idx="1495">
                  <c:v>0</c:v>
                </c:pt>
                <c:pt idx="1496">
                  <c:v>0</c:v>
                </c:pt>
                <c:pt idx="1497">
                  <c:v>0</c:v>
                </c:pt>
                <c:pt idx="1498">
                  <c:v>0</c:v>
                </c:pt>
                <c:pt idx="1499">
                  <c:v>0</c:v>
                </c:pt>
                <c:pt idx="1500">
                  <c:v>0</c:v>
                </c:pt>
                <c:pt idx="1501">
                  <c:v>0</c:v>
                </c:pt>
                <c:pt idx="1502">
                  <c:v>0</c:v>
                </c:pt>
                <c:pt idx="1503">
                  <c:v>0</c:v>
                </c:pt>
                <c:pt idx="1504">
                  <c:v>0</c:v>
                </c:pt>
                <c:pt idx="1505">
                  <c:v>0</c:v>
                </c:pt>
                <c:pt idx="1506">
                  <c:v>0</c:v>
                </c:pt>
                <c:pt idx="1507">
                  <c:v>0</c:v>
                </c:pt>
                <c:pt idx="1508">
                  <c:v>0</c:v>
                </c:pt>
                <c:pt idx="1509">
                  <c:v>0</c:v>
                </c:pt>
                <c:pt idx="1510">
                  <c:v>0</c:v>
                </c:pt>
                <c:pt idx="1511">
                  <c:v>0</c:v>
                </c:pt>
                <c:pt idx="1512">
                  <c:v>0</c:v>
                </c:pt>
                <c:pt idx="1513">
                  <c:v>0</c:v>
                </c:pt>
                <c:pt idx="1514">
                  <c:v>0</c:v>
                </c:pt>
                <c:pt idx="1515">
                  <c:v>0</c:v>
                </c:pt>
                <c:pt idx="1516">
                  <c:v>0</c:v>
                </c:pt>
                <c:pt idx="1517">
                  <c:v>0</c:v>
                </c:pt>
                <c:pt idx="1518">
                  <c:v>0</c:v>
                </c:pt>
                <c:pt idx="1519">
                  <c:v>0</c:v>
                </c:pt>
                <c:pt idx="1520">
                  <c:v>0</c:v>
                </c:pt>
                <c:pt idx="1521">
                  <c:v>0</c:v>
                </c:pt>
                <c:pt idx="1522">
                  <c:v>0</c:v>
                </c:pt>
                <c:pt idx="1523">
                  <c:v>0</c:v>
                </c:pt>
                <c:pt idx="1524">
                  <c:v>0</c:v>
                </c:pt>
                <c:pt idx="1525">
                  <c:v>0</c:v>
                </c:pt>
                <c:pt idx="1526">
                  <c:v>0</c:v>
                </c:pt>
                <c:pt idx="1527">
                  <c:v>0</c:v>
                </c:pt>
                <c:pt idx="1528">
                  <c:v>0</c:v>
                </c:pt>
                <c:pt idx="1529">
                  <c:v>0</c:v>
                </c:pt>
                <c:pt idx="1530">
                  <c:v>0</c:v>
                </c:pt>
                <c:pt idx="1531">
                  <c:v>0</c:v>
                </c:pt>
                <c:pt idx="1532">
                  <c:v>0</c:v>
                </c:pt>
                <c:pt idx="1533">
                  <c:v>0</c:v>
                </c:pt>
                <c:pt idx="1534">
                  <c:v>0</c:v>
                </c:pt>
                <c:pt idx="1535">
                  <c:v>0</c:v>
                </c:pt>
                <c:pt idx="1536">
                  <c:v>0</c:v>
                </c:pt>
                <c:pt idx="1537">
                  <c:v>0</c:v>
                </c:pt>
                <c:pt idx="1538">
                  <c:v>0</c:v>
                </c:pt>
                <c:pt idx="1539">
                  <c:v>0</c:v>
                </c:pt>
                <c:pt idx="1540">
                  <c:v>0</c:v>
                </c:pt>
                <c:pt idx="1541">
                  <c:v>0</c:v>
                </c:pt>
                <c:pt idx="1542">
                  <c:v>0</c:v>
                </c:pt>
                <c:pt idx="1543">
                  <c:v>0</c:v>
                </c:pt>
                <c:pt idx="1544">
                  <c:v>0</c:v>
                </c:pt>
                <c:pt idx="1545">
                  <c:v>0</c:v>
                </c:pt>
                <c:pt idx="1546">
                  <c:v>0</c:v>
                </c:pt>
                <c:pt idx="1547">
                  <c:v>0</c:v>
                </c:pt>
                <c:pt idx="1548">
                  <c:v>0</c:v>
                </c:pt>
                <c:pt idx="1549">
                  <c:v>0</c:v>
                </c:pt>
                <c:pt idx="1550">
                  <c:v>0</c:v>
                </c:pt>
                <c:pt idx="1551">
                  <c:v>0</c:v>
                </c:pt>
                <c:pt idx="1552">
                  <c:v>0</c:v>
                </c:pt>
                <c:pt idx="1553">
                  <c:v>0</c:v>
                </c:pt>
                <c:pt idx="1554">
                  <c:v>0</c:v>
                </c:pt>
                <c:pt idx="1555">
                  <c:v>0</c:v>
                </c:pt>
                <c:pt idx="1556">
                  <c:v>0</c:v>
                </c:pt>
                <c:pt idx="1557">
                  <c:v>0</c:v>
                </c:pt>
                <c:pt idx="1558">
                  <c:v>0</c:v>
                </c:pt>
                <c:pt idx="1559">
                  <c:v>0</c:v>
                </c:pt>
                <c:pt idx="1560">
                  <c:v>0</c:v>
                </c:pt>
                <c:pt idx="1561">
                  <c:v>0</c:v>
                </c:pt>
                <c:pt idx="1562">
                  <c:v>0</c:v>
                </c:pt>
                <c:pt idx="1563">
                  <c:v>0</c:v>
                </c:pt>
                <c:pt idx="1564">
                  <c:v>0</c:v>
                </c:pt>
                <c:pt idx="1565">
                  <c:v>0</c:v>
                </c:pt>
                <c:pt idx="1566">
                  <c:v>0</c:v>
                </c:pt>
                <c:pt idx="1567">
                  <c:v>0</c:v>
                </c:pt>
                <c:pt idx="1568">
                  <c:v>0</c:v>
                </c:pt>
                <c:pt idx="1569">
                  <c:v>0</c:v>
                </c:pt>
                <c:pt idx="1570">
                  <c:v>0</c:v>
                </c:pt>
                <c:pt idx="1571">
                  <c:v>0</c:v>
                </c:pt>
                <c:pt idx="1572">
                  <c:v>0</c:v>
                </c:pt>
                <c:pt idx="1573">
                  <c:v>0</c:v>
                </c:pt>
                <c:pt idx="1574">
                  <c:v>0</c:v>
                </c:pt>
                <c:pt idx="1575">
                  <c:v>0</c:v>
                </c:pt>
                <c:pt idx="1576">
                  <c:v>0</c:v>
                </c:pt>
                <c:pt idx="1577">
                  <c:v>0</c:v>
                </c:pt>
                <c:pt idx="1578">
                  <c:v>0</c:v>
                </c:pt>
                <c:pt idx="1579">
                  <c:v>0</c:v>
                </c:pt>
                <c:pt idx="1580">
                  <c:v>0</c:v>
                </c:pt>
                <c:pt idx="1581">
                  <c:v>0</c:v>
                </c:pt>
                <c:pt idx="1582">
                  <c:v>0</c:v>
                </c:pt>
                <c:pt idx="1583">
                  <c:v>0</c:v>
                </c:pt>
                <c:pt idx="1584">
                  <c:v>0</c:v>
                </c:pt>
                <c:pt idx="1585">
                  <c:v>0</c:v>
                </c:pt>
                <c:pt idx="1586">
                  <c:v>0</c:v>
                </c:pt>
                <c:pt idx="1587">
                  <c:v>0</c:v>
                </c:pt>
                <c:pt idx="1588">
                  <c:v>0</c:v>
                </c:pt>
                <c:pt idx="1589">
                  <c:v>0</c:v>
                </c:pt>
                <c:pt idx="1590">
                  <c:v>0</c:v>
                </c:pt>
                <c:pt idx="1591">
                  <c:v>0</c:v>
                </c:pt>
                <c:pt idx="1592">
                  <c:v>0</c:v>
                </c:pt>
                <c:pt idx="1593">
                  <c:v>0</c:v>
                </c:pt>
                <c:pt idx="1594">
                  <c:v>0</c:v>
                </c:pt>
                <c:pt idx="1595">
                  <c:v>0</c:v>
                </c:pt>
                <c:pt idx="1596">
                  <c:v>0</c:v>
                </c:pt>
                <c:pt idx="1597">
                  <c:v>0</c:v>
                </c:pt>
                <c:pt idx="1598">
                  <c:v>0</c:v>
                </c:pt>
                <c:pt idx="1599">
                  <c:v>0</c:v>
                </c:pt>
                <c:pt idx="1600">
                  <c:v>0</c:v>
                </c:pt>
                <c:pt idx="1601">
                  <c:v>0</c:v>
                </c:pt>
                <c:pt idx="1602">
                  <c:v>0</c:v>
                </c:pt>
                <c:pt idx="1603">
                  <c:v>0</c:v>
                </c:pt>
                <c:pt idx="1604">
                  <c:v>0</c:v>
                </c:pt>
                <c:pt idx="1605">
                  <c:v>0</c:v>
                </c:pt>
                <c:pt idx="1606">
                  <c:v>0</c:v>
                </c:pt>
                <c:pt idx="1607">
                  <c:v>0</c:v>
                </c:pt>
                <c:pt idx="1608">
                  <c:v>0</c:v>
                </c:pt>
                <c:pt idx="1609">
                  <c:v>0</c:v>
                </c:pt>
                <c:pt idx="1610">
                  <c:v>0</c:v>
                </c:pt>
                <c:pt idx="1611">
                  <c:v>0</c:v>
                </c:pt>
                <c:pt idx="1612">
                  <c:v>0</c:v>
                </c:pt>
                <c:pt idx="1613">
                  <c:v>0</c:v>
                </c:pt>
                <c:pt idx="1614">
                  <c:v>0</c:v>
                </c:pt>
                <c:pt idx="1615">
                  <c:v>0</c:v>
                </c:pt>
                <c:pt idx="1616">
                  <c:v>0</c:v>
                </c:pt>
                <c:pt idx="1617">
                  <c:v>0</c:v>
                </c:pt>
                <c:pt idx="1618">
                  <c:v>0</c:v>
                </c:pt>
                <c:pt idx="1619">
                  <c:v>0</c:v>
                </c:pt>
                <c:pt idx="1620">
                  <c:v>0</c:v>
                </c:pt>
                <c:pt idx="1621">
                  <c:v>0</c:v>
                </c:pt>
                <c:pt idx="1622">
                  <c:v>0</c:v>
                </c:pt>
                <c:pt idx="1623">
                  <c:v>0</c:v>
                </c:pt>
                <c:pt idx="1624">
                  <c:v>0</c:v>
                </c:pt>
                <c:pt idx="1625">
                  <c:v>0</c:v>
                </c:pt>
                <c:pt idx="1626">
                  <c:v>0</c:v>
                </c:pt>
                <c:pt idx="1627">
                  <c:v>0</c:v>
                </c:pt>
                <c:pt idx="1628">
                  <c:v>0</c:v>
                </c:pt>
                <c:pt idx="1629">
                  <c:v>0</c:v>
                </c:pt>
                <c:pt idx="1630">
                  <c:v>0</c:v>
                </c:pt>
                <c:pt idx="1631">
                  <c:v>0</c:v>
                </c:pt>
                <c:pt idx="1632">
                  <c:v>0</c:v>
                </c:pt>
                <c:pt idx="1633">
                  <c:v>0</c:v>
                </c:pt>
                <c:pt idx="1634">
                  <c:v>0</c:v>
                </c:pt>
                <c:pt idx="1635">
                  <c:v>0</c:v>
                </c:pt>
                <c:pt idx="1636">
                  <c:v>0</c:v>
                </c:pt>
                <c:pt idx="1637">
                  <c:v>0</c:v>
                </c:pt>
                <c:pt idx="1638">
                  <c:v>0</c:v>
                </c:pt>
                <c:pt idx="1639">
                  <c:v>0</c:v>
                </c:pt>
                <c:pt idx="1640">
                  <c:v>0</c:v>
                </c:pt>
                <c:pt idx="1641">
                  <c:v>0</c:v>
                </c:pt>
                <c:pt idx="1642">
                  <c:v>0</c:v>
                </c:pt>
                <c:pt idx="1643">
                  <c:v>0</c:v>
                </c:pt>
                <c:pt idx="1644">
                  <c:v>0</c:v>
                </c:pt>
                <c:pt idx="1645">
                  <c:v>0</c:v>
                </c:pt>
                <c:pt idx="1646">
                  <c:v>0</c:v>
                </c:pt>
                <c:pt idx="1647">
                  <c:v>0</c:v>
                </c:pt>
                <c:pt idx="1648">
                  <c:v>0</c:v>
                </c:pt>
                <c:pt idx="1649">
                  <c:v>0</c:v>
                </c:pt>
                <c:pt idx="1650">
                  <c:v>0</c:v>
                </c:pt>
                <c:pt idx="1651">
                  <c:v>0</c:v>
                </c:pt>
                <c:pt idx="1652">
                  <c:v>0</c:v>
                </c:pt>
                <c:pt idx="1653">
                  <c:v>0</c:v>
                </c:pt>
                <c:pt idx="1654">
                  <c:v>0</c:v>
                </c:pt>
                <c:pt idx="1655">
                  <c:v>0</c:v>
                </c:pt>
                <c:pt idx="1656">
                  <c:v>0</c:v>
                </c:pt>
                <c:pt idx="1657">
                  <c:v>0</c:v>
                </c:pt>
                <c:pt idx="1658">
                  <c:v>0</c:v>
                </c:pt>
                <c:pt idx="1659">
                  <c:v>0</c:v>
                </c:pt>
                <c:pt idx="1660">
                  <c:v>0</c:v>
                </c:pt>
                <c:pt idx="1661">
                  <c:v>0</c:v>
                </c:pt>
                <c:pt idx="1662">
                  <c:v>0</c:v>
                </c:pt>
                <c:pt idx="1663">
                  <c:v>0</c:v>
                </c:pt>
                <c:pt idx="1664">
                  <c:v>0</c:v>
                </c:pt>
                <c:pt idx="1665">
                  <c:v>0</c:v>
                </c:pt>
                <c:pt idx="1666">
                  <c:v>0</c:v>
                </c:pt>
                <c:pt idx="1667">
                  <c:v>0</c:v>
                </c:pt>
                <c:pt idx="1668">
                  <c:v>0</c:v>
                </c:pt>
                <c:pt idx="1669">
                  <c:v>0</c:v>
                </c:pt>
                <c:pt idx="1670">
                  <c:v>0</c:v>
                </c:pt>
                <c:pt idx="1671">
                  <c:v>0</c:v>
                </c:pt>
                <c:pt idx="1672">
                  <c:v>0</c:v>
                </c:pt>
                <c:pt idx="1673">
                  <c:v>0</c:v>
                </c:pt>
                <c:pt idx="1674">
                  <c:v>0</c:v>
                </c:pt>
                <c:pt idx="1675">
                  <c:v>0</c:v>
                </c:pt>
                <c:pt idx="1676">
                  <c:v>0</c:v>
                </c:pt>
                <c:pt idx="1677">
                  <c:v>0</c:v>
                </c:pt>
                <c:pt idx="1678">
                  <c:v>0</c:v>
                </c:pt>
                <c:pt idx="1679">
                  <c:v>0</c:v>
                </c:pt>
                <c:pt idx="1680">
                  <c:v>0</c:v>
                </c:pt>
                <c:pt idx="1681">
                  <c:v>0</c:v>
                </c:pt>
                <c:pt idx="1682">
                  <c:v>0</c:v>
                </c:pt>
                <c:pt idx="1683">
                  <c:v>0</c:v>
                </c:pt>
                <c:pt idx="1684">
                  <c:v>0</c:v>
                </c:pt>
                <c:pt idx="1685">
                  <c:v>0</c:v>
                </c:pt>
                <c:pt idx="1686">
                  <c:v>0</c:v>
                </c:pt>
                <c:pt idx="1687">
                  <c:v>0</c:v>
                </c:pt>
                <c:pt idx="1688">
                  <c:v>0</c:v>
                </c:pt>
                <c:pt idx="1689">
                  <c:v>0</c:v>
                </c:pt>
                <c:pt idx="1690">
                  <c:v>0</c:v>
                </c:pt>
                <c:pt idx="1691">
                  <c:v>0</c:v>
                </c:pt>
                <c:pt idx="1692">
                  <c:v>0</c:v>
                </c:pt>
                <c:pt idx="1693">
                  <c:v>0</c:v>
                </c:pt>
                <c:pt idx="1694">
                  <c:v>0</c:v>
                </c:pt>
                <c:pt idx="1695">
                  <c:v>0</c:v>
                </c:pt>
                <c:pt idx="1696">
                  <c:v>0</c:v>
                </c:pt>
                <c:pt idx="1697">
                  <c:v>0</c:v>
                </c:pt>
                <c:pt idx="1698">
                  <c:v>0</c:v>
                </c:pt>
                <c:pt idx="1699">
                  <c:v>0</c:v>
                </c:pt>
                <c:pt idx="1700">
                  <c:v>0</c:v>
                </c:pt>
                <c:pt idx="1701">
                  <c:v>0</c:v>
                </c:pt>
                <c:pt idx="1702">
                  <c:v>0</c:v>
                </c:pt>
                <c:pt idx="1703">
                  <c:v>0</c:v>
                </c:pt>
                <c:pt idx="1704">
                  <c:v>0</c:v>
                </c:pt>
                <c:pt idx="1705">
                  <c:v>0</c:v>
                </c:pt>
                <c:pt idx="1706">
                  <c:v>0</c:v>
                </c:pt>
                <c:pt idx="1707">
                  <c:v>0</c:v>
                </c:pt>
                <c:pt idx="1708">
                  <c:v>0</c:v>
                </c:pt>
                <c:pt idx="1709">
                  <c:v>0</c:v>
                </c:pt>
                <c:pt idx="1710">
                  <c:v>0</c:v>
                </c:pt>
                <c:pt idx="1711">
                  <c:v>0</c:v>
                </c:pt>
                <c:pt idx="1712">
                  <c:v>0</c:v>
                </c:pt>
                <c:pt idx="1713">
                  <c:v>0</c:v>
                </c:pt>
                <c:pt idx="1714">
                  <c:v>0</c:v>
                </c:pt>
                <c:pt idx="1715">
                  <c:v>0</c:v>
                </c:pt>
                <c:pt idx="1716">
                  <c:v>0</c:v>
                </c:pt>
                <c:pt idx="1717">
                  <c:v>0</c:v>
                </c:pt>
                <c:pt idx="1718">
                  <c:v>0</c:v>
                </c:pt>
                <c:pt idx="1719">
                  <c:v>0</c:v>
                </c:pt>
                <c:pt idx="1720">
                  <c:v>0</c:v>
                </c:pt>
                <c:pt idx="1721">
                  <c:v>0</c:v>
                </c:pt>
                <c:pt idx="1722">
                  <c:v>0</c:v>
                </c:pt>
                <c:pt idx="1723">
                  <c:v>0</c:v>
                </c:pt>
                <c:pt idx="1724">
                  <c:v>0</c:v>
                </c:pt>
                <c:pt idx="1725">
                  <c:v>0</c:v>
                </c:pt>
                <c:pt idx="1726">
                  <c:v>0</c:v>
                </c:pt>
                <c:pt idx="1727">
                  <c:v>0</c:v>
                </c:pt>
                <c:pt idx="1728">
                  <c:v>0</c:v>
                </c:pt>
                <c:pt idx="1729">
                  <c:v>0</c:v>
                </c:pt>
                <c:pt idx="1730">
                  <c:v>0</c:v>
                </c:pt>
                <c:pt idx="1731">
                  <c:v>0</c:v>
                </c:pt>
                <c:pt idx="1732">
                  <c:v>0</c:v>
                </c:pt>
                <c:pt idx="1733">
                  <c:v>0</c:v>
                </c:pt>
                <c:pt idx="1734">
                  <c:v>0</c:v>
                </c:pt>
                <c:pt idx="1735">
                  <c:v>0</c:v>
                </c:pt>
                <c:pt idx="1736">
                  <c:v>0</c:v>
                </c:pt>
                <c:pt idx="1737">
                  <c:v>0</c:v>
                </c:pt>
                <c:pt idx="1738">
                  <c:v>0</c:v>
                </c:pt>
                <c:pt idx="1739">
                  <c:v>0</c:v>
                </c:pt>
                <c:pt idx="1740">
                  <c:v>0</c:v>
                </c:pt>
                <c:pt idx="1741">
                  <c:v>0</c:v>
                </c:pt>
                <c:pt idx="1742">
                  <c:v>0</c:v>
                </c:pt>
                <c:pt idx="1743">
                  <c:v>0</c:v>
                </c:pt>
                <c:pt idx="1744">
                  <c:v>0</c:v>
                </c:pt>
                <c:pt idx="1745">
                  <c:v>0</c:v>
                </c:pt>
                <c:pt idx="1746">
                  <c:v>0</c:v>
                </c:pt>
                <c:pt idx="1747">
                  <c:v>0</c:v>
                </c:pt>
                <c:pt idx="1748">
                  <c:v>0</c:v>
                </c:pt>
                <c:pt idx="1749">
                  <c:v>0</c:v>
                </c:pt>
                <c:pt idx="1750">
                  <c:v>0</c:v>
                </c:pt>
                <c:pt idx="1751">
                  <c:v>0</c:v>
                </c:pt>
                <c:pt idx="1752">
                  <c:v>0</c:v>
                </c:pt>
                <c:pt idx="1753">
                  <c:v>0</c:v>
                </c:pt>
                <c:pt idx="1754">
                  <c:v>0</c:v>
                </c:pt>
                <c:pt idx="1755">
                  <c:v>0</c:v>
                </c:pt>
                <c:pt idx="1756">
                  <c:v>0</c:v>
                </c:pt>
                <c:pt idx="1757">
                  <c:v>0</c:v>
                </c:pt>
                <c:pt idx="1758">
                  <c:v>0</c:v>
                </c:pt>
                <c:pt idx="1759">
                  <c:v>0</c:v>
                </c:pt>
                <c:pt idx="1760">
                  <c:v>0</c:v>
                </c:pt>
                <c:pt idx="1761">
                  <c:v>0</c:v>
                </c:pt>
                <c:pt idx="1762">
                  <c:v>0</c:v>
                </c:pt>
                <c:pt idx="1763">
                  <c:v>0</c:v>
                </c:pt>
                <c:pt idx="1764">
                  <c:v>0</c:v>
                </c:pt>
                <c:pt idx="1765">
                  <c:v>0</c:v>
                </c:pt>
                <c:pt idx="1766">
                  <c:v>0</c:v>
                </c:pt>
                <c:pt idx="1767">
                  <c:v>0</c:v>
                </c:pt>
                <c:pt idx="1768">
                  <c:v>0</c:v>
                </c:pt>
                <c:pt idx="1769">
                  <c:v>0</c:v>
                </c:pt>
                <c:pt idx="1770">
                  <c:v>0</c:v>
                </c:pt>
                <c:pt idx="1771">
                  <c:v>0</c:v>
                </c:pt>
                <c:pt idx="1772">
                  <c:v>0</c:v>
                </c:pt>
                <c:pt idx="1773">
                  <c:v>0</c:v>
                </c:pt>
                <c:pt idx="1774">
                  <c:v>0</c:v>
                </c:pt>
                <c:pt idx="1775">
                  <c:v>0</c:v>
                </c:pt>
                <c:pt idx="1776">
                  <c:v>0</c:v>
                </c:pt>
                <c:pt idx="1777">
                  <c:v>0</c:v>
                </c:pt>
                <c:pt idx="1778">
                  <c:v>0</c:v>
                </c:pt>
                <c:pt idx="1779">
                  <c:v>0</c:v>
                </c:pt>
                <c:pt idx="1780">
                  <c:v>0</c:v>
                </c:pt>
                <c:pt idx="1781">
                  <c:v>0</c:v>
                </c:pt>
                <c:pt idx="1782">
                  <c:v>0</c:v>
                </c:pt>
                <c:pt idx="1783">
                  <c:v>0</c:v>
                </c:pt>
                <c:pt idx="1784">
                  <c:v>0</c:v>
                </c:pt>
                <c:pt idx="1785">
                  <c:v>0</c:v>
                </c:pt>
                <c:pt idx="1786">
                  <c:v>0</c:v>
                </c:pt>
                <c:pt idx="1787">
                  <c:v>0</c:v>
                </c:pt>
                <c:pt idx="1788">
                  <c:v>0</c:v>
                </c:pt>
                <c:pt idx="1789">
                  <c:v>0</c:v>
                </c:pt>
                <c:pt idx="1790">
                  <c:v>0</c:v>
                </c:pt>
                <c:pt idx="1791">
                  <c:v>0</c:v>
                </c:pt>
                <c:pt idx="1792">
                  <c:v>0</c:v>
                </c:pt>
                <c:pt idx="1793">
                  <c:v>0</c:v>
                </c:pt>
                <c:pt idx="1794">
                  <c:v>0</c:v>
                </c:pt>
                <c:pt idx="1795">
                  <c:v>0</c:v>
                </c:pt>
                <c:pt idx="1796">
                  <c:v>0</c:v>
                </c:pt>
                <c:pt idx="1797">
                  <c:v>0</c:v>
                </c:pt>
                <c:pt idx="1798">
                  <c:v>0</c:v>
                </c:pt>
                <c:pt idx="1799">
                  <c:v>0</c:v>
                </c:pt>
                <c:pt idx="1800">
                  <c:v>0</c:v>
                </c:pt>
                <c:pt idx="1801">
                  <c:v>0</c:v>
                </c:pt>
                <c:pt idx="1802">
                  <c:v>0</c:v>
                </c:pt>
                <c:pt idx="1803">
                  <c:v>0</c:v>
                </c:pt>
                <c:pt idx="1804">
                  <c:v>0</c:v>
                </c:pt>
                <c:pt idx="1805">
                  <c:v>0</c:v>
                </c:pt>
                <c:pt idx="1806">
                  <c:v>0</c:v>
                </c:pt>
                <c:pt idx="1807">
                  <c:v>0</c:v>
                </c:pt>
                <c:pt idx="1808">
                  <c:v>0</c:v>
                </c:pt>
                <c:pt idx="1809">
                  <c:v>0</c:v>
                </c:pt>
                <c:pt idx="1810">
                  <c:v>0</c:v>
                </c:pt>
                <c:pt idx="1811">
                  <c:v>0</c:v>
                </c:pt>
                <c:pt idx="1812">
                  <c:v>0</c:v>
                </c:pt>
                <c:pt idx="1813">
                  <c:v>0</c:v>
                </c:pt>
                <c:pt idx="1814">
                  <c:v>0</c:v>
                </c:pt>
                <c:pt idx="1815">
                  <c:v>0</c:v>
                </c:pt>
                <c:pt idx="1816">
                  <c:v>0</c:v>
                </c:pt>
                <c:pt idx="1817">
                  <c:v>0</c:v>
                </c:pt>
                <c:pt idx="1818">
                  <c:v>0</c:v>
                </c:pt>
                <c:pt idx="1819">
                  <c:v>0</c:v>
                </c:pt>
                <c:pt idx="1820">
                  <c:v>0</c:v>
                </c:pt>
                <c:pt idx="1821">
                  <c:v>0</c:v>
                </c:pt>
                <c:pt idx="1822">
                  <c:v>0</c:v>
                </c:pt>
                <c:pt idx="1823">
                  <c:v>0</c:v>
                </c:pt>
                <c:pt idx="1824">
                  <c:v>0</c:v>
                </c:pt>
                <c:pt idx="1825">
                  <c:v>0</c:v>
                </c:pt>
                <c:pt idx="1826">
                  <c:v>0</c:v>
                </c:pt>
                <c:pt idx="1827">
                  <c:v>0</c:v>
                </c:pt>
                <c:pt idx="1828">
                  <c:v>0</c:v>
                </c:pt>
                <c:pt idx="1829">
                  <c:v>0</c:v>
                </c:pt>
                <c:pt idx="1830">
                  <c:v>0</c:v>
                </c:pt>
                <c:pt idx="1831">
                  <c:v>0</c:v>
                </c:pt>
                <c:pt idx="1832">
                  <c:v>0</c:v>
                </c:pt>
                <c:pt idx="1833">
                  <c:v>0</c:v>
                </c:pt>
                <c:pt idx="1834">
                  <c:v>0</c:v>
                </c:pt>
                <c:pt idx="1835">
                  <c:v>0</c:v>
                </c:pt>
                <c:pt idx="1836">
                  <c:v>0</c:v>
                </c:pt>
                <c:pt idx="1837">
                  <c:v>0</c:v>
                </c:pt>
                <c:pt idx="1838">
                  <c:v>0</c:v>
                </c:pt>
                <c:pt idx="1839">
                  <c:v>0</c:v>
                </c:pt>
                <c:pt idx="1840">
                  <c:v>0</c:v>
                </c:pt>
                <c:pt idx="1841">
                  <c:v>0</c:v>
                </c:pt>
                <c:pt idx="1842">
                  <c:v>0</c:v>
                </c:pt>
                <c:pt idx="1843">
                  <c:v>0</c:v>
                </c:pt>
                <c:pt idx="1844">
                  <c:v>0</c:v>
                </c:pt>
                <c:pt idx="1845">
                  <c:v>0</c:v>
                </c:pt>
                <c:pt idx="1846">
                  <c:v>0</c:v>
                </c:pt>
                <c:pt idx="1847">
                  <c:v>0</c:v>
                </c:pt>
                <c:pt idx="1848">
                  <c:v>0</c:v>
                </c:pt>
                <c:pt idx="1849">
                  <c:v>0</c:v>
                </c:pt>
                <c:pt idx="1850">
                  <c:v>0</c:v>
                </c:pt>
                <c:pt idx="1851">
                  <c:v>0</c:v>
                </c:pt>
                <c:pt idx="1852">
                  <c:v>0</c:v>
                </c:pt>
                <c:pt idx="1853">
                  <c:v>0</c:v>
                </c:pt>
                <c:pt idx="1854">
                  <c:v>0</c:v>
                </c:pt>
                <c:pt idx="1855">
                  <c:v>0</c:v>
                </c:pt>
                <c:pt idx="1856">
                  <c:v>0</c:v>
                </c:pt>
                <c:pt idx="1857">
                  <c:v>0</c:v>
                </c:pt>
                <c:pt idx="1858">
                  <c:v>0</c:v>
                </c:pt>
                <c:pt idx="1859">
                  <c:v>0</c:v>
                </c:pt>
                <c:pt idx="1860">
                  <c:v>0</c:v>
                </c:pt>
                <c:pt idx="1861">
                  <c:v>0</c:v>
                </c:pt>
                <c:pt idx="1862">
                  <c:v>0</c:v>
                </c:pt>
                <c:pt idx="1863">
                  <c:v>0</c:v>
                </c:pt>
                <c:pt idx="1864">
                  <c:v>0</c:v>
                </c:pt>
                <c:pt idx="1865">
                  <c:v>0</c:v>
                </c:pt>
                <c:pt idx="1866">
                  <c:v>0</c:v>
                </c:pt>
                <c:pt idx="1867">
                  <c:v>0</c:v>
                </c:pt>
                <c:pt idx="1868">
                  <c:v>0</c:v>
                </c:pt>
                <c:pt idx="1869">
                  <c:v>0</c:v>
                </c:pt>
                <c:pt idx="1870">
                  <c:v>0</c:v>
                </c:pt>
                <c:pt idx="1871">
                  <c:v>0</c:v>
                </c:pt>
                <c:pt idx="1872">
                  <c:v>0</c:v>
                </c:pt>
                <c:pt idx="1873">
                  <c:v>0</c:v>
                </c:pt>
                <c:pt idx="1874">
                  <c:v>0</c:v>
                </c:pt>
                <c:pt idx="1875">
                  <c:v>0</c:v>
                </c:pt>
                <c:pt idx="1876">
                  <c:v>0</c:v>
                </c:pt>
                <c:pt idx="1877">
                  <c:v>0</c:v>
                </c:pt>
                <c:pt idx="1878">
                  <c:v>0</c:v>
                </c:pt>
                <c:pt idx="1879">
                  <c:v>0</c:v>
                </c:pt>
                <c:pt idx="1880">
                  <c:v>0</c:v>
                </c:pt>
                <c:pt idx="1881">
                  <c:v>0</c:v>
                </c:pt>
                <c:pt idx="1882">
                  <c:v>0</c:v>
                </c:pt>
                <c:pt idx="1883">
                  <c:v>0</c:v>
                </c:pt>
                <c:pt idx="1884">
                  <c:v>0</c:v>
                </c:pt>
                <c:pt idx="1885">
                  <c:v>0</c:v>
                </c:pt>
                <c:pt idx="1886">
                  <c:v>0</c:v>
                </c:pt>
                <c:pt idx="1887">
                  <c:v>0</c:v>
                </c:pt>
                <c:pt idx="1888">
                  <c:v>0</c:v>
                </c:pt>
                <c:pt idx="1889">
                  <c:v>0</c:v>
                </c:pt>
                <c:pt idx="1890">
                  <c:v>0</c:v>
                </c:pt>
                <c:pt idx="1891">
                  <c:v>0</c:v>
                </c:pt>
                <c:pt idx="1892">
                  <c:v>0</c:v>
                </c:pt>
                <c:pt idx="1893">
                  <c:v>0</c:v>
                </c:pt>
                <c:pt idx="1894">
                  <c:v>0</c:v>
                </c:pt>
                <c:pt idx="1895">
                  <c:v>0</c:v>
                </c:pt>
                <c:pt idx="1896">
                  <c:v>0</c:v>
                </c:pt>
                <c:pt idx="1897">
                  <c:v>0</c:v>
                </c:pt>
                <c:pt idx="1898">
                  <c:v>0</c:v>
                </c:pt>
                <c:pt idx="1899">
                  <c:v>0</c:v>
                </c:pt>
                <c:pt idx="1900">
                  <c:v>0</c:v>
                </c:pt>
                <c:pt idx="1901">
                  <c:v>0</c:v>
                </c:pt>
                <c:pt idx="1902">
                  <c:v>0</c:v>
                </c:pt>
                <c:pt idx="1903">
                  <c:v>0</c:v>
                </c:pt>
                <c:pt idx="1904">
                  <c:v>0</c:v>
                </c:pt>
                <c:pt idx="1905">
                  <c:v>0</c:v>
                </c:pt>
                <c:pt idx="1906">
                  <c:v>0</c:v>
                </c:pt>
                <c:pt idx="1907">
                  <c:v>0</c:v>
                </c:pt>
                <c:pt idx="1908">
                  <c:v>0</c:v>
                </c:pt>
                <c:pt idx="1909">
                  <c:v>0</c:v>
                </c:pt>
                <c:pt idx="1910">
                  <c:v>0</c:v>
                </c:pt>
                <c:pt idx="1911">
                  <c:v>0</c:v>
                </c:pt>
                <c:pt idx="1912">
                  <c:v>0</c:v>
                </c:pt>
                <c:pt idx="1913">
                  <c:v>0</c:v>
                </c:pt>
                <c:pt idx="1914">
                  <c:v>0</c:v>
                </c:pt>
                <c:pt idx="1915">
                  <c:v>0</c:v>
                </c:pt>
                <c:pt idx="1916">
                  <c:v>0</c:v>
                </c:pt>
                <c:pt idx="1917">
                  <c:v>0</c:v>
                </c:pt>
                <c:pt idx="1918">
                  <c:v>0</c:v>
                </c:pt>
                <c:pt idx="1919">
                  <c:v>0</c:v>
                </c:pt>
                <c:pt idx="1920">
                  <c:v>0</c:v>
                </c:pt>
                <c:pt idx="1921">
                  <c:v>0</c:v>
                </c:pt>
                <c:pt idx="1922">
                  <c:v>0</c:v>
                </c:pt>
                <c:pt idx="1923">
                  <c:v>0</c:v>
                </c:pt>
                <c:pt idx="1924">
                  <c:v>0</c:v>
                </c:pt>
                <c:pt idx="1925">
                  <c:v>0</c:v>
                </c:pt>
                <c:pt idx="1926">
                  <c:v>0</c:v>
                </c:pt>
                <c:pt idx="1927">
                  <c:v>0</c:v>
                </c:pt>
                <c:pt idx="1928">
                  <c:v>0</c:v>
                </c:pt>
                <c:pt idx="1929">
                  <c:v>0</c:v>
                </c:pt>
                <c:pt idx="1930">
                  <c:v>0</c:v>
                </c:pt>
                <c:pt idx="1931">
                  <c:v>0</c:v>
                </c:pt>
                <c:pt idx="1932">
                  <c:v>0</c:v>
                </c:pt>
                <c:pt idx="1933">
                  <c:v>0</c:v>
                </c:pt>
                <c:pt idx="1934">
                  <c:v>0</c:v>
                </c:pt>
                <c:pt idx="1935">
                  <c:v>0</c:v>
                </c:pt>
                <c:pt idx="1936">
                  <c:v>0</c:v>
                </c:pt>
                <c:pt idx="1937">
                  <c:v>0</c:v>
                </c:pt>
                <c:pt idx="1938">
                  <c:v>0</c:v>
                </c:pt>
                <c:pt idx="1939">
                  <c:v>0</c:v>
                </c:pt>
                <c:pt idx="1940">
                  <c:v>0</c:v>
                </c:pt>
                <c:pt idx="1941">
                  <c:v>0</c:v>
                </c:pt>
                <c:pt idx="1942">
                  <c:v>0</c:v>
                </c:pt>
                <c:pt idx="1943">
                  <c:v>0</c:v>
                </c:pt>
                <c:pt idx="1944">
                  <c:v>0</c:v>
                </c:pt>
                <c:pt idx="1945">
                  <c:v>0</c:v>
                </c:pt>
                <c:pt idx="1946">
                  <c:v>0</c:v>
                </c:pt>
                <c:pt idx="1947">
                  <c:v>0</c:v>
                </c:pt>
                <c:pt idx="1948">
                  <c:v>0</c:v>
                </c:pt>
                <c:pt idx="1949">
                  <c:v>0</c:v>
                </c:pt>
                <c:pt idx="1950">
                  <c:v>0</c:v>
                </c:pt>
                <c:pt idx="1951">
                  <c:v>0</c:v>
                </c:pt>
                <c:pt idx="1952">
                  <c:v>0</c:v>
                </c:pt>
                <c:pt idx="1953">
                  <c:v>0</c:v>
                </c:pt>
                <c:pt idx="1954">
                  <c:v>0</c:v>
                </c:pt>
                <c:pt idx="1955">
                  <c:v>0</c:v>
                </c:pt>
                <c:pt idx="1956">
                  <c:v>0</c:v>
                </c:pt>
                <c:pt idx="1957">
                  <c:v>0</c:v>
                </c:pt>
                <c:pt idx="1958">
                  <c:v>0</c:v>
                </c:pt>
                <c:pt idx="1959">
                  <c:v>0</c:v>
                </c:pt>
                <c:pt idx="1960">
                  <c:v>0</c:v>
                </c:pt>
                <c:pt idx="1961">
                  <c:v>0</c:v>
                </c:pt>
                <c:pt idx="1962">
                  <c:v>0</c:v>
                </c:pt>
                <c:pt idx="1963">
                  <c:v>0</c:v>
                </c:pt>
                <c:pt idx="1964">
                  <c:v>0</c:v>
                </c:pt>
                <c:pt idx="1965">
                  <c:v>0</c:v>
                </c:pt>
                <c:pt idx="1966">
                  <c:v>0</c:v>
                </c:pt>
                <c:pt idx="1967">
                  <c:v>0</c:v>
                </c:pt>
                <c:pt idx="1968">
                  <c:v>0</c:v>
                </c:pt>
                <c:pt idx="1969">
                  <c:v>0</c:v>
                </c:pt>
                <c:pt idx="1970">
                  <c:v>0</c:v>
                </c:pt>
                <c:pt idx="1971">
                  <c:v>0</c:v>
                </c:pt>
                <c:pt idx="1972">
                  <c:v>0</c:v>
                </c:pt>
                <c:pt idx="1973">
                  <c:v>0</c:v>
                </c:pt>
                <c:pt idx="1974">
                  <c:v>0</c:v>
                </c:pt>
                <c:pt idx="1975">
                  <c:v>0</c:v>
                </c:pt>
                <c:pt idx="1976">
                  <c:v>0</c:v>
                </c:pt>
                <c:pt idx="1977">
                  <c:v>0</c:v>
                </c:pt>
                <c:pt idx="1978">
                  <c:v>0</c:v>
                </c:pt>
                <c:pt idx="1979">
                  <c:v>0</c:v>
                </c:pt>
                <c:pt idx="1980">
                  <c:v>0</c:v>
                </c:pt>
                <c:pt idx="1981">
                  <c:v>0</c:v>
                </c:pt>
                <c:pt idx="1982">
                  <c:v>0</c:v>
                </c:pt>
                <c:pt idx="1983">
                  <c:v>0</c:v>
                </c:pt>
                <c:pt idx="1984">
                  <c:v>0</c:v>
                </c:pt>
                <c:pt idx="1985">
                  <c:v>0</c:v>
                </c:pt>
                <c:pt idx="1986">
                  <c:v>0</c:v>
                </c:pt>
                <c:pt idx="1987">
                  <c:v>0</c:v>
                </c:pt>
                <c:pt idx="1988">
                  <c:v>0</c:v>
                </c:pt>
                <c:pt idx="1989">
                  <c:v>0</c:v>
                </c:pt>
                <c:pt idx="1990">
                  <c:v>0</c:v>
                </c:pt>
                <c:pt idx="1991">
                  <c:v>0</c:v>
                </c:pt>
                <c:pt idx="1992">
                  <c:v>0</c:v>
                </c:pt>
                <c:pt idx="1993">
                  <c:v>0</c:v>
                </c:pt>
                <c:pt idx="1994">
                  <c:v>0</c:v>
                </c:pt>
                <c:pt idx="1995">
                  <c:v>0</c:v>
                </c:pt>
                <c:pt idx="1996">
                  <c:v>0</c:v>
                </c:pt>
                <c:pt idx="1997">
                  <c:v>0</c:v>
                </c:pt>
                <c:pt idx="1998">
                  <c:v>0</c:v>
                </c:pt>
                <c:pt idx="1999">
                  <c:v>0</c:v>
                </c:pt>
                <c:pt idx="2000">
                  <c:v>0</c:v>
                </c:pt>
              </c:numCache>
            </c:numRef>
          </c:yVal>
          <c:smooth val="1"/>
          <c:extLst xmlns:c16r2="http://schemas.microsoft.com/office/drawing/2015/06/chart">
            <c:ext xmlns:c16="http://schemas.microsoft.com/office/drawing/2014/chart" uri="{C3380CC4-5D6E-409C-BE32-E72D297353CC}">
              <c16:uniqueId val="{00000001-676B-479B-8242-7EB6D8847C1D}"/>
            </c:ext>
          </c:extLst>
        </c:ser>
        <c:ser>
          <c:idx val="0"/>
          <c:order val="2"/>
          <c:tx>
            <c:v>Average</c:v>
          </c:tx>
          <c:spPr>
            <a:ln w="63500">
              <a:prstDash val="sysDash"/>
            </a:ln>
          </c:spPr>
          <c:marker>
            <c:symbol val="none"/>
          </c:marker>
          <c:xVal>
            <c:numRef>
              <c:f>'Peak Models'!$A$14:$A$2014</c:f>
              <c:numCache>
                <c:formatCode>General</c:formatCode>
                <c:ptCount val="2001"/>
                <c:pt idx="0">
                  <c:v>-10</c:v>
                </c:pt>
                <c:pt idx="1">
                  <c:v>-9.99</c:v>
                </c:pt>
                <c:pt idx="2">
                  <c:v>-9.98</c:v>
                </c:pt>
                <c:pt idx="3">
                  <c:v>-9.9700000000000006</c:v>
                </c:pt>
                <c:pt idx="4">
                  <c:v>-9.9600000000000009</c:v>
                </c:pt>
                <c:pt idx="5">
                  <c:v>-9.9500000000000011</c:v>
                </c:pt>
                <c:pt idx="6">
                  <c:v>-9.9400000000000013</c:v>
                </c:pt>
                <c:pt idx="7">
                  <c:v>-9.9300000000000015</c:v>
                </c:pt>
                <c:pt idx="8">
                  <c:v>-9.9200000000000017</c:v>
                </c:pt>
                <c:pt idx="9">
                  <c:v>-9.9100000000000019</c:v>
                </c:pt>
                <c:pt idx="10">
                  <c:v>-9.9000000000000021</c:v>
                </c:pt>
                <c:pt idx="11">
                  <c:v>-9.8900000000000023</c:v>
                </c:pt>
                <c:pt idx="12">
                  <c:v>-9.8800000000000026</c:v>
                </c:pt>
                <c:pt idx="13">
                  <c:v>-9.8700000000000028</c:v>
                </c:pt>
                <c:pt idx="14">
                  <c:v>-9.860000000000003</c:v>
                </c:pt>
                <c:pt idx="15">
                  <c:v>-9.8500000000000032</c:v>
                </c:pt>
                <c:pt idx="16">
                  <c:v>-9.8400000000000034</c:v>
                </c:pt>
                <c:pt idx="17">
                  <c:v>-9.8300000000000036</c:v>
                </c:pt>
                <c:pt idx="18">
                  <c:v>-9.8200000000000038</c:v>
                </c:pt>
                <c:pt idx="19">
                  <c:v>-9.8100000000000041</c:v>
                </c:pt>
                <c:pt idx="20">
                  <c:v>-9.8000000000000043</c:v>
                </c:pt>
                <c:pt idx="21">
                  <c:v>-9.7900000000000045</c:v>
                </c:pt>
                <c:pt idx="22">
                  <c:v>-9.7800000000000047</c:v>
                </c:pt>
                <c:pt idx="23">
                  <c:v>-9.7700000000000049</c:v>
                </c:pt>
                <c:pt idx="24">
                  <c:v>-9.7600000000000051</c:v>
                </c:pt>
                <c:pt idx="25">
                  <c:v>-9.7500000000000053</c:v>
                </c:pt>
                <c:pt idx="26">
                  <c:v>-9.7400000000000055</c:v>
                </c:pt>
                <c:pt idx="27">
                  <c:v>-9.7300000000000058</c:v>
                </c:pt>
                <c:pt idx="28">
                  <c:v>-9.720000000000006</c:v>
                </c:pt>
                <c:pt idx="29">
                  <c:v>-9.7100000000000062</c:v>
                </c:pt>
                <c:pt idx="30">
                  <c:v>-9.7000000000000064</c:v>
                </c:pt>
                <c:pt idx="31">
                  <c:v>-9.6900000000000066</c:v>
                </c:pt>
                <c:pt idx="32">
                  <c:v>-9.6800000000000068</c:v>
                </c:pt>
                <c:pt idx="33">
                  <c:v>-9.670000000000007</c:v>
                </c:pt>
                <c:pt idx="34">
                  <c:v>-9.6600000000000072</c:v>
                </c:pt>
                <c:pt idx="35">
                  <c:v>-9.6500000000000075</c:v>
                </c:pt>
                <c:pt idx="36">
                  <c:v>-9.6400000000000077</c:v>
                </c:pt>
                <c:pt idx="37">
                  <c:v>-9.6300000000000079</c:v>
                </c:pt>
                <c:pt idx="38">
                  <c:v>-9.6200000000000081</c:v>
                </c:pt>
                <c:pt idx="39">
                  <c:v>-9.6100000000000083</c:v>
                </c:pt>
                <c:pt idx="40">
                  <c:v>-9.6000000000000085</c:v>
                </c:pt>
                <c:pt idx="41">
                  <c:v>-9.5900000000000087</c:v>
                </c:pt>
                <c:pt idx="42">
                  <c:v>-9.580000000000009</c:v>
                </c:pt>
                <c:pt idx="43">
                  <c:v>-9.5700000000000092</c:v>
                </c:pt>
                <c:pt idx="44">
                  <c:v>-9.5600000000000094</c:v>
                </c:pt>
                <c:pt idx="45">
                  <c:v>-9.5500000000000096</c:v>
                </c:pt>
                <c:pt idx="46">
                  <c:v>-9.5400000000000098</c:v>
                </c:pt>
                <c:pt idx="47">
                  <c:v>-9.53000000000001</c:v>
                </c:pt>
                <c:pt idx="48">
                  <c:v>-9.5200000000000102</c:v>
                </c:pt>
                <c:pt idx="49">
                  <c:v>-9.5100000000000104</c:v>
                </c:pt>
                <c:pt idx="50">
                  <c:v>-9.5000000000000107</c:v>
                </c:pt>
                <c:pt idx="51">
                  <c:v>-9.4900000000000109</c:v>
                </c:pt>
                <c:pt idx="52">
                  <c:v>-9.4800000000000111</c:v>
                </c:pt>
                <c:pt idx="53">
                  <c:v>-9.4700000000000113</c:v>
                </c:pt>
                <c:pt idx="54">
                  <c:v>-9.4600000000000115</c:v>
                </c:pt>
                <c:pt idx="55">
                  <c:v>-9.4500000000000117</c:v>
                </c:pt>
                <c:pt idx="56">
                  <c:v>-9.4400000000000119</c:v>
                </c:pt>
                <c:pt idx="57">
                  <c:v>-9.4300000000000122</c:v>
                </c:pt>
                <c:pt idx="58">
                  <c:v>-9.4200000000000124</c:v>
                </c:pt>
                <c:pt idx="59">
                  <c:v>-9.4100000000000126</c:v>
                </c:pt>
                <c:pt idx="60">
                  <c:v>-9.4000000000000128</c:v>
                </c:pt>
                <c:pt idx="61">
                  <c:v>-9.390000000000013</c:v>
                </c:pt>
                <c:pt idx="62">
                  <c:v>-9.3800000000000132</c:v>
                </c:pt>
                <c:pt idx="63">
                  <c:v>-9.3700000000000134</c:v>
                </c:pt>
                <c:pt idx="64">
                  <c:v>-9.3600000000000136</c:v>
                </c:pt>
                <c:pt idx="65">
                  <c:v>-9.3500000000000139</c:v>
                </c:pt>
                <c:pt idx="66">
                  <c:v>-9.3400000000000141</c:v>
                </c:pt>
                <c:pt idx="67">
                  <c:v>-9.3300000000000143</c:v>
                </c:pt>
                <c:pt idx="68">
                  <c:v>-9.3200000000000145</c:v>
                </c:pt>
                <c:pt idx="69">
                  <c:v>-9.3100000000000147</c:v>
                </c:pt>
                <c:pt idx="70">
                  <c:v>-9.3000000000000149</c:v>
                </c:pt>
                <c:pt idx="71">
                  <c:v>-9.2900000000000151</c:v>
                </c:pt>
                <c:pt idx="72">
                  <c:v>-9.2800000000000153</c:v>
                </c:pt>
                <c:pt idx="73">
                  <c:v>-9.2700000000000156</c:v>
                </c:pt>
                <c:pt idx="74">
                  <c:v>-9.2600000000000158</c:v>
                </c:pt>
                <c:pt idx="75">
                  <c:v>-9.250000000000016</c:v>
                </c:pt>
                <c:pt idx="76">
                  <c:v>-9.2400000000000162</c:v>
                </c:pt>
                <c:pt idx="77">
                  <c:v>-9.2300000000000164</c:v>
                </c:pt>
                <c:pt idx="78">
                  <c:v>-9.2200000000000166</c:v>
                </c:pt>
                <c:pt idx="79">
                  <c:v>-9.2100000000000168</c:v>
                </c:pt>
                <c:pt idx="80">
                  <c:v>-9.2000000000000171</c:v>
                </c:pt>
                <c:pt idx="81">
                  <c:v>-9.1900000000000173</c:v>
                </c:pt>
                <c:pt idx="82">
                  <c:v>-9.1800000000000175</c:v>
                </c:pt>
                <c:pt idx="83">
                  <c:v>-9.1700000000000177</c:v>
                </c:pt>
                <c:pt idx="84">
                  <c:v>-9.1600000000000179</c:v>
                </c:pt>
                <c:pt idx="85">
                  <c:v>-9.1500000000000181</c:v>
                </c:pt>
                <c:pt idx="86">
                  <c:v>-9.1400000000000183</c:v>
                </c:pt>
                <c:pt idx="87">
                  <c:v>-9.1300000000000185</c:v>
                </c:pt>
                <c:pt idx="88">
                  <c:v>-9.1200000000000188</c:v>
                </c:pt>
                <c:pt idx="89">
                  <c:v>-9.110000000000019</c:v>
                </c:pt>
                <c:pt idx="90">
                  <c:v>-9.1000000000000192</c:v>
                </c:pt>
                <c:pt idx="91">
                  <c:v>-9.0900000000000194</c:v>
                </c:pt>
                <c:pt idx="92">
                  <c:v>-9.0800000000000196</c:v>
                </c:pt>
                <c:pt idx="93">
                  <c:v>-9.0700000000000198</c:v>
                </c:pt>
                <c:pt idx="94">
                  <c:v>-9.06000000000002</c:v>
                </c:pt>
                <c:pt idx="95">
                  <c:v>-9.0500000000000203</c:v>
                </c:pt>
                <c:pt idx="96">
                  <c:v>-9.0400000000000205</c:v>
                </c:pt>
                <c:pt idx="97">
                  <c:v>-9.0300000000000207</c:v>
                </c:pt>
                <c:pt idx="98">
                  <c:v>-9.0200000000000209</c:v>
                </c:pt>
                <c:pt idx="99">
                  <c:v>-9.0100000000000211</c:v>
                </c:pt>
                <c:pt idx="100">
                  <c:v>-9.0000000000000213</c:v>
                </c:pt>
                <c:pt idx="101">
                  <c:v>-8.9900000000000215</c:v>
                </c:pt>
                <c:pt idx="102">
                  <c:v>-8.9800000000000217</c:v>
                </c:pt>
                <c:pt idx="103">
                  <c:v>-8.970000000000022</c:v>
                </c:pt>
                <c:pt idx="104">
                  <c:v>-8.9600000000000222</c:v>
                </c:pt>
                <c:pt idx="105">
                  <c:v>-8.9500000000000224</c:v>
                </c:pt>
                <c:pt idx="106">
                  <c:v>-8.9400000000000226</c:v>
                </c:pt>
                <c:pt idx="107">
                  <c:v>-8.9300000000000228</c:v>
                </c:pt>
                <c:pt idx="108">
                  <c:v>-8.920000000000023</c:v>
                </c:pt>
                <c:pt idx="109">
                  <c:v>-8.9100000000000232</c:v>
                </c:pt>
                <c:pt idx="110">
                  <c:v>-8.9000000000000234</c:v>
                </c:pt>
                <c:pt idx="111">
                  <c:v>-8.8900000000000237</c:v>
                </c:pt>
                <c:pt idx="112">
                  <c:v>-8.8800000000000239</c:v>
                </c:pt>
                <c:pt idx="113">
                  <c:v>-8.8700000000000241</c:v>
                </c:pt>
                <c:pt idx="114">
                  <c:v>-8.8600000000000243</c:v>
                </c:pt>
                <c:pt idx="115">
                  <c:v>-8.8500000000000245</c:v>
                </c:pt>
                <c:pt idx="116">
                  <c:v>-8.8400000000000247</c:v>
                </c:pt>
                <c:pt idx="117">
                  <c:v>-8.8300000000000249</c:v>
                </c:pt>
                <c:pt idx="118">
                  <c:v>-8.8200000000000252</c:v>
                </c:pt>
                <c:pt idx="119">
                  <c:v>-8.8100000000000254</c:v>
                </c:pt>
                <c:pt idx="120">
                  <c:v>-8.8000000000000256</c:v>
                </c:pt>
                <c:pt idx="121">
                  <c:v>-8.7900000000000258</c:v>
                </c:pt>
                <c:pt idx="122">
                  <c:v>-8.780000000000026</c:v>
                </c:pt>
                <c:pt idx="123">
                  <c:v>-8.7700000000000262</c:v>
                </c:pt>
                <c:pt idx="124">
                  <c:v>-8.7600000000000264</c:v>
                </c:pt>
                <c:pt idx="125">
                  <c:v>-8.7500000000000266</c:v>
                </c:pt>
                <c:pt idx="126">
                  <c:v>-8.7400000000000269</c:v>
                </c:pt>
                <c:pt idx="127">
                  <c:v>-8.7300000000000271</c:v>
                </c:pt>
                <c:pt idx="128">
                  <c:v>-8.7200000000000273</c:v>
                </c:pt>
                <c:pt idx="129">
                  <c:v>-8.7100000000000275</c:v>
                </c:pt>
                <c:pt idx="130">
                  <c:v>-8.7000000000000277</c:v>
                </c:pt>
                <c:pt idx="131">
                  <c:v>-8.6900000000000279</c:v>
                </c:pt>
                <c:pt idx="132">
                  <c:v>-8.6800000000000281</c:v>
                </c:pt>
                <c:pt idx="133">
                  <c:v>-8.6700000000000284</c:v>
                </c:pt>
                <c:pt idx="134">
                  <c:v>-8.6600000000000286</c:v>
                </c:pt>
                <c:pt idx="135">
                  <c:v>-8.6500000000000288</c:v>
                </c:pt>
                <c:pt idx="136">
                  <c:v>-8.640000000000029</c:v>
                </c:pt>
                <c:pt idx="137">
                  <c:v>-8.6300000000000292</c:v>
                </c:pt>
                <c:pt idx="138">
                  <c:v>-8.6200000000000294</c:v>
                </c:pt>
                <c:pt idx="139">
                  <c:v>-8.6100000000000296</c:v>
                </c:pt>
                <c:pt idx="140">
                  <c:v>-8.6000000000000298</c:v>
                </c:pt>
                <c:pt idx="141">
                  <c:v>-8.5900000000000301</c:v>
                </c:pt>
                <c:pt idx="142">
                  <c:v>-8.5800000000000303</c:v>
                </c:pt>
                <c:pt idx="143">
                  <c:v>-8.5700000000000305</c:v>
                </c:pt>
                <c:pt idx="144">
                  <c:v>-8.5600000000000307</c:v>
                </c:pt>
                <c:pt idx="145">
                  <c:v>-8.5500000000000309</c:v>
                </c:pt>
                <c:pt idx="146">
                  <c:v>-8.5400000000000311</c:v>
                </c:pt>
                <c:pt idx="147">
                  <c:v>-8.5300000000000313</c:v>
                </c:pt>
                <c:pt idx="148">
                  <c:v>-8.5200000000000315</c:v>
                </c:pt>
                <c:pt idx="149">
                  <c:v>-8.5100000000000318</c:v>
                </c:pt>
                <c:pt idx="150">
                  <c:v>-8.500000000000032</c:v>
                </c:pt>
                <c:pt idx="151">
                  <c:v>-8.4900000000000322</c:v>
                </c:pt>
                <c:pt idx="152">
                  <c:v>-8.4800000000000324</c:v>
                </c:pt>
                <c:pt idx="153">
                  <c:v>-8.4700000000000326</c:v>
                </c:pt>
                <c:pt idx="154">
                  <c:v>-8.4600000000000328</c:v>
                </c:pt>
                <c:pt idx="155">
                  <c:v>-8.450000000000033</c:v>
                </c:pt>
                <c:pt idx="156">
                  <c:v>-8.4400000000000333</c:v>
                </c:pt>
                <c:pt idx="157">
                  <c:v>-8.4300000000000335</c:v>
                </c:pt>
                <c:pt idx="158">
                  <c:v>-8.4200000000000337</c:v>
                </c:pt>
                <c:pt idx="159">
                  <c:v>-8.4100000000000339</c:v>
                </c:pt>
                <c:pt idx="160">
                  <c:v>-8.4000000000000341</c:v>
                </c:pt>
                <c:pt idx="161">
                  <c:v>-8.3900000000000343</c:v>
                </c:pt>
                <c:pt idx="162">
                  <c:v>-8.3800000000000345</c:v>
                </c:pt>
                <c:pt idx="163">
                  <c:v>-8.3700000000000347</c:v>
                </c:pt>
                <c:pt idx="164">
                  <c:v>-8.360000000000035</c:v>
                </c:pt>
                <c:pt idx="165">
                  <c:v>-8.3500000000000352</c:v>
                </c:pt>
                <c:pt idx="166">
                  <c:v>-8.3400000000000354</c:v>
                </c:pt>
                <c:pt idx="167">
                  <c:v>-8.3300000000000356</c:v>
                </c:pt>
                <c:pt idx="168">
                  <c:v>-8.3200000000000358</c:v>
                </c:pt>
                <c:pt idx="169">
                  <c:v>-8.310000000000036</c:v>
                </c:pt>
                <c:pt idx="170">
                  <c:v>-8.3000000000000362</c:v>
                </c:pt>
                <c:pt idx="171">
                  <c:v>-8.2900000000000365</c:v>
                </c:pt>
                <c:pt idx="172">
                  <c:v>-8.2800000000000367</c:v>
                </c:pt>
                <c:pt idx="173">
                  <c:v>-8.2700000000000369</c:v>
                </c:pt>
                <c:pt idx="174">
                  <c:v>-8.2600000000000371</c:v>
                </c:pt>
                <c:pt idx="175">
                  <c:v>-8.2500000000000373</c:v>
                </c:pt>
                <c:pt idx="176">
                  <c:v>-8.2400000000000375</c:v>
                </c:pt>
                <c:pt idx="177">
                  <c:v>-8.2300000000000377</c:v>
                </c:pt>
                <c:pt idx="178">
                  <c:v>-8.2200000000000379</c:v>
                </c:pt>
                <c:pt idx="179">
                  <c:v>-8.2100000000000382</c:v>
                </c:pt>
                <c:pt idx="180">
                  <c:v>-8.2000000000000384</c:v>
                </c:pt>
                <c:pt idx="181">
                  <c:v>-8.1900000000000386</c:v>
                </c:pt>
                <c:pt idx="182">
                  <c:v>-8.1800000000000388</c:v>
                </c:pt>
                <c:pt idx="183">
                  <c:v>-8.170000000000039</c:v>
                </c:pt>
                <c:pt idx="184">
                  <c:v>-8.1600000000000392</c:v>
                </c:pt>
                <c:pt idx="185">
                  <c:v>-8.1500000000000394</c:v>
                </c:pt>
                <c:pt idx="186">
                  <c:v>-8.1400000000000396</c:v>
                </c:pt>
                <c:pt idx="187">
                  <c:v>-8.1300000000000399</c:v>
                </c:pt>
                <c:pt idx="188">
                  <c:v>-8.1200000000000401</c:v>
                </c:pt>
                <c:pt idx="189">
                  <c:v>-8.1100000000000403</c:v>
                </c:pt>
                <c:pt idx="190">
                  <c:v>-8.1000000000000405</c:v>
                </c:pt>
                <c:pt idx="191">
                  <c:v>-8.0900000000000407</c:v>
                </c:pt>
                <c:pt idx="192">
                  <c:v>-8.0800000000000409</c:v>
                </c:pt>
                <c:pt idx="193">
                  <c:v>-8.0700000000000411</c:v>
                </c:pt>
                <c:pt idx="194">
                  <c:v>-8.0600000000000414</c:v>
                </c:pt>
                <c:pt idx="195">
                  <c:v>-8.0500000000000416</c:v>
                </c:pt>
                <c:pt idx="196">
                  <c:v>-8.0400000000000418</c:v>
                </c:pt>
                <c:pt idx="197">
                  <c:v>-8.030000000000042</c:v>
                </c:pt>
                <c:pt idx="198">
                  <c:v>-8.0200000000000422</c:v>
                </c:pt>
                <c:pt idx="199">
                  <c:v>-8.0100000000000424</c:v>
                </c:pt>
                <c:pt idx="200">
                  <c:v>-8.0000000000000426</c:v>
                </c:pt>
                <c:pt idx="201">
                  <c:v>-7.9900000000000428</c:v>
                </c:pt>
                <c:pt idx="202">
                  <c:v>-7.9800000000000431</c:v>
                </c:pt>
                <c:pt idx="203">
                  <c:v>-7.9700000000000433</c:v>
                </c:pt>
                <c:pt idx="204">
                  <c:v>-7.9600000000000435</c:v>
                </c:pt>
                <c:pt idx="205">
                  <c:v>-7.9500000000000437</c:v>
                </c:pt>
                <c:pt idx="206">
                  <c:v>-7.9400000000000439</c:v>
                </c:pt>
                <c:pt idx="207">
                  <c:v>-7.9300000000000441</c:v>
                </c:pt>
                <c:pt idx="208">
                  <c:v>-7.9200000000000443</c:v>
                </c:pt>
                <c:pt idx="209">
                  <c:v>-7.9100000000000446</c:v>
                </c:pt>
                <c:pt idx="210">
                  <c:v>-7.9000000000000448</c:v>
                </c:pt>
                <c:pt idx="211">
                  <c:v>-7.890000000000045</c:v>
                </c:pt>
                <c:pt idx="212">
                  <c:v>-7.8800000000000452</c:v>
                </c:pt>
                <c:pt idx="213">
                  <c:v>-7.8700000000000454</c:v>
                </c:pt>
                <c:pt idx="214">
                  <c:v>-7.8600000000000456</c:v>
                </c:pt>
                <c:pt idx="215">
                  <c:v>-7.8500000000000458</c:v>
                </c:pt>
                <c:pt idx="216">
                  <c:v>-7.840000000000046</c:v>
                </c:pt>
                <c:pt idx="217">
                  <c:v>-7.8300000000000463</c:v>
                </c:pt>
                <c:pt idx="218">
                  <c:v>-7.8200000000000465</c:v>
                </c:pt>
                <c:pt idx="219">
                  <c:v>-7.8100000000000467</c:v>
                </c:pt>
                <c:pt idx="220">
                  <c:v>-7.8000000000000469</c:v>
                </c:pt>
                <c:pt idx="221">
                  <c:v>-7.7900000000000471</c:v>
                </c:pt>
                <c:pt idx="222">
                  <c:v>-7.7800000000000473</c:v>
                </c:pt>
                <c:pt idx="223">
                  <c:v>-7.7700000000000475</c:v>
                </c:pt>
                <c:pt idx="224">
                  <c:v>-7.7600000000000477</c:v>
                </c:pt>
                <c:pt idx="225">
                  <c:v>-7.750000000000048</c:v>
                </c:pt>
                <c:pt idx="226">
                  <c:v>-7.7400000000000482</c:v>
                </c:pt>
                <c:pt idx="227">
                  <c:v>-7.7300000000000484</c:v>
                </c:pt>
                <c:pt idx="228">
                  <c:v>-7.7200000000000486</c:v>
                </c:pt>
                <c:pt idx="229">
                  <c:v>-7.7100000000000488</c:v>
                </c:pt>
                <c:pt idx="230">
                  <c:v>-7.700000000000049</c:v>
                </c:pt>
                <c:pt idx="231">
                  <c:v>-7.6900000000000492</c:v>
                </c:pt>
                <c:pt idx="232">
                  <c:v>-7.6800000000000495</c:v>
                </c:pt>
                <c:pt idx="233">
                  <c:v>-7.6700000000000497</c:v>
                </c:pt>
                <c:pt idx="234">
                  <c:v>-7.6600000000000499</c:v>
                </c:pt>
                <c:pt idx="235">
                  <c:v>-7.6500000000000501</c:v>
                </c:pt>
                <c:pt idx="236">
                  <c:v>-7.6400000000000503</c:v>
                </c:pt>
                <c:pt idx="237">
                  <c:v>-7.6300000000000505</c:v>
                </c:pt>
                <c:pt idx="238">
                  <c:v>-7.6200000000000507</c:v>
                </c:pt>
                <c:pt idx="239">
                  <c:v>-7.6100000000000509</c:v>
                </c:pt>
                <c:pt idx="240">
                  <c:v>-7.6000000000000512</c:v>
                </c:pt>
                <c:pt idx="241">
                  <c:v>-7.5900000000000514</c:v>
                </c:pt>
                <c:pt idx="242">
                  <c:v>-7.5800000000000516</c:v>
                </c:pt>
                <c:pt idx="243">
                  <c:v>-7.5700000000000518</c:v>
                </c:pt>
                <c:pt idx="244">
                  <c:v>-7.560000000000052</c:v>
                </c:pt>
                <c:pt idx="245">
                  <c:v>-7.5500000000000522</c:v>
                </c:pt>
                <c:pt idx="246">
                  <c:v>-7.5400000000000524</c:v>
                </c:pt>
                <c:pt idx="247">
                  <c:v>-7.5300000000000527</c:v>
                </c:pt>
                <c:pt idx="248">
                  <c:v>-7.5200000000000529</c:v>
                </c:pt>
                <c:pt idx="249">
                  <c:v>-7.5100000000000531</c:v>
                </c:pt>
                <c:pt idx="250">
                  <c:v>-7.5000000000000533</c:v>
                </c:pt>
                <c:pt idx="251">
                  <c:v>-7.4900000000000535</c:v>
                </c:pt>
                <c:pt idx="252">
                  <c:v>-7.4800000000000537</c:v>
                </c:pt>
                <c:pt idx="253">
                  <c:v>-7.4700000000000539</c:v>
                </c:pt>
                <c:pt idx="254">
                  <c:v>-7.4600000000000541</c:v>
                </c:pt>
                <c:pt idx="255">
                  <c:v>-7.4500000000000544</c:v>
                </c:pt>
                <c:pt idx="256">
                  <c:v>-7.4400000000000546</c:v>
                </c:pt>
                <c:pt idx="257">
                  <c:v>-7.4300000000000548</c:v>
                </c:pt>
                <c:pt idx="258">
                  <c:v>-7.420000000000055</c:v>
                </c:pt>
                <c:pt idx="259">
                  <c:v>-7.4100000000000552</c:v>
                </c:pt>
                <c:pt idx="260">
                  <c:v>-7.4000000000000554</c:v>
                </c:pt>
                <c:pt idx="261">
                  <c:v>-7.3900000000000556</c:v>
                </c:pt>
                <c:pt idx="262">
                  <c:v>-7.3800000000000558</c:v>
                </c:pt>
                <c:pt idx="263">
                  <c:v>-7.3700000000000561</c:v>
                </c:pt>
                <c:pt idx="264">
                  <c:v>-7.3600000000000563</c:v>
                </c:pt>
                <c:pt idx="265">
                  <c:v>-7.3500000000000565</c:v>
                </c:pt>
                <c:pt idx="266">
                  <c:v>-7.3400000000000567</c:v>
                </c:pt>
                <c:pt idx="267">
                  <c:v>-7.3300000000000569</c:v>
                </c:pt>
                <c:pt idx="268">
                  <c:v>-7.3200000000000571</c:v>
                </c:pt>
                <c:pt idx="269">
                  <c:v>-7.3100000000000573</c:v>
                </c:pt>
                <c:pt idx="270">
                  <c:v>-7.3000000000000576</c:v>
                </c:pt>
                <c:pt idx="271">
                  <c:v>-7.2900000000000578</c:v>
                </c:pt>
                <c:pt idx="272">
                  <c:v>-7.280000000000058</c:v>
                </c:pt>
                <c:pt idx="273">
                  <c:v>-7.2700000000000582</c:v>
                </c:pt>
                <c:pt idx="274">
                  <c:v>-7.2600000000000584</c:v>
                </c:pt>
                <c:pt idx="275">
                  <c:v>-7.2500000000000586</c:v>
                </c:pt>
                <c:pt idx="276">
                  <c:v>-7.2400000000000588</c:v>
                </c:pt>
                <c:pt idx="277">
                  <c:v>-7.230000000000059</c:v>
                </c:pt>
                <c:pt idx="278">
                  <c:v>-7.2200000000000593</c:v>
                </c:pt>
                <c:pt idx="279">
                  <c:v>-7.2100000000000595</c:v>
                </c:pt>
                <c:pt idx="280">
                  <c:v>-7.2000000000000597</c:v>
                </c:pt>
                <c:pt idx="281">
                  <c:v>-7.1900000000000599</c:v>
                </c:pt>
                <c:pt idx="282">
                  <c:v>-7.1800000000000601</c:v>
                </c:pt>
                <c:pt idx="283">
                  <c:v>-7.1700000000000603</c:v>
                </c:pt>
                <c:pt idx="284">
                  <c:v>-7.1600000000000605</c:v>
                </c:pt>
                <c:pt idx="285">
                  <c:v>-7.1500000000000608</c:v>
                </c:pt>
                <c:pt idx="286">
                  <c:v>-7.140000000000061</c:v>
                </c:pt>
                <c:pt idx="287">
                  <c:v>-7.1300000000000612</c:v>
                </c:pt>
                <c:pt idx="288">
                  <c:v>-7.1200000000000614</c:v>
                </c:pt>
                <c:pt idx="289">
                  <c:v>-7.1100000000000616</c:v>
                </c:pt>
                <c:pt idx="290">
                  <c:v>-7.1000000000000618</c:v>
                </c:pt>
                <c:pt idx="291">
                  <c:v>-7.090000000000062</c:v>
                </c:pt>
                <c:pt idx="292">
                  <c:v>-7.0800000000000622</c:v>
                </c:pt>
                <c:pt idx="293">
                  <c:v>-7.0700000000000625</c:v>
                </c:pt>
                <c:pt idx="294">
                  <c:v>-7.0600000000000627</c:v>
                </c:pt>
                <c:pt idx="295">
                  <c:v>-7.0500000000000629</c:v>
                </c:pt>
                <c:pt idx="296">
                  <c:v>-7.0400000000000631</c:v>
                </c:pt>
                <c:pt idx="297">
                  <c:v>-7.0300000000000633</c:v>
                </c:pt>
                <c:pt idx="298">
                  <c:v>-7.0200000000000635</c:v>
                </c:pt>
                <c:pt idx="299">
                  <c:v>-7.0100000000000637</c:v>
                </c:pt>
                <c:pt idx="300">
                  <c:v>-7.0000000000000639</c:v>
                </c:pt>
                <c:pt idx="301">
                  <c:v>-6.9900000000000642</c:v>
                </c:pt>
                <c:pt idx="302">
                  <c:v>-6.9800000000000644</c:v>
                </c:pt>
                <c:pt idx="303">
                  <c:v>-6.9700000000000646</c:v>
                </c:pt>
                <c:pt idx="304">
                  <c:v>-6.9600000000000648</c:v>
                </c:pt>
                <c:pt idx="305">
                  <c:v>-6.950000000000065</c:v>
                </c:pt>
                <c:pt idx="306">
                  <c:v>-6.9400000000000652</c:v>
                </c:pt>
                <c:pt idx="307">
                  <c:v>-6.9300000000000654</c:v>
                </c:pt>
                <c:pt idx="308">
                  <c:v>-6.9200000000000657</c:v>
                </c:pt>
                <c:pt idx="309">
                  <c:v>-6.9100000000000659</c:v>
                </c:pt>
                <c:pt idx="310">
                  <c:v>-6.9000000000000661</c:v>
                </c:pt>
                <c:pt idx="311">
                  <c:v>-6.8900000000000663</c:v>
                </c:pt>
                <c:pt idx="312">
                  <c:v>-6.8800000000000665</c:v>
                </c:pt>
                <c:pt idx="313">
                  <c:v>-6.8700000000000667</c:v>
                </c:pt>
                <c:pt idx="314">
                  <c:v>-6.8600000000000669</c:v>
                </c:pt>
                <c:pt idx="315">
                  <c:v>-6.8500000000000671</c:v>
                </c:pt>
                <c:pt idx="316">
                  <c:v>-6.8400000000000674</c:v>
                </c:pt>
                <c:pt idx="317">
                  <c:v>-6.8300000000000676</c:v>
                </c:pt>
                <c:pt idx="318">
                  <c:v>-6.8200000000000678</c:v>
                </c:pt>
                <c:pt idx="319">
                  <c:v>-6.810000000000068</c:v>
                </c:pt>
                <c:pt idx="320">
                  <c:v>-6.8000000000000682</c:v>
                </c:pt>
                <c:pt idx="321">
                  <c:v>-6.7900000000000684</c:v>
                </c:pt>
                <c:pt idx="322">
                  <c:v>-6.7800000000000686</c:v>
                </c:pt>
                <c:pt idx="323">
                  <c:v>-6.7700000000000689</c:v>
                </c:pt>
                <c:pt idx="324">
                  <c:v>-6.7600000000000691</c:v>
                </c:pt>
                <c:pt idx="325">
                  <c:v>-6.7500000000000693</c:v>
                </c:pt>
                <c:pt idx="326">
                  <c:v>-6.7400000000000695</c:v>
                </c:pt>
                <c:pt idx="327">
                  <c:v>-6.7300000000000697</c:v>
                </c:pt>
                <c:pt idx="328">
                  <c:v>-6.7200000000000699</c:v>
                </c:pt>
                <c:pt idx="329">
                  <c:v>-6.7100000000000701</c:v>
                </c:pt>
                <c:pt idx="330">
                  <c:v>-6.7000000000000703</c:v>
                </c:pt>
                <c:pt idx="331">
                  <c:v>-6.6900000000000706</c:v>
                </c:pt>
                <c:pt idx="332">
                  <c:v>-6.6800000000000708</c:v>
                </c:pt>
                <c:pt idx="333">
                  <c:v>-6.670000000000071</c:v>
                </c:pt>
                <c:pt idx="334">
                  <c:v>-6.6600000000000712</c:v>
                </c:pt>
                <c:pt idx="335">
                  <c:v>-6.6500000000000714</c:v>
                </c:pt>
                <c:pt idx="336">
                  <c:v>-6.6400000000000716</c:v>
                </c:pt>
                <c:pt idx="337">
                  <c:v>-6.6300000000000718</c:v>
                </c:pt>
                <c:pt idx="338">
                  <c:v>-6.620000000000072</c:v>
                </c:pt>
                <c:pt idx="339">
                  <c:v>-6.6100000000000723</c:v>
                </c:pt>
                <c:pt idx="340">
                  <c:v>-6.6000000000000725</c:v>
                </c:pt>
                <c:pt idx="341">
                  <c:v>-6.5900000000000727</c:v>
                </c:pt>
                <c:pt idx="342">
                  <c:v>-6.5800000000000729</c:v>
                </c:pt>
                <c:pt idx="343">
                  <c:v>-6.5700000000000731</c:v>
                </c:pt>
                <c:pt idx="344">
                  <c:v>-6.5600000000000733</c:v>
                </c:pt>
                <c:pt idx="345">
                  <c:v>-6.5500000000000735</c:v>
                </c:pt>
                <c:pt idx="346">
                  <c:v>-6.5400000000000738</c:v>
                </c:pt>
                <c:pt idx="347">
                  <c:v>-6.530000000000074</c:v>
                </c:pt>
                <c:pt idx="348">
                  <c:v>-6.5200000000000742</c:v>
                </c:pt>
                <c:pt idx="349">
                  <c:v>-6.5100000000000744</c:v>
                </c:pt>
                <c:pt idx="350">
                  <c:v>-6.5000000000000746</c:v>
                </c:pt>
                <c:pt idx="351">
                  <c:v>-6.4900000000000748</c:v>
                </c:pt>
                <c:pt idx="352">
                  <c:v>-6.480000000000075</c:v>
                </c:pt>
                <c:pt idx="353">
                  <c:v>-6.4700000000000752</c:v>
                </c:pt>
                <c:pt idx="354">
                  <c:v>-6.4600000000000755</c:v>
                </c:pt>
                <c:pt idx="355">
                  <c:v>-6.4500000000000757</c:v>
                </c:pt>
                <c:pt idx="356">
                  <c:v>-6.4400000000000759</c:v>
                </c:pt>
                <c:pt idx="357">
                  <c:v>-6.4300000000000761</c:v>
                </c:pt>
                <c:pt idx="358">
                  <c:v>-6.4200000000000763</c:v>
                </c:pt>
                <c:pt idx="359">
                  <c:v>-6.4100000000000765</c:v>
                </c:pt>
                <c:pt idx="360">
                  <c:v>-6.4000000000000767</c:v>
                </c:pt>
                <c:pt idx="361">
                  <c:v>-6.390000000000077</c:v>
                </c:pt>
                <c:pt idx="362">
                  <c:v>-6.3800000000000772</c:v>
                </c:pt>
                <c:pt idx="363">
                  <c:v>-6.3700000000000774</c:v>
                </c:pt>
                <c:pt idx="364">
                  <c:v>-6.3600000000000776</c:v>
                </c:pt>
                <c:pt idx="365">
                  <c:v>-6.3500000000000778</c:v>
                </c:pt>
                <c:pt idx="366">
                  <c:v>-6.340000000000078</c:v>
                </c:pt>
                <c:pt idx="367">
                  <c:v>-6.3300000000000782</c:v>
                </c:pt>
                <c:pt idx="368">
                  <c:v>-6.3200000000000784</c:v>
                </c:pt>
                <c:pt idx="369">
                  <c:v>-6.3100000000000787</c:v>
                </c:pt>
                <c:pt idx="370">
                  <c:v>-6.3000000000000789</c:v>
                </c:pt>
                <c:pt idx="371">
                  <c:v>-6.2900000000000791</c:v>
                </c:pt>
                <c:pt idx="372">
                  <c:v>-6.2800000000000793</c:v>
                </c:pt>
                <c:pt idx="373">
                  <c:v>-6.2700000000000795</c:v>
                </c:pt>
                <c:pt idx="374">
                  <c:v>-6.2600000000000797</c:v>
                </c:pt>
                <c:pt idx="375">
                  <c:v>-6.2500000000000799</c:v>
                </c:pt>
                <c:pt idx="376">
                  <c:v>-6.2400000000000801</c:v>
                </c:pt>
                <c:pt idx="377">
                  <c:v>-6.2300000000000804</c:v>
                </c:pt>
                <c:pt idx="378">
                  <c:v>-6.2200000000000806</c:v>
                </c:pt>
                <c:pt idx="379">
                  <c:v>-6.2100000000000808</c:v>
                </c:pt>
                <c:pt idx="380">
                  <c:v>-6.200000000000081</c:v>
                </c:pt>
                <c:pt idx="381">
                  <c:v>-6.1900000000000812</c:v>
                </c:pt>
                <c:pt idx="382">
                  <c:v>-6.1800000000000814</c:v>
                </c:pt>
                <c:pt idx="383">
                  <c:v>-6.1700000000000816</c:v>
                </c:pt>
                <c:pt idx="384">
                  <c:v>-6.1600000000000819</c:v>
                </c:pt>
                <c:pt idx="385">
                  <c:v>-6.1500000000000821</c:v>
                </c:pt>
                <c:pt idx="386">
                  <c:v>-6.1400000000000823</c:v>
                </c:pt>
                <c:pt idx="387">
                  <c:v>-6.1300000000000825</c:v>
                </c:pt>
                <c:pt idx="388">
                  <c:v>-6.1200000000000827</c:v>
                </c:pt>
                <c:pt idx="389">
                  <c:v>-6.1100000000000829</c:v>
                </c:pt>
                <c:pt idx="390">
                  <c:v>-6.1000000000000831</c:v>
                </c:pt>
                <c:pt idx="391">
                  <c:v>-6.0900000000000833</c:v>
                </c:pt>
                <c:pt idx="392">
                  <c:v>-6.0800000000000836</c:v>
                </c:pt>
                <c:pt idx="393">
                  <c:v>-6.0700000000000838</c:v>
                </c:pt>
                <c:pt idx="394">
                  <c:v>-6.060000000000084</c:v>
                </c:pt>
                <c:pt idx="395">
                  <c:v>-6.0500000000000842</c:v>
                </c:pt>
                <c:pt idx="396">
                  <c:v>-6.0400000000000844</c:v>
                </c:pt>
                <c:pt idx="397">
                  <c:v>-6.0300000000000846</c:v>
                </c:pt>
                <c:pt idx="398">
                  <c:v>-6.0200000000000848</c:v>
                </c:pt>
                <c:pt idx="399">
                  <c:v>-6.0100000000000851</c:v>
                </c:pt>
                <c:pt idx="400">
                  <c:v>-6.0000000000000853</c:v>
                </c:pt>
                <c:pt idx="401">
                  <c:v>-5.9900000000000855</c:v>
                </c:pt>
                <c:pt idx="402">
                  <c:v>-5.9800000000000857</c:v>
                </c:pt>
                <c:pt idx="403">
                  <c:v>-5.9700000000000859</c:v>
                </c:pt>
                <c:pt idx="404">
                  <c:v>-5.9600000000000861</c:v>
                </c:pt>
                <c:pt idx="405">
                  <c:v>-5.9500000000000863</c:v>
                </c:pt>
                <c:pt idx="406">
                  <c:v>-5.9400000000000865</c:v>
                </c:pt>
                <c:pt idx="407">
                  <c:v>-5.9300000000000868</c:v>
                </c:pt>
                <c:pt idx="408">
                  <c:v>-5.920000000000087</c:v>
                </c:pt>
                <c:pt idx="409">
                  <c:v>-5.9100000000000872</c:v>
                </c:pt>
                <c:pt idx="410">
                  <c:v>-5.9000000000000874</c:v>
                </c:pt>
                <c:pt idx="411">
                  <c:v>-5.8900000000000876</c:v>
                </c:pt>
                <c:pt idx="412">
                  <c:v>-5.8800000000000878</c:v>
                </c:pt>
                <c:pt idx="413">
                  <c:v>-5.870000000000088</c:v>
                </c:pt>
                <c:pt idx="414">
                  <c:v>-5.8600000000000882</c:v>
                </c:pt>
                <c:pt idx="415">
                  <c:v>-5.8500000000000885</c:v>
                </c:pt>
                <c:pt idx="416">
                  <c:v>-5.8400000000000887</c:v>
                </c:pt>
                <c:pt idx="417">
                  <c:v>-5.8300000000000889</c:v>
                </c:pt>
                <c:pt idx="418">
                  <c:v>-5.8200000000000891</c:v>
                </c:pt>
                <c:pt idx="419">
                  <c:v>-5.8100000000000893</c:v>
                </c:pt>
                <c:pt idx="420">
                  <c:v>-5.8000000000000895</c:v>
                </c:pt>
                <c:pt idx="421">
                  <c:v>-5.7900000000000897</c:v>
                </c:pt>
                <c:pt idx="422">
                  <c:v>-5.78000000000009</c:v>
                </c:pt>
                <c:pt idx="423">
                  <c:v>-5.7700000000000902</c:v>
                </c:pt>
                <c:pt idx="424">
                  <c:v>-5.7600000000000904</c:v>
                </c:pt>
                <c:pt idx="425">
                  <c:v>-5.7500000000000906</c:v>
                </c:pt>
                <c:pt idx="426">
                  <c:v>-5.7400000000000908</c:v>
                </c:pt>
                <c:pt idx="427">
                  <c:v>-5.730000000000091</c:v>
                </c:pt>
                <c:pt idx="428">
                  <c:v>-5.7200000000000912</c:v>
                </c:pt>
                <c:pt idx="429">
                  <c:v>-5.7100000000000914</c:v>
                </c:pt>
                <c:pt idx="430">
                  <c:v>-5.7000000000000917</c:v>
                </c:pt>
                <c:pt idx="431">
                  <c:v>-5.6900000000000919</c:v>
                </c:pt>
                <c:pt idx="432">
                  <c:v>-5.6800000000000921</c:v>
                </c:pt>
                <c:pt idx="433">
                  <c:v>-5.6700000000000923</c:v>
                </c:pt>
                <c:pt idx="434">
                  <c:v>-5.6600000000000925</c:v>
                </c:pt>
                <c:pt idx="435">
                  <c:v>-5.6500000000000927</c:v>
                </c:pt>
                <c:pt idx="436">
                  <c:v>-5.6400000000000929</c:v>
                </c:pt>
                <c:pt idx="437">
                  <c:v>-5.6300000000000932</c:v>
                </c:pt>
                <c:pt idx="438">
                  <c:v>-5.6200000000000934</c:v>
                </c:pt>
                <c:pt idx="439">
                  <c:v>-5.6100000000000936</c:v>
                </c:pt>
                <c:pt idx="440">
                  <c:v>-5.6000000000000938</c:v>
                </c:pt>
                <c:pt idx="441">
                  <c:v>-5.590000000000094</c:v>
                </c:pt>
                <c:pt idx="442">
                  <c:v>-5.5800000000000942</c:v>
                </c:pt>
                <c:pt idx="443">
                  <c:v>-5.5700000000000944</c:v>
                </c:pt>
                <c:pt idx="444">
                  <c:v>-5.5600000000000946</c:v>
                </c:pt>
                <c:pt idx="445">
                  <c:v>-5.5500000000000949</c:v>
                </c:pt>
                <c:pt idx="446">
                  <c:v>-5.5400000000000951</c:v>
                </c:pt>
                <c:pt idx="447">
                  <c:v>-5.5300000000000953</c:v>
                </c:pt>
                <c:pt idx="448">
                  <c:v>-5.5200000000000955</c:v>
                </c:pt>
                <c:pt idx="449">
                  <c:v>-5.5100000000000957</c:v>
                </c:pt>
                <c:pt idx="450">
                  <c:v>-5.5000000000000959</c:v>
                </c:pt>
                <c:pt idx="451">
                  <c:v>-5.4900000000000961</c:v>
                </c:pt>
                <c:pt idx="452">
                  <c:v>-5.4800000000000963</c:v>
                </c:pt>
                <c:pt idx="453">
                  <c:v>-5.4700000000000966</c:v>
                </c:pt>
                <c:pt idx="454">
                  <c:v>-5.4600000000000968</c:v>
                </c:pt>
                <c:pt idx="455">
                  <c:v>-5.450000000000097</c:v>
                </c:pt>
                <c:pt idx="456">
                  <c:v>-5.4400000000000972</c:v>
                </c:pt>
                <c:pt idx="457">
                  <c:v>-5.4300000000000974</c:v>
                </c:pt>
                <c:pt idx="458">
                  <c:v>-5.4200000000000976</c:v>
                </c:pt>
                <c:pt idx="459">
                  <c:v>-5.4100000000000978</c:v>
                </c:pt>
                <c:pt idx="460">
                  <c:v>-5.4000000000000981</c:v>
                </c:pt>
                <c:pt idx="461">
                  <c:v>-5.3900000000000983</c:v>
                </c:pt>
                <c:pt idx="462">
                  <c:v>-5.3800000000000985</c:v>
                </c:pt>
                <c:pt idx="463">
                  <c:v>-5.3700000000000987</c:v>
                </c:pt>
                <c:pt idx="464">
                  <c:v>-5.3600000000000989</c:v>
                </c:pt>
                <c:pt idx="465">
                  <c:v>-5.3500000000000991</c:v>
                </c:pt>
                <c:pt idx="466">
                  <c:v>-5.3400000000000993</c:v>
                </c:pt>
                <c:pt idx="467">
                  <c:v>-5.3300000000000995</c:v>
                </c:pt>
                <c:pt idx="468">
                  <c:v>-5.3200000000000998</c:v>
                </c:pt>
                <c:pt idx="469">
                  <c:v>-5.3100000000001</c:v>
                </c:pt>
                <c:pt idx="470">
                  <c:v>-5.3000000000001002</c:v>
                </c:pt>
                <c:pt idx="471">
                  <c:v>-5.2900000000001004</c:v>
                </c:pt>
                <c:pt idx="472">
                  <c:v>-5.2800000000001006</c:v>
                </c:pt>
                <c:pt idx="473">
                  <c:v>-5.2700000000001008</c:v>
                </c:pt>
                <c:pt idx="474">
                  <c:v>-5.260000000000101</c:v>
                </c:pt>
                <c:pt idx="475">
                  <c:v>-5.2500000000001013</c:v>
                </c:pt>
                <c:pt idx="476">
                  <c:v>-5.2400000000001015</c:v>
                </c:pt>
                <c:pt idx="477">
                  <c:v>-5.2300000000001017</c:v>
                </c:pt>
                <c:pt idx="478">
                  <c:v>-5.2200000000001019</c:v>
                </c:pt>
                <c:pt idx="479">
                  <c:v>-5.2100000000001021</c:v>
                </c:pt>
                <c:pt idx="480">
                  <c:v>-5.2000000000001023</c:v>
                </c:pt>
                <c:pt idx="481">
                  <c:v>-5.1900000000001025</c:v>
                </c:pt>
                <c:pt idx="482">
                  <c:v>-5.1800000000001027</c:v>
                </c:pt>
                <c:pt idx="483">
                  <c:v>-5.170000000000103</c:v>
                </c:pt>
                <c:pt idx="484">
                  <c:v>-5.1600000000001032</c:v>
                </c:pt>
                <c:pt idx="485">
                  <c:v>-5.1500000000001034</c:v>
                </c:pt>
                <c:pt idx="486">
                  <c:v>-5.1400000000001036</c:v>
                </c:pt>
                <c:pt idx="487">
                  <c:v>-5.1300000000001038</c:v>
                </c:pt>
                <c:pt idx="488">
                  <c:v>-5.120000000000104</c:v>
                </c:pt>
                <c:pt idx="489">
                  <c:v>-5.1100000000001042</c:v>
                </c:pt>
                <c:pt idx="490">
                  <c:v>-5.1000000000001044</c:v>
                </c:pt>
                <c:pt idx="491">
                  <c:v>-5.0900000000001047</c:v>
                </c:pt>
                <c:pt idx="492">
                  <c:v>-5.0800000000001049</c:v>
                </c:pt>
                <c:pt idx="493">
                  <c:v>-5.0700000000001051</c:v>
                </c:pt>
                <c:pt idx="494">
                  <c:v>-5.0600000000001053</c:v>
                </c:pt>
                <c:pt idx="495">
                  <c:v>-5.0500000000001055</c:v>
                </c:pt>
                <c:pt idx="496">
                  <c:v>-5.0400000000001057</c:v>
                </c:pt>
                <c:pt idx="497">
                  <c:v>-5.0300000000001059</c:v>
                </c:pt>
                <c:pt idx="498">
                  <c:v>-5.0200000000001062</c:v>
                </c:pt>
                <c:pt idx="499">
                  <c:v>-5.0100000000001064</c:v>
                </c:pt>
                <c:pt idx="500">
                  <c:v>-5.0000000000001066</c:v>
                </c:pt>
                <c:pt idx="501">
                  <c:v>-4.9900000000001068</c:v>
                </c:pt>
                <c:pt idx="502">
                  <c:v>-4.980000000000107</c:v>
                </c:pt>
                <c:pt idx="503">
                  <c:v>-4.9700000000001072</c:v>
                </c:pt>
                <c:pt idx="504">
                  <c:v>-4.9600000000001074</c:v>
                </c:pt>
                <c:pt idx="505">
                  <c:v>-4.9500000000001076</c:v>
                </c:pt>
                <c:pt idx="506">
                  <c:v>-4.9400000000001079</c:v>
                </c:pt>
                <c:pt idx="507">
                  <c:v>-4.9300000000001081</c:v>
                </c:pt>
                <c:pt idx="508">
                  <c:v>-4.9200000000001083</c:v>
                </c:pt>
                <c:pt idx="509">
                  <c:v>-4.9100000000001085</c:v>
                </c:pt>
                <c:pt idx="510">
                  <c:v>-4.9000000000001087</c:v>
                </c:pt>
                <c:pt idx="511">
                  <c:v>-4.8900000000001089</c:v>
                </c:pt>
                <c:pt idx="512">
                  <c:v>-4.8800000000001091</c:v>
                </c:pt>
                <c:pt idx="513">
                  <c:v>-4.8700000000001094</c:v>
                </c:pt>
                <c:pt idx="514">
                  <c:v>-4.8600000000001096</c:v>
                </c:pt>
                <c:pt idx="515">
                  <c:v>-4.8500000000001098</c:v>
                </c:pt>
                <c:pt idx="516">
                  <c:v>-4.84000000000011</c:v>
                </c:pt>
                <c:pt idx="517">
                  <c:v>-4.8300000000001102</c:v>
                </c:pt>
                <c:pt idx="518">
                  <c:v>-4.8200000000001104</c:v>
                </c:pt>
                <c:pt idx="519">
                  <c:v>-4.8100000000001106</c:v>
                </c:pt>
                <c:pt idx="520">
                  <c:v>-4.8000000000001108</c:v>
                </c:pt>
                <c:pt idx="521">
                  <c:v>-4.7900000000001111</c:v>
                </c:pt>
                <c:pt idx="522">
                  <c:v>-4.7800000000001113</c:v>
                </c:pt>
                <c:pt idx="523">
                  <c:v>-4.7700000000001115</c:v>
                </c:pt>
                <c:pt idx="524">
                  <c:v>-4.7600000000001117</c:v>
                </c:pt>
                <c:pt idx="525">
                  <c:v>-4.7500000000001119</c:v>
                </c:pt>
                <c:pt idx="526">
                  <c:v>-4.7400000000001121</c:v>
                </c:pt>
                <c:pt idx="527">
                  <c:v>-4.7300000000001123</c:v>
                </c:pt>
                <c:pt idx="528">
                  <c:v>-4.7200000000001125</c:v>
                </c:pt>
                <c:pt idx="529">
                  <c:v>-4.7100000000001128</c:v>
                </c:pt>
                <c:pt idx="530">
                  <c:v>-4.700000000000113</c:v>
                </c:pt>
                <c:pt idx="531">
                  <c:v>-4.6900000000001132</c:v>
                </c:pt>
                <c:pt idx="532">
                  <c:v>-4.6800000000001134</c:v>
                </c:pt>
                <c:pt idx="533">
                  <c:v>-4.6700000000001136</c:v>
                </c:pt>
                <c:pt idx="534">
                  <c:v>-4.6600000000001138</c:v>
                </c:pt>
                <c:pt idx="535">
                  <c:v>-4.650000000000114</c:v>
                </c:pt>
                <c:pt idx="536">
                  <c:v>-4.6400000000001143</c:v>
                </c:pt>
                <c:pt idx="537">
                  <c:v>-4.6300000000001145</c:v>
                </c:pt>
                <c:pt idx="538">
                  <c:v>-4.6200000000001147</c:v>
                </c:pt>
                <c:pt idx="539">
                  <c:v>-4.6100000000001149</c:v>
                </c:pt>
                <c:pt idx="540">
                  <c:v>-4.6000000000001151</c:v>
                </c:pt>
                <c:pt idx="541">
                  <c:v>-4.5900000000001153</c:v>
                </c:pt>
                <c:pt idx="542">
                  <c:v>-4.5800000000001155</c:v>
                </c:pt>
                <c:pt idx="543">
                  <c:v>-4.5700000000001157</c:v>
                </c:pt>
                <c:pt idx="544">
                  <c:v>-4.560000000000116</c:v>
                </c:pt>
                <c:pt idx="545">
                  <c:v>-4.5500000000001162</c:v>
                </c:pt>
                <c:pt idx="546">
                  <c:v>-4.5400000000001164</c:v>
                </c:pt>
                <c:pt idx="547">
                  <c:v>-4.5300000000001166</c:v>
                </c:pt>
                <c:pt idx="548">
                  <c:v>-4.5200000000001168</c:v>
                </c:pt>
                <c:pt idx="549">
                  <c:v>-4.510000000000117</c:v>
                </c:pt>
                <c:pt idx="550">
                  <c:v>-4.5000000000001172</c:v>
                </c:pt>
                <c:pt idx="551">
                  <c:v>-4.4900000000001175</c:v>
                </c:pt>
                <c:pt idx="552">
                  <c:v>-4.4800000000001177</c:v>
                </c:pt>
                <c:pt idx="553">
                  <c:v>-4.4700000000001179</c:v>
                </c:pt>
                <c:pt idx="554">
                  <c:v>-4.4600000000001181</c:v>
                </c:pt>
                <c:pt idx="555">
                  <c:v>-4.4500000000001183</c:v>
                </c:pt>
                <c:pt idx="556">
                  <c:v>-4.4400000000001185</c:v>
                </c:pt>
                <c:pt idx="557">
                  <c:v>-4.4300000000001187</c:v>
                </c:pt>
                <c:pt idx="558">
                  <c:v>-4.4200000000001189</c:v>
                </c:pt>
                <c:pt idx="559">
                  <c:v>-4.4100000000001192</c:v>
                </c:pt>
                <c:pt idx="560">
                  <c:v>-4.4000000000001194</c:v>
                </c:pt>
                <c:pt idx="561">
                  <c:v>-4.3900000000001196</c:v>
                </c:pt>
                <c:pt idx="562">
                  <c:v>-4.3800000000001198</c:v>
                </c:pt>
                <c:pt idx="563">
                  <c:v>-4.37000000000012</c:v>
                </c:pt>
                <c:pt idx="564">
                  <c:v>-4.3600000000001202</c:v>
                </c:pt>
                <c:pt idx="565">
                  <c:v>-4.3500000000001204</c:v>
                </c:pt>
                <c:pt idx="566">
                  <c:v>-4.3400000000001207</c:v>
                </c:pt>
                <c:pt idx="567">
                  <c:v>-4.3300000000001209</c:v>
                </c:pt>
                <c:pt idx="568">
                  <c:v>-4.3200000000001211</c:v>
                </c:pt>
                <c:pt idx="569">
                  <c:v>-4.3100000000001213</c:v>
                </c:pt>
                <c:pt idx="570">
                  <c:v>-4.3000000000001215</c:v>
                </c:pt>
                <c:pt idx="571">
                  <c:v>-4.2900000000001217</c:v>
                </c:pt>
                <c:pt idx="572">
                  <c:v>-4.2800000000001219</c:v>
                </c:pt>
                <c:pt idx="573">
                  <c:v>-4.2700000000001221</c:v>
                </c:pt>
                <c:pt idx="574">
                  <c:v>-4.2600000000001224</c:v>
                </c:pt>
                <c:pt idx="575">
                  <c:v>-4.2500000000001226</c:v>
                </c:pt>
                <c:pt idx="576">
                  <c:v>-4.2400000000001228</c:v>
                </c:pt>
                <c:pt idx="577">
                  <c:v>-4.230000000000123</c:v>
                </c:pt>
                <c:pt idx="578">
                  <c:v>-4.2200000000001232</c:v>
                </c:pt>
                <c:pt idx="579">
                  <c:v>-4.2100000000001234</c:v>
                </c:pt>
                <c:pt idx="580">
                  <c:v>-4.2000000000001236</c:v>
                </c:pt>
                <c:pt idx="581">
                  <c:v>-4.1900000000001238</c:v>
                </c:pt>
                <c:pt idx="582">
                  <c:v>-4.1800000000001241</c:v>
                </c:pt>
                <c:pt idx="583">
                  <c:v>-4.1700000000001243</c:v>
                </c:pt>
                <c:pt idx="584">
                  <c:v>-4.1600000000001245</c:v>
                </c:pt>
                <c:pt idx="585">
                  <c:v>-4.1500000000001247</c:v>
                </c:pt>
                <c:pt idx="586">
                  <c:v>-4.1400000000001249</c:v>
                </c:pt>
                <c:pt idx="587">
                  <c:v>-4.1300000000001251</c:v>
                </c:pt>
                <c:pt idx="588">
                  <c:v>-4.1200000000001253</c:v>
                </c:pt>
                <c:pt idx="589">
                  <c:v>-4.1100000000001256</c:v>
                </c:pt>
                <c:pt idx="590">
                  <c:v>-4.1000000000001258</c:v>
                </c:pt>
                <c:pt idx="591">
                  <c:v>-4.090000000000126</c:v>
                </c:pt>
                <c:pt idx="592">
                  <c:v>-4.0800000000001262</c:v>
                </c:pt>
                <c:pt idx="593">
                  <c:v>-4.0700000000001264</c:v>
                </c:pt>
                <c:pt idx="594">
                  <c:v>-4.0600000000001266</c:v>
                </c:pt>
                <c:pt idx="595">
                  <c:v>-4.0500000000001268</c:v>
                </c:pt>
                <c:pt idx="596">
                  <c:v>-4.040000000000127</c:v>
                </c:pt>
                <c:pt idx="597">
                  <c:v>-4.0300000000001273</c:v>
                </c:pt>
                <c:pt idx="598">
                  <c:v>-4.0200000000001275</c:v>
                </c:pt>
                <c:pt idx="599">
                  <c:v>-4.0100000000001277</c:v>
                </c:pt>
                <c:pt idx="600">
                  <c:v>-4.0000000000001279</c:v>
                </c:pt>
                <c:pt idx="601">
                  <c:v>-3.9900000000001281</c:v>
                </c:pt>
                <c:pt idx="602">
                  <c:v>-3.9800000000001283</c:v>
                </c:pt>
                <c:pt idx="603">
                  <c:v>-3.9700000000001285</c:v>
                </c:pt>
                <c:pt idx="604">
                  <c:v>-3.9600000000001288</c:v>
                </c:pt>
                <c:pt idx="605">
                  <c:v>-3.950000000000129</c:v>
                </c:pt>
                <c:pt idx="606">
                  <c:v>-3.9400000000001292</c:v>
                </c:pt>
                <c:pt idx="607">
                  <c:v>-3.9300000000001294</c:v>
                </c:pt>
                <c:pt idx="608">
                  <c:v>-3.9200000000001296</c:v>
                </c:pt>
                <c:pt idx="609">
                  <c:v>-3.9100000000001298</c:v>
                </c:pt>
                <c:pt idx="610">
                  <c:v>-3.90000000000013</c:v>
                </c:pt>
                <c:pt idx="611">
                  <c:v>-3.8900000000001302</c:v>
                </c:pt>
                <c:pt idx="612">
                  <c:v>-3.8800000000001305</c:v>
                </c:pt>
                <c:pt idx="613">
                  <c:v>-3.8700000000001307</c:v>
                </c:pt>
                <c:pt idx="614">
                  <c:v>-3.8600000000001309</c:v>
                </c:pt>
                <c:pt idx="615">
                  <c:v>-3.8500000000001311</c:v>
                </c:pt>
                <c:pt idx="616">
                  <c:v>-3.8400000000001313</c:v>
                </c:pt>
                <c:pt idx="617">
                  <c:v>-3.8300000000001315</c:v>
                </c:pt>
                <c:pt idx="618">
                  <c:v>-3.8200000000001317</c:v>
                </c:pt>
                <c:pt idx="619">
                  <c:v>-3.8100000000001319</c:v>
                </c:pt>
                <c:pt idx="620">
                  <c:v>-3.8000000000001322</c:v>
                </c:pt>
                <c:pt idx="621">
                  <c:v>-3.7900000000001324</c:v>
                </c:pt>
                <c:pt idx="622">
                  <c:v>-3.7800000000001326</c:v>
                </c:pt>
                <c:pt idx="623">
                  <c:v>-3.7700000000001328</c:v>
                </c:pt>
                <c:pt idx="624">
                  <c:v>-3.760000000000133</c:v>
                </c:pt>
                <c:pt idx="625">
                  <c:v>-3.7500000000001332</c:v>
                </c:pt>
                <c:pt idx="626">
                  <c:v>-3.7400000000001334</c:v>
                </c:pt>
                <c:pt idx="627">
                  <c:v>-3.7300000000001337</c:v>
                </c:pt>
                <c:pt idx="628">
                  <c:v>-3.7200000000001339</c:v>
                </c:pt>
                <c:pt idx="629">
                  <c:v>-3.7100000000001341</c:v>
                </c:pt>
                <c:pt idx="630">
                  <c:v>-3.7000000000001343</c:v>
                </c:pt>
                <c:pt idx="631">
                  <c:v>-3.6900000000001345</c:v>
                </c:pt>
                <c:pt idx="632">
                  <c:v>-3.6800000000001347</c:v>
                </c:pt>
                <c:pt idx="633">
                  <c:v>-3.6700000000001349</c:v>
                </c:pt>
                <c:pt idx="634">
                  <c:v>-3.6600000000001351</c:v>
                </c:pt>
                <c:pt idx="635">
                  <c:v>-3.6500000000001354</c:v>
                </c:pt>
                <c:pt idx="636">
                  <c:v>-3.6400000000001356</c:v>
                </c:pt>
                <c:pt idx="637">
                  <c:v>-3.6300000000001358</c:v>
                </c:pt>
                <c:pt idx="638">
                  <c:v>-3.620000000000136</c:v>
                </c:pt>
                <c:pt idx="639">
                  <c:v>-3.6100000000001362</c:v>
                </c:pt>
                <c:pt idx="640">
                  <c:v>-3.6000000000001364</c:v>
                </c:pt>
                <c:pt idx="641">
                  <c:v>-3.5900000000001366</c:v>
                </c:pt>
                <c:pt idx="642">
                  <c:v>-3.5800000000001369</c:v>
                </c:pt>
                <c:pt idx="643">
                  <c:v>-3.5700000000001371</c:v>
                </c:pt>
                <c:pt idx="644">
                  <c:v>-3.5600000000001373</c:v>
                </c:pt>
                <c:pt idx="645">
                  <c:v>-3.5500000000001375</c:v>
                </c:pt>
                <c:pt idx="646">
                  <c:v>-3.5400000000001377</c:v>
                </c:pt>
                <c:pt idx="647">
                  <c:v>-3.5300000000001379</c:v>
                </c:pt>
                <c:pt idx="648">
                  <c:v>-3.5200000000001381</c:v>
                </c:pt>
                <c:pt idx="649">
                  <c:v>-3.5100000000001383</c:v>
                </c:pt>
                <c:pt idx="650">
                  <c:v>-3.5000000000001386</c:v>
                </c:pt>
                <c:pt idx="651">
                  <c:v>-3.4900000000001388</c:v>
                </c:pt>
                <c:pt idx="652">
                  <c:v>-3.480000000000139</c:v>
                </c:pt>
                <c:pt idx="653">
                  <c:v>-3.4700000000001392</c:v>
                </c:pt>
                <c:pt idx="654">
                  <c:v>-3.4600000000001394</c:v>
                </c:pt>
                <c:pt idx="655">
                  <c:v>-3.4500000000001396</c:v>
                </c:pt>
                <c:pt idx="656">
                  <c:v>-3.4400000000001398</c:v>
                </c:pt>
                <c:pt idx="657">
                  <c:v>-3.43000000000014</c:v>
                </c:pt>
                <c:pt idx="658">
                  <c:v>-3.4200000000001403</c:v>
                </c:pt>
                <c:pt idx="659">
                  <c:v>-3.4100000000001405</c:v>
                </c:pt>
                <c:pt idx="660">
                  <c:v>-3.4000000000001407</c:v>
                </c:pt>
                <c:pt idx="661">
                  <c:v>-3.3900000000001409</c:v>
                </c:pt>
                <c:pt idx="662">
                  <c:v>-3.3800000000001411</c:v>
                </c:pt>
                <c:pt idx="663">
                  <c:v>-3.3700000000001413</c:v>
                </c:pt>
                <c:pt idx="664">
                  <c:v>-3.3600000000001415</c:v>
                </c:pt>
                <c:pt idx="665">
                  <c:v>-3.3500000000001418</c:v>
                </c:pt>
                <c:pt idx="666">
                  <c:v>-3.340000000000142</c:v>
                </c:pt>
                <c:pt idx="667">
                  <c:v>-3.3300000000001422</c:v>
                </c:pt>
                <c:pt idx="668">
                  <c:v>-3.3200000000001424</c:v>
                </c:pt>
                <c:pt idx="669">
                  <c:v>-3.3100000000001426</c:v>
                </c:pt>
                <c:pt idx="670">
                  <c:v>-3.3000000000001428</c:v>
                </c:pt>
                <c:pt idx="671">
                  <c:v>-3.290000000000143</c:v>
                </c:pt>
                <c:pt idx="672">
                  <c:v>-3.2800000000001432</c:v>
                </c:pt>
                <c:pt idx="673">
                  <c:v>-3.2700000000001435</c:v>
                </c:pt>
                <c:pt idx="674">
                  <c:v>-3.2600000000001437</c:v>
                </c:pt>
                <c:pt idx="675">
                  <c:v>-3.2500000000001439</c:v>
                </c:pt>
                <c:pt idx="676">
                  <c:v>-3.2400000000001441</c:v>
                </c:pt>
                <c:pt idx="677">
                  <c:v>-3.2300000000001443</c:v>
                </c:pt>
                <c:pt idx="678">
                  <c:v>-3.2200000000001445</c:v>
                </c:pt>
                <c:pt idx="679">
                  <c:v>-3.2100000000001447</c:v>
                </c:pt>
                <c:pt idx="680">
                  <c:v>-3.200000000000145</c:v>
                </c:pt>
                <c:pt idx="681">
                  <c:v>-3.1900000000001452</c:v>
                </c:pt>
                <c:pt idx="682">
                  <c:v>-3.1800000000001454</c:v>
                </c:pt>
                <c:pt idx="683">
                  <c:v>-3.1700000000001456</c:v>
                </c:pt>
                <c:pt idx="684">
                  <c:v>-3.1600000000001458</c:v>
                </c:pt>
                <c:pt idx="685">
                  <c:v>-3.150000000000146</c:v>
                </c:pt>
                <c:pt idx="686">
                  <c:v>-3.1400000000001462</c:v>
                </c:pt>
                <c:pt idx="687">
                  <c:v>-3.1300000000001464</c:v>
                </c:pt>
                <c:pt idx="688">
                  <c:v>-3.1200000000001467</c:v>
                </c:pt>
                <c:pt idx="689">
                  <c:v>-3.1100000000001469</c:v>
                </c:pt>
                <c:pt idx="690">
                  <c:v>-3.1000000000001471</c:v>
                </c:pt>
                <c:pt idx="691">
                  <c:v>-3.0900000000001473</c:v>
                </c:pt>
                <c:pt idx="692">
                  <c:v>-3.0800000000001475</c:v>
                </c:pt>
                <c:pt idx="693">
                  <c:v>-3.0700000000001477</c:v>
                </c:pt>
                <c:pt idx="694">
                  <c:v>-3.0600000000001479</c:v>
                </c:pt>
                <c:pt idx="695">
                  <c:v>-3.0500000000001481</c:v>
                </c:pt>
                <c:pt idx="696">
                  <c:v>-3.0400000000001484</c:v>
                </c:pt>
                <c:pt idx="697">
                  <c:v>-3.0300000000001486</c:v>
                </c:pt>
                <c:pt idx="698">
                  <c:v>-3.0200000000001488</c:v>
                </c:pt>
                <c:pt idx="699">
                  <c:v>-3.010000000000149</c:v>
                </c:pt>
                <c:pt idx="700">
                  <c:v>-3.0000000000001492</c:v>
                </c:pt>
                <c:pt idx="701">
                  <c:v>-2.9900000000001494</c:v>
                </c:pt>
                <c:pt idx="702">
                  <c:v>-2.9800000000001496</c:v>
                </c:pt>
                <c:pt idx="703">
                  <c:v>-2.9700000000001499</c:v>
                </c:pt>
                <c:pt idx="704">
                  <c:v>-2.9600000000001501</c:v>
                </c:pt>
                <c:pt idx="705">
                  <c:v>-2.9500000000001503</c:v>
                </c:pt>
                <c:pt idx="706">
                  <c:v>-2.9400000000001505</c:v>
                </c:pt>
                <c:pt idx="707">
                  <c:v>-2.9300000000001507</c:v>
                </c:pt>
                <c:pt idx="708">
                  <c:v>-2.9200000000001509</c:v>
                </c:pt>
                <c:pt idx="709">
                  <c:v>-2.9100000000001511</c:v>
                </c:pt>
                <c:pt idx="710">
                  <c:v>-2.9000000000001513</c:v>
                </c:pt>
                <c:pt idx="711">
                  <c:v>-2.8900000000001516</c:v>
                </c:pt>
                <c:pt idx="712">
                  <c:v>-2.8800000000001518</c:v>
                </c:pt>
                <c:pt idx="713">
                  <c:v>-2.870000000000152</c:v>
                </c:pt>
                <c:pt idx="714">
                  <c:v>-2.8600000000001522</c:v>
                </c:pt>
                <c:pt idx="715">
                  <c:v>-2.8500000000001524</c:v>
                </c:pt>
                <c:pt idx="716">
                  <c:v>-2.8400000000001526</c:v>
                </c:pt>
                <c:pt idx="717">
                  <c:v>-2.8300000000001528</c:v>
                </c:pt>
                <c:pt idx="718">
                  <c:v>-2.8200000000001531</c:v>
                </c:pt>
                <c:pt idx="719">
                  <c:v>-2.8100000000001533</c:v>
                </c:pt>
                <c:pt idx="720">
                  <c:v>-2.8000000000001535</c:v>
                </c:pt>
                <c:pt idx="721">
                  <c:v>-2.7900000000001537</c:v>
                </c:pt>
                <c:pt idx="722">
                  <c:v>-2.7800000000001539</c:v>
                </c:pt>
                <c:pt idx="723">
                  <c:v>-2.7700000000001541</c:v>
                </c:pt>
                <c:pt idx="724">
                  <c:v>-2.7600000000001543</c:v>
                </c:pt>
                <c:pt idx="725">
                  <c:v>-2.7500000000001545</c:v>
                </c:pt>
                <c:pt idx="726">
                  <c:v>-2.7400000000001548</c:v>
                </c:pt>
                <c:pt idx="727">
                  <c:v>-2.730000000000155</c:v>
                </c:pt>
                <c:pt idx="728">
                  <c:v>-2.7200000000001552</c:v>
                </c:pt>
                <c:pt idx="729">
                  <c:v>-2.7100000000001554</c:v>
                </c:pt>
                <c:pt idx="730">
                  <c:v>-2.7000000000001556</c:v>
                </c:pt>
                <c:pt idx="731">
                  <c:v>-2.6900000000001558</c:v>
                </c:pt>
                <c:pt idx="732">
                  <c:v>-2.680000000000156</c:v>
                </c:pt>
                <c:pt idx="733">
                  <c:v>-2.6700000000001562</c:v>
                </c:pt>
                <c:pt idx="734">
                  <c:v>-2.6600000000001565</c:v>
                </c:pt>
                <c:pt idx="735">
                  <c:v>-2.6500000000001567</c:v>
                </c:pt>
                <c:pt idx="736">
                  <c:v>-2.6400000000001569</c:v>
                </c:pt>
                <c:pt idx="737">
                  <c:v>-2.6300000000001571</c:v>
                </c:pt>
                <c:pt idx="738">
                  <c:v>-2.6200000000001573</c:v>
                </c:pt>
                <c:pt idx="739">
                  <c:v>-2.6100000000001575</c:v>
                </c:pt>
                <c:pt idx="740">
                  <c:v>-2.6000000000001577</c:v>
                </c:pt>
                <c:pt idx="741">
                  <c:v>-2.590000000000158</c:v>
                </c:pt>
                <c:pt idx="742">
                  <c:v>-2.5800000000001582</c:v>
                </c:pt>
                <c:pt idx="743">
                  <c:v>-2.5700000000001584</c:v>
                </c:pt>
                <c:pt idx="744">
                  <c:v>-2.5600000000001586</c:v>
                </c:pt>
                <c:pt idx="745">
                  <c:v>-2.5500000000001588</c:v>
                </c:pt>
                <c:pt idx="746">
                  <c:v>-2.540000000000159</c:v>
                </c:pt>
                <c:pt idx="747">
                  <c:v>-2.5300000000001592</c:v>
                </c:pt>
                <c:pt idx="748">
                  <c:v>-2.5200000000001594</c:v>
                </c:pt>
                <c:pt idx="749">
                  <c:v>-2.5100000000001597</c:v>
                </c:pt>
                <c:pt idx="750">
                  <c:v>-2.5000000000001599</c:v>
                </c:pt>
                <c:pt idx="751">
                  <c:v>-2.4900000000001601</c:v>
                </c:pt>
                <c:pt idx="752">
                  <c:v>-2.4800000000001603</c:v>
                </c:pt>
                <c:pt idx="753">
                  <c:v>-2.4700000000001605</c:v>
                </c:pt>
                <c:pt idx="754">
                  <c:v>-2.4600000000001607</c:v>
                </c:pt>
                <c:pt idx="755">
                  <c:v>-2.4500000000001609</c:v>
                </c:pt>
                <c:pt idx="756">
                  <c:v>-2.4400000000001612</c:v>
                </c:pt>
                <c:pt idx="757">
                  <c:v>-2.4300000000001614</c:v>
                </c:pt>
                <c:pt idx="758">
                  <c:v>-2.4200000000001616</c:v>
                </c:pt>
                <c:pt idx="759">
                  <c:v>-2.4100000000001618</c:v>
                </c:pt>
                <c:pt idx="760">
                  <c:v>-2.400000000000162</c:v>
                </c:pt>
                <c:pt idx="761">
                  <c:v>-2.3900000000001622</c:v>
                </c:pt>
                <c:pt idx="762">
                  <c:v>-2.3800000000001624</c:v>
                </c:pt>
                <c:pt idx="763">
                  <c:v>-2.3700000000001626</c:v>
                </c:pt>
                <c:pt idx="764">
                  <c:v>-2.3600000000001629</c:v>
                </c:pt>
                <c:pt idx="765">
                  <c:v>-2.3500000000001631</c:v>
                </c:pt>
                <c:pt idx="766">
                  <c:v>-2.3400000000001633</c:v>
                </c:pt>
                <c:pt idx="767">
                  <c:v>-2.3300000000001635</c:v>
                </c:pt>
                <c:pt idx="768">
                  <c:v>-2.3200000000001637</c:v>
                </c:pt>
                <c:pt idx="769">
                  <c:v>-2.3100000000001639</c:v>
                </c:pt>
                <c:pt idx="770">
                  <c:v>-2.3000000000001641</c:v>
                </c:pt>
                <c:pt idx="771">
                  <c:v>-2.2900000000001643</c:v>
                </c:pt>
                <c:pt idx="772">
                  <c:v>-2.2800000000001646</c:v>
                </c:pt>
                <c:pt idx="773">
                  <c:v>-2.2700000000001648</c:v>
                </c:pt>
                <c:pt idx="774">
                  <c:v>-2.260000000000165</c:v>
                </c:pt>
                <c:pt idx="775">
                  <c:v>-2.2500000000001652</c:v>
                </c:pt>
                <c:pt idx="776">
                  <c:v>-2.2400000000001654</c:v>
                </c:pt>
                <c:pt idx="777">
                  <c:v>-2.2300000000001656</c:v>
                </c:pt>
                <c:pt idx="778">
                  <c:v>-2.2200000000001658</c:v>
                </c:pt>
                <c:pt idx="779">
                  <c:v>-2.2100000000001661</c:v>
                </c:pt>
                <c:pt idx="780">
                  <c:v>-2.2000000000001663</c:v>
                </c:pt>
                <c:pt idx="781">
                  <c:v>-2.1900000000001665</c:v>
                </c:pt>
                <c:pt idx="782">
                  <c:v>-2.1800000000001667</c:v>
                </c:pt>
                <c:pt idx="783">
                  <c:v>-2.1700000000001669</c:v>
                </c:pt>
                <c:pt idx="784">
                  <c:v>-2.1600000000001671</c:v>
                </c:pt>
                <c:pt idx="785">
                  <c:v>-2.1500000000001673</c:v>
                </c:pt>
                <c:pt idx="786">
                  <c:v>-2.1400000000001675</c:v>
                </c:pt>
                <c:pt idx="787">
                  <c:v>-2.1300000000001678</c:v>
                </c:pt>
                <c:pt idx="788">
                  <c:v>-2.120000000000168</c:v>
                </c:pt>
                <c:pt idx="789">
                  <c:v>-2.1100000000001682</c:v>
                </c:pt>
                <c:pt idx="790">
                  <c:v>-2.1000000000001684</c:v>
                </c:pt>
                <c:pt idx="791">
                  <c:v>-2.0900000000001686</c:v>
                </c:pt>
                <c:pt idx="792">
                  <c:v>-2.0800000000001688</c:v>
                </c:pt>
                <c:pt idx="793">
                  <c:v>-2.070000000000169</c:v>
                </c:pt>
                <c:pt idx="794">
                  <c:v>-2.0600000000001693</c:v>
                </c:pt>
                <c:pt idx="795">
                  <c:v>-2.0500000000001695</c:v>
                </c:pt>
                <c:pt idx="796">
                  <c:v>-2.0400000000001697</c:v>
                </c:pt>
                <c:pt idx="797">
                  <c:v>-2.0300000000001699</c:v>
                </c:pt>
                <c:pt idx="798">
                  <c:v>-2.0200000000001701</c:v>
                </c:pt>
                <c:pt idx="799">
                  <c:v>-2.0100000000001703</c:v>
                </c:pt>
                <c:pt idx="800">
                  <c:v>-2.0000000000001705</c:v>
                </c:pt>
                <c:pt idx="801">
                  <c:v>-1.9900000000001705</c:v>
                </c:pt>
                <c:pt idx="802">
                  <c:v>-1.9800000000001705</c:v>
                </c:pt>
                <c:pt idx="803">
                  <c:v>-1.9700000000001705</c:v>
                </c:pt>
                <c:pt idx="804">
                  <c:v>-1.9600000000001705</c:v>
                </c:pt>
                <c:pt idx="805">
                  <c:v>-1.9500000000001705</c:v>
                </c:pt>
                <c:pt idx="806">
                  <c:v>-1.9400000000001705</c:v>
                </c:pt>
                <c:pt idx="807">
                  <c:v>-1.9300000000001705</c:v>
                </c:pt>
                <c:pt idx="808">
                  <c:v>-1.9200000000001705</c:v>
                </c:pt>
                <c:pt idx="809">
                  <c:v>-1.9100000000001705</c:v>
                </c:pt>
                <c:pt idx="810">
                  <c:v>-1.9000000000001704</c:v>
                </c:pt>
                <c:pt idx="811">
                  <c:v>-1.8900000000001704</c:v>
                </c:pt>
                <c:pt idx="812">
                  <c:v>-1.8800000000001704</c:v>
                </c:pt>
                <c:pt idx="813">
                  <c:v>-1.8700000000001704</c:v>
                </c:pt>
                <c:pt idx="814">
                  <c:v>-1.8600000000001704</c:v>
                </c:pt>
                <c:pt idx="815">
                  <c:v>-1.8500000000001704</c:v>
                </c:pt>
                <c:pt idx="816">
                  <c:v>-1.8400000000001704</c:v>
                </c:pt>
                <c:pt idx="817">
                  <c:v>-1.8300000000001704</c:v>
                </c:pt>
                <c:pt idx="818">
                  <c:v>-1.8200000000001704</c:v>
                </c:pt>
                <c:pt idx="819">
                  <c:v>-1.8100000000001704</c:v>
                </c:pt>
                <c:pt idx="820">
                  <c:v>-1.8000000000001704</c:v>
                </c:pt>
                <c:pt idx="821">
                  <c:v>-1.7900000000001703</c:v>
                </c:pt>
                <c:pt idx="822">
                  <c:v>-1.7800000000001703</c:v>
                </c:pt>
                <c:pt idx="823">
                  <c:v>-1.7700000000001703</c:v>
                </c:pt>
                <c:pt idx="824">
                  <c:v>-1.7600000000001703</c:v>
                </c:pt>
                <c:pt idx="825">
                  <c:v>-1.7500000000001703</c:v>
                </c:pt>
                <c:pt idx="826">
                  <c:v>-1.7400000000001703</c:v>
                </c:pt>
                <c:pt idx="827">
                  <c:v>-1.7300000000001703</c:v>
                </c:pt>
                <c:pt idx="828">
                  <c:v>-1.7200000000001703</c:v>
                </c:pt>
                <c:pt idx="829">
                  <c:v>-1.7100000000001703</c:v>
                </c:pt>
                <c:pt idx="830">
                  <c:v>-1.7000000000001703</c:v>
                </c:pt>
                <c:pt idx="831">
                  <c:v>-1.6900000000001703</c:v>
                </c:pt>
                <c:pt idx="832">
                  <c:v>-1.6800000000001702</c:v>
                </c:pt>
                <c:pt idx="833">
                  <c:v>-1.6700000000001702</c:v>
                </c:pt>
                <c:pt idx="834">
                  <c:v>-1.6600000000001702</c:v>
                </c:pt>
                <c:pt idx="835">
                  <c:v>-1.6500000000001702</c:v>
                </c:pt>
                <c:pt idx="836">
                  <c:v>-1.6400000000001702</c:v>
                </c:pt>
                <c:pt idx="837">
                  <c:v>-1.6300000000001702</c:v>
                </c:pt>
                <c:pt idx="838">
                  <c:v>-1.6200000000001702</c:v>
                </c:pt>
                <c:pt idx="839">
                  <c:v>-1.6100000000001702</c:v>
                </c:pt>
                <c:pt idx="840">
                  <c:v>-1.6000000000001702</c:v>
                </c:pt>
                <c:pt idx="841">
                  <c:v>-1.5900000000001702</c:v>
                </c:pt>
                <c:pt idx="842">
                  <c:v>-1.5800000000001702</c:v>
                </c:pt>
                <c:pt idx="843">
                  <c:v>-1.5700000000001701</c:v>
                </c:pt>
                <c:pt idx="844">
                  <c:v>-1.5600000000001701</c:v>
                </c:pt>
                <c:pt idx="845">
                  <c:v>-1.5500000000001701</c:v>
                </c:pt>
                <c:pt idx="846">
                  <c:v>-1.5400000000001701</c:v>
                </c:pt>
                <c:pt idx="847">
                  <c:v>-1.5300000000001701</c:v>
                </c:pt>
                <c:pt idx="848">
                  <c:v>-1.5200000000001701</c:v>
                </c:pt>
                <c:pt idx="849">
                  <c:v>-1.5100000000001701</c:v>
                </c:pt>
                <c:pt idx="850">
                  <c:v>-1.5000000000001701</c:v>
                </c:pt>
                <c:pt idx="851">
                  <c:v>-1.4900000000001701</c:v>
                </c:pt>
                <c:pt idx="852">
                  <c:v>-1.4800000000001701</c:v>
                </c:pt>
                <c:pt idx="853">
                  <c:v>-1.4700000000001701</c:v>
                </c:pt>
                <c:pt idx="854">
                  <c:v>-1.4600000000001701</c:v>
                </c:pt>
                <c:pt idx="855">
                  <c:v>-1.45000000000017</c:v>
                </c:pt>
                <c:pt idx="856">
                  <c:v>-1.44000000000017</c:v>
                </c:pt>
                <c:pt idx="857">
                  <c:v>-1.43000000000017</c:v>
                </c:pt>
                <c:pt idx="858">
                  <c:v>-1.42000000000017</c:v>
                </c:pt>
                <c:pt idx="859">
                  <c:v>-1.41000000000017</c:v>
                </c:pt>
                <c:pt idx="860">
                  <c:v>-1.40000000000017</c:v>
                </c:pt>
                <c:pt idx="861">
                  <c:v>-1.39000000000017</c:v>
                </c:pt>
                <c:pt idx="862">
                  <c:v>-1.38000000000017</c:v>
                </c:pt>
                <c:pt idx="863">
                  <c:v>-1.37000000000017</c:v>
                </c:pt>
                <c:pt idx="864">
                  <c:v>-1.36000000000017</c:v>
                </c:pt>
                <c:pt idx="865">
                  <c:v>-1.35000000000017</c:v>
                </c:pt>
                <c:pt idx="866">
                  <c:v>-1.3400000000001699</c:v>
                </c:pt>
                <c:pt idx="867">
                  <c:v>-1.3300000000001699</c:v>
                </c:pt>
                <c:pt idx="868">
                  <c:v>-1.3200000000001699</c:v>
                </c:pt>
                <c:pt idx="869">
                  <c:v>-1.3100000000001699</c:v>
                </c:pt>
                <c:pt idx="870">
                  <c:v>-1.3000000000001699</c:v>
                </c:pt>
                <c:pt idx="871">
                  <c:v>-1.2900000000001699</c:v>
                </c:pt>
                <c:pt idx="872">
                  <c:v>-1.2800000000001699</c:v>
                </c:pt>
                <c:pt idx="873">
                  <c:v>-1.2700000000001699</c:v>
                </c:pt>
                <c:pt idx="874">
                  <c:v>-1.2600000000001699</c:v>
                </c:pt>
                <c:pt idx="875">
                  <c:v>-1.2500000000001699</c:v>
                </c:pt>
                <c:pt idx="876">
                  <c:v>-1.2400000000001699</c:v>
                </c:pt>
                <c:pt idx="877">
                  <c:v>-1.2300000000001698</c:v>
                </c:pt>
                <c:pt idx="878">
                  <c:v>-1.2200000000001698</c:v>
                </c:pt>
                <c:pt idx="879">
                  <c:v>-1.2100000000001698</c:v>
                </c:pt>
                <c:pt idx="880">
                  <c:v>-1.2000000000001698</c:v>
                </c:pt>
                <c:pt idx="881">
                  <c:v>-1.1900000000001698</c:v>
                </c:pt>
                <c:pt idx="882">
                  <c:v>-1.1800000000001698</c:v>
                </c:pt>
                <c:pt idx="883">
                  <c:v>-1.1700000000001698</c:v>
                </c:pt>
                <c:pt idx="884">
                  <c:v>-1.1600000000001698</c:v>
                </c:pt>
                <c:pt idx="885">
                  <c:v>-1.1500000000001698</c:v>
                </c:pt>
                <c:pt idx="886">
                  <c:v>-1.1400000000001698</c:v>
                </c:pt>
                <c:pt idx="887">
                  <c:v>-1.1300000000001698</c:v>
                </c:pt>
                <c:pt idx="888">
                  <c:v>-1.1200000000001697</c:v>
                </c:pt>
                <c:pt idx="889">
                  <c:v>-1.1100000000001697</c:v>
                </c:pt>
                <c:pt idx="890">
                  <c:v>-1.1000000000001697</c:v>
                </c:pt>
                <c:pt idx="891">
                  <c:v>-1.0900000000001697</c:v>
                </c:pt>
                <c:pt idx="892">
                  <c:v>-1.0800000000001697</c:v>
                </c:pt>
                <c:pt idx="893">
                  <c:v>-1.0700000000001697</c:v>
                </c:pt>
                <c:pt idx="894">
                  <c:v>-1.0600000000001697</c:v>
                </c:pt>
                <c:pt idx="895">
                  <c:v>-1.0500000000001697</c:v>
                </c:pt>
                <c:pt idx="896">
                  <c:v>-1.0400000000001697</c:v>
                </c:pt>
                <c:pt idx="897">
                  <c:v>-1.0300000000001697</c:v>
                </c:pt>
                <c:pt idx="898">
                  <c:v>-1.0200000000001697</c:v>
                </c:pt>
                <c:pt idx="899">
                  <c:v>-1.0100000000001697</c:v>
                </c:pt>
                <c:pt idx="900">
                  <c:v>-1.0000000000001696</c:v>
                </c:pt>
                <c:pt idx="901">
                  <c:v>-0.99000000000016963</c:v>
                </c:pt>
                <c:pt idx="902">
                  <c:v>-0.98000000000016962</c:v>
                </c:pt>
                <c:pt idx="903">
                  <c:v>-0.97000000000016962</c:v>
                </c:pt>
                <c:pt idx="904">
                  <c:v>-0.96000000000016961</c:v>
                </c:pt>
                <c:pt idx="905">
                  <c:v>-0.9500000000001696</c:v>
                </c:pt>
                <c:pt idx="906">
                  <c:v>-0.94000000000016959</c:v>
                </c:pt>
                <c:pt idx="907">
                  <c:v>-0.93000000000016958</c:v>
                </c:pt>
                <c:pt idx="908">
                  <c:v>-0.92000000000016957</c:v>
                </c:pt>
                <c:pt idx="909">
                  <c:v>-0.91000000000016956</c:v>
                </c:pt>
                <c:pt idx="910">
                  <c:v>-0.90000000000016955</c:v>
                </c:pt>
                <c:pt idx="911">
                  <c:v>-0.89000000000016954</c:v>
                </c:pt>
                <c:pt idx="912">
                  <c:v>-0.88000000000016954</c:v>
                </c:pt>
                <c:pt idx="913">
                  <c:v>-0.87000000000016953</c:v>
                </c:pt>
                <c:pt idx="914">
                  <c:v>-0.86000000000016952</c:v>
                </c:pt>
                <c:pt idx="915">
                  <c:v>-0.85000000000016951</c:v>
                </c:pt>
                <c:pt idx="916">
                  <c:v>-0.8400000000001695</c:v>
                </c:pt>
                <c:pt idx="917">
                  <c:v>-0.83000000000016949</c:v>
                </c:pt>
                <c:pt idx="918">
                  <c:v>-0.82000000000016948</c:v>
                </c:pt>
                <c:pt idx="919">
                  <c:v>-0.81000000000016947</c:v>
                </c:pt>
                <c:pt idx="920">
                  <c:v>-0.80000000000016946</c:v>
                </c:pt>
                <c:pt idx="921">
                  <c:v>-0.79000000000016946</c:v>
                </c:pt>
                <c:pt idx="922">
                  <c:v>-0.78000000000016945</c:v>
                </c:pt>
                <c:pt idx="923">
                  <c:v>-0.77000000000016944</c:v>
                </c:pt>
                <c:pt idx="924">
                  <c:v>-0.76000000000016943</c:v>
                </c:pt>
                <c:pt idx="925">
                  <c:v>-0.75000000000016942</c:v>
                </c:pt>
                <c:pt idx="926">
                  <c:v>-0.74000000000016941</c:v>
                </c:pt>
                <c:pt idx="927">
                  <c:v>-0.7300000000001694</c:v>
                </c:pt>
                <c:pt idx="928">
                  <c:v>-0.72000000000016939</c:v>
                </c:pt>
                <c:pt idx="929">
                  <c:v>-0.71000000000016938</c:v>
                </c:pt>
                <c:pt idx="930">
                  <c:v>-0.70000000000016938</c:v>
                </c:pt>
                <c:pt idx="931">
                  <c:v>-0.69000000000016937</c:v>
                </c:pt>
                <c:pt idx="932">
                  <c:v>-0.68000000000016936</c:v>
                </c:pt>
                <c:pt idx="933">
                  <c:v>-0.67000000000016935</c:v>
                </c:pt>
                <c:pt idx="934">
                  <c:v>-0.66000000000016934</c:v>
                </c:pt>
                <c:pt idx="935">
                  <c:v>-0.65000000000016933</c:v>
                </c:pt>
                <c:pt idx="936">
                  <c:v>-0.64000000000016932</c:v>
                </c:pt>
                <c:pt idx="937">
                  <c:v>-0.63000000000016931</c:v>
                </c:pt>
                <c:pt idx="938">
                  <c:v>-0.6200000000001693</c:v>
                </c:pt>
                <c:pt idx="939">
                  <c:v>-0.6100000000001693</c:v>
                </c:pt>
                <c:pt idx="940">
                  <c:v>-0.60000000000016929</c:v>
                </c:pt>
                <c:pt idx="941">
                  <c:v>-0.59000000000016928</c:v>
                </c:pt>
                <c:pt idx="942">
                  <c:v>-0.58000000000016927</c:v>
                </c:pt>
                <c:pt idx="943">
                  <c:v>-0.57000000000016926</c:v>
                </c:pt>
                <c:pt idx="944">
                  <c:v>-0.56000000000016925</c:v>
                </c:pt>
                <c:pt idx="945">
                  <c:v>-0.55000000000016924</c:v>
                </c:pt>
                <c:pt idx="946">
                  <c:v>-0.54000000000016923</c:v>
                </c:pt>
                <c:pt idx="947">
                  <c:v>-0.53000000000016922</c:v>
                </c:pt>
                <c:pt idx="948">
                  <c:v>-0.52000000000016922</c:v>
                </c:pt>
                <c:pt idx="949">
                  <c:v>-0.51000000000016921</c:v>
                </c:pt>
                <c:pt idx="950">
                  <c:v>-0.5000000000001692</c:v>
                </c:pt>
                <c:pt idx="951">
                  <c:v>-0.49000000000016919</c:v>
                </c:pt>
                <c:pt idx="952">
                  <c:v>-0.48000000000016918</c:v>
                </c:pt>
                <c:pt idx="953">
                  <c:v>-0.47000000000016917</c:v>
                </c:pt>
                <c:pt idx="954">
                  <c:v>-0.46000000000016916</c:v>
                </c:pt>
                <c:pt idx="955">
                  <c:v>-0.45000000000016915</c:v>
                </c:pt>
                <c:pt idx="956">
                  <c:v>-0.44000000000016914</c:v>
                </c:pt>
                <c:pt idx="957">
                  <c:v>-0.43000000000016914</c:v>
                </c:pt>
                <c:pt idx="958">
                  <c:v>-0.42000000000016913</c:v>
                </c:pt>
                <c:pt idx="959">
                  <c:v>-0.41000000000016912</c:v>
                </c:pt>
                <c:pt idx="960">
                  <c:v>-0.40000000000016911</c:v>
                </c:pt>
                <c:pt idx="961">
                  <c:v>-0.3900000000001691</c:v>
                </c:pt>
                <c:pt idx="962">
                  <c:v>-0.38000000000016909</c:v>
                </c:pt>
                <c:pt idx="963">
                  <c:v>-0.37000000000016908</c:v>
                </c:pt>
                <c:pt idx="964">
                  <c:v>-0.36000000000016907</c:v>
                </c:pt>
                <c:pt idx="965">
                  <c:v>-0.35000000000016906</c:v>
                </c:pt>
                <c:pt idx="966">
                  <c:v>-0.34000000000016906</c:v>
                </c:pt>
                <c:pt idx="967">
                  <c:v>-0.33000000000016905</c:v>
                </c:pt>
                <c:pt idx="968">
                  <c:v>-0.32000000000016904</c:v>
                </c:pt>
                <c:pt idx="969">
                  <c:v>-0.31000000000016903</c:v>
                </c:pt>
                <c:pt idx="970">
                  <c:v>-0.30000000000016902</c:v>
                </c:pt>
                <c:pt idx="971">
                  <c:v>-0.29000000000016901</c:v>
                </c:pt>
                <c:pt idx="972">
                  <c:v>-0.280000000000169</c:v>
                </c:pt>
                <c:pt idx="973">
                  <c:v>-0.27000000000016899</c:v>
                </c:pt>
                <c:pt idx="974">
                  <c:v>-0.26000000000016898</c:v>
                </c:pt>
                <c:pt idx="975">
                  <c:v>-0.25000000000016898</c:v>
                </c:pt>
                <c:pt idx="976">
                  <c:v>-0.24000000000016897</c:v>
                </c:pt>
                <c:pt idx="977">
                  <c:v>-0.23000000000016896</c:v>
                </c:pt>
                <c:pt idx="978">
                  <c:v>-0.22000000000016895</c:v>
                </c:pt>
                <c:pt idx="979">
                  <c:v>-0.21000000000016894</c:v>
                </c:pt>
                <c:pt idx="980">
                  <c:v>-0.20000000000016893</c:v>
                </c:pt>
                <c:pt idx="981">
                  <c:v>-0.19000000000016892</c:v>
                </c:pt>
                <c:pt idx="982">
                  <c:v>-0.18000000000016891</c:v>
                </c:pt>
                <c:pt idx="983">
                  <c:v>-0.1700000000001689</c:v>
                </c:pt>
                <c:pt idx="984">
                  <c:v>-0.1600000000001689</c:v>
                </c:pt>
                <c:pt idx="985">
                  <c:v>-0.15000000000016889</c:v>
                </c:pt>
                <c:pt idx="986">
                  <c:v>-0.14000000000016888</c:v>
                </c:pt>
                <c:pt idx="987">
                  <c:v>-0.13000000000016887</c:v>
                </c:pt>
                <c:pt idx="988">
                  <c:v>-0.12000000000016887</c:v>
                </c:pt>
                <c:pt idx="989">
                  <c:v>-0.11000000000016888</c:v>
                </c:pt>
                <c:pt idx="990">
                  <c:v>-0.10000000000016888</c:v>
                </c:pt>
                <c:pt idx="991">
                  <c:v>-9.0000000000168889E-2</c:v>
                </c:pt>
                <c:pt idx="992">
                  <c:v>-8.0000000000168894E-2</c:v>
                </c:pt>
                <c:pt idx="993">
                  <c:v>-7.0000000000168899E-2</c:v>
                </c:pt>
                <c:pt idx="994">
                  <c:v>-6.0000000000168897E-2</c:v>
                </c:pt>
                <c:pt idx="995">
                  <c:v>-5.0000000000168895E-2</c:v>
                </c:pt>
                <c:pt idx="996">
                  <c:v>-4.0000000000168894E-2</c:v>
                </c:pt>
                <c:pt idx="997">
                  <c:v>-3.0000000000168892E-2</c:v>
                </c:pt>
                <c:pt idx="998">
                  <c:v>-2.000000000016889E-2</c:v>
                </c:pt>
                <c:pt idx="999">
                  <c:v>-1.0000000000168889E-2</c:v>
                </c:pt>
                <c:pt idx="1000">
                  <c:v>-1.6888920817414999E-13</c:v>
                </c:pt>
                <c:pt idx="1001">
                  <c:v>9.999999999831111E-3</c:v>
                </c:pt>
                <c:pt idx="1002">
                  <c:v>1.9999999999831111E-2</c:v>
                </c:pt>
                <c:pt idx="1003">
                  <c:v>2.9999999999831113E-2</c:v>
                </c:pt>
                <c:pt idx="1004">
                  <c:v>3.9999999999831115E-2</c:v>
                </c:pt>
                <c:pt idx="1005">
                  <c:v>4.9999999999831117E-2</c:v>
                </c:pt>
                <c:pt idx="1006">
                  <c:v>5.9999999999831119E-2</c:v>
                </c:pt>
                <c:pt idx="1007">
                  <c:v>6.9999999999831114E-2</c:v>
                </c:pt>
                <c:pt idx="1008">
                  <c:v>7.9999999999831109E-2</c:v>
                </c:pt>
                <c:pt idx="1009">
                  <c:v>8.9999999999831104E-2</c:v>
                </c:pt>
                <c:pt idx="1010">
                  <c:v>9.9999999999831099E-2</c:v>
                </c:pt>
                <c:pt idx="1011">
                  <c:v>0.10999999999983109</c:v>
                </c:pt>
                <c:pt idx="1012">
                  <c:v>0.11999999999983109</c:v>
                </c:pt>
                <c:pt idx="1013">
                  <c:v>0.12999999999983108</c:v>
                </c:pt>
                <c:pt idx="1014">
                  <c:v>0.13999999999983109</c:v>
                </c:pt>
                <c:pt idx="1015">
                  <c:v>0.1499999999998311</c:v>
                </c:pt>
                <c:pt idx="1016">
                  <c:v>0.15999999999983111</c:v>
                </c:pt>
                <c:pt idx="1017">
                  <c:v>0.16999999999983112</c:v>
                </c:pt>
                <c:pt idx="1018">
                  <c:v>0.17999999999983113</c:v>
                </c:pt>
                <c:pt idx="1019">
                  <c:v>0.18999999999983114</c:v>
                </c:pt>
                <c:pt idx="1020">
                  <c:v>0.19999999999983115</c:v>
                </c:pt>
                <c:pt idx="1021">
                  <c:v>0.20999999999983116</c:v>
                </c:pt>
                <c:pt idx="1022">
                  <c:v>0.21999999999983116</c:v>
                </c:pt>
                <c:pt idx="1023">
                  <c:v>0.22999999999983117</c:v>
                </c:pt>
                <c:pt idx="1024">
                  <c:v>0.23999999999983118</c:v>
                </c:pt>
                <c:pt idx="1025">
                  <c:v>0.24999999999983119</c:v>
                </c:pt>
                <c:pt idx="1026">
                  <c:v>0.2599999999998312</c:v>
                </c:pt>
                <c:pt idx="1027">
                  <c:v>0.26999999999983121</c:v>
                </c:pt>
                <c:pt idx="1028">
                  <c:v>0.27999999999983122</c:v>
                </c:pt>
                <c:pt idx="1029">
                  <c:v>0.28999999999983123</c:v>
                </c:pt>
                <c:pt idx="1030">
                  <c:v>0.29999999999983123</c:v>
                </c:pt>
                <c:pt idx="1031">
                  <c:v>0.30999999999983124</c:v>
                </c:pt>
                <c:pt idx="1032">
                  <c:v>0.31999999999983125</c:v>
                </c:pt>
                <c:pt idx="1033">
                  <c:v>0.32999999999983126</c:v>
                </c:pt>
                <c:pt idx="1034">
                  <c:v>0.33999999999983127</c:v>
                </c:pt>
                <c:pt idx="1035">
                  <c:v>0.34999999999983128</c:v>
                </c:pt>
                <c:pt idx="1036">
                  <c:v>0.35999999999983129</c:v>
                </c:pt>
                <c:pt idx="1037">
                  <c:v>0.3699999999998313</c:v>
                </c:pt>
                <c:pt idx="1038">
                  <c:v>0.37999999999983131</c:v>
                </c:pt>
                <c:pt idx="1039">
                  <c:v>0.38999999999983131</c:v>
                </c:pt>
                <c:pt idx="1040">
                  <c:v>0.39999999999983132</c:v>
                </c:pt>
                <c:pt idx="1041">
                  <c:v>0.40999999999983133</c:v>
                </c:pt>
                <c:pt idx="1042">
                  <c:v>0.41999999999983134</c:v>
                </c:pt>
                <c:pt idx="1043">
                  <c:v>0.42999999999983135</c:v>
                </c:pt>
                <c:pt idx="1044">
                  <c:v>0.43999999999983136</c:v>
                </c:pt>
                <c:pt idx="1045">
                  <c:v>0.44999999999983137</c:v>
                </c:pt>
                <c:pt idx="1046">
                  <c:v>0.45999999999983138</c:v>
                </c:pt>
                <c:pt idx="1047">
                  <c:v>0.46999999999983139</c:v>
                </c:pt>
                <c:pt idx="1048">
                  <c:v>0.47999999999983139</c:v>
                </c:pt>
                <c:pt idx="1049">
                  <c:v>0.4899999999998314</c:v>
                </c:pt>
                <c:pt idx="1050">
                  <c:v>0.49999999999983141</c:v>
                </c:pt>
                <c:pt idx="1051">
                  <c:v>0.50999999999983137</c:v>
                </c:pt>
                <c:pt idx="1052">
                  <c:v>0.51999999999983137</c:v>
                </c:pt>
                <c:pt idx="1053">
                  <c:v>0.52999999999983138</c:v>
                </c:pt>
                <c:pt idx="1054">
                  <c:v>0.53999999999983139</c:v>
                </c:pt>
                <c:pt idx="1055">
                  <c:v>0.5499999999998314</c:v>
                </c:pt>
                <c:pt idx="1056">
                  <c:v>0.55999999999983141</c:v>
                </c:pt>
                <c:pt idx="1057">
                  <c:v>0.56999999999983142</c:v>
                </c:pt>
                <c:pt idx="1058">
                  <c:v>0.57999999999983143</c:v>
                </c:pt>
                <c:pt idx="1059">
                  <c:v>0.58999999999983144</c:v>
                </c:pt>
                <c:pt idx="1060">
                  <c:v>0.59999999999983145</c:v>
                </c:pt>
                <c:pt idx="1061">
                  <c:v>0.60999999999983145</c:v>
                </c:pt>
                <c:pt idx="1062">
                  <c:v>0.61999999999983146</c:v>
                </c:pt>
                <c:pt idx="1063">
                  <c:v>0.62999999999983147</c:v>
                </c:pt>
                <c:pt idx="1064">
                  <c:v>0.63999999999983148</c:v>
                </c:pt>
                <c:pt idx="1065">
                  <c:v>0.64999999999983149</c:v>
                </c:pt>
                <c:pt idx="1066">
                  <c:v>0.6599999999998315</c:v>
                </c:pt>
                <c:pt idx="1067">
                  <c:v>0.66999999999983151</c:v>
                </c:pt>
                <c:pt idx="1068">
                  <c:v>0.67999999999983152</c:v>
                </c:pt>
                <c:pt idx="1069">
                  <c:v>0.68999999999983153</c:v>
                </c:pt>
                <c:pt idx="1070">
                  <c:v>0.69999999999983153</c:v>
                </c:pt>
                <c:pt idx="1071">
                  <c:v>0.70999999999983154</c:v>
                </c:pt>
                <c:pt idx="1072">
                  <c:v>0.71999999999983155</c:v>
                </c:pt>
                <c:pt idx="1073">
                  <c:v>0.72999999999983156</c:v>
                </c:pt>
                <c:pt idx="1074">
                  <c:v>0.73999999999983157</c:v>
                </c:pt>
                <c:pt idx="1075">
                  <c:v>0.74999999999983158</c:v>
                </c:pt>
                <c:pt idx="1076">
                  <c:v>0.75999999999983159</c:v>
                </c:pt>
                <c:pt idx="1077">
                  <c:v>0.7699999999998316</c:v>
                </c:pt>
                <c:pt idx="1078">
                  <c:v>0.77999999999983161</c:v>
                </c:pt>
                <c:pt idx="1079">
                  <c:v>0.78999999999983161</c:v>
                </c:pt>
                <c:pt idx="1080">
                  <c:v>0.79999999999983162</c:v>
                </c:pt>
                <c:pt idx="1081">
                  <c:v>0.80999999999983163</c:v>
                </c:pt>
                <c:pt idx="1082">
                  <c:v>0.81999999999983164</c:v>
                </c:pt>
                <c:pt idx="1083">
                  <c:v>0.82999999999983165</c:v>
                </c:pt>
                <c:pt idx="1084">
                  <c:v>0.83999999999983166</c:v>
                </c:pt>
                <c:pt idx="1085">
                  <c:v>0.84999999999983167</c:v>
                </c:pt>
                <c:pt idx="1086">
                  <c:v>0.85999999999983168</c:v>
                </c:pt>
                <c:pt idx="1087">
                  <c:v>0.86999999999983169</c:v>
                </c:pt>
                <c:pt idx="1088">
                  <c:v>0.87999999999983169</c:v>
                </c:pt>
                <c:pt idx="1089">
                  <c:v>0.8899999999998317</c:v>
                </c:pt>
                <c:pt idx="1090">
                  <c:v>0.89999999999983171</c:v>
                </c:pt>
                <c:pt idx="1091">
                  <c:v>0.90999999999983172</c:v>
                </c:pt>
                <c:pt idx="1092">
                  <c:v>0.91999999999983173</c:v>
                </c:pt>
                <c:pt idx="1093">
                  <c:v>0.92999999999983174</c:v>
                </c:pt>
                <c:pt idx="1094">
                  <c:v>0.93999999999983175</c:v>
                </c:pt>
                <c:pt idx="1095">
                  <c:v>0.94999999999983176</c:v>
                </c:pt>
                <c:pt idx="1096">
                  <c:v>0.95999999999983177</c:v>
                </c:pt>
                <c:pt idx="1097">
                  <c:v>0.96999999999983177</c:v>
                </c:pt>
                <c:pt idx="1098">
                  <c:v>0.97999999999983178</c:v>
                </c:pt>
                <c:pt idx="1099">
                  <c:v>0.98999999999983179</c:v>
                </c:pt>
                <c:pt idx="1100">
                  <c:v>0.9999999999998318</c:v>
                </c:pt>
                <c:pt idx="1101">
                  <c:v>1.0099999999998317</c:v>
                </c:pt>
                <c:pt idx="1102">
                  <c:v>1.0199999999998317</c:v>
                </c:pt>
                <c:pt idx="1103">
                  <c:v>1.0299999999998317</c:v>
                </c:pt>
                <c:pt idx="1104">
                  <c:v>1.0399999999998317</c:v>
                </c:pt>
                <c:pt idx="1105">
                  <c:v>1.0499999999998317</c:v>
                </c:pt>
                <c:pt idx="1106">
                  <c:v>1.0599999999998317</c:v>
                </c:pt>
                <c:pt idx="1107">
                  <c:v>1.0699999999998318</c:v>
                </c:pt>
                <c:pt idx="1108">
                  <c:v>1.0799999999998318</c:v>
                </c:pt>
                <c:pt idx="1109">
                  <c:v>1.0899999999998318</c:v>
                </c:pt>
                <c:pt idx="1110">
                  <c:v>1.0999999999998318</c:v>
                </c:pt>
                <c:pt idx="1111">
                  <c:v>1.1099999999998318</c:v>
                </c:pt>
                <c:pt idx="1112">
                  <c:v>1.1199999999998318</c:v>
                </c:pt>
                <c:pt idx="1113">
                  <c:v>1.1299999999998318</c:v>
                </c:pt>
                <c:pt idx="1114">
                  <c:v>1.1399999999998318</c:v>
                </c:pt>
                <c:pt idx="1115">
                  <c:v>1.1499999999998318</c:v>
                </c:pt>
                <c:pt idx="1116">
                  <c:v>1.1599999999998318</c:v>
                </c:pt>
                <c:pt idx="1117">
                  <c:v>1.1699999999998318</c:v>
                </c:pt>
                <c:pt idx="1118">
                  <c:v>1.1799999999998319</c:v>
                </c:pt>
                <c:pt idx="1119">
                  <c:v>1.1899999999998319</c:v>
                </c:pt>
                <c:pt idx="1120">
                  <c:v>1.1999999999998319</c:v>
                </c:pt>
                <c:pt idx="1121">
                  <c:v>1.2099999999998319</c:v>
                </c:pt>
                <c:pt idx="1122">
                  <c:v>1.2199999999998319</c:v>
                </c:pt>
                <c:pt idx="1123">
                  <c:v>1.2299999999998319</c:v>
                </c:pt>
                <c:pt idx="1124">
                  <c:v>1.2399999999998319</c:v>
                </c:pt>
                <c:pt idx="1125">
                  <c:v>1.2499999999998319</c:v>
                </c:pt>
                <c:pt idx="1126">
                  <c:v>1.2599999999998319</c:v>
                </c:pt>
                <c:pt idx="1127">
                  <c:v>1.2699999999998319</c:v>
                </c:pt>
                <c:pt idx="1128">
                  <c:v>1.2799999999998319</c:v>
                </c:pt>
                <c:pt idx="1129">
                  <c:v>1.2899999999998319</c:v>
                </c:pt>
                <c:pt idx="1130">
                  <c:v>1.299999999999832</c:v>
                </c:pt>
                <c:pt idx="1131">
                  <c:v>1.309999999999832</c:v>
                </c:pt>
                <c:pt idx="1132">
                  <c:v>1.319999999999832</c:v>
                </c:pt>
                <c:pt idx="1133">
                  <c:v>1.329999999999832</c:v>
                </c:pt>
                <c:pt idx="1134">
                  <c:v>1.339999999999832</c:v>
                </c:pt>
                <c:pt idx="1135">
                  <c:v>1.349999999999832</c:v>
                </c:pt>
                <c:pt idx="1136">
                  <c:v>1.359999999999832</c:v>
                </c:pt>
                <c:pt idx="1137">
                  <c:v>1.369999999999832</c:v>
                </c:pt>
                <c:pt idx="1138">
                  <c:v>1.379999999999832</c:v>
                </c:pt>
                <c:pt idx="1139">
                  <c:v>1.389999999999832</c:v>
                </c:pt>
                <c:pt idx="1140">
                  <c:v>1.399999999999832</c:v>
                </c:pt>
                <c:pt idx="1141">
                  <c:v>1.4099999999998321</c:v>
                </c:pt>
                <c:pt idx="1142">
                  <c:v>1.4199999999998321</c:v>
                </c:pt>
                <c:pt idx="1143">
                  <c:v>1.4299999999998321</c:v>
                </c:pt>
                <c:pt idx="1144">
                  <c:v>1.4399999999998321</c:v>
                </c:pt>
                <c:pt idx="1145">
                  <c:v>1.4499999999998321</c:v>
                </c:pt>
                <c:pt idx="1146">
                  <c:v>1.4599999999998321</c:v>
                </c:pt>
                <c:pt idx="1147">
                  <c:v>1.4699999999998321</c:v>
                </c:pt>
                <c:pt idx="1148">
                  <c:v>1.4799999999998321</c:v>
                </c:pt>
                <c:pt idx="1149">
                  <c:v>1.4899999999998321</c:v>
                </c:pt>
                <c:pt idx="1150">
                  <c:v>1.4999999999998321</c:v>
                </c:pt>
                <c:pt idx="1151">
                  <c:v>1.5099999999998321</c:v>
                </c:pt>
                <c:pt idx="1152">
                  <c:v>1.5199999999998322</c:v>
                </c:pt>
                <c:pt idx="1153">
                  <c:v>1.5299999999998322</c:v>
                </c:pt>
                <c:pt idx="1154">
                  <c:v>1.5399999999998322</c:v>
                </c:pt>
                <c:pt idx="1155">
                  <c:v>1.5499999999998322</c:v>
                </c:pt>
                <c:pt idx="1156">
                  <c:v>1.5599999999998322</c:v>
                </c:pt>
                <c:pt idx="1157">
                  <c:v>1.5699999999998322</c:v>
                </c:pt>
                <c:pt idx="1158">
                  <c:v>1.5799999999998322</c:v>
                </c:pt>
                <c:pt idx="1159">
                  <c:v>1.5899999999998322</c:v>
                </c:pt>
                <c:pt idx="1160">
                  <c:v>1.5999999999998322</c:v>
                </c:pt>
                <c:pt idx="1161">
                  <c:v>1.6099999999998322</c:v>
                </c:pt>
                <c:pt idx="1162">
                  <c:v>1.6199999999998322</c:v>
                </c:pt>
                <c:pt idx="1163">
                  <c:v>1.6299999999998322</c:v>
                </c:pt>
                <c:pt idx="1164">
                  <c:v>1.6399999999998323</c:v>
                </c:pt>
                <c:pt idx="1165">
                  <c:v>1.6499999999998323</c:v>
                </c:pt>
                <c:pt idx="1166">
                  <c:v>1.6599999999998323</c:v>
                </c:pt>
                <c:pt idx="1167">
                  <c:v>1.6699999999998323</c:v>
                </c:pt>
                <c:pt idx="1168">
                  <c:v>1.6799999999998323</c:v>
                </c:pt>
                <c:pt idx="1169">
                  <c:v>1.6899999999998323</c:v>
                </c:pt>
                <c:pt idx="1170">
                  <c:v>1.6999999999998323</c:v>
                </c:pt>
                <c:pt idx="1171">
                  <c:v>1.7099999999998323</c:v>
                </c:pt>
                <c:pt idx="1172">
                  <c:v>1.7199999999998323</c:v>
                </c:pt>
                <c:pt idx="1173">
                  <c:v>1.7299999999998323</c:v>
                </c:pt>
                <c:pt idx="1174">
                  <c:v>1.7399999999998323</c:v>
                </c:pt>
                <c:pt idx="1175">
                  <c:v>1.7499999999998324</c:v>
                </c:pt>
                <c:pt idx="1176">
                  <c:v>1.7599999999998324</c:v>
                </c:pt>
                <c:pt idx="1177">
                  <c:v>1.7699999999998324</c:v>
                </c:pt>
                <c:pt idx="1178">
                  <c:v>1.7799999999998324</c:v>
                </c:pt>
                <c:pt idx="1179">
                  <c:v>1.7899999999998324</c:v>
                </c:pt>
                <c:pt idx="1180">
                  <c:v>1.7999999999998324</c:v>
                </c:pt>
                <c:pt idx="1181">
                  <c:v>1.8099999999998324</c:v>
                </c:pt>
                <c:pt idx="1182">
                  <c:v>1.8199999999998324</c:v>
                </c:pt>
                <c:pt idx="1183">
                  <c:v>1.8299999999998324</c:v>
                </c:pt>
                <c:pt idx="1184">
                  <c:v>1.8399999999998324</c:v>
                </c:pt>
                <c:pt idx="1185">
                  <c:v>1.8499999999998324</c:v>
                </c:pt>
                <c:pt idx="1186">
                  <c:v>1.8599999999998325</c:v>
                </c:pt>
                <c:pt idx="1187">
                  <c:v>1.8699999999998325</c:v>
                </c:pt>
                <c:pt idx="1188">
                  <c:v>1.8799999999998325</c:v>
                </c:pt>
                <c:pt idx="1189">
                  <c:v>1.8899999999998325</c:v>
                </c:pt>
                <c:pt idx="1190">
                  <c:v>1.8999999999998325</c:v>
                </c:pt>
                <c:pt idx="1191">
                  <c:v>1.9099999999998325</c:v>
                </c:pt>
                <c:pt idx="1192">
                  <c:v>1.9199999999998325</c:v>
                </c:pt>
                <c:pt idx="1193">
                  <c:v>1.9299999999998325</c:v>
                </c:pt>
                <c:pt idx="1194">
                  <c:v>1.9399999999998325</c:v>
                </c:pt>
                <c:pt idx="1195">
                  <c:v>1.9499999999998325</c:v>
                </c:pt>
                <c:pt idx="1196">
                  <c:v>1.9599999999998325</c:v>
                </c:pt>
                <c:pt idx="1197">
                  <c:v>1.9699999999998326</c:v>
                </c:pt>
                <c:pt idx="1198">
                  <c:v>1.9799999999998326</c:v>
                </c:pt>
                <c:pt idx="1199">
                  <c:v>1.9899999999998326</c:v>
                </c:pt>
                <c:pt idx="1200">
                  <c:v>1.9999999999998326</c:v>
                </c:pt>
                <c:pt idx="1201">
                  <c:v>2.0099999999998324</c:v>
                </c:pt>
                <c:pt idx="1202">
                  <c:v>2.0199999999998322</c:v>
                </c:pt>
                <c:pt idx="1203">
                  <c:v>2.0299999999998319</c:v>
                </c:pt>
                <c:pt idx="1204">
                  <c:v>2.0399999999998317</c:v>
                </c:pt>
                <c:pt idx="1205">
                  <c:v>2.0499999999998315</c:v>
                </c:pt>
                <c:pt idx="1206">
                  <c:v>2.0599999999998313</c:v>
                </c:pt>
                <c:pt idx="1207">
                  <c:v>2.0699999999998311</c:v>
                </c:pt>
                <c:pt idx="1208">
                  <c:v>2.0799999999998309</c:v>
                </c:pt>
                <c:pt idx="1209">
                  <c:v>2.0899999999998307</c:v>
                </c:pt>
                <c:pt idx="1210">
                  <c:v>2.0999999999998304</c:v>
                </c:pt>
                <c:pt idx="1211">
                  <c:v>2.1099999999998302</c:v>
                </c:pt>
                <c:pt idx="1212">
                  <c:v>2.11999999999983</c:v>
                </c:pt>
                <c:pt idx="1213">
                  <c:v>2.1299999999998298</c:v>
                </c:pt>
                <c:pt idx="1214">
                  <c:v>2.1399999999998296</c:v>
                </c:pt>
                <c:pt idx="1215">
                  <c:v>2.1499999999998294</c:v>
                </c:pt>
                <c:pt idx="1216">
                  <c:v>2.1599999999998292</c:v>
                </c:pt>
                <c:pt idx="1217">
                  <c:v>2.169999999999829</c:v>
                </c:pt>
                <c:pt idx="1218">
                  <c:v>2.1799999999998287</c:v>
                </c:pt>
                <c:pt idx="1219">
                  <c:v>2.1899999999998285</c:v>
                </c:pt>
                <c:pt idx="1220">
                  <c:v>2.1999999999998283</c:v>
                </c:pt>
                <c:pt idx="1221">
                  <c:v>2.2099999999998281</c:v>
                </c:pt>
                <c:pt idx="1222">
                  <c:v>2.2199999999998279</c:v>
                </c:pt>
                <c:pt idx="1223">
                  <c:v>2.2299999999998277</c:v>
                </c:pt>
                <c:pt idx="1224">
                  <c:v>2.2399999999998275</c:v>
                </c:pt>
                <c:pt idx="1225">
                  <c:v>2.2499999999998272</c:v>
                </c:pt>
                <c:pt idx="1226">
                  <c:v>2.259999999999827</c:v>
                </c:pt>
                <c:pt idx="1227">
                  <c:v>2.2699999999998268</c:v>
                </c:pt>
                <c:pt idx="1228">
                  <c:v>2.2799999999998266</c:v>
                </c:pt>
                <c:pt idx="1229">
                  <c:v>2.2899999999998264</c:v>
                </c:pt>
                <c:pt idx="1230">
                  <c:v>2.2999999999998262</c:v>
                </c:pt>
                <c:pt idx="1231">
                  <c:v>2.309999999999826</c:v>
                </c:pt>
                <c:pt idx="1232">
                  <c:v>2.3199999999998258</c:v>
                </c:pt>
                <c:pt idx="1233">
                  <c:v>2.3299999999998255</c:v>
                </c:pt>
                <c:pt idx="1234">
                  <c:v>2.3399999999998253</c:v>
                </c:pt>
                <c:pt idx="1235">
                  <c:v>2.3499999999998251</c:v>
                </c:pt>
                <c:pt idx="1236">
                  <c:v>2.3599999999998249</c:v>
                </c:pt>
                <c:pt idx="1237">
                  <c:v>2.3699999999998247</c:v>
                </c:pt>
                <c:pt idx="1238">
                  <c:v>2.3799999999998245</c:v>
                </c:pt>
                <c:pt idx="1239">
                  <c:v>2.3899999999998243</c:v>
                </c:pt>
                <c:pt idx="1240">
                  <c:v>2.3999999999998241</c:v>
                </c:pt>
                <c:pt idx="1241">
                  <c:v>2.4099999999998238</c:v>
                </c:pt>
                <c:pt idx="1242">
                  <c:v>2.4199999999998236</c:v>
                </c:pt>
                <c:pt idx="1243">
                  <c:v>2.4299999999998234</c:v>
                </c:pt>
                <c:pt idx="1244">
                  <c:v>2.4399999999998232</c:v>
                </c:pt>
                <c:pt idx="1245">
                  <c:v>2.449999999999823</c:v>
                </c:pt>
                <c:pt idx="1246">
                  <c:v>2.4599999999998228</c:v>
                </c:pt>
                <c:pt idx="1247">
                  <c:v>2.4699999999998226</c:v>
                </c:pt>
                <c:pt idx="1248">
                  <c:v>2.4799999999998223</c:v>
                </c:pt>
                <c:pt idx="1249">
                  <c:v>2.4899999999998221</c:v>
                </c:pt>
                <c:pt idx="1250">
                  <c:v>2.4999999999998219</c:v>
                </c:pt>
                <c:pt idx="1251">
                  <c:v>2.5099999999998217</c:v>
                </c:pt>
                <c:pt idx="1252">
                  <c:v>2.5199999999998215</c:v>
                </c:pt>
                <c:pt idx="1253">
                  <c:v>2.5299999999998213</c:v>
                </c:pt>
                <c:pt idx="1254">
                  <c:v>2.5399999999998211</c:v>
                </c:pt>
                <c:pt idx="1255">
                  <c:v>2.5499999999998209</c:v>
                </c:pt>
                <c:pt idx="1256">
                  <c:v>2.5599999999998206</c:v>
                </c:pt>
                <c:pt idx="1257">
                  <c:v>2.5699999999998204</c:v>
                </c:pt>
                <c:pt idx="1258">
                  <c:v>2.5799999999998202</c:v>
                </c:pt>
                <c:pt idx="1259">
                  <c:v>2.58999999999982</c:v>
                </c:pt>
                <c:pt idx="1260">
                  <c:v>2.5999999999998198</c:v>
                </c:pt>
                <c:pt idx="1261">
                  <c:v>2.6099999999998196</c:v>
                </c:pt>
                <c:pt idx="1262">
                  <c:v>2.6199999999998194</c:v>
                </c:pt>
                <c:pt idx="1263">
                  <c:v>2.6299999999998191</c:v>
                </c:pt>
                <c:pt idx="1264">
                  <c:v>2.6399999999998189</c:v>
                </c:pt>
                <c:pt idx="1265">
                  <c:v>2.6499999999998187</c:v>
                </c:pt>
                <c:pt idx="1266">
                  <c:v>2.6599999999998185</c:v>
                </c:pt>
                <c:pt idx="1267">
                  <c:v>2.6699999999998183</c:v>
                </c:pt>
                <c:pt idx="1268">
                  <c:v>2.6799999999998181</c:v>
                </c:pt>
                <c:pt idx="1269">
                  <c:v>2.6899999999998179</c:v>
                </c:pt>
                <c:pt idx="1270">
                  <c:v>2.6999999999998177</c:v>
                </c:pt>
                <c:pt idx="1271">
                  <c:v>2.7099999999998174</c:v>
                </c:pt>
                <c:pt idx="1272">
                  <c:v>2.7199999999998172</c:v>
                </c:pt>
                <c:pt idx="1273">
                  <c:v>2.729999999999817</c:v>
                </c:pt>
                <c:pt idx="1274">
                  <c:v>2.7399999999998168</c:v>
                </c:pt>
                <c:pt idx="1275">
                  <c:v>2.7499999999998166</c:v>
                </c:pt>
                <c:pt idx="1276">
                  <c:v>2.7599999999998164</c:v>
                </c:pt>
                <c:pt idx="1277">
                  <c:v>2.7699999999998162</c:v>
                </c:pt>
                <c:pt idx="1278">
                  <c:v>2.779999999999816</c:v>
                </c:pt>
                <c:pt idx="1279">
                  <c:v>2.7899999999998157</c:v>
                </c:pt>
                <c:pt idx="1280">
                  <c:v>2.7999999999998155</c:v>
                </c:pt>
                <c:pt idx="1281">
                  <c:v>2.8099999999998153</c:v>
                </c:pt>
                <c:pt idx="1282">
                  <c:v>2.8199999999998151</c:v>
                </c:pt>
                <c:pt idx="1283">
                  <c:v>2.8299999999998149</c:v>
                </c:pt>
                <c:pt idx="1284">
                  <c:v>2.8399999999998147</c:v>
                </c:pt>
                <c:pt idx="1285">
                  <c:v>2.8499999999998145</c:v>
                </c:pt>
                <c:pt idx="1286">
                  <c:v>2.8599999999998142</c:v>
                </c:pt>
                <c:pt idx="1287">
                  <c:v>2.869999999999814</c:v>
                </c:pt>
                <c:pt idx="1288">
                  <c:v>2.8799999999998138</c:v>
                </c:pt>
                <c:pt idx="1289">
                  <c:v>2.8899999999998136</c:v>
                </c:pt>
                <c:pt idx="1290">
                  <c:v>2.8999999999998134</c:v>
                </c:pt>
                <c:pt idx="1291">
                  <c:v>2.9099999999998132</c:v>
                </c:pt>
                <c:pt idx="1292">
                  <c:v>2.919999999999813</c:v>
                </c:pt>
                <c:pt idx="1293">
                  <c:v>2.9299999999998128</c:v>
                </c:pt>
                <c:pt idx="1294">
                  <c:v>2.9399999999998125</c:v>
                </c:pt>
                <c:pt idx="1295">
                  <c:v>2.9499999999998123</c:v>
                </c:pt>
                <c:pt idx="1296">
                  <c:v>2.9599999999998121</c:v>
                </c:pt>
                <c:pt idx="1297">
                  <c:v>2.9699999999998119</c:v>
                </c:pt>
                <c:pt idx="1298">
                  <c:v>2.9799999999998117</c:v>
                </c:pt>
                <c:pt idx="1299">
                  <c:v>2.9899999999998115</c:v>
                </c:pt>
                <c:pt idx="1300">
                  <c:v>2.9999999999998113</c:v>
                </c:pt>
                <c:pt idx="1301">
                  <c:v>3.009999999999811</c:v>
                </c:pt>
                <c:pt idx="1302">
                  <c:v>3.0199999999998108</c:v>
                </c:pt>
                <c:pt idx="1303">
                  <c:v>3.0299999999998106</c:v>
                </c:pt>
                <c:pt idx="1304">
                  <c:v>3.0399999999998104</c:v>
                </c:pt>
                <c:pt idx="1305">
                  <c:v>3.0499999999998102</c:v>
                </c:pt>
                <c:pt idx="1306">
                  <c:v>3.05999999999981</c:v>
                </c:pt>
                <c:pt idx="1307">
                  <c:v>3.0699999999998098</c:v>
                </c:pt>
                <c:pt idx="1308">
                  <c:v>3.0799999999998096</c:v>
                </c:pt>
                <c:pt idx="1309">
                  <c:v>3.0899999999998093</c:v>
                </c:pt>
                <c:pt idx="1310">
                  <c:v>3.0999999999998091</c:v>
                </c:pt>
                <c:pt idx="1311">
                  <c:v>3.1099999999998089</c:v>
                </c:pt>
                <c:pt idx="1312">
                  <c:v>3.1199999999998087</c:v>
                </c:pt>
                <c:pt idx="1313">
                  <c:v>3.1299999999998085</c:v>
                </c:pt>
                <c:pt idx="1314">
                  <c:v>3.1399999999998083</c:v>
                </c:pt>
                <c:pt idx="1315">
                  <c:v>3.1499999999998081</c:v>
                </c:pt>
                <c:pt idx="1316">
                  <c:v>3.1599999999998079</c:v>
                </c:pt>
                <c:pt idx="1317">
                  <c:v>3.1699999999998076</c:v>
                </c:pt>
                <c:pt idx="1318">
                  <c:v>3.1799999999998074</c:v>
                </c:pt>
                <c:pt idx="1319">
                  <c:v>3.1899999999998072</c:v>
                </c:pt>
                <c:pt idx="1320">
                  <c:v>3.199999999999807</c:v>
                </c:pt>
                <c:pt idx="1321">
                  <c:v>3.2099999999998068</c:v>
                </c:pt>
                <c:pt idx="1322">
                  <c:v>3.2199999999998066</c:v>
                </c:pt>
                <c:pt idx="1323">
                  <c:v>3.2299999999998064</c:v>
                </c:pt>
                <c:pt idx="1324">
                  <c:v>3.2399999999998061</c:v>
                </c:pt>
                <c:pt idx="1325">
                  <c:v>3.2499999999998059</c:v>
                </c:pt>
                <c:pt idx="1326">
                  <c:v>3.2599999999998057</c:v>
                </c:pt>
                <c:pt idx="1327">
                  <c:v>3.2699999999998055</c:v>
                </c:pt>
                <c:pt idx="1328">
                  <c:v>3.2799999999998053</c:v>
                </c:pt>
                <c:pt idx="1329">
                  <c:v>3.2899999999998051</c:v>
                </c:pt>
                <c:pt idx="1330">
                  <c:v>3.2999999999998049</c:v>
                </c:pt>
                <c:pt idx="1331">
                  <c:v>3.3099999999998047</c:v>
                </c:pt>
                <c:pt idx="1332">
                  <c:v>3.3199999999998044</c:v>
                </c:pt>
                <c:pt idx="1333">
                  <c:v>3.3299999999998042</c:v>
                </c:pt>
                <c:pt idx="1334">
                  <c:v>3.339999999999804</c:v>
                </c:pt>
                <c:pt idx="1335">
                  <c:v>3.3499999999998038</c:v>
                </c:pt>
                <c:pt idx="1336">
                  <c:v>3.3599999999998036</c:v>
                </c:pt>
                <c:pt idx="1337">
                  <c:v>3.3699999999998034</c:v>
                </c:pt>
                <c:pt idx="1338">
                  <c:v>3.3799999999998032</c:v>
                </c:pt>
                <c:pt idx="1339">
                  <c:v>3.3899999999998029</c:v>
                </c:pt>
                <c:pt idx="1340">
                  <c:v>3.3999999999998027</c:v>
                </c:pt>
                <c:pt idx="1341">
                  <c:v>3.4099999999998025</c:v>
                </c:pt>
                <c:pt idx="1342">
                  <c:v>3.4199999999998023</c:v>
                </c:pt>
                <c:pt idx="1343">
                  <c:v>3.4299999999998021</c:v>
                </c:pt>
                <c:pt idx="1344">
                  <c:v>3.4399999999998019</c:v>
                </c:pt>
                <c:pt idx="1345">
                  <c:v>3.4499999999998017</c:v>
                </c:pt>
                <c:pt idx="1346">
                  <c:v>3.4599999999998015</c:v>
                </c:pt>
                <c:pt idx="1347">
                  <c:v>3.4699999999998012</c:v>
                </c:pt>
                <c:pt idx="1348">
                  <c:v>3.479999999999801</c:v>
                </c:pt>
                <c:pt idx="1349">
                  <c:v>3.4899999999998008</c:v>
                </c:pt>
                <c:pt idx="1350">
                  <c:v>3.4999999999998006</c:v>
                </c:pt>
                <c:pt idx="1351">
                  <c:v>3.5099999999998004</c:v>
                </c:pt>
                <c:pt idx="1352">
                  <c:v>3.5199999999998002</c:v>
                </c:pt>
                <c:pt idx="1353">
                  <c:v>3.5299999999998</c:v>
                </c:pt>
                <c:pt idx="1354">
                  <c:v>3.5399999999997998</c:v>
                </c:pt>
                <c:pt idx="1355">
                  <c:v>3.5499999999997995</c:v>
                </c:pt>
                <c:pt idx="1356">
                  <c:v>3.5599999999997993</c:v>
                </c:pt>
                <c:pt idx="1357">
                  <c:v>3.5699999999997991</c:v>
                </c:pt>
                <c:pt idx="1358">
                  <c:v>3.5799999999997989</c:v>
                </c:pt>
                <c:pt idx="1359">
                  <c:v>3.5899999999997987</c:v>
                </c:pt>
                <c:pt idx="1360">
                  <c:v>3.5999999999997985</c:v>
                </c:pt>
                <c:pt idx="1361">
                  <c:v>3.6099999999997983</c:v>
                </c:pt>
                <c:pt idx="1362">
                  <c:v>3.619999999999798</c:v>
                </c:pt>
                <c:pt idx="1363">
                  <c:v>3.6299999999997978</c:v>
                </c:pt>
                <c:pt idx="1364">
                  <c:v>3.6399999999997976</c:v>
                </c:pt>
                <c:pt idx="1365">
                  <c:v>3.6499999999997974</c:v>
                </c:pt>
                <c:pt idx="1366">
                  <c:v>3.6599999999997972</c:v>
                </c:pt>
                <c:pt idx="1367">
                  <c:v>3.669999999999797</c:v>
                </c:pt>
                <c:pt idx="1368">
                  <c:v>3.6799999999997968</c:v>
                </c:pt>
                <c:pt idx="1369">
                  <c:v>3.6899999999997966</c:v>
                </c:pt>
                <c:pt idx="1370">
                  <c:v>3.6999999999997963</c:v>
                </c:pt>
                <c:pt idx="1371">
                  <c:v>3.7099999999997961</c:v>
                </c:pt>
                <c:pt idx="1372">
                  <c:v>3.7199999999997959</c:v>
                </c:pt>
                <c:pt idx="1373">
                  <c:v>3.7299999999997957</c:v>
                </c:pt>
                <c:pt idx="1374">
                  <c:v>3.7399999999997955</c:v>
                </c:pt>
                <c:pt idx="1375">
                  <c:v>3.7499999999997953</c:v>
                </c:pt>
                <c:pt idx="1376">
                  <c:v>3.7599999999997951</c:v>
                </c:pt>
                <c:pt idx="1377">
                  <c:v>3.7699999999997948</c:v>
                </c:pt>
                <c:pt idx="1378">
                  <c:v>3.7799999999997946</c:v>
                </c:pt>
                <c:pt idx="1379">
                  <c:v>3.7899999999997944</c:v>
                </c:pt>
                <c:pt idx="1380">
                  <c:v>3.7999999999997942</c:v>
                </c:pt>
                <c:pt idx="1381">
                  <c:v>3.809999999999794</c:v>
                </c:pt>
                <c:pt idx="1382">
                  <c:v>3.8199999999997938</c:v>
                </c:pt>
                <c:pt idx="1383">
                  <c:v>3.8299999999997936</c:v>
                </c:pt>
                <c:pt idx="1384">
                  <c:v>3.8399999999997934</c:v>
                </c:pt>
                <c:pt idx="1385">
                  <c:v>3.8499999999997931</c:v>
                </c:pt>
                <c:pt idx="1386">
                  <c:v>3.8599999999997929</c:v>
                </c:pt>
                <c:pt idx="1387">
                  <c:v>3.8699999999997927</c:v>
                </c:pt>
                <c:pt idx="1388">
                  <c:v>3.8799999999997925</c:v>
                </c:pt>
                <c:pt idx="1389">
                  <c:v>3.8899999999997923</c:v>
                </c:pt>
                <c:pt idx="1390">
                  <c:v>3.8999999999997921</c:v>
                </c:pt>
                <c:pt idx="1391">
                  <c:v>3.9099999999997919</c:v>
                </c:pt>
                <c:pt idx="1392">
                  <c:v>3.9199999999997917</c:v>
                </c:pt>
                <c:pt idx="1393">
                  <c:v>3.9299999999997914</c:v>
                </c:pt>
                <c:pt idx="1394">
                  <c:v>3.9399999999997912</c:v>
                </c:pt>
                <c:pt idx="1395">
                  <c:v>3.949999999999791</c:v>
                </c:pt>
                <c:pt idx="1396">
                  <c:v>3.9599999999997908</c:v>
                </c:pt>
                <c:pt idx="1397">
                  <c:v>3.9699999999997906</c:v>
                </c:pt>
                <c:pt idx="1398">
                  <c:v>3.9799999999997904</c:v>
                </c:pt>
                <c:pt idx="1399">
                  <c:v>3.9899999999997902</c:v>
                </c:pt>
                <c:pt idx="1400">
                  <c:v>3.9999999999997899</c:v>
                </c:pt>
                <c:pt idx="1401">
                  <c:v>4.0099999999997902</c:v>
                </c:pt>
                <c:pt idx="1402">
                  <c:v>4.01999999999979</c:v>
                </c:pt>
                <c:pt idx="1403">
                  <c:v>4.0299999999997898</c:v>
                </c:pt>
                <c:pt idx="1404">
                  <c:v>4.0399999999997895</c:v>
                </c:pt>
                <c:pt idx="1405">
                  <c:v>4.0499999999997893</c:v>
                </c:pt>
                <c:pt idx="1406">
                  <c:v>4.0599999999997891</c:v>
                </c:pt>
                <c:pt idx="1407">
                  <c:v>4.0699999999997889</c:v>
                </c:pt>
                <c:pt idx="1408">
                  <c:v>4.0799999999997887</c:v>
                </c:pt>
                <c:pt idx="1409">
                  <c:v>4.0899999999997885</c:v>
                </c:pt>
                <c:pt idx="1410">
                  <c:v>4.0999999999997883</c:v>
                </c:pt>
                <c:pt idx="1411">
                  <c:v>4.109999999999788</c:v>
                </c:pt>
                <c:pt idx="1412">
                  <c:v>4.1199999999997878</c:v>
                </c:pt>
                <c:pt idx="1413">
                  <c:v>4.1299999999997876</c:v>
                </c:pt>
                <c:pt idx="1414">
                  <c:v>4.1399999999997874</c:v>
                </c:pt>
                <c:pt idx="1415">
                  <c:v>4.1499999999997872</c:v>
                </c:pt>
                <c:pt idx="1416">
                  <c:v>4.159999999999787</c:v>
                </c:pt>
                <c:pt idx="1417">
                  <c:v>4.1699999999997868</c:v>
                </c:pt>
                <c:pt idx="1418">
                  <c:v>4.1799999999997866</c:v>
                </c:pt>
                <c:pt idx="1419">
                  <c:v>4.1899999999997863</c:v>
                </c:pt>
                <c:pt idx="1420">
                  <c:v>4.1999999999997861</c:v>
                </c:pt>
                <c:pt idx="1421">
                  <c:v>4.2099999999997859</c:v>
                </c:pt>
                <c:pt idx="1422">
                  <c:v>4.2199999999997857</c:v>
                </c:pt>
                <c:pt idx="1423">
                  <c:v>4.2299999999997855</c:v>
                </c:pt>
                <c:pt idx="1424">
                  <c:v>4.2399999999997853</c:v>
                </c:pt>
                <c:pt idx="1425">
                  <c:v>4.2499999999997851</c:v>
                </c:pt>
                <c:pt idx="1426">
                  <c:v>4.2599999999997848</c:v>
                </c:pt>
                <c:pt idx="1427">
                  <c:v>4.2699999999997846</c:v>
                </c:pt>
                <c:pt idx="1428">
                  <c:v>4.2799999999997844</c:v>
                </c:pt>
                <c:pt idx="1429">
                  <c:v>4.2899999999997842</c:v>
                </c:pt>
                <c:pt idx="1430">
                  <c:v>4.299999999999784</c:v>
                </c:pt>
                <c:pt idx="1431">
                  <c:v>4.3099999999997838</c:v>
                </c:pt>
                <c:pt idx="1432">
                  <c:v>4.3199999999997836</c:v>
                </c:pt>
                <c:pt idx="1433">
                  <c:v>4.3299999999997834</c:v>
                </c:pt>
                <c:pt idx="1434">
                  <c:v>4.3399999999997831</c:v>
                </c:pt>
                <c:pt idx="1435">
                  <c:v>4.3499999999997829</c:v>
                </c:pt>
                <c:pt idx="1436">
                  <c:v>4.3599999999997827</c:v>
                </c:pt>
                <c:pt idx="1437">
                  <c:v>4.3699999999997825</c:v>
                </c:pt>
                <c:pt idx="1438">
                  <c:v>4.3799999999997823</c:v>
                </c:pt>
                <c:pt idx="1439">
                  <c:v>4.3899999999997821</c:v>
                </c:pt>
                <c:pt idx="1440">
                  <c:v>4.3999999999997819</c:v>
                </c:pt>
                <c:pt idx="1441">
                  <c:v>4.4099999999997817</c:v>
                </c:pt>
                <c:pt idx="1442">
                  <c:v>4.4199999999997814</c:v>
                </c:pt>
                <c:pt idx="1443">
                  <c:v>4.4299999999997812</c:v>
                </c:pt>
                <c:pt idx="1444">
                  <c:v>4.439999999999781</c:v>
                </c:pt>
                <c:pt idx="1445">
                  <c:v>4.4499999999997808</c:v>
                </c:pt>
                <c:pt idx="1446">
                  <c:v>4.4599999999997806</c:v>
                </c:pt>
                <c:pt idx="1447">
                  <c:v>4.4699999999997804</c:v>
                </c:pt>
                <c:pt idx="1448">
                  <c:v>4.4799999999997802</c:v>
                </c:pt>
                <c:pt idx="1449">
                  <c:v>4.4899999999997799</c:v>
                </c:pt>
                <c:pt idx="1450">
                  <c:v>4.4999999999997797</c:v>
                </c:pt>
                <c:pt idx="1451">
                  <c:v>4.5099999999997795</c:v>
                </c:pt>
                <c:pt idx="1452">
                  <c:v>4.5199999999997793</c:v>
                </c:pt>
                <c:pt idx="1453">
                  <c:v>4.5299999999997791</c:v>
                </c:pt>
                <c:pt idx="1454">
                  <c:v>4.5399999999997789</c:v>
                </c:pt>
                <c:pt idx="1455">
                  <c:v>4.5499999999997787</c:v>
                </c:pt>
                <c:pt idx="1456">
                  <c:v>4.5599999999997785</c:v>
                </c:pt>
                <c:pt idx="1457">
                  <c:v>4.5699999999997782</c:v>
                </c:pt>
                <c:pt idx="1458">
                  <c:v>4.579999999999778</c:v>
                </c:pt>
                <c:pt idx="1459">
                  <c:v>4.5899999999997778</c:v>
                </c:pt>
                <c:pt idx="1460">
                  <c:v>4.5999999999997776</c:v>
                </c:pt>
                <c:pt idx="1461">
                  <c:v>4.6099999999997774</c:v>
                </c:pt>
                <c:pt idx="1462">
                  <c:v>4.6199999999997772</c:v>
                </c:pt>
                <c:pt idx="1463">
                  <c:v>4.629999999999777</c:v>
                </c:pt>
                <c:pt idx="1464">
                  <c:v>4.6399999999997767</c:v>
                </c:pt>
                <c:pt idx="1465">
                  <c:v>4.6499999999997765</c:v>
                </c:pt>
                <c:pt idx="1466">
                  <c:v>4.6599999999997763</c:v>
                </c:pt>
                <c:pt idx="1467">
                  <c:v>4.6699999999997761</c:v>
                </c:pt>
                <c:pt idx="1468">
                  <c:v>4.6799999999997759</c:v>
                </c:pt>
                <c:pt idx="1469">
                  <c:v>4.6899999999997757</c:v>
                </c:pt>
                <c:pt idx="1470">
                  <c:v>4.6999999999997755</c:v>
                </c:pt>
                <c:pt idx="1471">
                  <c:v>4.7099999999997753</c:v>
                </c:pt>
                <c:pt idx="1472">
                  <c:v>4.719999999999775</c:v>
                </c:pt>
                <c:pt idx="1473">
                  <c:v>4.7299999999997748</c:v>
                </c:pt>
                <c:pt idx="1474">
                  <c:v>4.7399999999997746</c:v>
                </c:pt>
                <c:pt idx="1475">
                  <c:v>4.7499999999997744</c:v>
                </c:pt>
                <c:pt idx="1476">
                  <c:v>4.7599999999997742</c:v>
                </c:pt>
                <c:pt idx="1477">
                  <c:v>4.769999999999774</c:v>
                </c:pt>
                <c:pt idx="1478">
                  <c:v>4.7799999999997738</c:v>
                </c:pt>
                <c:pt idx="1479">
                  <c:v>4.7899999999997736</c:v>
                </c:pt>
                <c:pt idx="1480">
                  <c:v>4.7999999999997733</c:v>
                </c:pt>
                <c:pt idx="1481">
                  <c:v>4.8099999999997731</c:v>
                </c:pt>
                <c:pt idx="1482">
                  <c:v>4.8199999999997729</c:v>
                </c:pt>
                <c:pt idx="1483">
                  <c:v>4.8299999999997727</c:v>
                </c:pt>
                <c:pt idx="1484">
                  <c:v>4.8399999999997725</c:v>
                </c:pt>
                <c:pt idx="1485">
                  <c:v>4.8499999999997723</c:v>
                </c:pt>
                <c:pt idx="1486">
                  <c:v>4.8599999999997721</c:v>
                </c:pt>
                <c:pt idx="1487">
                  <c:v>4.8699999999997718</c:v>
                </c:pt>
                <c:pt idx="1488">
                  <c:v>4.8799999999997716</c:v>
                </c:pt>
                <c:pt idx="1489">
                  <c:v>4.8899999999997714</c:v>
                </c:pt>
                <c:pt idx="1490">
                  <c:v>4.8999999999997712</c:v>
                </c:pt>
                <c:pt idx="1491">
                  <c:v>4.909999999999771</c:v>
                </c:pt>
                <c:pt idx="1492">
                  <c:v>4.9199999999997708</c:v>
                </c:pt>
                <c:pt idx="1493">
                  <c:v>4.9299999999997706</c:v>
                </c:pt>
                <c:pt idx="1494">
                  <c:v>4.9399999999997704</c:v>
                </c:pt>
                <c:pt idx="1495">
                  <c:v>4.9499999999997701</c:v>
                </c:pt>
                <c:pt idx="1496">
                  <c:v>4.9599999999997699</c:v>
                </c:pt>
                <c:pt idx="1497">
                  <c:v>4.9699999999997697</c:v>
                </c:pt>
                <c:pt idx="1498">
                  <c:v>4.9799999999997695</c:v>
                </c:pt>
                <c:pt idx="1499">
                  <c:v>4.9899999999997693</c:v>
                </c:pt>
                <c:pt idx="1500">
                  <c:v>4.9999999999997691</c:v>
                </c:pt>
                <c:pt idx="1501">
                  <c:v>5.0099999999997689</c:v>
                </c:pt>
                <c:pt idx="1502">
                  <c:v>5.0199999999997686</c:v>
                </c:pt>
                <c:pt idx="1503">
                  <c:v>5.0299999999997684</c:v>
                </c:pt>
                <c:pt idx="1504">
                  <c:v>5.0399999999997682</c:v>
                </c:pt>
                <c:pt idx="1505">
                  <c:v>5.049999999999768</c:v>
                </c:pt>
                <c:pt idx="1506">
                  <c:v>5.0599999999997678</c:v>
                </c:pt>
                <c:pt idx="1507">
                  <c:v>5.0699999999997676</c:v>
                </c:pt>
                <c:pt idx="1508">
                  <c:v>5.0799999999997674</c:v>
                </c:pt>
                <c:pt idx="1509">
                  <c:v>5.0899999999997672</c:v>
                </c:pt>
                <c:pt idx="1510">
                  <c:v>5.0999999999997669</c:v>
                </c:pt>
                <c:pt idx="1511">
                  <c:v>5.1099999999997667</c:v>
                </c:pt>
                <c:pt idx="1512">
                  <c:v>5.1199999999997665</c:v>
                </c:pt>
                <c:pt idx="1513">
                  <c:v>5.1299999999997663</c:v>
                </c:pt>
                <c:pt idx="1514">
                  <c:v>5.1399999999997661</c:v>
                </c:pt>
                <c:pt idx="1515">
                  <c:v>5.1499999999997659</c:v>
                </c:pt>
                <c:pt idx="1516">
                  <c:v>5.1599999999997657</c:v>
                </c:pt>
                <c:pt idx="1517">
                  <c:v>5.1699999999997654</c:v>
                </c:pt>
                <c:pt idx="1518">
                  <c:v>5.1799999999997652</c:v>
                </c:pt>
                <c:pt idx="1519">
                  <c:v>5.189999999999765</c:v>
                </c:pt>
                <c:pt idx="1520">
                  <c:v>5.1999999999997648</c:v>
                </c:pt>
                <c:pt idx="1521">
                  <c:v>5.2099999999997646</c:v>
                </c:pt>
                <c:pt idx="1522">
                  <c:v>5.2199999999997644</c:v>
                </c:pt>
                <c:pt idx="1523">
                  <c:v>5.2299999999997642</c:v>
                </c:pt>
                <c:pt idx="1524">
                  <c:v>5.239999999999764</c:v>
                </c:pt>
                <c:pt idx="1525">
                  <c:v>5.2499999999997637</c:v>
                </c:pt>
                <c:pt idx="1526">
                  <c:v>5.2599999999997635</c:v>
                </c:pt>
                <c:pt idx="1527">
                  <c:v>5.2699999999997633</c:v>
                </c:pt>
                <c:pt idx="1528">
                  <c:v>5.2799999999997631</c:v>
                </c:pt>
                <c:pt idx="1529">
                  <c:v>5.2899999999997629</c:v>
                </c:pt>
                <c:pt idx="1530">
                  <c:v>5.2999999999997627</c:v>
                </c:pt>
                <c:pt idx="1531">
                  <c:v>5.3099999999997625</c:v>
                </c:pt>
                <c:pt idx="1532">
                  <c:v>5.3199999999997623</c:v>
                </c:pt>
                <c:pt idx="1533">
                  <c:v>5.329999999999762</c:v>
                </c:pt>
                <c:pt idx="1534">
                  <c:v>5.3399999999997618</c:v>
                </c:pt>
                <c:pt idx="1535">
                  <c:v>5.3499999999997616</c:v>
                </c:pt>
                <c:pt idx="1536">
                  <c:v>5.3599999999997614</c:v>
                </c:pt>
                <c:pt idx="1537">
                  <c:v>5.3699999999997612</c:v>
                </c:pt>
                <c:pt idx="1538">
                  <c:v>5.379999999999761</c:v>
                </c:pt>
                <c:pt idx="1539">
                  <c:v>5.3899999999997608</c:v>
                </c:pt>
                <c:pt idx="1540">
                  <c:v>5.3999999999997605</c:v>
                </c:pt>
                <c:pt idx="1541">
                  <c:v>5.4099999999997603</c:v>
                </c:pt>
                <c:pt idx="1542">
                  <c:v>5.4199999999997601</c:v>
                </c:pt>
                <c:pt idx="1543">
                  <c:v>5.4299999999997599</c:v>
                </c:pt>
                <c:pt idx="1544">
                  <c:v>5.4399999999997597</c:v>
                </c:pt>
                <c:pt idx="1545">
                  <c:v>5.4499999999997595</c:v>
                </c:pt>
                <c:pt idx="1546">
                  <c:v>5.4599999999997593</c:v>
                </c:pt>
                <c:pt idx="1547">
                  <c:v>5.4699999999997591</c:v>
                </c:pt>
                <c:pt idx="1548">
                  <c:v>5.4799999999997588</c:v>
                </c:pt>
                <c:pt idx="1549">
                  <c:v>5.4899999999997586</c:v>
                </c:pt>
                <c:pt idx="1550">
                  <c:v>5.4999999999997584</c:v>
                </c:pt>
                <c:pt idx="1551">
                  <c:v>5.5099999999997582</c:v>
                </c:pt>
                <c:pt idx="1552">
                  <c:v>5.519999999999758</c:v>
                </c:pt>
                <c:pt idx="1553">
                  <c:v>5.5299999999997578</c:v>
                </c:pt>
                <c:pt idx="1554">
                  <c:v>5.5399999999997576</c:v>
                </c:pt>
                <c:pt idx="1555">
                  <c:v>5.5499999999997573</c:v>
                </c:pt>
                <c:pt idx="1556">
                  <c:v>5.5599999999997571</c:v>
                </c:pt>
                <c:pt idx="1557">
                  <c:v>5.5699999999997569</c:v>
                </c:pt>
                <c:pt idx="1558">
                  <c:v>5.5799999999997567</c:v>
                </c:pt>
                <c:pt idx="1559">
                  <c:v>5.5899999999997565</c:v>
                </c:pt>
                <c:pt idx="1560">
                  <c:v>5.5999999999997563</c:v>
                </c:pt>
                <c:pt idx="1561">
                  <c:v>5.6099999999997561</c:v>
                </c:pt>
                <c:pt idx="1562">
                  <c:v>5.6199999999997559</c:v>
                </c:pt>
                <c:pt idx="1563">
                  <c:v>5.6299999999997556</c:v>
                </c:pt>
                <c:pt idx="1564">
                  <c:v>5.6399999999997554</c:v>
                </c:pt>
                <c:pt idx="1565">
                  <c:v>5.6499999999997552</c:v>
                </c:pt>
                <c:pt idx="1566">
                  <c:v>5.659999999999755</c:v>
                </c:pt>
                <c:pt idx="1567">
                  <c:v>5.6699999999997548</c:v>
                </c:pt>
                <c:pt idx="1568">
                  <c:v>5.6799999999997546</c:v>
                </c:pt>
                <c:pt idx="1569">
                  <c:v>5.6899999999997544</c:v>
                </c:pt>
                <c:pt idx="1570">
                  <c:v>5.6999999999997542</c:v>
                </c:pt>
                <c:pt idx="1571">
                  <c:v>5.7099999999997539</c:v>
                </c:pt>
                <c:pt idx="1572">
                  <c:v>5.7199999999997537</c:v>
                </c:pt>
                <c:pt idx="1573">
                  <c:v>5.7299999999997535</c:v>
                </c:pt>
                <c:pt idx="1574">
                  <c:v>5.7399999999997533</c:v>
                </c:pt>
                <c:pt idx="1575">
                  <c:v>5.7499999999997531</c:v>
                </c:pt>
                <c:pt idx="1576">
                  <c:v>5.7599999999997529</c:v>
                </c:pt>
                <c:pt idx="1577">
                  <c:v>5.7699999999997527</c:v>
                </c:pt>
                <c:pt idx="1578">
                  <c:v>5.7799999999997524</c:v>
                </c:pt>
                <c:pt idx="1579">
                  <c:v>5.7899999999997522</c:v>
                </c:pt>
                <c:pt idx="1580">
                  <c:v>5.799999999999752</c:v>
                </c:pt>
                <c:pt idx="1581">
                  <c:v>5.8099999999997518</c:v>
                </c:pt>
                <c:pt idx="1582">
                  <c:v>5.8199999999997516</c:v>
                </c:pt>
                <c:pt idx="1583">
                  <c:v>5.8299999999997514</c:v>
                </c:pt>
                <c:pt idx="1584">
                  <c:v>5.8399999999997512</c:v>
                </c:pt>
                <c:pt idx="1585">
                  <c:v>5.849999999999751</c:v>
                </c:pt>
                <c:pt idx="1586">
                  <c:v>5.8599999999997507</c:v>
                </c:pt>
                <c:pt idx="1587">
                  <c:v>5.8699999999997505</c:v>
                </c:pt>
                <c:pt idx="1588">
                  <c:v>5.8799999999997503</c:v>
                </c:pt>
                <c:pt idx="1589">
                  <c:v>5.8899999999997501</c:v>
                </c:pt>
                <c:pt idx="1590">
                  <c:v>5.8999999999997499</c:v>
                </c:pt>
                <c:pt idx="1591">
                  <c:v>5.9099999999997497</c:v>
                </c:pt>
                <c:pt idx="1592">
                  <c:v>5.9199999999997495</c:v>
                </c:pt>
                <c:pt idx="1593">
                  <c:v>5.9299999999997492</c:v>
                </c:pt>
                <c:pt idx="1594">
                  <c:v>5.939999999999749</c:v>
                </c:pt>
                <c:pt idx="1595">
                  <c:v>5.9499999999997488</c:v>
                </c:pt>
                <c:pt idx="1596">
                  <c:v>5.9599999999997486</c:v>
                </c:pt>
                <c:pt idx="1597">
                  <c:v>5.9699999999997484</c:v>
                </c:pt>
                <c:pt idx="1598">
                  <c:v>5.9799999999997482</c:v>
                </c:pt>
                <c:pt idx="1599">
                  <c:v>5.989999999999748</c:v>
                </c:pt>
                <c:pt idx="1600">
                  <c:v>5.9999999999997478</c:v>
                </c:pt>
                <c:pt idx="1601">
                  <c:v>6.0099999999997475</c:v>
                </c:pt>
                <c:pt idx="1602">
                  <c:v>6.0199999999997473</c:v>
                </c:pt>
                <c:pt idx="1603">
                  <c:v>6.0299999999997471</c:v>
                </c:pt>
                <c:pt idx="1604">
                  <c:v>6.0399999999997469</c:v>
                </c:pt>
                <c:pt idx="1605">
                  <c:v>6.0499999999997467</c:v>
                </c:pt>
                <c:pt idx="1606">
                  <c:v>6.0599999999997465</c:v>
                </c:pt>
                <c:pt idx="1607">
                  <c:v>6.0699999999997463</c:v>
                </c:pt>
                <c:pt idx="1608">
                  <c:v>6.0799999999997461</c:v>
                </c:pt>
                <c:pt idx="1609">
                  <c:v>6.0899999999997458</c:v>
                </c:pt>
                <c:pt idx="1610">
                  <c:v>6.0999999999997456</c:v>
                </c:pt>
                <c:pt idx="1611">
                  <c:v>6.1099999999997454</c:v>
                </c:pt>
                <c:pt idx="1612">
                  <c:v>6.1199999999997452</c:v>
                </c:pt>
                <c:pt idx="1613">
                  <c:v>6.129999999999745</c:v>
                </c:pt>
                <c:pt idx="1614">
                  <c:v>6.1399999999997448</c:v>
                </c:pt>
                <c:pt idx="1615">
                  <c:v>6.1499999999997446</c:v>
                </c:pt>
                <c:pt idx="1616">
                  <c:v>6.1599999999997443</c:v>
                </c:pt>
                <c:pt idx="1617">
                  <c:v>6.1699999999997441</c:v>
                </c:pt>
                <c:pt idx="1618">
                  <c:v>6.1799999999997439</c:v>
                </c:pt>
                <c:pt idx="1619">
                  <c:v>6.1899999999997437</c:v>
                </c:pt>
                <c:pt idx="1620">
                  <c:v>6.1999999999997435</c:v>
                </c:pt>
                <c:pt idx="1621">
                  <c:v>6.2099999999997433</c:v>
                </c:pt>
                <c:pt idx="1622">
                  <c:v>6.2199999999997431</c:v>
                </c:pt>
                <c:pt idx="1623">
                  <c:v>6.2299999999997429</c:v>
                </c:pt>
                <c:pt idx="1624">
                  <c:v>6.2399999999997426</c:v>
                </c:pt>
                <c:pt idx="1625">
                  <c:v>6.2499999999997424</c:v>
                </c:pt>
                <c:pt idx="1626">
                  <c:v>6.2599999999997422</c:v>
                </c:pt>
                <c:pt idx="1627">
                  <c:v>6.269999999999742</c:v>
                </c:pt>
                <c:pt idx="1628">
                  <c:v>6.2799999999997418</c:v>
                </c:pt>
                <c:pt idx="1629">
                  <c:v>6.2899999999997416</c:v>
                </c:pt>
                <c:pt idx="1630">
                  <c:v>6.2999999999997414</c:v>
                </c:pt>
                <c:pt idx="1631">
                  <c:v>6.3099999999997411</c:v>
                </c:pt>
                <c:pt idx="1632">
                  <c:v>6.3199999999997409</c:v>
                </c:pt>
                <c:pt idx="1633">
                  <c:v>6.3299999999997407</c:v>
                </c:pt>
                <c:pt idx="1634">
                  <c:v>6.3399999999997405</c:v>
                </c:pt>
                <c:pt idx="1635">
                  <c:v>6.3499999999997403</c:v>
                </c:pt>
                <c:pt idx="1636">
                  <c:v>6.3599999999997401</c:v>
                </c:pt>
                <c:pt idx="1637">
                  <c:v>6.3699999999997399</c:v>
                </c:pt>
                <c:pt idx="1638">
                  <c:v>6.3799999999997397</c:v>
                </c:pt>
                <c:pt idx="1639">
                  <c:v>6.3899999999997394</c:v>
                </c:pt>
                <c:pt idx="1640">
                  <c:v>6.3999999999997392</c:v>
                </c:pt>
                <c:pt idx="1641">
                  <c:v>6.409999999999739</c:v>
                </c:pt>
                <c:pt idx="1642">
                  <c:v>6.4199999999997388</c:v>
                </c:pt>
                <c:pt idx="1643">
                  <c:v>6.4299999999997386</c:v>
                </c:pt>
                <c:pt idx="1644">
                  <c:v>6.4399999999997384</c:v>
                </c:pt>
                <c:pt idx="1645">
                  <c:v>6.4499999999997382</c:v>
                </c:pt>
                <c:pt idx="1646">
                  <c:v>6.459999999999738</c:v>
                </c:pt>
                <c:pt idx="1647">
                  <c:v>6.4699999999997377</c:v>
                </c:pt>
                <c:pt idx="1648">
                  <c:v>6.4799999999997375</c:v>
                </c:pt>
                <c:pt idx="1649">
                  <c:v>6.4899999999997373</c:v>
                </c:pt>
                <c:pt idx="1650">
                  <c:v>6.4999999999997371</c:v>
                </c:pt>
                <c:pt idx="1651">
                  <c:v>6.5099999999997369</c:v>
                </c:pt>
                <c:pt idx="1652">
                  <c:v>6.5199999999997367</c:v>
                </c:pt>
                <c:pt idx="1653">
                  <c:v>6.5299999999997365</c:v>
                </c:pt>
                <c:pt idx="1654">
                  <c:v>6.5399999999997362</c:v>
                </c:pt>
                <c:pt idx="1655">
                  <c:v>6.549999999999736</c:v>
                </c:pt>
                <c:pt idx="1656">
                  <c:v>6.5599999999997358</c:v>
                </c:pt>
                <c:pt idx="1657">
                  <c:v>6.5699999999997356</c:v>
                </c:pt>
                <c:pt idx="1658">
                  <c:v>6.5799999999997354</c:v>
                </c:pt>
                <c:pt idx="1659">
                  <c:v>6.5899999999997352</c:v>
                </c:pt>
                <c:pt idx="1660">
                  <c:v>6.599999999999735</c:v>
                </c:pt>
                <c:pt idx="1661">
                  <c:v>6.6099999999997348</c:v>
                </c:pt>
                <c:pt idx="1662">
                  <c:v>6.6199999999997345</c:v>
                </c:pt>
                <c:pt idx="1663">
                  <c:v>6.6299999999997343</c:v>
                </c:pt>
                <c:pt idx="1664">
                  <c:v>6.6399999999997341</c:v>
                </c:pt>
                <c:pt idx="1665">
                  <c:v>6.6499999999997339</c:v>
                </c:pt>
                <c:pt idx="1666">
                  <c:v>6.6599999999997337</c:v>
                </c:pt>
                <c:pt idx="1667">
                  <c:v>6.6699999999997335</c:v>
                </c:pt>
                <c:pt idx="1668">
                  <c:v>6.6799999999997333</c:v>
                </c:pt>
                <c:pt idx="1669">
                  <c:v>6.689999999999733</c:v>
                </c:pt>
                <c:pt idx="1670">
                  <c:v>6.6999999999997328</c:v>
                </c:pt>
                <c:pt idx="1671">
                  <c:v>6.7099999999997326</c:v>
                </c:pt>
                <c:pt idx="1672">
                  <c:v>6.7199999999997324</c:v>
                </c:pt>
                <c:pt idx="1673">
                  <c:v>6.7299999999997322</c:v>
                </c:pt>
                <c:pt idx="1674">
                  <c:v>6.739999999999732</c:v>
                </c:pt>
                <c:pt idx="1675">
                  <c:v>6.7499999999997318</c:v>
                </c:pt>
                <c:pt idx="1676">
                  <c:v>6.7599999999997316</c:v>
                </c:pt>
                <c:pt idx="1677">
                  <c:v>6.7699999999997313</c:v>
                </c:pt>
                <c:pt idx="1678">
                  <c:v>6.7799999999997311</c:v>
                </c:pt>
                <c:pt idx="1679">
                  <c:v>6.7899999999997309</c:v>
                </c:pt>
                <c:pt idx="1680">
                  <c:v>6.7999999999997307</c:v>
                </c:pt>
                <c:pt idx="1681">
                  <c:v>6.8099999999997305</c:v>
                </c:pt>
                <c:pt idx="1682">
                  <c:v>6.8199999999997303</c:v>
                </c:pt>
                <c:pt idx="1683">
                  <c:v>6.8299999999997301</c:v>
                </c:pt>
                <c:pt idx="1684">
                  <c:v>6.8399999999997299</c:v>
                </c:pt>
                <c:pt idx="1685">
                  <c:v>6.8499999999997296</c:v>
                </c:pt>
                <c:pt idx="1686">
                  <c:v>6.8599999999997294</c:v>
                </c:pt>
                <c:pt idx="1687">
                  <c:v>6.8699999999997292</c:v>
                </c:pt>
                <c:pt idx="1688">
                  <c:v>6.879999999999729</c:v>
                </c:pt>
                <c:pt idx="1689">
                  <c:v>6.8899999999997288</c:v>
                </c:pt>
                <c:pt idx="1690">
                  <c:v>6.8999999999997286</c:v>
                </c:pt>
                <c:pt idx="1691">
                  <c:v>6.9099999999997284</c:v>
                </c:pt>
                <c:pt idx="1692">
                  <c:v>6.9199999999997281</c:v>
                </c:pt>
                <c:pt idx="1693">
                  <c:v>6.9299999999997279</c:v>
                </c:pt>
                <c:pt idx="1694">
                  <c:v>6.9399999999997277</c:v>
                </c:pt>
                <c:pt idx="1695">
                  <c:v>6.9499999999997275</c:v>
                </c:pt>
                <c:pt idx="1696">
                  <c:v>6.9599999999997273</c:v>
                </c:pt>
                <c:pt idx="1697">
                  <c:v>6.9699999999997271</c:v>
                </c:pt>
                <c:pt idx="1698">
                  <c:v>6.9799999999997269</c:v>
                </c:pt>
                <c:pt idx="1699">
                  <c:v>6.9899999999997267</c:v>
                </c:pt>
                <c:pt idx="1700">
                  <c:v>6.9999999999997264</c:v>
                </c:pt>
                <c:pt idx="1701">
                  <c:v>7.0099999999997262</c:v>
                </c:pt>
                <c:pt idx="1702">
                  <c:v>7.019999999999726</c:v>
                </c:pt>
                <c:pt idx="1703">
                  <c:v>7.0299999999997258</c:v>
                </c:pt>
                <c:pt idx="1704">
                  <c:v>7.0399999999997256</c:v>
                </c:pt>
                <c:pt idx="1705">
                  <c:v>7.0499999999997254</c:v>
                </c:pt>
                <c:pt idx="1706">
                  <c:v>7.0599999999997252</c:v>
                </c:pt>
                <c:pt idx="1707">
                  <c:v>7.0699999999997249</c:v>
                </c:pt>
                <c:pt idx="1708">
                  <c:v>7.0799999999997247</c:v>
                </c:pt>
                <c:pt idx="1709">
                  <c:v>7.0899999999997245</c:v>
                </c:pt>
                <c:pt idx="1710">
                  <c:v>7.0999999999997243</c:v>
                </c:pt>
                <c:pt idx="1711">
                  <c:v>7.1099999999997241</c:v>
                </c:pt>
                <c:pt idx="1712">
                  <c:v>7.1199999999997239</c:v>
                </c:pt>
                <c:pt idx="1713">
                  <c:v>7.1299999999997237</c:v>
                </c:pt>
                <c:pt idx="1714">
                  <c:v>7.1399999999997235</c:v>
                </c:pt>
                <c:pt idx="1715">
                  <c:v>7.1499999999997232</c:v>
                </c:pt>
                <c:pt idx="1716">
                  <c:v>7.159999999999723</c:v>
                </c:pt>
                <c:pt idx="1717">
                  <c:v>7.1699999999997228</c:v>
                </c:pt>
                <c:pt idx="1718">
                  <c:v>7.1799999999997226</c:v>
                </c:pt>
                <c:pt idx="1719">
                  <c:v>7.1899999999997224</c:v>
                </c:pt>
                <c:pt idx="1720">
                  <c:v>7.1999999999997222</c:v>
                </c:pt>
                <c:pt idx="1721">
                  <c:v>7.209999999999722</c:v>
                </c:pt>
                <c:pt idx="1722">
                  <c:v>7.2199999999997218</c:v>
                </c:pt>
                <c:pt idx="1723">
                  <c:v>7.2299999999997215</c:v>
                </c:pt>
                <c:pt idx="1724">
                  <c:v>7.2399999999997213</c:v>
                </c:pt>
                <c:pt idx="1725">
                  <c:v>7.2499999999997211</c:v>
                </c:pt>
                <c:pt idx="1726">
                  <c:v>7.2599999999997209</c:v>
                </c:pt>
                <c:pt idx="1727">
                  <c:v>7.2699999999997207</c:v>
                </c:pt>
                <c:pt idx="1728">
                  <c:v>7.2799999999997205</c:v>
                </c:pt>
                <c:pt idx="1729">
                  <c:v>7.2899999999997203</c:v>
                </c:pt>
                <c:pt idx="1730">
                  <c:v>7.29999999999972</c:v>
                </c:pt>
                <c:pt idx="1731">
                  <c:v>7.3099999999997198</c:v>
                </c:pt>
                <c:pt idx="1732">
                  <c:v>7.3199999999997196</c:v>
                </c:pt>
                <c:pt idx="1733">
                  <c:v>7.3299999999997194</c:v>
                </c:pt>
                <c:pt idx="1734">
                  <c:v>7.3399999999997192</c:v>
                </c:pt>
                <c:pt idx="1735">
                  <c:v>7.349999999999719</c:v>
                </c:pt>
                <c:pt idx="1736">
                  <c:v>7.3599999999997188</c:v>
                </c:pt>
                <c:pt idx="1737">
                  <c:v>7.3699999999997186</c:v>
                </c:pt>
                <c:pt idx="1738">
                  <c:v>7.3799999999997183</c:v>
                </c:pt>
                <c:pt idx="1739">
                  <c:v>7.3899999999997181</c:v>
                </c:pt>
                <c:pt idx="1740">
                  <c:v>7.3999999999997179</c:v>
                </c:pt>
                <c:pt idx="1741">
                  <c:v>7.4099999999997177</c:v>
                </c:pt>
                <c:pt idx="1742">
                  <c:v>7.4199999999997175</c:v>
                </c:pt>
                <c:pt idx="1743">
                  <c:v>7.4299999999997173</c:v>
                </c:pt>
                <c:pt idx="1744">
                  <c:v>7.4399999999997171</c:v>
                </c:pt>
                <c:pt idx="1745">
                  <c:v>7.4499999999997168</c:v>
                </c:pt>
                <c:pt idx="1746">
                  <c:v>7.4599999999997166</c:v>
                </c:pt>
                <c:pt idx="1747">
                  <c:v>7.4699999999997164</c:v>
                </c:pt>
                <c:pt idx="1748">
                  <c:v>7.4799999999997162</c:v>
                </c:pt>
                <c:pt idx="1749">
                  <c:v>7.489999999999716</c:v>
                </c:pt>
                <c:pt idx="1750">
                  <c:v>7.4999999999997158</c:v>
                </c:pt>
                <c:pt idx="1751">
                  <c:v>7.5099999999997156</c:v>
                </c:pt>
                <c:pt idx="1752">
                  <c:v>7.5199999999997154</c:v>
                </c:pt>
                <c:pt idx="1753">
                  <c:v>7.5299999999997151</c:v>
                </c:pt>
                <c:pt idx="1754">
                  <c:v>7.5399999999997149</c:v>
                </c:pt>
                <c:pt idx="1755">
                  <c:v>7.5499999999997147</c:v>
                </c:pt>
                <c:pt idx="1756">
                  <c:v>7.5599999999997145</c:v>
                </c:pt>
                <c:pt idx="1757">
                  <c:v>7.5699999999997143</c:v>
                </c:pt>
                <c:pt idx="1758">
                  <c:v>7.5799999999997141</c:v>
                </c:pt>
                <c:pt idx="1759">
                  <c:v>7.5899999999997139</c:v>
                </c:pt>
                <c:pt idx="1760">
                  <c:v>7.5999999999997137</c:v>
                </c:pt>
                <c:pt idx="1761">
                  <c:v>7.6099999999997134</c:v>
                </c:pt>
                <c:pt idx="1762">
                  <c:v>7.6199999999997132</c:v>
                </c:pt>
                <c:pt idx="1763">
                  <c:v>7.629999999999713</c:v>
                </c:pt>
                <c:pt idx="1764">
                  <c:v>7.6399999999997128</c:v>
                </c:pt>
                <c:pt idx="1765">
                  <c:v>7.6499999999997126</c:v>
                </c:pt>
                <c:pt idx="1766">
                  <c:v>7.6599999999997124</c:v>
                </c:pt>
                <c:pt idx="1767">
                  <c:v>7.6699999999997122</c:v>
                </c:pt>
                <c:pt idx="1768">
                  <c:v>7.6799999999997119</c:v>
                </c:pt>
                <c:pt idx="1769">
                  <c:v>7.6899999999997117</c:v>
                </c:pt>
                <c:pt idx="1770">
                  <c:v>7.6999999999997115</c:v>
                </c:pt>
                <c:pt idx="1771">
                  <c:v>7.7099999999997113</c:v>
                </c:pt>
                <c:pt idx="1772">
                  <c:v>7.7199999999997111</c:v>
                </c:pt>
                <c:pt idx="1773">
                  <c:v>7.7299999999997109</c:v>
                </c:pt>
                <c:pt idx="1774">
                  <c:v>7.7399999999997107</c:v>
                </c:pt>
                <c:pt idx="1775">
                  <c:v>7.7499999999997105</c:v>
                </c:pt>
                <c:pt idx="1776">
                  <c:v>7.7599999999997102</c:v>
                </c:pt>
                <c:pt idx="1777">
                  <c:v>7.76999999999971</c:v>
                </c:pt>
                <c:pt idx="1778">
                  <c:v>7.7799999999997098</c:v>
                </c:pt>
                <c:pt idx="1779">
                  <c:v>7.7899999999997096</c:v>
                </c:pt>
                <c:pt idx="1780">
                  <c:v>7.7999999999997094</c:v>
                </c:pt>
                <c:pt idx="1781">
                  <c:v>7.8099999999997092</c:v>
                </c:pt>
                <c:pt idx="1782">
                  <c:v>7.819999999999709</c:v>
                </c:pt>
                <c:pt idx="1783">
                  <c:v>7.8299999999997087</c:v>
                </c:pt>
                <c:pt idx="1784">
                  <c:v>7.8399999999997085</c:v>
                </c:pt>
                <c:pt idx="1785">
                  <c:v>7.8499999999997083</c:v>
                </c:pt>
                <c:pt idx="1786">
                  <c:v>7.8599999999997081</c:v>
                </c:pt>
                <c:pt idx="1787">
                  <c:v>7.8699999999997079</c:v>
                </c:pt>
                <c:pt idx="1788">
                  <c:v>7.8799999999997077</c:v>
                </c:pt>
                <c:pt idx="1789">
                  <c:v>7.8899999999997075</c:v>
                </c:pt>
                <c:pt idx="1790">
                  <c:v>7.8999999999997073</c:v>
                </c:pt>
                <c:pt idx="1791">
                  <c:v>7.909999999999707</c:v>
                </c:pt>
                <c:pt idx="1792">
                  <c:v>7.9199999999997068</c:v>
                </c:pt>
                <c:pt idx="1793">
                  <c:v>7.9299999999997066</c:v>
                </c:pt>
                <c:pt idx="1794">
                  <c:v>7.9399999999997064</c:v>
                </c:pt>
                <c:pt idx="1795">
                  <c:v>7.9499999999997062</c:v>
                </c:pt>
                <c:pt idx="1796">
                  <c:v>7.959999999999706</c:v>
                </c:pt>
                <c:pt idx="1797">
                  <c:v>7.9699999999997058</c:v>
                </c:pt>
                <c:pt idx="1798">
                  <c:v>7.9799999999997056</c:v>
                </c:pt>
                <c:pt idx="1799">
                  <c:v>7.9899999999997053</c:v>
                </c:pt>
                <c:pt idx="1800">
                  <c:v>7.9999999999997051</c:v>
                </c:pt>
                <c:pt idx="1801">
                  <c:v>8.0099999999997049</c:v>
                </c:pt>
                <c:pt idx="1802">
                  <c:v>8.0199999999997047</c:v>
                </c:pt>
                <c:pt idx="1803">
                  <c:v>8.0299999999997045</c:v>
                </c:pt>
                <c:pt idx="1804">
                  <c:v>8.0399999999997043</c:v>
                </c:pt>
                <c:pt idx="1805">
                  <c:v>8.0499999999997041</c:v>
                </c:pt>
                <c:pt idx="1806">
                  <c:v>8.0599999999997038</c:v>
                </c:pt>
                <c:pt idx="1807">
                  <c:v>8.0699999999997036</c:v>
                </c:pt>
                <c:pt idx="1808">
                  <c:v>8.0799999999997034</c:v>
                </c:pt>
                <c:pt idx="1809">
                  <c:v>8.0899999999997032</c:v>
                </c:pt>
                <c:pt idx="1810">
                  <c:v>8.099999999999703</c:v>
                </c:pt>
                <c:pt idx="1811">
                  <c:v>8.1099999999997028</c:v>
                </c:pt>
                <c:pt idx="1812">
                  <c:v>8.1199999999997026</c:v>
                </c:pt>
                <c:pt idx="1813">
                  <c:v>8.1299999999997024</c:v>
                </c:pt>
                <c:pt idx="1814">
                  <c:v>8.1399999999997021</c:v>
                </c:pt>
                <c:pt idx="1815">
                  <c:v>8.1499999999997019</c:v>
                </c:pt>
                <c:pt idx="1816">
                  <c:v>8.1599999999997017</c:v>
                </c:pt>
                <c:pt idx="1817">
                  <c:v>8.1699999999997015</c:v>
                </c:pt>
                <c:pt idx="1818">
                  <c:v>8.1799999999997013</c:v>
                </c:pt>
                <c:pt idx="1819">
                  <c:v>8.1899999999997011</c:v>
                </c:pt>
                <c:pt idx="1820">
                  <c:v>8.1999999999997009</c:v>
                </c:pt>
                <c:pt idx="1821">
                  <c:v>8.2099999999997006</c:v>
                </c:pt>
                <c:pt idx="1822">
                  <c:v>8.2199999999997004</c:v>
                </c:pt>
                <c:pt idx="1823">
                  <c:v>8.2299999999997002</c:v>
                </c:pt>
                <c:pt idx="1824">
                  <c:v>8.2399999999997</c:v>
                </c:pt>
                <c:pt idx="1825">
                  <c:v>8.2499999999996998</c:v>
                </c:pt>
                <c:pt idx="1826">
                  <c:v>8.2599999999996996</c:v>
                </c:pt>
                <c:pt idx="1827">
                  <c:v>8.2699999999996994</c:v>
                </c:pt>
                <c:pt idx="1828">
                  <c:v>8.2799999999996992</c:v>
                </c:pt>
                <c:pt idx="1829">
                  <c:v>8.2899999999996989</c:v>
                </c:pt>
                <c:pt idx="1830">
                  <c:v>8.2999999999996987</c:v>
                </c:pt>
                <c:pt idx="1831">
                  <c:v>8.3099999999996985</c:v>
                </c:pt>
                <c:pt idx="1832">
                  <c:v>8.3199999999996983</c:v>
                </c:pt>
                <c:pt idx="1833">
                  <c:v>8.3299999999996981</c:v>
                </c:pt>
                <c:pt idx="1834">
                  <c:v>8.3399999999996979</c:v>
                </c:pt>
                <c:pt idx="1835">
                  <c:v>8.3499999999996977</c:v>
                </c:pt>
                <c:pt idx="1836">
                  <c:v>8.3599999999996975</c:v>
                </c:pt>
                <c:pt idx="1837">
                  <c:v>8.3699999999996972</c:v>
                </c:pt>
                <c:pt idx="1838">
                  <c:v>8.379999999999697</c:v>
                </c:pt>
                <c:pt idx="1839">
                  <c:v>8.3899999999996968</c:v>
                </c:pt>
                <c:pt idx="1840">
                  <c:v>8.3999999999996966</c:v>
                </c:pt>
                <c:pt idx="1841">
                  <c:v>8.4099999999996964</c:v>
                </c:pt>
                <c:pt idx="1842">
                  <c:v>8.4199999999996962</c:v>
                </c:pt>
                <c:pt idx="1843">
                  <c:v>8.429999999999696</c:v>
                </c:pt>
                <c:pt idx="1844">
                  <c:v>8.4399999999996957</c:v>
                </c:pt>
                <c:pt idx="1845">
                  <c:v>8.4499999999996955</c:v>
                </c:pt>
                <c:pt idx="1846">
                  <c:v>8.4599999999996953</c:v>
                </c:pt>
                <c:pt idx="1847">
                  <c:v>8.4699999999996951</c:v>
                </c:pt>
                <c:pt idx="1848">
                  <c:v>8.4799999999996949</c:v>
                </c:pt>
                <c:pt idx="1849">
                  <c:v>8.4899999999996947</c:v>
                </c:pt>
                <c:pt idx="1850">
                  <c:v>8.4999999999996945</c:v>
                </c:pt>
                <c:pt idx="1851">
                  <c:v>8.5099999999996943</c:v>
                </c:pt>
                <c:pt idx="1852">
                  <c:v>8.519999999999694</c:v>
                </c:pt>
                <c:pt idx="1853">
                  <c:v>8.5299999999996938</c:v>
                </c:pt>
                <c:pt idx="1854">
                  <c:v>8.5399999999996936</c:v>
                </c:pt>
                <c:pt idx="1855">
                  <c:v>8.5499999999996934</c:v>
                </c:pt>
                <c:pt idx="1856">
                  <c:v>8.5599999999996932</c:v>
                </c:pt>
                <c:pt idx="1857">
                  <c:v>8.569999999999693</c:v>
                </c:pt>
                <c:pt idx="1858">
                  <c:v>8.5799999999996928</c:v>
                </c:pt>
                <c:pt idx="1859">
                  <c:v>8.5899999999996925</c:v>
                </c:pt>
                <c:pt idx="1860">
                  <c:v>8.5999999999996923</c:v>
                </c:pt>
                <c:pt idx="1861">
                  <c:v>8.6099999999996921</c:v>
                </c:pt>
                <c:pt idx="1862">
                  <c:v>8.6199999999996919</c:v>
                </c:pt>
                <c:pt idx="1863">
                  <c:v>8.6299999999996917</c:v>
                </c:pt>
                <c:pt idx="1864">
                  <c:v>8.6399999999996915</c:v>
                </c:pt>
                <c:pt idx="1865">
                  <c:v>8.6499999999996913</c:v>
                </c:pt>
                <c:pt idx="1866">
                  <c:v>8.6599999999996911</c:v>
                </c:pt>
                <c:pt idx="1867">
                  <c:v>8.6699999999996908</c:v>
                </c:pt>
                <c:pt idx="1868">
                  <c:v>8.6799999999996906</c:v>
                </c:pt>
                <c:pt idx="1869">
                  <c:v>8.6899999999996904</c:v>
                </c:pt>
                <c:pt idx="1870">
                  <c:v>8.6999999999996902</c:v>
                </c:pt>
                <c:pt idx="1871">
                  <c:v>8.70999999999969</c:v>
                </c:pt>
                <c:pt idx="1872">
                  <c:v>8.7199999999996898</c:v>
                </c:pt>
                <c:pt idx="1873">
                  <c:v>8.7299999999996896</c:v>
                </c:pt>
                <c:pt idx="1874">
                  <c:v>8.7399999999996894</c:v>
                </c:pt>
                <c:pt idx="1875">
                  <c:v>8.7499999999996891</c:v>
                </c:pt>
                <c:pt idx="1876">
                  <c:v>8.7599999999996889</c:v>
                </c:pt>
                <c:pt idx="1877">
                  <c:v>8.7699999999996887</c:v>
                </c:pt>
                <c:pt idx="1878">
                  <c:v>8.7799999999996885</c:v>
                </c:pt>
                <c:pt idx="1879">
                  <c:v>8.7899999999996883</c:v>
                </c:pt>
                <c:pt idx="1880">
                  <c:v>8.7999999999996881</c:v>
                </c:pt>
                <c:pt idx="1881">
                  <c:v>8.8099999999996879</c:v>
                </c:pt>
                <c:pt idx="1882">
                  <c:v>8.8199999999996876</c:v>
                </c:pt>
                <c:pt idx="1883">
                  <c:v>8.8299999999996874</c:v>
                </c:pt>
                <c:pt idx="1884">
                  <c:v>8.8399999999996872</c:v>
                </c:pt>
                <c:pt idx="1885">
                  <c:v>8.849999999999687</c:v>
                </c:pt>
                <c:pt idx="1886">
                  <c:v>8.8599999999996868</c:v>
                </c:pt>
                <c:pt idx="1887">
                  <c:v>8.8699999999996866</c:v>
                </c:pt>
                <c:pt idx="1888">
                  <c:v>8.8799999999996864</c:v>
                </c:pt>
                <c:pt idx="1889">
                  <c:v>8.8899999999996862</c:v>
                </c:pt>
                <c:pt idx="1890">
                  <c:v>8.8999999999996859</c:v>
                </c:pt>
                <c:pt idx="1891">
                  <c:v>8.9099999999996857</c:v>
                </c:pt>
                <c:pt idx="1892">
                  <c:v>8.9199999999996855</c:v>
                </c:pt>
                <c:pt idx="1893">
                  <c:v>8.9299999999996853</c:v>
                </c:pt>
                <c:pt idx="1894">
                  <c:v>8.9399999999996851</c:v>
                </c:pt>
                <c:pt idx="1895">
                  <c:v>8.9499999999996849</c:v>
                </c:pt>
                <c:pt idx="1896">
                  <c:v>8.9599999999996847</c:v>
                </c:pt>
                <c:pt idx="1897">
                  <c:v>8.9699999999996844</c:v>
                </c:pt>
                <c:pt idx="1898">
                  <c:v>8.9799999999996842</c:v>
                </c:pt>
                <c:pt idx="1899">
                  <c:v>8.989999999999684</c:v>
                </c:pt>
                <c:pt idx="1900">
                  <c:v>8.9999999999996838</c:v>
                </c:pt>
                <c:pt idx="1901">
                  <c:v>9.0099999999996836</c:v>
                </c:pt>
                <c:pt idx="1902">
                  <c:v>9.0199999999996834</c:v>
                </c:pt>
                <c:pt idx="1903">
                  <c:v>9.0299999999996832</c:v>
                </c:pt>
                <c:pt idx="1904">
                  <c:v>9.039999999999683</c:v>
                </c:pt>
                <c:pt idx="1905">
                  <c:v>9.0499999999996827</c:v>
                </c:pt>
                <c:pt idx="1906">
                  <c:v>9.0599999999996825</c:v>
                </c:pt>
                <c:pt idx="1907">
                  <c:v>9.0699999999996823</c:v>
                </c:pt>
                <c:pt idx="1908">
                  <c:v>9.0799999999996821</c:v>
                </c:pt>
                <c:pt idx="1909">
                  <c:v>9.0899999999996819</c:v>
                </c:pt>
                <c:pt idx="1910">
                  <c:v>9.0999999999996817</c:v>
                </c:pt>
                <c:pt idx="1911">
                  <c:v>9.1099999999996815</c:v>
                </c:pt>
                <c:pt idx="1912">
                  <c:v>9.1199999999996813</c:v>
                </c:pt>
                <c:pt idx="1913">
                  <c:v>9.129999999999681</c:v>
                </c:pt>
                <c:pt idx="1914">
                  <c:v>9.1399999999996808</c:v>
                </c:pt>
                <c:pt idx="1915">
                  <c:v>9.1499999999996806</c:v>
                </c:pt>
                <c:pt idx="1916">
                  <c:v>9.1599999999996804</c:v>
                </c:pt>
                <c:pt idx="1917">
                  <c:v>9.1699999999996802</c:v>
                </c:pt>
                <c:pt idx="1918">
                  <c:v>9.17999999999968</c:v>
                </c:pt>
                <c:pt idx="1919">
                  <c:v>9.1899999999996798</c:v>
                </c:pt>
                <c:pt idx="1920">
                  <c:v>9.1999999999996795</c:v>
                </c:pt>
                <c:pt idx="1921">
                  <c:v>9.2099999999996793</c:v>
                </c:pt>
                <c:pt idx="1922">
                  <c:v>9.2199999999996791</c:v>
                </c:pt>
                <c:pt idx="1923">
                  <c:v>9.2299999999996789</c:v>
                </c:pt>
                <c:pt idx="1924">
                  <c:v>9.2399999999996787</c:v>
                </c:pt>
                <c:pt idx="1925">
                  <c:v>9.2499999999996785</c:v>
                </c:pt>
                <c:pt idx="1926">
                  <c:v>9.2599999999996783</c:v>
                </c:pt>
                <c:pt idx="1927">
                  <c:v>9.2699999999996781</c:v>
                </c:pt>
                <c:pt idx="1928">
                  <c:v>9.2799999999996778</c:v>
                </c:pt>
                <c:pt idx="1929">
                  <c:v>9.2899999999996776</c:v>
                </c:pt>
                <c:pt idx="1930">
                  <c:v>9.2999999999996774</c:v>
                </c:pt>
                <c:pt idx="1931">
                  <c:v>9.3099999999996772</c:v>
                </c:pt>
                <c:pt idx="1932">
                  <c:v>9.319999999999677</c:v>
                </c:pt>
                <c:pt idx="1933">
                  <c:v>9.3299999999996768</c:v>
                </c:pt>
                <c:pt idx="1934">
                  <c:v>9.3399999999996766</c:v>
                </c:pt>
                <c:pt idx="1935">
                  <c:v>9.3499999999996763</c:v>
                </c:pt>
                <c:pt idx="1936">
                  <c:v>9.3599999999996761</c:v>
                </c:pt>
                <c:pt idx="1937">
                  <c:v>9.3699999999996759</c:v>
                </c:pt>
                <c:pt idx="1938">
                  <c:v>9.3799999999996757</c:v>
                </c:pt>
                <c:pt idx="1939">
                  <c:v>9.3899999999996755</c:v>
                </c:pt>
                <c:pt idx="1940">
                  <c:v>9.3999999999996753</c:v>
                </c:pt>
                <c:pt idx="1941">
                  <c:v>9.4099999999996751</c:v>
                </c:pt>
                <c:pt idx="1942">
                  <c:v>9.4199999999996749</c:v>
                </c:pt>
                <c:pt idx="1943">
                  <c:v>9.4299999999996746</c:v>
                </c:pt>
                <c:pt idx="1944">
                  <c:v>9.4399999999996744</c:v>
                </c:pt>
                <c:pt idx="1945">
                  <c:v>9.4499999999996742</c:v>
                </c:pt>
                <c:pt idx="1946">
                  <c:v>9.459999999999674</c:v>
                </c:pt>
                <c:pt idx="1947">
                  <c:v>9.4699999999996738</c:v>
                </c:pt>
                <c:pt idx="1948">
                  <c:v>9.4799999999996736</c:v>
                </c:pt>
                <c:pt idx="1949">
                  <c:v>9.4899999999996734</c:v>
                </c:pt>
                <c:pt idx="1950">
                  <c:v>9.4999999999996732</c:v>
                </c:pt>
                <c:pt idx="1951">
                  <c:v>9.5099999999996729</c:v>
                </c:pt>
                <c:pt idx="1952">
                  <c:v>9.5199999999996727</c:v>
                </c:pt>
                <c:pt idx="1953">
                  <c:v>9.5299999999996725</c:v>
                </c:pt>
                <c:pt idx="1954">
                  <c:v>9.5399999999996723</c:v>
                </c:pt>
                <c:pt idx="1955">
                  <c:v>9.5499999999996721</c:v>
                </c:pt>
                <c:pt idx="1956">
                  <c:v>9.5599999999996719</c:v>
                </c:pt>
                <c:pt idx="1957">
                  <c:v>9.5699999999996717</c:v>
                </c:pt>
                <c:pt idx="1958">
                  <c:v>9.5799999999996714</c:v>
                </c:pt>
                <c:pt idx="1959">
                  <c:v>9.5899999999996712</c:v>
                </c:pt>
                <c:pt idx="1960">
                  <c:v>9.599999999999671</c:v>
                </c:pt>
                <c:pt idx="1961">
                  <c:v>9.6099999999996708</c:v>
                </c:pt>
                <c:pt idx="1962">
                  <c:v>9.6199999999996706</c:v>
                </c:pt>
                <c:pt idx="1963">
                  <c:v>9.6299999999996704</c:v>
                </c:pt>
                <c:pt idx="1964">
                  <c:v>9.6399999999996702</c:v>
                </c:pt>
                <c:pt idx="1965">
                  <c:v>9.64999999999967</c:v>
                </c:pt>
                <c:pt idx="1966">
                  <c:v>9.6599999999996697</c:v>
                </c:pt>
                <c:pt idx="1967">
                  <c:v>9.6699999999996695</c:v>
                </c:pt>
                <c:pt idx="1968">
                  <c:v>9.6799999999996693</c:v>
                </c:pt>
                <c:pt idx="1969">
                  <c:v>9.6899999999996691</c:v>
                </c:pt>
                <c:pt idx="1970">
                  <c:v>9.6999999999996689</c:v>
                </c:pt>
                <c:pt idx="1971">
                  <c:v>9.7099999999996687</c:v>
                </c:pt>
                <c:pt idx="1972">
                  <c:v>9.7199999999996685</c:v>
                </c:pt>
                <c:pt idx="1973">
                  <c:v>9.7299999999996682</c:v>
                </c:pt>
                <c:pt idx="1974">
                  <c:v>9.739999999999668</c:v>
                </c:pt>
                <c:pt idx="1975">
                  <c:v>9.7499999999996678</c:v>
                </c:pt>
                <c:pt idx="1976">
                  <c:v>9.7599999999996676</c:v>
                </c:pt>
                <c:pt idx="1977">
                  <c:v>9.7699999999996674</c:v>
                </c:pt>
                <c:pt idx="1978">
                  <c:v>9.7799999999996672</c:v>
                </c:pt>
                <c:pt idx="1979">
                  <c:v>9.789999999999667</c:v>
                </c:pt>
                <c:pt idx="1980">
                  <c:v>9.7999999999996668</c:v>
                </c:pt>
                <c:pt idx="1981">
                  <c:v>9.8099999999996665</c:v>
                </c:pt>
                <c:pt idx="1982">
                  <c:v>9.8199999999996663</c:v>
                </c:pt>
                <c:pt idx="1983">
                  <c:v>9.8299999999996661</c:v>
                </c:pt>
                <c:pt idx="1984">
                  <c:v>9.8399999999996659</c:v>
                </c:pt>
                <c:pt idx="1985">
                  <c:v>9.8499999999996657</c:v>
                </c:pt>
                <c:pt idx="1986">
                  <c:v>9.8599999999996655</c:v>
                </c:pt>
                <c:pt idx="1987">
                  <c:v>9.8699999999996653</c:v>
                </c:pt>
                <c:pt idx="1988">
                  <c:v>9.8799999999996651</c:v>
                </c:pt>
                <c:pt idx="1989">
                  <c:v>9.8899999999996648</c:v>
                </c:pt>
                <c:pt idx="1990">
                  <c:v>9.8999999999996646</c:v>
                </c:pt>
                <c:pt idx="1991">
                  <c:v>9.9099999999996644</c:v>
                </c:pt>
                <c:pt idx="1992">
                  <c:v>9.9199999999996642</c:v>
                </c:pt>
                <c:pt idx="1993">
                  <c:v>9.929999999999664</c:v>
                </c:pt>
                <c:pt idx="1994">
                  <c:v>9.9399999999996638</c:v>
                </c:pt>
                <c:pt idx="1995">
                  <c:v>9.9499999999996636</c:v>
                </c:pt>
                <c:pt idx="1996">
                  <c:v>9.9599999999996633</c:v>
                </c:pt>
                <c:pt idx="1997">
                  <c:v>9.9699999999996631</c:v>
                </c:pt>
                <c:pt idx="1998">
                  <c:v>9.9799999999996629</c:v>
                </c:pt>
                <c:pt idx="1999">
                  <c:v>9.9899999999996627</c:v>
                </c:pt>
                <c:pt idx="2000">
                  <c:v>9.9999999999996625</c:v>
                </c:pt>
              </c:numCache>
            </c:numRef>
          </c:xVal>
          <c:yVal>
            <c:numRef>
              <c:f>'Peak Models'!$H$14:$H$2014</c:f>
              <c:numCache>
                <c:formatCode>General</c:formatCode>
                <c:ptCount val="200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pt idx="994">
                  <c:v>0</c:v>
                </c:pt>
                <c:pt idx="995">
                  <c:v>0</c:v>
                </c:pt>
                <c:pt idx="996">
                  <c:v>0</c:v>
                </c:pt>
                <c:pt idx="997">
                  <c:v>0</c:v>
                </c:pt>
                <c:pt idx="998">
                  <c:v>0</c:v>
                </c:pt>
                <c:pt idx="999">
                  <c:v>0</c:v>
                </c:pt>
                <c:pt idx="1000">
                  <c:v>0</c:v>
                </c:pt>
                <c:pt idx="1001">
                  <c:v>0</c:v>
                </c:pt>
                <c:pt idx="1002">
                  <c:v>0</c:v>
                </c:pt>
                <c:pt idx="1003">
                  <c:v>0</c:v>
                </c:pt>
                <c:pt idx="1004">
                  <c:v>0</c:v>
                </c:pt>
                <c:pt idx="1005">
                  <c:v>0</c:v>
                </c:pt>
                <c:pt idx="1006">
                  <c:v>0</c:v>
                </c:pt>
                <c:pt idx="1007">
                  <c:v>0</c:v>
                </c:pt>
                <c:pt idx="1008">
                  <c:v>0</c:v>
                </c:pt>
                <c:pt idx="1009">
                  <c:v>0</c:v>
                </c:pt>
                <c:pt idx="1010">
                  <c:v>0</c:v>
                </c:pt>
                <c:pt idx="1011">
                  <c:v>0</c:v>
                </c:pt>
                <c:pt idx="1012">
                  <c:v>0</c:v>
                </c:pt>
                <c:pt idx="1013">
                  <c:v>0</c:v>
                </c:pt>
                <c:pt idx="1014">
                  <c:v>0</c:v>
                </c:pt>
                <c:pt idx="1015">
                  <c:v>0</c:v>
                </c:pt>
                <c:pt idx="1016">
                  <c:v>0</c:v>
                </c:pt>
                <c:pt idx="1017">
                  <c:v>0</c:v>
                </c:pt>
                <c:pt idx="1018">
                  <c:v>0</c:v>
                </c:pt>
                <c:pt idx="1019">
                  <c:v>0</c:v>
                </c:pt>
                <c:pt idx="1020">
                  <c:v>0</c:v>
                </c:pt>
                <c:pt idx="1021">
                  <c:v>0</c:v>
                </c:pt>
                <c:pt idx="1022">
                  <c:v>0</c:v>
                </c:pt>
                <c:pt idx="1023">
                  <c:v>0</c:v>
                </c:pt>
                <c:pt idx="1024">
                  <c:v>0</c:v>
                </c:pt>
                <c:pt idx="1025">
                  <c:v>0</c:v>
                </c:pt>
                <c:pt idx="1026">
                  <c:v>0</c:v>
                </c:pt>
                <c:pt idx="1027">
                  <c:v>0</c:v>
                </c:pt>
                <c:pt idx="1028">
                  <c:v>0</c:v>
                </c:pt>
                <c:pt idx="1029">
                  <c:v>0</c:v>
                </c:pt>
                <c:pt idx="1030">
                  <c:v>0</c:v>
                </c:pt>
                <c:pt idx="1031">
                  <c:v>0</c:v>
                </c:pt>
                <c:pt idx="1032">
                  <c:v>0</c:v>
                </c:pt>
                <c:pt idx="1033">
                  <c:v>0</c:v>
                </c:pt>
                <c:pt idx="1034">
                  <c:v>0</c:v>
                </c:pt>
                <c:pt idx="1035">
                  <c:v>0</c:v>
                </c:pt>
                <c:pt idx="1036">
                  <c:v>0</c:v>
                </c:pt>
                <c:pt idx="1037">
                  <c:v>0</c:v>
                </c:pt>
                <c:pt idx="1038">
                  <c:v>0</c:v>
                </c:pt>
                <c:pt idx="1039">
                  <c:v>0</c:v>
                </c:pt>
                <c:pt idx="1040">
                  <c:v>0</c:v>
                </c:pt>
                <c:pt idx="1041">
                  <c:v>0</c:v>
                </c:pt>
                <c:pt idx="1042">
                  <c:v>0</c:v>
                </c:pt>
                <c:pt idx="1043">
                  <c:v>0</c:v>
                </c:pt>
                <c:pt idx="1044">
                  <c:v>0</c:v>
                </c:pt>
                <c:pt idx="1045">
                  <c:v>0</c:v>
                </c:pt>
                <c:pt idx="1046">
                  <c:v>0</c:v>
                </c:pt>
                <c:pt idx="1047">
                  <c:v>0</c:v>
                </c:pt>
                <c:pt idx="1048">
                  <c:v>0</c:v>
                </c:pt>
                <c:pt idx="1049">
                  <c:v>0</c:v>
                </c:pt>
                <c:pt idx="1050">
                  <c:v>0</c:v>
                </c:pt>
                <c:pt idx="1051">
                  <c:v>0</c:v>
                </c:pt>
                <c:pt idx="1052">
                  <c:v>0</c:v>
                </c:pt>
                <c:pt idx="1053">
                  <c:v>0</c:v>
                </c:pt>
                <c:pt idx="1054">
                  <c:v>0</c:v>
                </c:pt>
                <c:pt idx="1055">
                  <c:v>0</c:v>
                </c:pt>
                <c:pt idx="1056">
                  <c:v>0</c:v>
                </c:pt>
                <c:pt idx="1057">
                  <c:v>0</c:v>
                </c:pt>
                <c:pt idx="1058">
                  <c:v>0</c:v>
                </c:pt>
                <c:pt idx="1059">
                  <c:v>0</c:v>
                </c:pt>
                <c:pt idx="1060">
                  <c:v>0</c:v>
                </c:pt>
                <c:pt idx="1061">
                  <c:v>0</c:v>
                </c:pt>
                <c:pt idx="1062">
                  <c:v>0</c:v>
                </c:pt>
                <c:pt idx="1063">
                  <c:v>0</c:v>
                </c:pt>
                <c:pt idx="1064">
                  <c:v>0</c:v>
                </c:pt>
                <c:pt idx="1065">
                  <c:v>0</c:v>
                </c:pt>
                <c:pt idx="1066">
                  <c:v>0</c:v>
                </c:pt>
                <c:pt idx="1067">
                  <c:v>0</c:v>
                </c:pt>
                <c:pt idx="1068">
                  <c:v>0</c:v>
                </c:pt>
                <c:pt idx="1069">
                  <c:v>0</c:v>
                </c:pt>
                <c:pt idx="1070">
                  <c:v>0</c:v>
                </c:pt>
                <c:pt idx="1071">
                  <c:v>0</c:v>
                </c:pt>
                <c:pt idx="1072">
                  <c:v>0</c:v>
                </c:pt>
                <c:pt idx="1073">
                  <c:v>0</c:v>
                </c:pt>
                <c:pt idx="1074">
                  <c:v>0</c:v>
                </c:pt>
                <c:pt idx="1075">
                  <c:v>0</c:v>
                </c:pt>
                <c:pt idx="1076">
                  <c:v>0</c:v>
                </c:pt>
                <c:pt idx="1077">
                  <c:v>0</c:v>
                </c:pt>
                <c:pt idx="1078">
                  <c:v>0</c:v>
                </c:pt>
                <c:pt idx="1079">
                  <c:v>0</c:v>
                </c:pt>
                <c:pt idx="1080">
                  <c:v>0</c:v>
                </c:pt>
                <c:pt idx="1081">
                  <c:v>0</c:v>
                </c:pt>
                <c:pt idx="1082">
                  <c:v>0</c:v>
                </c:pt>
                <c:pt idx="1083">
                  <c:v>0</c:v>
                </c:pt>
                <c:pt idx="1084">
                  <c:v>0</c:v>
                </c:pt>
                <c:pt idx="1085">
                  <c:v>0</c:v>
                </c:pt>
                <c:pt idx="1086">
                  <c:v>0</c:v>
                </c:pt>
                <c:pt idx="1087">
                  <c:v>0</c:v>
                </c:pt>
                <c:pt idx="1088">
                  <c:v>0</c:v>
                </c:pt>
                <c:pt idx="1089">
                  <c:v>0</c:v>
                </c:pt>
                <c:pt idx="1090">
                  <c:v>0</c:v>
                </c:pt>
                <c:pt idx="1091">
                  <c:v>0</c:v>
                </c:pt>
                <c:pt idx="1092">
                  <c:v>0</c:v>
                </c:pt>
                <c:pt idx="1093">
                  <c:v>0</c:v>
                </c:pt>
                <c:pt idx="1094">
                  <c:v>0</c:v>
                </c:pt>
                <c:pt idx="1095">
                  <c:v>0</c:v>
                </c:pt>
                <c:pt idx="1096">
                  <c:v>0</c:v>
                </c:pt>
                <c:pt idx="1097">
                  <c:v>0</c:v>
                </c:pt>
                <c:pt idx="1098">
                  <c:v>0</c:v>
                </c:pt>
                <c:pt idx="1099">
                  <c:v>0</c:v>
                </c:pt>
                <c:pt idx="1100">
                  <c:v>0</c:v>
                </c:pt>
                <c:pt idx="1101">
                  <c:v>0</c:v>
                </c:pt>
                <c:pt idx="1102">
                  <c:v>0</c:v>
                </c:pt>
                <c:pt idx="1103">
                  <c:v>0</c:v>
                </c:pt>
                <c:pt idx="1104">
                  <c:v>0</c:v>
                </c:pt>
                <c:pt idx="1105">
                  <c:v>0</c:v>
                </c:pt>
                <c:pt idx="1106">
                  <c:v>0</c:v>
                </c:pt>
                <c:pt idx="1107">
                  <c:v>0</c:v>
                </c:pt>
                <c:pt idx="1108">
                  <c:v>0</c:v>
                </c:pt>
                <c:pt idx="1109">
                  <c:v>0</c:v>
                </c:pt>
                <c:pt idx="1110">
                  <c:v>0</c:v>
                </c:pt>
                <c:pt idx="1111">
                  <c:v>0</c:v>
                </c:pt>
                <c:pt idx="1112">
                  <c:v>0</c:v>
                </c:pt>
                <c:pt idx="1113">
                  <c:v>0</c:v>
                </c:pt>
                <c:pt idx="1114">
                  <c:v>0</c:v>
                </c:pt>
                <c:pt idx="1115">
                  <c:v>0</c:v>
                </c:pt>
                <c:pt idx="1116">
                  <c:v>0</c:v>
                </c:pt>
                <c:pt idx="1117">
                  <c:v>0</c:v>
                </c:pt>
                <c:pt idx="1118">
                  <c:v>0</c:v>
                </c:pt>
                <c:pt idx="1119">
                  <c:v>0</c:v>
                </c:pt>
                <c:pt idx="1120">
                  <c:v>0</c:v>
                </c:pt>
                <c:pt idx="1121">
                  <c:v>0</c:v>
                </c:pt>
                <c:pt idx="1122">
                  <c:v>0</c:v>
                </c:pt>
                <c:pt idx="1123">
                  <c:v>0</c:v>
                </c:pt>
                <c:pt idx="1124">
                  <c:v>0</c:v>
                </c:pt>
                <c:pt idx="1125">
                  <c:v>0</c:v>
                </c:pt>
                <c:pt idx="1126">
                  <c:v>0</c:v>
                </c:pt>
                <c:pt idx="1127">
                  <c:v>0</c:v>
                </c:pt>
                <c:pt idx="1128">
                  <c:v>0</c:v>
                </c:pt>
                <c:pt idx="1129">
                  <c:v>0</c:v>
                </c:pt>
                <c:pt idx="1130">
                  <c:v>0</c:v>
                </c:pt>
                <c:pt idx="1131">
                  <c:v>0</c:v>
                </c:pt>
                <c:pt idx="1132">
                  <c:v>0</c:v>
                </c:pt>
                <c:pt idx="1133">
                  <c:v>0</c:v>
                </c:pt>
                <c:pt idx="1134">
                  <c:v>0</c:v>
                </c:pt>
                <c:pt idx="1135">
                  <c:v>0</c:v>
                </c:pt>
                <c:pt idx="1136">
                  <c:v>0</c:v>
                </c:pt>
                <c:pt idx="1137">
                  <c:v>0</c:v>
                </c:pt>
                <c:pt idx="1138">
                  <c:v>0</c:v>
                </c:pt>
                <c:pt idx="1139">
                  <c:v>0</c:v>
                </c:pt>
                <c:pt idx="1140">
                  <c:v>0</c:v>
                </c:pt>
                <c:pt idx="1141">
                  <c:v>0</c:v>
                </c:pt>
                <c:pt idx="1142">
                  <c:v>0</c:v>
                </c:pt>
                <c:pt idx="1143">
                  <c:v>0</c:v>
                </c:pt>
                <c:pt idx="1144">
                  <c:v>0</c:v>
                </c:pt>
                <c:pt idx="1145">
                  <c:v>0</c:v>
                </c:pt>
                <c:pt idx="1146">
                  <c:v>0</c:v>
                </c:pt>
                <c:pt idx="1147">
                  <c:v>0</c:v>
                </c:pt>
                <c:pt idx="1148">
                  <c:v>0</c:v>
                </c:pt>
                <c:pt idx="1149">
                  <c:v>0</c:v>
                </c:pt>
                <c:pt idx="1150">
                  <c:v>0</c:v>
                </c:pt>
                <c:pt idx="1151">
                  <c:v>0</c:v>
                </c:pt>
                <c:pt idx="1152">
                  <c:v>0</c:v>
                </c:pt>
                <c:pt idx="1153">
                  <c:v>0</c:v>
                </c:pt>
                <c:pt idx="1154">
                  <c:v>0</c:v>
                </c:pt>
                <c:pt idx="1155">
                  <c:v>0</c:v>
                </c:pt>
                <c:pt idx="1156">
                  <c:v>0</c:v>
                </c:pt>
                <c:pt idx="1157">
                  <c:v>0</c:v>
                </c:pt>
                <c:pt idx="1158">
                  <c:v>0</c:v>
                </c:pt>
                <c:pt idx="1159">
                  <c:v>0</c:v>
                </c:pt>
                <c:pt idx="1160">
                  <c:v>0</c:v>
                </c:pt>
                <c:pt idx="1161">
                  <c:v>0</c:v>
                </c:pt>
                <c:pt idx="1162">
                  <c:v>0</c:v>
                </c:pt>
                <c:pt idx="1163">
                  <c:v>0</c:v>
                </c:pt>
                <c:pt idx="1164">
                  <c:v>0</c:v>
                </c:pt>
                <c:pt idx="1165">
                  <c:v>0</c:v>
                </c:pt>
                <c:pt idx="1166">
                  <c:v>0</c:v>
                </c:pt>
                <c:pt idx="1167">
                  <c:v>0</c:v>
                </c:pt>
                <c:pt idx="1168">
                  <c:v>0</c:v>
                </c:pt>
                <c:pt idx="1169">
                  <c:v>0</c:v>
                </c:pt>
                <c:pt idx="1170">
                  <c:v>0</c:v>
                </c:pt>
                <c:pt idx="1171">
                  <c:v>0</c:v>
                </c:pt>
                <c:pt idx="1172">
                  <c:v>0</c:v>
                </c:pt>
                <c:pt idx="1173">
                  <c:v>0</c:v>
                </c:pt>
                <c:pt idx="1174">
                  <c:v>0</c:v>
                </c:pt>
                <c:pt idx="1175">
                  <c:v>0</c:v>
                </c:pt>
                <c:pt idx="1176">
                  <c:v>0</c:v>
                </c:pt>
                <c:pt idx="1177">
                  <c:v>0</c:v>
                </c:pt>
                <c:pt idx="1178">
                  <c:v>0</c:v>
                </c:pt>
                <c:pt idx="1179">
                  <c:v>0</c:v>
                </c:pt>
                <c:pt idx="1180">
                  <c:v>0</c:v>
                </c:pt>
                <c:pt idx="1181">
                  <c:v>0</c:v>
                </c:pt>
                <c:pt idx="1182">
                  <c:v>0</c:v>
                </c:pt>
                <c:pt idx="1183">
                  <c:v>0</c:v>
                </c:pt>
                <c:pt idx="1184">
                  <c:v>0</c:v>
                </c:pt>
                <c:pt idx="1185">
                  <c:v>0</c:v>
                </c:pt>
                <c:pt idx="1186">
                  <c:v>0</c:v>
                </c:pt>
                <c:pt idx="1187">
                  <c:v>0</c:v>
                </c:pt>
                <c:pt idx="1188">
                  <c:v>0</c:v>
                </c:pt>
                <c:pt idx="1189">
                  <c:v>0</c:v>
                </c:pt>
                <c:pt idx="1190">
                  <c:v>0</c:v>
                </c:pt>
                <c:pt idx="1191">
                  <c:v>0</c:v>
                </c:pt>
                <c:pt idx="1192">
                  <c:v>0</c:v>
                </c:pt>
                <c:pt idx="1193">
                  <c:v>0</c:v>
                </c:pt>
                <c:pt idx="1194">
                  <c:v>0</c:v>
                </c:pt>
                <c:pt idx="1195">
                  <c:v>0</c:v>
                </c:pt>
                <c:pt idx="1196">
                  <c:v>0</c:v>
                </c:pt>
                <c:pt idx="1197">
                  <c:v>0</c:v>
                </c:pt>
                <c:pt idx="1198">
                  <c:v>0</c:v>
                </c:pt>
                <c:pt idx="1199">
                  <c:v>0</c:v>
                </c:pt>
                <c:pt idx="1200">
                  <c:v>0</c:v>
                </c:pt>
                <c:pt idx="1201">
                  <c:v>0</c:v>
                </c:pt>
                <c:pt idx="1202">
                  <c:v>0</c:v>
                </c:pt>
                <c:pt idx="1203">
                  <c:v>0</c:v>
                </c:pt>
                <c:pt idx="1204">
                  <c:v>0</c:v>
                </c:pt>
                <c:pt idx="1205">
                  <c:v>0</c:v>
                </c:pt>
                <c:pt idx="1206">
                  <c:v>0</c:v>
                </c:pt>
                <c:pt idx="1207">
                  <c:v>0</c:v>
                </c:pt>
                <c:pt idx="1208">
                  <c:v>0</c:v>
                </c:pt>
                <c:pt idx="1209">
                  <c:v>0</c:v>
                </c:pt>
                <c:pt idx="1210">
                  <c:v>0</c:v>
                </c:pt>
                <c:pt idx="1211">
                  <c:v>0</c:v>
                </c:pt>
                <c:pt idx="1212">
                  <c:v>0</c:v>
                </c:pt>
                <c:pt idx="1213">
                  <c:v>0</c:v>
                </c:pt>
                <c:pt idx="1214">
                  <c:v>0</c:v>
                </c:pt>
                <c:pt idx="1215">
                  <c:v>0</c:v>
                </c:pt>
                <c:pt idx="1216">
                  <c:v>0</c:v>
                </c:pt>
                <c:pt idx="1217">
                  <c:v>0</c:v>
                </c:pt>
                <c:pt idx="1218">
                  <c:v>0</c:v>
                </c:pt>
                <c:pt idx="1219">
                  <c:v>0</c:v>
                </c:pt>
                <c:pt idx="1220">
                  <c:v>0</c:v>
                </c:pt>
                <c:pt idx="1221">
                  <c:v>0</c:v>
                </c:pt>
                <c:pt idx="1222">
                  <c:v>0</c:v>
                </c:pt>
                <c:pt idx="1223">
                  <c:v>0</c:v>
                </c:pt>
                <c:pt idx="1224">
                  <c:v>0</c:v>
                </c:pt>
                <c:pt idx="1225">
                  <c:v>0</c:v>
                </c:pt>
                <c:pt idx="1226">
                  <c:v>0</c:v>
                </c:pt>
                <c:pt idx="1227">
                  <c:v>0</c:v>
                </c:pt>
                <c:pt idx="1228">
                  <c:v>0</c:v>
                </c:pt>
                <c:pt idx="1229">
                  <c:v>0</c:v>
                </c:pt>
                <c:pt idx="1230">
                  <c:v>0</c:v>
                </c:pt>
                <c:pt idx="1231">
                  <c:v>0</c:v>
                </c:pt>
                <c:pt idx="1232">
                  <c:v>0</c:v>
                </c:pt>
                <c:pt idx="1233">
                  <c:v>0</c:v>
                </c:pt>
                <c:pt idx="1234">
                  <c:v>0</c:v>
                </c:pt>
                <c:pt idx="1235">
                  <c:v>0</c:v>
                </c:pt>
                <c:pt idx="1236">
                  <c:v>0</c:v>
                </c:pt>
                <c:pt idx="1237">
                  <c:v>0</c:v>
                </c:pt>
                <c:pt idx="1238">
                  <c:v>0</c:v>
                </c:pt>
                <c:pt idx="1239">
                  <c:v>0</c:v>
                </c:pt>
                <c:pt idx="1240">
                  <c:v>0</c:v>
                </c:pt>
                <c:pt idx="1241">
                  <c:v>0</c:v>
                </c:pt>
                <c:pt idx="1242">
                  <c:v>0</c:v>
                </c:pt>
                <c:pt idx="1243">
                  <c:v>0</c:v>
                </c:pt>
                <c:pt idx="1244">
                  <c:v>0</c:v>
                </c:pt>
                <c:pt idx="1245">
                  <c:v>0</c:v>
                </c:pt>
                <c:pt idx="1246">
                  <c:v>0</c:v>
                </c:pt>
                <c:pt idx="1247">
                  <c:v>0</c:v>
                </c:pt>
                <c:pt idx="1248">
                  <c:v>0</c:v>
                </c:pt>
                <c:pt idx="1249">
                  <c:v>0</c:v>
                </c:pt>
                <c:pt idx="1250">
                  <c:v>0</c:v>
                </c:pt>
                <c:pt idx="1251">
                  <c:v>0</c:v>
                </c:pt>
                <c:pt idx="1252">
                  <c:v>0</c:v>
                </c:pt>
                <c:pt idx="1253">
                  <c:v>0</c:v>
                </c:pt>
                <c:pt idx="1254">
                  <c:v>0</c:v>
                </c:pt>
                <c:pt idx="1255">
                  <c:v>0</c:v>
                </c:pt>
                <c:pt idx="1256">
                  <c:v>0</c:v>
                </c:pt>
                <c:pt idx="1257">
                  <c:v>0</c:v>
                </c:pt>
                <c:pt idx="1258">
                  <c:v>0</c:v>
                </c:pt>
                <c:pt idx="1259">
                  <c:v>0</c:v>
                </c:pt>
                <c:pt idx="1260">
                  <c:v>0</c:v>
                </c:pt>
                <c:pt idx="1261">
                  <c:v>0</c:v>
                </c:pt>
                <c:pt idx="1262">
                  <c:v>0</c:v>
                </c:pt>
                <c:pt idx="1263">
                  <c:v>0</c:v>
                </c:pt>
                <c:pt idx="1264">
                  <c:v>0</c:v>
                </c:pt>
                <c:pt idx="1265">
                  <c:v>0</c:v>
                </c:pt>
                <c:pt idx="1266">
                  <c:v>0</c:v>
                </c:pt>
                <c:pt idx="1267">
                  <c:v>0</c:v>
                </c:pt>
                <c:pt idx="1268">
                  <c:v>0</c:v>
                </c:pt>
                <c:pt idx="1269">
                  <c:v>0</c:v>
                </c:pt>
                <c:pt idx="1270">
                  <c:v>0</c:v>
                </c:pt>
                <c:pt idx="1271">
                  <c:v>0</c:v>
                </c:pt>
                <c:pt idx="1272">
                  <c:v>0</c:v>
                </c:pt>
                <c:pt idx="1273">
                  <c:v>0</c:v>
                </c:pt>
                <c:pt idx="1274">
                  <c:v>0</c:v>
                </c:pt>
                <c:pt idx="1275">
                  <c:v>0</c:v>
                </c:pt>
                <c:pt idx="1276">
                  <c:v>0</c:v>
                </c:pt>
                <c:pt idx="1277">
                  <c:v>0</c:v>
                </c:pt>
                <c:pt idx="1278">
                  <c:v>0</c:v>
                </c:pt>
                <c:pt idx="1279">
                  <c:v>0</c:v>
                </c:pt>
                <c:pt idx="1280">
                  <c:v>0</c:v>
                </c:pt>
                <c:pt idx="1281">
                  <c:v>0</c:v>
                </c:pt>
                <c:pt idx="1282">
                  <c:v>0</c:v>
                </c:pt>
                <c:pt idx="1283">
                  <c:v>0</c:v>
                </c:pt>
                <c:pt idx="1284">
                  <c:v>0</c:v>
                </c:pt>
                <c:pt idx="1285">
                  <c:v>0</c:v>
                </c:pt>
                <c:pt idx="1286">
                  <c:v>0</c:v>
                </c:pt>
                <c:pt idx="1287">
                  <c:v>0</c:v>
                </c:pt>
                <c:pt idx="1288">
                  <c:v>0</c:v>
                </c:pt>
                <c:pt idx="1289">
                  <c:v>0</c:v>
                </c:pt>
                <c:pt idx="1290">
                  <c:v>0</c:v>
                </c:pt>
                <c:pt idx="1291">
                  <c:v>0</c:v>
                </c:pt>
                <c:pt idx="1292">
                  <c:v>0</c:v>
                </c:pt>
                <c:pt idx="1293">
                  <c:v>0</c:v>
                </c:pt>
                <c:pt idx="1294">
                  <c:v>0</c:v>
                </c:pt>
                <c:pt idx="1295">
                  <c:v>0</c:v>
                </c:pt>
                <c:pt idx="1296">
                  <c:v>0</c:v>
                </c:pt>
                <c:pt idx="1297">
                  <c:v>0</c:v>
                </c:pt>
                <c:pt idx="1298">
                  <c:v>0</c:v>
                </c:pt>
                <c:pt idx="1299">
                  <c:v>0</c:v>
                </c:pt>
                <c:pt idx="1300">
                  <c:v>0</c:v>
                </c:pt>
                <c:pt idx="1301">
                  <c:v>0</c:v>
                </c:pt>
                <c:pt idx="1302">
                  <c:v>0</c:v>
                </c:pt>
                <c:pt idx="1303">
                  <c:v>0</c:v>
                </c:pt>
                <c:pt idx="1304">
                  <c:v>0</c:v>
                </c:pt>
                <c:pt idx="1305">
                  <c:v>0</c:v>
                </c:pt>
                <c:pt idx="1306">
                  <c:v>0</c:v>
                </c:pt>
                <c:pt idx="1307">
                  <c:v>0</c:v>
                </c:pt>
                <c:pt idx="1308">
                  <c:v>0</c:v>
                </c:pt>
                <c:pt idx="1309">
                  <c:v>0</c:v>
                </c:pt>
                <c:pt idx="1310">
                  <c:v>0</c:v>
                </c:pt>
                <c:pt idx="1311">
                  <c:v>0</c:v>
                </c:pt>
                <c:pt idx="1312">
                  <c:v>0</c:v>
                </c:pt>
                <c:pt idx="1313">
                  <c:v>0</c:v>
                </c:pt>
                <c:pt idx="1314">
                  <c:v>0</c:v>
                </c:pt>
                <c:pt idx="1315">
                  <c:v>0</c:v>
                </c:pt>
                <c:pt idx="1316">
                  <c:v>0</c:v>
                </c:pt>
                <c:pt idx="1317">
                  <c:v>0</c:v>
                </c:pt>
                <c:pt idx="1318">
                  <c:v>0</c:v>
                </c:pt>
                <c:pt idx="1319">
                  <c:v>0</c:v>
                </c:pt>
                <c:pt idx="1320">
                  <c:v>0</c:v>
                </c:pt>
                <c:pt idx="1321">
                  <c:v>0</c:v>
                </c:pt>
                <c:pt idx="1322">
                  <c:v>0</c:v>
                </c:pt>
                <c:pt idx="1323">
                  <c:v>0</c:v>
                </c:pt>
                <c:pt idx="1324">
                  <c:v>0</c:v>
                </c:pt>
                <c:pt idx="1325">
                  <c:v>0</c:v>
                </c:pt>
                <c:pt idx="1326">
                  <c:v>0</c:v>
                </c:pt>
                <c:pt idx="1327">
                  <c:v>0</c:v>
                </c:pt>
                <c:pt idx="1328">
                  <c:v>0</c:v>
                </c:pt>
                <c:pt idx="1329">
                  <c:v>0</c:v>
                </c:pt>
                <c:pt idx="1330">
                  <c:v>0</c:v>
                </c:pt>
                <c:pt idx="1331">
                  <c:v>0</c:v>
                </c:pt>
                <c:pt idx="1332">
                  <c:v>0</c:v>
                </c:pt>
                <c:pt idx="1333">
                  <c:v>0</c:v>
                </c:pt>
                <c:pt idx="1334">
                  <c:v>0</c:v>
                </c:pt>
                <c:pt idx="1335">
                  <c:v>0</c:v>
                </c:pt>
                <c:pt idx="1336">
                  <c:v>0</c:v>
                </c:pt>
                <c:pt idx="1337">
                  <c:v>0</c:v>
                </c:pt>
                <c:pt idx="1338">
                  <c:v>0</c:v>
                </c:pt>
                <c:pt idx="1339">
                  <c:v>0</c:v>
                </c:pt>
                <c:pt idx="1340">
                  <c:v>0</c:v>
                </c:pt>
                <c:pt idx="1341">
                  <c:v>0</c:v>
                </c:pt>
                <c:pt idx="1342">
                  <c:v>0</c:v>
                </c:pt>
                <c:pt idx="1343">
                  <c:v>0</c:v>
                </c:pt>
                <c:pt idx="1344">
                  <c:v>0</c:v>
                </c:pt>
                <c:pt idx="1345">
                  <c:v>0</c:v>
                </c:pt>
                <c:pt idx="1346">
                  <c:v>0</c:v>
                </c:pt>
                <c:pt idx="1347">
                  <c:v>0</c:v>
                </c:pt>
                <c:pt idx="1348">
                  <c:v>0</c:v>
                </c:pt>
                <c:pt idx="1349">
                  <c:v>0</c:v>
                </c:pt>
                <c:pt idx="1350">
                  <c:v>0</c:v>
                </c:pt>
                <c:pt idx="1351">
                  <c:v>0</c:v>
                </c:pt>
                <c:pt idx="1352">
                  <c:v>0</c:v>
                </c:pt>
                <c:pt idx="1353">
                  <c:v>0</c:v>
                </c:pt>
                <c:pt idx="1354">
                  <c:v>0</c:v>
                </c:pt>
                <c:pt idx="1355">
                  <c:v>0</c:v>
                </c:pt>
                <c:pt idx="1356">
                  <c:v>0</c:v>
                </c:pt>
                <c:pt idx="1357">
                  <c:v>0</c:v>
                </c:pt>
                <c:pt idx="1358">
                  <c:v>0</c:v>
                </c:pt>
                <c:pt idx="1359">
                  <c:v>0</c:v>
                </c:pt>
                <c:pt idx="1360">
                  <c:v>0</c:v>
                </c:pt>
                <c:pt idx="1361">
                  <c:v>0</c:v>
                </c:pt>
                <c:pt idx="1362">
                  <c:v>0</c:v>
                </c:pt>
                <c:pt idx="1363">
                  <c:v>0</c:v>
                </c:pt>
                <c:pt idx="1364">
                  <c:v>0</c:v>
                </c:pt>
                <c:pt idx="1365">
                  <c:v>0</c:v>
                </c:pt>
                <c:pt idx="1366">
                  <c:v>0</c:v>
                </c:pt>
                <c:pt idx="1367">
                  <c:v>0</c:v>
                </c:pt>
                <c:pt idx="1368">
                  <c:v>0</c:v>
                </c:pt>
                <c:pt idx="1369">
                  <c:v>0</c:v>
                </c:pt>
                <c:pt idx="1370">
                  <c:v>0</c:v>
                </c:pt>
                <c:pt idx="1371">
                  <c:v>0</c:v>
                </c:pt>
                <c:pt idx="1372">
                  <c:v>0</c:v>
                </c:pt>
                <c:pt idx="1373">
                  <c:v>0</c:v>
                </c:pt>
                <c:pt idx="1374">
                  <c:v>0</c:v>
                </c:pt>
                <c:pt idx="1375">
                  <c:v>0</c:v>
                </c:pt>
                <c:pt idx="1376">
                  <c:v>0</c:v>
                </c:pt>
                <c:pt idx="1377">
                  <c:v>0</c:v>
                </c:pt>
                <c:pt idx="1378">
                  <c:v>0</c:v>
                </c:pt>
                <c:pt idx="1379">
                  <c:v>0</c:v>
                </c:pt>
                <c:pt idx="1380">
                  <c:v>0</c:v>
                </c:pt>
                <c:pt idx="1381">
                  <c:v>0</c:v>
                </c:pt>
                <c:pt idx="1382">
                  <c:v>0</c:v>
                </c:pt>
                <c:pt idx="1383">
                  <c:v>0</c:v>
                </c:pt>
                <c:pt idx="1384">
                  <c:v>0</c:v>
                </c:pt>
                <c:pt idx="1385">
                  <c:v>0</c:v>
                </c:pt>
                <c:pt idx="1386">
                  <c:v>0</c:v>
                </c:pt>
                <c:pt idx="1387">
                  <c:v>0</c:v>
                </c:pt>
                <c:pt idx="1388">
                  <c:v>0</c:v>
                </c:pt>
                <c:pt idx="1389">
                  <c:v>0</c:v>
                </c:pt>
                <c:pt idx="1390">
                  <c:v>0</c:v>
                </c:pt>
                <c:pt idx="1391">
                  <c:v>0</c:v>
                </c:pt>
                <c:pt idx="1392">
                  <c:v>0</c:v>
                </c:pt>
                <c:pt idx="1393">
                  <c:v>0</c:v>
                </c:pt>
                <c:pt idx="1394">
                  <c:v>0</c:v>
                </c:pt>
                <c:pt idx="1395">
                  <c:v>0</c:v>
                </c:pt>
                <c:pt idx="1396">
                  <c:v>0</c:v>
                </c:pt>
                <c:pt idx="1397">
                  <c:v>0</c:v>
                </c:pt>
                <c:pt idx="1398">
                  <c:v>0</c:v>
                </c:pt>
                <c:pt idx="1399">
                  <c:v>0</c:v>
                </c:pt>
                <c:pt idx="1400">
                  <c:v>0</c:v>
                </c:pt>
                <c:pt idx="1401">
                  <c:v>0</c:v>
                </c:pt>
                <c:pt idx="1402">
                  <c:v>0</c:v>
                </c:pt>
                <c:pt idx="1403">
                  <c:v>0</c:v>
                </c:pt>
                <c:pt idx="1404">
                  <c:v>0</c:v>
                </c:pt>
                <c:pt idx="1405">
                  <c:v>0</c:v>
                </c:pt>
                <c:pt idx="1406">
                  <c:v>0</c:v>
                </c:pt>
                <c:pt idx="1407">
                  <c:v>0</c:v>
                </c:pt>
                <c:pt idx="1408">
                  <c:v>0</c:v>
                </c:pt>
                <c:pt idx="1409">
                  <c:v>0</c:v>
                </c:pt>
                <c:pt idx="1410">
                  <c:v>0</c:v>
                </c:pt>
                <c:pt idx="1411">
                  <c:v>0</c:v>
                </c:pt>
                <c:pt idx="1412">
                  <c:v>0</c:v>
                </c:pt>
                <c:pt idx="1413">
                  <c:v>0</c:v>
                </c:pt>
                <c:pt idx="1414">
                  <c:v>0</c:v>
                </c:pt>
                <c:pt idx="1415">
                  <c:v>0</c:v>
                </c:pt>
                <c:pt idx="1416">
                  <c:v>0</c:v>
                </c:pt>
                <c:pt idx="1417">
                  <c:v>0</c:v>
                </c:pt>
                <c:pt idx="1418">
                  <c:v>0</c:v>
                </c:pt>
                <c:pt idx="1419">
                  <c:v>0</c:v>
                </c:pt>
                <c:pt idx="1420">
                  <c:v>0</c:v>
                </c:pt>
                <c:pt idx="1421">
                  <c:v>0</c:v>
                </c:pt>
                <c:pt idx="1422">
                  <c:v>0</c:v>
                </c:pt>
                <c:pt idx="1423">
                  <c:v>0</c:v>
                </c:pt>
                <c:pt idx="1424">
                  <c:v>0</c:v>
                </c:pt>
                <c:pt idx="1425">
                  <c:v>0</c:v>
                </c:pt>
                <c:pt idx="1426">
                  <c:v>0</c:v>
                </c:pt>
                <c:pt idx="1427">
                  <c:v>0</c:v>
                </c:pt>
                <c:pt idx="1428">
                  <c:v>0</c:v>
                </c:pt>
                <c:pt idx="1429">
                  <c:v>0</c:v>
                </c:pt>
                <c:pt idx="1430">
                  <c:v>0</c:v>
                </c:pt>
                <c:pt idx="1431">
                  <c:v>0</c:v>
                </c:pt>
                <c:pt idx="1432">
                  <c:v>0</c:v>
                </c:pt>
                <c:pt idx="1433">
                  <c:v>0</c:v>
                </c:pt>
                <c:pt idx="1434">
                  <c:v>0</c:v>
                </c:pt>
                <c:pt idx="1435">
                  <c:v>0</c:v>
                </c:pt>
                <c:pt idx="1436">
                  <c:v>0</c:v>
                </c:pt>
                <c:pt idx="1437">
                  <c:v>0</c:v>
                </c:pt>
                <c:pt idx="1438">
                  <c:v>0</c:v>
                </c:pt>
                <c:pt idx="1439">
                  <c:v>0</c:v>
                </c:pt>
                <c:pt idx="1440">
                  <c:v>0</c:v>
                </c:pt>
                <c:pt idx="1441">
                  <c:v>0</c:v>
                </c:pt>
                <c:pt idx="1442">
                  <c:v>0</c:v>
                </c:pt>
                <c:pt idx="1443">
                  <c:v>0</c:v>
                </c:pt>
                <c:pt idx="1444">
                  <c:v>0</c:v>
                </c:pt>
                <c:pt idx="1445">
                  <c:v>0</c:v>
                </c:pt>
                <c:pt idx="1446">
                  <c:v>0</c:v>
                </c:pt>
                <c:pt idx="1447">
                  <c:v>0</c:v>
                </c:pt>
                <c:pt idx="1448">
                  <c:v>0</c:v>
                </c:pt>
                <c:pt idx="1449">
                  <c:v>0</c:v>
                </c:pt>
                <c:pt idx="1450">
                  <c:v>0</c:v>
                </c:pt>
                <c:pt idx="1451">
                  <c:v>0</c:v>
                </c:pt>
                <c:pt idx="1452">
                  <c:v>0</c:v>
                </c:pt>
                <c:pt idx="1453">
                  <c:v>0</c:v>
                </c:pt>
                <c:pt idx="1454">
                  <c:v>0</c:v>
                </c:pt>
                <c:pt idx="1455">
                  <c:v>0</c:v>
                </c:pt>
                <c:pt idx="1456">
                  <c:v>0</c:v>
                </c:pt>
                <c:pt idx="1457">
                  <c:v>0</c:v>
                </c:pt>
                <c:pt idx="1458">
                  <c:v>0</c:v>
                </c:pt>
                <c:pt idx="1459">
                  <c:v>0</c:v>
                </c:pt>
                <c:pt idx="1460">
                  <c:v>0</c:v>
                </c:pt>
                <c:pt idx="1461">
                  <c:v>0</c:v>
                </c:pt>
                <c:pt idx="1462">
                  <c:v>0</c:v>
                </c:pt>
                <c:pt idx="1463">
                  <c:v>0</c:v>
                </c:pt>
                <c:pt idx="1464">
                  <c:v>0</c:v>
                </c:pt>
                <c:pt idx="1465">
                  <c:v>0</c:v>
                </c:pt>
                <c:pt idx="1466">
                  <c:v>0</c:v>
                </c:pt>
                <c:pt idx="1467">
                  <c:v>0</c:v>
                </c:pt>
                <c:pt idx="1468">
                  <c:v>0</c:v>
                </c:pt>
                <c:pt idx="1469">
                  <c:v>0</c:v>
                </c:pt>
                <c:pt idx="1470">
                  <c:v>0</c:v>
                </c:pt>
                <c:pt idx="1471">
                  <c:v>0</c:v>
                </c:pt>
                <c:pt idx="1472">
                  <c:v>0</c:v>
                </c:pt>
                <c:pt idx="1473">
                  <c:v>0</c:v>
                </c:pt>
                <c:pt idx="1474">
                  <c:v>0</c:v>
                </c:pt>
                <c:pt idx="1475">
                  <c:v>0</c:v>
                </c:pt>
                <c:pt idx="1476">
                  <c:v>0</c:v>
                </c:pt>
                <c:pt idx="1477">
                  <c:v>0</c:v>
                </c:pt>
                <c:pt idx="1478">
                  <c:v>0</c:v>
                </c:pt>
                <c:pt idx="1479">
                  <c:v>0</c:v>
                </c:pt>
                <c:pt idx="1480">
                  <c:v>0</c:v>
                </c:pt>
                <c:pt idx="1481">
                  <c:v>0</c:v>
                </c:pt>
                <c:pt idx="1482">
                  <c:v>0</c:v>
                </c:pt>
                <c:pt idx="1483">
                  <c:v>0</c:v>
                </c:pt>
                <c:pt idx="1484">
                  <c:v>0</c:v>
                </c:pt>
                <c:pt idx="1485">
                  <c:v>0</c:v>
                </c:pt>
                <c:pt idx="1486">
                  <c:v>0</c:v>
                </c:pt>
                <c:pt idx="1487">
                  <c:v>0</c:v>
                </c:pt>
                <c:pt idx="1488">
                  <c:v>0</c:v>
                </c:pt>
                <c:pt idx="1489">
                  <c:v>0</c:v>
                </c:pt>
                <c:pt idx="1490">
                  <c:v>0</c:v>
                </c:pt>
                <c:pt idx="1491">
                  <c:v>0</c:v>
                </c:pt>
                <c:pt idx="1492">
                  <c:v>0</c:v>
                </c:pt>
                <c:pt idx="1493">
                  <c:v>0</c:v>
                </c:pt>
                <c:pt idx="1494">
                  <c:v>0</c:v>
                </c:pt>
                <c:pt idx="1495">
                  <c:v>0</c:v>
                </c:pt>
                <c:pt idx="1496">
                  <c:v>0</c:v>
                </c:pt>
                <c:pt idx="1497">
                  <c:v>0</c:v>
                </c:pt>
                <c:pt idx="1498">
                  <c:v>0</c:v>
                </c:pt>
                <c:pt idx="1499">
                  <c:v>0</c:v>
                </c:pt>
                <c:pt idx="1500">
                  <c:v>0</c:v>
                </c:pt>
                <c:pt idx="1501">
                  <c:v>0</c:v>
                </c:pt>
                <c:pt idx="1502">
                  <c:v>0</c:v>
                </c:pt>
                <c:pt idx="1503">
                  <c:v>0</c:v>
                </c:pt>
                <c:pt idx="1504">
                  <c:v>0</c:v>
                </c:pt>
                <c:pt idx="1505">
                  <c:v>0</c:v>
                </c:pt>
                <c:pt idx="1506">
                  <c:v>0</c:v>
                </c:pt>
                <c:pt idx="1507">
                  <c:v>0</c:v>
                </c:pt>
                <c:pt idx="1508">
                  <c:v>0</c:v>
                </c:pt>
                <c:pt idx="1509">
                  <c:v>0</c:v>
                </c:pt>
                <c:pt idx="1510">
                  <c:v>0</c:v>
                </c:pt>
                <c:pt idx="1511">
                  <c:v>0</c:v>
                </c:pt>
                <c:pt idx="1512">
                  <c:v>0</c:v>
                </c:pt>
                <c:pt idx="1513">
                  <c:v>0</c:v>
                </c:pt>
                <c:pt idx="1514">
                  <c:v>0</c:v>
                </c:pt>
                <c:pt idx="1515">
                  <c:v>0</c:v>
                </c:pt>
                <c:pt idx="1516">
                  <c:v>0</c:v>
                </c:pt>
                <c:pt idx="1517">
                  <c:v>0</c:v>
                </c:pt>
                <c:pt idx="1518">
                  <c:v>0</c:v>
                </c:pt>
                <c:pt idx="1519">
                  <c:v>0</c:v>
                </c:pt>
                <c:pt idx="1520">
                  <c:v>0</c:v>
                </c:pt>
                <c:pt idx="1521">
                  <c:v>0</c:v>
                </c:pt>
                <c:pt idx="1522">
                  <c:v>0</c:v>
                </c:pt>
                <c:pt idx="1523">
                  <c:v>0</c:v>
                </c:pt>
                <c:pt idx="1524">
                  <c:v>0</c:v>
                </c:pt>
                <c:pt idx="1525">
                  <c:v>0</c:v>
                </c:pt>
                <c:pt idx="1526">
                  <c:v>0</c:v>
                </c:pt>
                <c:pt idx="1527">
                  <c:v>0</c:v>
                </c:pt>
                <c:pt idx="1528">
                  <c:v>0</c:v>
                </c:pt>
                <c:pt idx="1529">
                  <c:v>0</c:v>
                </c:pt>
                <c:pt idx="1530">
                  <c:v>0</c:v>
                </c:pt>
                <c:pt idx="1531">
                  <c:v>0</c:v>
                </c:pt>
                <c:pt idx="1532">
                  <c:v>0</c:v>
                </c:pt>
                <c:pt idx="1533">
                  <c:v>0</c:v>
                </c:pt>
                <c:pt idx="1534">
                  <c:v>0</c:v>
                </c:pt>
                <c:pt idx="1535">
                  <c:v>0</c:v>
                </c:pt>
                <c:pt idx="1536">
                  <c:v>0</c:v>
                </c:pt>
                <c:pt idx="1537">
                  <c:v>0</c:v>
                </c:pt>
                <c:pt idx="1538">
                  <c:v>0</c:v>
                </c:pt>
                <c:pt idx="1539">
                  <c:v>0</c:v>
                </c:pt>
                <c:pt idx="1540">
                  <c:v>0</c:v>
                </c:pt>
                <c:pt idx="1541">
                  <c:v>0</c:v>
                </c:pt>
                <c:pt idx="1542">
                  <c:v>0</c:v>
                </c:pt>
                <c:pt idx="1543">
                  <c:v>0</c:v>
                </c:pt>
                <c:pt idx="1544">
                  <c:v>0</c:v>
                </c:pt>
                <c:pt idx="1545">
                  <c:v>0</c:v>
                </c:pt>
                <c:pt idx="1546">
                  <c:v>0</c:v>
                </c:pt>
                <c:pt idx="1547">
                  <c:v>0</c:v>
                </c:pt>
                <c:pt idx="1548">
                  <c:v>0</c:v>
                </c:pt>
                <c:pt idx="1549">
                  <c:v>0</c:v>
                </c:pt>
                <c:pt idx="1550">
                  <c:v>0</c:v>
                </c:pt>
                <c:pt idx="1551">
                  <c:v>0</c:v>
                </c:pt>
                <c:pt idx="1552">
                  <c:v>0</c:v>
                </c:pt>
                <c:pt idx="1553">
                  <c:v>0</c:v>
                </c:pt>
                <c:pt idx="1554">
                  <c:v>0</c:v>
                </c:pt>
                <c:pt idx="1555">
                  <c:v>0</c:v>
                </c:pt>
                <c:pt idx="1556">
                  <c:v>0</c:v>
                </c:pt>
                <c:pt idx="1557">
                  <c:v>0</c:v>
                </c:pt>
                <c:pt idx="1558">
                  <c:v>0</c:v>
                </c:pt>
                <c:pt idx="1559">
                  <c:v>0</c:v>
                </c:pt>
                <c:pt idx="1560">
                  <c:v>0</c:v>
                </c:pt>
                <c:pt idx="1561">
                  <c:v>0</c:v>
                </c:pt>
                <c:pt idx="1562">
                  <c:v>0</c:v>
                </c:pt>
                <c:pt idx="1563">
                  <c:v>0</c:v>
                </c:pt>
                <c:pt idx="1564">
                  <c:v>0</c:v>
                </c:pt>
                <c:pt idx="1565">
                  <c:v>0</c:v>
                </c:pt>
                <c:pt idx="1566">
                  <c:v>0</c:v>
                </c:pt>
                <c:pt idx="1567">
                  <c:v>0</c:v>
                </c:pt>
                <c:pt idx="1568">
                  <c:v>0</c:v>
                </c:pt>
                <c:pt idx="1569">
                  <c:v>0</c:v>
                </c:pt>
                <c:pt idx="1570">
                  <c:v>0</c:v>
                </c:pt>
                <c:pt idx="1571">
                  <c:v>0</c:v>
                </c:pt>
                <c:pt idx="1572">
                  <c:v>0</c:v>
                </c:pt>
                <c:pt idx="1573">
                  <c:v>0</c:v>
                </c:pt>
                <c:pt idx="1574">
                  <c:v>0</c:v>
                </c:pt>
                <c:pt idx="1575">
                  <c:v>0</c:v>
                </c:pt>
                <c:pt idx="1576">
                  <c:v>0</c:v>
                </c:pt>
                <c:pt idx="1577">
                  <c:v>0</c:v>
                </c:pt>
                <c:pt idx="1578">
                  <c:v>0</c:v>
                </c:pt>
                <c:pt idx="1579">
                  <c:v>0</c:v>
                </c:pt>
                <c:pt idx="1580">
                  <c:v>0</c:v>
                </c:pt>
                <c:pt idx="1581">
                  <c:v>0</c:v>
                </c:pt>
                <c:pt idx="1582">
                  <c:v>0</c:v>
                </c:pt>
                <c:pt idx="1583">
                  <c:v>0</c:v>
                </c:pt>
                <c:pt idx="1584">
                  <c:v>0</c:v>
                </c:pt>
                <c:pt idx="1585">
                  <c:v>0</c:v>
                </c:pt>
                <c:pt idx="1586">
                  <c:v>0</c:v>
                </c:pt>
                <c:pt idx="1587">
                  <c:v>0</c:v>
                </c:pt>
                <c:pt idx="1588">
                  <c:v>0</c:v>
                </c:pt>
                <c:pt idx="1589">
                  <c:v>0</c:v>
                </c:pt>
                <c:pt idx="1590">
                  <c:v>0</c:v>
                </c:pt>
                <c:pt idx="1591">
                  <c:v>0</c:v>
                </c:pt>
                <c:pt idx="1592">
                  <c:v>0</c:v>
                </c:pt>
                <c:pt idx="1593">
                  <c:v>0</c:v>
                </c:pt>
                <c:pt idx="1594">
                  <c:v>0</c:v>
                </c:pt>
                <c:pt idx="1595">
                  <c:v>0</c:v>
                </c:pt>
                <c:pt idx="1596">
                  <c:v>0</c:v>
                </c:pt>
                <c:pt idx="1597">
                  <c:v>0</c:v>
                </c:pt>
                <c:pt idx="1598">
                  <c:v>0</c:v>
                </c:pt>
                <c:pt idx="1599">
                  <c:v>0</c:v>
                </c:pt>
                <c:pt idx="1600">
                  <c:v>0</c:v>
                </c:pt>
                <c:pt idx="1601">
                  <c:v>0</c:v>
                </c:pt>
                <c:pt idx="1602">
                  <c:v>0</c:v>
                </c:pt>
                <c:pt idx="1603">
                  <c:v>0</c:v>
                </c:pt>
                <c:pt idx="1604">
                  <c:v>0</c:v>
                </c:pt>
                <c:pt idx="1605">
                  <c:v>0</c:v>
                </c:pt>
                <c:pt idx="1606">
                  <c:v>0</c:v>
                </c:pt>
                <c:pt idx="1607">
                  <c:v>0</c:v>
                </c:pt>
                <c:pt idx="1608">
                  <c:v>0</c:v>
                </c:pt>
                <c:pt idx="1609">
                  <c:v>0</c:v>
                </c:pt>
                <c:pt idx="1610">
                  <c:v>0</c:v>
                </c:pt>
                <c:pt idx="1611">
                  <c:v>0</c:v>
                </c:pt>
                <c:pt idx="1612">
                  <c:v>0</c:v>
                </c:pt>
                <c:pt idx="1613">
                  <c:v>0</c:v>
                </c:pt>
                <c:pt idx="1614">
                  <c:v>0</c:v>
                </c:pt>
                <c:pt idx="1615">
                  <c:v>0</c:v>
                </c:pt>
                <c:pt idx="1616">
                  <c:v>0</c:v>
                </c:pt>
                <c:pt idx="1617">
                  <c:v>0</c:v>
                </c:pt>
                <c:pt idx="1618">
                  <c:v>0</c:v>
                </c:pt>
                <c:pt idx="1619">
                  <c:v>0</c:v>
                </c:pt>
                <c:pt idx="1620">
                  <c:v>0</c:v>
                </c:pt>
                <c:pt idx="1621">
                  <c:v>0</c:v>
                </c:pt>
                <c:pt idx="1622">
                  <c:v>0</c:v>
                </c:pt>
                <c:pt idx="1623">
                  <c:v>0</c:v>
                </c:pt>
                <c:pt idx="1624">
                  <c:v>0</c:v>
                </c:pt>
                <c:pt idx="1625">
                  <c:v>0</c:v>
                </c:pt>
                <c:pt idx="1626">
                  <c:v>0</c:v>
                </c:pt>
                <c:pt idx="1627">
                  <c:v>0</c:v>
                </c:pt>
                <c:pt idx="1628">
                  <c:v>0</c:v>
                </c:pt>
                <c:pt idx="1629">
                  <c:v>0</c:v>
                </c:pt>
                <c:pt idx="1630">
                  <c:v>0</c:v>
                </c:pt>
                <c:pt idx="1631">
                  <c:v>0</c:v>
                </c:pt>
                <c:pt idx="1632">
                  <c:v>0</c:v>
                </c:pt>
                <c:pt idx="1633">
                  <c:v>0</c:v>
                </c:pt>
                <c:pt idx="1634">
                  <c:v>0</c:v>
                </c:pt>
                <c:pt idx="1635">
                  <c:v>0</c:v>
                </c:pt>
                <c:pt idx="1636">
                  <c:v>0</c:v>
                </c:pt>
                <c:pt idx="1637">
                  <c:v>0</c:v>
                </c:pt>
                <c:pt idx="1638">
                  <c:v>0</c:v>
                </c:pt>
                <c:pt idx="1639">
                  <c:v>0</c:v>
                </c:pt>
                <c:pt idx="1640">
                  <c:v>0</c:v>
                </c:pt>
                <c:pt idx="1641">
                  <c:v>0</c:v>
                </c:pt>
                <c:pt idx="1642">
                  <c:v>0</c:v>
                </c:pt>
                <c:pt idx="1643">
                  <c:v>0</c:v>
                </c:pt>
                <c:pt idx="1644">
                  <c:v>0</c:v>
                </c:pt>
                <c:pt idx="1645">
                  <c:v>0</c:v>
                </c:pt>
                <c:pt idx="1646">
                  <c:v>0</c:v>
                </c:pt>
                <c:pt idx="1647">
                  <c:v>0</c:v>
                </c:pt>
                <c:pt idx="1648">
                  <c:v>0</c:v>
                </c:pt>
                <c:pt idx="1649">
                  <c:v>0</c:v>
                </c:pt>
                <c:pt idx="1650">
                  <c:v>0</c:v>
                </c:pt>
                <c:pt idx="1651">
                  <c:v>0</c:v>
                </c:pt>
                <c:pt idx="1652">
                  <c:v>0</c:v>
                </c:pt>
                <c:pt idx="1653">
                  <c:v>0</c:v>
                </c:pt>
                <c:pt idx="1654">
                  <c:v>0</c:v>
                </c:pt>
                <c:pt idx="1655">
                  <c:v>0</c:v>
                </c:pt>
                <c:pt idx="1656">
                  <c:v>0</c:v>
                </c:pt>
                <c:pt idx="1657">
                  <c:v>0</c:v>
                </c:pt>
                <c:pt idx="1658">
                  <c:v>0</c:v>
                </c:pt>
                <c:pt idx="1659">
                  <c:v>0</c:v>
                </c:pt>
                <c:pt idx="1660">
                  <c:v>0</c:v>
                </c:pt>
                <c:pt idx="1661">
                  <c:v>0</c:v>
                </c:pt>
                <c:pt idx="1662">
                  <c:v>0</c:v>
                </c:pt>
                <c:pt idx="1663">
                  <c:v>0</c:v>
                </c:pt>
                <c:pt idx="1664">
                  <c:v>0</c:v>
                </c:pt>
                <c:pt idx="1665">
                  <c:v>0</c:v>
                </c:pt>
                <c:pt idx="1666">
                  <c:v>0</c:v>
                </c:pt>
                <c:pt idx="1667">
                  <c:v>0</c:v>
                </c:pt>
                <c:pt idx="1668">
                  <c:v>0</c:v>
                </c:pt>
                <c:pt idx="1669">
                  <c:v>0</c:v>
                </c:pt>
                <c:pt idx="1670">
                  <c:v>0</c:v>
                </c:pt>
                <c:pt idx="1671">
                  <c:v>0</c:v>
                </c:pt>
                <c:pt idx="1672">
                  <c:v>0</c:v>
                </c:pt>
                <c:pt idx="1673">
                  <c:v>0</c:v>
                </c:pt>
                <c:pt idx="1674">
                  <c:v>0</c:v>
                </c:pt>
                <c:pt idx="1675">
                  <c:v>0</c:v>
                </c:pt>
                <c:pt idx="1676">
                  <c:v>0</c:v>
                </c:pt>
                <c:pt idx="1677">
                  <c:v>0</c:v>
                </c:pt>
                <c:pt idx="1678">
                  <c:v>0</c:v>
                </c:pt>
                <c:pt idx="1679">
                  <c:v>0</c:v>
                </c:pt>
                <c:pt idx="1680">
                  <c:v>0</c:v>
                </c:pt>
                <c:pt idx="1681">
                  <c:v>0</c:v>
                </c:pt>
                <c:pt idx="1682">
                  <c:v>0</c:v>
                </c:pt>
                <c:pt idx="1683">
                  <c:v>0</c:v>
                </c:pt>
                <c:pt idx="1684">
                  <c:v>0</c:v>
                </c:pt>
                <c:pt idx="1685">
                  <c:v>0</c:v>
                </c:pt>
                <c:pt idx="1686">
                  <c:v>0</c:v>
                </c:pt>
                <c:pt idx="1687">
                  <c:v>0</c:v>
                </c:pt>
                <c:pt idx="1688">
                  <c:v>0</c:v>
                </c:pt>
                <c:pt idx="1689">
                  <c:v>0</c:v>
                </c:pt>
                <c:pt idx="1690">
                  <c:v>0</c:v>
                </c:pt>
                <c:pt idx="1691">
                  <c:v>0</c:v>
                </c:pt>
                <c:pt idx="1692">
                  <c:v>0</c:v>
                </c:pt>
                <c:pt idx="1693">
                  <c:v>0</c:v>
                </c:pt>
                <c:pt idx="1694">
                  <c:v>0</c:v>
                </c:pt>
                <c:pt idx="1695">
                  <c:v>0</c:v>
                </c:pt>
                <c:pt idx="1696">
                  <c:v>0</c:v>
                </c:pt>
                <c:pt idx="1697">
                  <c:v>0</c:v>
                </c:pt>
                <c:pt idx="1698">
                  <c:v>0</c:v>
                </c:pt>
                <c:pt idx="1699">
                  <c:v>0</c:v>
                </c:pt>
                <c:pt idx="1700">
                  <c:v>0</c:v>
                </c:pt>
                <c:pt idx="1701">
                  <c:v>0</c:v>
                </c:pt>
                <c:pt idx="1702">
                  <c:v>0</c:v>
                </c:pt>
                <c:pt idx="1703">
                  <c:v>0</c:v>
                </c:pt>
                <c:pt idx="1704">
                  <c:v>0</c:v>
                </c:pt>
                <c:pt idx="1705">
                  <c:v>0</c:v>
                </c:pt>
                <c:pt idx="1706">
                  <c:v>0</c:v>
                </c:pt>
                <c:pt idx="1707">
                  <c:v>0</c:v>
                </c:pt>
                <c:pt idx="1708">
                  <c:v>0</c:v>
                </c:pt>
                <c:pt idx="1709">
                  <c:v>0</c:v>
                </c:pt>
                <c:pt idx="1710">
                  <c:v>0</c:v>
                </c:pt>
                <c:pt idx="1711">
                  <c:v>0</c:v>
                </c:pt>
                <c:pt idx="1712">
                  <c:v>0</c:v>
                </c:pt>
                <c:pt idx="1713">
                  <c:v>0</c:v>
                </c:pt>
                <c:pt idx="1714">
                  <c:v>0</c:v>
                </c:pt>
                <c:pt idx="1715">
                  <c:v>0</c:v>
                </c:pt>
                <c:pt idx="1716">
                  <c:v>0</c:v>
                </c:pt>
                <c:pt idx="1717">
                  <c:v>0</c:v>
                </c:pt>
                <c:pt idx="1718">
                  <c:v>0</c:v>
                </c:pt>
                <c:pt idx="1719">
                  <c:v>0</c:v>
                </c:pt>
                <c:pt idx="1720">
                  <c:v>0</c:v>
                </c:pt>
                <c:pt idx="1721">
                  <c:v>0</c:v>
                </c:pt>
                <c:pt idx="1722">
                  <c:v>0</c:v>
                </c:pt>
                <c:pt idx="1723">
                  <c:v>0</c:v>
                </c:pt>
                <c:pt idx="1724">
                  <c:v>0</c:v>
                </c:pt>
                <c:pt idx="1725">
                  <c:v>0</c:v>
                </c:pt>
                <c:pt idx="1726">
                  <c:v>0</c:v>
                </c:pt>
                <c:pt idx="1727">
                  <c:v>0</c:v>
                </c:pt>
                <c:pt idx="1728">
                  <c:v>0</c:v>
                </c:pt>
                <c:pt idx="1729">
                  <c:v>0</c:v>
                </c:pt>
                <c:pt idx="1730">
                  <c:v>0</c:v>
                </c:pt>
                <c:pt idx="1731">
                  <c:v>0</c:v>
                </c:pt>
                <c:pt idx="1732">
                  <c:v>0</c:v>
                </c:pt>
                <c:pt idx="1733">
                  <c:v>0</c:v>
                </c:pt>
                <c:pt idx="1734">
                  <c:v>0</c:v>
                </c:pt>
                <c:pt idx="1735">
                  <c:v>0</c:v>
                </c:pt>
                <c:pt idx="1736">
                  <c:v>0</c:v>
                </c:pt>
                <c:pt idx="1737">
                  <c:v>0</c:v>
                </c:pt>
                <c:pt idx="1738">
                  <c:v>0</c:v>
                </c:pt>
                <c:pt idx="1739">
                  <c:v>0</c:v>
                </c:pt>
                <c:pt idx="1740">
                  <c:v>0</c:v>
                </c:pt>
                <c:pt idx="1741">
                  <c:v>0</c:v>
                </c:pt>
                <c:pt idx="1742">
                  <c:v>0</c:v>
                </c:pt>
                <c:pt idx="1743">
                  <c:v>0</c:v>
                </c:pt>
                <c:pt idx="1744">
                  <c:v>0</c:v>
                </c:pt>
                <c:pt idx="1745">
                  <c:v>0</c:v>
                </c:pt>
                <c:pt idx="1746">
                  <c:v>0</c:v>
                </c:pt>
                <c:pt idx="1747">
                  <c:v>0</c:v>
                </c:pt>
                <c:pt idx="1748">
                  <c:v>0</c:v>
                </c:pt>
                <c:pt idx="1749">
                  <c:v>0</c:v>
                </c:pt>
                <c:pt idx="1750">
                  <c:v>0</c:v>
                </c:pt>
                <c:pt idx="1751">
                  <c:v>0</c:v>
                </c:pt>
                <c:pt idx="1752">
                  <c:v>0</c:v>
                </c:pt>
                <c:pt idx="1753">
                  <c:v>0</c:v>
                </c:pt>
                <c:pt idx="1754">
                  <c:v>0</c:v>
                </c:pt>
                <c:pt idx="1755">
                  <c:v>0</c:v>
                </c:pt>
                <c:pt idx="1756">
                  <c:v>0</c:v>
                </c:pt>
                <c:pt idx="1757">
                  <c:v>0</c:v>
                </c:pt>
                <c:pt idx="1758">
                  <c:v>0</c:v>
                </c:pt>
                <c:pt idx="1759">
                  <c:v>0</c:v>
                </c:pt>
                <c:pt idx="1760">
                  <c:v>0</c:v>
                </c:pt>
                <c:pt idx="1761">
                  <c:v>0</c:v>
                </c:pt>
                <c:pt idx="1762">
                  <c:v>0</c:v>
                </c:pt>
                <c:pt idx="1763">
                  <c:v>0</c:v>
                </c:pt>
                <c:pt idx="1764">
                  <c:v>0</c:v>
                </c:pt>
                <c:pt idx="1765">
                  <c:v>0</c:v>
                </c:pt>
                <c:pt idx="1766">
                  <c:v>0</c:v>
                </c:pt>
                <c:pt idx="1767">
                  <c:v>0</c:v>
                </c:pt>
                <c:pt idx="1768">
                  <c:v>0</c:v>
                </c:pt>
                <c:pt idx="1769">
                  <c:v>0</c:v>
                </c:pt>
                <c:pt idx="1770">
                  <c:v>0</c:v>
                </c:pt>
                <c:pt idx="1771">
                  <c:v>0</c:v>
                </c:pt>
                <c:pt idx="1772">
                  <c:v>0</c:v>
                </c:pt>
                <c:pt idx="1773">
                  <c:v>0</c:v>
                </c:pt>
                <c:pt idx="1774">
                  <c:v>0</c:v>
                </c:pt>
                <c:pt idx="1775">
                  <c:v>0</c:v>
                </c:pt>
                <c:pt idx="1776">
                  <c:v>0</c:v>
                </c:pt>
                <c:pt idx="1777">
                  <c:v>0</c:v>
                </c:pt>
                <c:pt idx="1778">
                  <c:v>0</c:v>
                </c:pt>
                <c:pt idx="1779">
                  <c:v>0</c:v>
                </c:pt>
                <c:pt idx="1780">
                  <c:v>0</c:v>
                </c:pt>
                <c:pt idx="1781">
                  <c:v>0</c:v>
                </c:pt>
                <c:pt idx="1782">
                  <c:v>0</c:v>
                </c:pt>
                <c:pt idx="1783">
                  <c:v>0</c:v>
                </c:pt>
                <c:pt idx="1784">
                  <c:v>0</c:v>
                </c:pt>
                <c:pt idx="1785">
                  <c:v>0</c:v>
                </c:pt>
                <c:pt idx="1786">
                  <c:v>0</c:v>
                </c:pt>
                <c:pt idx="1787">
                  <c:v>0</c:v>
                </c:pt>
                <c:pt idx="1788">
                  <c:v>0</c:v>
                </c:pt>
                <c:pt idx="1789">
                  <c:v>0</c:v>
                </c:pt>
                <c:pt idx="1790">
                  <c:v>0</c:v>
                </c:pt>
                <c:pt idx="1791">
                  <c:v>0</c:v>
                </c:pt>
                <c:pt idx="1792">
                  <c:v>0</c:v>
                </c:pt>
                <c:pt idx="1793">
                  <c:v>0</c:v>
                </c:pt>
                <c:pt idx="1794">
                  <c:v>0</c:v>
                </c:pt>
                <c:pt idx="1795">
                  <c:v>0</c:v>
                </c:pt>
                <c:pt idx="1796">
                  <c:v>0</c:v>
                </c:pt>
                <c:pt idx="1797">
                  <c:v>0</c:v>
                </c:pt>
                <c:pt idx="1798">
                  <c:v>0</c:v>
                </c:pt>
                <c:pt idx="1799">
                  <c:v>0</c:v>
                </c:pt>
                <c:pt idx="1800">
                  <c:v>0</c:v>
                </c:pt>
                <c:pt idx="1801">
                  <c:v>0</c:v>
                </c:pt>
                <c:pt idx="1802">
                  <c:v>0</c:v>
                </c:pt>
                <c:pt idx="1803">
                  <c:v>0</c:v>
                </c:pt>
                <c:pt idx="1804">
                  <c:v>0</c:v>
                </c:pt>
                <c:pt idx="1805">
                  <c:v>0</c:v>
                </c:pt>
                <c:pt idx="1806">
                  <c:v>0</c:v>
                </c:pt>
                <c:pt idx="1807">
                  <c:v>0</c:v>
                </c:pt>
                <c:pt idx="1808">
                  <c:v>0</c:v>
                </c:pt>
                <c:pt idx="1809">
                  <c:v>0</c:v>
                </c:pt>
                <c:pt idx="1810">
                  <c:v>0</c:v>
                </c:pt>
                <c:pt idx="1811">
                  <c:v>0</c:v>
                </c:pt>
                <c:pt idx="1812">
                  <c:v>0</c:v>
                </c:pt>
                <c:pt idx="1813">
                  <c:v>0</c:v>
                </c:pt>
                <c:pt idx="1814">
                  <c:v>0</c:v>
                </c:pt>
                <c:pt idx="1815">
                  <c:v>0</c:v>
                </c:pt>
                <c:pt idx="1816">
                  <c:v>0</c:v>
                </c:pt>
                <c:pt idx="1817">
                  <c:v>0</c:v>
                </c:pt>
                <c:pt idx="1818">
                  <c:v>0</c:v>
                </c:pt>
                <c:pt idx="1819">
                  <c:v>0</c:v>
                </c:pt>
                <c:pt idx="1820">
                  <c:v>0</c:v>
                </c:pt>
                <c:pt idx="1821">
                  <c:v>0</c:v>
                </c:pt>
                <c:pt idx="1822">
                  <c:v>0</c:v>
                </c:pt>
                <c:pt idx="1823">
                  <c:v>0</c:v>
                </c:pt>
                <c:pt idx="1824">
                  <c:v>0</c:v>
                </c:pt>
                <c:pt idx="1825">
                  <c:v>0</c:v>
                </c:pt>
                <c:pt idx="1826">
                  <c:v>0</c:v>
                </c:pt>
                <c:pt idx="1827">
                  <c:v>0</c:v>
                </c:pt>
                <c:pt idx="1828">
                  <c:v>0</c:v>
                </c:pt>
                <c:pt idx="1829">
                  <c:v>0</c:v>
                </c:pt>
                <c:pt idx="1830">
                  <c:v>0</c:v>
                </c:pt>
                <c:pt idx="1831">
                  <c:v>0</c:v>
                </c:pt>
                <c:pt idx="1832">
                  <c:v>0</c:v>
                </c:pt>
                <c:pt idx="1833">
                  <c:v>0</c:v>
                </c:pt>
                <c:pt idx="1834">
                  <c:v>0</c:v>
                </c:pt>
                <c:pt idx="1835">
                  <c:v>0</c:v>
                </c:pt>
                <c:pt idx="1836">
                  <c:v>0</c:v>
                </c:pt>
                <c:pt idx="1837">
                  <c:v>0</c:v>
                </c:pt>
                <c:pt idx="1838">
                  <c:v>0</c:v>
                </c:pt>
                <c:pt idx="1839">
                  <c:v>0</c:v>
                </c:pt>
                <c:pt idx="1840">
                  <c:v>0</c:v>
                </c:pt>
                <c:pt idx="1841">
                  <c:v>0</c:v>
                </c:pt>
                <c:pt idx="1842">
                  <c:v>0</c:v>
                </c:pt>
                <c:pt idx="1843">
                  <c:v>0</c:v>
                </c:pt>
                <c:pt idx="1844">
                  <c:v>0</c:v>
                </c:pt>
                <c:pt idx="1845">
                  <c:v>0</c:v>
                </c:pt>
                <c:pt idx="1846">
                  <c:v>0</c:v>
                </c:pt>
                <c:pt idx="1847">
                  <c:v>0</c:v>
                </c:pt>
                <c:pt idx="1848">
                  <c:v>0</c:v>
                </c:pt>
                <c:pt idx="1849">
                  <c:v>0</c:v>
                </c:pt>
                <c:pt idx="1850">
                  <c:v>0</c:v>
                </c:pt>
                <c:pt idx="1851">
                  <c:v>0</c:v>
                </c:pt>
                <c:pt idx="1852">
                  <c:v>0</c:v>
                </c:pt>
                <c:pt idx="1853">
                  <c:v>0</c:v>
                </c:pt>
                <c:pt idx="1854">
                  <c:v>0</c:v>
                </c:pt>
                <c:pt idx="1855">
                  <c:v>0</c:v>
                </c:pt>
                <c:pt idx="1856">
                  <c:v>0</c:v>
                </c:pt>
                <c:pt idx="1857">
                  <c:v>0</c:v>
                </c:pt>
                <c:pt idx="1858">
                  <c:v>0</c:v>
                </c:pt>
                <c:pt idx="1859">
                  <c:v>0</c:v>
                </c:pt>
                <c:pt idx="1860">
                  <c:v>0</c:v>
                </c:pt>
                <c:pt idx="1861">
                  <c:v>0</c:v>
                </c:pt>
                <c:pt idx="1862">
                  <c:v>0</c:v>
                </c:pt>
                <c:pt idx="1863">
                  <c:v>0</c:v>
                </c:pt>
                <c:pt idx="1864">
                  <c:v>0</c:v>
                </c:pt>
                <c:pt idx="1865">
                  <c:v>0</c:v>
                </c:pt>
                <c:pt idx="1866">
                  <c:v>0</c:v>
                </c:pt>
                <c:pt idx="1867">
                  <c:v>0</c:v>
                </c:pt>
                <c:pt idx="1868">
                  <c:v>0</c:v>
                </c:pt>
                <c:pt idx="1869">
                  <c:v>0</c:v>
                </c:pt>
                <c:pt idx="1870">
                  <c:v>0</c:v>
                </c:pt>
                <c:pt idx="1871">
                  <c:v>0</c:v>
                </c:pt>
                <c:pt idx="1872">
                  <c:v>0</c:v>
                </c:pt>
                <c:pt idx="1873">
                  <c:v>0</c:v>
                </c:pt>
                <c:pt idx="1874">
                  <c:v>0</c:v>
                </c:pt>
                <c:pt idx="1875">
                  <c:v>0</c:v>
                </c:pt>
                <c:pt idx="1876">
                  <c:v>0</c:v>
                </c:pt>
                <c:pt idx="1877">
                  <c:v>0</c:v>
                </c:pt>
                <c:pt idx="1878">
                  <c:v>0</c:v>
                </c:pt>
                <c:pt idx="1879">
                  <c:v>0</c:v>
                </c:pt>
                <c:pt idx="1880">
                  <c:v>0</c:v>
                </c:pt>
                <c:pt idx="1881">
                  <c:v>0</c:v>
                </c:pt>
                <c:pt idx="1882">
                  <c:v>0</c:v>
                </c:pt>
                <c:pt idx="1883">
                  <c:v>0</c:v>
                </c:pt>
                <c:pt idx="1884">
                  <c:v>0</c:v>
                </c:pt>
                <c:pt idx="1885">
                  <c:v>0</c:v>
                </c:pt>
                <c:pt idx="1886">
                  <c:v>0</c:v>
                </c:pt>
                <c:pt idx="1887">
                  <c:v>0</c:v>
                </c:pt>
                <c:pt idx="1888">
                  <c:v>0</c:v>
                </c:pt>
                <c:pt idx="1889">
                  <c:v>0</c:v>
                </c:pt>
                <c:pt idx="1890">
                  <c:v>0</c:v>
                </c:pt>
                <c:pt idx="1891">
                  <c:v>0</c:v>
                </c:pt>
                <c:pt idx="1892">
                  <c:v>0</c:v>
                </c:pt>
                <c:pt idx="1893">
                  <c:v>0</c:v>
                </c:pt>
                <c:pt idx="1894">
                  <c:v>0</c:v>
                </c:pt>
                <c:pt idx="1895">
                  <c:v>0</c:v>
                </c:pt>
                <c:pt idx="1896">
                  <c:v>0</c:v>
                </c:pt>
                <c:pt idx="1897">
                  <c:v>0</c:v>
                </c:pt>
                <c:pt idx="1898">
                  <c:v>0</c:v>
                </c:pt>
                <c:pt idx="1899">
                  <c:v>0</c:v>
                </c:pt>
                <c:pt idx="1900">
                  <c:v>0</c:v>
                </c:pt>
                <c:pt idx="1901">
                  <c:v>0</c:v>
                </c:pt>
                <c:pt idx="1902">
                  <c:v>0</c:v>
                </c:pt>
                <c:pt idx="1903">
                  <c:v>0</c:v>
                </c:pt>
                <c:pt idx="1904">
                  <c:v>0</c:v>
                </c:pt>
                <c:pt idx="1905">
                  <c:v>0</c:v>
                </c:pt>
                <c:pt idx="1906">
                  <c:v>0</c:v>
                </c:pt>
                <c:pt idx="1907">
                  <c:v>0</c:v>
                </c:pt>
                <c:pt idx="1908">
                  <c:v>0</c:v>
                </c:pt>
                <c:pt idx="1909">
                  <c:v>0</c:v>
                </c:pt>
                <c:pt idx="1910">
                  <c:v>0</c:v>
                </c:pt>
                <c:pt idx="1911">
                  <c:v>0</c:v>
                </c:pt>
                <c:pt idx="1912">
                  <c:v>0</c:v>
                </c:pt>
                <c:pt idx="1913">
                  <c:v>0</c:v>
                </c:pt>
                <c:pt idx="1914">
                  <c:v>0</c:v>
                </c:pt>
                <c:pt idx="1915">
                  <c:v>0</c:v>
                </c:pt>
                <c:pt idx="1916">
                  <c:v>0</c:v>
                </c:pt>
                <c:pt idx="1917">
                  <c:v>0</c:v>
                </c:pt>
                <c:pt idx="1918">
                  <c:v>0</c:v>
                </c:pt>
                <c:pt idx="1919">
                  <c:v>0</c:v>
                </c:pt>
                <c:pt idx="1920">
                  <c:v>0</c:v>
                </c:pt>
                <c:pt idx="1921">
                  <c:v>0</c:v>
                </c:pt>
                <c:pt idx="1922">
                  <c:v>0</c:v>
                </c:pt>
                <c:pt idx="1923">
                  <c:v>0</c:v>
                </c:pt>
                <c:pt idx="1924">
                  <c:v>0</c:v>
                </c:pt>
                <c:pt idx="1925">
                  <c:v>0</c:v>
                </c:pt>
                <c:pt idx="1926">
                  <c:v>0</c:v>
                </c:pt>
                <c:pt idx="1927">
                  <c:v>0</c:v>
                </c:pt>
                <c:pt idx="1928">
                  <c:v>0</c:v>
                </c:pt>
                <c:pt idx="1929">
                  <c:v>0</c:v>
                </c:pt>
                <c:pt idx="1930">
                  <c:v>0</c:v>
                </c:pt>
                <c:pt idx="1931">
                  <c:v>0</c:v>
                </c:pt>
                <c:pt idx="1932">
                  <c:v>0</c:v>
                </c:pt>
                <c:pt idx="1933">
                  <c:v>0</c:v>
                </c:pt>
                <c:pt idx="1934">
                  <c:v>0</c:v>
                </c:pt>
                <c:pt idx="1935">
                  <c:v>0</c:v>
                </c:pt>
                <c:pt idx="1936">
                  <c:v>0</c:v>
                </c:pt>
                <c:pt idx="1937">
                  <c:v>0</c:v>
                </c:pt>
                <c:pt idx="1938">
                  <c:v>0</c:v>
                </c:pt>
                <c:pt idx="1939">
                  <c:v>0</c:v>
                </c:pt>
                <c:pt idx="1940">
                  <c:v>0</c:v>
                </c:pt>
                <c:pt idx="1941">
                  <c:v>0</c:v>
                </c:pt>
                <c:pt idx="1942">
                  <c:v>0</c:v>
                </c:pt>
                <c:pt idx="1943">
                  <c:v>0</c:v>
                </c:pt>
                <c:pt idx="1944">
                  <c:v>0</c:v>
                </c:pt>
                <c:pt idx="1945">
                  <c:v>0</c:v>
                </c:pt>
                <c:pt idx="1946">
                  <c:v>0</c:v>
                </c:pt>
                <c:pt idx="1947">
                  <c:v>0</c:v>
                </c:pt>
                <c:pt idx="1948">
                  <c:v>0</c:v>
                </c:pt>
                <c:pt idx="1949">
                  <c:v>0</c:v>
                </c:pt>
                <c:pt idx="1950">
                  <c:v>0</c:v>
                </c:pt>
                <c:pt idx="1951">
                  <c:v>0</c:v>
                </c:pt>
                <c:pt idx="1952">
                  <c:v>0</c:v>
                </c:pt>
                <c:pt idx="1953">
                  <c:v>0</c:v>
                </c:pt>
                <c:pt idx="1954">
                  <c:v>0</c:v>
                </c:pt>
                <c:pt idx="1955">
                  <c:v>0</c:v>
                </c:pt>
                <c:pt idx="1956">
                  <c:v>0</c:v>
                </c:pt>
                <c:pt idx="1957">
                  <c:v>0</c:v>
                </c:pt>
                <c:pt idx="1958">
                  <c:v>0</c:v>
                </c:pt>
                <c:pt idx="1959">
                  <c:v>0</c:v>
                </c:pt>
                <c:pt idx="1960">
                  <c:v>0</c:v>
                </c:pt>
                <c:pt idx="1961">
                  <c:v>0</c:v>
                </c:pt>
                <c:pt idx="1962">
                  <c:v>0</c:v>
                </c:pt>
                <c:pt idx="1963">
                  <c:v>0</c:v>
                </c:pt>
                <c:pt idx="1964">
                  <c:v>0</c:v>
                </c:pt>
                <c:pt idx="1965">
                  <c:v>0</c:v>
                </c:pt>
                <c:pt idx="1966">
                  <c:v>0</c:v>
                </c:pt>
                <c:pt idx="1967">
                  <c:v>0</c:v>
                </c:pt>
                <c:pt idx="1968">
                  <c:v>0</c:v>
                </c:pt>
                <c:pt idx="1969">
                  <c:v>0</c:v>
                </c:pt>
                <c:pt idx="1970">
                  <c:v>0</c:v>
                </c:pt>
                <c:pt idx="1971">
                  <c:v>0</c:v>
                </c:pt>
                <c:pt idx="1972">
                  <c:v>0</c:v>
                </c:pt>
                <c:pt idx="1973">
                  <c:v>0</c:v>
                </c:pt>
                <c:pt idx="1974">
                  <c:v>0</c:v>
                </c:pt>
                <c:pt idx="1975">
                  <c:v>0</c:v>
                </c:pt>
                <c:pt idx="1976">
                  <c:v>0</c:v>
                </c:pt>
                <c:pt idx="1977">
                  <c:v>0</c:v>
                </c:pt>
                <c:pt idx="1978">
                  <c:v>0</c:v>
                </c:pt>
                <c:pt idx="1979">
                  <c:v>0</c:v>
                </c:pt>
                <c:pt idx="1980">
                  <c:v>0</c:v>
                </c:pt>
                <c:pt idx="1981">
                  <c:v>0</c:v>
                </c:pt>
                <c:pt idx="1982">
                  <c:v>0</c:v>
                </c:pt>
                <c:pt idx="1983">
                  <c:v>0</c:v>
                </c:pt>
                <c:pt idx="1984">
                  <c:v>0</c:v>
                </c:pt>
                <c:pt idx="1985">
                  <c:v>0</c:v>
                </c:pt>
                <c:pt idx="1986">
                  <c:v>0</c:v>
                </c:pt>
                <c:pt idx="1987">
                  <c:v>0</c:v>
                </c:pt>
                <c:pt idx="1988">
                  <c:v>0</c:v>
                </c:pt>
                <c:pt idx="1989">
                  <c:v>0</c:v>
                </c:pt>
                <c:pt idx="1990">
                  <c:v>0</c:v>
                </c:pt>
                <c:pt idx="1991">
                  <c:v>0</c:v>
                </c:pt>
                <c:pt idx="1992">
                  <c:v>0</c:v>
                </c:pt>
                <c:pt idx="1993">
                  <c:v>0</c:v>
                </c:pt>
                <c:pt idx="1994">
                  <c:v>0</c:v>
                </c:pt>
                <c:pt idx="1995">
                  <c:v>0</c:v>
                </c:pt>
                <c:pt idx="1996">
                  <c:v>0</c:v>
                </c:pt>
                <c:pt idx="1997">
                  <c:v>0</c:v>
                </c:pt>
                <c:pt idx="1998">
                  <c:v>0</c:v>
                </c:pt>
                <c:pt idx="1999">
                  <c:v>0</c:v>
                </c:pt>
                <c:pt idx="2000">
                  <c:v>0</c:v>
                </c:pt>
              </c:numCache>
            </c:numRef>
          </c:yVal>
          <c:smooth val="1"/>
          <c:extLst xmlns:c16r2="http://schemas.microsoft.com/office/drawing/2015/06/chart">
            <c:ext xmlns:c16="http://schemas.microsoft.com/office/drawing/2014/chart" uri="{C3380CC4-5D6E-409C-BE32-E72D297353CC}">
              <c16:uniqueId val="{00000002-676B-479B-8242-7EB6D8847C1D}"/>
            </c:ext>
          </c:extLst>
        </c:ser>
        <c:ser>
          <c:idx val="3"/>
          <c:order val="3"/>
          <c:tx>
            <c:v>Peak Electricity Consumption </c:v>
          </c:tx>
          <c:marker>
            <c:symbol val="circle"/>
            <c:size val="20"/>
            <c:spPr>
              <a:solidFill>
                <a:schemeClr val="tx1"/>
              </a:solidFill>
            </c:spPr>
          </c:marker>
          <c:dLbls>
            <c:dLbl>
              <c:idx val="0"/>
              <c:delete val="1"/>
              <c:extLst xmlns:c16r2="http://schemas.microsoft.com/office/drawing/2015/06/chart">
                <c:ext xmlns:c16="http://schemas.microsoft.com/office/drawing/2014/chart" uri="{C3380CC4-5D6E-409C-BE32-E72D297353CC}">
                  <c16:uniqueId val="{00000003-676B-479B-8242-7EB6D8847C1D}"/>
                </c:ext>
                <c:ext xmlns:c15="http://schemas.microsoft.com/office/drawing/2012/chart" uri="{CE6537A1-D6FC-4f65-9D91-7224C49458BB}"/>
              </c:extLst>
            </c:dLbl>
            <c:spPr>
              <a:noFill/>
              <a:ln>
                <a:noFill/>
              </a:ln>
              <a:effectLst/>
            </c:spPr>
            <c:txPr>
              <a:bodyPr/>
              <a:lstStyle/>
              <a:p>
                <a:pPr>
                  <a:defRPr sz="1600"/>
                </a:pPr>
                <a:endParaRPr lang="en-US"/>
              </a:p>
            </c:txPr>
            <c:showLegendKey val="0"/>
            <c:showVal val="0"/>
            <c:showCatName val="0"/>
            <c:showSerName val="1"/>
            <c:showPercent val="0"/>
            <c:showBubbleSize val="0"/>
            <c:showLeaderLines val="0"/>
            <c:extLst xmlns:c16r2="http://schemas.microsoft.com/office/drawing/2015/06/chart">
              <c:ext xmlns:c15="http://schemas.microsoft.com/office/drawing/2012/chart" uri="{CE6537A1-D6FC-4f65-9D91-7224C49458BB}">
                <c15:showLeaderLines val="0"/>
              </c:ext>
            </c:extLst>
          </c:dLbls>
          <c:xVal>
            <c:numLit>
              <c:formatCode>General</c:formatCode>
              <c:ptCount val="1"/>
              <c:pt idx="0">
                <c:v>0</c:v>
              </c:pt>
            </c:numLit>
          </c:xVal>
          <c:yVal>
            <c:numLit>
              <c:formatCode>General</c:formatCode>
              <c:ptCount val="1"/>
              <c:pt idx="0">
                <c:v>1</c:v>
              </c:pt>
            </c:numLit>
          </c:yVal>
          <c:smooth val="1"/>
          <c:extLst xmlns:c16r2="http://schemas.microsoft.com/office/drawing/2015/06/chart">
            <c:ext xmlns:c16="http://schemas.microsoft.com/office/drawing/2014/chart" uri="{C3380CC4-5D6E-409C-BE32-E72D297353CC}">
              <c16:uniqueId val="{00000004-676B-479B-8242-7EB6D8847C1D}"/>
            </c:ext>
          </c:extLst>
        </c:ser>
        <c:dLbls>
          <c:showLegendKey val="0"/>
          <c:showVal val="0"/>
          <c:showCatName val="0"/>
          <c:showSerName val="0"/>
          <c:showPercent val="0"/>
          <c:showBubbleSize val="0"/>
        </c:dLbls>
        <c:axId val="539386616"/>
        <c:axId val="539385832"/>
      </c:scatterChart>
      <c:valAx>
        <c:axId val="539386616"/>
        <c:scaling>
          <c:orientation val="minMax"/>
          <c:max val="5"/>
          <c:min val="-5"/>
        </c:scaling>
        <c:delete val="0"/>
        <c:axPos val="b"/>
        <c:title>
          <c:tx>
            <c:rich>
              <a:bodyPr/>
              <a:lstStyle/>
              <a:p>
                <a:pPr>
                  <a:defRPr/>
                </a:pPr>
                <a:r>
                  <a:rPr lang="en-US"/>
                  <a:t>Hours</a:t>
                </a:r>
                <a:r>
                  <a:rPr lang="en-US" baseline="0"/>
                  <a:t> before and after Peak</a:t>
                </a:r>
                <a:endParaRPr lang="en-US"/>
              </a:p>
            </c:rich>
          </c:tx>
          <c:layout>
            <c:manualLayout>
              <c:xMode val="edge"/>
              <c:yMode val="edge"/>
              <c:x val="0.36183476044829044"/>
              <c:y val="0.9486324606045996"/>
            </c:manualLayout>
          </c:layout>
          <c:overlay val="0"/>
        </c:title>
        <c:numFmt formatCode="General" sourceLinked="1"/>
        <c:majorTickMark val="out"/>
        <c:minorTickMark val="none"/>
        <c:tickLblPos val="nextTo"/>
        <c:crossAx val="539385832"/>
        <c:crosses val="autoZero"/>
        <c:crossBetween val="midCat"/>
      </c:valAx>
      <c:valAx>
        <c:axId val="539385832"/>
        <c:scaling>
          <c:orientation val="minMax"/>
          <c:max val="1.1000000000000001"/>
          <c:min val="0"/>
        </c:scaling>
        <c:delete val="0"/>
        <c:axPos val="l"/>
        <c:majorGridlines/>
        <c:title>
          <c:tx>
            <c:rich>
              <a:bodyPr rot="0" vert="horz"/>
              <a:lstStyle/>
              <a:p>
                <a:pPr>
                  <a:defRPr/>
                </a:pPr>
                <a:r>
                  <a:rPr lang="en-US" baseline="0"/>
                  <a:t>Percentage of Peak Usage above threshold</a:t>
                </a:r>
                <a:endParaRPr lang="en-US"/>
              </a:p>
            </c:rich>
          </c:tx>
          <c:layout>
            <c:manualLayout>
              <c:xMode val="edge"/>
              <c:yMode val="edge"/>
              <c:x val="3.490821546795065E-2"/>
              <c:y val="4.9796491816685363E-2"/>
            </c:manualLayout>
          </c:layout>
          <c:overlay val="0"/>
        </c:title>
        <c:numFmt formatCode="0%" sourceLinked="0"/>
        <c:majorTickMark val="out"/>
        <c:minorTickMark val="none"/>
        <c:tickLblPos val="low"/>
        <c:crossAx val="539386616"/>
        <c:crosses val="autoZero"/>
        <c:crossBetween val="midCat"/>
      </c:valAx>
      <c:valAx>
        <c:axId val="539385440"/>
        <c:scaling>
          <c:orientation val="minMax"/>
          <c:max val="1.1000000000000001"/>
          <c:min val="0"/>
        </c:scaling>
        <c:delete val="1"/>
        <c:axPos val="r"/>
        <c:numFmt formatCode="General" sourceLinked="1"/>
        <c:majorTickMark val="out"/>
        <c:minorTickMark val="none"/>
        <c:tickLblPos val="nextTo"/>
        <c:crossAx val="539385048"/>
        <c:crosses val="max"/>
        <c:crossBetween val="between"/>
      </c:valAx>
      <c:dateAx>
        <c:axId val="539385048"/>
        <c:scaling>
          <c:orientation val="minMax"/>
        </c:scaling>
        <c:delete val="1"/>
        <c:axPos val="b"/>
        <c:numFmt formatCode="General" sourceLinked="1"/>
        <c:majorTickMark val="out"/>
        <c:minorTickMark val="none"/>
        <c:tickLblPos val="nextTo"/>
        <c:crossAx val="539385440"/>
        <c:crosses val="autoZero"/>
        <c:auto val="0"/>
        <c:lblOffset val="100"/>
        <c:baseTimeUnit val="days"/>
      </c:dateAx>
    </c:plotArea>
    <c:legend>
      <c:legendPos val="r"/>
      <c:overlay val="0"/>
    </c:legend>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latin typeface="Arial" panose="020B0604020202020204" pitchFamily="34" charset="0"/>
                <a:cs typeface="Arial" panose="020B0604020202020204" pitchFamily="34" charset="0"/>
              </a:defRPr>
            </a:pPr>
            <a:r>
              <a:rPr lang="en-US" sz="2000">
                <a:latin typeface="Arial" panose="020B0604020202020204" pitchFamily="34" charset="0"/>
                <a:cs typeface="Arial" panose="020B0604020202020204" pitchFamily="34" charset="0"/>
              </a:rPr>
              <a:t>Battery Storage for Peak Shaving </a:t>
            </a:r>
          </a:p>
        </c:rich>
      </c:tx>
      <c:layout>
        <c:manualLayout>
          <c:xMode val="edge"/>
          <c:yMode val="edge"/>
          <c:x val="0.31231209177804059"/>
          <c:y val="9.4142461017361258E-3"/>
        </c:manualLayout>
      </c:layout>
      <c:overlay val="1"/>
    </c:title>
    <c:autoTitleDeleted val="0"/>
    <c:plotArea>
      <c:layout>
        <c:manualLayout>
          <c:layoutTarget val="inner"/>
          <c:xMode val="edge"/>
          <c:yMode val="edge"/>
          <c:x val="0.123692348739897"/>
          <c:y val="8.7726484447352315E-2"/>
          <c:w val="0.75619511620140267"/>
          <c:h val="0.78499541887768365"/>
        </c:manualLayout>
      </c:layout>
      <c:areaChart>
        <c:grouping val="stacked"/>
        <c:varyColors val="0"/>
        <c:ser>
          <c:idx val="4"/>
          <c:order val="6"/>
          <c:tx>
            <c:v>Bottom Line</c:v>
          </c:tx>
          <c:spPr>
            <a:noFill/>
          </c:spPr>
          <c:cat>
            <c:numRef>
              <c:f>'Peak Payback Engine'!$AC$8:$AC$1065</c:f>
              <c:numCache>
                <c:formatCode>_(* #,##0.00_);_(* \(#,##0.00\);_(* "-"??_);_(@_)</c:formatCode>
                <c:ptCount val="1058"/>
                <c:pt idx="0">
                  <c:v>0</c:v>
                </c:pt>
                <c:pt idx="1">
                  <c:v>0.94876660341555974</c:v>
                </c:pt>
                <c:pt idx="2">
                  <c:v>0.94876660341555974</c:v>
                </c:pt>
                <c:pt idx="3">
                  <c:v>1.8975332068311195</c:v>
                </c:pt>
                <c:pt idx="4">
                  <c:v>2.8462998102466797</c:v>
                </c:pt>
                <c:pt idx="5">
                  <c:v>3.795066413662239</c:v>
                </c:pt>
                <c:pt idx="6">
                  <c:v>4.7438330170777983</c:v>
                </c:pt>
                <c:pt idx="7">
                  <c:v>5.6925996204933593</c:v>
                </c:pt>
                <c:pt idx="8">
                  <c:v>6.6413662239089177</c:v>
                </c:pt>
                <c:pt idx="9">
                  <c:v>7.5901328273244779</c:v>
                </c:pt>
                <c:pt idx="10">
                  <c:v>8.5388994307400381</c:v>
                </c:pt>
                <c:pt idx="11">
                  <c:v>9.4876660341555965</c:v>
                </c:pt>
                <c:pt idx="12">
                  <c:v>10.436432637571157</c:v>
                </c:pt>
                <c:pt idx="13">
                  <c:v>11.385199240986719</c:v>
                </c:pt>
                <c:pt idx="14">
                  <c:v>12.333965844402279</c:v>
                </c:pt>
                <c:pt idx="15">
                  <c:v>13.282732447817835</c:v>
                </c:pt>
                <c:pt idx="16">
                  <c:v>14.231499051233396</c:v>
                </c:pt>
                <c:pt idx="17">
                  <c:v>15.180265654648956</c:v>
                </c:pt>
                <c:pt idx="18">
                  <c:v>16.129032258064516</c:v>
                </c:pt>
                <c:pt idx="19">
                  <c:v>17.077798861480076</c:v>
                </c:pt>
                <c:pt idx="20">
                  <c:v>18.02656546489564</c:v>
                </c:pt>
                <c:pt idx="21">
                  <c:v>18.975332068311193</c:v>
                </c:pt>
                <c:pt idx="22">
                  <c:v>19.924098671726757</c:v>
                </c:pt>
                <c:pt idx="23">
                  <c:v>20.872865275142313</c:v>
                </c:pt>
                <c:pt idx="24">
                  <c:v>21.821631878557874</c:v>
                </c:pt>
                <c:pt idx="25">
                  <c:v>22.770398481973437</c:v>
                </c:pt>
                <c:pt idx="26">
                  <c:v>23.719165085388994</c:v>
                </c:pt>
                <c:pt idx="27">
                  <c:v>24.667931688804558</c:v>
                </c:pt>
                <c:pt idx="28">
                  <c:v>25.616698292220114</c:v>
                </c:pt>
                <c:pt idx="29">
                  <c:v>26.565464895635671</c:v>
                </c:pt>
                <c:pt idx="30">
                  <c:v>27.514231499051235</c:v>
                </c:pt>
                <c:pt idx="31">
                  <c:v>28.462998102466791</c:v>
                </c:pt>
                <c:pt idx="32">
                  <c:v>29.411764705882355</c:v>
                </c:pt>
                <c:pt idx="33">
                  <c:v>30.360531309297912</c:v>
                </c:pt>
                <c:pt idx="34">
                  <c:v>31.309297912713475</c:v>
                </c:pt>
                <c:pt idx="35">
                  <c:v>32.258064516129032</c:v>
                </c:pt>
                <c:pt idx="36">
                  <c:v>33.206831119544596</c:v>
                </c:pt>
                <c:pt idx="37">
                  <c:v>34.155597722960152</c:v>
                </c:pt>
                <c:pt idx="38">
                  <c:v>35.104364326375709</c:v>
                </c:pt>
                <c:pt idx="39">
                  <c:v>36.05313092979128</c:v>
                </c:pt>
                <c:pt idx="40">
                  <c:v>37.001897533206829</c:v>
                </c:pt>
                <c:pt idx="41">
                  <c:v>37.950664136622386</c:v>
                </c:pt>
                <c:pt idx="42">
                  <c:v>38.89943074003795</c:v>
                </c:pt>
                <c:pt idx="43">
                  <c:v>39.848197343453513</c:v>
                </c:pt>
                <c:pt idx="44">
                  <c:v>40.79696394686907</c:v>
                </c:pt>
                <c:pt idx="45">
                  <c:v>41.745730550284627</c:v>
                </c:pt>
                <c:pt idx="46">
                  <c:v>42.694497153700198</c:v>
                </c:pt>
                <c:pt idx="47">
                  <c:v>43.643263757115747</c:v>
                </c:pt>
                <c:pt idx="48">
                  <c:v>44.592030360531311</c:v>
                </c:pt>
                <c:pt idx="49">
                  <c:v>45.540796963946875</c:v>
                </c:pt>
                <c:pt idx="50">
                  <c:v>46.489563567362431</c:v>
                </c:pt>
                <c:pt idx="51">
                  <c:v>47.438330170777988</c:v>
                </c:pt>
                <c:pt idx="52">
                  <c:v>48.387096774193544</c:v>
                </c:pt>
                <c:pt idx="53">
                  <c:v>49.335863377609115</c:v>
                </c:pt>
                <c:pt idx="54">
                  <c:v>50.284629981024665</c:v>
                </c:pt>
                <c:pt idx="55">
                  <c:v>51.233396584440229</c:v>
                </c:pt>
                <c:pt idx="56">
                  <c:v>52.182163187855792</c:v>
                </c:pt>
                <c:pt idx="57">
                  <c:v>53.130929791271342</c:v>
                </c:pt>
                <c:pt idx="58">
                  <c:v>54.079696394686906</c:v>
                </c:pt>
                <c:pt idx="59">
                  <c:v>55.028462998102469</c:v>
                </c:pt>
                <c:pt idx="60">
                  <c:v>55.977229601518033</c:v>
                </c:pt>
                <c:pt idx="61">
                  <c:v>56.925996204933583</c:v>
                </c:pt>
                <c:pt idx="62">
                  <c:v>57.874762808349153</c:v>
                </c:pt>
                <c:pt idx="63">
                  <c:v>58.82352941176471</c:v>
                </c:pt>
                <c:pt idx="64">
                  <c:v>59.772296015180267</c:v>
                </c:pt>
                <c:pt idx="65">
                  <c:v>60.721062618595823</c:v>
                </c:pt>
                <c:pt idx="66">
                  <c:v>61.669829222011387</c:v>
                </c:pt>
                <c:pt idx="67">
                  <c:v>62.618595825426951</c:v>
                </c:pt>
                <c:pt idx="68">
                  <c:v>63.5673624288425</c:v>
                </c:pt>
                <c:pt idx="69">
                  <c:v>64.516129032258064</c:v>
                </c:pt>
                <c:pt idx="70">
                  <c:v>65.464895635673628</c:v>
                </c:pt>
                <c:pt idx="71">
                  <c:v>66.413662239089192</c:v>
                </c:pt>
                <c:pt idx="72">
                  <c:v>67.362428842504741</c:v>
                </c:pt>
                <c:pt idx="73">
                  <c:v>68.311195445920305</c:v>
                </c:pt>
                <c:pt idx="74">
                  <c:v>69.259962049335869</c:v>
                </c:pt>
                <c:pt idx="75">
                  <c:v>70.208728652751418</c:v>
                </c:pt>
                <c:pt idx="76">
                  <c:v>71.157495256166982</c:v>
                </c:pt>
                <c:pt idx="77">
                  <c:v>72.10626185958256</c:v>
                </c:pt>
                <c:pt idx="78">
                  <c:v>73.055028462998095</c:v>
                </c:pt>
                <c:pt idx="79">
                  <c:v>74.003795066413659</c:v>
                </c:pt>
                <c:pt idx="80">
                  <c:v>74.952561669829237</c:v>
                </c:pt>
                <c:pt idx="81">
                  <c:v>75.901328273244772</c:v>
                </c:pt>
                <c:pt idx="82">
                  <c:v>76.85009487666035</c:v>
                </c:pt>
                <c:pt idx="83">
                  <c:v>77.7988614800759</c:v>
                </c:pt>
                <c:pt idx="84">
                  <c:v>78.747628083491463</c:v>
                </c:pt>
                <c:pt idx="85">
                  <c:v>79.696394686907027</c:v>
                </c:pt>
                <c:pt idx="86">
                  <c:v>80.645161290322577</c:v>
                </c:pt>
                <c:pt idx="87">
                  <c:v>81.59392789373814</c:v>
                </c:pt>
                <c:pt idx="88">
                  <c:v>82.542694497153704</c:v>
                </c:pt>
                <c:pt idx="89">
                  <c:v>83.491461100569254</c:v>
                </c:pt>
                <c:pt idx="90">
                  <c:v>84.440227703984817</c:v>
                </c:pt>
                <c:pt idx="91">
                  <c:v>85.388994307400395</c:v>
                </c:pt>
                <c:pt idx="92">
                  <c:v>86.337760910815931</c:v>
                </c:pt>
                <c:pt idx="93">
                  <c:v>87.286527514231494</c:v>
                </c:pt>
                <c:pt idx="94">
                  <c:v>88.235294117647072</c:v>
                </c:pt>
                <c:pt idx="95">
                  <c:v>89.184060721062622</c:v>
                </c:pt>
                <c:pt idx="96">
                  <c:v>90.132827324478171</c:v>
                </c:pt>
                <c:pt idx="97">
                  <c:v>91.081593927893749</c:v>
                </c:pt>
                <c:pt idx="98">
                  <c:v>92.030360531309299</c:v>
                </c:pt>
                <c:pt idx="99">
                  <c:v>92.979127134724862</c:v>
                </c:pt>
                <c:pt idx="100">
                  <c:v>93.927893738140426</c:v>
                </c:pt>
                <c:pt idx="101">
                  <c:v>94.876660341555976</c:v>
                </c:pt>
                <c:pt idx="102">
                  <c:v>95.825426944971554</c:v>
                </c:pt>
                <c:pt idx="103">
                  <c:v>96.774193548387089</c:v>
                </c:pt>
                <c:pt idx="104">
                  <c:v>97.722960151802653</c:v>
                </c:pt>
                <c:pt idx="105">
                  <c:v>98.671726755218231</c:v>
                </c:pt>
                <c:pt idx="106">
                  <c:v>99.620493358633766</c:v>
                </c:pt>
                <c:pt idx="107">
                  <c:v>100.56925996204933</c:v>
                </c:pt>
                <c:pt idx="108">
                  <c:v>101.51802656546491</c:v>
                </c:pt>
                <c:pt idx="109">
                  <c:v>102.46679316888046</c:v>
                </c:pt>
                <c:pt idx="110">
                  <c:v>103.41555977229601</c:v>
                </c:pt>
                <c:pt idx="111">
                  <c:v>104.36432637571158</c:v>
                </c:pt>
                <c:pt idx="112">
                  <c:v>105.31309297912713</c:v>
                </c:pt>
                <c:pt idx="113">
                  <c:v>106.26185958254268</c:v>
                </c:pt>
                <c:pt idx="114">
                  <c:v>107.21062618595826</c:v>
                </c:pt>
                <c:pt idx="115">
                  <c:v>108.15939278937381</c:v>
                </c:pt>
                <c:pt idx="116">
                  <c:v>109.10815939278939</c:v>
                </c:pt>
                <c:pt idx="117">
                  <c:v>110.05692599620494</c:v>
                </c:pt>
                <c:pt idx="118">
                  <c:v>111.00569259962049</c:v>
                </c:pt>
                <c:pt idx="119">
                  <c:v>111.95445920303607</c:v>
                </c:pt>
                <c:pt idx="120">
                  <c:v>112.90322580645162</c:v>
                </c:pt>
                <c:pt idx="121">
                  <c:v>113.85199240986717</c:v>
                </c:pt>
                <c:pt idx="122">
                  <c:v>114.80075901328274</c:v>
                </c:pt>
                <c:pt idx="123">
                  <c:v>115.74952561669831</c:v>
                </c:pt>
                <c:pt idx="124">
                  <c:v>116.69829222011384</c:v>
                </c:pt>
                <c:pt idx="125">
                  <c:v>117.64705882352942</c:v>
                </c:pt>
                <c:pt idx="126">
                  <c:v>118.59582542694497</c:v>
                </c:pt>
                <c:pt idx="127">
                  <c:v>119.54459203036053</c:v>
                </c:pt>
                <c:pt idx="128">
                  <c:v>120.4933586337761</c:v>
                </c:pt>
                <c:pt idx="129">
                  <c:v>121.44212523719165</c:v>
                </c:pt>
                <c:pt idx="130">
                  <c:v>122.39089184060721</c:v>
                </c:pt>
                <c:pt idx="131">
                  <c:v>123.33965844402277</c:v>
                </c:pt>
                <c:pt idx="132">
                  <c:v>124.28842504743832</c:v>
                </c:pt>
                <c:pt idx="133">
                  <c:v>125.2371916508539</c:v>
                </c:pt>
                <c:pt idx="134">
                  <c:v>126.18595825426947</c:v>
                </c:pt>
                <c:pt idx="135">
                  <c:v>127.134724857685</c:v>
                </c:pt>
                <c:pt idx="136">
                  <c:v>128.08349146110058</c:v>
                </c:pt>
                <c:pt idx="137">
                  <c:v>129.03225806451613</c:v>
                </c:pt>
                <c:pt idx="138">
                  <c:v>129.98102466793168</c:v>
                </c:pt>
                <c:pt idx="139">
                  <c:v>130.92979127134726</c:v>
                </c:pt>
                <c:pt idx="140">
                  <c:v>131.87855787476281</c:v>
                </c:pt>
                <c:pt idx="141">
                  <c:v>132.82732447817838</c:v>
                </c:pt>
                <c:pt idx="142">
                  <c:v>133.77609108159393</c:v>
                </c:pt>
                <c:pt idx="143">
                  <c:v>134.72485768500948</c:v>
                </c:pt>
                <c:pt idx="144">
                  <c:v>135.67362428842506</c:v>
                </c:pt>
                <c:pt idx="145">
                  <c:v>136.62239089184061</c:v>
                </c:pt>
                <c:pt idx="146">
                  <c:v>137.57115749525616</c:v>
                </c:pt>
                <c:pt idx="147">
                  <c:v>138.51992409867174</c:v>
                </c:pt>
                <c:pt idx="148">
                  <c:v>139.46869070208729</c:v>
                </c:pt>
                <c:pt idx="149">
                  <c:v>140.41745730550284</c:v>
                </c:pt>
                <c:pt idx="150">
                  <c:v>141.36622390891841</c:v>
                </c:pt>
                <c:pt idx="151">
                  <c:v>142.31499051233396</c:v>
                </c:pt>
                <c:pt idx="152">
                  <c:v>143.26375711574951</c:v>
                </c:pt>
                <c:pt idx="153">
                  <c:v>144.21252371916512</c:v>
                </c:pt>
                <c:pt idx="154">
                  <c:v>145.16129032258064</c:v>
                </c:pt>
                <c:pt idx="155">
                  <c:v>146.11005692599619</c:v>
                </c:pt>
                <c:pt idx="156">
                  <c:v>147.0588235294118</c:v>
                </c:pt>
                <c:pt idx="157">
                  <c:v>148.00759013282732</c:v>
                </c:pt>
                <c:pt idx="158">
                  <c:v>148.95635673624287</c:v>
                </c:pt>
                <c:pt idx="159">
                  <c:v>149.90512333965847</c:v>
                </c:pt>
                <c:pt idx="160">
                  <c:v>150.85388994307402</c:v>
                </c:pt>
                <c:pt idx="161">
                  <c:v>151.80265654648954</c:v>
                </c:pt>
                <c:pt idx="162">
                  <c:v>152.75142314990515</c:v>
                </c:pt>
                <c:pt idx="163">
                  <c:v>153.7001897533207</c:v>
                </c:pt>
                <c:pt idx="164">
                  <c:v>154.64895635673625</c:v>
                </c:pt>
                <c:pt idx="165">
                  <c:v>155.5977229601518</c:v>
                </c:pt>
                <c:pt idx="166">
                  <c:v>156.54648956356738</c:v>
                </c:pt>
                <c:pt idx="167">
                  <c:v>157.49525616698293</c:v>
                </c:pt>
                <c:pt idx="168">
                  <c:v>158.44402277039848</c:v>
                </c:pt>
                <c:pt idx="169">
                  <c:v>159.39278937381405</c:v>
                </c:pt>
                <c:pt idx="170">
                  <c:v>160.3415559772296</c:v>
                </c:pt>
                <c:pt idx="171">
                  <c:v>161.29032258064515</c:v>
                </c:pt>
                <c:pt idx="172">
                  <c:v>162.23908918406073</c:v>
                </c:pt>
                <c:pt idx="173">
                  <c:v>163.18785578747628</c:v>
                </c:pt>
                <c:pt idx="174">
                  <c:v>164.13662239089183</c:v>
                </c:pt>
                <c:pt idx="175">
                  <c:v>165.08538899430741</c:v>
                </c:pt>
                <c:pt idx="176">
                  <c:v>166.03415559772296</c:v>
                </c:pt>
                <c:pt idx="177">
                  <c:v>166.98292220113851</c:v>
                </c:pt>
                <c:pt idx="178">
                  <c:v>167.93168880455411</c:v>
                </c:pt>
                <c:pt idx="179">
                  <c:v>168.88045540796963</c:v>
                </c:pt>
                <c:pt idx="180">
                  <c:v>169.82922201138518</c:v>
                </c:pt>
                <c:pt idx="181">
                  <c:v>170.77798861480079</c:v>
                </c:pt>
                <c:pt idx="182">
                  <c:v>171.72675521821631</c:v>
                </c:pt>
                <c:pt idx="183">
                  <c:v>172.67552182163186</c:v>
                </c:pt>
                <c:pt idx="184">
                  <c:v>173.62428842504747</c:v>
                </c:pt>
                <c:pt idx="185">
                  <c:v>174.57305502846299</c:v>
                </c:pt>
                <c:pt idx="186">
                  <c:v>175.52182163187854</c:v>
                </c:pt>
                <c:pt idx="187">
                  <c:v>176.47058823529414</c:v>
                </c:pt>
                <c:pt idx="188">
                  <c:v>177.41935483870967</c:v>
                </c:pt>
                <c:pt idx="189">
                  <c:v>178.36812144212524</c:v>
                </c:pt>
                <c:pt idx="190">
                  <c:v>179.31688804554082</c:v>
                </c:pt>
                <c:pt idx="191">
                  <c:v>180.26565464895634</c:v>
                </c:pt>
                <c:pt idx="192">
                  <c:v>181.21442125237192</c:v>
                </c:pt>
                <c:pt idx="193">
                  <c:v>182.1631878557875</c:v>
                </c:pt>
                <c:pt idx="194">
                  <c:v>183.11195445920305</c:v>
                </c:pt>
                <c:pt idx="195">
                  <c:v>184.0607210626186</c:v>
                </c:pt>
                <c:pt idx="196">
                  <c:v>185.00948766603418</c:v>
                </c:pt>
                <c:pt idx="197">
                  <c:v>185.95825426944972</c:v>
                </c:pt>
                <c:pt idx="198">
                  <c:v>186.90702087286527</c:v>
                </c:pt>
                <c:pt idx="199">
                  <c:v>187.85578747628085</c:v>
                </c:pt>
                <c:pt idx="200">
                  <c:v>188.8045540796964</c:v>
                </c:pt>
                <c:pt idx="201">
                  <c:v>189.75332068311195</c:v>
                </c:pt>
                <c:pt idx="202">
                  <c:v>190.7020872865275</c:v>
                </c:pt>
                <c:pt idx="203">
                  <c:v>191.65085388994311</c:v>
                </c:pt>
                <c:pt idx="204">
                  <c:v>192.59962049335863</c:v>
                </c:pt>
                <c:pt idx="205">
                  <c:v>193.54838709677418</c:v>
                </c:pt>
                <c:pt idx="206">
                  <c:v>194.49715370018978</c:v>
                </c:pt>
                <c:pt idx="207">
                  <c:v>195.44592030360531</c:v>
                </c:pt>
                <c:pt idx="208">
                  <c:v>196.39468690702085</c:v>
                </c:pt>
                <c:pt idx="209">
                  <c:v>197.34345351043646</c:v>
                </c:pt>
                <c:pt idx="210">
                  <c:v>198.29222011385198</c:v>
                </c:pt>
                <c:pt idx="211">
                  <c:v>199.24098671726753</c:v>
                </c:pt>
                <c:pt idx="212">
                  <c:v>200.18975332068314</c:v>
                </c:pt>
                <c:pt idx="213">
                  <c:v>201.13851992409866</c:v>
                </c:pt>
                <c:pt idx="214">
                  <c:v>202.08728652751421</c:v>
                </c:pt>
                <c:pt idx="215">
                  <c:v>203.03605313092982</c:v>
                </c:pt>
                <c:pt idx="216">
                  <c:v>203.98481973434534</c:v>
                </c:pt>
                <c:pt idx="217">
                  <c:v>204.93358633776091</c:v>
                </c:pt>
                <c:pt idx="218">
                  <c:v>205.88235294117649</c:v>
                </c:pt>
                <c:pt idx="219">
                  <c:v>206.83111954459201</c:v>
                </c:pt>
                <c:pt idx="220">
                  <c:v>207.77988614800759</c:v>
                </c:pt>
                <c:pt idx="221">
                  <c:v>208.72865275142317</c:v>
                </c:pt>
                <c:pt idx="222">
                  <c:v>209.67741935483869</c:v>
                </c:pt>
                <c:pt idx="223">
                  <c:v>210.62618595825427</c:v>
                </c:pt>
                <c:pt idx="224">
                  <c:v>211.57495256166985</c:v>
                </c:pt>
                <c:pt idx="225">
                  <c:v>212.52371916508537</c:v>
                </c:pt>
                <c:pt idx="226">
                  <c:v>213.47248576850095</c:v>
                </c:pt>
                <c:pt idx="227">
                  <c:v>214.42125237191652</c:v>
                </c:pt>
                <c:pt idx="228">
                  <c:v>215.37001897533207</c:v>
                </c:pt>
                <c:pt idx="229">
                  <c:v>216.31878557874762</c:v>
                </c:pt>
                <c:pt idx="230">
                  <c:v>217.2675521821632</c:v>
                </c:pt>
                <c:pt idx="231">
                  <c:v>218.21631878557878</c:v>
                </c:pt>
                <c:pt idx="232">
                  <c:v>219.1650853889943</c:v>
                </c:pt>
                <c:pt idx="233">
                  <c:v>220.11385199240988</c:v>
                </c:pt>
                <c:pt idx="234">
                  <c:v>221.06261859582546</c:v>
                </c:pt>
                <c:pt idx="235">
                  <c:v>222.01138519924098</c:v>
                </c:pt>
                <c:pt idx="236">
                  <c:v>222.96015180265655</c:v>
                </c:pt>
                <c:pt idx="237">
                  <c:v>223.90891840607213</c:v>
                </c:pt>
                <c:pt idx="238">
                  <c:v>224.85768500948765</c:v>
                </c:pt>
                <c:pt idx="239">
                  <c:v>225.80645161290323</c:v>
                </c:pt>
                <c:pt idx="240">
                  <c:v>226.75521821631881</c:v>
                </c:pt>
                <c:pt idx="241">
                  <c:v>227.70398481973433</c:v>
                </c:pt>
                <c:pt idx="242">
                  <c:v>228.65275142314994</c:v>
                </c:pt>
                <c:pt idx="243">
                  <c:v>229.60151802656549</c:v>
                </c:pt>
                <c:pt idx="244">
                  <c:v>230.55028462998101</c:v>
                </c:pt>
                <c:pt idx="245">
                  <c:v>231.49905123339661</c:v>
                </c:pt>
                <c:pt idx="246">
                  <c:v>232.44781783681216</c:v>
                </c:pt>
                <c:pt idx="247">
                  <c:v>233.39658444022768</c:v>
                </c:pt>
                <c:pt idx="248">
                  <c:v>234.34535104364329</c:v>
                </c:pt>
                <c:pt idx="249">
                  <c:v>235.29411764705884</c:v>
                </c:pt>
                <c:pt idx="250">
                  <c:v>236.24288425047436</c:v>
                </c:pt>
                <c:pt idx="251">
                  <c:v>237.19165085388994</c:v>
                </c:pt>
                <c:pt idx="252">
                  <c:v>238.14041745730552</c:v>
                </c:pt>
                <c:pt idx="253">
                  <c:v>239.08918406072107</c:v>
                </c:pt>
                <c:pt idx="254">
                  <c:v>240.03795066413662</c:v>
                </c:pt>
                <c:pt idx="255">
                  <c:v>240.98671726755219</c:v>
                </c:pt>
                <c:pt idx="256">
                  <c:v>241.93548387096774</c:v>
                </c:pt>
                <c:pt idx="257">
                  <c:v>242.88425047438329</c:v>
                </c:pt>
                <c:pt idx="258">
                  <c:v>243.83301707779887</c:v>
                </c:pt>
                <c:pt idx="259">
                  <c:v>244.78178368121442</c:v>
                </c:pt>
                <c:pt idx="260">
                  <c:v>245.73055028462997</c:v>
                </c:pt>
                <c:pt idx="261">
                  <c:v>246.67931688804555</c:v>
                </c:pt>
                <c:pt idx="262">
                  <c:v>247.6280834914611</c:v>
                </c:pt>
                <c:pt idx="263">
                  <c:v>248.57685009487665</c:v>
                </c:pt>
                <c:pt idx="264">
                  <c:v>249.52561669829223</c:v>
                </c:pt>
                <c:pt idx="265">
                  <c:v>250.4743833017078</c:v>
                </c:pt>
                <c:pt idx="266">
                  <c:v>251.42314990512332</c:v>
                </c:pt>
                <c:pt idx="267">
                  <c:v>252.37191650853893</c:v>
                </c:pt>
                <c:pt idx="268">
                  <c:v>253.32068311195448</c:v>
                </c:pt>
                <c:pt idx="269">
                  <c:v>254.26944971537</c:v>
                </c:pt>
                <c:pt idx="270">
                  <c:v>255.21821631878561</c:v>
                </c:pt>
                <c:pt idx="271">
                  <c:v>256.16698292220116</c:v>
                </c:pt>
                <c:pt idx="272">
                  <c:v>257.11574952561671</c:v>
                </c:pt>
                <c:pt idx="273">
                  <c:v>258.06451612903226</c:v>
                </c:pt>
                <c:pt idx="274">
                  <c:v>259.01328273244786</c:v>
                </c:pt>
                <c:pt idx="275">
                  <c:v>259.96204933586336</c:v>
                </c:pt>
                <c:pt idx="276">
                  <c:v>260.91081593927896</c:v>
                </c:pt>
                <c:pt idx="277">
                  <c:v>261.85958254269451</c:v>
                </c:pt>
                <c:pt idx="278">
                  <c:v>262.80834914611006</c:v>
                </c:pt>
                <c:pt idx="279">
                  <c:v>263.75711574952561</c:v>
                </c:pt>
                <c:pt idx="280">
                  <c:v>264.70588235294116</c:v>
                </c:pt>
                <c:pt idx="281">
                  <c:v>265.65464895635677</c:v>
                </c:pt>
                <c:pt idx="282">
                  <c:v>266.60341555977232</c:v>
                </c:pt>
                <c:pt idx="283">
                  <c:v>267.55218216318787</c:v>
                </c:pt>
                <c:pt idx="284">
                  <c:v>268.50094876660341</c:v>
                </c:pt>
                <c:pt idx="285">
                  <c:v>269.44971537001896</c:v>
                </c:pt>
                <c:pt idx="286">
                  <c:v>270.39848197343451</c:v>
                </c:pt>
                <c:pt idx="287">
                  <c:v>271.34724857685012</c:v>
                </c:pt>
                <c:pt idx="288">
                  <c:v>272.29601518026567</c:v>
                </c:pt>
                <c:pt idx="289">
                  <c:v>273.24478178368122</c:v>
                </c:pt>
                <c:pt idx="290">
                  <c:v>274.19354838709677</c:v>
                </c:pt>
                <c:pt idx="291">
                  <c:v>275.14231499051232</c:v>
                </c:pt>
                <c:pt idx="292">
                  <c:v>276.09108159392792</c:v>
                </c:pt>
                <c:pt idx="293">
                  <c:v>277.03984819734347</c:v>
                </c:pt>
                <c:pt idx="294">
                  <c:v>277.98861480075902</c:v>
                </c:pt>
                <c:pt idx="295">
                  <c:v>278.93738140417457</c:v>
                </c:pt>
                <c:pt idx="296">
                  <c:v>279.88614800759018</c:v>
                </c:pt>
                <c:pt idx="297">
                  <c:v>280.83491461100567</c:v>
                </c:pt>
                <c:pt idx="298">
                  <c:v>281.78368121442122</c:v>
                </c:pt>
                <c:pt idx="299">
                  <c:v>282.73244781783683</c:v>
                </c:pt>
                <c:pt idx="300">
                  <c:v>283.68121442125238</c:v>
                </c:pt>
                <c:pt idx="301">
                  <c:v>284.62998102466793</c:v>
                </c:pt>
                <c:pt idx="302">
                  <c:v>285.57874762808353</c:v>
                </c:pt>
                <c:pt idx="303">
                  <c:v>286.52751423149903</c:v>
                </c:pt>
                <c:pt idx="304">
                  <c:v>287.47628083491458</c:v>
                </c:pt>
                <c:pt idx="305">
                  <c:v>288.42504743833024</c:v>
                </c:pt>
                <c:pt idx="306">
                  <c:v>289.37381404174573</c:v>
                </c:pt>
                <c:pt idx="307">
                  <c:v>290.32258064516128</c:v>
                </c:pt>
                <c:pt idx="308">
                  <c:v>291.27134724857689</c:v>
                </c:pt>
                <c:pt idx="309">
                  <c:v>292.22011385199238</c:v>
                </c:pt>
                <c:pt idx="310">
                  <c:v>293.16888045540793</c:v>
                </c:pt>
                <c:pt idx="311">
                  <c:v>294.11764705882359</c:v>
                </c:pt>
                <c:pt idx="312">
                  <c:v>295.06641366223909</c:v>
                </c:pt>
                <c:pt idx="313">
                  <c:v>296.01518026565464</c:v>
                </c:pt>
                <c:pt idx="314">
                  <c:v>296.96394686907024</c:v>
                </c:pt>
                <c:pt idx="315">
                  <c:v>297.91271347248573</c:v>
                </c:pt>
                <c:pt idx="316">
                  <c:v>298.8614800759014</c:v>
                </c:pt>
                <c:pt idx="317">
                  <c:v>299.81024667931695</c:v>
                </c:pt>
                <c:pt idx="318">
                  <c:v>300.75901328273244</c:v>
                </c:pt>
                <c:pt idx="319">
                  <c:v>301.70777988614805</c:v>
                </c:pt>
                <c:pt idx="320">
                  <c:v>302.65654648956354</c:v>
                </c:pt>
                <c:pt idx="321">
                  <c:v>303.60531309297909</c:v>
                </c:pt>
                <c:pt idx="322">
                  <c:v>304.55407969639475</c:v>
                </c:pt>
                <c:pt idx="323">
                  <c:v>305.5028462998103</c:v>
                </c:pt>
                <c:pt idx="324">
                  <c:v>306.45161290322579</c:v>
                </c:pt>
                <c:pt idx="325">
                  <c:v>307.4003795066414</c:v>
                </c:pt>
                <c:pt idx="326">
                  <c:v>308.34914611005689</c:v>
                </c:pt>
                <c:pt idx="327">
                  <c:v>309.2979127134725</c:v>
                </c:pt>
                <c:pt idx="328">
                  <c:v>310.24667931688811</c:v>
                </c:pt>
                <c:pt idx="329">
                  <c:v>311.1954459203036</c:v>
                </c:pt>
                <c:pt idx="330">
                  <c:v>312.14421252371915</c:v>
                </c:pt>
                <c:pt idx="331">
                  <c:v>313.09297912713475</c:v>
                </c:pt>
                <c:pt idx="332">
                  <c:v>314.04174573055025</c:v>
                </c:pt>
                <c:pt idx="333">
                  <c:v>314.99051233396585</c:v>
                </c:pt>
                <c:pt idx="334">
                  <c:v>315.93927893738146</c:v>
                </c:pt>
                <c:pt idx="335">
                  <c:v>316.88804554079695</c:v>
                </c:pt>
                <c:pt idx="336">
                  <c:v>317.8368121442125</c:v>
                </c:pt>
                <c:pt idx="337">
                  <c:v>318.78557874762811</c:v>
                </c:pt>
                <c:pt idx="338">
                  <c:v>319.73434535104366</c:v>
                </c:pt>
                <c:pt idx="339">
                  <c:v>320.68311195445921</c:v>
                </c:pt>
                <c:pt idx="340">
                  <c:v>321.63187855787481</c:v>
                </c:pt>
                <c:pt idx="341">
                  <c:v>322.58064516129031</c:v>
                </c:pt>
                <c:pt idx="342">
                  <c:v>323.52941176470586</c:v>
                </c:pt>
                <c:pt idx="343">
                  <c:v>324.47817836812146</c:v>
                </c:pt>
                <c:pt idx="344">
                  <c:v>325.42694497153701</c:v>
                </c:pt>
                <c:pt idx="345">
                  <c:v>326.37571157495256</c:v>
                </c:pt>
                <c:pt idx="346">
                  <c:v>327.32447817836817</c:v>
                </c:pt>
                <c:pt idx="347">
                  <c:v>328.27324478178366</c:v>
                </c:pt>
                <c:pt idx="348">
                  <c:v>329.22201138519921</c:v>
                </c:pt>
                <c:pt idx="349">
                  <c:v>330.17077798861482</c:v>
                </c:pt>
                <c:pt idx="350">
                  <c:v>331.11954459203037</c:v>
                </c:pt>
                <c:pt idx="351">
                  <c:v>332.06831119544592</c:v>
                </c:pt>
                <c:pt idx="352">
                  <c:v>333.01707779886152</c:v>
                </c:pt>
                <c:pt idx="353">
                  <c:v>333.96584440227701</c:v>
                </c:pt>
                <c:pt idx="354">
                  <c:v>334.91461100569256</c:v>
                </c:pt>
                <c:pt idx="355">
                  <c:v>335.86337760910823</c:v>
                </c:pt>
                <c:pt idx="356">
                  <c:v>336.81214421252372</c:v>
                </c:pt>
                <c:pt idx="357">
                  <c:v>337.76091081593927</c:v>
                </c:pt>
                <c:pt idx="358">
                  <c:v>338.70967741935488</c:v>
                </c:pt>
                <c:pt idx="359">
                  <c:v>339.65844402277037</c:v>
                </c:pt>
                <c:pt idx="360">
                  <c:v>340.60721062618592</c:v>
                </c:pt>
                <c:pt idx="361">
                  <c:v>341.55597722960158</c:v>
                </c:pt>
                <c:pt idx="362">
                  <c:v>342.50474383301707</c:v>
                </c:pt>
                <c:pt idx="363">
                  <c:v>343.45351043643262</c:v>
                </c:pt>
                <c:pt idx="364">
                  <c:v>344.40227703984823</c:v>
                </c:pt>
                <c:pt idx="365">
                  <c:v>345.35104364326372</c:v>
                </c:pt>
                <c:pt idx="366">
                  <c:v>346.29981024667933</c:v>
                </c:pt>
                <c:pt idx="367">
                  <c:v>347.24857685009493</c:v>
                </c:pt>
                <c:pt idx="368">
                  <c:v>348.19734345351043</c:v>
                </c:pt>
                <c:pt idx="369">
                  <c:v>349.14611005692598</c:v>
                </c:pt>
                <c:pt idx="370">
                  <c:v>350.09487666034158</c:v>
                </c:pt>
                <c:pt idx="371">
                  <c:v>351.04364326375708</c:v>
                </c:pt>
                <c:pt idx="372">
                  <c:v>351.99240986717268</c:v>
                </c:pt>
                <c:pt idx="373">
                  <c:v>352.94117647058829</c:v>
                </c:pt>
                <c:pt idx="374">
                  <c:v>353.88994307400378</c:v>
                </c:pt>
                <c:pt idx="375">
                  <c:v>354.83870967741933</c:v>
                </c:pt>
                <c:pt idx="376">
                  <c:v>355.78747628083494</c:v>
                </c:pt>
                <c:pt idx="377">
                  <c:v>356.73624288425049</c:v>
                </c:pt>
                <c:pt idx="378">
                  <c:v>357.68500948766604</c:v>
                </c:pt>
                <c:pt idx="379">
                  <c:v>358.63377609108164</c:v>
                </c:pt>
                <c:pt idx="380">
                  <c:v>359.58254269449714</c:v>
                </c:pt>
                <c:pt idx="381">
                  <c:v>360.53130929791268</c:v>
                </c:pt>
                <c:pt idx="382">
                  <c:v>361.48007590132829</c:v>
                </c:pt>
                <c:pt idx="383">
                  <c:v>362.42884250474384</c:v>
                </c:pt>
                <c:pt idx="384">
                  <c:v>363.37760910815939</c:v>
                </c:pt>
                <c:pt idx="385">
                  <c:v>364.326375711575</c:v>
                </c:pt>
                <c:pt idx="386">
                  <c:v>365.27514231499049</c:v>
                </c:pt>
                <c:pt idx="387">
                  <c:v>366.2239089184061</c:v>
                </c:pt>
                <c:pt idx="388">
                  <c:v>367.17267552182165</c:v>
                </c:pt>
                <c:pt idx="389">
                  <c:v>368.12144212523719</c:v>
                </c:pt>
                <c:pt idx="390">
                  <c:v>369.0702087286528</c:v>
                </c:pt>
                <c:pt idx="391">
                  <c:v>370.01897533206835</c:v>
                </c:pt>
                <c:pt idx="392">
                  <c:v>370.96774193548384</c:v>
                </c:pt>
                <c:pt idx="393">
                  <c:v>371.91650853889945</c:v>
                </c:pt>
                <c:pt idx="394">
                  <c:v>372.86527514231506</c:v>
                </c:pt>
                <c:pt idx="395">
                  <c:v>373.81404174573055</c:v>
                </c:pt>
                <c:pt idx="396">
                  <c:v>374.76280834914616</c:v>
                </c:pt>
                <c:pt idx="397">
                  <c:v>375.7115749525617</c:v>
                </c:pt>
                <c:pt idx="398">
                  <c:v>376.6603415559772</c:v>
                </c:pt>
                <c:pt idx="399">
                  <c:v>377.6091081593928</c:v>
                </c:pt>
                <c:pt idx="400">
                  <c:v>378.55787476280841</c:v>
                </c:pt>
                <c:pt idx="401">
                  <c:v>379.5066413662239</c:v>
                </c:pt>
                <c:pt idx="402">
                  <c:v>380.45540796963951</c:v>
                </c:pt>
                <c:pt idx="403">
                  <c:v>381.404174573055</c:v>
                </c:pt>
                <c:pt idx="404">
                  <c:v>382.35294117647055</c:v>
                </c:pt>
                <c:pt idx="405">
                  <c:v>383.30170777988621</c:v>
                </c:pt>
                <c:pt idx="406">
                  <c:v>384.25047438330176</c:v>
                </c:pt>
                <c:pt idx="407">
                  <c:v>385.19924098671726</c:v>
                </c:pt>
                <c:pt idx="408">
                  <c:v>386.14800759013286</c:v>
                </c:pt>
                <c:pt idx="409">
                  <c:v>387.09677419354836</c:v>
                </c:pt>
                <c:pt idx="410">
                  <c:v>388.04554079696391</c:v>
                </c:pt>
                <c:pt idx="411">
                  <c:v>388.99430740037957</c:v>
                </c:pt>
                <c:pt idx="412">
                  <c:v>389.94307400379512</c:v>
                </c:pt>
                <c:pt idx="413">
                  <c:v>390.89184060721061</c:v>
                </c:pt>
                <c:pt idx="414">
                  <c:v>391.84060721062622</c:v>
                </c:pt>
                <c:pt idx="415">
                  <c:v>392.78937381404171</c:v>
                </c:pt>
                <c:pt idx="416">
                  <c:v>393.73814041745732</c:v>
                </c:pt>
                <c:pt idx="417">
                  <c:v>394.68690702087292</c:v>
                </c:pt>
                <c:pt idx="418">
                  <c:v>395.63567362428842</c:v>
                </c:pt>
                <c:pt idx="419">
                  <c:v>396.58444022770396</c:v>
                </c:pt>
                <c:pt idx="420">
                  <c:v>397.53320683111957</c:v>
                </c:pt>
                <c:pt idx="421">
                  <c:v>398.48197343453506</c:v>
                </c:pt>
                <c:pt idx="422">
                  <c:v>399.43074003795067</c:v>
                </c:pt>
                <c:pt idx="423">
                  <c:v>400.37950664136628</c:v>
                </c:pt>
                <c:pt idx="424">
                  <c:v>401.32827324478177</c:v>
                </c:pt>
                <c:pt idx="425">
                  <c:v>402.27703984819732</c:v>
                </c:pt>
                <c:pt idx="426">
                  <c:v>403.22580645161293</c:v>
                </c:pt>
                <c:pt idx="427">
                  <c:v>404.17457305502842</c:v>
                </c:pt>
                <c:pt idx="428">
                  <c:v>405.12333965844402</c:v>
                </c:pt>
                <c:pt idx="429">
                  <c:v>406.07210626185963</c:v>
                </c:pt>
                <c:pt idx="430">
                  <c:v>407.02087286527512</c:v>
                </c:pt>
                <c:pt idx="431">
                  <c:v>407.96963946869067</c:v>
                </c:pt>
                <c:pt idx="432">
                  <c:v>408.91840607210628</c:v>
                </c:pt>
                <c:pt idx="433">
                  <c:v>409.86717267552183</c:v>
                </c:pt>
                <c:pt idx="434">
                  <c:v>410.81593927893738</c:v>
                </c:pt>
                <c:pt idx="435">
                  <c:v>411.76470588235298</c:v>
                </c:pt>
                <c:pt idx="436">
                  <c:v>412.71347248576848</c:v>
                </c:pt>
                <c:pt idx="437">
                  <c:v>413.66223908918403</c:v>
                </c:pt>
                <c:pt idx="438">
                  <c:v>414.61100569259963</c:v>
                </c:pt>
                <c:pt idx="439">
                  <c:v>415.55977229601518</c:v>
                </c:pt>
                <c:pt idx="440">
                  <c:v>416.50853889943073</c:v>
                </c:pt>
                <c:pt idx="441">
                  <c:v>417.45730550284634</c:v>
                </c:pt>
                <c:pt idx="442">
                  <c:v>418.40607210626183</c:v>
                </c:pt>
                <c:pt idx="443">
                  <c:v>419.35483870967738</c:v>
                </c:pt>
                <c:pt idx="444">
                  <c:v>420.30360531309304</c:v>
                </c:pt>
                <c:pt idx="445">
                  <c:v>421.25237191650854</c:v>
                </c:pt>
                <c:pt idx="446">
                  <c:v>422.20113851992409</c:v>
                </c:pt>
                <c:pt idx="447">
                  <c:v>423.14990512333969</c:v>
                </c:pt>
                <c:pt idx="448">
                  <c:v>424.09867172675519</c:v>
                </c:pt>
                <c:pt idx="449">
                  <c:v>425.04743833017073</c:v>
                </c:pt>
                <c:pt idx="450">
                  <c:v>425.9962049335864</c:v>
                </c:pt>
                <c:pt idx="451">
                  <c:v>426.94497153700189</c:v>
                </c:pt>
                <c:pt idx="452">
                  <c:v>427.89373814041744</c:v>
                </c:pt>
                <c:pt idx="453">
                  <c:v>428.84250474383305</c:v>
                </c:pt>
                <c:pt idx="454">
                  <c:v>429.79127134724854</c:v>
                </c:pt>
                <c:pt idx="455">
                  <c:v>430.74003795066415</c:v>
                </c:pt>
                <c:pt idx="456">
                  <c:v>431.68880455407975</c:v>
                </c:pt>
                <c:pt idx="457">
                  <c:v>432.63757115749524</c:v>
                </c:pt>
                <c:pt idx="458">
                  <c:v>433.58633776091085</c:v>
                </c:pt>
                <c:pt idx="459">
                  <c:v>434.5351043643264</c:v>
                </c:pt>
                <c:pt idx="460">
                  <c:v>435.48387096774189</c:v>
                </c:pt>
                <c:pt idx="461">
                  <c:v>436.43263757115756</c:v>
                </c:pt>
                <c:pt idx="462">
                  <c:v>437.38140417457311</c:v>
                </c:pt>
                <c:pt idx="463">
                  <c:v>438.3301707779886</c:v>
                </c:pt>
                <c:pt idx="464">
                  <c:v>439.27893738140421</c:v>
                </c:pt>
                <c:pt idx="465">
                  <c:v>440.22770398481975</c:v>
                </c:pt>
                <c:pt idx="466">
                  <c:v>441.1764705882353</c:v>
                </c:pt>
                <c:pt idx="467">
                  <c:v>442.12523719165091</c:v>
                </c:pt>
                <c:pt idx="468">
                  <c:v>443.07400379506646</c:v>
                </c:pt>
                <c:pt idx="469">
                  <c:v>444.02277039848195</c:v>
                </c:pt>
                <c:pt idx="470">
                  <c:v>444.97153700189756</c:v>
                </c:pt>
                <c:pt idx="471">
                  <c:v>445.92030360531311</c:v>
                </c:pt>
                <c:pt idx="472">
                  <c:v>446.86907020872866</c:v>
                </c:pt>
                <c:pt idx="473">
                  <c:v>447.81783681214426</c:v>
                </c:pt>
                <c:pt idx="474">
                  <c:v>448.76660341555981</c:v>
                </c:pt>
                <c:pt idx="475">
                  <c:v>449.71537001897531</c:v>
                </c:pt>
                <c:pt idx="476">
                  <c:v>450.66413662239091</c:v>
                </c:pt>
                <c:pt idx="477">
                  <c:v>451.61290322580646</c:v>
                </c:pt>
                <c:pt idx="478">
                  <c:v>452.56166982922201</c:v>
                </c:pt>
                <c:pt idx="479">
                  <c:v>453.51043643263762</c:v>
                </c:pt>
                <c:pt idx="480">
                  <c:v>454.45920303605317</c:v>
                </c:pt>
                <c:pt idx="481">
                  <c:v>455.40796963946866</c:v>
                </c:pt>
                <c:pt idx="482">
                  <c:v>456.35673624288427</c:v>
                </c:pt>
                <c:pt idx="483">
                  <c:v>457.30550284629987</c:v>
                </c:pt>
                <c:pt idx="484">
                  <c:v>458.25426944971537</c:v>
                </c:pt>
                <c:pt idx="485">
                  <c:v>459.20303605313097</c:v>
                </c:pt>
                <c:pt idx="486">
                  <c:v>460.15180265654652</c:v>
                </c:pt>
                <c:pt idx="487">
                  <c:v>461.10056925996201</c:v>
                </c:pt>
                <c:pt idx="488">
                  <c:v>462.04933586337762</c:v>
                </c:pt>
                <c:pt idx="489">
                  <c:v>462.99810246679323</c:v>
                </c:pt>
                <c:pt idx="490">
                  <c:v>463.94686907020872</c:v>
                </c:pt>
                <c:pt idx="491">
                  <c:v>464.89563567362433</c:v>
                </c:pt>
                <c:pt idx="492">
                  <c:v>465.84440227703982</c:v>
                </c:pt>
                <c:pt idx="493">
                  <c:v>466.79316888045537</c:v>
                </c:pt>
                <c:pt idx="494">
                  <c:v>467.74193548387103</c:v>
                </c:pt>
                <c:pt idx="495">
                  <c:v>468.69070208728658</c:v>
                </c:pt>
                <c:pt idx="496">
                  <c:v>469.63946869070207</c:v>
                </c:pt>
                <c:pt idx="497">
                  <c:v>470.58823529411768</c:v>
                </c:pt>
                <c:pt idx="498">
                  <c:v>471.53700189753317</c:v>
                </c:pt>
                <c:pt idx="499">
                  <c:v>472.48576850094872</c:v>
                </c:pt>
                <c:pt idx="500">
                  <c:v>473.43453510436439</c:v>
                </c:pt>
                <c:pt idx="501">
                  <c:v>474.38330170777988</c:v>
                </c:pt>
                <c:pt idx="502">
                  <c:v>475.33206831119543</c:v>
                </c:pt>
                <c:pt idx="503">
                  <c:v>476.28083491461103</c:v>
                </c:pt>
                <c:pt idx="504">
                  <c:v>477.22960151802653</c:v>
                </c:pt>
                <c:pt idx="505">
                  <c:v>478.17836812144213</c:v>
                </c:pt>
                <c:pt idx="506">
                  <c:v>479.12713472485774</c:v>
                </c:pt>
                <c:pt idx="507">
                  <c:v>480.07590132827323</c:v>
                </c:pt>
                <c:pt idx="508">
                  <c:v>481.02466793168878</c:v>
                </c:pt>
                <c:pt idx="509">
                  <c:v>481.97343453510439</c:v>
                </c:pt>
                <c:pt idx="510">
                  <c:v>482.92220113851988</c:v>
                </c:pt>
                <c:pt idx="511">
                  <c:v>483.87096774193549</c:v>
                </c:pt>
                <c:pt idx="512">
                  <c:v>484.81973434535109</c:v>
                </c:pt>
                <c:pt idx="513">
                  <c:v>485.76850094876659</c:v>
                </c:pt>
                <c:pt idx="514">
                  <c:v>486.71726755218214</c:v>
                </c:pt>
                <c:pt idx="515">
                  <c:v>487.66603415559774</c:v>
                </c:pt>
                <c:pt idx="516">
                  <c:v>488.61480075901324</c:v>
                </c:pt>
                <c:pt idx="517">
                  <c:v>489.56356736242884</c:v>
                </c:pt>
                <c:pt idx="518">
                  <c:v>490.51233396584445</c:v>
                </c:pt>
                <c:pt idx="519">
                  <c:v>491.46110056925994</c:v>
                </c:pt>
                <c:pt idx="520">
                  <c:v>492.40986717267549</c:v>
                </c:pt>
                <c:pt idx="521">
                  <c:v>493.3586337760911</c:v>
                </c:pt>
                <c:pt idx="522">
                  <c:v>494.30740037950665</c:v>
                </c:pt>
                <c:pt idx="523">
                  <c:v>495.2561669829222</c:v>
                </c:pt>
                <c:pt idx="524">
                  <c:v>496.2049335863378</c:v>
                </c:pt>
                <c:pt idx="525">
                  <c:v>497.15370018975329</c:v>
                </c:pt>
                <c:pt idx="526">
                  <c:v>498.1024667931689</c:v>
                </c:pt>
                <c:pt idx="527">
                  <c:v>499.05123339658445</c:v>
                </c:pt>
                <c:pt idx="528">
                  <c:v>500</c:v>
                </c:pt>
                <c:pt idx="529">
                  <c:v>500.94876660341561</c:v>
                </c:pt>
                <c:pt idx="530">
                  <c:v>501.89753320683116</c:v>
                </c:pt>
                <c:pt idx="531">
                  <c:v>502.84629981024665</c:v>
                </c:pt>
                <c:pt idx="532">
                  <c:v>503.79506641366225</c:v>
                </c:pt>
                <c:pt idx="533">
                  <c:v>504.74383301707786</c:v>
                </c:pt>
                <c:pt idx="534">
                  <c:v>505.69259962049335</c:v>
                </c:pt>
                <c:pt idx="535">
                  <c:v>506.64136622390896</c:v>
                </c:pt>
                <c:pt idx="536">
                  <c:v>507.59013282732451</c:v>
                </c:pt>
                <c:pt idx="537">
                  <c:v>508.53889943074</c:v>
                </c:pt>
                <c:pt idx="538">
                  <c:v>509.48766603415561</c:v>
                </c:pt>
                <c:pt idx="539">
                  <c:v>510.43643263757122</c:v>
                </c:pt>
                <c:pt idx="540">
                  <c:v>511.38519924098671</c:v>
                </c:pt>
                <c:pt idx="541">
                  <c:v>512.33396584440231</c:v>
                </c:pt>
                <c:pt idx="542">
                  <c:v>513.28273244781781</c:v>
                </c:pt>
                <c:pt idx="543">
                  <c:v>514.23149905123341</c:v>
                </c:pt>
                <c:pt idx="544">
                  <c:v>515.18026565464891</c:v>
                </c:pt>
                <c:pt idx="545">
                  <c:v>516.12903225806451</c:v>
                </c:pt>
                <c:pt idx="546">
                  <c:v>517.07779886148012</c:v>
                </c:pt>
                <c:pt idx="547">
                  <c:v>518.02656546489573</c:v>
                </c:pt>
                <c:pt idx="548">
                  <c:v>518.97533206831122</c:v>
                </c:pt>
                <c:pt idx="549">
                  <c:v>519.92409867172671</c:v>
                </c:pt>
                <c:pt idx="550">
                  <c:v>520.87286527514243</c:v>
                </c:pt>
                <c:pt idx="551">
                  <c:v>521.82163187855792</c:v>
                </c:pt>
                <c:pt idx="552">
                  <c:v>522.77039848197342</c:v>
                </c:pt>
                <c:pt idx="553">
                  <c:v>523.71916508538902</c:v>
                </c:pt>
                <c:pt idx="554">
                  <c:v>524.66793168880452</c:v>
                </c:pt>
                <c:pt idx="555">
                  <c:v>525.61669829222012</c:v>
                </c:pt>
                <c:pt idx="556">
                  <c:v>526.56546489563573</c:v>
                </c:pt>
                <c:pt idx="557">
                  <c:v>527.51423149905122</c:v>
                </c:pt>
                <c:pt idx="558">
                  <c:v>528.46299810246683</c:v>
                </c:pt>
                <c:pt idx="559">
                  <c:v>529.41176470588232</c:v>
                </c:pt>
                <c:pt idx="560">
                  <c:v>530.36053130929793</c:v>
                </c:pt>
                <c:pt idx="561">
                  <c:v>531.30929791271353</c:v>
                </c:pt>
                <c:pt idx="562">
                  <c:v>532.25806451612902</c:v>
                </c:pt>
                <c:pt idx="563">
                  <c:v>533.20683111954463</c:v>
                </c:pt>
                <c:pt idx="564">
                  <c:v>534.15559772296012</c:v>
                </c:pt>
                <c:pt idx="565">
                  <c:v>535.10436432637573</c:v>
                </c:pt>
                <c:pt idx="566">
                  <c:v>536.05313092979122</c:v>
                </c:pt>
                <c:pt idx="567">
                  <c:v>537.00189753320683</c:v>
                </c:pt>
                <c:pt idx="568">
                  <c:v>537.95066413662244</c:v>
                </c:pt>
                <c:pt idx="569">
                  <c:v>538.89943074003793</c:v>
                </c:pt>
                <c:pt idx="570">
                  <c:v>539.84819734345353</c:v>
                </c:pt>
                <c:pt idx="571">
                  <c:v>540.79696394686903</c:v>
                </c:pt>
                <c:pt idx="572">
                  <c:v>541.74573055028463</c:v>
                </c:pt>
                <c:pt idx="573">
                  <c:v>542.69449715370024</c:v>
                </c:pt>
                <c:pt idx="574">
                  <c:v>543.64326375711573</c:v>
                </c:pt>
                <c:pt idx="575">
                  <c:v>544.59203036053134</c:v>
                </c:pt>
                <c:pt idx="576">
                  <c:v>545.54079696394683</c:v>
                </c:pt>
                <c:pt idx="577">
                  <c:v>546.48956356736244</c:v>
                </c:pt>
                <c:pt idx="578">
                  <c:v>547.43833017077804</c:v>
                </c:pt>
                <c:pt idx="579">
                  <c:v>548.38709677419354</c:v>
                </c:pt>
                <c:pt idx="580">
                  <c:v>549.33586337760914</c:v>
                </c:pt>
                <c:pt idx="581">
                  <c:v>550.28462998102464</c:v>
                </c:pt>
                <c:pt idx="582">
                  <c:v>551.23339658444024</c:v>
                </c:pt>
                <c:pt idx="583">
                  <c:v>552.18216318785585</c:v>
                </c:pt>
                <c:pt idx="584">
                  <c:v>553.13092979127134</c:v>
                </c:pt>
                <c:pt idx="585">
                  <c:v>554.07969639468695</c:v>
                </c:pt>
                <c:pt idx="586">
                  <c:v>555.02846299810244</c:v>
                </c:pt>
                <c:pt idx="587">
                  <c:v>555.97722960151805</c:v>
                </c:pt>
                <c:pt idx="588">
                  <c:v>556.92599620493354</c:v>
                </c:pt>
                <c:pt idx="589">
                  <c:v>557.87476280834915</c:v>
                </c:pt>
                <c:pt idx="590">
                  <c:v>558.82352941176475</c:v>
                </c:pt>
                <c:pt idx="591">
                  <c:v>559.77229601518036</c:v>
                </c:pt>
                <c:pt idx="592">
                  <c:v>560.72106261859585</c:v>
                </c:pt>
                <c:pt idx="593">
                  <c:v>561.66982922201134</c:v>
                </c:pt>
                <c:pt idx="594">
                  <c:v>562.61859582542695</c:v>
                </c:pt>
                <c:pt idx="595">
                  <c:v>563.56736242884244</c:v>
                </c:pt>
                <c:pt idx="596">
                  <c:v>564.51612903225816</c:v>
                </c:pt>
                <c:pt idx="597">
                  <c:v>565.46489563567366</c:v>
                </c:pt>
                <c:pt idx="598">
                  <c:v>566.41366223908915</c:v>
                </c:pt>
                <c:pt idx="599">
                  <c:v>567.36242884250476</c:v>
                </c:pt>
                <c:pt idx="600">
                  <c:v>568.31119544592025</c:v>
                </c:pt>
                <c:pt idx="601">
                  <c:v>569.25996204933585</c:v>
                </c:pt>
                <c:pt idx="602">
                  <c:v>570.20872865275146</c:v>
                </c:pt>
                <c:pt idx="603">
                  <c:v>571.15749525616707</c:v>
                </c:pt>
                <c:pt idx="604">
                  <c:v>572.10626185958256</c:v>
                </c:pt>
                <c:pt idx="605">
                  <c:v>573.05502846299805</c:v>
                </c:pt>
                <c:pt idx="606">
                  <c:v>574.00379506641366</c:v>
                </c:pt>
                <c:pt idx="607">
                  <c:v>574.95256166982915</c:v>
                </c:pt>
                <c:pt idx="608">
                  <c:v>575.90132827324487</c:v>
                </c:pt>
                <c:pt idx="609">
                  <c:v>576.85009487666048</c:v>
                </c:pt>
                <c:pt idx="610">
                  <c:v>577.79886148007586</c:v>
                </c:pt>
                <c:pt idx="611">
                  <c:v>578.74762808349146</c:v>
                </c:pt>
                <c:pt idx="612">
                  <c:v>579.69639468690696</c:v>
                </c:pt>
                <c:pt idx="613">
                  <c:v>580.64516129032256</c:v>
                </c:pt>
                <c:pt idx="614">
                  <c:v>581.59392789373828</c:v>
                </c:pt>
                <c:pt idx="615">
                  <c:v>582.54269449715378</c:v>
                </c:pt>
                <c:pt idx="616">
                  <c:v>583.49146110056927</c:v>
                </c:pt>
                <c:pt idx="617">
                  <c:v>584.44022770398476</c:v>
                </c:pt>
                <c:pt idx="618">
                  <c:v>585.38899430740037</c:v>
                </c:pt>
                <c:pt idx="619">
                  <c:v>586.33776091081586</c:v>
                </c:pt>
                <c:pt idx="620">
                  <c:v>587.28652751423158</c:v>
                </c:pt>
                <c:pt idx="621">
                  <c:v>588.23529411764719</c:v>
                </c:pt>
                <c:pt idx="622">
                  <c:v>589.18406072106256</c:v>
                </c:pt>
                <c:pt idx="623">
                  <c:v>590.13282732447817</c:v>
                </c:pt>
                <c:pt idx="624">
                  <c:v>591.08159392789366</c:v>
                </c:pt>
                <c:pt idx="625">
                  <c:v>592.03036053130927</c:v>
                </c:pt>
                <c:pt idx="626">
                  <c:v>592.97912713472499</c:v>
                </c:pt>
                <c:pt idx="627">
                  <c:v>593.92789373814048</c:v>
                </c:pt>
                <c:pt idx="628">
                  <c:v>594.87666034155598</c:v>
                </c:pt>
                <c:pt idx="629">
                  <c:v>595.82542694497147</c:v>
                </c:pt>
                <c:pt idx="630">
                  <c:v>596.77419354838707</c:v>
                </c:pt>
                <c:pt idx="631">
                  <c:v>597.72296015180279</c:v>
                </c:pt>
                <c:pt idx="632">
                  <c:v>598.67172675521829</c:v>
                </c:pt>
                <c:pt idx="633">
                  <c:v>599.62049335863389</c:v>
                </c:pt>
                <c:pt idx="634">
                  <c:v>600.56925996204927</c:v>
                </c:pt>
                <c:pt idx="635">
                  <c:v>601.51802656546488</c:v>
                </c:pt>
                <c:pt idx="636">
                  <c:v>602.46679316888049</c:v>
                </c:pt>
                <c:pt idx="637">
                  <c:v>603.41555977229609</c:v>
                </c:pt>
                <c:pt idx="638">
                  <c:v>604.3643263757117</c:v>
                </c:pt>
                <c:pt idx="639">
                  <c:v>605.31309297912708</c:v>
                </c:pt>
                <c:pt idx="640">
                  <c:v>606.26185958254268</c:v>
                </c:pt>
                <c:pt idx="641">
                  <c:v>607.21062618595818</c:v>
                </c:pt>
                <c:pt idx="642">
                  <c:v>608.15939278937378</c:v>
                </c:pt>
                <c:pt idx="643">
                  <c:v>609.1081593927895</c:v>
                </c:pt>
                <c:pt idx="644">
                  <c:v>610.056925996205</c:v>
                </c:pt>
                <c:pt idx="645">
                  <c:v>611.0056925996206</c:v>
                </c:pt>
                <c:pt idx="646">
                  <c:v>611.95445920303598</c:v>
                </c:pt>
                <c:pt idx="647">
                  <c:v>612.90322580645159</c:v>
                </c:pt>
                <c:pt idx="648">
                  <c:v>613.85199240986719</c:v>
                </c:pt>
                <c:pt idx="649">
                  <c:v>614.8007590132828</c:v>
                </c:pt>
                <c:pt idx="650">
                  <c:v>615.74952561669841</c:v>
                </c:pt>
                <c:pt idx="651">
                  <c:v>616.69829222011379</c:v>
                </c:pt>
                <c:pt idx="652">
                  <c:v>617.64705882352939</c:v>
                </c:pt>
                <c:pt idx="653">
                  <c:v>618.595825426945</c:v>
                </c:pt>
                <c:pt idx="654">
                  <c:v>619.54459203036049</c:v>
                </c:pt>
                <c:pt idx="655">
                  <c:v>620.49335863377621</c:v>
                </c:pt>
                <c:pt idx="656">
                  <c:v>621.4421252371917</c:v>
                </c:pt>
                <c:pt idx="657">
                  <c:v>622.3908918406072</c:v>
                </c:pt>
                <c:pt idx="658">
                  <c:v>623.33965844402269</c:v>
                </c:pt>
                <c:pt idx="659">
                  <c:v>624.2884250474383</c:v>
                </c:pt>
                <c:pt idx="660">
                  <c:v>625.2371916508539</c:v>
                </c:pt>
                <c:pt idx="661">
                  <c:v>626.18595825426951</c:v>
                </c:pt>
                <c:pt idx="662">
                  <c:v>627.13472485768511</c:v>
                </c:pt>
                <c:pt idx="663">
                  <c:v>628.08349146110049</c:v>
                </c:pt>
                <c:pt idx="664">
                  <c:v>629.0322580645161</c:v>
                </c:pt>
                <c:pt idx="665">
                  <c:v>629.98102466793171</c:v>
                </c:pt>
                <c:pt idx="666">
                  <c:v>630.9297912713472</c:v>
                </c:pt>
                <c:pt idx="667">
                  <c:v>631.87855787476292</c:v>
                </c:pt>
                <c:pt idx="668">
                  <c:v>632.82732447817841</c:v>
                </c:pt>
                <c:pt idx="669">
                  <c:v>633.7760910815939</c:v>
                </c:pt>
                <c:pt idx="670">
                  <c:v>634.72485768500951</c:v>
                </c:pt>
                <c:pt idx="671">
                  <c:v>635.673624288425</c:v>
                </c:pt>
                <c:pt idx="672">
                  <c:v>636.62239089184061</c:v>
                </c:pt>
                <c:pt idx="673">
                  <c:v>637.57115749525622</c:v>
                </c:pt>
                <c:pt idx="674">
                  <c:v>638.51992409867182</c:v>
                </c:pt>
                <c:pt idx="675">
                  <c:v>639.46869070208732</c:v>
                </c:pt>
                <c:pt idx="676">
                  <c:v>640.41745730550281</c:v>
                </c:pt>
                <c:pt idx="677">
                  <c:v>641.36622390891841</c:v>
                </c:pt>
                <c:pt idx="678">
                  <c:v>642.31499051233391</c:v>
                </c:pt>
                <c:pt idx="679">
                  <c:v>643.26375711574963</c:v>
                </c:pt>
                <c:pt idx="680">
                  <c:v>644.21252371916512</c:v>
                </c:pt>
                <c:pt idx="681">
                  <c:v>645.16129032258061</c:v>
                </c:pt>
                <c:pt idx="682">
                  <c:v>646.11005692599622</c:v>
                </c:pt>
                <c:pt idx="683">
                  <c:v>647.05882352941171</c:v>
                </c:pt>
                <c:pt idx="684">
                  <c:v>648.00759013282732</c:v>
                </c:pt>
                <c:pt idx="685">
                  <c:v>648.95635673624292</c:v>
                </c:pt>
                <c:pt idx="686">
                  <c:v>649.90512333965853</c:v>
                </c:pt>
                <c:pt idx="687">
                  <c:v>650.85388994307402</c:v>
                </c:pt>
                <c:pt idx="688">
                  <c:v>651.80265654648952</c:v>
                </c:pt>
                <c:pt idx="689">
                  <c:v>652.75142314990512</c:v>
                </c:pt>
                <c:pt idx="690">
                  <c:v>653.70018975332061</c:v>
                </c:pt>
                <c:pt idx="691">
                  <c:v>654.64895635673633</c:v>
                </c:pt>
                <c:pt idx="692">
                  <c:v>655.59772296015194</c:v>
                </c:pt>
                <c:pt idx="693">
                  <c:v>656.54648956356732</c:v>
                </c:pt>
                <c:pt idx="694">
                  <c:v>657.49525616698293</c:v>
                </c:pt>
                <c:pt idx="695">
                  <c:v>658.44402277039842</c:v>
                </c:pt>
                <c:pt idx="696">
                  <c:v>659.39278937381403</c:v>
                </c:pt>
                <c:pt idx="697">
                  <c:v>660.34155597722963</c:v>
                </c:pt>
                <c:pt idx="698">
                  <c:v>661.29032258064524</c:v>
                </c:pt>
                <c:pt idx="699">
                  <c:v>662.23908918406073</c:v>
                </c:pt>
                <c:pt idx="700">
                  <c:v>663.18785578747622</c:v>
                </c:pt>
                <c:pt idx="701">
                  <c:v>664.13662239089183</c:v>
                </c:pt>
                <c:pt idx="702">
                  <c:v>665.08538899430744</c:v>
                </c:pt>
                <c:pt idx="703">
                  <c:v>666.03415559772304</c:v>
                </c:pt>
                <c:pt idx="704">
                  <c:v>666.98292220113865</c:v>
                </c:pt>
                <c:pt idx="705">
                  <c:v>667.93168880455403</c:v>
                </c:pt>
                <c:pt idx="706">
                  <c:v>668.88045540796963</c:v>
                </c:pt>
                <c:pt idx="707">
                  <c:v>669.82922201138513</c:v>
                </c:pt>
                <c:pt idx="708">
                  <c:v>670.77798861480085</c:v>
                </c:pt>
                <c:pt idx="709">
                  <c:v>671.72675521821645</c:v>
                </c:pt>
                <c:pt idx="710">
                  <c:v>672.67552182163195</c:v>
                </c:pt>
                <c:pt idx="711">
                  <c:v>673.62428842504744</c:v>
                </c:pt>
                <c:pt idx="712">
                  <c:v>674.57305502846293</c:v>
                </c:pt>
                <c:pt idx="713">
                  <c:v>675.52182163187854</c:v>
                </c:pt>
                <c:pt idx="714">
                  <c:v>676.47058823529426</c:v>
                </c:pt>
                <c:pt idx="715">
                  <c:v>677.41935483870975</c:v>
                </c:pt>
                <c:pt idx="716">
                  <c:v>678.36812144212536</c:v>
                </c:pt>
                <c:pt idx="717">
                  <c:v>679.31688804554074</c:v>
                </c:pt>
                <c:pt idx="718">
                  <c:v>680.26565464895634</c:v>
                </c:pt>
                <c:pt idx="719">
                  <c:v>681.21442125237184</c:v>
                </c:pt>
                <c:pt idx="720">
                  <c:v>682.16318785578756</c:v>
                </c:pt>
                <c:pt idx="721">
                  <c:v>683.11195445920316</c:v>
                </c:pt>
                <c:pt idx="722">
                  <c:v>684.06072106261854</c:v>
                </c:pt>
                <c:pt idx="723">
                  <c:v>685.00948766603415</c:v>
                </c:pt>
                <c:pt idx="724">
                  <c:v>685.95825426944964</c:v>
                </c:pt>
                <c:pt idx="725">
                  <c:v>686.90702087286525</c:v>
                </c:pt>
                <c:pt idx="726">
                  <c:v>687.85578747628097</c:v>
                </c:pt>
                <c:pt idx="727">
                  <c:v>688.80455407969646</c:v>
                </c:pt>
                <c:pt idx="728">
                  <c:v>689.75332068311207</c:v>
                </c:pt>
                <c:pt idx="729">
                  <c:v>690.70208728652744</c:v>
                </c:pt>
                <c:pt idx="730">
                  <c:v>691.65085388994305</c:v>
                </c:pt>
                <c:pt idx="731">
                  <c:v>692.59962049335866</c:v>
                </c:pt>
                <c:pt idx="732">
                  <c:v>693.54838709677426</c:v>
                </c:pt>
                <c:pt idx="733">
                  <c:v>694.49715370018987</c:v>
                </c:pt>
                <c:pt idx="734">
                  <c:v>695.44592030360525</c:v>
                </c:pt>
                <c:pt idx="735">
                  <c:v>696.39468690702085</c:v>
                </c:pt>
                <c:pt idx="736">
                  <c:v>697.34345351043646</c:v>
                </c:pt>
                <c:pt idx="737">
                  <c:v>698.29222011385195</c:v>
                </c:pt>
                <c:pt idx="738">
                  <c:v>699.24098671726767</c:v>
                </c:pt>
                <c:pt idx="739">
                  <c:v>700.18975332068317</c:v>
                </c:pt>
                <c:pt idx="740">
                  <c:v>701.13851992409866</c:v>
                </c:pt>
                <c:pt idx="741">
                  <c:v>702.08728652751415</c:v>
                </c:pt>
                <c:pt idx="742">
                  <c:v>703.03605313092976</c:v>
                </c:pt>
                <c:pt idx="743">
                  <c:v>703.98481973434536</c:v>
                </c:pt>
                <c:pt idx="744">
                  <c:v>704.93358633776097</c:v>
                </c:pt>
                <c:pt idx="745">
                  <c:v>705.88235294117658</c:v>
                </c:pt>
                <c:pt idx="746">
                  <c:v>706.83111954459196</c:v>
                </c:pt>
                <c:pt idx="747">
                  <c:v>707.77988614800756</c:v>
                </c:pt>
                <c:pt idx="748">
                  <c:v>708.72865275142317</c:v>
                </c:pt>
                <c:pt idx="749">
                  <c:v>709.67741935483866</c:v>
                </c:pt>
                <c:pt idx="750">
                  <c:v>710.62618595825438</c:v>
                </c:pt>
                <c:pt idx="751">
                  <c:v>711.57495256166987</c:v>
                </c:pt>
                <c:pt idx="752">
                  <c:v>712.52371916508537</c:v>
                </c:pt>
                <c:pt idx="753">
                  <c:v>713.47248576850097</c:v>
                </c:pt>
                <c:pt idx="754">
                  <c:v>714.42125237191647</c:v>
                </c:pt>
                <c:pt idx="755">
                  <c:v>715.37001897533207</c:v>
                </c:pt>
                <c:pt idx="756">
                  <c:v>716.31878557874768</c:v>
                </c:pt>
                <c:pt idx="757">
                  <c:v>717.26755218216329</c:v>
                </c:pt>
                <c:pt idx="758">
                  <c:v>718.21631878557866</c:v>
                </c:pt>
                <c:pt idx="759">
                  <c:v>719.16508538899427</c:v>
                </c:pt>
                <c:pt idx="760">
                  <c:v>720.11385199240988</c:v>
                </c:pt>
                <c:pt idx="761">
                  <c:v>721.06261859582537</c:v>
                </c:pt>
                <c:pt idx="762">
                  <c:v>722.01138519924109</c:v>
                </c:pt>
                <c:pt idx="763">
                  <c:v>722.96015180265658</c:v>
                </c:pt>
                <c:pt idx="764">
                  <c:v>723.90891840607208</c:v>
                </c:pt>
                <c:pt idx="765">
                  <c:v>724.85768500948768</c:v>
                </c:pt>
                <c:pt idx="766">
                  <c:v>725.80645161290317</c:v>
                </c:pt>
                <c:pt idx="767">
                  <c:v>726.75521821631878</c:v>
                </c:pt>
                <c:pt idx="768">
                  <c:v>727.70398481973439</c:v>
                </c:pt>
                <c:pt idx="769">
                  <c:v>728.65275142314999</c:v>
                </c:pt>
                <c:pt idx="770">
                  <c:v>729.60151802656549</c:v>
                </c:pt>
                <c:pt idx="771">
                  <c:v>730.55028462998098</c:v>
                </c:pt>
                <c:pt idx="772">
                  <c:v>731.49905123339659</c:v>
                </c:pt>
                <c:pt idx="773">
                  <c:v>732.44781783681219</c:v>
                </c:pt>
                <c:pt idx="774">
                  <c:v>733.3965844402278</c:v>
                </c:pt>
                <c:pt idx="775">
                  <c:v>734.34535104364329</c:v>
                </c:pt>
                <c:pt idx="776">
                  <c:v>735.29411764705878</c:v>
                </c:pt>
                <c:pt idx="777">
                  <c:v>736.24288425047439</c:v>
                </c:pt>
                <c:pt idx="778">
                  <c:v>737.19165085388988</c:v>
                </c:pt>
                <c:pt idx="779">
                  <c:v>738.1404174573056</c:v>
                </c:pt>
                <c:pt idx="780">
                  <c:v>739.0891840607211</c:v>
                </c:pt>
                <c:pt idx="781">
                  <c:v>740.0379506641367</c:v>
                </c:pt>
                <c:pt idx="782">
                  <c:v>740.98671726755219</c:v>
                </c:pt>
                <c:pt idx="783">
                  <c:v>741.93548387096769</c:v>
                </c:pt>
                <c:pt idx="784">
                  <c:v>742.88425047438329</c:v>
                </c:pt>
                <c:pt idx="785">
                  <c:v>743.8330170777989</c:v>
                </c:pt>
                <c:pt idx="786">
                  <c:v>744.78178368121451</c:v>
                </c:pt>
                <c:pt idx="787">
                  <c:v>745.73055028463011</c:v>
                </c:pt>
                <c:pt idx="788">
                  <c:v>746.67931688804549</c:v>
                </c:pt>
                <c:pt idx="789">
                  <c:v>747.6280834914611</c:v>
                </c:pt>
                <c:pt idx="790">
                  <c:v>748.57685009487659</c:v>
                </c:pt>
                <c:pt idx="791">
                  <c:v>749.52561669829231</c:v>
                </c:pt>
                <c:pt idx="792">
                  <c:v>750.47438330170792</c:v>
                </c:pt>
                <c:pt idx="793">
                  <c:v>751.42314990512341</c:v>
                </c:pt>
                <c:pt idx="794">
                  <c:v>752.3719165085389</c:v>
                </c:pt>
                <c:pt idx="795">
                  <c:v>753.32068311195439</c:v>
                </c:pt>
                <c:pt idx="796">
                  <c:v>754.26944971537</c:v>
                </c:pt>
                <c:pt idx="797">
                  <c:v>755.21821631878561</c:v>
                </c:pt>
                <c:pt idx="798">
                  <c:v>756.16698292220121</c:v>
                </c:pt>
                <c:pt idx="799">
                  <c:v>757.11574952561682</c:v>
                </c:pt>
                <c:pt idx="800">
                  <c:v>758.0645161290322</c:v>
                </c:pt>
                <c:pt idx="801">
                  <c:v>759.01328273244781</c:v>
                </c:pt>
                <c:pt idx="802">
                  <c:v>759.9620493358633</c:v>
                </c:pt>
                <c:pt idx="803">
                  <c:v>760.91081593927902</c:v>
                </c:pt>
                <c:pt idx="804">
                  <c:v>761.85958254269462</c:v>
                </c:pt>
                <c:pt idx="805">
                  <c:v>762.80834914611</c:v>
                </c:pt>
                <c:pt idx="806">
                  <c:v>763.75711574952561</c:v>
                </c:pt>
                <c:pt idx="807">
                  <c:v>764.7058823529411</c:v>
                </c:pt>
                <c:pt idx="808">
                  <c:v>765.65464895635671</c:v>
                </c:pt>
                <c:pt idx="809">
                  <c:v>766.60341555977243</c:v>
                </c:pt>
                <c:pt idx="810">
                  <c:v>767.55218216318792</c:v>
                </c:pt>
                <c:pt idx="811">
                  <c:v>768.50094876660353</c:v>
                </c:pt>
                <c:pt idx="812">
                  <c:v>769.44971537001891</c:v>
                </c:pt>
                <c:pt idx="813">
                  <c:v>770.39848197343451</c:v>
                </c:pt>
                <c:pt idx="814">
                  <c:v>771.34724857685012</c:v>
                </c:pt>
                <c:pt idx="815">
                  <c:v>772.29601518026573</c:v>
                </c:pt>
                <c:pt idx="816">
                  <c:v>773.24478178368133</c:v>
                </c:pt>
                <c:pt idx="817">
                  <c:v>774.19354838709671</c:v>
                </c:pt>
                <c:pt idx="818">
                  <c:v>775.14231499051232</c:v>
                </c:pt>
                <c:pt idx="819">
                  <c:v>776.09108159392781</c:v>
                </c:pt>
                <c:pt idx="820">
                  <c:v>777.03984819734342</c:v>
                </c:pt>
                <c:pt idx="821">
                  <c:v>777.98861480075914</c:v>
                </c:pt>
                <c:pt idx="822">
                  <c:v>778.93738140417463</c:v>
                </c:pt>
                <c:pt idx="823">
                  <c:v>779.88614800759024</c:v>
                </c:pt>
                <c:pt idx="824">
                  <c:v>780.83491461100562</c:v>
                </c:pt>
                <c:pt idx="825">
                  <c:v>781.78368121442122</c:v>
                </c:pt>
                <c:pt idx="826">
                  <c:v>782.73244781783683</c:v>
                </c:pt>
                <c:pt idx="827">
                  <c:v>783.68121442125243</c:v>
                </c:pt>
                <c:pt idx="828">
                  <c:v>784.62998102466804</c:v>
                </c:pt>
                <c:pt idx="829">
                  <c:v>785.57874762808342</c:v>
                </c:pt>
                <c:pt idx="830">
                  <c:v>786.52751423149903</c:v>
                </c:pt>
                <c:pt idx="831">
                  <c:v>787.47628083491463</c:v>
                </c:pt>
                <c:pt idx="832">
                  <c:v>788.42504743833013</c:v>
                </c:pt>
                <c:pt idx="833">
                  <c:v>789.37381404174585</c:v>
                </c:pt>
                <c:pt idx="834">
                  <c:v>790.32258064516134</c:v>
                </c:pt>
                <c:pt idx="835">
                  <c:v>791.27134724857683</c:v>
                </c:pt>
                <c:pt idx="836">
                  <c:v>792.22011385199232</c:v>
                </c:pt>
                <c:pt idx="837">
                  <c:v>793.16888045540793</c:v>
                </c:pt>
                <c:pt idx="838">
                  <c:v>794.11764705882354</c:v>
                </c:pt>
                <c:pt idx="839">
                  <c:v>795.06641366223914</c:v>
                </c:pt>
                <c:pt idx="840">
                  <c:v>796.01518026565475</c:v>
                </c:pt>
                <c:pt idx="841">
                  <c:v>796.96394686907013</c:v>
                </c:pt>
                <c:pt idx="842">
                  <c:v>797.91271347248573</c:v>
                </c:pt>
                <c:pt idx="843">
                  <c:v>798.86148007590134</c:v>
                </c:pt>
                <c:pt idx="844">
                  <c:v>799.81024667931695</c:v>
                </c:pt>
                <c:pt idx="845">
                  <c:v>800.75901328273255</c:v>
                </c:pt>
                <c:pt idx="846">
                  <c:v>801.70777988614805</c:v>
                </c:pt>
                <c:pt idx="847">
                  <c:v>802.65654648956354</c:v>
                </c:pt>
                <c:pt idx="848">
                  <c:v>803.60531309297915</c:v>
                </c:pt>
                <c:pt idx="849">
                  <c:v>804.55407969639464</c:v>
                </c:pt>
                <c:pt idx="850">
                  <c:v>805.50284629981036</c:v>
                </c:pt>
                <c:pt idx="851">
                  <c:v>806.45161290322585</c:v>
                </c:pt>
                <c:pt idx="852">
                  <c:v>807.40037950664146</c:v>
                </c:pt>
                <c:pt idx="853">
                  <c:v>808.34914611005684</c:v>
                </c:pt>
                <c:pt idx="854">
                  <c:v>809.29791271347244</c:v>
                </c:pt>
                <c:pt idx="855">
                  <c:v>810.24667931688805</c:v>
                </c:pt>
                <c:pt idx="856">
                  <c:v>811.19544592030365</c:v>
                </c:pt>
                <c:pt idx="857">
                  <c:v>812.14421252371926</c:v>
                </c:pt>
                <c:pt idx="858">
                  <c:v>813.09297912713475</c:v>
                </c:pt>
                <c:pt idx="859">
                  <c:v>814.04174573055025</c:v>
                </c:pt>
                <c:pt idx="860">
                  <c:v>814.99051233396585</c:v>
                </c:pt>
                <c:pt idx="861">
                  <c:v>815.93927893738135</c:v>
                </c:pt>
                <c:pt idx="862">
                  <c:v>816.88804554079707</c:v>
                </c:pt>
                <c:pt idx="863">
                  <c:v>817.83681214421256</c:v>
                </c:pt>
                <c:pt idx="864">
                  <c:v>818.78557874762816</c:v>
                </c:pt>
                <c:pt idx="865">
                  <c:v>819.73434535104366</c:v>
                </c:pt>
                <c:pt idx="866">
                  <c:v>820.68311195445915</c:v>
                </c:pt>
                <c:pt idx="867">
                  <c:v>821.63187855787476</c:v>
                </c:pt>
                <c:pt idx="868">
                  <c:v>822.58064516129036</c:v>
                </c:pt>
                <c:pt idx="869">
                  <c:v>823.52941176470597</c:v>
                </c:pt>
                <c:pt idx="870">
                  <c:v>824.47817836812158</c:v>
                </c:pt>
                <c:pt idx="871">
                  <c:v>825.42694497153695</c:v>
                </c:pt>
                <c:pt idx="872">
                  <c:v>826.37571157495256</c:v>
                </c:pt>
                <c:pt idx="873">
                  <c:v>827.32447817836805</c:v>
                </c:pt>
                <c:pt idx="874">
                  <c:v>828.27324478178377</c:v>
                </c:pt>
                <c:pt idx="875">
                  <c:v>829.22201138519927</c:v>
                </c:pt>
                <c:pt idx="876">
                  <c:v>830.17077798861487</c:v>
                </c:pt>
                <c:pt idx="877">
                  <c:v>831.11954459203037</c:v>
                </c:pt>
                <c:pt idx="878">
                  <c:v>832.06831119544586</c:v>
                </c:pt>
                <c:pt idx="879">
                  <c:v>833.01707779886146</c:v>
                </c:pt>
                <c:pt idx="880">
                  <c:v>833.96584440227707</c:v>
                </c:pt>
                <c:pt idx="881">
                  <c:v>834.91461100569268</c:v>
                </c:pt>
                <c:pt idx="882">
                  <c:v>835.86337760910828</c:v>
                </c:pt>
                <c:pt idx="883">
                  <c:v>836.81214421252366</c:v>
                </c:pt>
                <c:pt idx="884">
                  <c:v>837.76091081593927</c:v>
                </c:pt>
                <c:pt idx="885">
                  <c:v>838.70967741935476</c:v>
                </c:pt>
                <c:pt idx="886">
                  <c:v>839.65844402277048</c:v>
                </c:pt>
                <c:pt idx="887">
                  <c:v>840.60721062618609</c:v>
                </c:pt>
                <c:pt idx="888">
                  <c:v>841.55597722960158</c:v>
                </c:pt>
                <c:pt idx="889">
                  <c:v>842.50474383301707</c:v>
                </c:pt>
                <c:pt idx="890">
                  <c:v>843.45351043643257</c:v>
                </c:pt>
                <c:pt idx="891">
                  <c:v>844.40227703984817</c:v>
                </c:pt>
                <c:pt idx="892">
                  <c:v>845.35104364326378</c:v>
                </c:pt>
                <c:pt idx="893">
                  <c:v>846.29981024667939</c:v>
                </c:pt>
                <c:pt idx="894">
                  <c:v>847.24857685009499</c:v>
                </c:pt>
                <c:pt idx="895">
                  <c:v>848.19734345351037</c:v>
                </c:pt>
                <c:pt idx="896">
                  <c:v>849.14611005692598</c:v>
                </c:pt>
                <c:pt idx="897">
                  <c:v>850.09487666034147</c:v>
                </c:pt>
                <c:pt idx="898">
                  <c:v>851.04364326375719</c:v>
                </c:pt>
                <c:pt idx="899">
                  <c:v>851.9924098671728</c:v>
                </c:pt>
                <c:pt idx="900">
                  <c:v>852.94117647058818</c:v>
                </c:pt>
                <c:pt idx="901">
                  <c:v>853.88994307400378</c:v>
                </c:pt>
                <c:pt idx="902">
                  <c:v>854.83870967741927</c:v>
                </c:pt>
                <c:pt idx="903">
                  <c:v>855.78747628083488</c:v>
                </c:pt>
                <c:pt idx="904">
                  <c:v>856.7362428842506</c:v>
                </c:pt>
                <c:pt idx="905">
                  <c:v>857.68500948766609</c:v>
                </c:pt>
                <c:pt idx="906">
                  <c:v>858.6337760910817</c:v>
                </c:pt>
                <c:pt idx="907">
                  <c:v>859.58254269449708</c:v>
                </c:pt>
                <c:pt idx="908">
                  <c:v>860.53130929791268</c:v>
                </c:pt>
                <c:pt idx="909">
                  <c:v>861.48007590132829</c:v>
                </c:pt>
                <c:pt idx="910">
                  <c:v>862.4288425047439</c:v>
                </c:pt>
                <c:pt idx="911">
                  <c:v>863.3776091081595</c:v>
                </c:pt>
                <c:pt idx="912">
                  <c:v>864.32637571157488</c:v>
                </c:pt>
                <c:pt idx="913">
                  <c:v>865.27514231499049</c:v>
                </c:pt>
                <c:pt idx="914">
                  <c:v>866.22390891840598</c:v>
                </c:pt>
                <c:pt idx="915">
                  <c:v>867.1726755218217</c:v>
                </c:pt>
                <c:pt idx="916">
                  <c:v>868.12144212523731</c:v>
                </c:pt>
                <c:pt idx="917">
                  <c:v>869.0702087286528</c:v>
                </c:pt>
                <c:pt idx="918">
                  <c:v>870.01897533206829</c:v>
                </c:pt>
                <c:pt idx="919">
                  <c:v>870.96774193548379</c:v>
                </c:pt>
                <c:pt idx="920">
                  <c:v>871.91650853889939</c:v>
                </c:pt>
                <c:pt idx="921">
                  <c:v>872.86527514231511</c:v>
                </c:pt>
                <c:pt idx="922">
                  <c:v>873.81404174573061</c:v>
                </c:pt>
                <c:pt idx="923">
                  <c:v>874.76280834914621</c:v>
                </c:pt>
                <c:pt idx="924">
                  <c:v>875.71157495256159</c:v>
                </c:pt>
                <c:pt idx="925">
                  <c:v>876.6603415559772</c:v>
                </c:pt>
                <c:pt idx="926">
                  <c:v>877.6091081593928</c:v>
                </c:pt>
                <c:pt idx="927">
                  <c:v>878.55787476280841</c:v>
                </c:pt>
                <c:pt idx="928">
                  <c:v>879.50664136622402</c:v>
                </c:pt>
                <c:pt idx="929">
                  <c:v>880.45540796963951</c:v>
                </c:pt>
                <c:pt idx="930">
                  <c:v>881.404174573055</c:v>
                </c:pt>
                <c:pt idx="931">
                  <c:v>882.35294117647061</c:v>
                </c:pt>
                <c:pt idx="932">
                  <c:v>883.3017077798861</c:v>
                </c:pt>
                <c:pt idx="933">
                  <c:v>884.25047438330182</c:v>
                </c:pt>
                <c:pt idx="934">
                  <c:v>885.19924098671731</c:v>
                </c:pt>
                <c:pt idx="935">
                  <c:v>886.14800759013292</c:v>
                </c:pt>
                <c:pt idx="936">
                  <c:v>887.0967741935483</c:v>
                </c:pt>
                <c:pt idx="937">
                  <c:v>888.04554079696391</c:v>
                </c:pt>
                <c:pt idx="938">
                  <c:v>888.99430740037951</c:v>
                </c:pt>
                <c:pt idx="939">
                  <c:v>889.94307400379512</c:v>
                </c:pt>
                <c:pt idx="940">
                  <c:v>890.89184060721072</c:v>
                </c:pt>
                <c:pt idx="941">
                  <c:v>891.84060721062622</c:v>
                </c:pt>
                <c:pt idx="942">
                  <c:v>892.78937381404171</c:v>
                </c:pt>
                <c:pt idx="943">
                  <c:v>893.73814041745732</c:v>
                </c:pt>
                <c:pt idx="944">
                  <c:v>894.68690702087281</c:v>
                </c:pt>
                <c:pt idx="945">
                  <c:v>895.63567362428853</c:v>
                </c:pt>
                <c:pt idx="946">
                  <c:v>896.58444022770402</c:v>
                </c:pt>
                <c:pt idx="947">
                  <c:v>897.53320683111963</c:v>
                </c:pt>
                <c:pt idx="948">
                  <c:v>898.48197343453512</c:v>
                </c:pt>
                <c:pt idx="949">
                  <c:v>899.43074003795061</c:v>
                </c:pt>
                <c:pt idx="950">
                  <c:v>900.37950664136622</c:v>
                </c:pt>
                <c:pt idx="951">
                  <c:v>901.32827324478183</c:v>
                </c:pt>
                <c:pt idx="952">
                  <c:v>902.27703984819743</c:v>
                </c:pt>
                <c:pt idx="953">
                  <c:v>903.22580645161293</c:v>
                </c:pt>
                <c:pt idx="954">
                  <c:v>904.17457305502842</c:v>
                </c:pt>
                <c:pt idx="955">
                  <c:v>905.12333965844402</c:v>
                </c:pt>
                <c:pt idx="956">
                  <c:v>906.07210626185952</c:v>
                </c:pt>
                <c:pt idx="957">
                  <c:v>907.02087286527524</c:v>
                </c:pt>
                <c:pt idx="958">
                  <c:v>907.96963946869073</c:v>
                </c:pt>
                <c:pt idx="959">
                  <c:v>908.91840607210634</c:v>
                </c:pt>
                <c:pt idx="960">
                  <c:v>909.86717267552183</c:v>
                </c:pt>
                <c:pt idx="961">
                  <c:v>910.81593927893732</c:v>
                </c:pt>
                <c:pt idx="962">
                  <c:v>911.76470588235293</c:v>
                </c:pt>
                <c:pt idx="963">
                  <c:v>912.71347248576853</c:v>
                </c:pt>
                <c:pt idx="964">
                  <c:v>913.66223908918414</c:v>
                </c:pt>
                <c:pt idx="965">
                  <c:v>914.61100569259975</c:v>
                </c:pt>
                <c:pt idx="966">
                  <c:v>915.55977229601513</c:v>
                </c:pt>
                <c:pt idx="967">
                  <c:v>916.50853889943073</c:v>
                </c:pt>
                <c:pt idx="968">
                  <c:v>917.45730550284622</c:v>
                </c:pt>
                <c:pt idx="969">
                  <c:v>918.40607210626195</c:v>
                </c:pt>
                <c:pt idx="970">
                  <c:v>919.35483870967755</c:v>
                </c:pt>
                <c:pt idx="971">
                  <c:v>920.30360531309304</c:v>
                </c:pt>
                <c:pt idx="972">
                  <c:v>921.25237191650854</c:v>
                </c:pt>
                <c:pt idx="973">
                  <c:v>922.20113851992403</c:v>
                </c:pt>
                <c:pt idx="974">
                  <c:v>923.14990512333964</c:v>
                </c:pt>
                <c:pt idx="975">
                  <c:v>924.09867172675524</c:v>
                </c:pt>
                <c:pt idx="976">
                  <c:v>925.04743833017085</c:v>
                </c:pt>
                <c:pt idx="977">
                  <c:v>925.99620493358645</c:v>
                </c:pt>
                <c:pt idx="978">
                  <c:v>926.94497153700183</c:v>
                </c:pt>
                <c:pt idx="979">
                  <c:v>927.89373814041744</c:v>
                </c:pt>
                <c:pt idx="980">
                  <c:v>928.84250474383305</c:v>
                </c:pt>
                <c:pt idx="981">
                  <c:v>929.79127134724865</c:v>
                </c:pt>
                <c:pt idx="982">
                  <c:v>930.74003795066426</c:v>
                </c:pt>
                <c:pt idx="983">
                  <c:v>931.68880455407964</c:v>
                </c:pt>
                <c:pt idx="984">
                  <c:v>932.63757115749524</c:v>
                </c:pt>
                <c:pt idx="985">
                  <c:v>933.58633776091074</c:v>
                </c:pt>
                <c:pt idx="986">
                  <c:v>934.53510436432646</c:v>
                </c:pt>
                <c:pt idx="987">
                  <c:v>935.48387096774206</c:v>
                </c:pt>
                <c:pt idx="988">
                  <c:v>936.43263757115756</c:v>
                </c:pt>
                <c:pt idx="989">
                  <c:v>937.38140417457316</c:v>
                </c:pt>
                <c:pt idx="990">
                  <c:v>938.33017077798854</c:v>
                </c:pt>
                <c:pt idx="991">
                  <c:v>939.27893738140415</c:v>
                </c:pt>
                <c:pt idx="992">
                  <c:v>940.22770398481975</c:v>
                </c:pt>
                <c:pt idx="993">
                  <c:v>941.17647058823536</c:v>
                </c:pt>
                <c:pt idx="994">
                  <c:v>942.12523719165097</c:v>
                </c:pt>
                <c:pt idx="995">
                  <c:v>943.07400379506635</c:v>
                </c:pt>
                <c:pt idx="996">
                  <c:v>944.02277039848195</c:v>
                </c:pt>
                <c:pt idx="997">
                  <c:v>944.97153700189745</c:v>
                </c:pt>
                <c:pt idx="998">
                  <c:v>945.92030360531317</c:v>
                </c:pt>
                <c:pt idx="999">
                  <c:v>946.86907020872877</c:v>
                </c:pt>
                <c:pt idx="1000">
                  <c:v>947.81783681214426</c:v>
                </c:pt>
                <c:pt idx="1001">
                  <c:v>948.76660341555976</c:v>
                </c:pt>
                <c:pt idx="1002">
                  <c:v>949.71537001897525</c:v>
                </c:pt>
                <c:pt idx="1003">
                  <c:v>950.66413662239086</c:v>
                </c:pt>
                <c:pt idx="1004">
                  <c:v>951.61290322580658</c:v>
                </c:pt>
                <c:pt idx="1005">
                  <c:v>952.56166982922207</c:v>
                </c:pt>
                <c:pt idx="1006">
                  <c:v>953.51043643263768</c:v>
                </c:pt>
                <c:pt idx="1007">
                  <c:v>954.45920303605305</c:v>
                </c:pt>
                <c:pt idx="1008">
                  <c:v>955.40796963946866</c:v>
                </c:pt>
                <c:pt idx="1009">
                  <c:v>956.35673624288427</c:v>
                </c:pt>
                <c:pt idx="1010">
                  <c:v>957.30550284629987</c:v>
                </c:pt>
                <c:pt idx="1011">
                  <c:v>958.25426944971548</c:v>
                </c:pt>
                <c:pt idx="1012">
                  <c:v>959.20303605313097</c:v>
                </c:pt>
                <c:pt idx="1013">
                  <c:v>960.15180265654647</c:v>
                </c:pt>
                <c:pt idx="1014">
                  <c:v>961.10056925996196</c:v>
                </c:pt>
                <c:pt idx="1015">
                  <c:v>962.04933586337756</c:v>
                </c:pt>
                <c:pt idx="1016">
                  <c:v>962.99810246679328</c:v>
                </c:pt>
                <c:pt idx="1017">
                  <c:v>963.94686907020878</c:v>
                </c:pt>
                <c:pt idx="1018">
                  <c:v>964.89563567362438</c:v>
                </c:pt>
                <c:pt idx="1019">
                  <c:v>965.84440227703976</c:v>
                </c:pt>
                <c:pt idx="1020">
                  <c:v>966.79316888045537</c:v>
                </c:pt>
                <c:pt idx="1021">
                  <c:v>967.74193548387098</c:v>
                </c:pt>
                <c:pt idx="1022">
                  <c:v>968.69070208728658</c:v>
                </c:pt>
                <c:pt idx="1023">
                  <c:v>969.63946869070219</c:v>
                </c:pt>
                <c:pt idx="1024">
                  <c:v>970.58823529411768</c:v>
                </c:pt>
                <c:pt idx="1025">
                  <c:v>971.53700189753317</c:v>
                </c:pt>
                <c:pt idx="1026">
                  <c:v>972.48576850094878</c:v>
                </c:pt>
                <c:pt idx="1027">
                  <c:v>973.43453510436427</c:v>
                </c:pt>
                <c:pt idx="1028">
                  <c:v>974.38330170777999</c:v>
                </c:pt>
                <c:pt idx="1029">
                  <c:v>975.33206831119548</c:v>
                </c:pt>
                <c:pt idx="1030">
                  <c:v>976.28083491461109</c:v>
                </c:pt>
                <c:pt idx="1031">
                  <c:v>977.22960151802647</c:v>
                </c:pt>
                <c:pt idx="1032">
                  <c:v>978.17836812144208</c:v>
                </c:pt>
                <c:pt idx="1033">
                  <c:v>979.12713472485768</c:v>
                </c:pt>
                <c:pt idx="1034">
                  <c:v>980.07590132827329</c:v>
                </c:pt>
                <c:pt idx="1035">
                  <c:v>981.0246679316889</c:v>
                </c:pt>
                <c:pt idx="1036">
                  <c:v>981.97343453510439</c:v>
                </c:pt>
                <c:pt idx="1037">
                  <c:v>982.92220113851988</c:v>
                </c:pt>
                <c:pt idx="1038">
                  <c:v>983.87096774193549</c:v>
                </c:pt>
                <c:pt idx="1039">
                  <c:v>984.81973434535098</c:v>
                </c:pt>
                <c:pt idx="1040">
                  <c:v>985.7685009487667</c:v>
                </c:pt>
                <c:pt idx="1041">
                  <c:v>986.71726755218219</c:v>
                </c:pt>
                <c:pt idx="1042">
                  <c:v>987.6660341555978</c:v>
                </c:pt>
                <c:pt idx="1043">
                  <c:v>988.61480075901329</c:v>
                </c:pt>
                <c:pt idx="1044">
                  <c:v>989.56356736242878</c:v>
                </c:pt>
                <c:pt idx="1045">
                  <c:v>990.51233396584439</c:v>
                </c:pt>
                <c:pt idx="1046">
                  <c:v>991.46110056926</c:v>
                </c:pt>
                <c:pt idx="1047">
                  <c:v>992.4098671726756</c:v>
                </c:pt>
                <c:pt idx="1048">
                  <c:v>993.35863377609121</c:v>
                </c:pt>
                <c:pt idx="1049">
                  <c:v>994.30740037950659</c:v>
                </c:pt>
                <c:pt idx="1050">
                  <c:v>995.2561669829222</c:v>
                </c:pt>
                <c:pt idx="1051">
                  <c:v>996.2049335863378</c:v>
                </c:pt>
                <c:pt idx="1052">
                  <c:v>997.15370018975341</c:v>
                </c:pt>
                <c:pt idx="1053">
                  <c:v>998.1024667931689</c:v>
                </c:pt>
                <c:pt idx="1054">
                  <c:v>999.05123339658451</c:v>
                </c:pt>
                <c:pt idx="1055">
                  <c:v>1000</c:v>
                </c:pt>
                <c:pt idx="1056">
                  <c:v>0</c:v>
                </c:pt>
                <c:pt idx="1057">
                  <c:v>0</c:v>
                </c:pt>
              </c:numCache>
            </c:numRef>
          </c:cat>
          <c:val>
            <c:numRef>
              <c:f>'Peak Payback Engine'!$AD$8:$AD$1065</c:f>
              <c:numCache>
                <c:formatCode>_("$"* #,##0.00_);_("$"* \(#,##0.00\);_("$"* "-"??_);_(@_)</c:formatCode>
                <c:ptCount val="1058"/>
                <c:pt idx="0" formatCode="General">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pt idx="994">
                  <c:v>0</c:v>
                </c:pt>
                <c:pt idx="995">
                  <c:v>0</c:v>
                </c:pt>
                <c:pt idx="996">
                  <c:v>0</c:v>
                </c:pt>
                <c:pt idx="997">
                  <c:v>0</c:v>
                </c:pt>
                <c:pt idx="998">
                  <c:v>0</c:v>
                </c:pt>
                <c:pt idx="999">
                  <c:v>0</c:v>
                </c:pt>
                <c:pt idx="1000">
                  <c:v>0</c:v>
                </c:pt>
                <c:pt idx="1001">
                  <c:v>0</c:v>
                </c:pt>
                <c:pt idx="1002">
                  <c:v>0</c:v>
                </c:pt>
                <c:pt idx="1003">
                  <c:v>0</c:v>
                </c:pt>
                <c:pt idx="1004">
                  <c:v>0</c:v>
                </c:pt>
                <c:pt idx="1005">
                  <c:v>0</c:v>
                </c:pt>
                <c:pt idx="1006">
                  <c:v>0</c:v>
                </c:pt>
                <c:pt idx="1007">
                  <c:v>0</c:v>
                </c:pt>
                <c:pt idx="1008">
                  <c:v>0</c:v>
                </c:pt>
                <c:pt idx="1009">
                  <c:v>0</c:v>
                </c:pt>
                <c:pt idx="1010">
                  <c:v>0</c:v>
                </c:pt>
                <c:pt idx="1011">
                  <c:v>0</c:v>
                </c:pt>
                <c:pt idx="1012">
                  <c:v>0</c:v>
                </c:pt>
                <c:pt idx="1013">
                  <c:v>0</c:v>
                </c:pt>
                <c:pt idx="1014">
                  <c:v>0</c:v>
                </c:pt>
                <c:pt idx="1015">
                  <c:v>0</c:v>
                </c:pt>
                <c:pt idx="1016">
                  <c:v>0</c:v>
                </c:pt>
                <c:pt idx="1017">
                  <c:v>0</c:v>
                </c:pt>
                <c:pt idx="1018">
                  <c:v>0</c:v>
                </c:pt>
                <c:pt idx="1019">
                  <c:v>0</c:v>
                </c:pt>
                <c:pt idx="1020">
                  <c:v>0</c:v>
                </c:pt>
                <c:pt idx="1021">
                  <c:v>0</c:v>
                </c:pt>
                <c:pt idx="1022">
                  <c:v>0</c:v>
                </c:pt>
                <c:pt idx="1023">
                  <c:v>0</c:v>
                </c:pt>
                <c:pt idx="1024">
                  <c:v>0</c:v>
                </c:pt>
                <c:pt idx="1025">
                  <c:v>0</c:v>
                </c:pt>
                <c:pt idx="1026">
                  <c:v>0</c:v>
                </c:pt>
                <c:pt idx="1027">
                  <c:v>0</c:v>
                </c:pt>
                <c:pt idx="1028">
                  <c:v>0</c:v>
                </c:pt>
                <c:pt idx="1029">
                  <c:v>0</c:v>
                </c:pt>
                <c:pt idx="1030">
                  <c:v>0</c:v>
                </c:pt>
                <c:pt idx="1031">
                  <c:v>0</c:v>
                </c:pt>
                <c:pt idx="1032">
                  <c:v>0</c:v>
                </c:pt>
                <c:pt idx="1033">
                  <c:v>0</c:v>
                </c:pt>
                <c:pt idx="1034">
                  <c:v>0</c:v>
                </c:pt>
                <c:pt idx="1035">
                  <c:v>0</c:v>
                </c:pt>
                <c:pt idx="1036">
                  <c:v>0</c:v>
                </c:pt>
                <c:pt idx="1037">
                  <c:v>0</c:v>
                </c:pt>
                <c:pt idx="1038">
                  <c:v>0</c:v>
                </c:pt>
                <c:pt idx="1039">
                  <c:v>0</c:v>
                </c:pt>
                <c:pt idx="1040">
                  <c:v>0</c:v>
                </c:pt>
                <c:pt idx="1041">
                  <c:v>0</c:v>
                </c:pt>
                <c:pt idx="1042">
                  <c:v>0</c:v>
                </c:pt>
                <c:pt idx="1043">
                  <c:v>0</c:v>
                </c:pt>
                <c:pt idx="1044">
                  <c:v>0</c:v>
                </c:pt>
                <c:pt idx="1045">
                  <c:v>0</c:v>
                </c:pt>
                <c:pt idx="1046">
                  <c:v>0</c:v>
                </c:pt>
                <c:pt idx="1047">
                  <c:v>0</c:v>
                </c:pt>
                <c:pt idx="1048">
                  <c:v>0</c:v>
                </c:pt>
                <c:pt idx="1049">
                  <c:v>0</c:v>
                </c:pt>
                <c:pt idx="1050">
                  <c:v>0</c:v>
                </c:pt>
                <c:pt idx="1051">
                  <c:v>0</c:v>
                </c:pt>
                <c:pt idx="1052">
                  <c:v>0</c:v>
                </c:pt>
                <c:pt idx="1053">
                  <c:v>0</c:v>
                </c:pt>
                <c:pt idx="1054">
                  <c:v>0</c:v>
                </c:pt>
                <c:pt idx="1055">
                  <c:v>0</c:v>
                </c:pt>
                <c:pt idx="1056">
                  <c:v>0</c:v>
                </c:pt>
                <c:pt idx="1057">
                  <c:v>0</c:v>
                </c:pt>
              </c:numCache>
            </c:numRef>
          </c:val>
          <c:extLst xmlns:c16r2="http://schemas.microsoft.com/office/drawing/2015/06/chart">
            <c:ext xmlns:c16="http://schemas.microsoft.com/office/drawing/2014/chart" uri="{C3380CC4-5D6E-409C-BE32-E72D297353CC}">
              <c16:uniqueId val="{00000000-0D70-493A-B7A6-9590C357C348}"/>
            </c:ext>
          </c:extLst>
        </c:ser>
        <c:ser>
          <c:idx val="5"/>
          <c:order val="7"/>
          <c:tx>
            <c:v>Delta Profit</c:v>
          </c:tx>
          <c:spPr>
            <a:solidFill>
              <a:srgbClr val="31B784"/>
            </a:solidFill>
          </c:spPr>
          <c:cat>
            <c:numRef>
              <c:f>'Peak Payback Engine'!$AC$8:$AC$1065</c:f>
              <c:numCache>
                <c:formatCode>_(* #,##0.00_);_(* \(#,##0.00\);_(* "-"??_);_(@_)</c:formatCode>
                <c:ptCount val="1058"/>
                <c:pt idx="0">
                  <c:v>0</c:v>
                </c:pt>
                <c:pt idx="1">
                  <c:v>0.94876660341555974</c:v>
                </c:pt>
                <c:pt idx="2">
                  <c:v>0.94876660341555974</c:v>
                </c:pt>
                <c:pt idx="3">
                  <c:v>1.8975332068311195</c:v>
                </c:pt>
                <c:pt idx="4">
                  <c:v>2.8462998102466797</c:v>
                </c:pt>
                <c:pt idx="5">
                  <c:v>3.795066413662239</c:v>
                </c:pt>
                <c:pt idx="6">
                  <c:v>4.7438330170777983</c:v>
                </c:pt>
                <c:pt idx="7">
                  <c:v>5.6925996204933593</c:v>
                </c:pt>
                <c:pt idx="8">
                  <c:v>6.6413662239089177</c:v>
                </c:pt>
                <c:pt idx="9">
                  <c:v>7.5901328273244779</c:v>
                </c:pt>
                <c:pt idx="10">
                  <c:v>8.5388994307400381</c:v>
                </c:pt>
                <c:pt idx="11">
                  <c:v>9.4876660341555965</c:v>
                </c:pt>
                <c:pt idx="12">
                  <c:v>10.436432637571157</c:v>
                </c:pt>
                <c:pt idx="13">
                  <c:v>11.385199240986719</c:v>
                </c:pt>
                <c:pt idx="14">
                  <c:v>12.333965844402279</c:v>
                </c:pt>
                <c:pt idx="15">
                  <c:v>13.282732447817835</c:v>
                </c:pt>
                <c:pt idx="16">
                  <c:v>14.231499051233396</c:v>
                </c:pt>
                <c:pt idx="17">
                  <c:v>15.180265654648956</c:v>
                </c:pt>
                <c:pt idx="18">
                  <c:v>16.129032258064516</c:v>
                </c:pt>
                <c:pt idx="19">
                  <c:v>17.077798861480076</c:v>
                </c:pt>
                <c:pt idx="20">
                  <c:v>18.02656546489564</c:v>
                </c:pt>
                <c:pt idx="21">
                  <c:v>18.975332068311193</c:v>
                </c:pt>
                <c:pt idx="22">
                  <c:v>19.924098671726757</c:v>
                </c:pt>
                <c:pt idx="23">
                  <c:v>20.872865275142313</c:v>
                </c:pt>
                <c:pt idx="24">
                  <c:v>21.821631878557874</c:v>
                </c:pt>
                <c:pt idx="25">
                  <c:v>22.770398481973437</c:v>
                </c:pt>
                <c:pt idx="26">
                  <c:v>23.719165085388994</c:v>
                </c:pt>
                <c:pt idx="27">
                  <c:v>24.667931688804558</c:v>
                </c:pt>
                <c:pt idx="28">
                  <c:v>25.616698292220114</c:v>
                </c:pt>
                <c:pt idx="29">
                  <c:v>26.565464895635671</c:v>
                </c:pt>
                <c:pt idx="30">
                  <c:v>27.514231499051235</c:v>
                </c:pt>
                <c:pt idx="31">
                  <c:v>28.462998102466791</c:v>
                </c:pt>
                <c:pt idx="32">
                  <c:v>29.411764705882355</c:v>
                </c:pt>
                <c:pt idx="33">
                  <c:v>30.360531309297912</c:v>
                </c:pt>
                <c:pt idx="34">
                  <c:v>31.309297912713475</c:v>
                </c:pt>
                <c:pt idx="35">
                  <c:v>32.258064516129032</c:v>
                </c:pt>
                <c:pt idx="36">
                  <c:v>33.206831119544596</c:v>
                </c:pt>
                <c:pt idx="37">
                  <c:v>34.155597722960152</c:v>
                </c:pt>
                <c:pt idx="38">
                  <c:v>35.104364326375709</c:v>
                </c:pt>
                <c:pt idx="39">
                  <c:v>36.05313092979128</c:v>
                </c:pt>
                <c:pt idx="40">
                  <c:v>37.001897533206829</c:v>
                </c:pt>
                <c:pt idx="41">
                  <c:v>37.950664136622386</c:v>
                </c:pt>
                <c:pt idx="42">
                  <c:v>38.89943074003795</c:v>
                </c:pt>
                <c:pt idx="43">
                  <c:v>39.848197343453513</c:v>
                </c:pt>
                <c:pt idx="44">
                  <c:v>40.79696394686907</c:v>
                </c:pt>
                <c:pt idx="45">
                  <c:v>41.745730550284627</c:v>
                </c:pt>
                <c:pt idx="46">
                  <c:v>42.694497153700198</c:v>
                </c:pt>
                <c:pt idx="47">
                  <c:v>43.643263757115747</c:v>
                </c:pt>
                <c:pt idx="48">
                  <c:v>44.592030360531311</c:v>
                </c:pt>
                <c:pt idx="49">
                  <c:v>45.540796963946875</c:v>
                </c:pt>
                <c:pt idx="50">
                  <c:v>46.489563567362431</c:v>
                </c:pt>
                <c:pt idx="51">
                  <c:v>47.438330170777988</c:v>
                </c:pt>
                <c:pt idx="52">
                  <c:v>48.387096774193544</c:v>
                </c:pt>
                <c:pt idx="53">
                  <c:v>49.335863377609115</c:v>
                </c:pt>
                <c:pt idx="54">
                  <c:v>50.284629981024665</c:v>
                </c:pt>
                <c:pt idx="55">
                  <c:v>51.233396584440229</c:v>
                </c:pt>
                <c:pt idx="56">
                  <c:v>52.182163187855792</c:v>
                </c:pt>
                <c:pt idx="57">
                  <c:v>53.130929791271342</c:v>
                </c:pt>
                <c:pt idx="58">
                  <c:v>54.079696394686906</c:v>
                </c:pt>
                <c:pt idx="59">
                  <c:v>55.028462998102469</c:v>
                </c:pt>
                <c:pt idx="60">
                  <c:v>55.977229601518033</c:v>
                </c:pt>
                <c:pt idx="61">
                  <c:v>56.925996204933583</c:v>
                </c:pt>
                <c:pt idx="62">
                  <c:v>57.874762808349153</c:v>
                </c:pt>
                <c:pt idx="63">
                  <c:v>58.82352941176471</c:v>
                </c:pt>
                <c:pt idx="64">
                  <c:v>59.772296015180267</c:v>
                </c:pt>
                <c:pt idx="65">
                  <c:v>60.721062618595823</c:v>
                </c:pt>
                <c:pt idx="66">
                  <c:v>61.669829222011387</c:v>
                </c:pt>
                <c:pt idx="67">
                  <c:v>62.618595825426951</c:v>
                </c:pt>
                <c:pt idx="68">
                  <c:v>63.5673624288425</c:v>
                </c:pt>
                <c:pt idx="69">
                  <c:v>64.516129032258064</c:v>
                </c:pt>
                <c:pt idx="70">
                  <c:v>65.464895635673628</c:v>
                </c:pt>
                <c:pt idx="71">
                  <c:v>66.413662239089192</c:v>
                </c:pt>
                <c:pt idx="72">
                  <c:v>67.362428842504741</c:v>
                </c:pt>
                <c:pt idx="73">
                  <c:v>68.311195445920305</c:v>
                </c:pt>
                <c:pt idx="74">
                  <c:v>69.259962049335869</c:v>
                </c:pt>
                <c:pt idx="75">
                  <c:v>70.208728652751418</c:v>
                </c:pt>
                <c:pt idx="76">
                  <c:v>71.157495256166982</c:v>
                </c:pt>
                <c:pt idx="77">
                  <c:v>72.10626185958256</c:v>
                </c:pt>
                <c:pt idx="78">
                  <c:v>73.055028462998095</c:v>
                </c:pt>
                <c:pt idx="79">
                  <c:v>74.003795066413659</c:v>
                </c:pt>
                <c:pt idx="80">
                  <c:v>74.952561669829237</c:v>
                </c:pt>
                <c:pt idx="81">
                  <c:v>75.901328273244772</c:v>
                </c:pt>
                <c:pt idx="82">
                  <c:v>76.85009487666035</c:v>
                </c:pt>
                <c:pt idx="83">
                  <c:v>77.7988614800759</c:v>
                </c:pt>
                <c:pt idx="84">
                  <c:v>78.747628083491463</c:v>
                </c:pt>
                <c:pt idx="85">
                  <c:v>79.696394686907027</c:v>
                </c:pt>
                <c:pt idx="86">
                  <c:v>80.645161290322577</c:v>
                </c:pt>
                <c:pt idx="87">
                  <c:v>81.59392789373814</c:v>
                </c:pt>
                <c:pt idx="88">
                  <c:v>82.542694497153704</c:v>
                </c:pt>
                <c:pt idx="89">
                  <c:v>83.491461100569254</c:v>
                </c:pt>
                <c:pt idx="90">
                  <c:v>84.440227703984817</c:v>
                </c:pt>
                <c:pt idx="91">
                  <c:v>85.388994307400395</c:v>
                </c:pt>
                <c:pt idx="92">
                  <c:v>86.337760910815931</c:v>
                </c:pt>
                <c:pt idx="93">
                  <c:v>87.286527514231494</c:v>
                </c:pt>
                <c:pt idx="94">
                  <c:v>88.235294117647072</c:v>
                </c:pt>
                <c:pt idx="95">
                  <c:v>89.184060721062622</c:v>
                </c:pt>
                <c:pt idx="96">
                  <c:v>90.132827324478171</c:v>
                </c:pt>
                <c:pt idx="97">
                  <c:v>91.081593927893749</c:v>
                </c:pt>
                <c:pt idx="98">
                  <c:v>92.030360531309299</c:v>
                </c:pt>
                <c:pt idx="99">
                  <c:v>92.979127134724862</c:v>
                </c:pt>
                <c:pt idx="100">
                  <c:v>93.927893738140426</c:v>
                </c:pt>
                <c:pt idx="101">
                  <c:v>94.876660341555976</c:v>
                </c:pt>
                <c:pt idx="102">
                  <c:v>95.825426944971554</c:v>
                </c:pt>
                <c:pt idx="103">
                  <c:v>96.774193548387089</c:v>
                </c:pt>
                <c:pt idx="104">
                  <c:v>97.722960151802653</c:v>
                </c:pt>
                <c:pt idx="105">
                  <c:v>98.671726755218231</c:v>
                </c:pt>
                <c:pt idx="106">
                  <c:v>99.620493358633766</c:v>
                </c:pt>
                <c:pt idx="107">
                  <c:v>100.56925996204933</c:v>
                </c:pt>
                <c:pt idx="108">
                  <c:v>101.51802656546491</c:v>
                </c:pt>
                <c:pt idx="109">
                  <c:v>102.46679316888046</c:v>
                </c:pt>
                <c:pt idx="110">
                  <c:v>103.41555977229601</c:v>
                </c:pt>
                <c:pt idx="111">
                  <c:v>104.36432637571158</c:v>
                </c:pt>
                <c:pt idx="112">
                  <c:v>105.31309297912713</c:v>
                </c:pt>
                <c:pt idx="113">
                  <c:v>106.26185958254268</c:v>
                </c:pt>
                <c:pt idx="114">
                  <c:v>107.21062618595826</c:v>
                </c:pt>
                <c:pt idx="115">
                  <c:v>108.15939278937381</c:v>
                </c:pt>
                <c:pt idx="116">
                  <c:v>109.10815939278939</c:v>
                </c:pt>
                <c:pt idx="117">
                  <c:v>110.05692599620494</c:v>
                </c:pt>
                <c:pt idx="118">
                  <c:v>111.00569259962049</c:v>
                </c:pt>
                <c:pt idx="119">
                  <c:v>111.95445920303607</c:v>
                </c:pt>
                <c:pt idx="120">
                  <c:v>112.90322580645162</c:v>
                </c:pt>
                <c:pt idx="121">
                  <c:v>113.85199240986717</c:v>
                </c:pt>
                <c:pt idx="122">
                  <c:v>114.80075901328274</c:v>
                </c:pt>
                <c:pt idx="123">
                  <c:v>115.74952561669831</c:v>
                </c:pt>
                <c:pt idx="124">
                  <c:v>116.69829222011384</c:v>
                </c:pt>
                <c:pt idx="125">
                  <c:v>117.64705882352942</c:v>
                </c:pt>
                <c:pt idx="126">
                  <c:v>118.59582542694497</c:v>
                </c:pt>
                <c:pt idx="127">
                  <c:v>119.54459203036053</c:v>
                </c:pt>
                <c:pt idx="128">
                  <c:v>120.4933586337761</c:v>
                </c:pt>
                <c:pt idx="129">
                  <c:v>121.44212523719165</c:v>
                </c:pt>
                <c:pt idx="130">
                  <c:v>122.39089184060721</c:v>
                </c:pt>
                <c:pt idx="131">
                  <c:v>123.33965844402277</c:v>
                </c:pt>
                <c:pt idx="132">
                  <c:v>124.28842504743832</c:v>
                </c:pt>
                <c:pt idx="133">
                  <c:v>125.2371916508539</c:v>
                </c:pt>
                <c:pt idx="134">
                  <c:v>126.18595825426947</c:v>
                </c:pt>
                <c:pt idx="135">
                  <c:v>127.134724857685</c:v>
                </c:pt>
                <c:pt idx="136">
                  <c:v>128.08349146110058</c:v>
                </c:pt>
                <c:pt idx="137">
                  <c:v>129.03225806451613</c:v>
                </c:pt>
                <c:pt idx="138">
                  <c:v>129.98102466793168</c:v>
                </c:pt>
                <c:pt idx="139">
                  <c:v>130.92979127134726</c:v>
                </c:pt>
                <c:pt idx="140">
                  <c:v>131.87855787476281</c:v>
                </c:pt>
                <c:pt idx="141">
                  <c:v>132.82732447817838</c:v>
                </c:pt>
                <c:pt idx="142">
                  <c:v>133.77609108159393</c:v>
                </c:pt>
                <c:pt idx="143">
                  <c:v>134.72485768500948</c:v>
                </c:pt>
                <c:pt idx="144">
                  <c:v>135.67362428842506</c:v>
                </c:pt>
                <c:pt idx="145">
                  <c:v>136.62239089184061</c:v>
                </c:pt>
                <c:pt idx="146">
                  <c:v>137.57115749525616</c:v>
                </c:pt>
                <c:pt idx="147">
                  <c:v>138.51992409867174</c:v>
                </c:pt>
                <c:pt idx="148">
                  <c:v>139.46869070208729</c:v>
                </c:pt>
                <c:pt idx="149">
                  <c:v>140.41745730550284</c:v>
                </c:pt>
                <c:pt idx="150">
                  <c:v>141.36622390891841</c:v>
                </c:pt>
                <c:pt idx="151">
                  <c:v>142.31499051233396</c:v>
                </c:pt>
                <c:pt idx="152">
                  <c:v>143.26375711574951</c:v>
                </c:pt>
                <c:pt idx="153">
                  <c:v>144.21252371916512</c:v>
                </c:pt>
                <c:pt idx="154">
                  <c:v>145.16129032258064</c:v>
                </c:pt>
                <c:pt idx="155">
                  <c:v>146.11005692599619</c:v>
                </c:pt>
                <c:pt idx="156">
                  <c:v>147.0588235294118</c:v>
                </c:pt>
                <c:pt idx="157">
                  <c:v>148.00759013282732</c:v>
                </c:pt>
                <c:pt idx="158">
                  <c:v>148.95635673624287</c:v>
                </c:pt>
                <c:pt idx="159">
                  <c:v>149.90512333965847</c:v>
                </c:pt>
                <c:pt idx="160">
                  <c:v>150.85388994307402</c:v>
                </c:pt>
                <c:pt idx="161">
                  <c:v>151.80265654648954</c:v>
                </c:pt>
                <c:pt idx="162">
                  <c:v>152.75142314990515</c:v>
                </c:pt>
                <c:pt idx="163">
                  <c:v>153.7001897533207</c:v>
                </c:pt>
                <c:pt idx="164">
                  <c:v>154.64895635673625</c:v>
                </c:pt>
                <c:pt idx="165">
                  <c:v>155.5977229601518</c:v>
                </c:pt>
                <c:pt idx="166">
                  <c:v>156.54648956356738</c:v>
                </c:pt>
                <c:pt idx="167">
                  <c:v>157.49525616698293</c:v>
                </c:pt>
                <c:pt idx="168">
                  <c:v>158.44402277039848</c:v>
                </c:pt>
                <c:pt idx="169">
                  <c:v>159.39278937381405</c:v>
                </c:pt>
                <c:pt idx="170">
                  <c:v>160.3415559772296</c:v>
                </c:pt>
                <c:pt idx="171">
                  <c:v>161.29032258064515</c:v>
                </c:pt>
                <c:pt idx="172">
                  <c:v>162.23908918406073</c:v>
                </c:pt>
                <c:pt idx="173">
                  <c:v>163.18785578747628</c:v>
                </c:pt>
                <c:pt idx="174">
                  <c:v>164.13662239089183</c:v>
                </c:pt>
                <c:pt idx="175">
                  <c:v>165.08538899430741</c:v>
                </c:pt>
                <c:pt idx="176">
                  <c:v>166.03415559772296</c:v>
                </c:pt>
                <c:pt idx="177">
                  <c:v>166.98292220113851</c:v>
                </c:pt>
                <c:pt idx="178">
                  <c:v>167.93168880455411</c:v>
                </c:pt>
                <c:pt idx="179">
                  <c:v>168.88045540796963</c:v>
                </c:pt>
                <c:pt idx="180">
                  <c:v>169.82922201138518</c:v>
                </c:pt>
                <c:pt idx="181">
                  <c:v>170.77798861480079</c:v>
                </c:pt>
                <c:pt idx="182">
                  <c:v>171.72675521821631</c:v>
                </c:pt>
                <c:pt idx="183">
                  <c:v>172.67552182163186</c:v>
                </c:pt>
                <c:pt idx="184">
                  <c:v>173.62428842504747</c:v>
                </c:pt>
                <c:pt idx="185">
                  <c:v>174.57305502846299</c:v>
                </c:pt>
                <c:pt idx="186">
                  <c:v>175.52182163187854</c:v>
                </c:pt>
                <c:pt idx="187">
                  <c:v>176.47058823529414</c:v>
                </c:pt>
                <c:pt idx="188">
                  <c:v>177.41935483870967</c:v>
                </c:pt>
                <c:pt idx="189">
                  <c:v>178.36812144212524</c:v>
                </c:pt>
                <c:pt idx="190">
                  <c:v>179.31688804554082</c:v>
                </c:pt>
                <c:pt idx="191">
                  <c:v>180.26565464895634</c:v>
                </c:pt>
                <c:pt idx="192">
                  <c:v>181.21442125237192</c:v>
                </c:pt>
                <c:pt idx="193">
                  <c:v>182.1631878557875</c:v>
                </c:pt>
                <c:pt idx="194">
                  <c:v>183.11195445920305</c:v>
                </c:pt>
                <c:pt idx="195">
                  <c:v>184.0607210626186</c:v>
                </c:pt>
                <c:pt idx="196">
                  <c:v>185.00948766603418</c:v>
                </c:pt>
                <c:pt idx="197">
                  <c:v>185.95825426944972</c:v>
                </c:pt>
                <c:pt idx="198">
                  <c:v>186.90702087286527</c:v>
                </c:pt>
                <c:pt idx="199">
                  <c:v>187.85578747628085</c:v>
                </c:pt>
                <c:pt idx="200">
                  <c:v>188.8045540796964</c:v>
                </c:pt>
                <c:pt idx="201">
                  <c:v>189.75332068311195</c:v>
                </c:pt>
                <c:pt idx="202">
                  <c:v>190.7020872865275</c:v>
                </c:pt>
                <c:pt idx="203">
                  <c:v>191.65085388994311</c:v>
                </c:pt>
                <c:pt idx="204">
                  <c:v>192.59962049335863</c:v>
                </c:pt>
                <c:pt idx="205">
                  <c:v>193.54838709677418</c:v>
                </c:pt>
                <c:pt idx="206">
                  <c:v>194.49715370018978</c:v>
                </c:pt>
                <c:pt idx="207">
                  <c:v>195.44592030360531</c:v>
                </c:pt>
                <c:pt idx="208">
                  <c:v>196.39468690702085</c:v>
                </c:pt>
                <c:pt idx="209">
                  <c:v>197.34345351043646</c:v>
                </c:pt>
                <c:pt idx="210">
                  <c:v>198.29222011385198</c:v>
                </c:pt>
                <c:pt idx="211">
                  <c:v>199.24098671726753</c:v>
                </c:pt>
                <c:pt idx="212">
                  <c:v>200.18975332068314</c:v>
                </c:pt>
                <c:pt idx="213">
                  <c:v>201.13851992409866</c:v>
                </c:pt>
                <c:pt idx="214">
                  <c:v>202.08728652751421</c:v>
                </c:pt>
                <c:pt idx="215">
                  <c:v>203.03605313092982</c:v>
                </c:pt>
                <c:pt idx="216">
                  <c:v>203.98481973434534</c:v>
                </c:pt>
                <c:pt idx="217">
                  <c:v>204.93358633776091</c:v>
                </c:pt>
                <c:pt idx="218">
                  <c:v>205.88235294117649</c:v>
                </c:pt>
                <c:pt idx="219">
                  <c:v>206.83111954459201</c:v>
                </c:pt>
                <c:pt idx="220">
                  <c:v>207.77988614800759</c:v>
                </c:pt>
                <c:pt idx="221">
                  <c:v>208.72865275142317</c:v>
                </c:pt>
                <c:pt idx="222">
                  <c:v>209.67741935483869</c:v>
                </c:pt>
                <c:pt idx="223">
                  <c:v>210.62618595825427</c:v>
                </c:pt>
                <c:pt idx="224">
                  <c:v>211.57495256166985</c:v>
                </c:pt>
                <c:pt idx="225">
                  <c:v>212.52371916508537</c:v>
                </c:pt>
                <c:pt idx="226">
                  <c:v>213.47248576850095</c:v>
                </c:pt>
                <c:pt idx="227">
                  <c:v>214.42125237191652</c:v>
                </c:pt>
                <c:pt idx="228">
                  <c:v>215.37001897533207</c:v>
                </c:pt>
                <c:pt idx="229">
                  <c:v>216.31878557874762</c:v>
                </c:pt>
                <c:pt idx="230">
                  <c:v>217.2675521821632</c:v>
                </c:pt>
                <c:pt idx="231">
                  <c:v>218.21631878557878</c:v>
                </c:pt>
                <c:pt idx="232">
                  <c:v>219.1650853889943</c:v>
                </c:pt>
                <c:pt idx="233">
                  <c:v>220.11385199240988</c:v>
                </c:pt>
                <c:pt idx="234">
                  <c:v>221.06261859582546</c:v>
                </c:pt>
                <c:pt idx="235">
                  <c:v>222.01138519924098</c:v>
                </c:pt>
                <c:pt idx="236">
                  <c:v>222.96015180265655</c:v>
                </c:pt>
                <c:pt idx="237">
                  <c:v>223.90891840607213</c:v>
                </c:pt>
                <c:pt idx="238">
                  <c:v>224.85768500948765</c:v>
                </c:pt>
                <c:pt idx="239">
                  <c:v>225.80645161290323</c:v>
                </c:pt>
                <c:pt idx="240">
                  <c:v>226.75521821631881</c:v>
                </c:pt>
                <c:pt idx="241">
                  <c:v>227.70398481973433</c:v>
                </c:pt>
                <c:pt idx="242">
                  <c:v>228.65275142314994</c:v>
                </c:pt>
                <c:pt idx="243">
                  <c:v>229.60151802656549</c:v>
                </c:pt>
                <c:pt idx="244">
                  <c:v>230.55028462998101</c:v>
                </c:pt>
                <c:pt idx="245">
                  <c:v>231.49905123339661</c:v>
                </c:pt>
                <c:pt idx="246">
                  <c:v>232.44781783681216</c:v>
                </c:pt>
                <c:pt idx="247">
                  <c:v>233.39658444022768</c:v>
                </c:pt>
                <c:pt idx="248">
                  <c:v>234.34535104364329</c:v>
                </c:pt>
                <c:pt idx="249">
                  <c:v>235.29411764705884</c:v>
                </c:pt>
                <c:pt idx="250">
                  <c:v>236.24288425047436</c:v>
                </c:pt>
                <c:pt idx="251">
                  <c:v>237.19165085388994</c:v>
                </c:pt>
                <c:pt idx="252">
                  <c:v>238.14041745730552</c:v>
                </c:pt>
                <c:pt idx="253">
                  <c:v>239.08918406072107</c:v>
                </c:pt>
                <c:pt idx="254">
                  <c:v>240.03795066413662</c:v>
                </c:pt>
                <c:pt idx="255">
                  <c:v>240.98671726755219</c:v>
                </c:pt>
                <c:pt idx="256">
                  <c:v>241.93548387096774</c:v>
                </c:pt>
                <c:pt idx="257">
                  <c:v>242.88425047438329</c:v>
                </c:pt>
                <c:pt idx="258">
                  <c:v>243.83301707779887</c:v>
                </c:pt>
                <c:pt idx="259">
                  <c:v>244.78178368121442</c:v>
                </c:pt>
                <c:pt idx="260">
                  <c:v>245.73055028462997</c:v>
                </c:pt>
                <c:pt idx="261">
                  <c:v>246.67931688804555</c:v>
                </c:pt>
                <c:pt idx="262">
                  <c:v>247.6280834914611</c:v>
                </c:pt>
                <c:pt idx="263">
                  <c:v>248.57685009487665</c:v>
                </c:pt>
                <c:pt idx="264">
                  <c:v>249.52561669829223</c:v>
                </c:pt>
                <c:pt idx="265">
                  <c:v>250.4743833017078</c:v>
                </c:pt>
                <c:pt idx="266">
                  <c:v>251.42314990512332</c:v>
                </c:pt>
                <c:pt idx="267">
                  <c:v>252.37191650853893</c:v>
                </c:pt>
                <c:pt idx="268">
                  <c:v>253.32068311195448</c:v>
                </c:pt>
                <c:pt idx="269">
                  <c:v>254.26944971537</c:v>
                </c:pt>
                <c:pt idx="270">
                  <c:v>255.21821631878561</c:v>
                </c:pt>
                <c:pt idx="271">
                  <c:v>256.16698292220116</c:v>
                </c:pt>
                <c:pt idx="272">
                  <c:v>257.11574952561671</c:v>
                </c:pt>
                <c:pt idx="273">
                  <c:v>258.06451612903226</c:v>
                </c:pt>
                <c:pt idx="274">
                  <c:v>259.01328273244786</c:v>
                </c:pt>
                <c:pt idx="275">
                  <c:v>259.96204933586336</c:v>
                </c:pt>
                <c:pt idx="276">
                  <c:v>260.91081593927896</c:v>
                </c:pt>
                <c:pt idx="277">
                  <c:v>261.85958254269451</c:v>
                </c:pt>
                <c:pt idx="278">
                  <c:v>262.80834914611006</c:v>
                </c:pt>
                <c:pt idx="279">
                  <c:v>263.75711574952561</c:v>
                </c:pt>
                <c:pt idx="280">
                  <c:v>264.70588235294116</c:v>
                </c:pt>
                <c:pt idx="281">
                  <c:v>265.65464895635677</c:v>
                </c:pt>
                <c:pt idx="282">
                  <c:v>266.60341555977232</c:v>
                </c:pt>
                <c:pt idx="283">
                  <c:v>267.55218216318787</c:v>
                </c:pt>
                <c:pt idx="284">
                  <c:v>268.50094876660341</c:v>
                </c:pt>
                <c:pt idx="285">
                  <c:v>269.44971537001896</c:v>
                </c:pt>
                <c:pt idx="286">
                  <c:v>270.39848197343451</c:v>
                </c:pt>
                <c:pt idx="287">
                  <c:v>271.34724857685012</c:v>
                </c:pt>
                <c:pt idx="288">
                  <c:v>272.29601518026567</c:v>
                </c:pt>
                <c:pt idx="289">
                  <c:v>273.24478178368122</c:v>
                </c:pt>
                <c:pt idx="290">
                  <c:v>274.19354838709677</c:v>
                </c:pt>
                <c:pt idx="291">
                  <c:v>275.14231499051232</c:v>
                </c:pt>
                <c:pt idx="292">
                  <c:v>276.09108159392792</c:v>
                </c:pt>
                <c:pt idx="293">
                  <c:v>277.03984819734347</c:v>
                </c:pt>
                <c:pt idx="294">
                  <c:v>277.98861480075902</c:v>
                </c:pt>
                <c:pt idx="295">
                  <c:v>278.93738140417457</c:v>
                </c:pt>
                <c:pt idx="296">
                  <c:v>279.88614800759018</c:v>
                </c:pt>
                <c:pt idx="297">
                  <c:v>280.83491461100567</c:v>
                </c:pt>
                <c:pt idx="298">
                  <c:v>281.78368121442122</c:v>
                </c:pt>
                <c:pt idx="299">
                  <c:v>282.73244781783683</c:v>
                </c:pt>
                <c:pt idx="300">
                  <c:v>283.68121442125238</c:v>
                </c:pt>
                <c:pt idx="301">
                  <c:v>284.62998102466793</c:v>
                </c:pt>
                <c:pt idx="302">
                  <c:v>285.57874762808353</c:v>
                </c:pt>
                <c:pt idx="303">
                  <c:v>286.52751423149903</c:v>
                </c:pt>
                <c:pt idx="304">
                  <c:v>287.47628083491458</c:v>
                </c:pt>
                <c:pt idx="305">
                  <c:v>288.42504743833024</c:v>
                </c:pt>
                <c:pt idx="306">
                  <c:v>289.37381404174573</c:v>
                </c:pt>
                <c:pt idx="307">
                  <c:v>290.32258064516128</c:v>
                </c:pt>
                <c:pt idx="308">
                  <c:v>291.27134724857689</c:v>
                </c:pt>
                <c:pt idx="309">
                  <c:v>292.22011385199238</c:v>
                </c:pt>
                <c:pt idx="310">
                  <c:v>293.16888045540793</c:v>
                </c:pt>
                <c:pt idx="311">
                  <c:v>294.11764705882359</c:v>
                </c:pt>
                <c:pt idx="312">
                  <c:v>295.06641366223909</c:v>
                </c:pt>
                <c:pt idx="313">
                  <c:v>296.01518026565464</c:v>
                </c:pt>
                <c:pt idx="314">
                  <c:v>296.96394686907024</c:v>
                </c:pt>
                <c:pt idx="315">
                  <c:v>297.91271347248573</c:v>
                </c:pt>
                <c:pt idx="316">
                  <c:v>298.8614800759014</c:v>
                </c:pt>
                <c:pt idx="317">
                  <c:v>299.81024667931695</c:v>
                </c:pt>
                <c:pt idx="318">
                  <c:v>300.75901328273244</c:v>
                </c:pt>
                <c:pt idx="319">
                  <c:v>301.70777988614805</c:v>
                </c:pt>
                <c:pt idx="320">
                  <c:v>302.65654648956354</c:v>
                </c:pt>
                <c:pt idx="321">
                  <c:v>303.60531309297909</c:v>
                </c:pt>
                <c:pt idx="322">
                  <c:v>304.55407969639475</c:v>
                </c:pt>
                <c:pt idx="323">
                  <c:v>305.5028462998103</c:v>
                </c:pt>
                <c:pt idx="324">
                  <c:v>306.45161290322579</c:v>
                </c:pt>
                <c:pt idx="325">
                  <c:v>307.4003795066414</c:v>
                </c:pt>
                <c:pt idx="326">
                  <c:v>308.34914611005689</c:v>
                </c:pt>
                <c:pt idx="327">
                  <c:v>309.2979127134725</c:v>
                </c:pt>
                <c:pt idx="328">
                  <c:v>310.24667931688811</c:v>
                </c:pt>
                <c:pt idx="329">
                  <c:v>311.1954459203036</c:v>
                </c:pt>
                <c:pt idx="330">
                  <c:v>312.14421252371915</c:v>
                </c:pt>
                <c:pt idx="331">
                  <c:v>313.09297912713475</c:v>
                </c:pt>
                <c:pt idx="332">
                  <c:v>314.04174573055025</c:v>
                </c:pt>
                <c:pt idx="333">
                  <c:v>314.99051233396585</c:v>
                </c:pt>
                <c:pt idx="334">
                  <c:v>315.93927893738146</c:v>
                </c:pt>
                <c:pt idx="335">
                  <c:v>316.88804554079695</c:v>
                </c:pt>
                <c:pt idx="336">
                  <c:v>317.8368121442125</c:v>
                </c:pt>
                <c:pt idx="337">
                  <c:v>318.78557874762811</c:v>
                </c:pt>
                <c:pt idx="338">
                  <c:v>319.73434535104366</c:v>
                </c:pt>
                <c:pt idx="339">
                  <c:v>320.68311195445921</c:v>
                </c:pt>
                <c:pt idx="340">
                  <c:v>321.63187855787481</c:v>
                </c:pt>
                <c:pt idx="341">
                  <c:v>322.58064516129031</c:v>
                </c:pt>
                <c:pt idx="342">
                  <c:v>323.52941176470586</c:v>
                </c:pt>
                <c:pt idx="343">
                  <c:v>324.47817836812146</c:v>
                </c:pt>
                <c:pt idx="344">
                  <c:v>325.42694497153701</c:v>
                </c:pt>
                <c:pt idx="345">
                  <c:v>326.37571157495256</c:v>
                </c:pt>
                <c:pt idx="346">
                  <c:v>327.32447817836817</c:v>
                </c:pt>
                <c:pt idx="347">
                  <c:v>328.27324478178366</c:v>
                </c:pt>
                <c:pt idx="348">
                  <c:v>329.22201138519921</c:v>
                </c:pt>
                <c:pt idx="349">
                  <c:v>330.17077798861482</c:v>
                </c:pt>
                <c:pt idx="350">
                  <c:v>331.11954459203037</c:v>
                </c:pt>
                <c:pt idx="351">
                  <c:v>332.06831119544592</c:v>
                </c:pt>
                <c:pt idx="352">
                  <c:v>333.01707779886152</c:v>
                </c:pt>
                <c:pt idx="353">
                  <c:v>333.96584440227701</c:v>
                </c:pt>
                <c:pt idx="354">
                  <c:v>334.91461100569256</c:v>
                </c:pt>
                <c:pt idx="355">
                  <c:v>335.86337760910823</c:v>
                </c:pt>
                <c:pt idx="356">
                  <c:v>336.81214421252372</c:v>
                </c:pt>
                <c:pt idx="357">
                  <c:v>337.76091081593927</c:v>
                </c:pt>
                <c:pt idx="358">
                  <c:v>338.70967741935488</c:v>
                </c:pt>
                <c:pt idx="359">
                  <c:v>339.65844402277037</c:v>
                </c:pt>
                <c:pt idx="360">
                  <c:v>340.60721062618592</c:v>
                </c:pt>
                <c:pt idx="361">
                  <c:v>341.55597722960158</c:v>
                </c:pt>
                <c:pt idx="362">
                  <c:v>342.50474383301707</c:v>
                </c:pt>
                <c:pt idx="363">
                  <c:v>343.45351043643262</c:v>
                </c:pt>
                <c:pt idx="364">
                  <c:v>344.40227703984823</c:v>
                </c:pt>
                <c:pt idx="365">
                  <c:v>345.35104364326372</c:v>
                </c:pt>
                <c:pt idx="366">
                  <c:v>346.29981024667933</c:v>
                </c:pt>
                <c:pt idx="367">
                  <c:v>347.24857685009493</c:v>
                </c:pt>
                <c:pt idx="368">
                  <c:v>348.19734345351043</c:v>
                </c:pt>
                <c:pt idx="369">
                  <c:v>349.14611005692598</c:v>
                </c:pt>
                <c:pt idx="370">
                  <c:v>350.09487666034158</c:v>
                </c:pt>
                <c:pt idx="371">
                  <c:v>351.04364326375708</c:v>
                </c:pt>
                <c:pt idx="372">
                  <c:v>351.99240986717268</c:v>
                </c:pt>
                <c:pt idx="373">
                  <c:v>352.94117647058829</c:v>
                </c:pt>
                <c:pt idx="374">
                  <c:v>353.88994307400378</c:v>
                </c:pt>
                <c:pt idx="375">
                  <c:v>354.83870967741933</c:v>
                </c:pt>
                <c:pt idx="376">
                  <c:v>355.78747628083494</c:v>
                </c:pt>
                <c:pt idx="377">
                  <c:v>356.73624288425049</c:v>
                </c:pt>
                <c:pt idx="378">
                  <c:v>357.68500948766604</c:v>
                </c:pt>
                <c:pt idx="379">
                  <c:v>358.63377609108164</c:v>
                </c:pt>
                <c:pt idx="380">
                  <c:v>359.58254269449714</c:v>
                </c:pt>
                <c:pt idx="381">
                  <c:v>360.53130929791268</c:v>
                </c:pt>
                <c:pt idx="382">
                  <c:v>361.48007590132829</c:v>
                </c:pt>
                <c:pt idx="383">
                  <c:v>362.42884250474384</c:v>
                </c:pt>
                <c:pt idx="384">
                  <c:v>363.37760910815939</c:v>
                </c:pt>
                <c:pt idx="385">
                  <c:v>364.326375711575</c:v>
                </c:pt>
                <c:pt idx="386">
                  <c:v>365.27514231499049</c:v>
                </c:pt>
                <c:pt idx="387">
                  <c:v>366.2239089184061</c:v>
                </c:pt>
                <c:pt idx="388">
                  <c:v>367.17267552182165</c:v>
                </c:pt>
                <c:pt idx="389">
                  <c:v>368.12144212523719</c:v>
                </c:pt>
                <c:pt idx="390">
                  <c:v>369.0702087286528</c:v>
                </c:pt>
                <c:pt idx="391">
                  <c:v>370.01897533206835</c:v>
                </c:pt>
                <c:pt idx="392">
                  <c:v>370.96774193548384</c:v>
                </c:pt>
                <c:pt idx="393">
                  <c:v>371.91650853889945</c:v>
                </c:pt>
                <c:pt idx="394">
                  <c:v>372.86527514231506</c:v>
                </c:pt>
                <c:pt idx="395">
                  <c:v>373.81404174573055</c:v>
                </c:pt>
                <c:pt idx="396">
                  <c:v>374.76280834914616</c:v>
                </c:pt>
                <c:pt idx="397">
                  <c:v>375.7115749525617</c:v>
                </c:pt>
                <c:pt idx="398">
                  <c:v>376.6603415559772</c:v>
                </c:pt>
                <c:pt idx="399">
                  <c:v>377.6091081593928</c:v>
                </c:pt>
                <c:pt idx="400">
                  <c:v>378.55787476280841</c:v>
                </c:pt>
                <c:pt idx="401">
                  <c:v>379.5066413662239</c:v>
                </c:pt>
                <c:pt idx="402">
                  <c:v>380.45540796963951</c:v>
                </c:pt>
                <c:pt idx="403">
                  <c:v>381.404174573055</c:v>
                </c:pt>
                <c:pt idx="404">
                  <c:v>382.35294117647055</c:v>
                </c:pt>
                <c:pt idx="405">
                  <c:v>383.30170777988621</c:v>
                </c:pt>
                <c:pt idx="406">
                  <c:v>384.25047438330176</c:v>
                </c:pt>
                <c:pt idx="407">
                  <c:v>385.19924098671726</c:v>
                </c:pt>
                <c:pt idx="408">
                  <c:v>386.14800759013286</c:v>
                </c:pt>
                <c:pt idx="409">
                  <c:v>387.09677419354836</c:v>
                </c:pt>
                <c:pt idx="410">
                  <c:v>388.04554079696391</c:v>
                </c:pt>
                <c:pt idx="411">
                  <c:v>388.99430740037957</c:v>
                </c:pt>
                <c:pt idx="412">
                  <c:v>389.94307400379512</c:v>
                </c:pt>
                <c:pt idx="413">
                  <c:v>390.89184060721061</c:v>
                </c:pt>
                <c:pt idx="414">
                  <c:v>391.84060721062622</c:v>
                </c:pt>
                <c:pt idx="415">
                  <c:v>392.78937381404171</c:v>
                </c:pt>
                <c:pt idx="416">
                  <c:v>393.73814041745732</c:v>
                </c:pt>
                <c:pt idx="417">
                  <c:v>394.68690702087292</c:v>
                </c:pt>
                <c:pt idx="418">
                  <c:v>395.63567362428842</c:v>
                </c:pt>
                <c:pt idx="419">
                  <c:v>396.58444022770396</c:v>
                </c:pt>
                <c:pt idx="420">
                  <c:v>397.53320683111957</c:v>
                </c:pt>
                <c:pt idx="421">
                  <c:v>398.48197343453506</c:v>
                </c:pt>
                <c:pt idx="422">
                  <c:v>399.43074003795067</c:v>
                </c:pt>
                <c:pt idx="423">
                  <c:v>400.37950664136628</c:v>
                </c:pt>
                <c:pt idx="424">
                  <c:v>401.32827324478177</c:v>
                </c:pt>
                <c:pt idx="425">
                  <c:v>402.27703984819732</c:v>
                </c:pt>
                <c:pt idx="426">
                  <c:v>403.22580645161293</c:v>
                </c:pt>
                <c:pt idx="427">
                  <c:v>404.17457305502842</c:v>
                </c:pt>
                <c:pt idx="428">
                  <c:v>405.12333965844402</c:v>
                </c:pt>
                <c:pt idx="429">
                  <c:v>406.07210626185963</c:v>
                </c:pt>
                <c:pt idx="430">
                  <c:v>407.02087286527512</c:v>
                </c:pt>
                <c:pt idx="431">
                  <c:v>407.96963946869067</c:v>
                </c:pt>
                <c:pt idx="432">
                  <c:v>408.91840607210628</c:v>
                </c:pt>
                <c:pt idx="433">
                  <c:v>409.86717267552183</c:v>
                </c:pt>
                <c:pt idx="434">
                  <c:v>410.81593927893738</c:v>
                </c:pt>
                <c:pt idx="435">
                  <c:v>411.76470588235298</c:v>
                </c:pt>
                <c:pt idx="436">
                  <c:v>412.71347248576848</c:v>
                </c:pt>
                <c:pt idx="437">
                  <c:v>413.66223908918403</c:v>
                </c:pt>
                <c:pt idx="438">
                  <c:v>414.61100569259963</c:v>
                </c:pt>
                <c:pt idx="439">
                  <c:v>415.55977229601518</c:v>
                </c:pt>
                <c:pt idx="440">
                  <c:v>416.50853889943073</c:v>
                </c:pt>
                <c:pt idx="441">
                  <c:v>417.45730550284634</c:v>
                </c:pt>
                <c:pt idx="442">
                  <c:v>418.40607210626183</c:v>
                </c:pt>
                <c:pt idx="443">
                  <c:v>419.35483870967738</c:v>
                </c:pt>
                <c:pt idx="444">
                  <c:v>420.30360531309304</c:v>
                </c:pt>
                <c:pt idx="445">
                  <c:v>421.25237191650854</c:v>
                </c:pt>
                <c:pt idx="446">
                  <c:v>422.20113851992409</c:v>
                </c:pt>
                <c:pt idx="447">
                  <c:v>423.14990512333969</c:v>
                </c:pt>
                <c:pt idx="448">
                  <c:v>424.09867172675519</c:v>
                </c:pt>
                <c:pt idx="449">
                  <c:v>425.04743833017073</c:v>
                </c:pt>
                <c:pt idx="450">
                  <c:v>425.9962049335864</c:v>
                </c:pt>
                <c:pt idx="451">
                  <c:v>426.94497153700189</c:v>
                </c:pt>
                <c:pt idx="452">
                  <c:v>427.89373814041744</c:v>
                </c:pt>
                <c:pt idx="453">
                  <c:v>428.84250474383305</c:v>
                </c:pt>
                <c:pt idx="454">
                  <c:v>429.79127134724854</c:v>
                </c:pt>
                <c:pt idx="455">
                  <c:v>430.74003795066415</c:v>
                </c:pt>
                <c:pt idx="456">
                  <c:v>431.68880455407975</c:v>
                </c:pt>
                <c:pt idx="457">
                  <c:v>432.63757115749524</c:v>
                </c:pt>
                <c:pt idx="458">
                  <c:v>433.58633776091085</c:v>
                </c:pt>
                <c:pt idx="459">
                  <c:v>434.5351043643264</c:v>
                </c:pt>
                <c:pt idx="460">
                  <c:v>435.48387096774189</c:v>
                </c:pt>
                <c:pt idx="461">
                  <c:v>436.43263757115756</c:v>
                </c:pt>
                <c:pt idx="462">
                  <c:v>437.38140417457311</c:v>
                </c:pt>
                <c:pt idx="463">
                  <c:v>438.3301707779886</c:v>
                </c:pt>
                <c:pt idx="464">
                  <c:v>439.27893738140421</c:v>
                </c:pt>
                <c:pt idx="465">
                  <c:v>440.22770398481975</c:v>
                </c:pt>
                <c:pt idx="466">
                  <c:v>441.1764705882353</c:v>
                </c:pt>
                <c:pt idx="467">
                  <c:v>442.12523719165091</c:v>
                </c:pt>
                <c:pt idx="468">
                  <c:v>443.07400379506646</c:v>
                </c:pt>
                <c:pt idx="469">
                  <c:v>444.02277039848195</c:v>
                </c:pt>
                <c:pt idx="470">
                  <c:v>444.97153700189756</c:v>
                </c:pt>
                <c:pt idx="471">
                  <c:v>445.92030360531311</c:v>
                </c:pt>
                <c:pt idx="472">
                  <c:v>446.86907020872866</c:v>
                </c:pt>
                <c:pt idx="473">
                  <c:v>447.81783681214426</c:v>
                </c:pt>
                <c:pt idx="474">
                  <c:v>448.76660341555981</c:v>
                </c:pt>
                <c:pt idx="475">
                  <c:v>449.71537001897531</c:v>
                </c:pt>
                <c:pt idx="476">
                  <c:v>450.66413662239091</c:v>
                </c:pt>
                <c:pt idx="477">
                  <c:v>451.61290322580646</c:v>
                </c:pt>
                <c:pt idx="478">
                  <c:v>452.56166982922201</c:v>
                </c:pt>
                <c:pt idx="479">
                  <c:v>453.51043643263762</c:v>
                </c:pt>
                <c:pt idx="480">
                  <c:v>454.45920303605317</c:v>
                </c:pt>
                <c:pt idx="481">
                  <c:v>455.40796963946866</c:v>
                </c:pt>
                <c:pt idx="482">
                  <c:v>456.35673624288427</c:v>
                </c:pt>
                <c:pt idx="483">
                  <c:v>457.30550284629987</c:v>
                </c:pt>
                <c:pt idx="484">
                  <c:v>458.25426944971537</c:v>
                </c:pt>
                <c:pt idx="485">
                  <c:v>459.20303605313097</c:v>
                </c:pt>
                <c:pt idx="486">
                  <c:v>460.15180265654652</c:v>
                </c:pt>
                <c:pt idx="487">
                  <c:v>461.10056925996201</c:v>
                </c:pt>
                <c:pt idx="488">
                  <c:v>462.04933586337762</c:v>
                </c:pt>
                <c:pt idx="489">
                  <c:v>462.99810246679323</c:v>
                </c:pt>
                <c:pt idx="490">
                  <c:v>463.94686907020872</c:v>
                </c:pt>
                <c:pt idx="491">
                  <c:v>464.89563567362433</c:v>
                </c:pt>
                <c:pt idx="492">
                  <c:v>465.84440227703982</c:v>
                </c:pt>
                <c:pt idx="493">
                  <c:v>466.79316888045537</c:v>
                </c:pt>
                <c:pt idx="494">
                  <c:v>467.74193548387103</c:v>
                </c:pt>
                <c:pt idx="495">
                  <c:v>468.69070208728658</c:v>
                </c:pt>
                <c:pt idx="496">
                  <c:v>469.63946869070207</c:v>
                </c:pt>
                <c:pt idx="497">
                  <c:v>470.58823529411768</c:v>
                </c:pt>
                <c:pt idx="498">
                  <c:v>471.53700189753317</c:v>
                </c:pt>
                <c:pt idx="499">
                  <c:v>472.48576850094872</c:v>
                </c:pt>
                <c:pt idx="500">
                  <c:v>473.43453510436439</c:v>
                </c:pt>
                <c:pt idx="501">
                  <c:v>474.38330170777988</c:v>
                </c:pt>
                <c:pt idx="502">
                  <c:v>475.33206831119543</c:v>
                </c:pt>
                <c:pt idx="503">
                  <c:v>476.28083491461103</c:v>
                </c:pt>
                <c:pt idx="504">
                  <c:v>477.22960151802653</c:v>
                </c:pt>
                <c:pt idx="505">
                  <c:v>478.17836812144213</c:v>
                </c:pt>
                <c:pt idx="506">
                  <c:v>479.12713472485774</c:v>
                </c:pt>
                <c:pt idx="507">
                  <c:v>480.07590132827323</c:v>
                </c:pt>
                <c:pt idx="508">
                  <c:v>481.02466793168878</c:v>
                </c:pt>
                <c:pt idx="509">
                  <c:v>481.97343453510439</c:v>
                </c:pt>
                <c:pt idx="510">
                  <c:v>482.92220113851988</c:v>
                </c:pt>
                <c:pt idx="511">
                  <c:v>483.87096774193549</c:v>
                </c:pt>
                <c:pt idx="512">
                  <c:v>484.81973434535109</c:v>
                </c:pt>
                <c:pt idx="513">
                  <c:v>485.76850094876659</c:v>
                </c:pt>
                <c:pt idx="514">
                  <c:v>486.71726755218214</c:v>
                </c:pt>
                <c:pt idx="515">
                  <c:v>487.66603415559774</c:v>
                </c:pt>
                <c:pt idx="516">
                  <c:v>488.61480075901324</c:v>
                </c:pt>
                <c:pt idx="517">
                  <c:v>489.56356736242884</c:v>
                </c:pt>
                <c:pt idx="518">
                  <c:v>490.51233396584445</c:v>
                </c:pt>
                <c:pt idx="519">
                  <c:v>491.46110056925994</c:v>
                </c:pt>
                <c:pt idx="520">
                  <c:v>492.40986717267549</c:v>
                </c:pt>
                <c:pt idx="521">
                  <c:v>493.3586337760911</c:v>
                </c:pt>
                <c:pt idx="522">
                  <c:v>494.30740037950665</c:v>
                </c:pt>
                <c:pt idx="523">
                  <c:v>495.2561669829222</c:v>
                </c:pt>
                <c:pt idx="524">
                  <c:v>496.2049335863378</c:v>
                </c:pt>
                <c:pt idx="525">
                  <c:v>497.15370018975329</c:v>
                </c:pt>
                <c:pt idx="526">
                  <c:v>498.1024667931689</c:v>
                </c:pt>
                <c:pt idx="527">
                  <c:v>499.05123339658445</c:v>
                </c:pt>
                <c:pt idx="528">
                  <c:v>500</c:v>
                </c:pt>
                <c:pt idx="529">
                  <c:v>500.94876660341561</c:v>
                </c:pt>
                <c:pt idx="530">
                  <c:v>501.89753320683116</c:v>
                </c:pt>
                <c:pt idx="531">
                  <c:v>502.84629981024665</c:v>
                </c:pt>
                <c:pt idx="532">
                  <c:v>503.79506641366225</c:v>
                </c:pt>
                <c:pt idx="533">
                  <c:v>504.74383301707786</c:v>
                </c:pt>
                <c:pt idx="534">
                  <c:v>505.69259962049335</c:v>
                </c:pt>
                <c:pt idx="535">
                  <c:v>506.64136622390896</c:v>
                </c:pt>
                <c:pt idx="536">
                  <c:v>507.59013282732451</c:v>
                </c:pt>
                <c:pt idx="537">
                  <c:v>508.53889943074</c:v>
                </c:pt>
                <c:pt idx="538">
                  <c:v>509.48766603415561</c:v>
                </c:pt>
                <c:pt idx="539">
                  <c:v>510.43643263757122</c:v>
                </c:pt>
                <c:pt idx="540">
                  <c:v>511.38519924098671</c:v>
                </c:pt>
                <c:pt idx="541">
                  <c:v>512.33396584440231</c:v>
                </c:pt>
                <c:pt idx="542">
                  <c:v>513.28273244781781</c:v>
                </c:pt>
                <c:pt idx="543">
                  <c:v>514.23149905123341</c:v>
                </c:pt>
                <c:pt idx="544">
                  <c:v>515.18026565464891</c:v>
                </c:pt>
                <c:pt idx="545">
                  <c:v>516.12903225806451</c:v>
                </c:pt>
                <c:pt idx="546">
                  <c:v>517.07779886148012</c:v>
                </c:pt>
                <c:pt idx="547">
                  <c:v>518.02656546489573</c:v>
                </c:pt>
                <c:pt idx="548">
                  <c:v>518.97533206831122</c:v>
                </c:pt>
                <c:pt idx="549">
                  <c:v>519.92409867172671</c:v>
                </c:pt>
                <c:pt idx="550">
                  <c:v>520.87286527514243</c:v>
                </c:pt>
                <c:pt idx="551">
                  <c:v>521.82163187855792</c:v>
                </c:pt>
                <c:pt idx="552">
                  <c:v>522.77039848197342</c:v>
                </c:pt>
                <c:pt idx="553">
                  <c:v>523.71916508538902</c:v>
                </c:pt>
                <c:pt idx="554">
                  <c:v>524.66793168880452</c:v>
                </c:pt>
                <c:pt idx="555">
                  <c:v>525.61669829222012</c:v>
                </c:pt>
                <c:pt idx="556">
                  <c:v>526.56546489563573</c:v>
                </c:pt>
                <c:pt idx="557">
                  <c:v>527.51423149905122</c:v>
                </c:pt>
                <c:pt idx="558">
                  <c:v>528.46299810246683</c:v>
                </c:pt>
                <c:pt idx="559">
                  <c:v>529.41176470588232</c:v>
                </c:pt>
                <c:pt idx="560">
                  <c:v>530.36053130929793</c:v>
                </c:pt>
                <c:pt idx="561">
                  <c:v>531.30929791271353</c:v>
                </c:pt>
                <c:pt idx="562">
                  <c:v>532.25806451612902</c:v>
                </c:pt>
                <c:pt idx="563">
                  <c:v>533.20683111954463</c:v>
                </c:pt>
                <c:pt idx="564">
                  <c:v>534.15559772296012</c:v>
                </c:pt>
                <c:pt idx="565">
                  <c:v>535.10436432637573</c:v>
                </c:pt>
                <c:pt idx="566">
                  <c:v>536.05313092979122</c:v>
                </c:pt>
                <c:pt idx="567">
                  <c:v>537.00189753320683</c:v>
                </c:pt>
                <c:pt idx="568">
                  <c:v>537.95066413662244</c:v>
                </c:pt>
                <c:pt idx="569">
                  <c:v>538.89943074003793</c:v>
                </c:pt>
                <c:pt idx="570">
                  <c:v>539.84819734345353</c:v>
                </c:pt>
                <c:pt idx="571">
                  <c:v>540.79696394686903</c:v>
                </c:pt>
                <c:pt idx="572">
                  <c:v>541.74573055028463</c:v>
                </c:pt>
                <c:pt idx="573">
                  <c:v>542.69449715370024</c:v>
                </c:pt>
                <c:pt idx="574">
                  <c:v>543.64326375711573</c:v>
                </c:pt>
                <c:pt idx="575">
                  <c:v>544.59203036053134</c:v>
                </c:pt>
                <c:pt idx="576">
                  <c:v>545.54079696394683</c:v>
                </c:pt>
                <c:pt idx="577">
                  <c:v>546.48956356736244</c:v>
                </c:pt>
                <c:pt idx="578">
                  <c:v>547.43833017077804</c:v>
                </c:pt>
                <c:pt idx="579">
                  <c:v>548.38709677419354</c:v>
                </c:pt>
                <c:pt idx="580">
                  <c:v>549.33586337760914</c:v>
                </c:pt>
                <c:pt idx="581">
                  <c:v>550.28462998102464</c:v>
                </c:pt>
                <c:pt idx="582">
                  <c:v>551.23339658444024</c:v>
                </c:pt>
                <c:pt idx="583">
                  <c:v>552.18216318785585</c:v>
                </c:pt>
                <c:pt idx="584">
                  <c:v>553.13092979127134</c:v>
                </c:pt>
                <c:pt idx="585">
                  <c:v>554.07969639468695</c:v>
                </c:pt>
                <c:pt idx="586">
                  <c:v>555.02846299810244</c:v>
                </c:pt>
                <c:pt idx="587">
                  <c:v>555.97722960151805</c:v>
                </c:pt>
                <c:pt idx="588">
                  <c:v>556.92599620493354</c:v>
                </c:pt>
                <c:pt idx="589">
                  <c:v>557.87476280834915</c:v>
                </c:pt>
                <c:pt idx="590">
                  <c:v>558.82352941176475</c:v>
                </c:pt>
                <c:pt idx="591">
                  <c:v>559.77229601518036</c:v>
                </c:pt>
                <c:pt idx="592">
                  <c:v>560.72106261859585</c:v>
                </c:pt>
                <c:pt idx="593">
                  <c:v>561.66982922201134</c:v>
                </c:pt>
                <c:pt idx="594">
                  <c:v>562.61859582542695</c:v>
                </c:pt>
                <c:pt idx="595">
                  <c:v>563.56736242884244</c:v>
                </c:pt>
                <c:pt idx="596">
                  <c:v>564.51612903225816</c:v>
                </c:pt>
                <c:pt idx="597">
                  <c:v>565.46489563567366</c:v>
                </c:pt>
                <c:pt idx="598">
                  <c:v>566.41366223908915</c:v>
                </c:pt>
                <c:pt idx="599">
                  <c:v>567.36242884250476</c:v>
                </c:pt>
                <c:pt idx="600">
                  <c:v>568.31119544592025</c:v>
                </c:pt>
                <c:pt idx="601">
                  <c:v>569.25996204933585</c:v>
                </c:pt>
                <c:pt idx="602">
                  <c:v>570.20872865275146</c:v>
                </c:pt>
                <c:pt idx="603">
                  <c:v>571.15749525616707</c:v>
                </c:pt>
                <c:pt idx="604">
                  <c:v>572.10626185958256</c:v>
                </c:pt>
                <c:pt idx="605">
                  <c:v>573.05502846299805</c:v>
                </c:pt>
                <c:pt idx="606">
                  <c:v>574.00379506641366</c:v>
                </c:pt>
                <c:pt idx="607">
                  <c:v>574.95256166982915</c:v>
                </c:pt>
                <c:pt idx="608">
                  <c:v>575.90132827324487</c:v>
                </c:pt>
                <c:pt idx="609">
                  <c:v>576.85009487666048</c:v>
                </c:pt>
                <c:pt idx="610">
                  <c:v>577.79886148007586</c:v>
                </c:pt>
                <c:pt idx="611">
                  <c:v>578.74762808349146</c:v>
                </c:pt>
                <c:pt idx="612">
                  <c:v>579.69639468690696</c:v>
                </c:pt>
                <c:pt idx="613">
                  <c:v>580.64516129032256</c:v>
                </c:pt>
                <c:pt idx="614">
                  <c:v>581.59392789373828</c:v>
                </c:pt>
                <c:pt idx="615">
                  <c:v>582.54269449715378</c:v>
                </c:pt>
                <c:pt idx="616">
                  <c:v>583.49146110056927</c:v>
                </c:pt>
                <c:pt idx="617">
                  <c:v>584.44022770398476</c:v>
                </c:pt>
                <c:pt idx="618">
                  <c:v>585.38899430740037</c:v>
                </c:pt>
                <c:pt idx="619">
                  <c:v>586.33776091081586</c:v>
                </c:pt>
                <c:pt idx="620">
                  <c:v>587.28652751423158</c:v>
                </c:pt>
                <c:pt idx="621">
                  <c:v>588.23529411764719</c:v>
                </c:pt>
                <c:pt idx="622">
                  <c:v>589.18406072106256</c:v>
                </c:pt>
                <c:pt idx="623">
                  <c:v>590.13282732447817</c:v>
                </c:pt>
                <c:pt idx="624">
                  <c:v>591.08159392789366</c:v>
                </c:pt>
                <c:pt idx="625">
                  <c:v>592.03036053130927</c:v>
                </c:pt>
                <c:pt idx="626">
                  <c:v>592.97912713472499</c:v>
                </c:pt>
                <c:pt idx="627">
                  <c:v>593.92789373814048</c:v>
                </c:pt>
                <c:pt idx="628">
                  <c:v>594.87666034155598</c:v>
                </c:pt>
                <c:pt idx="629">
                  <c:v>595.82542694497147</c:v>
                </c:pt>
                <c:pt idx="630">
                  <c:v>596.77419354838707</c:v>
                </c:pt>
                <c:pt idx="631">
                  <c:v>597.72296015180279</c:v>
                </c:pt>
                <c:pt idx="632">
                  <c:v>598.67172675521829</c:v>
                </c:pt>
                <c:pt idx="633">
                  <c:v>599.62049335863389</c:v>
                </c:pt>
                <c:pt idx="634">
                  <c:v>600.56925996204927</c:v>
                </c:pt>
                <c:pt idx="635">
                  <c:v>601.51802656546488</c:v>
                </c:pt>
                <c:pt idx="636">
                  <c:v>602.46679316888049</c:v>
                </c:pt>
                <c:pt idx="637">
                  <c:v>603.41555977229609</c:v>
                </c:pt>
                <c:pt idx="638">
                  <c:v>604.3643263757117</c:v>
                </c:pt>
                <c:pt idx="639">
                  <c:v>605.31309297912708</c:v>
                </c:pt>
                <c:pt idx="640">
                  <c:v>606.26185958254268</c:v>
                </c:pt>
                <c:pt idx="641">
                  <c:v>607.21062618595818</c:v>
                </c:pt>
                <c:pt idx="642">
                  <c:v>608.15939278937378</c:v>
                </c:pt>
                <c:pt idx="643">
                  <c:v>609.1081593927895</c:v>
                </c:pt>
                <c:pt idx="644">
                  <c:v>610.056925996205</c:v>
                </c:pt>
                <c:pt idx="645">
                  <c:v>611.0056925996206</c:v>
                </c:pt>
                <c:pt idx="646">
                  <c:v>611.95445920303598</c:v>
                </c:pt>
                <c:pt idx="647">
                  <c:v>612.90322580645159</c:v>
                </c:pt>
                <c:pt idx="648">
                  <c:v>613.85199240986719</c:v>
                </c:pt>
                <c:pt idx="649">
                  <c:v>614.8007590132828</c:v>
                </c:pt>
                <c:pt idx="650">
                  <c:v>615.74952561669841</c:v>
                </c:pt>
                <c:pt idx="651">
                  <c:v>616.69829222011379</c:v>
                </c:pt>
                <c:pt idx="652">
                  <c:v>617.64705882352939</c:v>
                </c:pt>
                <c:pt idx="653">
                  <c:v>618.595825426945</c:v>
                </c:pt>
                <c:pt idx="654">
                  <c:v>619.54459203036049</c:v>
                </c:pt>
                <c:pt idx="655">
                  <c:v>620.49335863377621</c:v>
                </c:pt>
                <c:pt idx="656">
                  <c:v>621.4421252371917</c:v>
                </c:pt>
                <c:pt idx="657">
                  <c:v>622.3908918406072</c:v>
                </c:pt>
                <c:pt idx="658">
                  <c:v>623.33965844402269</c:v>
                </c:pt>
                <c:pt idx="659">
                  <c:v>624.2884250474383</c:v>
                </c:pt>
                <c:pt idx="660">
                  <c:v>625.2371916508539</c:v>
                </c:pt>
                <c:pt idx="661">
                  <c:v>626.18595825426951</c:v>
                </c:pt>
                <c:pt idx="662">
                  <c:v>627.13472485768511</c:v>
                </c:pt>
                <c:pt idx="663">
                  <c:v>628.08349146110049</c:v>
                </c:pt>
                <c:pt idx="664">
                  <c:v>629.0322580645161</c:v>
                </c:pt>
                <c:pt idx="665">
                  <c:v>629.98102466793171</c:v>
                </c:pt>
                <c:pt idx="666">
                  <c:v>630.9297912713472</c:v>
                </c:pt>
                <c:pt idx="667">
                  <c:v>631.87855787476292</c:v>
                </c:pt>
                <c:pt idx="668">
                  <c:v>632.82732447817841</c:v>
                </c:pt>
                <c:pt idx="669">
                  <c:v>633.7760910815939</c:v>
                </c:pt>
                <c:pt idx="670">
                  <c:v>634.72485768500951</c:v>
                </c:pt>
                <c:pt idx="671">
                  <c:v>635.673624288425</c:v>
                </c:pt>
                <c:pt idx="672">
                  <c:v>636.62239089184061</c:v>
                </c:pt>
                <c:pt idx="673">
                  <c:v>637.57115749525622</c:v>
                </c:pt>
                <c:pt idx="674">
                  <c:v>638.51992409867182</c:v>
                </c:pt>
                <c:pt idx="675">
                  <c:v>639.46869070208732</c:v>
                </c:pt>
                <c:pt idx="676">
                  <c:v>640.41745730550281</c:v>
                </c:pt>
                <c:pt idx="677">
                  <c:v>641.36622390891841</c:v>
                </c:pt>
                <c:pt idx="678">
                  <c:v>642.31499051233391</c:v>
                </c:pt>
                <c:pt idx="679">
                  <c:v>643.26375711574963</c:v>
                </c:pt>
                <c:pt idx="680">
                  <c:v>644.21252371916512</c:v>
                </c:pt>
                <c:pt idx="681">
                  <c:v>645.16129032258061</c:v>
                </c:pt>
                <c:pt idx="682">
                  <c:v>646.11005692599622</c:v>
                </c:pt>
                <c:pt idx="683">
                  <c:v>647.05882352941171</c:v>
                </c:pt>
                <c:pt idx="684">
                  <c:v>648.00759013282732</c:v>
                </c:pt>
                <c:pt idx="685">
                  <c:v>648.95635673624292</c:v>
                </c:pt>
                <c:pt idx="686">
                  <c:v>649.90512333965853</c:v>
                </c:pt>
                <c:pt idx="687">
                  <c:v>650.85388994307402</c:v>
                </c:pt>
                <c:pt idx="688">
                  <c:v>651.80265654648952</c:v>
                </c:pt>
                <c:pt idx="689">
                  <c:v>652.75142314990512</c:v>
                </c:pt>
                <c:pt idx="690">
                  <c:v>653.70018975332061</c:v>
                </c:pt>
                <c:pt idx="691">
                  <c:v>654.64895635673633</c:v>
                </c:pt>
                <c:pt idx="692">
                  <c:v>655.59772296015194</c:v>
                </c:pt>
                <c:pt idx="693">
                  <c:v>656.54648956356732</c:v>
                </c:pt>
                <c:pt idx="694">
                  <c:v>657.49525616698293</c:v>
                </c:pt>
                <c:pt idx="695">
                  <c:v>658.44402277039842</c:v>
                </c:pt>
                <c:pt idx="696">
                  <c:v>659.39278937381403</c:v>
                </c:pt>
                <c:pt idx="697">
                  <c:v>660.34155597722963</c:v>
                </c:pt>
                <c:pt idx="698">
                  <c:v>661.29032258064524</c:v>
                </c:pt>
                <c:pt idx="699">
                  <c:v>662.23908918406073</c:v>
                </c:pt>
                <c:pt idx="700">
                  <c:v>663.18785578747622</c:v>
                </c:pt>
                <c:pt idx="701">
                  <c:v>664.13662239089183</c:v>
                </c:pt>
                <c:pt idx="702">
                  <c:v>665.08538899430744</c:v>
                </c:pt>
                <c:pt idx="703">
                  <c:v>666.03415559772304</c:v>
                </c:pt>
                <c:pt idx="704">
                  <c:v>666.98292220113865</c:v>
                </c:pt>
                <c:pt idx="705">
                  <c:v>667.93168880455403</c:v>
                </c:pt>
                <c:pt idx="706">
                  <c:v>668.88045540796963</c:v>
                </c:pt>
                <c:pt idx="707">
                  <c:v>669.82922201138513</c:v>
                </c:pt>
                <c:pt idx="708">
                  <c:v>670.77798861480085</c:v>
                </c:pt>
                <c:pt idx="709">
                  <c:v>671.72675521821645</c:v>
                </c:pt>
                <c:pt idx="710">
                  <c:v>672.67552182163195</c:v>
                </c:pt>
                <c:pt idx="711">
                  <c:v>673.62428842504744</c:v>
                </c:pt>
                <c:pt idx="712">
                  <c:v>674.57305502846293</c:v>
                </c:pt>
                <c:pt idx="713">
                  <c:v>675.52182163187854</c:v>
                </c:pt>
                <c:pt idx="714">
                  <c:v>676.47058823529426</c:v>
                </c:pt>
                <c:pt idx="715">
                  <c:v>677.41935483870975</c:v>
                </c:pt>
                <c:pt idx="716">
                  <c:v>678.36812144212536</c:v>
                </c:pt>
                <c:pt idx="717">
                  <c:v>679.31688804554074</c:v>
                </c:pt>
                <c:pt idx="718">
                  <c:v>680.26565464895634</c:v>
                </c:pt>
                <c:pt idx="719">
                  <c:v>681.21442125237184</c:v>
                </c:pt>
                <c:pt idx="720">
                  <c:v>682.16318785578756</c:v>
                </c:pt>
                <c:pt idx="721">
                  <c:v>683.11195445920316</c:v>
                </c:pt>
                <c:pt idx="722">
                  <c:v>684.06072106261854</c:v>
                </c:pt>
                <c:pt idx="723">
                  <c:v>685.00948766603415</c:v>
                </c:pt>
                <c:pt idx="724">
                  <c:v>685.95825426944964</c:v>
                </c:pt>
                <c:pt idx="725">
                  <c:v>686.90702087286525</c:v>
                </c:pt>
                <c:pt idx="726">
                  <c:v>687.85578747628097</c:v>
                </c:pt>
                <c:pt idx="727">
                  <c:v>688.80455407969646</c:v>
                </c:pt>
                <c:pt idx="728">
                  <c:v>689.75332068311207</c:v>
                </c:pt>
                <c:pt idx="729">
                  <c:v>690.70208728652744</c:v>
                </c:pt>
                <c:pt idx="730">
                  <c:v>691.65085388994305</c:v>
                </c:pt>
                <c:pt idx="731">
                  <c:v>692.59962049335866</c:v>
                </c:pt>
                <c:pt idx="732">
                  <c:v>693.54838709677426</c:v>
                </c:pt>
                <c:pt idx="733">
                  <c:v>694.49715370018987</c:v>
                </c:pt>
                <c:pt idx="734">
                  <c:v>695.44592030360525</c:v>
                </c:pt>
                <c:pt idx="735">
                  <c:v>696.39468690702085</c:v>
                </c:pt>
                <c:pt idx="736">
                  <c:v>697.34345351043646</c:v>
                </c:pt>
                <c:pt idx="737">
                  <c:v>698.29222011385195</c:v>
                </c:pt>
                <c:pt idx="738">
                  <c:v>699.24098671726767</c:v>
                </c:pt>
                <c:pt idx="739">
                  <c:v>700.18975332068317</c:v>
                </c:pt>
                <c:pt idx="740">
                  <c:v>701.13851992409866</c:v>
                </c:pt>
                <c:pt idx="741">
                  <c:v>702.08728652751415</c:v>
                </c:pt>
                <c:pt idx="742">
                  <c:v>703.03605313092976</c:v>
                </c:pt>
                <c:pt idx="743">
                  <c:v>703.98481973434536</c:v>
                </c:pt>
                <c:pt idx="744">
                  <c:v>704.93358633776097</c:v>
                </c:pt>
                <c:pt idx="745">
                  <c:v>705.88235294117658</c:v>
                </c:pt>
                <c:pt idx="746">
                  <c:v>706.83111954459196</c:v>
                </c:pt>
                <c:pt idx="747">
                  <c:v>707.77988614800756</c:v>
                </c:pt>
                <c:pt idx="748">
                  <c:v>708.72865275142317</c:v>
                </c:pt>
                <c:pt idx="749">
                  <c:v>709.67741935483866</c:v>
                </c:pt>
                <c:pt idx="750">
                  <c:v>710.62618595825438</c:v>
                </c:pt>
                <c:pt idx="751">
                  <c:v>711.57495256166987</c:v>
                </c:pt>
                <c:pt idx="752">
                  <c:v>712.52371916508537</c:v>
                </c:pt>
                <c:pt idx="753">
                  <c:v>713.47248576850097</c:v>
                </c:pt>
                <c:pt idx="754">
                  <c:v>714.42125237191647</c:v>
                </c:pt>
                <c:pt idx="755">
                  <c:v>715.37001897533207</c:v>
                </c:pt>
                <c:pt idx="756">
                  <c:v>716.31878557874768</c:v>
                </c:pt>
                <c:pt idx="757">
                  <c:v>717.26755218216329</c:v>
                </c:pt>
                <c:pt idx="758">
                  <c:v>718.21631878557866</c:v>
                </c:pt>
                <c:pt idx="759">
                  <c:v>719.16508538899427</c:v>
                </c:pt>
                <c:pt idx="760">
                  <c:v>720.11385199240988</c:v>
                </c:pt>
                <c:pt idx="761">
                  <c:v>721.06261859582537</c:v>
                </c:pt>
                <c:pt idx="762">
                  <c:v>722.01138519924109</c:v>
                </c:pt>
                <c:pt idx="763">
                  <c:v>722.96015180265658</c:v>
                </c:pt>
                <c:pt idx="764">
                  <c:v>723.90891840607208</c:v>
                </c:pt>
                <c:pt idx="765">
                  <c:v>724.85768500948768</c:v>
                </c:pt>
                <c:pt idx="766">
                  <c:v>725.80645161290317</c:v>
                </c:pt>
                <c:pt idx="767">
                  <c:v>726.75521821631878</c:v>
                </c:pt>
                <c:pt idx="768">
                  <c:v>727.70398481973439</c:v>
                </c:pt>
                <c:pt idx="769">
                  <c:v>728.65275142314999</c:v>
                </c:pt>
                <c:pt idx="770">
                  <c:v>729.60151802656549</c:v>
                </c:pt>
                <c:pt idx="771">
                  <c:v>730.55028462998098</c:v>
                </c:pt>
                <c:pt idx="772">
                  <c:v>731.49905123339659</c:v>
                </c:pt>
                <c:pt idx="773">
                  <c:v>732.44781783681219</c:v>
                </c:pt>
                <c:pt idx="774">
                  <c:v>733.3965844402278</c:v>
                </c:pt>
                <c:pt idx="775">
                  <c:v>734.34535104364329</c:v>
                </c:pt>
                <c:pt idx="776">
                  <c:v>735.29411764705878</c:v>
                </c:pt>
                <c:pt idx="777">
                  <c:v>736.24288425047439</c:v>
                </c:pt>
                <c:pt idx="778">
                  <c:v>737.19165085388988</c:v>
                </c:pt>
                <c:pt idx="779">
                  <c:v>738.1404174573056</c:v>
                </c:pt>
                <c:pt idx="780">
                  <c:v>739.0891840607211</c:v>
                </c:pt>
                <c:pt idx="781">
                  <c:v>740.0379506641367</c:v>
                </c:pt>
                <c:pt idx="782">
                  <c:v>740.98671726755219</c:v>
                </c:pt>
                <c:pt idx="783">
                  <c:v>741.93548387096769</c:v>
                </c:pt>
                <c:pt idx="784">
                  <c:v>742.88425047438329</c:v>
                </c:pt>
                <c:pt idx="785">
                  <c:v>743.8330170777989</c:v>
                </c:pt>
                <c:pt idx="786">
                  <c:v>744.78178368121451</c:v>
                </c:pt>
                <c:pt idx="787">
                  <c:v>745.73055028463011</c:v>
                </c:pt>
                <c:pt idx="788">
                  <c:v>746.67931688804549</c:v>
                </c:pt>
                <c:pt idx="789">
                  <c:v>747.6280834914611</c:v>
                </c:pt>
                <c:pt idx="790">
                  <c:v>748.57685009487659</c:v>
                </c:pt>
                <c:pt idx="791">
                  <c:v>749.52561669829231</c:v>
                </c:pt>
                <c:pt idx="792">
                  <c:v>750.47438330170792</c:v>
                </c:pt>
                <c:pt idx="793">
                  <c:v>751.42314990512341</c:v>
                </c:pt>
                <c:pt idx="794">
                  <c:v>752.3719165085389</c:v>
                </c:pt>
                <c:pt idx="795">
                  <c:v>753.32068311195439</c:v>
                </c:pt>
                <c:pt idx="796">
                  <c:v>754.26944971537</c:v>
                </c:pt>
                <c:pt idx="797">
                  <c:v>755.21821631878561</c:v>
                </c:pt>
                <c:pt idx="798">
                  <c:v>756.16698292220121</c:v>
                </c:pt>
                <c:pt idx="799">
                  <c:v>757.11574952561682</c:v>
                </c:pt>
                <c:pt idx="800">
                  <c:v>758.0645161290322</c:v>
                </c:pt>
                <c:pt idx="801">
                  <c:v>759.01328273244781</c:v>
                </c:pt>
                <c:pt idx="802">
                  <c:v>759.9620493358633</c:v>
                </c:pt>
                <c:pt idx="803">
                  <c:v>760.91081593927902</c:v>
                </c:pt>
                <c:pt idx="804">
                  <c:v>761.85958254269462</c:v>
                </c:pt>
                <c:pt idx="805">
                  <c:v>762.80834914611</c:v>
                </c:pt>
                <c:pt idx="806">
                  <c:v>763.75711574952561</c:v>
                </c:pt>
                <c:pt idx="807">
                  <c:v>764.7058823529411</c:v>
                </c:pt>
                <c:pt idx="808">
                  <c:v>765.65464895635671</c:v>
                </c:pt>
                <c:pt idx="809">
                  <c:v>766.60341555977243</c:v>
                </c:pt>
                <c:pt idx="810">
                  <c:v>767.55218216318792</c:v>
                </c:pt>
                <c:pt idx="811">
                  <c:v>768.50094876660353</c:v>
                </c:pt>
                <c:pt idx="812">
                  <c:v>769.44971537001891</c:v>
                </c:pt>
                <c:pt idx="813">
                  <c:v>770.39848197343451</c:v>
                </c:pt>
                <c:pt idx="814">
                  <c:v>771.34724857685012</c:v>
                </c:pt>
                <c:pt idx="815">
                  <c:v>772.29601518026573</c:v>
                </c:pt>
                <c:pt idx="816">
                  <c:v>773.24478178368133</c:v>
                </c:pt>
                <c:pt idx="817">
                  <c:v>774.19354838709671</c:v>
                </c:pt>
                <c:pt idx="818">
                  <c:v>775.14231499051232</c:v>
                </c:pt>
                <c:pt idx="819">
                  <c:v>776.09108159392781</c:v>
                </c:pt>
                <c:pt idx="820">
                  <c:v>777.03984819734342</c:v>
                </c:pt>
                <c:pt idx="821">
                  <c:v>777.98861480075914</c:v>
                </c:pt>
                <c:pt idx="822">
                  <c:v>778.93738140417463</c:v>
                </c:pt>
                <c:pt idx="823">
                  <c:v>779.88614800759024</c:v>
                </c:pt>
                <c:pt idx="824">
                  <c:v>780.83491461100562</c:v>
                </c:pt>
                <c:pt idx="825">
                  <c:v>781.78368121442122</c:v>
                </c:pt>
                <c:pt idx="826">
                  <c:v>782.73244781783683</c:v>
                </c:pt>
                <c:pt idx="827">
                  <c:v>783.68121442125243</c:v>
                </c:pt>
                <c:pt idx="828">
                  <c:v>784.62998102466804</c:v>
                </c:pt>
                <c:pt idx="829">
                  <c:v>785.57874762808342</c:v>
                </c:pt>
                <c:pt idx="830">
                  <c:v>786.52751423149903</c:v>
                </c:pt>
                <c:pt idx="831">
                  <c:v>787.47628083491463</c:v>
                </c:pt>
                <c:pt idx="832">
                  <c:v>788.42504743833013</c:v>
                </c:pt>
                <c:pt idx="833">
                  <c:v>789.37381404174585</c:v>
                </c:pt>
                <c:pt idx="834">
                  <c:v>790.32258064516134</c:v>
                </c:pt>
                <c:pt idx="835">
                  <c:v>791.27134724857683</c:v>
                </c:pt>
                <c:pt idx="836">
                  <c:v>792.22011385199232</c:v>
                </c:pt>
                <c:pt idx="837">
                  <c:v>793.16888045540793</c:v>
                </c:pt>
                <c:pt idx="838">
                  <c:v>794.11764705882354</c:v>
                </c:pt>
                <c:pt idx="839">
                  <c:v>795.06641366223914</c:v>
                </c:pt>
                <c:pt idx="840">
                  <c:v>796.01518026565475</c:v>
                </c:pt>
                <c:pt idx="841">
                  <c:v>796.96394686907013</c:v>
                </c:pt>
                <c:pt idx="842">
                  <c:v>797.91271347248573</c:v>
                </c:pt>
                <c:pt idx="843">
                  <c:v>798.86148007590134</c:v>
                </c:pt>
                <c:pt idx="844">
                  <c:v>799.81024667931695</c:v>
                </c:pt>
                <c:pt idx="845">
                  <c:v>800.75901328273255</c:v>
                </c:pt>
                <c:pt idx="846">
                  <c:v>801.70777988614805</c:v>
                </c:pt>
                <c:pt idx="847">
                  <c:v>802.65654648956354</c:v>
                </c:pt>
                <c:pt idx="848">
                  <c:v>803.60531309297915</c:v>
                </c:pt>
                <c:pt idx="849">
                  <c:v>804.55407969639464</c:v>
                </c:pt>
                <c:pt idx="850">
                  <c:v>805.50284629981036</c:v>
                </c:pt>
                <c:pt idx="851">
                  <c:v>806.45161290322585</c:v>
                </c:pt>
                <c:pt idx="852">
                  <c:v>807.40037950664146</c:v>
                </c:pt>
                <c:pt idx="853">
                  <c:v>808.34914611005684</c:v>
                </c:pt>
                <c:pt idx="854">
                  <c:v>809.29791271347244</c:v>
                </c:pt>
                <c:pt idx="855">
                  <c:v>810.24667931688805</c:v>
                </c:pt>
                <c:pt idx="856">
                  <c:v>811.19544592030365</c:v>
                </c:pt>
                <c:pt idx="857">
                  <c:v>812.14421252371926</c:v>
                </c:pt>
                <c:pt idx="858">
                  <c:v>813.09297912713475</c:v>
                </c:pt>
                <c:pt idx="859">
                  <c:v>814.04174573055025</c:v>
                </c:pt>
                <c:pt idx="860">
                  <c:v>814.99051233396585</c:v>
                </c:pt>
                <c:pt idx="861">
                  <c:v>815.93927893738135</c:v>
                </c:pt>
                <c:pt idx="862">
                  <c:v>816.88804554079707</c:v>
                </c:pt>
                <c:pt idx="863">
                  <c:v>817.83681214421256</c:v>
                </c:pt>
                <c:pt idx="864">
                  <c:v>818.78557874762816</c:v>
                </c:pt>
                <c:pt idx="865">
                  <c:v>819.73434535104366</c:v>
                </c:pt>
                <c:pt idx="866">
                  <c:v>820.68311195445915</c:v>
                </c:pt>
                <c:pt idx="867">
                  <c:v>821.63187855787476</c:v>
                </c:pt>
                <c:pt idx="868">
                  <c:v>822.58064516129036</c:v>
                </c:pt>
                <c:pt idx="869">
                  <c:v>823.52941176470597</c:v>
                </c:pt>
                <c:pt idx="870">
                  <c:v>824.47817836812158</c:v>
                </c:pt>
                <c:pt idx="871">
                  <c:v>825.42694497153695</c:v>
                </c:pt>
                <c:pt idx="872">
                  <c:v>826.37571157495256</c:v>
                </c:pt>
                <c:pt idx="873">
                  <c:v>827.32447817836805</c:v>
                </c:pt>
                <c:pt idx="874">
                  <c:v>828.27324478178377</c:v>
                </c:pt>
                <c:pt idx="875">
                  <c:v>829.22201138519927</c:v>
                </c:pt>
                <c:pt idx="876">
                  <c:v>830.17077798861487</c:v>
                </c:pt>
                <c:pt idx="877">
                  <c:v>831.11954459203037</c:v>
                </c:pt>
                <c:pt idx="878">
                  <c:v>832.06831119544586</c:v>
                </c:pt>
                <c:pt idx="879">
                  <c:v>833.01707779886146</c:v>
                </c:pt>
                <c:pt idx="880">
                  <c:v>833.96584440227707</c:v>
                </c:pt>
                <c:pt idx="881">
                  <c:v>834.91461100569268</c:v>
                </c:pt>
                <c:pt idx="882">
                  <c:v>835.86337760910828</c:v>
                </c:pt>
                <c:pt idx="883">
                  <c:v>836.81214421252366</c:v>
                </c:pt>
                <c:pt idx="884">
                  <c:v>837.76091081593927</c:v>
                </c:pt>
                <c:pt idx="885">
                  <c:v>838.70967741935476</c:v>
                </c:pt>
                <c:pt idx="886">
                  <c:v>839.65844402277048</c:v>
                </c:pt>
                <c:pt idx="887">
                  <c:v>840.60721062618609</c:v>
                </c:pt>
                <c:pt idx="888">
                  <c:v>841.55597722960158</c:v>
                </c:pt>
                <c:pt idx="889">
                  <c:v>842.50474383301707</c:v>
                </c:pt>
                <c:pt idx="890">
                  <c:v>843.45351043643257</c:v>
                </c:pt>
                <c:pt idx="891">
                  <c:v>844.40227703984817</c:v>
                </c:pt>
                <c:pt idx="892">
                  <c:v>845.35104364326378</c:v>
                </c:pt>
                <c:pt idx="893">
                  <c:v>846.29981024667939</c:v>
                </c:pt>
                <c:pt idx="894">
                  <c:v>847.24857685009499</c:v>
                </c:pt>
                <c:pt idx="895">
                  <c:v>848.19734345351037</c:v>
                </c:pt>
                <c:pt idx="896">
                  <c:v>849.14611005692598</c:v>
                </c:pt>
                <c:pt idx="897">
                  <c:v>850.09487666034147</c:v>
                </c:pt>
                <c:pt idx="898">
                  <c:v>851.04364326375719</c:v>
                </c:pt>
                <c:pt idx="899">
                  <c:v>851.9924098671728</c:v>
                </c:pt>
                <c:pt idx="900">
                  <c:v>852.94117647058818</c:v>
                </c:pt>
                <c:pt idx="901">
                  <c:v>853.88994307400378</c:v>
                </c:pt>
                <c:pt idx="902">
                  <c:v>854.83870967741927</c:v>
                </c:pt>
                <c:pt idx="903">
                  <c:v>855.78747628083488</c:v>
                </c:pt>
                <c:pt idx="904">
                  <c:v>856.7362428842506</c:v>
                </c:pt>
                <c:pt idx="905">
                  <c:v>857.68500948766609</c:v>
                </c:pt>
                <c:pt idx="906">
                  <c:v>858.6337760910817</c:v>
                </c:pt>
                <c:pt idx="907">
                  <c:v>859.58254269449708</c:v>
                </c:pt>
                <c:pt idx="908">
                  <c:v>860.53130929791268</c:v>
                </c:pt>
                <c:pt idx="909">
                  <c:v>861.48007590132829</c:v>
                </c:pt>
                <c:pt idx="910">
                  <c:v>862.4288425047439</c:v>
                </c:pt>
                <c:pt idx="911">
                  <c:v>863.3776091081595</c:v>
                </c:pt>
                <c:pt idx="912">
                  <c:v>864.32637571157488</c:v>
                </c:pt>
                <c:pt idx="913">
                  <c:v>865.27514231499049</c:v>
                </c:pt>
                <c:pt idx="914">
                  <c:v>866.22390891840598</c:v>
                </c:pt>
                <c:pt idx="915">
                  <c:v>867.1726755218217</c:v>
                </c:pt>
                <c:pt idx="916">
                  <c:v>868.12144212523731</c:v>
                </c:pt>
                <c:pt idx="917">
                  <c:v>869.0702087286528</c:v>
                </c:pt>
                <c:pt idx="918">
                  <c:v>870.01897533206829</c:v>
                </c:pt>
                <c:pt idx="919">
                  <c:v>870.96774193548379</c:v>
                </c:pt>
                <c:pt idx="920">
                  <c:v>871.91650853889939</c:v>
                </c:pt>
                <c:pt idx="921">
                  <c:v>872.86527514231511</c:v>
                </c:pt>
                <c:pt idx="922">
                  <c:v>873.81404174573061</c:v>
                </c:pt>
                <c:pt idx="923">
                  <c:v>874.76280834914621</c:v>
                </c:pt>
                <c:pt idx="924">
                  <c:v>875.71157495256159</c:v>
                </c:pt>
                <c:pt idx="925">
                  <c:v>876.6603415559772</c:v>
                </c:pt>
                <c:pt idx="926">
                  <c:v>877.6091081593928</c:v>
                </c:pt>
                <c:pt idx="927">
                  <c:v>878.55787476280841</c:v>
                </c:pt>
                <c:pt idx="928">
                  <c:v>879.50664136622402</c:v>
                </c:pt>
                <c:pt idx="929">
                  <c:v>880.45540796963951</c:v>
                </c:pt>
                <c:pt idx="930">
                  <c:v>881.404174573055</c:v>
                </c:pt>
                <c:pt idx="931">
                  <c:v>882.35294117647061</c:v>
                </c:pt>
                <c:pt idx="932">
                  <c:v>883.3017077798861</c:v>
                </c:pt>
                <c:pt idx="933">
                  <c:v>884.25047438330182</c:v>
                </c:pt>
                <c:pt idx="934">
                  <c:v>885.19924098671731</c:v>
                </c:pt>
                <c:pt idx="935">
                  <c:v>886.14800759013292</c:v>
                </c:pt>
                <c:pt idx="936">
                  <c:v>887.0967741935483</c:v>
                </c:pt>
                <c:pt idx="937">
                  <c:v>888.04554079696391</c:v>
                </c:pt>
                <c:pt idx="938">
                  <c:v>888.99430740037951</c:v>
                </c:pt>
                <c:pt idx="939">
                  <c:v>889.94307400379512</c:v>
                </c:pt>
                <c:pt idx="940">
                  <c:v>890.89184060721072</c:v>
                </c:pt>
                <c:pt idx="941">
                  <c:v>891.84060721062622</c:v>
                </c:pt>
                <c:pt idx="942">
                  <c:v>892.78937381404171</c:v>
                </c:pt>
                <c:pt idx="943">
                  <c:v>893.73814041745732</c:v>
                </c:pt>
                <c:pt idx="944">
                  <c:v>894.68690702087281</c:v>
                </c:pt>
                <c:pt idx="945">
                  <c:v>895.63567362428853</c:v>
                </c:pt>
                <c:pt idx="946">
                  <c:v>896.58444022770402</c:v>
                </c:pt>
                <c:pt idx="947">
                  <c:v>897.53320683111963</c:v>
                </c:pt>
                <c:pt idx="948">
                  <c:v>898.48197343453512</c:v>
                </c:pt>
                <c:pt idx="949">
                  <c:v>899.43074003795061</c:v>
                </c:pt>
                <c:pt idx="950">
                  <c:v>900.37950664136622</c:v>
                </c:pt>
                <c:pt idx="951">
                  <c:v>901.32827324478183</c:v>
                </c:pt>
                <c:pt idx="952">
                  <c:v>902.27703984819743</c:v>
                </c:pt>
                <c:pt idx="953">
                  <c:v>903.22580645161293</c:v>
                </c:pt>
                <c:pt idx="954">
                  <c:v>904.17457305502842</c:v>
                </c:pt>
                <c:pt idx="955">
                  <c:v>905.12333965844402</c:v>
                </c:pt>
                <c:pt idx="956">
                  <c:v>906.07210626185952</c:v>
                </c:pt>
                <c:pt idx="957">
                  <c:v>907.02087286527524</c:v>
                </c:pt>
                <c:pt idx="958">
                  <c:v>907.96963946869073</c:v>
                </c:pt>
                <c:pt idx="959">
                  <c:v>908.91840607210634</c:v>
                </c:pt>
                <c:pt idx="960">
                  <c:v>909.86717267552183</c:v>
                </c:pt>
                <c:pt idx="961">
                  <c:v>910.81593927893732</c:v>
                </c:pt>
                <c:pt idx="962">
                  <c:v>911.76470588235293</c:v>
                </c:pt>
                <c:pt idx="963">
                  <c:v>912.71347248576853</c:v>
                </c:pt>
                <c:pt idx="964">
                  <c:v>913.66223908918414</c:v>
                </c:pt>
                <c:pt idx="965">
                  <c:v>914.61100569259975</c:v>
                </c:pt>
                <c:pt idx="966">
                  <c:v>915.55977229601513</c:v>
                </c:pt>
                <c:pt idx="967">
                  <c:v>916.50853889943073</c:v>
                </c:pt>
                <c:pt idx="968">
                  <c:v>917.45730550284622</c:v>
                </c:pt>
                <c:pt idx="969">
                  <c:v>918.40607210626195</c:v>
                </c:pt>
                <c:pt idx="970">
                  <c:v>919.35483870967755</c:v>
                </c:pt>
                <c:pt idx="971">
                  <c:v>920.30360531309304</c:v>
                </c:pt>
                <c:pt idx="972">
                  <c:v>921.25237191650854</c:v>
                </c:pt>
                <c:pt idx="973">
                  <c:v>922.20113851992403</c:v>
                </c:pt>
                <c:pt idx="974">
                  <c:v>923.14990512333964</c:v>
                </c:pt>
                <c:pt idx="975">
                  <c:v>924.09867172675524</c:v>
                </c:pt>
                <c:pt idx="976">
                  <c:v>925.04743833017085</c:v>
                </c:pt>
                <c:pt idx="977">
                  <c:v>925.99620493358645</c:v>
                </c:pt>
                <c:pt idx="978">
                  <c:v>926.94497153700183</c:v>
                </c:pt>
                <c:pt idx="979">
                  <c:v>927.89373814041744</c:v>
                </c:pt>
                <c:pt idx="980">
                  <c:v>928.84250474383305</c:v>
                </c:pt>
                <c:pt idx="981">
                  <c:v>929.79127134724865</c:v>
                </c:pt>
                <c:pt idx="982">
                  <c:v>930.74003795066426</c:v>
                </c:pt>
                <c:pt idx="983">
                  <c:v>931.68880455407964</c:v>
                </c:pt>
                <c:pt idx="984">
                  <c:v>932.63757115749524</c:v>
                </c:pt>
                <c:pt idx="985">
                  <c:v>933.58633776091074</c:v>
                </c:pt>
                <c:pt idx="986">
                  <c:v>934.53510436432646</c:v>
                </c:pt>
                <c:pt idx="987">
                  <c:v>935.48387096774206</c:v>
                </c:pt>
                <c:pt idx="988">
                  <c:v>936.43263757115756</c:v>
                </c:pt>
                <c:pt idx="989">
                  <c:v>937.38140417457316</c:v>
                </c:pt>
                <c:pt idx="990">
                  <c:v>938.33017077798854</c:v>
                </c:pt>
                <c:pt idx="991">
                  <c:v>939.27893738140415</c:v>
                </c:pt>
                <c:pt idx="992">
                  <c:v>940.22770398481975</c:v>
                </c:pt>
                <c:pt idx="993">
                  <c:v>941.17647058823536</c:v>
                </c:pt>
                <c:pt idx="994">
                  <c:v>942.12523719165097</c:v>
                </c:pt>
                <c:pt idx="995">
                  <c:v>943.07400379506635</c:v>
                </c:pt>
                <c:pt idx="996">
                  <c:v>944.02277039848195</c:v>
                </c:pt>
                <c:pt idx="997">
                  <c:v>944.97153700189745</c:v>
                </c:pt>
                <c:pt idx="998">
                  <c:v>945.92030360531317</c:v>
                </c:pt>
                <c:pt idx="999">
                  <c:v>946.86907020872877</c:v>
                </c:pt>
                <c:pt idx="1000">
                  <c:v>947.81783681214426</c:v>
                </c:pt>
                <c:pt idx="1001">
                  <c:v>948.76660341555976</c:v>
                </c:pt>
                <c:pt idx="1002">
                  <c:v>949.71537001897525</c:v>
                </c:pt>
                <c:pt idx="1003">
                  <c:v>950.66413662239086</c:v>
                </c:pt>
                <c:pt idx="1004">
                  <c:v>951.61290322580658</c:v>
                </c:pt>
                <c:pt idx="1005">
                  <c:v>952.56166982922207</c:v>
                </c:pt>
                <c:pt idx="1006">
                  <c:v>953.51043643263768</c:v>
                </c:pt>
                <c:pt idx="1007">
                  <c:v>954.45920303605305</c:v>
                </c:pt>
                <c:pt idx="1008">
                  <c:v>955.40796963946866</c:v>
                </c:pt>
                <c:pt idx="1009">
                  <c:v>956.35673624288427</c:v>
                </c:pt>
                <c:pt idx="1010">
                  <c:v>957.30550284629987</c:v>
                </c:pt>
                <c:pt idx="1011">
                  <c:v>958.25426944971548</c:v>
                </c:pt>
                <c:pt idx="1012">
                  <c:v>959.20303605313097</c:v>
                </c:pt>
                <c:pt idx="1013">
                  <c:v>960.15180265654647</c:v>
                </c:pt>
                <c:pt idx="1014">
                  <c:v>961.10056925996196</c:v>
                </c:pt>
                <c:pt idx="1015">
                  <c:v>962.04933586337756</c:v>
                </c:pt>
                <c:pt idx="1016">
                  <c:v>962.99810246679328</c:v>
                </c:pt>
                <c:pt idx="1017">
                  <c:v>963.94686907020878</c:v>
                </c:pt>
                <c:pt idx="1018">
                  <c:v>964.89563567362438</c:v>
                </c:pt>
                <c:pt idx="1019">
                  <c:v>965.84440227703976</c:v>
                </c:pt>
                <c:pt idx="1020">
                  <c:v>966.79316888045537</c:v>
                </c:pt>
                <c:pt idx="1021">
                  <c:v>967.74193548387098</c:v>
                </c:pt>
                <c:pt idx="1022">
                  <c:v>968.69070208728658</c:v>
                </c:pt>
                <c:pt idx="1023">
                  <c:v>969.63946869070219</c:v>
                </c:pt>
                <c:pt idx="1024">
                  <c:v>970.58823529411768</c:v>
                </c:pt>
                <c:pt idx="1025">
                  <c:v>971.53700189753317</c:v>
                </c:pt>
                <c:pt idx="1026">
                  <c:v>972.48576850094878</c:v>
                </c:pt>
                <c:pt idx="1027">
                  <c:v>973.43453510436427</c:v>
                </c:pt>
                <c:pt idx="1028">
                  <c:v>974.38330170777999</c:v>
                </c:pt>
                <c:pt idx="1029">
                  <c:v>975.33206831119548</c:v>
                </c:pt>
                <c:pt idx="1030">
                  <c:v>976.28083491461109</c:v>
                </c:pt>
                <c:pt idx="1031">
                  <c:v>977.22960151802647</c:v>
                </c:pt>
                <c:pt idx="1032">
                  <c:v>978.17836812144208</c:v>
                </c:pt>
                <c:pt idx="1033">
                  <c:v>979.12713472485768</c:v>
                </c:pt>
                <c:pt idx="1034">
                  <c:v>980.07590132827329</c:v>
                </c:pt>
                <c:pt idx="1035">
                  <c:v>981.0246679316889</c:v>
                </c:pt>
                <c:pt idx="1036">
                  <c:v>981.97343453510439</c:v>
                </c:pt>
                <c:pt idx="1037">
                  <c:v>982.92220113851988</c:v>
                </c:pt>
                <c:pt idx="1038">
                  <c:v>983.87096774193549</c:v>
                </c:pt>
                <c:pt idx="1039">
                  <c:v>984.81973434535098</c:v>
                </c:pt>
                <c:pt idx="1040">
                  <c:v>985.7685009487667</c:v>
                </c:pt>
                <c:pt idx="1041">
                  <c:v>986.71726755218219</c:v>
                </c:pt>
                <c:pt idx="1042">
                  <c:v>987.6660341555978</c:v>
                </c:pt>
                <c:pt idx="1043">
                  <c:v>988.61480075901329</c:v>
                </c:pt>
                <c:pt idx="1044">
                  <c:v>989.56356736242878</c:v>
                </c:pt>
                <c:pt idx="1045">
                  <c:v>990.51233396584439</c:v>
                </c:pt>
                <c:pt idx="1046">
                  <c:v>991.46110056926</c:v>
                </c:pt>
                <c:pt idx="1047">
                  <c:v>992.4098671726756</c:v>
                </c:pt>
                <c:pt idx="1048">
                  <c:v>993.35863377609121</c:v>
                </c:pt>
                <c:pt idx="1049">
                  <c:v>994.30740037950659</c:v>
                </c:pt>
                <c:pt idx="1050">
                  <c:v>995.2561669829222</c:v>
                </c:pt>
                <c:pt idx="1051">
                  <c:v>996.2049335863378</c:v>
                </c:pt>
                <c:pt idx="1052">
                  <c:v>997.15370018975341</c:v>
                </c:pt>
                <c:pt idx="1053">
                  <c:v>998.1024667931689</c:v>
                </c:pt>
                <c:pt idx="1054">
                  <c:v>999.05123339658451</c:v>
                </c:pt>
                <c:pt idx="1055">
                  <c:v>1000</c:v>
                </c:pt>
                <c:pt idx="1056">
                  <c:v>0</c:v>
                </c:pt>
                <c:pt idx="1057">
                  <c:v>0</c:v>
                </c:pt>
              </c:numCache>
            </c:numRef>
          </c:cat>
          <c:val>
            <c:numRef>
              <c:f>'Peak Payback Engine'!$AE$8:$AE$1065</c:f>
              <c:numCache>
                <c:formatCode>_("$"* #,##0.00_);_("$"* \(#,##0.00\);_("$"* "-"??_);_(@_)</c:formatCode>
                <c:ptCount val="1058"/>
                <c:pt idx="0" formatCode="General">
                  <c:v>0</c:v>
                </c:pt>
                <c:pt idx="1">
                  <c:v>0</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pt idx="366">
                  <c:v>#N/A</c:v>
                </c:pt>
                <c:pt idx="367">
                  <c:v>#N/A</c:v>
                </c:pt>
                <c:pt idx="368">
                  <c:v>#N/A</c:v>
                </c:pt>
                <c:pt idx="369">
                  <c:v>#N/A</c:v>
                </c:pt>
                <c:pt idx="370">
                  <c:v>#N/A</c:v>
                </c:pt>
                <c:pt idx="371">
                  <c:v>#N/A</c:v>
                </c:pt>
                <c:pt idx="372">
                  <c:v>#N/A</c:v>
                </c:pt>
                <c:pt idx="373">
                  <c:v>#N/A</c:v>
                </c:pt>
                <c:pt idx="374">
                  <c:v>#N/A</c:v>
                </c:pt>
                <c:pt idx="375">
                  <c:v>#N/A</c:v>
                </c:pt>
                <c:pt idx="376">
                  <c:v>#N/A</c:v>
                </c:pt>
                <c:pt idx="377">
                  <c:v>#N/A</c:v>
                </c:pt>
                <c:pt idx="378">
                  <c:v>#N/A</c:v>
                </c:pt>
                <c:pt idx="379">
                  <c:v>#N/A</c:v>
                </c:pt>
                <c:pt idx="380">
                  <c:v>#N/A</c:v>
                </c:pt>
                <c:pt idx="381">
                  <c:v>#N/A</c:v>
                </c:pt>
                <c:pt idx="382">
                  <c:v>#N/A</c:v>
                </c:pt>
                <c:pt idx="383">
                  <c:v>#N/A</c:v>
                </c:pt>
                <c:pt idx="384">
                  <c:v>#N/A</c:v>
                </c:pt>
                <c:pt idx="385">
                  <c:v>#N/A</c:v>
                </c:pt>
                <c:pt idx="386">
                  <c:v>#N/A</c:v>
                </c:pt>
                <c:pt idx="387">
                  <c:v>#N/A</c:v>
                </c:pt>
                <c:pt idx="388">
                  <c:v>#N/A</c:v>
                </c:pt>
                <c:pt idx="389">
                  <c:v>#N/A</c:v>
                </c:pt>
                <c:pt idx="390">
                  <c:v>#N/A</c:v>
                </c:pt>
                <c:pt idx="391">
                  <c:v>#N/A</c:v>
                </c:pt>
                <c:pt idx="392">
                  <c:v>#N/A</c:v>
                </c:pt>
                <c:pt idx="393">
                  <c:v>#N/A</c:v>
                </c:pt>
                <c:pt idx="394">
                  <c:v>#N/A</c:v>
                </c:pt>
                <c:pt idx="395">
                  <c:v>#N/A</c:v>
                </c:pt>
                <c:pt idx="396">
                  <c:v>#N/A</c:v>
                </c:pt>
                <c:pt idx="397">
                  <c:v>#N/A</c:v>
                </c:pt>
                <c:pt idx="398">
                  <c:v>#N/A</c:v>
                </c:pt>
                <c:pt idx="399">
                  <c:v>#N/A</c:v>
                </c:pt>
                <c:pt idx="400">
                  <c:v>#N/A</c:v>
                </c:pt>
                <c:pt idx="401">
                  <c:v>#N/A</c:v>
                </c:pt>
                <c:pt idx="402">
                  <c:v>#N/A</c:v>
                </c:pt>
                <c:pt idx="403">
                  <c:v>#N/A</c:v>
                </c:pt>
                <c:pt idx="404">
                  <c:v>#N/A</c:v>
                </c:pt>
                <c:pt idx="405">
                  <c:v>#N/A</c:v>
                </c:pt>
                <c:pt idx="406">
                  <c:v>#N/A</c:v>
                </c:pt>
                <c:pt idx="407">
                  <c:v>#N/A</c:v>
                </c:pt>
                <c:pt idx="408">
                  <c:v>#N/A</c:v>
                </c:pt>
                <c:pt idx="409">
                  <c:v>#N/A</c:v>
                </c:pt>
                <c:pt idx="410">
                  <c:v>#N/A</c:v>
                </c:pt>
                <c:pt idx="411">
                  <c:v>#N/A</c:v>
                </c:pt>
                <c:pt idx="412">
                  <c:v>#N/A</c:v>
                </c:pt>
                <c:pt idx="413">
                  <c:v>#N/A</c:v>
                </c:pt>
                <c:pt idx="414">
                  <c:v>#N/A</c:v>
                </c:pt>
                <c:pt idx="415">
                  <c:v>#N/A</c:v>
                </c:pt>
                <c:pt idx="416">
                  <c:v>#N/A</c:v>
                </c:pt>
                <c:pt idx="417">
                  <c:v>#N/A</c:v>
                </c:pt>
                <c:pt idx="418">
                  <c:v>#N/A</c:v>
                </c:pt>
                <c:pt idx="419">
                  <c:v>#N/A</c:v>
                </c:pt>
                <c:pt idx="420">
                  <c:v>#N/A</c:v>
                </c:pt>
                <c:pt idx="421">
                  <c:v>#N/A</c:v>
                </c:pt>
                <c:pt idx="422">
                  <c:v>#N/A</c:v>
                </c:pt>
                <c:pt idx="423">
                  <c:v>#N/A</c:v>
                </c:pt>
                <c:pt idx="424">
                  <c:v>#N/A</c:v>
                </c:pt>
                <c:pt idx="425">
                  <c:v>#N/A</c:v>
                </c:pt>
                <c:pt idx="426">
                  <c:v>#N/A</c:v>
                </c:pt>
                <c:pt idx="427">
                  <c:v>#N/A</c:v>
                </c:pt>
                <c:pt idx="428">
                  <c:v>#N/A</c:v>
                </c:pt>
                <c:pt idx="429">
                  <c:v>#N/A</c:v>
                </c:pt>
                <c:pt idx="430">
                  <c:v>#N/A</c:v>
                </c:pt>
                <c:pt idx="431">
                  <c:v>#N/A</c:v>
                </c:pt>
                <c:pt idx="432">
                  <c:v>#N/A</c:v>
                </c:pt>
                <c:pt idx="433">
                  <c:v>#N/A</c:v>
                </c:pt>
                <c:pt idx="434">
                  <c:v>#N/A</c:v>
                </c:pt>
                <c:pt idx="435">
                  <c:v>#N/A</c:v>
                </c:pt>
                <c:pt idx="436">
                  <c:v>#N/A</c:v>
                </c:pt>
                <c:pt idx="437">
                  <c:v>#N/A</c:v>
                </c:pt>
                <c:pt idx="438">
                  <c:v>#N/A</c:v>
                </c:pt>
                <c:pt idx="439">
                  <c:v>#N/A</c:v>
                </c:pt>
                <c:pt idx="440">
                  <c:v>#N/A</c:v>
                </c:pt>
                <c:pt idx="441">
                  <c:v>#N/A</c:v>
                </c:pt>
                <c:pt idx="442">
                  <c:v>#N/A</c:v>
                </c:pt>
                <c:pt idx="443">
                  <c:v>#N/A</c:v>
                </c:pt>
                <c:pt idx="444">
                  <c:v>#N/A</c:v>
                </c:pt>
                <c:pt idx="445">
                  <c:v>#N/A</c:v>
                </c:pt>
                <c:pt idx="446">
                  <c:v>#N/A</c:v>
                </c:pt>
                <c:pt idx="447">
                  <c:v>#N/A</c:v>
                </c:pt>
                <c:pt idx="448">
                  <c:v>#N/A</c:v>
                </c:pt>
                <c:pt idx="449">
                  <c:v>#N/A</c:v>
                </c:pt>
                <c:pt idx="450">
                  <c:v>#N/A</c:v>
                </c:pt>
                <c:pt idx="451">
                  <c:v>#N/A</c:v>
                </c:pt>
                <c:pt idx="452">
                  <c:v>#N/A</c:v>
                </c:pt>
                <c:pt idx="453">
                  <c:v>#N/A</c:v>
                </c:pt>
                <c:pt idx="454">
                  <c:v>#N/A</c:v>
                </c:pt>
                <c:pt idx="455">
                  <c:v>#N/A</c:v>
                </c:pt>
                <c:pt idx="456">
                  <c:v>#N/A</c:v>
                </c:pt>
                <c:pt idx="457">
                  <c:v>#N/A</c:v>
                </c:pt>
                <c:pt idx="458">
                  <c:v>#N/A</c:v>
                </c:pt>
                <c:pt idx="459">
                  <c:v>#N/A</c:v>
                </c:pt>
                <c:pt idx="460">
                  <c:v>#N/A</c:v>
                </c:pt>
                <c:pt idx="461">
                  <c:v>#N/A</c:v>
                </c:pt>
                <c:pt idx="462">
                  <c:v>#N/A</c:v>
                </c:pt>
                <c:pt idx="463">
                  <c:v>#N/A</c:v>
                </c:pt>
                <c:pt idx="464">
                  <c:v>#N/A</c:v>
                </c:pt>
                <c:pt idx="465">
                  <c:v>#N/A</c:v>
                </c:pt>
                <c:pt idx="466">
                  <c:v>#N/A</c:v>
                </c:pt>
                <c:pt idx="467">
                  <c:v>#N/A</c:v>
                </c:pt>
                <c:pt idx="468">
                  <c:v>#N/A</c:v>
                </c:pt>
                <c:pt idx="469">
                  <c:v>#N/A</c:v>
                </c:pt>
                <c:pt idx="470">
                  <c:v>#N/A</c:v>
                </c:pt>
                <c:pt idx="471">
                  <c:v>#N/A</c:v>
                </c:pt>
                <c:pt idx="472">
                  <c:v>#N/A</c:v>
                </c:pt>
                <c:pt idx="473">
                  <c:v>#N/A</c:v>
                </c:pt>
                <c:pt idx="474">
                  <c:v>#N/A</c:v>
                </c:pt>
                <c:pt idx="475">
                  <c:v>#N/A</c:v>
                </c:pt>
                <c:pt idx="476">
                  <c:v>#N/A</c:v>
                </c:pt>
                <c:pt idx="477">
                  <c:v>#N/A</c:v>
                </c:pt>
                <c:pt idx="478">
                  <c:v>#N/A</c:v>
                </c:pt>
                <c:pt idx="479">
                  <c:v>#N/A</c:v>
                </c:pt>
                <c:pt idx="480">
                  <c:v>#N/A</c:v>
                </c:pt>
                <c:pt idx="481">
                  <c:v>#N/A</c:v>
                </c:pt>
                <c:pt idx="482">
                  <c:v>#N/A</c:v>
                </c:pt>
                <c:pt idx="483">
                  <c:v>#N/A</c:v>
                </c:pt>
                <c:pt idx="484">
                  <c:v>#N/A</c:v>
                </c:pt>
                <c:pt idx="485">
                  <c:v>#N/A</c:v>
                </c:pt>
                <c:pt idx="486">
                  <c:v>#N/A</c:v>
                </c:pt>
                <c:pt idx="487">
                  <c:v>#N/A</c:v>
                </c:pt>
                <c:pt idx="488">
                  <c:v>#N/A</c:v>
                </c:pt>
                <c:pt idx="489">
                  <c:v>#N/A</c:v>
                </c:pt>
                <c:pt idx="490">
                  <c:v>#N/A</c:v>
                </c:pt>
                <c:pt idx="491">
                  <c:v>#N/A</c:v>
                </c:pt>
                <c:pt idx="492">
                  <c:v>#N/A</c:v>
                </c:pt>
                <c:pt idx="493">
                  <c:v>#N/A</c:v>
                </c:pt>
                <c:pt idx="494">
                  <c:v>#N/A</c:v>
                </c:pt>
                <c:pt idx="495">
                  <c:v>#N/A</c:v>
                </c:pt>
                <c:pt idx="496">
                  <c:v>#N/A</c:v>
                </c:pt>
                <c:pt idx="497">
                  <c:v>#N/A</c:v>
                </c:pt>
                <c:pt idx="498">
                  <c:v>#N/A</c:v>
                </c:pt>
                <c:pt idx="499">
                  <c:v>#N/A</c:v>
                </c:pt>
                <c:pt idx="500">
                  <c:v>#N/A</c:v>
                </c:pt>
                <c:pt idx="501">
                  <c:v>#N/A</c:v>
                </c:pt>
                <c:pt idx="502">
                  <c:v>#N/A</c:v>
                </c:pt>
                <c:pt idx="503">
                  <c:v>#N/A</c:v>
                </c:pt>
                <c:pt idx="504">
                  <c:v>#N/A</c:v>
                </c:pt>
                <c:pt idx="505">
                  <c:v>#N/A</c:v>
                </c:pt>
                <c:pt idx="506">
                  <c:v>#N/A</c:v>
                </c:pt>
                <c:pt idx="507">
                  <c:v>#N/A</c:v>
                </c:pt>
                <c:pt idx="508">
                  <c:v>#N/A</c:v>
                </c:pt>
                <c:pt idx="509">
                  <c:v>#N/A</c:v>
                </c:pt>
                <c:pt idx="510">
                  <c:v>#N/A</c:v>
                </c:pt>
                <c:pt idx="511">
                  <c:v>#N/A</c:v>
                </c:pt>
                <c:pt idx="512">
                  <c:v>#N/A</c:v>
                </c:pt>
                <c:pt idx="513">
                  <c:v>#N/A</c:v>
                </c:pt>
                <c:pt idx="514">
                  <c:v>#N/A</c:v>
                </c:pt>
                <c:pt idx="515">
                  <c:v>#N/A</c:v>
                </c:pt>
                <c:pt idx="516">
                  <c:v>#N/A</c:v>
                </c:pt>
                <c:pt idx="517">
                  <c:v>#N/A</c:v>
                </c:pt>
                <c:pt idx="518">
                  <c:v>#N/A</c:v>
                </c:pt>
                <c:pt idx="519">
                  <c:v>#N/A</c:v>
                </c:pt>
                <c:pt idx="520">
                  <c:v>#N/A</c:v>
                </c:pt>
                <c:pt idx="521">
                  <c:v>#N/A</c:v>
                </c:pt>
                <c:pt idx="522">
                  <c:v>#N/A</c:v>
                </c:pt>
                <c:pt idx="523">
                  <c:v>#N/A</c:v>
                </c:pt>
                <c:pt idx="524">
                  <c:v>#N/A</c:v>
                </c:pt>
                <c:pt idx="525">
                  <c:v>#N/A</c:v>
                </c:pt>
                <c:pt idx="526">
                  <c:v>#N/A</c:v>
                </c:pt>
                <c:pt idx="527">
                  <c:v>#N/A</c:v>
                </c:pt>
                <c:pt idx="528">
                  <c:v>#N/A</c:v>
                </c:pt>
                <c:pt idx="529">
                  <c:v>#N/A</c:v>
                </c:pt>
                <c:pt idx="530">
                  <c:v>#N/A</c:v>
                </c:pt>
                <c:pt idx="531">
                  <c:v>#N/A</c:v>
                </c:pt>
                <c:pt idx="532">
                  <c:v>#N/A</c:v>
                </c:pt>
                <c:pt idx="533">
                  <c:v>#N/A</c:v>
                </c:pt>
                <c:pt idx="534">
                  <c:v>#N/A</c:v>
                </c:pt>
                <c:pt idx="535">
                  <c:v>#N/A</c:v>
                </c:pt>
                <c:pt idx="536">
                  <c:v>#N/A</c:v>
                </c:pt>
                <c:pt idx="537">
                  <c:v>#N/A</c:v>
                </c:pt>
                <c:pt idx="538">
                  <c:v>#N/A</c:v>
                </c:pt>
                <c:pt idx="539">
                  <c:v>#N/A</c:v>
                </c:pt>
                <c:pt idx="540">
                  <c:v>#N/A</c:v>
                </c:pt>
                <c:pt idx="541">
                  <c:v>#N/A</c:v>
                </c:pt>
                <c:pt idx="542">
                  <c:v>#N/A</c:v>
                </c:pt>
                <c:pt idx="543">
                  <c:v>#N/A</c:v>
                </c:pt>
                <c:pt idx="544">
                  <c:v>#N/A</c:v>
                </c:pt>
                <c:pt idx="545">
                  <c:v>#N/A</c:v>
                </c:pt>
                <c:pt idx="546">
                  <c:v>#N/A</c:v>
                </c:pt>
                <c:pt idx="547">
                  <c:v>#N/A</c:v>
                </c:pt>
                <c:pt idx="548">
                  <c:v>#N/A</c:v>
                </c:pt>
                <c:pt idx="549">
                  <c:v>#N/A</c:v>
                </c:pt>
                <c:pt idx="550">
                  <c:v>#N/A</c:v>
                </c:pt>
                <c:pt idx="551">
                  <c:v>#N/A</c:v>
                </c:pt>
                <c:pt idx="552">
                  <c:v>#N/A</c:v>
                </c:pt>
                <c:pt idx="553">
                  <c:v>#N/A</c:v>
                </c:pt>
                <c:pt idx="554">
                  <c:v>#N/A</c:v>
                </c:pt>
                <c:pt idx="555">
                  <c:v>#N/A</c:v>
                </c:pt>
                <c:pt idx="556">
                  <c:v>#N/A</c:v>
                </c:pt>
                <c:pt idx="557">
                  <c:v>#N/A</c:v>
                </c:pt>
                <c:pt idx="558">
                  <c:v>#N/A</c:v>
                </c:pt>
                <c:pt idx="559">
                  <c:v>#N/A</c:v>
                </c:pt>
                <c:pt idx="560">
                  <c:v>#N/A</c:v>
                </c:pt>
                <c:pt idx="561">
                  <c:v>#N/A</c:v>
                </c:pt>
                <c:pt idx="562">
                  <c:v>#N/A</c:v>
                </c:pt>
                <c:pt idx="563">
                  <c:v>#N/A</c:v>
                </c:pt>
                <c:pt idx="564">
                  <c:v>#N/A</c:v>
                </c:pt>
                <c:pt idx="565">
                  <c:v>#N/A</c:v>
                </c:pt>
                <c:pt idx="566">
                  <c:v>#N/A</c:v>
                </c:pt>
                <c:pt idx="567">
                  <c:v>#N/A</c:v>
                </c:pt>
                <c:pt idx="568">
                  <c:v>#N/A</c:v>
                </c:pt>
                <c:pt idx="569">
                  <c:v>#N/A</c:v>
                </c:pt>
                <c:pt idx="570">
                  <c:v>#N/A</c:v>
                </c:pt>
                <c:pt idx="571">
                  <c:v>#N/A</c:v>
                </c:pt>
                <c:pt idx="572">
                  <c:v>#N/A</c:v>
                </c:pt>
                <c:pt idx="573">
                  <c:v>#N/A</c:v>
                </c:pt>
                <c:pt idx="574">
                  <c:v>#N/A</c:v>
                </c:pt>
                <c:pt idx="575">
                  <c:v>#N/A</c:v>
                </c:pt>
                <c:pt idx="576">
                  <c:v>#N/A</c:v>
                </c:pt>
                <c:pt idx="577">
                  <c:v>#N/A</c:v>
                </c:pt>
                <c:pt idx="578">
                  <c:v>#N/A</c:v>
                </c:pt>
                <c:pt idx="579">
                  <c:v>#N/A</c:v>
                </c:pt>
                <c:pt idx="580">
                  <c:v>#N/A</c:v>
                </c:pt>
                <c:pt idx="581">
                  <c:v>#N/A</c:v>
                </c:pt>
                <c:pt idx="582">
                  <c:v>#N/A</c:v>
                </c:pt>
                <c:pt idx="583">
                  <c:v>#N/A</c:v>
                </c:pt>
                <c:pt idx="584">
                  <c:v>#N/A</c:v>
                </c:pt>
                <c:pt idx="585">
                  <c:v>#N/A</c:v>
                </c:pt>
                <c:pt idx="586">
                  <c:v>#N/A</c:v>
                </c:pt>
                <c:pt idx="587">
                  <c:v>#N/A</c:v>
                </c:pt>
                <c:pt idx="588">
                  <c:v>#N/A</c:v>
                </c:pt>
                <c:pt idx="589">
                  <c:v>#N/A</c:v>
                </c:pt>
                <c:pt idx="590">
                  <c:v>#N/A</c:v>
                </c:pt>
                <c:pt idx="591">
                  <c:v>#N/A</c:v>
                </c:pt>
                <c:pt idx="592">
                  <c:v>#N/A</c:v>
                </c:pt>
                <c:pt idx="593">
                  <c:v>#N/A</c:v>
                </c:pt>
                <c:pt idx="594">
                  <c:v>#N/A</c:v>
                </c:pt>
                <c:pt idx="595">
                  <c:v>#N/A</c:v>
                </c:pt>
                <c:pt idx="596">
                  <c:v>#N/A</c:v>
                </c:pt>
                <c:pt idx="597">
                  <c:v>#N/A</c:v>
                </c:pt>
                <c:pt idx="598">
                  <c:v>#N/A</c:v>
                </c:pt>
                <c:pt idx="599">
                  <c:v>#N/A</c:v>
                </c:pt>
                <c:pt idx="600">
                  <c:v>#N/A</c:v>
                </c:pt>
                <c:pt idx="601">
                  <c:v>#N/A</c:v>
                </c:pt>
                <c:pt idx="602">
                  <c:v>#N/A</c:v>
                </c:pt>
                <c:pt idx="603">
                  <c:v>#N/A</c:v>
                </c:pt>
                <c:pt idx="604">
                  <c:v>#N/A</c:v>
                </c:pt>
                <c:pt idx="605">
                  <c:v>#N/A</c:v>
                </c:pt>
                <c:pt idx="606">
                  <c:v>#N/A</c:v>
                </c:pt>
                <c:pt idx="607">
                  <c:v>#N/A</c:v>
                </c:pt>
                <c:pt idx="608">
                  <c:v>#N/A</c:v>
                </c:pt>
                <c:pt idx="609">
                  <c:v>#N/A</c:v>
                </c:pt>
                <c:pt idx="610">
                  <c:v>#N/A</c:v>
                </c:pt>
                <c:pt idx="611">
                  <c:v>#N/A</c:v>
                </c:pt>
                <c:pt idx="612">
                  <c:v>#N/A</c:v>
                </c:pt>
                <c:pt idx="613">
                  <c:v>#N/A</c:v>
                </c:pt>
                <c:pt idx="614">
                  <c:v>#N/A</c:v>
                </c:pt>
                <c:pt idx="615">
                  <c:v>#N/A</c:v>
                </c:pt>
                <c:pt idx="616">
                  <c:v>#N/A</c:v>
                </c:pt>
                <c:pt idx="617">
                  <c:v>#N/A</c:v>
                </c:pt>
                <c:pt idx="618">
                  <c:v>#N/A</c:v>
                </c:pt>
                <c:pt idx="619">
                  <c:v>#N/A</c:v>
                </c:pt>
                <c:pt idx="620">
                  <c:v>#N/A</c:v>
                </c:pt>
                <c:pt idx="621">
                  <c:v>#N/A</c:v>
                </c:pt>
                <c:pt idx="622">
                  <c:v>#N/A</c:v>
                </c:pt>
                <c:pt idx="623">
                  <c:v>#N/A</c:v>
                </c:pt>
                <c:pt idx="624">
                  <c:v>#N/A</c:v>
                </c:pt>
                <c:pt idx="625">
                  <c:v>#N/A</c:v>
                </c:pt>
                <c:pt idx="626">
                  <c:v>#N/A</c:v>
                </c:pt>
                <c:pt idx="627">
                  <c:v>#N/A</c:v>
                </c:pt>
                <c:pt idx="628">
                  <c:v>#N/A</c:v>
                </c:pt>
                <c:pt idx="629">
                  <c:v>#N/A</c:v>
                </c:pt>
                <c:pt idx="630">
                  <c:v>#N/A</c:v>
                </c:pt>
                <c:pt idx="631">
                  <c:v>#N/A</c:v>
                </c:pt>
                <c:pt idx="632">
                  <c:v>#N/A</c:v>
                </c:pt>
                <c:pt idx="633">
                  <c:v>#N/A</c:v>
                </c:pt>
                <c:pt idx="634">
                  <c:v>#N/A</c:v>
                </c:pt>
                <c:pt idx="635">
                  <c:v>#N/A</c:v>
                </c:pt>
                <c:pt idx="636">
                  <c:v>#N/A</c:v>
                </c:pt>
                <c:pt idx="637">
                  <c:v>#N/A</c:v>
                </c:pt>
                <c:pt idx="638">
                  <c:v>#N/A</c:v>
                </c:pt>
                <c:pt idx="639">
                  <c:v>#N/A</c:v>
                </c:pt>
                <c:pt idx="640">
                  <c:v>#N/A</c:v>
                </c:pt>
                <c:pt idx="641">
                  <c:v>#N/A</c:v>
                </c:pt>
                <c:pt idx="642">
                  <c:v>#N/A</c:v>
                </c:pt>
                <c:pt idx="643">
                  <c:v>#N/A</c:v>
                </c:pt>
                <c:pt idx="644">
                  <c:v>#N/A</c:v>
                </c:pt>
                <c:pt idx="645">
                  <c:v>#N/A</c:v>
                </c:pt>
                <c:pt idx="646">
                  <c:v>#N/A</c:v>
                </c:pt>
                <c:pt idx="647">
                  <c:v>#N/A</c:v>
                </c:pt>
                <c:pt idx="648">
                  <c:v>#N/A</c:v>
                </c:pt>
                <c:pt idx="649">
                  <c:v>#N/A</c:v>
                </c:pt>
                <c:pt idx="650">
                  <c:v>#N/A</c:v>
                </c:pt>
                <c:pt idx="651">
                  <c:v>#N/A</c:v>
                </c:pt>
                <c:pt idx="652">
                  <c:v>#N/A</c:v>
                </c:pt>
                <c:pt idx="653">
                  <c:v>#N/A</c:v>
                </c:pt>
                <c:pt idx="654">
                  <c:v>#N/A</c:v>
                </c:pt>
                <c:pt idx="655">
                  <c:v>#N/A</c:v>
                </c:pt>
                <c:pt idx="656">
                  <c:v>#N/A</c:v>
                </c:pt>
                <c:pt idx="657">
                  <c:v>#N/A</c:v>
                </c:pt>
                <c:pt idx="658">
                  <c:v>#N/A</c:v>
                </c:pt>
                <c:pt idx="659">
                  <c:v>#N/A</c:v>
                </c:pt>
                <c:pt idx="660">
                  <c:v>#N/A</c:v>
                </c:pt>
                <c:pt idx="661">
                  <c:v>#N/A</c:v>
                </c:pt>
                <c:pt idx="662">
                  <c:v>#N/A</c:v>
                </c:pt>
                <c:pt idx="663">
                  <c:v>#N/A</c:v>
                </c:pt>
                <c:pt idx="664">
                  <c:v>#N/A</c:v>
                </c:pt>
                <c:pt idx="665">
                  <c:v>#N/A</c:v>
                </c:pt>
                <c:pt idx="666">
                  <c:v>#N/A</c:v>
                </c:pt>
                <c:pt idx="667">
                  <c:v>#N/A</c:v>
                </c:pt>
                <c:pt idx="668">
                  <c:v>#N/A</c:v>
                </c:pt>
                <c:pt idx="669">
                  <c:v>#N/A</c:v>
                </c:pt>
                <c:pt idx="670">
                  <c:v>#N/A</c:v>
                </c:pt>
                <c:pt idx="671">
                  <c:v>#N/A</c:v>
                </c:pt>
                <c:pt idx="672">
                  <c:v>#N/A</c:v>
                </c:pt>
                <c:pt idx="673">
                  <c:v>#N/A</c:v>
                </c:pt>
                <c:pt idx="674">
                  <c:v>#N/A</c:v>
                </c:pt>
                <c:pt idx="675">
                  <c:v>#N/A</c:v>
                </c:pt>
                <c:pt idx="676">
                  <c:v>#N/A</c:v>
                </c:pt>
                <c:pt idx="677">
                  <c:v>#N/A</c:v>
                </c:pt>
                <c:pt idx="678">
                  <c:v>#N/A</c:v>
                </c:pt>
                <c:pt idx="679">
                  <c:v>#N/A</c:v>
                </c:pt>
                <c:pt idx="680">
                  <c:v>#N/A</c:v>
                </c:pt>
                <c:pt idx="681">
                  <c:v>#N/A</c:v>
                </c:pt>
                <c:pt idx="682">
                  <c:v>#N/A</c:v>
                </c:pt>
                <c:pt idx="683">
                  <c:v>#N/A</c:v>
                </c:pt>
                <c:pt idx="684">
                  <c:v>#N/A</c:v>
                </c:pt>
                <c:pt idx="685">
                  <c:v>#N/A</c:v>
                </c:pt>
                <c:pt idx="686">
                  <c:v>#N/A</c:v>
                </c:pt>
                <c:pt idx="687">
                  <c:v>#N/A</c:v>
                </c:pt>
                <c:pt idx="688">
                  <c:v>#N/A</c:v>
                </c:pt>
                <c:pt idx="689">
                  <c:v>#N/A</c:v>
                </c:pt>
                <c:pt idx="690">
                  <c:v>#N/A</c:v>
                </c:pt>
                <c:pt idx="691">
                  <c:v>#N/A</c:v>
                </c:pt>
                <c:pt idx="692">
                  <c:v>#N/A</c:v>
                </c:pt>
                <c:pt idx="693">
                  <c:v>#N/A</c:v>
                </c:pt>
                <c:pt idx="694">
                  <c:v>#N/A</c:v>
                </c:pt>
                <c:pt idx="695">
                  <c:v>#N/A</c:v>
                </c:pt>
                <c:pt idx="696">
                  <c:v>#N/A</c:v>
                </c:pt>
                <c:pt idx="697">
                  <c:v>#N/A</c:v>
                </c:pt>
                <c:pt idx="698">
                  <c:v>#N/A</c:v>
                </c:pt>
                <c:pt idx="699">
                  <c:v>#N/A</c:v>
                </c:pt>
                <c:pt idx="700">
                  <c:v>#N/A</c:v>
                </c:pt>
                <c:pt idx="701">
                  <c:v>#N/A</c:v>
                </c:pt>
                <c:pt idx="702">
                  <c:v>#N/A</c:v>
                </c:pt>
                <c:pt idx="703">
                  <c:v>#N/A</c:v>
                </c:pt>
                <c:pt idx="704">
                  <c:v>#N/A</c:v>
                </c:pt>
                <c:pt idx="705">
                  <c:v>#N/A</c:v>
                </c:pt>
                <c:pt idx="706">
                  <c:v>#N/A</c:v>
                </c:pt>
                <c:pt idx="707">
                  <c:v>#N/A</c:v>
                </c:pt>
                <c:pt idx="708">
                  <c:v>#N/A</c:v>
                </c:pt>
                <c:pt idx="709">
                  <c:v>#N/A</c:v>
                </c:pt>
                <c:pt idx="710">
                  <c:v>#N/A</c:v>
                </c:pt>
                <c:pt idx="711">
                  <c:v>#N/A</c:v>
                </c:pt>
                <c:pt idx="712">
                  <c:v>#N/A</c:v>
                </c:pt>
                <c:pt idx="713">
                  <c:v>#N/A</c:v>
                </c:pt>
                <c:pt idx="714">
                  <c:v>#N/A</c:v>
                </c:pt>
                <c:pt idx="715">
                  <c:v>#N/A</c:v>
                </c:pt>
                <c:pt idx="716">
                  <c:v>#N/A</c:v>
                </c:pt>
                <c:pt idx="717">
                  <c:v>#N/A</c:v>
                </c:pt>
                <c:pt idx="718">
                  <c:v>#N/A</c:v>
                </c:pt>
                <c:pt idx="719">
                  <c:v>#N/A</c:v>
                </c:pt>
                <c:pt idx="720">
                  <c:v>#N/A</c:v>
                </c:pt>
                <c:pt idx="721">
                  <c:v>#N/A</c:v>
                </c:pt>
                <c:pt idx="722">
                  <c:v>#N/A</c:v>
                </c:pt>
                <c:pt idx="723">
                  <c:v>#N/A</c:v>
                </c:pt>
                <c:pt idx="724">
                  <c:v>#N/A</c:v>
                </c:pt>
                <c:pt idx="725">
                  <c:v>#N/A</c:v>
                </c:pt>
                <c:pt idx="726">
                  <c:v>#N/A</c:v>
                </c:pt>
                <c:pt idx="727">
                  <c:v>#N/A</c:v>
                </c:pt>
                <c:pt idx="728">
                  <c:v>#N/A</c:v>
                </c:pt>
                <c:pt idx="729">
                  <c:v>#N/A</c:v>
                </c:pt>
                <c:pt idx="730">
                  <c:v>#N/A</c:v>
                </c:pt>
                <c:pt idx="731">
                  <c:v>#N/A</c:v>
                </c:pt>
                <c:pt idx="732">
                  <c:v>#N/A</c:v>
                </c:pt>
                <c:pt idx="733">
                  <c:v>#N/A</c:v>
                </c:pt>
                <c:pt idx="734">
                  <c:v>#N/A</c:v>
                </c:pt>
                <c:pt idx="735">
                  <c:v>#N/A</c:v>
                </c:pt>
                <c:pt idx="736">
                  <c:v>#N/A</c:v>
                </c:pt>
                <c:pt idx="737">
                  <c:v>#N/A</c:v>
                </c:pt>
                <c:pt idx="738">
                  <c:v>#N/A</c:v>
                </c:pt>
                <c:pt idx="739">
                  <c:v>#N/A</c:v>
                </c:pt>
                <c:pt idx="740">
                  <c:v>#N/A</c:v>
                </c:pt>
                <c:pt idx="741">
                  <c:v>#N/A</c:v>
                </c:pt>
                <c:pt idx="742">
                  <c:v>#N/A</c:v>
                </c:pt>
                <c:pt idx="743">
                  <c:v>#N/A</c:v>
                </c:pt>
                <c:pt idx="744">
                  <c:v>#N/A</c:v>
                </c:pt>
                <c:pt idx="745">
                  <c:v>#N/A</c:v>
                </c:pt>
                <c:pt idx="746">
                  <c:v>#N/A</c:v>
                </c:pt>
                <c:pt idx="747">
                  <c:v>#N/A</c:v>
                </c:pt>
                <c:pt idx="748">
                  <c:v>#N/A</c:v>
                </c:pt>
                <c:pt idx="749">
                  <c:v>#N/A</c:v>
                </c:pt>
                <c:pt idx="750">
                  <c:v>#N/A</c:v>
                </c:pt>
                <c:pt idx="751">
                  <c:v>#N/A</c:v>
                </c:pt>
                <c:pt idx="752">
                  <c:v>#N/A</c:v>
                </c:pt>
                <c:pt idx="753">
                  <c:v>#N/A</c:v>
                </c:pt>
                <c:pt idx="754">
                  <c:v>#N/A</c:v>
                </c:pt>
                <c:pt idx="755">
                  <c:v>#N/A</c:v>
                </c:pt>
                <c:pt idx="756">
                  <c:v>#N/A</c:v>
                </c:pt>
                <c:pt idx="757">
                  <c:v>#N/A</c:v>
                </c:pt>
                <c:pt idx="758">
                  <c:v>#N/A</c:v>
                </c:pt>
                <c:pt idx="759">
                  <c:v>#N/A</c:v>
                </c:pt>
                <c:pt idx="760">
                  <c:v>#N/A</c:v>
                </c:pt>
                <c:pt idx="761">
                  <c:v>#N/A</c:v>
                </c:pt>
                <c:pt idx="762">
                  <c:v>#N/A</c:v>
                </c:pt>
                <c:pt idx="763">
                  <c:v>#N/A</c:v>
                </c:pt>
                <c:pt idx="764">
                  <c:v>#N/A</c:v>
                </c:pt>
                <c:pt idx="765">
                  <c:v>#N/A</c:v>
                </c:pt>
                <c:pt idx="766">
                  <c:v>#N/A</c:v>
                </c:pt>
                <c:pt idx="767">
                  <c:v>#N/A</c:v>
                </c:pt>
                <c:pt idx="768">
                  <c:v>#N/A</c:v>
                </c:pt>
                <c:pt idx="769">
                  <c:v>#N/A</c:v>
                </c:pt>
                <c:pt idx="770">
                  <c:v>#N/A</c:v>
                </c:pt>
                <c:pt idx="771">
                  <c:v>#N/A</c:v>
                </c:pt>
                <c:pt idx="772">
                  <c:v>#N/A</c:v>
                </c:pt>
                <c:pt idx="773">
                  <c:v>#N/A</c:v>
                </c:pt>
                <c:pt idx="774">
                  <c:v>#N/A</c:v>
                </c:pt>
                <c:pt idx="775">
                  <c:v>#N/A</c:v>
                </c:pt>
                <c:pt idx="776">
                  <c:v>#N/A</c:v>
                </c:pt>
                <c:pt idx="777">
                  <c:v>#N/A</c:v>
                </c:pt>
                <c:pt idx="778">
                  <c:v>#N/A</c:v>
                </c:pt>
                <c:pt idx="779">
                  <c:v>#N/A</c:v>
                </c:pt>
                <c:pt idx="780">
                  <c:v>#N/A</c:v>
                </c:pt>
                <c:pt idx="781">
                  <c:v>#N/A</c:v>
                </c:pt>
                <c:pt idx="782">
                  <c:v>#N/A</c:v>
                </c:pt>
                <c:pt idx="783">
                  <c:v>#N/A</c:v>
                </c:pt>
                <c:pt idx="784">
                  <c:v>#N/A</c:v>
                </c:pt>
                <c:pt idx="785">
                  <c:v>#N/A</c:v>
                </c:pt>
                <c:pt idx="786">
                  <c:v>#N/A</c:v>
                </c:pt>
                <c:pt idx="787">
                  <c:v>#N/A</c:v>
                </c:pt>
                <c:pt idx="788">
                  <c:v>#N/A</c:v>
                </c:pt>
                <c:pt idx="789">
                  <c:v>#N/A</c:v>
                </c:pt>
                <c:pt idx="790">
                  <c:v>#N/A</c:v>
                </c:pt>
                <c:pt idx="791">
                  <c:v>#N/A</c:v>
                </c:pt>
                <c:pt idx="792">
                  <c:v>#N/A</c:v>
                </c:pt>
                <c:pt idx="793">
                  <c:v>#N/A</c:v>
                </c:pt>
                <c:pt idx="794">
                  <c:v>#N/A</c:v>
                </c:pt>
                <c:pt idx="795">
                  <c:v>#N/A</c:v>
                </c:pt>
                <c:pt idx="796">
                  <c:v>#N/A</c:v>
                </c:pt>
                <c:pt idx="797">
                  <c:v>#N/A</c:v>
                </c:pt>
                <c:pt idx="798">
                  <c:v>#N/A</c:v>
                </c:pt>
                <c:pt idx="799">
                  <c:v>#N/A</c:v>
                </c:pt>
                <c:pt idx="800">
                  <c:v>#N/A</c:v>
                </c:pt>
                <c:pt idx="801">
                  <c:v>#N/A</c:v>
                </c:pt>
                <c:pt idx="802">
                  <c:v>#N/A</c:v>
                </c:pt>
                <c:pt idx="803">
                  <c:v>#N/A</c:v>
                </c:pt>
                <c:pt idx="804">
                  <c:v>#N/A</c:v>
                </c:pt>
                <c:pt idx="805">
                  <c:v>#N/A</c:v>
                </c:pt>
                <c:pt idx="806">
                  <c:v>#N/A</c:v>
                </c:pt>
                <c:pt idx="807">
                  <c:v>#N/A</c:v>
                </c:pt>
                <c:pt idx="808">
                  <c:v>#N/A</c:v>
                </c:pt>
                <c:pt idx="809">
                  <c:v>#N/A</c:v>
                </c:pt>
                <c:pt idx="810">
                  <c:v>#N/A</c:v>
                </c:pt>
                <c:pt idx="811">
                  <c:v>#N/A</c:v>
                </c:pt>
                <c:pt idx="812">
                  <c:v>#N/A</c:v>
                </c:pt>
                <c:pt idx="813">
                  <c:v>#N/A</c:v>
                </c:pt>
                <c:pt idx="814">
                  <c:v>#N/A</c:v>
                </c:pt>
                <c:pt idx="815">
                  <c:v>#N/A</c:v>
                </c:pt>
                <c:pt idx="816">
                  <c:v>#N/A</c:v>
                </c:pt>
                <c:pt idx="817">
                  <c:v>#N/A</c:v>
                </c:pt>
                <c:pt idx="818">
                  <c:v>#N/A</c:v>
                </c:pt>
                <c:pt idx="819">
                  <c:v>#N/A</c:v>
                </c:pt>
                <c:pt idx="820">
                  <c:v>#N/A</c:v>
                </c:pt>
                <c:pt idx="821">
                  <c:v>#N/A</c:v>
                </c:pt>
                <c:pt idx="822">
                  <c:v>#N/A</c:v>
                </c:pt>
                <c:pt idx="823">
                  <c:v>#N/A</c:v>
                </c:pt>
                <c:pt idx="824">
                  <c:v>#N/A</c:v>
                </c:pt>
                <c:pt idx="825">
                  <c:v>#N/A</c:v>
                </c:pt>
                <c:pt idx="826">
                  <c:v>#N/A</c:v>
                </c:pt>
                <c:pt idx="827">
                  <c:v>#N/A</c:v>
                </c:pt>
                <c:pt idx="828">
                  <c:v>#N/A</c:v>
                </c:pt>
                <c:pt idx="829">
                  <c:v>#N/A</c:v>
                </c:pt>
                <c:pt idx="830">
                  <c:v>#N/A</c:v>
                </c:pt>
                <c:pt idx="831">
                  <c:v>#N/A</c:v>
                </c:pt>
                <c:pt idx="832">
                  <c:v>#N/A</c:v>
                </c:pt>
                <c:pt idx="833">
                  <c:v>#N/A</c:v>
                </c:pt>
                <c:pt idx="834">
                  <c:v>#N/A</c:v>
                </c:pt>
                <c:pt idx="835">
                  <c:v>#N/A</c:v>
                </c:pt>
                <c:pt idx="836">
                  <c:v>#N/A</c:v>
                </c:pt>
                <c:pt idx="837">
                  <c:v>#N/A</c:v>
                </c:pt>
                <c:pt idx="838">
                  <c:v>#N/A</c:v>
                </c:pt>
                <c:pt idx="839">
                  <c:v>#N/A</c:v>
                </c:pt>
                <c:pt idx="840">
                  <c:v>#N/A</c:v>
                </c:pt>
                <c:pt idx="841">
                  <c:v>#N/A</c:v>
                </c:pt>
                <c:pt idx="842">
                  <c:v>#N/A</c:v>
                </c:pt>
                <c:pt idx="843">
                  <c:v>#N/A</c:v>
                </c:pt>
                <c:pt idx="844">
                  <c:v>#N/A</c:v>
                </c:pt>
                <c:pt idx="845">
                  <c:v>#N/A</c:v>
                </c:pt>
                <c:pt idx="846">
                  <c:v>#N/A</c:v>
                </c:pt>
                <c:pt idx="847">
                  <c:v>#N/A</c:v>
                </c:pt>
                <c:pt idx="848">
                  <c:v>#N/A</c:v>
                </c:pt>
                <c:pt idx="849">
                  <c:v>#N/A</c:v>
                </c:pt>
                <c:pt idx="850">
                  <c:v>#N/A</c:v>
                </c:pt>
                <c:pt idx="851">
                  <c:v>#N/A</c:v>
                </c:pt>
                <c:pt idx="852">
                  <c:v>#N/A</c:v>
                </c:pt>
                <c:pt idx="853">
                  <c:v>#N/A</c:v>
                </c:pt>
                <c:pt idx="854">
                  <c:v>#N/A</c:v>
                </c:pt>
                <c:pt idx="855">
                  <c:v>#N/A</c:v>
                </c:pt>
                <c:pt idx="856">
                  <c:v>#N/A</c:v>
                </c:pt>
                <c:pt idx="857">
                  <c:v>#N/A</c:v>
                </c:pt>
                <c:pt idx="858">
                  <c:v>#N/A</c:v>
                </c:pt>
                <c:pt idx="859">
                  <c:v>#N/A</c:v>
                </c:pt>
                <c:pt idx="860">
                  <c:v>#N/A</c:v>
                </c:pt>
                <c:pt idx="861">
                  <c:v>#N/A</c:v>
                </c:pt>
                <c:pt idx="862">
                  <c:v>#N/A</c:v>
                </c:pt>
                <c:pt idx="863">
                  <c:v>#N/A</c:v>
                </c:pt>
                <c:pt idx="864">
                  <c:v>#N/A</c:v>
                </c:pt>
                <c:pt idx="865">
                  <c:v>#N/A</c:v>
                </c:pt>
                <c:pt idx="866">
                  <c:v>#N/A</c:v>
                </c:pt>
                <c:pt idx="867">
                  <c:v>#N/A</c:v>
                </c:pt>
                <c:pt idx="868">
                  <c:v>#N/A</c:v>
                </c:pt>
                <c:pt idx="869">
                  <c:v>#N/A</c:v>
                </c:pt>
                <c:pt idx="870">
                  <c:v>#N/A</c:v>
                </c:pt>
                <c:pt idx="871">
                  <c:v>#N/A</c:v>
                </c:pt>
                <c:pt idx="872">
                  <c:v>#N/A</c:v>
                </c:pt>
                <c:pt idx="873">
                  <c:v>#N/A</c:v>
                </c:pt>
                <c:pt idx="874">
                  <c:v>#N/A</c:v>
                </c:pt>
                <c:pt idx="875">
                  <c:v>#N/A</c:v>
                </c:pt>
                <c:pt idx="876">
                  <c:v>#N/A</c:v>
                </c:pt>
                <c:pt idx="877">
                  <c:v>#N/A</c:v>
                </c:pt>
                <c:pt idx="878">
                  <c:v>#N/A</c:v>
                </c:pt>
                <c:pt idx="879">
                  <c:v>#N/A</c:v>
                </c:pt>
                <c:pt idx="880">
                  <c:v>#N/A</c:v>
                </c:pt>
                <c:pt idx="881">
                  <c:v>#N/A</c:v>
                </c:pt>
                <c:pt idx="882">
                  <c:v>#N/A</c:v>
                </c:pt>
                <c:pt idx="883">
                  <c:v>#N/A</c:v>
                </c:pt>
                <c:pt idx="884">
                  <c:v>#N/A</c:v>
                </c:pt>
                <c:pt idx="885">
                  <c:v>#N/A</c:v>
                </c:pt>
                <c:pt idx="886">
                  <c:v>#N/A</c:v>
                </c:pt>
                <c:pt idx="887">
                  <c:v>#N/A</c:v>
                </c:pt>
                <c:pt idx="888">
                  <c:v>#N/A</c:v>
                </c:pt>
                <c:pt idx="889">
                  <c:v>#N/A</c:v>
                </c:pt>
                <c:pt idx="890">
                  <c:v>#N/A</c:v>
                </c:pt>
                <c:pt idx="891">
                  <c:v>#N/A</c:v>
                </c:pt>
                <c:pt idx="892">
                  <c:v>#N/A</c:v>
                </c:pt>
                <c:pt idx="893">
                  <c:v>#N/A</c:v>
                </c:pt>
                <c:pt idx="894">
                  <c:v>#N/A</c:v>
                </c:pt>
                <c:pt idx="895">
                  <c:v>#N/A</c:v>
                </c:pt>
                <c:pt idx="896">
                  <c:v>#N/A</c:v>
                </c:pt>
                <c:pt idx="897">
                  <c:v>#N/A</c:v>
                </c:pt>
                <c:pt idx="898">
                  <c:v>#N/A</c:v>
                </c:pt>
                <c:pt idx="899">
                  <c:v>#N/A</c:v>
                </c:pt>
                <c:pt idx="900">
                  <c:v>#N/A</c:v>
                </c:pt>
                <c:pt idx="901">
                  <c:v>#N/A</c:v>
                </c:pt>
                <c:pt idx="902">
                  <c:v>#N/A</c:v>
                </c:pt>
                <c:pt idx="903">
                  <c:v>#N/A</c:v>
                </c:pt>
                <c:pt idx="904">
                  <c:v>#N/A</c:v>
                </c:pt>
                <c:pt idx="905">
                  <c:v>#N/A</c:v>
                </c:pt>
                <c:pt idx="906">
                  <c:v>#N/A</c:v>
                </c:pt>
                <c:pt idx="907">
                  <c:v>#N/A</c:v>
                </c:pt>
                <c:pt idx="908">
                  <c:v>#N/A</c:v>
                </c:pt>
                <c:pt idx="909">
                  <c:v>#N/A</c:v>
                </c:pt>
                <c:pt idx="910">
                  <c:v>#N/A</c:v>
                </c:pt>
                <c:pt idx="911">
                  <c:v>#N/A</c:v>
                </c:pt>
                <c:pt idx="912">
                  <c:v>#N/A</c:v>
                </c:pt>
                <c:pt idx="913">
                  <c:v>#N/A</c:v>
                </c:pt>
                <c:pt idx="914">
                  <c:v>#N/A</c:v>
                </c:pt>
                <c:pt idx="915">
                  <c:v>#N/A</c:v>
                </c:pt>
                <c:pt idx="916">
                  <c:v>#N/A</c:v>
                </c:pt>
                <c:pt idx="917">
                  <c:v>#N/A</c:v>
                </c:pt>
                <c:pt idx="918">
                  <c:v>#N/A</c:v>
                </c:pt>
                <c:pt idx="919">
                  <c:v>#N/A</c:v>
                </c:pt>
                <c:pt idx="920">
                  <c:v>#N/A</c:v>
                </c:pt>
                <c:pt idx="921">
                  <c:v>#N/A</c:v>
                </c:pt>
                <c:pt idx="922">
                  <c:v>#N/A</c:v>
                </c:pt>
                <c:pt idx="923">
                  <c:v>#N/A</c:v>
                </c:pt>
                <c:pt idx="924">
                  <c:v>#N/A</c:v>
                </c:pt>
                <c:pt idx="925">
                  <c:v>#N/A</c:v>
                </c:pt>
                <c:pt idx="926">
                  <c:v>#N/A</c:v>
                </c:pt>
                <c:pt idx="927">
                  <c:v>#N/A</c:v>
                </c:pt>
                <c:pt idx="928">
                  <c:v>#N/A</c:v>
                </c:pt>
                <c:pt idx="929">
                  <c:v>#N/A</c:v>
                </c:pt>
                <c:pt idx="930">
                  <c:v>#N/A</c:v>
                </c:pt>
                <c:pt idx="931">
                  <c:v>#N/A</c:v>
                </c:pt>
                <c:pt idx="932">
                  <c:v>#N/A</c:v>
                </c:pt>
                <c:pt idx="933">
                  <c:v>#N/A</c:v>
                </c:pt>
                <c:pt idx="934">
                  <c:v>#N/A</c:v>
                </c:pt>
                <c:pt idx="935">
                  <c:v>#N/A</c:v>
                </c:pt>
                <c:pt idx="936">
                  <c:v>#N/A</c:v>
                </c:pt>
                <c:pt idx="937">
                  <c:v>#N/A</c:v>
                </c:pt>
                <c:pt idx="938">
                  <c:v>#N/A</c:v>
                </c:pt>
                <c:pt idx="939">
                  <c:v>#N/A</c:v>
                </c:pt>
                <c:pt idx="940">
                  <c:v>#N/A</c:v>
                </c:pt>
                <c:pt idx="941">
                  <c:v>#N/A</c:v>
                </c:pt>
                <c:pt idx="942">
                  <c:v>#N/A</c:v>
                </c:pt>
                <c:pt idx="943">
                  <c:v>#N/A</c:v>
                </c:pt>
                <c:pt idx="944">
                  <c:v>#N/A</c:v>
                </c:pt>
                <c:pt idx="945">
                  <c:v>#N/A</c:v>
                </c:pt>
                <c:pt idx="946">
                  <c:v>#N/A</c:v>
                </c:pt>
                <c:pt idx="947">
                  <c:v>#N/A</c:v>
                </c:pt>
                <c:pt idx="948">
                  <c:v>#N/A</c:v>
                </c:pt>
                <c:pt idx="949">
                  <c:v>#N/A</c:v>
                </c:pt>
                <c:pt idx="950">
                  <c:v>#N/A</c:v>
                </c:pt>
                <c:pt idx="951">
                  <c:v>#N/A</c:v>
                </c:pt>
                <c:pt idx="952">
                  <c:v>#N/A</c:v>
                </c:pt>
                <c:pt idx="953">
                  <c:v>#N/A</c:v>
                </c:pt>
                <c:pt idx="954">
                  <c:v>#N/A</c:v>
                </c:pt>
                <c:pt idx="955">
                  <c:v>#N/A</c:v>
                </c:pt>
                <c:pt idx="956">
                  <c:v>#N/A</c:v>
                </c:pt>
                <c:pt idx="957">
                  <c:v>#N/A</c:v>
                </c:pt>
                <c:pt idx="958">
                  <c:v>#N/A</c:v>
                </c:pt>
                <c:pt idx="959">
                  <c:v>#N/A</c:v>
                </c:pt>
                <c:pt idx="960">
                  <c:v>#N/A</c:v>
                </c:pt>
                <c:pt idx="961">
                  <c:v>#N/A</c:v>
                </c:pt>
                <c:pt idx="962">
                  <c:v>#N/A</c:v>
                </c:pt>
                <c:pt idx="963">
                  <c:v>#N/A</c:v>
                </c:pt>
                <c:pt idx="964">
                  <c:v>#N/A</c:v>
                </c:pt>
                <c:pt idx="965">
                  <c:v>#N/A</c:v>
                </c:pt>
                <c:pt idx="966">
                  <c:v>#N/A</c:v>
                </c:pt>
                <c:pt idx="967">
                  <c:v>#N/A</c:v>
                </c:pt>
                <c:pt idx="968">
                  <c:v>#N/A</c:v>
                </c:pt>
                <c:pt idx="969">
                  <c:v>#N/A</c:v>
                </c:pt>
                <c:pt idx="970">
                  <c:v>#N/A</c:v>
                </c:pt>
                <c:pt idx="971">
                  <c:v>#N/A</c:v>
                </c:pt>
                <c:pt idx="972">
                  <c:v>#N/A</c:v>
                </c:pt>
                <c:pt idx="973">
                  <c:v>#N/A</c:v>
                </c:pt>
                <c:pt idx="974">
                  <c:v>#N/A</c:v>
                </c:pt>
                <c:pt idx="975">
                  <c:v>#N/A</c:v>
                </c:pt>
                <c:pt idx="976">
                  <c:v>#N/A</c:v>
                </c:pt>
                <c:pt idx="977">
                  <c:v>#N/A</c:v>
                </c:pt>
                <c:pt idx="978">
                  <c:v>#N/A</c:v>
                </c:pt>
                <c:pt idx="979">
                  <c:v>#N/A</c:v>
                </c:pt>
                <c:pt idx="980">
                  <c:v>#N/A</c:v>
                </c:pt>
                <c:pt idx="981">
                  <c:v>#N/A</c:v>
                </c:pt>
                <c:pt idx="982">
                  <c:v>#N/A</c:v>
                </c:pt>
                <c:pt idx="983">
                  <c:v>#N/A</c:v>
                </c:pt>
                <c:pt idx="984">
                  <c:v>#N/A</c:v>
                </c:pt>
                <c:pt idx="985">
                  <c:v>#N/A</c:v>
                </c:pt>
                <c:pt idx="986">
                  <c:v>#N/A</c:v>
                </c:pt>
                <c:pt idx="987">
                  <c:v>#N/A</c:v>
                </c:pt>
                <c:pt idx="988">
                  <c:v>#N/A</c:v>
                </c:pt>
                <c:pt idx="989">
                  <c:v>#N/A</c:v>
                </c:pt>
                <c:pt idx="990">
                  <c:v>#N/A</c:v>
                </c:pt>
                <c:pt idx="991">
                  <c:v>#N/A</c:v>
                </c:pt>
                <c:pt idx="992">
                  <c:v>#N/A</c:v>
                </c:pt>
                <c:pt idx="993">
                  <c:v>#N/A</c:v>
                </c:pt>
                <c:pt idx="994">
                  <c:v>#N/A</c:v>
                </c:pt>
                <c:pt idx="995">
                  <c:v>#N/A</c:v>
                </c:pt>
                <c:pt idx="996">
                  <c:v>#N/A</c:v>
                </c:pt>
                <c:pt idx="997">
                  <c:v>#N/A</c:v>
                </c:pt>
                <c:pt idx="998">
                  <c:v>#N/A</c:v>
                </c:pt>
                <c:pt idx="999">
                  <c:v>#N/A</c:v>
                </c:pt>
                <c:pt idx="1000">
                  <c:v>#N/A</c:v>
                </c:pt>
                <c:pt idx="1001">
                  <c:v>#N/A</c:v>
                </c:pt>
                <c:pt idx="1002">
                  <c:v>#N/A</c:v>
                </c:pt>
                <c:pt idx="1003">
                  <c:v>#N/A</c:v>
                </c:pt>
                <c:pt idx="1004">
                  <c:v>#N/A</c:v>
                </c:pt>
                <c:pt idx="1005">
                  <c:v>#N/A</c:v>
                </c:pt>
                <c:pt idx="1006">
                  <c:v>#N/A</c:v>
                </c:pt>
                <c:pt idx="1007">
                  <c:v>#N/A</c:v>
                </c:pt>
                <c:pt idx="1008">
                  <c:v>#N/A</c:v>
                </c:pt>
                <c:pt idx="1009">
                  <c:v>#N/A</c:v>
                </c:pt>
                <c:pt idx="1010">
                  <c:v>#N/A</c:v>
                </c:pt>
                <c:pt idx="1011">
                  <c:v>#N/A</c:v>
                </c:pt>
                <c:pt idx="1012">
                  <c:v>#N/A</c:v>
                </c:pt>
                <c:pt idx="1013">
                  <c:v>#N/A</c:v>
                </c:pt>
                <c:pt idx="1014">
                  <c:v>#N/A</c:v>
                </c:pt>
                <c:pt idx="1015">
                  <c:v>#N/A</c:v>
                </c:pt>
                <c:pt idx="1016">
                  <c:v>#N/A</c:v>
                </c:pt>
                <c:pt idx="1017">
                  <c:v>#N/A</c:v>
                </c:pt>
                <c:pt idx="1018">
                  <c:v>#N/A</c:v>
                </c:pt>
                <c:pt idx="1019">
                  <c:v>#N/A</c:v>
                </c:pt>
                <c:pt idx="1020">
                  <c:v>#N/A</c:v>
                </c:pt>
                <c:pt idx="1021">
                  <c:v>#N/A</c:v>
                </c:pt>
                <c:pt idx="1022">
                  <c:v>#N/A</c:v>
                </c:pt>
                <c:pt idx="1023">
                  <c:v>#N/A</c:v>
                </c:pt>
                <c:pt idx="1024">
                  <c:v>#N/A</c:v>
                </c:pt>
                <c:pt idx="1025">
                  <c:v>#N/A</c:v>
                </c:pt>
                <c:pt idx="1026">
                  <c:v>#N/A</c:v>
                </c:pt>
                <c:pt idx="1027">
                  <c:v>#N/A</c:v>
                </c:pt>
                <c:pt idx="1028">
                  <c:v>#N/A</c:v>
                </c:pt>
                <c:pt idx="1029">
                  <c:v>#N/A</c:v>
                </c:pt>
                <c:pt idx="1030">
                  <c:v>#N/A</c:v>
                </c:pt>
                <c:pt idx="1031">
                  <c:v>#N/A</c:v>
                </c:pt>
                <c:pt idx="1032">
                  <c:v>#N/A</c:v>
                </c:pt>
                <c:pt idx="1033">
                  <c:v>#N/A</c:v>
                </c:pt>
                <c:pt idx="1034">
                  <c:v>#N/A</c:v>
                </c:pt>
                <c:pt idx="1035">
                  <c:v>#N/A</c:v>
                </c:pt>
                <c:pt idx="1036">
                  <c:v>#N/A</c:v>
                </c:pt>
                <c:pt idx="1037">
                  <c:v>#N/A</c:v>
                </c:pt>
                <c:pt idx="1038">
                  <c:v>#N/A</c:v>
                </c:pt>
                <c:pt idx="1039">
                  <c:v>#N/A</c:v>
                </c:pt>
                <c:pt idx="1040">
                  <c:v>#N/A</c:v>
                </c:pt>
                <c:pt idx="1041">
                  <c:v>#N/A</c:v>
                </c:pt>
                <c:pt idx="1042">
                  <c:v>#N/A</c:v>
                </c:pt>
                <c:pt idx="1043">
                  <c:v>#N/A</c:v>
                </c:pt>
                <c:pt idx="1044">
                  <c:v>#N/A</c:v>
                </c:pt>
                <c:pt idx="1045">
                  <c:v>#N/A</c:v>
                </c:pt>
                <c:pt idx="1046">
                  <c:v>#N/A</c:v>
                </c:pt>
                <c:pt idx="1047">
                  <c:v>#N/A</c:v>
                </c:pt>
                <c:pt idx="1048">
                  <c:v>#N/A</c:v>
                </c:pt>
                <c:pt idx="1049">
                  <c:v>#N/A</c:v>
                </c:pt>
                <c:pt idx="1050">
                  <c:v>#N/A</c:v>
                </c:pt>
                <c:pt idx="1051">
                  <c:v>#N/A</c:v>
                </c:pt>
                <c:pt idx="1052">
                  <c:v>#N/A</c:v>
                </c:pt>
                <c:pt idx="1053">
                  <c:v>#N/A</c:v>
                </c:pt>
                <c:pt idx="1054">
                  <c:v>#N/A</c:v>
                </c:pt>
                <c:pt idx="1055">
                  <c:v>#N/A</c:v>
                </c:pt>
                <c:pt idx="1056">
                  <c:v>0</c:v>
                </c:pt>
                <c:pt idx="1057">
                  <c:v>0</c:v>
                </c:pt>
              </c:numCache>
            </c:numRef>
          </c:val>
          <c:extLst xmlns:c16r2="http://schemas.microsoft.com/office/drawing/2015/06/chart">
            <c:ext xmlns:c16="http://schemas.microsoft.com/office/drawing/2014/chart" uri="{C3380CC4-5D6E-409C-BE32-E72D297353CC}">
              <c16:uniqueId val="{00000001-0D70-493A-B7A6-9590C357C348}"/>
            </c:ext>
          </c:extLst>
        </c:ser>
        <c:ser>
          <c:idx val="6"/>
          <c:order val="8"/>
          <c:tx>
            <c:v>Delta Loss</c:v>
          </c:tx>
          <c:spPr>
            <a:solidFill>
              <a:srgbClr val="E2173D"/>
            </a:solidFill>
          </c:spPr>
          <c:cat>
            <c:numRef>
              <c:f>'Peak Payback Engine'!$AC$8:$AC$1065</c:f>
              <c:numCache>
                <c:formatCode>_(* #,##0.00_);_(* \(#,##0.00\);_(* "-"??_);_(@_)</c:formatCode>
                <c:ptCount val="1058"/>
                <c:pt idx="0">
                  <c:v>0</c:v>
                </c:pt>
                <c:pt idx="1">
                  <c:v>0.94876660341555974</c:v>
                </c:pt>
                <c:pt idx="2">
                  <c:v>0.94876660341555974</c:v>
                </c:pt>
                <c:pt idx="3">
                  <c:v>1.8975332068311195</c:v>
                </c:pt>
                <c:pt idx="4">
                  <c:v>2.8462998102466797</c:v>
                </c:pt>
                <c:pt idx="5">
                  <c:v>3.795066413662239</c:v>
                </c:pt>
                <c:pt idx="6">
                  <c:v>4.7438330170777983</c:v>
                </c:pt>
                <c:pt idx="7">
                  <c:v>5.6925996204933593</c:v>
                </c:pt>
                <c:pt idx="8">
                  <c:v>6.6413662239089177</c:v>
                </c:pt>
                <c:pt idx="9">
                  <c:v>7.5901328273244779</c:v>
                </c:pt>
                <c:pt idx="10">
                  <c:v>8.5388994307400381</c:v>
                </c:pt>
                <c:pt idx="11">
                  <c:v>9.4876660341555965</c:v>
                </c:pt>
                <c:pt idx="12">
                  <c:v>10.436432637571157</c:v>
                </c:pt>
                <c:pt idx="13">
                  <c:v>11.385199240986719</c:v>
                </c:pt>
                <c:pt idx="14">
                  <c:v>12.333965844402279</c:v>
                </c:pt>
                <c:pt idx="15">
                  <c:v>13.282732447817835</c:v>
                </c:pt>
                <c:pt idx="16">
                  <c:v>14.231499051233396</c:v>
                </c:pt>
                <c:pt idx="17">
                  <c:v>15.180265654648956</c:v>
                </c:pt>
                <c:pt idx="18">
                  <c:v>16.129032258064516</c:v>
                </c:pt>
                <c:pt idx="19">
                  <c:v>17.077798861480076</c:v>
                </c:pt>
                <c:pt idx="20">
                  <c:v>18.02656546489564</c:v>
                </c:pt>
                <c:pt idx="21">
                  <c:v>18.975332068311193</c:v>
                </c:pt>
                <c:pt idx="22">
                  <c:v>19.924098671726757</c:v>
                </c:pt>
                <c:pt idx="23">
                  <c:v>20.872865275142313</c:v>
                </c:pt>
                <c:pt idx="24">
                  <c:v>21.821631878557874</c:v>
                </c:pt>
                <c:pt idx="25">
                  <c:v>22.770398481973437</c:v>
                </c:pt>
                <c:pt idx="26">
                  <c:v>23.719165085388994</c:v>
                </c:pt>
                <c:pt idx="27">
                  <c:v>24.667931688804558</c:v>
                </c:pt>
                <c:pt idx="28">
                  <c:v>25.616698292220114</c:v>
                </c:pt>
                <c:pt idx="29">
                  <c:v>26.565464895635671</c:v>
                </c:pt>
                <c:pt idx="30">
                  <c:v>27.514231499051235</c:v>
                </c:pt>
                <c:pt idx="31">
                  <c:v>28.462998102466791</c:v>
                </c:pt>
                <c:pt idx="32">
                  <c:v>29.411764705882355</c:v>
                </c:pt>
                <c:pt idx="33">
                  <c:v>30.360531309297912</c:v>
                </c:pt>
                <c:pt idx="34">
                  <c:v>31.309297912713475</c:v>
                </c:pt>
                <c:pt idx="35">
                  <c:v>32.258064516129032</c:v>
                </c:pt>
                <c:pt idx="36">
                  <c:v>33.206831119544596</c:v>
                </c:pt>
                <c:pt idx="37">
                  <c:v>34.155597722960152</c:v>
                </c:pt>
                <c:pt idx="38">
                  <c:v>35.104364326375709</c:v>
                </c:pt>
                <c:pt idx="39">
                  <c:v>36.05313092979128</c:v>
                </c:pt>
                <c:pt idx="40">
                  <c:v>37.001897533206829</c:v>
                </c:pt>
                <c:pt idx="41">
                  <c:v>37.950664136622386</c:v>
                </c:pt>
                <c:pt idx="42">
                  <c:v>38.89943074003795</c:v>
                </c:pt>
                <c:pt idx="43">
                  <c:v>39.848197343453513</c:v>
                </c:pt>
                <c:pt idx="44">
                  <c:v>40.79696394686907</c:v>
                </c:pt>
                <c:pt idx="45">
                  <c:v>41.745730550284627</c:v>
                </c:pt>
                <c:pt idx="46">
                  <c:v>42.694497153700198</c:v>
                </c:pt>
                <c:pt idx="47">
                  <c:v>43.643263757115747</c:v>
                </c:pt>
                <c:pt idx="48">
                  <c:v>44.592030360531311</c:v>
                </c:pt>
                <c:pt idx="49">
                  <c:v>45.540796963946875</c:v>
                </c:pt>
                <c:pt idx="50">
                  <c:v>46.489563567362431</c:v>
                </c:pt>
                <c:pt idx="51">
                  <c:v>47.438330170777988</c:v>
                </c:pt>
                <c:pt idx="52">
                  <c:v>48.387096774193544</c:v>
                </c:pt>
                <c:pt idx="53">
                  <c:v>49.335863377609115</c:v>
                </c:pt>
                <c:pt idx="54">
                  <c:v>50.284629981024665</c:v>
                </c:pt>
                <c:pt idx="55">
                  <c:v>51.233396584440229</c:v>
                </c:pt>
                <c:pt idx="56">
                  <c:v>52.182163187855792</c:v>
                </c:pt>
                <c:pt idx="57">
                  <c:v>53.130929791271342</c:v>
                </c:pt>
                <c:pt idx="58">
                  <c:v>54.079696394686906</c:v>
                </c:pt>
                <c:pt idx="59">
                  <c:v>55.028462998102469</c:v>
                </c:pt>
                <c:pt idx="60">
                  <c:v>55.977229601518033</c:v>
                </c:pt>
                <c:pt idx="61">
                  <c:v>56.925996204933583</c:v>
                </c:pt>
                <c:pt idx="62">
                  <c:v>57.874762808349153</c:v>
                </c:pt>
                <c:pt idx="63">
                  <c:v>58.82352941176471</c:v>
                </c:pt>
                <c:pt idx="64">
                  <c:v>59.772296015180267</c:v>
                </c:pt>
                <c:pt idx="65">
                  <c:v>60.721062618595823</c:v>
                </c:pt>
                <c:pt idx="66">
                  <c:v>61.669829222011387</c:v>
                </c:pt>
                <c:pt idx="67">
                  <c:v>62.618595825426951</c:v>
                </c:pt>
                <c:pt idx="68">
                  <c:v>63.5673624288425</c:v>
                </c:pt>
                <c:pt idx="69">
                  <c:v>64.516129032258064</c:v>
                </c:pt>
                <c:pt idx="70">
                  <c:v>65.464895635673628</c:v>
                </c:pt>
                <c:pt idx="71">
                  <c:v>66.413662239089192</c:v>
                </c:pt>
                <c:pt idx="72">
                  <c:v>67.362428842504741</c:v>
                </c:pt>
                <c:pt idx="73">
                  <c:v>68.311195445920305</c:v>
                </c:pt>
                <c:pt idx="74">
                  <c:v>69.259962049335869</c:v>
                </c:pt>
                <c:pt idx="75">
                  <c:v>70.208728652751418</c:v>
                </c:pt>
                <c:pt idx="76">
                  <c:v>71.157495256166982</c:v>
                </c:pt>
                <c:pt idx="77">
                  <c:v>72.10626185958256</c:v>
                </c:pt>
                <c:pt idx="78">
                  <c:v>73.055028462998095</c:v>
                </c:pt>
                <c:pt idx="79">
                  <c:v>74.003795066413659</c:v>
                </c:pt>
                <c:pt idx="80">
                  <c:v>74.952561669829237</c:v>
                </c:pt>
                <c:pt idx="81">
                  <c:v>75.901328273244772</c:v>
                </c:pt>
                <c:pt idx="82">
                  <c:v>76.85009487666035</c:v>
                </c:pt>
                <c:pt idx="83">
                  <c:v>77.7988614800759</c:v>
                </c:pt>
                <c:pt idx="84">
                  <c:v>78.747628083491463</c:v>
                </c:pt>
                <c:pt idx="85">
                  <c:v>79.696394686907027</c:v>
                </c:pt>
                <c:pt idx="86">
                  <c:v>80.645161290322577</c:v>
                </c:pt>
                <c:pt idx="87">
                  <c:v>81.59392789373814</c:v>
                </c:pt>
                <c:pt idx="88">
                  <c:v>82.542694497153704</c:v>
                </c:pt>
                <c:pt idx="89">
                  <c:v>83.491461100569254</c:v>
                </c:pt>
                <c:pt idx="90">
                  <c:v>84.440227703984817</c:v>
                </c:pt>
                <c:pt idx="91">
                  <c:v>85.388994307400395</c:v>
                </c:pt>
                <c:pt idx="92">
                  <c:v>86.337760910815931</c:v>
                </c:pt>
                <c:pt idx="93">
                  <c:v>87.286527514231494</c:v>
                </c:pt>
                <c:pt idx="94">
                  <c:v>88.235294117647072</c:v>
                </c:pt>
                <c:pt idx="95">
                  <c:v>89.184060721062622</c:v>
                </c:pt>
                <c:pt idx="96">
                  <c:v>90.132827324478171</c:v>
                </c:pt>
                <c:pt idx="97">
                  <c:v>91.081593927893749</c:v>
                </c:pt>
                <c:pt idx="98">
                  <c:v>92.030360531309299</c:v>
                </c:pt>
                <c:pt idx="99">
                  <c:v>92.979127134724862</c:v>
                </c:pt>
                <c:pt idx="100">
                  <c:v>93.927893738140426</c:v>
                </c:pt>
                <c:pt idx="101">
                  <c:v>94.876660341555976</c:v>
                </c:pt>
                <c:pt idx="102">
                  <c:v>95.825426944971554</c:v>
                </c:pt>
                <c:pt idx="103">
                  <c:v>96.774193548387089</c:v>
                </c:pt>
                <c:pt idx="104">
                  <c:v>97.722960151802653</c:v>
                </c:pt>
                <c:pt idx="105">
                  <c:v>98.671726755218231</c:v>
                </c:pt>
                <c:pt idx="106">
                  <c:v>99.620493358633766</c:v>
                </c:pt>
                <c:pt idx="107">
                  <c:v>100.56925996204933</c:v>
                </c:pt>
                <c:pt idx="108">
                  <c:v>101.51802656546491</c:v>
                </c:pt>
                <c:pt idx="109">
                  <c:v>102.46679316888046</c:v>
                </c:pt>
                <c:pt idx="110">
                  <c:v>103.41555977229601</c:v>
                </c:pt>
                <c:pt idx="111">
                  <c:v>104.36432637571158</c:v>
                </c:pt>
                <c:pt idx="112">
                  <c:v>105.31309297912713</c:v>
                </c:pt>
                <c:pt idx="113">
                  <c:v>106.26185958254268</c:v>
                </c:pt>
                <c:pt idx="114">
                  <c:v>107.21062618595826</c:v>
                </c:pt>
                <c:pt idx="115">
                  <c:v>108.15939278937381</c:v>
                </c:pt>
                <c:pt idx="116">
                  <c:v>109.10815939278939</c:v>
                </c:pt>
                <c:pt idx="117">
                  <c:v>110.05692599620494</c:v>
                </c:pt>
                <c:pt idx="118">
                  <c:v>111.00569259962049</c:v>
                </c:pt>
                <c:pt idx="119">
                  <c:v>111.95445920303607</c:v>
                </c:pt>
                <c:pt idx="120">
                  <c:v>112.90322580645162</c:v>
                </c:pt>
                <c:pt idx="121">
                  <c:v>113.85199240986717</c:v>
                </c:pt>
                <c:pt idx="122">
                  <c:v>114.80075901328274</c:v>
                </c:pt>
                <c:pt idx="123">
                  <c:v>115.74952561669831</c:v>
                </c:pt>
                <c:pt idx="124">
                  <c:v>116.69829222011384</c:v>
                </c:pt>
                <c:pt idx="125">
                  <c:v>117.64705882352942</c:v>
                </c:pt>
                <c:pt idx="126">
                  <c:v>118.59582542694497</c:v>
                </c:pt>
                <c:pt idx="127">
                  <c:v>119.54459203036053</c:v>
                </c:pt>
                <c:pt idx="128">
                  <c:v>120.4933586337761</c:v>
                </c:pt>
                <c:pt idx="129">
                  <c:v>121.44212523719165</c:v>
                </c:pt>
                <c:pt idx="130">
                  <c:v>122.39089184060721</c:v>
                </c:pt>
                <c:pt idx="131">
                  <c:v>123.33965844402277</c:v>
                </c:pt>
                <c:pt idx="132">
                  <c:v>124.28842504743832</c:v>
                </c:pt>
                <c:pt idx="133">
                  <c:v>125.2371916508539</c:v>
                </c:pt>
                <c:pt idx="134">
                  <c:v>126.18595825426947</c:v>
                </c:pt>
                <c:pt idx="135">
                  <c:v>127.134724857685</c:v>
                </c:pt>
                <c:pt idx="136">
                  <c:v>128.08349146110058</c:v>
                </c:pt>
                <c:pt idx="137">
                  <c:v>129.03225806451613</c:v>
                </c:pt>
                <c:pt idx="138">
                  <c:v>129.98102466793168</c:v>
                </c:pt>
                <c:pt idx="139">
                  <c:v>130.92979127134726</c:v>
                </c:pt>
                <c:pt idx="140">
                  <c:v>131.87855787476281</c:v>
                </c:pt>
                <c:pt idx="141">
                  <c:v>132.82732447817838</c:v>
                </c:pt>
                <c:pt idx="142">
                  <c:v>133.77609108159393</c:v>
                </c:pt>
                <c:pt idx="143">
                  <c:v>134.72485768500948</c:v>
                </c:pt>
                <c:pt idx="144">
                  <c:v>135.67362428842506</c:v>
                </c:pt>
                <c:pt idx="145">
                  <c:v>136.62239089184061</c:v>
                </c:pt>
                <c:pt idx="146">
                  <c:v>137.57115749525616</c:v>
                </c:pt>
                <c:pt idx="147">
                  <c:v>138.51992409867174</c:v>
                </c:pt>
                <c:pt idx="148">
                  <c:v>139.46869070208729</c:v>
                </c:pt>
                <c:pt idx="149">
                  <c:v>140.41745730550284</c:v>
                </c:pt>
                <c:pt idx="150">
                  <c:v>141.36622390891841</c:v>
                </c:pt>
                <c:pt idx="151">
                  <c:v>142.31499051233396</c:v>
                </c:pt>
                <c:pt idx="152">
                  <c:v>143.26375711574951</c:v>
                </c:pt>
                <c:pt idx="153">
                  <c:v>144.21252371916512</c:v>
                </c:pt>
                <c:pt idx="154">
                  <c:v>145.16129032258064</c:v>
                </c:pt>
                <c:pt idx="155">
                  <c:v>146.11005692599619</c:v>
                </c:pt>
                <c:pt idx="156">
                  <c:v>147.0588235294118</c:v>
                </c:pt>
                <c:pt idx="157">
                  <c:v>148.00759013282732</c:v>
                </c:pt>
                <c:pt idx="158">
                  <c:v>148.95635673624287</c:v>
                </c:pt>
                <c:pt idx="159">
                  <c:v>149.90512333965847</c:v>
                </c:pt>
                <c:pt idx="160">
                  <c:v>150.85388994307402</c:v>
                </c:pt>
                <c:pt idx="161">
                  <c:v>151.80265654648954</c:v>
                </c:pt>
                <c:pt idx="162">
                  <c:v>152.75142314990515</c:v>
                </c:pt>
                <c:pt idx="163">
                  <c:v>153.7001897533207</c:v>
                </c:pt>
                <c:pt idx="164">
                  <c:v>154.64895635673625</c:v>
                </c:pt>
                <c:pt idx="165">
                  <c:v>155.5977229601518</c:v>
                </c:pt>
                <c:pt idx="166">
                  <c:v>156.54648956356738</c:v>
                </c:pt>
                <c:pt idx="167">
                  <c:v>157.49525616698293</c:v>
                </c:pt>
                <c:pt idx="168">
                  <c:v>158.44402277039848</c:v>
                </c:pt>
                <c:pt idx="169">
                  <c:v>159.39278937381405</c:v>
                </c:pt>
                <c:pt idx="170">
                  <c:v>160.3415559772296</c:v>
                </c:pt>
                <c:pt idx="171">
                  <c:v>161.29032258064515</c:v>
                </c:pt>
                <c:pt idx="172">
                  <c:v>162.23908918406073</c:v>
                </c:pt>
                <c:pt idx="173">
                  <c:v>163.18785578747628</c:v>
                </c:pt>
                <c:pt idx="174">
                  <c:v>164.13662239089183</c:v>
                </c:pt>
                <c:pt idx="175">
                  <c:v>165.08538899430741</c:v>
                </c:pt>
                <c:pt idx="176">
                  <c:v>166.03415559772296</c:v>
                </c:pt>
                <c:pt idx="177">
                  <c:v>166.98292220113851</c:v>
                </c:pt>
                <c:pt idx="178">
                  <c:v>167.93168880455411</c:v>
                </c:pt>
                <c:pt idx="179">
                  <c:v>168.88045540796963</c:v>
                </c:pt>
                <c:pt idx="180">
                  <c:v>169.82922201138518</c:v>
                </c:pt>
                <c:pt idx="181">
                  <c:v>170.77798861480079</c:v>
                </c:pt>
                <c:pt idx="182">
                  <c:v>171.72675521821631</c:v>
                </c:pt>
                <c:pt idx="183">
                  <c:v>172.67552182163186</c:v>
                </c:pt>
                <c:pt idx="184">
                  <c:v>173.62428842504747</c:v>
                </c:pt>
                <c:pt idx="185">
                  <c:v>174.57305502846299</c:v>
                </c:pt>
                <c:pt idx="186">
                  <c:v>175.52182163187854</c:v>
                </c:pt>
                <c:pt idx="187">
                  <c:v>176.47058823529414</c:v>
                </c:pt>
                <c:pt idx="188">
                  <c:v>177.41935483870967</c:v>
                </c:pt>
                <c:pt idx="189">
                  <c:v>178.36812144212524</c:v>
                </c:pt>
                <c:pt idx="190">
                  <c:v>179.31688804554082</c:v>
                </c:pt>
                <c:pt idx="191">
                  <c:v>180.26565464895634</c:v>
                </c:pt>
                <c:pt idx="192">
                  <c:v>181.21442125237192</c:v>
                </c:pt>
                <c:pt idx="193">
                  <c:v>182.1631878557875</c:v>
                </c:pt>
                <c:pt idx="194">
                  <c:v>183.11195445920305</c:v>
                </c:pt>
                <c:pt idx="195">
                  <c:v>184.0607210626186</c:v>
                </c:pt>
                <c:pt idx="196">
                  <c:v>185.00948766603418</c:v>
                </c:pt>
                <c:pt idx="197">
                  <c:v>185.95825426944972</c:v>
                </c:pt>
                <c:pt idx="198">
                  <c:v>186.90702087286527</c:v>
                </c:pt>
                <c:pt idx="199">
                  <c:v>187.85578747628085</c:v>
                </c:pt>
                <c:pt idx="200">
                  <c:v>188.8045540796964</c:v>
                </c:pt>
                <c:pt idx="201">
                  <c:v>189.75332068311195</c:v>
                </c:pt>
                <c:pt idx="202">
                  <c:v>190.7020872865275</c:v>
                </c:pt>
                <c:pt idx="203">
                  <c:v>191.65085388994311</c:v>
                </c:pt>
                <c:pt idx="204">
                  <c:v>192.59962049335863</c:v>
                </c:pt>
                <c:pt idx="205">
                  <c:v>193.54838709677418</c:v>
                </c:pt>
                <c:pt idx="206">
                  <c:v>194.49715370018978</c:v>
                </c:pt>
                <c:pt idx="207">
                  <c:v>195.44592030360531</c:v>
                </c:pt>
                <c:pt idx="208">
                  <c:v>196.39468690702085</c:v>
                </c:pt>
                <c:pt idx="209">
                  <c:v>197.34345351043646</c:v>
                </c:pt>
                <c:pt idx="210">
                  <c:v>198.29222011385198</c:v>
                </c:pt>
                <c:pt idx="211">
                  <c:v>199.24098671726753</c:v>
                </c:pt>
                <c:pt idx="212">
                  <c:v>200.18975332068314</c:v>
                </c:pt>
                <c:pt idx="213">
                  <c:v>201.13851992409866</c:v>
                </c:pt>
                <c:pt idx="214">
                  <c:v>202.08728652751421</c:v>
                </c:pt>
                <c:pt idx="215">
                  <c:v>203.03605313092982</c:v>
                </c:pt>
                <c:pt idx="216">
                  <c:v>203.98481973434534</c:v>
                </c:pt>
                <c:pt idx="217">
                  <c:v>204.93358633776091</c:v>
                </c:pt>
                <c:pt idx="218">
                  <c:v>205.88235294117649</c:v>
                </c:pt>
                <c:pt idx="219">
                  <c:v>206.83111954459201</c:v>
                </c:pt>
                <c:pt idx="220">
                  <c:v>207.77988614800759</c:v>
                </c:pt>
                <c:pt idx="221">
                  <c:v>208.72865275142317</c:v>
                </c:pt>
                <c:pt idx="222">
                  <c:v>209.67741935483869</c:v>
                </c:pt>
                <c:pt idx="223">
                  <c:v>210.62618595825427</c:v>
                </c:pt>
                <c:pt idx="224">
                  <c:v>211.57495256166985</c:v>
                </c:pt>
                <c:pt idx="225">
                  <c:v>212.52371916508537</c:v>
                </c:pt>
                <c:pt idx="226">
                  <c:v>213.47248576850095</c:v>
                </c:pt>
                <c:pt idx="227">
                  <c:v>214.42125237191652</c:v>
                </c:pt>
                <c:pt idx="228">
                  <c:v>215.37001897533207</c:v>
                </c:pt>
                <c:pt idx="229">
                  <c:v>216.31878557874762</c:v>
                </c:pt>
                <c:pt idx="230">
                  <c:v>217.2675521821632</c:v>
                </c:pt>
                <c:pt idx="231">
                  <c:v>218.21631878557878</c:v>
                </c:pt>
                <c:pt idx="232">
                  <c:v>219.1650853889943</c:v>
                </c:pt>
                <c:pt idx="233">
                  <c:v>220.11385199240988</c:v>
                </c:pt>
                <c:pt idx="234">
                  <c:v>221.06261859582546</c:v>
                </c:pt>
                <c:pt idx="235">
                  <c:v>222.01138519924098</c:v>
                </c:pt>
                <c:pt idx="236">
                  <c:v>222.96015180265655</c:v>
                </c:pt>
                <c:pt idx="237">
                  <c:v>223.90891840607213</c:v>
                </c:pt>
                <c:pt idx="238">
                  <c:v>224.85768500948765</c:v>
                </c:pt>
                <c:pt idx="239">
                  <c:v>225.80645161290323</c:v>
                </c:pt>
                <c:pt idx="240">
                  <c:v>226.75521821631881</c:v>
                </c:pt>
                <c:pt idx="241">
                  <c:v>227.70398481973433</c:v>
                </c:pt>
                <c:pt idx="242">
                  <c:v>228.65275142314994</c:v>
                </c:pt>
                <c:pt idx="243">
                  <c:v>229.60151802656549</c:v>
                </c:pt>
                <c:pt idx="244">
                  <c:v>230.55028462998101</c:v>
                </c:pt>
                <c:pt idx="245">
                  <c:v>231.49905123339661</c:v>
                </c:pt>
                <c:pt idx="246">
                  <c:v>232.44781783681216</c:v>
                </c:pt>
                <c:pt idx="247">
                  <c:v>233.39658444022768</c:v>
                </c:pt>
                <c:pt idx="248">
                  <c:v>234.34535104364329</c:v>
                </c:pt>
                <c:pt idx="249">
                  <c:v>235.29411764705884</c:v>
                </c:pt>
                <c:pt idx="250">
                  <c:v>236.24288425047436</c:v>
                </c:pt>
                <c:pt idx="251">
                  <c:v>237.19165085388994</c:v>
                </c:pt>
                <c:pt idx="252">
                  <c:v>238.14041745730552</c:v>
                </c:pt>
                <c:pt idx="253">
                  <c:v>239.08918406072107</c:v>
                </c:pt>
                <c:pt idx="254">
                  <c:v>240.03795066413662</c:v>
                </c:pt>
                <c:pt idx="255">
                  <c:v>240.98671726755219</c:v>
                </c:pt>
                <c:pt idx="256">
                  <c:v>241.93548387096774</c:v>
                </c:pt>
                <c:pt idx="257">
                  <c:v>242.88425047438329</c:v>
                </c:pt>
                <c:pt idx="258">
                  <c:v>243.83301707779887</c:v>
                </c:pt>
                <c:pt idx="259">
                  <c:v>244.78178368121442</c:v>
                </c:pt>
                <c:pt idx="260">
                  <c:v>245.73055028462997</c:v>
                </c:pt>
                <c:pt idx="261">
                  <c:v>246.67931688804555</c:v>
                </c:pt>
                <c:pt idx="262">
                  <c:v>247.6280834914611</c:v>
                </c:pt>
                <c:pt idx="263">
                  <c:v>248.57685009487665</c:v>
                </c:pt>
                <c:pt idx="264">
                  <c:v>249.52561669829223</c:v>
                </c:pt>
                <c:pt idx="265">
                  <c:v>250.4743833017078</c:v>
                </c:pt>
                <c:pt idx="266">
                  <c:v>251.42314990512332</c:v>
                </c:pt>
                <c:pt idx="267">
                  <c:v>252.37191650853893</c:v>
                </c:pt>
                <c:pt idx="268">
                  <c:v>253.32068311195448</c:v>
                </c:pt>
                <c:pt idx="269">
                  <c:v>254.26944971537</c:v>
                </c:pt>
                <c:pt idx="270">
                  <c:v>255.21821631878561</c:v>
                </c:pt>
                <c:pt idx="271">
                  <c:v>256.16698292220116</c:v>
                </c:pt>
                <c:pt idx="272">
                  <c:v>257.11574952561671</c:v>
                </c:pt>
                <c:pt idx="273">
                  <c:v>258.06451612903226</c:v>
                </c:pt>
                <c:pt idx="274">
                  <c:v>259.01328273244786</c:v>
                </c:pt>
                <c:pt idx="275">
                  <c:v>259.96204933586336</c:v>
                </c:pt>
                <c:pt idx="276">
                  <c:v>260.91081593927896</c:v>
                </c:pt>
                <c:pt idx="277">
                  <c:v>261.85958254269451</c:v>
                </c:pt>
                <c:pt idx="278">
                  <c:v>262.80834914611006</c:v>
                </c:pt>
                <c:pt idx="279">
                  <c:v>263.75711574952561</c:v>
                </c:pt>
                <c:pt idx="280">
                  <c:v>264.70588235294116</c:v>
                </c:pt>
                <c:pt idx="281">
                  <c:v>265.65464895635677</c:v>
                </c:pt>
                <c:pt idx="282">
                  <c:v>266.60341555977232</c:v>
                </c:pt>
                <c:pt idx="283">
                  <c:v>267.55218216318787</c:v>
                </c:pt>
                <c:pt idx="284">
                  <c:v>268.50094876660341</c:v>
                </c:pt>
                <c:pt idx="285">
                  <c:v>269.44971537001896</c:v>
                </c:pt>
                <c:pt idx="286">
                  <c:v>270.39848197343451</c:v>
                </c:pt>
                <c:pt idx="287">
                  <c:v>271.34724857685012</c:v>
                </c:pt>
                <c:pt idx="288">
                  <c:v>272.29601518026567</c:v>
                </c:pt>
                <c:pt idx="289">
                  <c:v>273.24478178368122</c:v>
                </c:pt>
                <c:pt idx="290">
                  <c:v>274.19354838709677</c:v>
                </c:pt>
                <c:pt idx="291">
                  <c:v>275.14231499051232</c:v>
                </c:pt>
                <c:pt idx="292">
                  <c:v>276.09108159392792</c:v>
                </c:pt>
                <c:pt idx="293">
                  <c:v>277.03984819734347</c:v>
                </c:pt>
                <c:pt idx="294">
                  <c:v>277.98861480075902</c:v>
                </c:pt>
                <c:pt idx="295">
                  <c:v>278.93738140417457</c:v>
                </c:pt>
                <c:pt idx="296">
                  <c:v>279.88614800759018</c:v>
                </c:pt>
                <c:pt idx="297">
                  <c:v>280.83491461100567</c:v>
                </c:pt>
                <c:pt idx="298">
                  <c:v>281.78368121442122</c:v>
                </c:pt>
                <c:pt idx="299">
                  <c:v>282.73244781783683</c:v>
                </c:pt>
                <c:pt idx="300">
                  <c:v>283.68121442125238</c:v>
                </c:pt>
                <c:pt idx="301">
                  <c:v>284.62998102466793</c:v>
                </c:pt>
                <c:pt idx="302">
                  <c:v>285.57874762808353</c:v>
                </c:pt>
                <c:pt idx="303">
                  <c:v>286.52751423149903</c:v>
                </c:pt>
                <c:pt idx="304">
                  <c:v>287.47628083491458</c:v>
                </c:pt>
                <c:pt idx="305">
                  <c:v>288.42504743833024</c:v>
                </c:pt>
                <c:pt idx="306">
                  <c:v>289.37381404174573</c:v>
                </c:pt>
                <c:pt idx="307">
                  <c:v>290.32258064516128</c:v>
                </c:pt>
                <c:pt idx="308">
                  <c:v>291.27134724857689</c:v>
                </c:pt>
                <c:pt idx="309">
                  <c:v>292.22011385199238</c:v>
                </c:pt>
                <c:pt idx="310">
                  <c:v>293.16888045540793</c:v>
                </c:pt>
                <c:pt idx="311">
                  <c:v>294.11764705882359</c:v>
                </c:pt>
                <c:pt idx="312">
                  <c:v>295.06641366223909</c:v>
                </c:pt>
                <c:pt idx="313">
                  <c:v>296.01518026565464</c:v>
                </c:pt>
                <c:pt idx="314">
                  <c:v>296.96394686907024</c:v>
                </c:pt>
                <c:pt idx="315">
                  <c:v>297.91271347248573</c:v>
                </c:pt>
                <c:pt idx="316">
                  <c:v>298.8614800759014</c:v>
                </c:pt>
                <c:pt idx="317">
                  <c:v>299.81024667931695</c:v>
                </c:pt>
                <c:pt idx="318">
                  <c:v>300.75901328273244</c:v>
                </c:pt>
                <c:pt idx="319">
                  <c:v>301.70777988614805</c:v>
                </c:pt>
                <c:pt idx="320">
                  <c:v>302.65654648956354</c:v>
                </c:pt>
                <c:pt idx="321">
                  <c:v>303.60531309297909</c:v>
                </c:pt>
                <c:pt idx="322">
                  <c:v>304.55407969639475</c:v>
                </c:pt>
                <c:pt idx="323">
                  <c:v>305.5028462998103</c:v>
                </c:pt>
                <c:pt idx="324">
                  <c:v>306.45161290322579</c:v>
                </c:pt>
                <c:pt idx="325">
                  <c:v>307.4003795066414</c:v>
                </c:pt>
                <c:pt idx="326">
                  <c:v>308.34914611005689</c:v>
                </c:pt>
                <c:pt idx="327">
                  <c:v>309.2979127134725</c:v>
                </c:pt>
                <c:pt idx="328">
                  <c:v>310.24667931688811</c:v>
                </c:pt>
                <c:pt idx="329">
                  <c:v>311.1954459203036</c:v>
                </c:pt>
                <c:pt idx="330">
                  <c:v>312.14421252371915</c:v>
                </c:pt>
                <c:pt idx="331">
                  <c:v>313.09297912713475</c:v>
                </c:pt>
                <c:pt idx="332">
                  <c:v>314.04174573055025</c:v>
                </c:pt>
                <c:pt idx="333">
                  <c:v>314.99051233396585</c:v>
                </c:pt>
                <c:pt idx="334">
                  <c:v>315.93927893738146</c:v>
                </c:pt>
                <c:pt idx="335">
                  <c:v>316.88804554079695</c:v>
                </c:pt>
                <c:pt idx="336">
                  <c:v>317.8368121442125</c:v>
                </c:pt>
                <c:pt idx="337">
                  <c:v>318.78557874762811</c:v>
                </c:pt>
                <c:pt idx="338">
                  <c:v>319.73434535104366</c:v>
                </c:pt>
                <c:pt idx="339">
                  <c:v>320.68311195445921</c:v>
                </c:pt>
                <c:pt idx="340">
                  <c:v>321.63187855787481</c:v>
                </c:pt>
                <c:pt idx="341">
                  <c:v>322.58064516129031</c:v>
                </c:pt>
                <c:pt idx="342">
                  <c:v>323.52941176470586</c:v>
                </c:pt>
                <c:pt idx="343">
                  <c:v>324.47817836812146</c:v>
                </c:pt>
                <c:pt idx="344">
                  <c:v>325.42694497153701</c:v>
                </c:pt>
                <c:pt idx="345">
                  <c:v>326.37571157495256</c:v>
                </c:pt>
                <c:pt idx="346">
                  <c:v>327.32447817836817</c:v>
                </c:pt>
                <c:pt idx="347">
                  <c:v>328.27324478178366</c:v>
                </c:pt>
                <c:pt idx="348">
                  <c:v>329.22201138519921</c:v>
                </c:pt>
                <c:pt idx="349">
                  <c:v>330.17077798861482</c:v>
                </c:pt>
                <c:pt idx="350">
                  <c:v>331.11954459203037</c:v>
                </c:pt>
                <c:pt idx="351">
                  <c:v>332.06831119544592</c:v>
                </c:pt>
                <c:pt idx="352">
                  <c:v>333.01707779886152</c:v>
                </c:pt>
                <c:pt idx="353">
                  <c:v>333.96584440227701</c:v>
                </c:pt>
                <c:pt idx="354">
                  <c:v>334.91461100569256</c:v>
                </c:pt>
                <c:pt idx="355">
                  <c:v>335.86337760910823</c:v>
                </c:pt>
                <c:pt idx="356">
                  <c:v>336.81214421252372</c:v>
                </c:pt>
                <c:pt idx="357">
                  <c:v>337.76091081593927</c:v>
                </c:pt>
                <c:pt idx="358">
                  <c:v>338.70967741935488</c:v>
                </c:pt>
                <c:pt idx="359">
                  <c:v>339.65844402277037</c:v>
                </c:pt>
                <c:pt idx="360">
                  <c:v>340.60721062618592</c:v>
                </c:pt>
                <c:pt idx="361">
                  <c:v>341.55597722960158</c:v>
                </c:pt>
                <c:pt idx="362">
                  <c:v>342.50474383301707</c:v>
                </c:pt>
                <c:pt idx="363">
                  <c:v>343.45351043643262</c:v>
                </c:pt>
                <c:pt idx="364">
                  <c:v>344.40227703984823</c:v>
                </c:pt>
                <c:pt idx="365">
                  <c:v>345.35104364326372</c:v>
                </c:pt>
                <c:pt idx="366">
                  <c:v>346.29981024667933</c:v>
                </c:pt>
                <c:pt idx="367">
                  <c:v>347.24857685009493</c:v>
                </c:pt>
                <c:pt idx="368">
                  <c:v>348.19734345351043</c:v>
                </c:pt>
                <c:pt idx="369">
                  <c:v>349.14611005692598</c:v>
                </c:pt>
                <c:pt idx="370">
                  <c:v>350.09487666034158</c:v>
                </c:pt>
                <c:pt idx="371">
                  <c:v>351.04364326375708</c:v>
                </c:pt>
                <c:pt idx="372">
                  <c:v>351.99240986717268</c:v>
                </c:pt>
                <c:pt idx="373">
                  <c:v>352.94117647058829</c:v>
                </c:pt>
                <c:pt idx="374">
                  <c:v>353.88994307400378</c:v>
                </c:pt>
                <c:pt idx="375">
                  <c:v>354.83870967741933</c:v>
                </c:pt>
                <c:pt idx="376">
                  <c:v>355.78747628083494</c:v>
                </c:pt>
                <c:pt idx="377">
                  <c:v>356.73624288425049</c:v>
                </c:pt>
                <c:pt idx="378">
                  <c:v>357.68500948766604</c:v>
                </c:pt>
                <c:pt idx="379">
                  <c:v>358.63377609108164</c:v>
                </c:pt>
                <c:pt idx="380">
                  <c:v>359.58254269449714</c:v>
                </c:pt>
                <c:pt idx="381">
                  <c:v>360.53130929791268</c:v>
                </c:pt>
                <c:pt idx="382">
                  <c:v>361.48007590132829</c:v>
                </c:pt>
                <c:pt idx="383">
                  <c:v>362.42884250474384</c:v>
                </c:pt>
                <c:pt idx="384">
                  <c:v>363.37760910815939</c:v>
                </c:pt>
                <c:pt idx="385">
                  <c:v>364.326375711575</c:v>
                </c:pt>
                <c:pt idx="386">
                  <c:v>365.27514231499049</c:v>
                </c:pt>
                <c:pt idx="387">
                  <c:v>366.2239089184061</c:v>
                </c:pt>
                <c:pt idx="388">
                  <c:v>367.17267552182165</c:v>
                </c:pt>
                <c:pt idx="389">
                  <c:v>368.12144212523719</c:v>
                </c:pt>
                <c:pt idx="390">
                  <c:v>369.0702087286528</c:v>
                </c:pt>
                <c:pt idx="391">
                  <c:v>370.01897533206835</c:v>
                </c:pt>
                <c:pt idx="392">
                  <c:v>370.96774193548384</c:v>
                </c:pt>
                <c:pt idx="393">
                  <c:v>371.91650853889945</c:v>
                </c:pt>
                <c:pt idx="394">
                  <c:v>372.86527514231506</c:v>
                </c:pt>
                <c:pt idx="395">
                  <c:v>373.81404174573055</c:v>
                </c:pt>
                <c:pt idx="396">
                  <c:v>374.76280834914616</c:v>
                </c:pt>
                <c:pt idx="397">
                  <c:v>375.7115749525617</c:v>
                </c:pt>
                <c:pt idx="398">
                  <c:v>376.6603415559772</c:v>
                </c:pt>
                <c:pt idx="399">
                  <c:v>377.6091081593928</c:v>
                </c:pt>
                <c:pt idx="400">
                  <c:v>378.55787476280841</c:v>
                </c:pt>
                <c:pt idx="401">
                  <c:v>379.5066413662239</c:v>
                </c:pt>
                <c:pt idx="402">
                  <c:v>380.45540796963951</c:v>
                </c:pt>
                <c:pt idx="403">
                  <c:v>381.404174573055</c:v>
                </c:pt>
                <c:pt idx="404">
                  <c:v>382.35294117647055</c:v>
                </c:pt>
                <c:pt idx="405">
                  <c:v>383.30170777988621</c:v>
                </c:pt>
                <c:pt idx="406">
                  <c:v>384.25047438330176</c:v>
                </c:pt>
                <c:pt idx="407">
                  <c:v>385.19924098671726</c:v>
                </c:pt>
                <c:pt idx="408">
                  <c:v>386.14800759013286</c:v>
                </c:pt>
                <c:pt idx="409">
                  <c:v>387.09677419354836</c:v>
                </c:pt>
                <c:pt idx="410">
                  <c:v>388.04554079696391</c:v>
                </c:pt>
                <c:pt idx="411">
                  <c:v>388.99430740037957</c:v>
                </c:pt>
                <c:pt idx="412">
                  <c:v>389.94307400379512</c:v>
                </c:pt>
                <c:pt idx="413">
                  <c:v>390.89184060721061</c:v>
                </c:pt>
                <c:pt idx="414">
                  <c:v>391.84060721062622</c:v>
                </c:pt>
                <c:pt idx="415">
                  <c:v>392.78937381404171</c:v>
                </c:pt>
                <c:pt idx="416">
                  <c:v>393.73814041745732</c:v>
                </c:pt>
                <c:pt idx="417">
                  <c:v>394.68690702087292</c:v>
                </c:pt>
                <c:pt idx="418">
                  <c:v>395.63567362428842</c:v>
                </c:pt>
                <c:pt idx="419">
                  <c:v>396.58444022770396</c:v>
                </c:pt>
                <c:pt idx="420">
                  <c:v>397.53320683111957</c:v>
                </c:pt>
                <c:pt idx="421">
                  <c:v>398.48197343453506</c:v>
                </c:pt>
                <c:pt idx="422">
                  <c:v>399.43074003795067</c:v>
                </c:pt>
                <c:pt idx="423">
                  <c:v>400.37950664136628</c:v>
                </c:pt>
                <c:pt idx="424">
                  <c:v>401.32827324478177</c:v>
                </c:pt>
                <c:pt idx="425">
                  <c:v>402.27703984819732</c:v>
                </c:pt>
                <c:pt idx="426">
                  <c:v>403.22580645161293</c:v>
                </c:pt>
                <c:pt idx="427">
                  <c:v>404.17457305502842</c:v>
                </c:pt>
                <c:pt idx="428">
                  <c:v>405.12333965844402</c:v>
                </c:pt>
                <c:pt idx="429">
                  <c:v>406.07210626185963</c:v>
                </c:pt>
                <c:pt idx="430">
                  <c:v>407.02087286527512</c:v>
                </c:pt>
                <c:pt idx="431">
                  <c:v>407.96963946869067</c:v>
                </c:pt>
                <c:pt idx="432">
                  <c:v>408.91840607210628</c:v>
                </c:pt>
                <c:pt idx="433">
                  <c:v>409.86717267552183</c:v>
                </c:pt>
                <c:pt idx="434">
                  <c:v>410.81593927893738</c:v>
                </c:pt>
                <c:pt idx="435">
                  <c:v>411.76470588235298</c:v>
                </c:pt>
                <c:pt idx="436">
                  <c:v>412.71347248576848</c:v>
                </c:pt>
                <c:pt idx="437">
                  <c:v>413.66223908918403</c:v>
                </c:pt>
                <c:pt idx="438">
                  <c:v>414.61100569259963</c:v>
                </c:pt>
                <c:pt idx="439">
                  <c:v>415.55977229601518</c:v>
                </c:pt>
                <c:pt idx="440">
                  <c:v>416.50853889943073</c:v>
                </c:pt>
                <c:pt idx="441">
                  <c:v>417.45730550284634</c:v>
                </c:pt>
                <c:pt idx="442">
                  <c:v>418.40607210626183</c:v>
                </c:pt>
                <c:pt idx="443">
                  <c:v>419.35483870967738</c:v>
                </c:pt>
                <c:pt idx="444">
                  <c:v>420.30360531309304</c:v>
                </c:pt>
                <c:pt idx="445">
                  <c:v>421.25237191650854</c:v>
                </c:pt>
                <c:pt idx="446">
                  <c:v>422.20113851992409</c:v>
                </c:pt>
                <c:pt idx="447">
                  <c:v>423.14990512333969</c:v>
                </c:pt>
                <c:pt idx="448">
                  <c:v>424.09867172675519</c:v>
                </c:pt>
                <c:pt idx="449">
                  <c:v>425.04743833017073</c:v>
                </c:pt>
                <c:pt idx="450">
                  <c:v>425.9962049335864</c:v>
                </c:pt>
                <c:pt idx="451">
                  <c:v>426.94497153700189</c:v>
                </c:pt>
                <c:pt idx="452">
                  <c:v>427.89373814041744</c:v>
                </c:pt>
                <c:pt idx="453">
                  <c:v>428.84250474383305</c:v>
                </c:pt>
                <c:pt idx="454">
                  <c:v>429.79127134724854</c:v>
                </c:pt>
                <c:pt idx="455">
                  <c:v>430.74003795066415</c:v>
                </c:pt>
                <c:pt idx="456">
                  <c:v>431.68880455407975</c:v>
                </c:pt>
                <c:pt idx="457">
                  <c:v>432.63757115749524</c:v>
                </c:pt>
                <c:pt idx="458">
                  <c:v>433.58633776091085</c:v>
                </c:pt>
                <c:pt idx="459">
                  <c:v>434.5351043643264</c:v>
                </c:pt>
                <c:pt idx="460">
                  <c:v>435.48387096774189</c:v>
                </c:pt>
                <c:pt idx="461">
                  <c:v>436.43263757115756</c:v>
                </c:pt>
                <c:pt idx="462">
                  <c:v>437.38140417457311</c:v>
                </c:pt>
                <c:pt idx="463">
                  <c:v>438.3301707779886</c:v>
                </c:pt>
                <c:pt idx="464">
                  <c:v>439.27893738140421</c:v>
                </c:pt>
                <c:pt idx="465">
                  <c:v>440.22770398481975</c:v>
                </c:pt>
                <c:pt idx="466">
                  <c:v>441.1764705882353</c:v>
                </c:pt>
                <c:pt idx="467">
                  <c:v>442.12523719165091</c:v>
                </c:pt>
                <c:pt idx="468">
                  <c:v>443.07400379506646</c:v>
                </c:pt>
                <c:pt idx="469">
                  <c:v>444.02277039848195</c:v>
                </c:pt>
                <c:pt idx="470">
                  <c:v>444.97153700189756</c:v>
                </c:pt>
                <c:pt idx="471">
                  <c:v>445.92030360531311</c:v>
                </c:pt>
                <c:pt idx="472">
                  <c:v>446.86907020872866</c:v>
                </c:pt>
                <c:pt idx="473">
                  <c:v>447.81783681214426</c:v>
                </c:pt>
                <c:pt idx="474">
                  <c:v>448.76660341555981</c:v>
                </c:pt>
                <c:pt idx="475">
                  <c:v>449.71537001897531</c:v>
                </c:pt>
                <c:pt idx="476">
                  <c:v>450.66413662239091</c:v>
                </c:pt>
                <c:pt idx="477">
                  <c:v>451.61290322580646</c:v>
                </c:pt>
                <c:pt idx="478">
                  <c:v>452.56166982922201</c:v>
                </c:pt>
                <c:pt idx="479">
                  <c:v>453.51043643263762</c:v>
                </c:pt>
                <c:pt idx="480">
                  <c:v>454.45920303605317</c:v>
                </c:pt>
                <c:pt idx="481">
                  <c:v>455.40796963946866</c:v>
                </c:pt>
                <c:pt idx="482">
                  <c:v>456.35673624288427</c:v>
                </c:pt>
                <c:pt idx="483">
                  <c:v>457.30550284629987</c:v>
                </c:pt>
                <c:pt idx="484">
                  <c:v>458.25426944971537</c:v>
                </c:pt>
                <c:pt idx="485">
                  <c:v>459.20303605313097</c:v>
                </c:pt>
                <c:pt idx="486">
                  <c:v>460.15180265654652</c:v>
                </c:pt>
                <c:pt idx="487">
                  <c:v>461.10056925996201</c:v>
                </c:pt>
                <c:pt idx="488">
                  <c:v>462.04933586337762</c:v>
                </c:pt>
                <c:pt idx="489">
                  <c:v>462.99810246679323</c:v>
                </c:pt>
                <c:pt idx="490">
                  <c:v>463.94686907020872</c:v>
                </c:pt>
                <c:pt idx="491">
                  <c:v>464.89563567362433</c:v>
                </c:pt>
                <c:pt idx="492">
                  <c:v>465.84440227703982</c:v>
                </c:pt>
                <c:pt idx="493">
                  <c:v>466.79316888045537</c:v>
                </c:pt>
                <c:pt idx="494">
                  <c:v>467.74193548387103</c:v>
                </c:pt>
                <c:pt idx="495">
                  <c:v>468.69070208728658</c:v>
                </c:pt>
                <c:pt idx="496">
                  <c:v>469.63946869070207</c:v>
                </c:pt>
                <c:pt idx="497">
                  <c:v>470.58823529411768</c:v>
                </c:pt>
                <c:pt idx="498">
                  <c:v>471.53700189753317</c:v>
                </c:pt>
                <c:pt idx="499">
                  <c:v>472.48576850094872</c:v>
                </c:pt>
                <c:pt idx="500">
                  <c:v>473.43453510436439</c:v>
                </c:pt>
                <c:pt idx="501">
                  <c:v>474.38330170777988</c:v>
                </c:pt>
                <c:pt idx="502">
                  <c:v>475.33206831119543</c:v>
                </c:pt>
                <c:pt idx="503">
                  <c:v>476.28083491461103</c:v>
                </c:pt>
                <c:pt idx="504">
                  <c:v>477.22960151802653</c:v>
                </c:pt>
                <c:pt idx="505">
                  <c:v>478.17836812144213</c:v>
                </c:pt>
                <c:pt idx="506">
                  <c:v>479.12713472485774</c:v>
                </c:pt>
                <c:pt idx="507">
                  <c:v>480.07590132827323</c:v>
                </c:pt>
                <c:pt idx="508">
                  <c:v>481.02466793168878</c:v>
                </c:pt>
                <c:pt idx="509">
                  <c:v>481.97343453510439</c:v>
                </c:pt>
                <c:pt idx="510">
                  <c:v>482.92220113851988</c:v>
                </c:pt>
                <c:pt idx="511">
                  <c:v>483.87096774193549</c:v>
                </c:pt>
                <c:pt idx="512">
                  <c:v>484.81973434535109</c:v>
                </c:pt>
                <c:pt idx="513">
                  <c:v>485.76850094876659</c:v>
                </c:pt>
                <c:pt idx="514">
                  <c:v>486.71726755218214</c:v>
                </c:pt>
                <c:pt idx="515">
                  <c:v>487.66603415559774</c:v>
                </c:pt>
                <c:pt idx="516">
                  <c:v>488.61480075901324</c:v>
                </c:pt>
                <c:pt idx="517">
                  <c:v>489.56356736242884</c:v>
                </c:pt>
                <c:pt idx="518">
                  <c:v>490.51233396584445</c:v>
                </c:pt>
                <c:pt idx="519">
                  <c:v>491.46110056925994</c:v>
                </c:pt>
                <c:pt idx="520">
                  <c:v>492.40986717267549</c:v>
                </c:pt>
                <c:pt idx="521">
                  <c:v>493.3586337760911</c:v>
                </c:pt>
                <c:pt idx="522">
                  <c:v>494.30740037950665</c:v>
                </c:pt>
                <c:pt idx="523">
                  <c:v>495.2561669829222</c:v>
                </c:pt>
                <c:pt idx="524">
                  <c:v>496.2049335863378</c:v>
                </c:pt>
                <c:pt idx="525">
                  <c:v>497.15370018975329</c:v>
                </c:pt>
                <c:pt idx="526">
                  <c:v>498.1024667931689</c:v>
                </c:pt>
                <c:pt idx="527">
                  <c:v>499.05123339658445</c:v>
                </c:pt>
                <c:pt idx="528">
                  <c:v>500</c:v>
                </c:pt>
                <c:pt idx="529">
                  <c:v>500.94876660341561</c:v>
                </c:pt>
                <c:pt idx="530">
                  <c:v>501.89753320683116</c:v>
                </c:pt>
                <c:pt idx="531">
                  <c:v>502.84629981024665</c:v>
                </c:pt>
                <c:pt idx="532">
                  <c:v>503.79506641366225</c:v>
                </c:pt>
                <c:pt idx="533">
                  <c:v>504.74383301707786</c:v>
                </c:pt>
                <c:pt idx="534">
                  <c:v>505.69259962049335</c:v>
                </c:pt>
                <c:pt idx="535">
                  <c:v>506.64136622390896</c:v>
                </c:pt>
                <c:pt idx="536">
                  <c:v>507.59013282732451</c:v>
                </c:pt>
                <c:pt idx="537">
                  <c:v>508.53889943074</c:v>
                </c:pt>
                <c:pt idx="538">
                  <c:v>509.48766603415561</c:v>
                </c:pt>
                <c:pt idx="539">
                  <c:v>510.43643263757122</c:v>
                </c:pt>
                <c:pt idx="540">
                  <c:v>511.38519924098671</c:v>
                </c:pt>
                <c:pt idx="541">
                  <c:v>512.33396584440231</c:v>
                </c:pt>
                <c:pt idx="542">
                  <c:v>513.28273244781781</c:v>
                </c:pt>
                <c:pt idx="543">
                  <c:v>514.23149905123341</c:v>
                </c:pt>
                <c:pt idx="544">
                  <c:v>515.18026565464891</c:v>
                </c:pt>
                <c:pt idx="545">
                  <c:v>516.12903225806451</c:v>
                </c:pt>
                <c:pt idx="546">
                  <c:v>517.07779886148012</c:v>
                </c:pt>
                <c:pt idx="547">
                  <c:v>518.02656546489573</c:v>
                </c:pt>
                <c:pt idx="548">
                  <c:v>518.97533206831122</c:v>
                </c:pt>
                <c:pt idx="549">
                  <c:v>519.92409867172671</c:v>
                </c:pt>
                <c:pt idx="550">
                  <c:v>520.87286527514243</c:v>
                </c:pt>
                <c:pt idx="551">
                  <c:v>521.82163187855792</c:v>
                </c:pt>
                <c:pt idx="552">
                  <c:v>522.77039848197342</c:v>
                </c:pt>
                <c:pt idx="553">
                  <c:v>523.71916508538902</c:v>
                </c:pt>
                <c:pt idx="554">
                  <c:v>524.66793168880452</c:v>
                </c:pt>
                <c:pt idx="555">
                  <c:v>525.61669829222012</c:v>
                </c:pt>
                <c:pt idx="556">
                  <c:v>526.56546489563573</c:v>
                </c:pt>
                <c:pt idx="557">
                  <c:v>527.51423149905122</c:v>
                </c:pt>
                <c:pt idx="558">
                  <c:v>528.46299810246683</c:v>
                </c:pt>
                <c:pt idx="559">
                  <c:v>529.41176470588232</c:v>
                </c:pt>
                <c:pt idx="560">
                  <c:v>530.36053130929793</c:v>
                </c:pt>
                <c:pt idx="561">
                  <c:v>531.30929791271353</c:v>
                </c:pt>
                <c:pt idx="562">
                  <c:v>532.25806451612902</c:v>
                </c:pt>
                <c:pt idx="563">
                  <c:v>533.20683111954463</c:v>
                </c:pt>
                <c:pt idx="564">
                  <c:v>534.15559772296012</c:v>
                </c:pt>
                <c:pt idx="565">
                  <c:v>535.10436432637573</c:v>
                </c:pt>
                <c:pt idx="566">
                  <c:v>536.05313092979122</c:v>
                </c:pt>
                <c:pt idx="567">
                  <c:v>537.00189753320683</c:v>
                </c:pt>
                <c:pt idx="568">
                  <c:v>537.95066413662244</c:v>
                </c:pt>
                <c:pt idx="569">
                  <c:v>538.89943074003793</c:v>
                </c:pt>
                <c:pt idx="570">
                  <c:v>539.84819734345353</c:v>
                </c:pt>
                <c:pt idx="571">
                  <c:v>540.79696394686903</c:v>
                </c:pt>
                <c:pt idx="572">
                  <c:v>541.74573055028463</c:v>
                </c:pt>
                <c:pt idx="573">
                  <c:v>542.69449715370024</c:v>
                </c:pt>
                <c:pt idx="574">
                  <c:v>543.64326375711573</c:v>
                </c:pt>
                <c:pt idx="575">
                  <c:v>544.59203036053134</c:v>
                </c:pt>
                <c:pt idx="576">
                  <c:v>545.54079696394683</c:v>
                </c:pt>
                <c:pt idx="577">
                  <c:v>546.48956356736244</c:v>
                </c:pt>
                <c:pt idx="578">
                  <c:v>547.43833017077804</c:v>
                </c:pt>
                <c:pt idx="579">
                  <c:v>548.38709677419354</c:v>
                </c:pt>
                <c:pt idx="580">
                  <c:v>549.33586337760914</c:v>
                </c:pt>
                <c:pt idx="581">
                  <c:v>550.28462998102464</c:v>
                </c:pt>
                <c:pt idx="582">
                  <c:v>551.23339658444024</c:v>
                </c:pt>
                <c:pt idx="583">
                  <c:v>552.18216318785585</c:v>
                </c:pt>
                <c:pt idx="584">
                  <c:v>553.13092979127134</c:v>
                </c:pt>
                <c:pt idx="585">
                  <c:v>554.07969639468695</c:v>
                </c:pt>
                <c:pt idx="586">
                  <c:v>555.02846299810244</c:v>
                </c:pt>
                <c:pt idx="587">
                  <c:v>555.97722960151805</c:v>
                </c:pt>
                <c:pt idx="588">
                  <c:v>556.92599620493354</c:v>
                </c:pt>
                <c:pt idx="589">
                  <c:v>557.87476280834915</c:v>
                </c:pt>
                <c:pt idx="590">
                  <c:v>558.82352941176475</c:v>
                </c:pt>
                <c:pt idx="591">
                  <c:v>559.77229601518036</c:v>
                </c:pt>
                <c:pt idx="592">
                  <c:v>560.72106261859585</c:v>
                </c:pt>
                <c:pt idx="593">
                  <c:v>561.66982922201134</c:v>
                </c:pt>
                <c:pt idx="594">
                  <c:v>562.61859582542695</c:v>
                </c:pt>
                <c:pt idx="595">
                  <c:v>563.56736242884244</c:v>
                </c:pt>
                <c:pt idx="596">
                  <c:v>564.51612903225816</c:v>
                </c:pt>
                <c:pt idx="597">
                  <c:v>565.46489563567366</c:v>
                </c:pt>
                <c:pt idx="598">
                  <c:v>566.41366223908915</c:v>
                </c:pt>
                <c:pt idx="599">
                  <c:v>567.36242884250476</c:v>
                </c:pt>
                <c:pt idx="600">
                  <c:v>568.31119544592025</c:v>
                </c:pt>
                <c:pt idx="601">
                  <c:v>569.25996204933585</c:v>
                </c:pt>
                <c:pt idx="602">
                  <c:v>570.20872865275146</c:v>
                </c:pt>
                <c:pt idx="603">
                  <c:v>571.15749525616707</c:v>
                </c:pt>
                <c:pt idx="604">
                  <c:v>572.10626185958256</c:v>
                </c:pt>
                <c:pt idx="605">
                  <c:v>573.05502846299805</c:v>
                </c:pt>
                <c:pt idx="606">
                  <c:v>574.00379506641366</c:v>
                </c:pt>
                <c:pt idx="607">
                  <c:v>574.95256166982915</c:v>
                </c:pt>
                <c:pt idx="608">
                  <c:v>575.90132827324487</c:v>
                </c:pt>
                <c:pt idx="609">
                  <c:v>576.85009487666048</c:v>
                </c:pt>
                <c:pt idx="610">
                  <c:v>577.79886148007586</c:v>
                </c:pt>
                <c:pt idx="611">
                  <c:v>578.74762808349146</c:v>
                </c:pt>
                <c:pt idx="612">
                  <c:v>579.69639468690696</c:v>
                </c:pt>
                <c:pt idx="613">
                  <c:v>580.64516129032256</c:v>
                </c:pt>
                <c:pt idx="614">
                  <c:v>581.59392789373828</c:v>
                </c:pt>
                <c:pt idx="615">
                  <c:v>582.54269449715378</c:v>
                </c:pt>
                <c:pt idx="616">
                  <c:v>583.49146110056927</c:v>
                </c:pt>
                <c:pt idx="617">
                  <c:v>584.44022770398476</c:v>
                </c:pt>
                <c:pt idx="618">
                  <c:v>585.38899430740037</c:v>
                </c:pt>
                <c:pt idx="619">
                  <c:v>586.33776091081586</c:v>
                </c:pt>
                <c:pt idx="620">
                  <c:v>587.28652751423158</c:v>
                </c:pt>
                <c:pt idx="621">
                  <c:v>588.23529411764719</c:v>
                </c:pt>
                <c:pt idx="622">
                  <c:v>589.18406072106256</c:v>
                </c:pt>
                <c:pt idx="623">
                  <c:v>590.13282732447817</c:v>
                </c:pt>
                <c:pt idx="624">
                  <c:v>591.08159392789366</c:v>
                </c:pt>
                <c:pt idx="625">
                  <c:v>592.03036053130927</c:v>
                </c:pt>
                <c:pt idx="626">
                  <c:v>592.97912713472499</c:v>
                </c:pt>
                <c:pt idx="627">
                  <c:v>593.92789373814048</c:v>
                </c:pt>
                <c:pt idx="628">
                  <c:v>594.87666034155598</c:v>
                </c:pt>
                <c:pt idx="629">
                  <c:v>595.82542694497147</c:v>
                </c:pt>
                <c:pt idx="630">
                  <c:v>596.77419354838707</c:v>
                </c:pt>
                <c:pt idx="631">
                  <c:v>597.72296015180279</c:v>
                </c:pt>
                <c:pt idx="632">
                  <c:v>598.67172675521829</c:v>
                </c:pt>
                <c:pt idx="633">
                  <c:v>599.62049335863389</c:v>
                </c:pt>
                <c:pt idx="634">
                  <c:v>600.56925996204927</c:v>
                </c:pt>
                <c:pt idx="635">
                  <c:v>601.51802656546488</c:v>
                </c:pt>
                <c:pt idx="636">
                  <c:v>602.46679316888049</c:v>
                </c:pt>
                <c:pt idx="637">
                  <c:v>603.41555977229609</c:v>
                </c:pt>
                <c:pt idx="638">
                  <c:v>604.3643263757117</c:v>
                </c:pt>
                <c:pt idx="639">
                  <c:v>605.31309297912708</c:v>
                </c:pt>
                <c:pt idx="640">
                  <c:v>606.26185958254268</c:v>
                </c:pt>
                <c:pt idx="641">
                  <c:v>607.21062618595818</c:v>
                </c:pt>
                <c:pt idx="642">
                  <c:v>608.15939278937378</c:v>
                </c:pt>
                <c:pt idx="643">
                  <c:v>609.1081593927895</c:v>
                </c:pt>
                <c:pt idx="644">
                  <c:v>610.056925996205</c:v>
                </c:pt>
                <c:pt idx="645">
                  <c:v>611.0056925996206</c:v>
                </c:pt>
                <c:pt idx="646">
                  <c:v>611.95445920303598</c:v>
                </c:pt>
                <c:pt idx="647">
                  <c:v>612.90322580645159</c:v>
                </c:pt>
                <c:pt idx="648">
                  <c:v>613.85199240986719</c:v>
                </c:pt>
                <c:pt idx="649">
                  <c:v>614.8007590132828</c:v>
                </c:pt>
                <c:pt idx="650">
                  <c:v>615.74952561669841</c:v>
                </c:pt>
                <c:pt idx="651">
                  <c:v>616.69829222011379</c:v>
                </c:pt>
                <c:pt idx="652">
                  <c:v>617.64705882352939</c:v>
                </c:pt>
                <c:pt idx="653">
                  <c:v>618.595825426945</c:v>
                </c:pt>
                <c:pt idx="654">
                  <c:v>619.54459203036049</c:v>
                </c:pt>
                <c:pt idx="655">
                  <c:v>620.49335863377621</c:v>
                </c:pt>
                <c:pt idx="656">
                  <c:v>621.4421252371917</c:v>
                </c:pt>
                <c:pt idx="657">
                  <c:v>622.3908918406072</c:v>
                </c:pt>
                <c:pt idx="658">
                  <c:v>623.33965844402269</c:v>
                </c:pt>
                <c:pt idx="659">
                  <c:v>624.2884250474383</c:v>
                </c:pt>
                <c:pt idx="660">
                  <c:v>625.2371916508539</c:v>
                </c:pt>
                <c:pt idx="661">
                  <c:v>626.18595825426951</c:v>
                </c:pt>
                <c:pt idx="662">
                  <c:v>627.13472485768511</c:v>
                </c:pt>
                <c:pt idx="663">
                  <c:v>628.08349146110049</c:v>
                </c:pt>
                <c:pt idx="664">
                  <c:v>629.0322580645161</c:v>
                </c:pt>
                <c:pt idx="665">
                  <c:v>629.98102466793171</c:v>
                </c:pt>
                <c:pt idx="666">
                  <c:v>630.9297912713472</c:v>
                </c:pt>
                <c:pt idx="667">
                  <c:v>631.87855787476292</c:v>
                </c:pt>
                <c:pt idx="668">
                  <c:v>632.82732447817841</c:v>
                </c:pt>
                <c:pt idx="669">
                  <c:v>633.7760910815939</c:v>
                </c:pt>
                <c:pt idx="670">
                  <c:v>634.72485768500951</c:v>
                </c:pt>
                <c:pt idx="671">
                  <c:v>635.673624288425</c:v>
                </c:pt>
                <c:pt idx="672">
                  <c:v>636.62239089184061</c:v>
                </c:pt>
                <c:pt idx="673">
                  <c:v>637.57115749525622</c:v>
                </c:pt>
                <c:pt idx="674">
                  <c:v>638.51992409867182</c:v>
                </c:pt>
                <c:pt idx="675">
                  <c:v>639.46869070208732</c:v>
                </c:pt>
                <c:pt idx="676">
                  <c:v>640.41745730550281</c:v>
                </c:pt>
                <c:pt idx="677">
                  <c:v>641.36622390891841</c:v>
                </c:pt>
                <c:pt idx="678">
                  <c:v>642.31499051233391</c:v>
                </c:pt>
                <c:pt idx="679">
                  <c:v>643.26375711574963</c:v>
                </c:pt>
                <c:pt idx="680">
                  <c:v>644.21252371916512</c:v>
                </c:pt>
                <c:pt idx="681">
                  <c:v>645.16129032258061</c:v>
                </c:pt>
                <c:pt idx="682">
                  <c:v>646.11005692599622</c:v>
                </c:pt>
                <c:pt idx="683">
                  <c:v>647.05882352941171</c:v>
                </c:pt>
                <c:pt idx="684">
                  <c:v>648.00759013282732</c:v>
                </c:pt>
                <c:pt idx="685">
                  <c:v>648.95635673624292</c:v>
                </c:pt>
                <c:pt idx="686">
                  <c:v>649.90512333965853</c:v>
                </c:pt>
                <c:pt idx="687">
                  <c:v>650.85388994307402</c:v>
                </c:pt>
                <c:pt idx="688">
                  <c:v>651.80265654648952</c:v>
                </c:pt>
                <c:pt idx="689">
                  <c:v>652.75142314990512</c:v>
                </c:pt>
                <c:pt idx="690">
                  <c:v>653.70018975332061</c:v>
                </c:pt>
                <c:pt idx="691">
                  <c:v>654.64895635673633</c:v>
                </c:pt>
                <c:pt idx="692">
                  <c:v>655.59772296015194</c:v>
                </c:pt>
                <c:pt idx="693">
                  <c:v>656.54648956356732</c:v>
                </c:pt>
                <c:pt idx="694">
                  <c:v>657.49525616698293</c:v>
                </c:pt>
                <c:pt idx="695">
                  <c:v>658.44402277039842</c:v>
                </c:pt>
                <c:pt idx="696">
                  <c:v>659.39278937381403</c:v>
                </c:pt>
                <c:pt idx="697">
                  <c:v>660.34155597722963</c:v>
                </c:pt>
                <c:pt idx="698">
                  <c:v>661.29032258064524</c:v>
                </c:pt>
                <c:pt idx="699">
                  <c:v>662.23908918406073</c:v>
                </c:pt>
                <c:pt idx="700">
                  <c:v>663.18785578747622</c:v>
                </c:pt>
                <c:pt idx="701">
                  <c:v>664.13662239089183</c:v>
                </c:pt>
                <c:pt idx="702">
                  <c:v>665.08538899430744</c:v>
                </c:pt>
                <c:pt idx="703">
                  <c:v>666.03415559772304</c:v>
                </c:pt>
                <c:pt idx="704">
                  <c:v>666.98292220113865</c:v>
                </c:pt>
                <c:pt idx="705">
                  <c:v>667.93168880455403</c:v>
                </c:pt>
                <c:pt idx="706">
                  <c:v>668.88045540796963</c:v>
                </c:pt>
                <c:pt idx="707">
                  <c:v>669.82922201138513</c:v>
                </c:pt>
                <c:pt idx="708">
                  <c:v>670.77798861480085</c:v>
                </c:pt>
                <c:pt idx="709">
                  <c:v>671.72675521821645</c:v>
                </c:pt>
                <c:pt idx="710">
                  <c:v>672.67552182163195</c:v>
                </c:pt>
                <c:pt idx="711">
                  <c:v>673.62428842504744</c:v>
                </c:pt>
                <c:pt idx="712">
                  <c:v>674.57305502846293</c:v>
                </c:pt>
                <c:pt idx="713">
                  <c:v>675.52182163187854</c:v>
                </c:pt>
                <c:pt idx="714">
                  <c:v>676.47058823529426</c:v>
                </c:pt>
                <c:pt idx="715">
                  <c:v>677.41935483870975</c:v>
                </c:pt>
                <c:pt idx="716">
                  <c:v>678.36812144212536</c:v>
                </c:pt>
                <c:pt idx="717">
                  <c:v>679.31688804554074</c:v>
                </c:pt>
                <c:pt idx="718">
                  <c:v>680.26565464895634</c:v>
                </c:pt>
                <c:pt idx="719">
                  <c:v>681.21442125237184</c:v>
                </c:pt>
                <c:pt idx="720">
                  <c:v>682.16318785578756</c:v>
                </c:pt>
                <c:pt idx="721">
                  <c:v>683.11195445920316</c:v>
                </c:pt>
                <c:pt idx="722">
                  <c:v>684.06072106261854</c:v>
                </c:pt>
                <c:pt idx="723">
                  <c:v>685.00948766603415</c:v>
                </c:pt>
                <c:pt idx="724">
                  <c:v>685.95825426944964</c:v>
                </c:pt>
                <c:pt idx="725">
                  <c:v>686.90702087286525</c:v>
                </c:pt>
                <c:pt idx="726">
                  <c:v>687.85578747628097</c:v>
                </c:pt>
                <c:pt idx="727">
                  <c:v>688.80455407969646</c:v>
                </c:pt>
                <c:pt idx="728">
                  <c:v>689.75332068311207</c:v>
                </c:pt>
                <c:pt idx="729">
                  <c:v>690.70208728652744</c:v>
                </c:pt>
                <c:pt idx="730">
                  <c:v>691.65085388994305</c:v>
                </c:pt>
                <c:pt idx="731">
                  <c:v>692.59962049335866</c:v>
                </c:pt>
                <c:pt idx="732">
                  <c:v>693.54838709677426</c:v>
                </c:pt>
                <c:pt idx="733">
                  <c:v>694.49715370018987</c:v>
                </c:pt>
                <c:pt idx="734">
                  <c:v>695.44592030360525</c:v>
                </c:pt>
                <c:pt idx="735">
                  <c:v>696.39468690702085</c:v>
                </c:pt>
                <c:pt idx="736">
                  <c:v>697.34345351043646</c:v>
                </c:pt>
                <c:pt idx="737">
                  <c:v>698.29222011385195</c:v>
                </c:pt>
                <c:pt idx="738">
                  <c:v>699.24098671726767</c:v>
                </c:pt>
                <c:pt idx="739">
                  <c:v>700.18975332068317</c:v>
                </c:pt>
                <c:pt idx="740">
                  <c:v>701.13851992409866</c:v>
                </c:pt>
                <c:pt idx="741">
                  <c:v>702.08728652751415</c:v>
                </c:pt>
                <c:pt idx="742">
                  <c:v>703.03605313092976</c:v>
                </c:pt>
                <c:pt idx="743">
                  <c:v>703.98481973434536</c:v>
                </c:pt>
                <c:pt idx="744">
                  <c:v>704.93358633776097</c:v>
                </c:pt>
                <c:pt idx="745">
                  <c:v>705.88235294117658</c:v>
                </c:pt>
                <c:pt idx="746">
                  <c:v>706.83111954459196</c:v>
                </c:pt>
                <c:pt idx="747">
                  <c:v>707.77988614800756</c:v>
                </c:pt>
                <c:pt idx="748">
                  <c:v>708.72865275142317</c:v>
                </c:pt>
                <c:pt idx="749">
                  <c:v>709.67741935483866</c:v>
                </c:pt>
                <c:pt idx="750">
                  <c:v>710.62618595825438</c:v>
                </c:pt>
                <c:pt idx="751">
                  <c:v>711.57495256166987</c:v>
                </c:pt>
                <c:pt idx="752">
                  <c:v>712.52371916508537</c:v>
                </c:pt>
                <c:pt idx="753">
                  <c:v>713.47248576850097</c:v>
                </c:pt>
                <c:pt idx="754">
                  <c:v>714.42125237191647</c:v>
                </c:pt>
                <c:pt idx="755">
                  <c:v>715.37001897533207</c:v>
                </c:pt>
                <c:pt idx="756">
                  <c:v>716.31878557874768</c:v>
                </c:pt>
                <c:pt idx="757">
                  <c:v>717.26755218216329</c:v>
                </c:pt>
                <c:pt idx="758">
                  <c:v>718.21631878557866</c:v>
                </c:pt>
                <c:pt idx="759">
                  <c:v>719.16508538899427</c:v>
                </c:pt>
                <c:pt idx="760">
                  <c:v>720.11385199240988</c:v>
                </c:pt>
                <c:pt idx="761">
                  <c:v>721.06261859582537</c:v>
                </c:pt>
                <c:pt idx="762">
                  <c:v>722.01138519924109</c:v>
                </c:pt>
                <c:pt idx="763">
                  <c:v>722.96015180265658</c:v>
                </c:pt>
                <c:pt idx="764">
                  <c:v>723.90891840607208</c:v>
                </c:pt>
                <c:pt idx="765">
                  <c:v>724.85768500948768</c:v>
                </c:pt>
                <c:pt idx="766">
                  <c:v>725.80645161290317</c:v>
                </c:pt>
                <c:pt idx="767">
                  <c:v>726.75521821631878</c:v>
                </c:pt>
                <c:pt idx="768">
                  <c:v>727.70398481973439</c:v>
                </c:pt>
                <c:pt idx="769">
                  <c:v>728.65275142314999</c:v>
                </c:pt>
                <c:pt idx="770">
                  <c:v>729.60151802656549</c:v>
                </c:pt>
                <c:pt idx="771">
                  <c:v>730.55028462998098</c:v>
                </c:pt>
                <c:pt idx="772">
                  <c:v>731.49905123339659</c:v>
                </c:pt>
                <c:pt idx="773">
                  <c:v>732.44781783681219</c:v>
                </c:pt>
                <c:pt idx="774">
                  <c:v>733.3965844402278</c:v>
                </c:pt>
                <c:pt idx="775">
                  <c:v>734.34535104364329</c:v>
                </c:pt>
                <c:pt idx="776">
                  <c:v>735.29411764705878</c:v>
                </c:pt>
                <c:pt idx="777">
                  <c:v>736.24288425047439</c:v>
                </c:pt>
                <c:pt idx="778">
                  <c:v>737.19165085388988</c:v>
                </c:pt>
                <c:pt idx="779">
                  <c:v>738.1404174573056</c:v>
                </c:pt>
                <c:pt idx="780">
                  <c:v>739.0891840607211</c:v>
                </c:pt>
                <c:pt idx="781">
                  <c:v>740.0379506641367</c:v>
                </c:pt>
                <c:pt idx="782">
                  <c:v>740.98671726755219</c:v>
                </c:pt>
                <c:pt idx="783">
                  <c:v>741.93548387096769</c:v>
                </c:pt>
                <c:pt idx="784">
                  <c:v>742.88425047438329</c:v>
                </c:pt>
                <c:pt idx="785">
                  <c:v>743.8330170777989</c:v>
                </c:pt>
                <c:pt idx="786">
                  <c:v>744.78178368121451</c:v>
                </c:pt>
                <c:pt idx="787">
                  <c:v>745.73055028463011</c:v>
                </c:pt>
                <c:pt idx="788">
                  <c:v>746.67931688804549</c:v>
                </c:pt>
                <c:pt idx="789">
                  <c:v>747.6280834914611</c:v>
                </c:pt>
                <c:pt idx="790">
                  <c:v>748.57685009487659</c:v>
                </c:pt>
                <c:pt idx="791">
                  <c:v>749.52561669829231</c:v>
                </c:pt>
                <c:pt idx="792">
                  <c:v>750.47438330170792</c:v>
                </c:pt>
                <c:pt idx="793">
                  <c:v>751.42314990512341</c:v>
                </c:pt>
                <c:pt idx="794">
                  <c:v>752.3719165085389</c:v>
                </c:pt>
                <c:pt idx="795">
                  <c:v>753.32068311195439</c:v>
                </c:pt>
                <c:pt idx="796">
                  <c:v>754.26944971537</c:v>
                </c:pt>
                <c:pt idx="797">
                  <c:v>755.21821631878561</c:v>
                </c:pt>
                <c:pt idx="798">
                  <c:v>756.16698292220121</c:v>
                </c:pt>
                <c:pt idx="799">
                  <c:v>757.11574952561682</c:v>
                </c:pt>
                <c:pt idx="800">
                  <c:v>758.0645161290322</c:v>
                </c:pt>
                <c:pt idx="801">
                  <c:v>759.01328273244781</c:v>
                </c:pt>
                <c:pt idx="802">
                  <c:v>759.9620493358633</c:v>
                </c:pt>
                <c:pt idx="803">
                  <c:v>760.91081593927902</c:v>
                </c:pt>
                <c:pt idx="804">
                  <c:v>761.85958254269462</c:v>
                </c:pt>
                <c:pt idx="805">
                  <c:v>762.80834914611</c:v>
                </c:pt>
                <c:pt idx="806">
                  <c:v>763.75711574952561</c:v>
                </c:pt>
                <c:pt idx="807">
                  <c:v>764.7058823529411</c:v>
                </c:pt>
                <c:pt idx="808">
                  <c:v>765.65464895635671</c:v>
                </c:pt>
                <c:pt idx="809">
                  <c:v>766.60341555977243</c:v>
                </c:pt>
                <c:pt idx="810">
                  <c:v>767.55218216318792</c:v>
                </c:pt>
                <c:pt idx="811">
                  <c:v>768.50094876660353</c:v>
                </c:pt>
                <c:pt idx="812">
                  <c:v>769.44971537001891</c:v>
                </c:pt>
                <c:pt idx="813">
                  <c:v>770.39848197343451</c:v>
                </c:pt>
                <c:pt idx="814">
                  <c:v>771.34724857685012</c:v>
                </c:pt>
                <c:pt idx="815">
                  <c:v>772.29601518026573</c:v>
                </c:pt>
                <c:pt idx="816">
                  <c:v>773.24478178368133</c:v>
                </c:pt>
                <c:pt idx="817">
                  <c:v>774.19354838709671</c:v>
                </c:pt>
                <c:pt idx="818">
                  <c:v>775.14231499051232</c:v>
                </c:pt>
                <c:pt idx="819">
                  <c:v>776.09108159392781</c:v>
                </c:pt>
                <c:pt idx="820">
                  <c:v>777.03984819734342</c:v>
                </c:pt>
                <c:pt idx="821">
                  <c:v>777.98861480075914</c:v>
                </c:pt>
                <c:pt idx="822">
                  <c:v>778.93738140417463</c:v>
                </c:pt>
                <c:pt idx="823">
                  <c:v>779.88614800759024</c:v>
                </c:pt>
                <c:pt idx="824">
                  <c:v>780.83491461100562</c:v>
                </c:pt>
                <c:pt idx="825">
                  <c:v>781.78368121442122</c:v>
                </c:pt>
                <c:pt idx="826">
                  <c:v>782.73244781783683</c:v>
                </c:pt>
                <c:pt idx="827">
                  <c:v>783.68121442125243</c:v>
                </c:pt>
                <c:pt idx="828">
                  <c:v>784.62998102466804</c:v>
                </c:pt>
                <c:pt idx="829">
                  <c:v>785.57874762808342</c:v>
                </c:pt>
                <c:pt idx="830">
                  <c:v>786.52751423149903</c:v>
                </c:pt>
                <c:pt idx="831">
                  <c:v>787.47628083491463</c:v>
                </c:pt>
                <c:pt idx="832">
                  <c:v>788.42504743833013</c:v>
                </c:pt>
                <c:pt idx="833">
                  <c:v>789.37381404174585</c:v>
                </c:pt>
                <c:pt idx="834">
                  <c:v>790.32258064516134</c:v>
                </c:pt>
                <c:pt idx="835">
                  <c:v>791.27134724857683</c:v>
                </c:pt>
                <c:pt idx="836">
                  <c:v>792.22011385199232</c:v>
                </c:pt>
                <c:pt idx="837">
                  <c:v>793.16888045540793</c:v>
                </c:pt>
                <c:pt idx="838">
                  <c:v>794.11764705882354</c:v>
                </c:pt>
                <c:pt idx="839">
                  <c:v>795.06641366223914</c:v>
                </c:pt>
                <c:pt idx="840">
                  <c:v>796.01518026565475</c:v>
                </c:pt>
                <c:pt idx="841">
                  <c:v>796.96394686907013</c:v>
                </c:pt>
                <c:pt idx="842">
                  <c:v>797.91271347248573</c:v>
                </c:pt>
                <c:pt idx="843">
                  <c:v>798.86148007590134</c:v>
                </c:pt>
                <c:pt idx="844">
                  <c:v>799.81024667931695</c:v>
                </c:pt>
                <c:pt idx="845">
                  <c:v>800.75901328273255</c:v>
                </c:pt>
                <c:pt idx="846">
                  <c:v>801.70777988614805</c:v>
                </c:pt>
                <c:pt idx="847">
                  <c:v>802.65654648956354</c:v>
                </c:pt>
                <c:pt idx="848">
                  <c:v>803.60531309297915</c:v>
                </c:pt>
                <c:pt idx="849">
                  <c:v>804.55407969639464</c:v>
                </c:pt>
                <c:pt idx="850">
                  <c:v>805.50284629981036</c:v>
                </c:pt>
                <c:pt idx="851">
                  <c:v>806.45161290322585</c:v>
                </c:pt>
                <c:pt idx="852">
                  <c:v>807.40037950664146</c:v>
                </c:pt>
                <c:pt idx="853">
                  <c:v>808.34914611005684</c:v>
                </c:pt>
                <c:pt idx="854">
                  <c:v>809.29791271347244</c:v>
                </c:pt>
                <c:pt idx="855">
                  <c:v>810.24667931688805</c:v>
                </c:pt>
                <c:pt idx="856">
                  <c:v>811.19544592030365</c:v>
                </c:pt>
                <c:pt idx="857">
                  <c:v>812.14421252371926</c:v>
                </c:pt>
                <c:pt idx="858">
                  <c:v>813.09297912713475</c:v>
                </c:pt>
                <c:pt idx="859">
                  <c:v>814.04174573055025</c:v>
                </c:pt>
                <c:pt idx="860">
                  <c:v>814.99051233396585</c:v>
                </c:pt>
                <c:pt idx="861">
                  <c:v>815.93927893738135</c:v>
                </c:pt>
                <c:pt idx="862">
                  <c:v>816.88804554079707</c:v>
                </c:pt>
                <c:pt idx="863">
                  <c:v>817.83681214421256</c:v>
                </c:pt>
                <c:pt idx="864">
                  <c:v>818.78557874762816</c:v>
                </c:pt>
                <c:pt idx="865">
                  <c:v>819.73434535104366</c:v>
                </c:pt>
                <c:pt idx="866">
                  <c:v>820.68311195445915</c:v>
                </c:pt>
                <c:pt idx="867">
                  <c:v>821.63187855787476</c:v>
                </c:pt>
                <c:pt idx="868">
                  <c:v>822.58064516129036</c:v>
                </c:pt>
                <c:pt idx="869">
                  <c:v>823.52941176470597</c:v>
                </c:pt>
                <c:pt idx="870">
                  <c:v>824.47817836812158</c:v>
                </c:pt>
                <c:pt idx="871">
                  <c:v>825.42694497153695</c:v>
                </c:pt>
                <c:pt idx="872">
                  <c:v>826.37571157495256</c:v>
                </c:pt>
                <c:pt idx="873">
                  <c:v>827.32447817836805</c:v>
                </c:pt>
                <c:pt idx="874">
                  <c:v>828.27324478178377</c:v>
                </c:pt>
                <c:pt idx="875">
                  <c:v>829.22201138519927</c:v>
                </c:pt>
                <c:pt idx="876">
                  <c:v>830.17077798861487</c:v>
                </c:pt>
                <c:pt idx="877">
                  <c:v>831.11954459203037</c:v>
                </c:pt>
                <c:pt idx="878">
                  <c:v>832.06831119544586</c:v>
                </c:pt>
                <c:pt idx="879">
                  <c:v>833.01707779886146</c:v>
                </c:pt>
                <c:pt idx="880">
                  <c:v>833.96584440227707</c:v>
                </c:pt>
                <c:pt idx="881">
                  <c:v>834.91461100569268</c:v>
                </c:pt>
                <c:pt idx="882">
                  <c:v>835.86337760910828</c:v>
                </c:pt>
                <c:pt idx="883">
                  <c:v>836.81214421252366</c:v>
                </c:pt>
                <c:pt idx="884">
                  <c:v>837.76091081593927</c:v>
                </c:pt>
                <c:pt idx="885">
                  <c:v>838.70967741935476</c:v>
                </c:pt>
                <c:pt idx="886">
                  <c:v>839.65844402277048</c:v>
                </c:pt>
                <c:pt idx="887">
                  <c:v>840.60721062618609</c:v>
                </c:pt>
                <c:pt idx="888">
                  <c:v>841.55597722960158</c:v>
                </c:pt>
                <c:pt idx="889">
                  <c:v>842.50474383301707</c:v>
                </c:pt>
                <c:pt idx="890">
                  <c:v>843.45351043643257</c:v>
                </c:pt>
                <c:pt idx="891">
                  <c:v>844.40227703984817</c:v>
                </c:pt>
                <c:pt idx="892">
                  <c:v>845.35104364326378</c:v>
                </c:pt>
                <c:pt idx="893">
                  <c:v>846.29981024667939</c:v>
                </c:pt>
                <c:pt idx="894">
                  <c:v>847.24857685009499</c:v>
                </c:pt>
                <c:pt idx="895">
                  <c:v>848.19734345351037</c:v>
                </c:pt>
                <c:pt idx="896">
                  <c:v>849.14611005692598</c:v>
                </c:pt>
                <c:pt idx="897">
                  <c:v>850.09487666034147</c:v>
                </c:pt>
                <c:pt idx="898">
                  <c:v>851.04364326375719</c:v>
                </c:pt>
                <c:pt idx="899">
                  <c:v>851.9924098671728</c:v>
                </c:pt>
                <c:pt idx="900">
                  <c:v>852.94117647058818</c:v>
                </c:pt>
                <c:pt idx="901">
                  <c:v>853.88994307400378</c:v>
                </c:pt>
                <c:pt idx="902">
                  <c:v>854.83870967741927</c:v>
                </c:pt>
                <c:pt idx="903">
                  <c:v>855.78747628083488</c:v>
                </c:pt>
                <c:pt idx="904">
                  <c:v>856.7362428842506</c:v>
                </c:pt>
                <c:pt idx="905">
                  <c:v>857.68500948766609</c:v>
                </c:pt>
                <c:pt idx="906">
                  <c:v>858.6337760910817</c:v>
                </c:pt>
                <c:pt idx="907">
                  <c:v>859.58254269449708</c:v>
                </c:pt>
                <c:pt idx="908">
                  <c:v>860.53130929791268</c:v>
                </c:pt>
                <c:pt idx="909">
                  <c:v>861.48007590132829</c:v>
                </c:pt>
                <c:pt idx="910">
                  <c:v>862.4288425047439</c:v>
                </c:pt>
                <c:pt idx="911">
                  <c:v>863.3776091081595</c:v>
                </c:pt>
                <c:pt idx="912">
                  <c:v>864.32637571157488</c:v>
                </c:pt>
                <c:pt idx="913">
                  <c:v>865.27514231499049</c:v>
                </c:pt>
                <c:pt idx="914">
                  <c:v>866.22390891840598</c:v>
                </c:pt>
                <c:pt idx="915">
                  <c:v>867.1726755218217</c:v>
                </c:pt>
                <c:pt idx="916">
                  <c:v>868.12144212523731</c:v>
                </c:pt>
                <c:pt idx="917">
                  <c:v>869.0702087286528</c:v>
                </c:pt>
                <c:pt idx="918">
                  <c:v>870.01897533206829</c:v>
                </c:pt>
                <c:pt idx="919">
                  <c:v>870.96774193548379</c:v>
                </c:pt>
                <c:pt idx="920">
                  <c:v>871.91650853889939</c:v>
                </c:pt>
                <c:pt idx="921">
                  <c:v>872.86527514231511</c:v>
                </c:pt>
                <c:pt idx="922">
                  <c:v>873.81404174573061</c:v>
                </c:pt>
                <c:pt idx="923">
                  <c:v>874.76280834914621</c:v>
                </c:pt>
                <c:pt idx="924">
                  <c:v>875.71157495256159</c:v>
                </c:pt>
                <c:pt idx="925">
                  <c:v>876.6603415559772</c:v>
                </c:pt>
                <c:pt idx="926">
                  <c:v>877.6091081593928</c:v>
                </c:pt>
                <c:pt idx="927">
                  <c:v>878.55787476280841</c:v>
                </c:pt>
                <c:pt idx="928">
                  <c:v>879.50664136622402</c:v>
                </c:pt>
                <c:pt idx="929">
                  <c:v>880.45540796963951</c:v>
                </c:pt>
                <c:pt idx="930">
                  <c:v>881.404174573055</c:v>
                </c:pt>
                <c:pt idx="931">
                  <c:v>882.35294117647061</c:v>
                </c:pt>
                <c:pt idx="932">
                  <c:v>883.3017077798861</c:v>
                </c:pt>
                <c:pt idx="933">
                  <c:v>884.25047438330182</c:v>
                </c:pt>
                <c:pt idx="934">
                  <c:v>885.19924098671731</c:v>
                </c:pt>
                <c:pt idx="935">
                  <c:v>886.14800759013292</c:v>
                </c:pt>
                <c:pt idx="936">
                  <c:v>887.0967741935483</c:v>
                </c:pt>
                <c:pt idx="937">
                  <c:v>888.04554079696391</c:v>
                </c:pt>
                <c:pt idx="938">
                  <c:v>888.99430740037951</c:v>
                </c:pt>
                <c:pt idx="939">
                  <c:v>889.94307400379512</c:v>
                </c:pt>
                <c:pt idx="940">
                  <c:v>890.89184060721072</c:v>
                </c:pt>
                <c:pt idx="941">
                  <c:v>891.84060721062622</c:v>
                </c:pt>
                <c:pt idx="942">
                  <c:v>892.78937381404171</c:v>
                </c:pt>
                <c:pt idx="943">
                  <c:v>893.73814041745732</c:v>
                </c:pt>
                <c:pt idx="944">
                  <c:v>894.68690702087281</c:v>
                </c:pt>
                <c:pt idx="945">
                  <c:v>895.63567362428853</c:v>
                </c:pt>
                <c:pt idx="946">
                  <c:v>896.58444022770402</c:v>
                </c:pt>
                <c:pt idx="947">
                  <c:v>897.53320683111963</c:v>
                </c:pt>
                <c:pt idx="948">
                  <c:v>898.48197343453512</c:v>
                </c:pt>
                <c:pt idx="949">
                  <c:v>899.43074003795061</c:v>
                </c:pt>
                <c:pt idx="950">
                  <c:v>900.37950664136622</c:v>
                </c:pt>
                <c:pt idx="951">
                  <c:v>901.32827324478183</c:v>
                </c:pt>
                <c:pt idx="952">
                  <c:v>902.27703984819743</c:v>
                </c:pt>
                <c:pt idx="953">
                  <c:v>903.22580645161293</c:v>
                </c:pt>
                <c:pt idx="954">
                  <c:v>904.17457305502842</c:v>
                </c:pt>
                <c:pt idx="955">
                  <c:v>905.12333965844402</c:v>
                </c:pt>
                <c:pt idx="956">
                  <c:v>906.07210626185952</c:v>
                </c:pt>
                <c:pt idx="957">
                  <c:v>907.02087286527524</c:v>
                </c:pt>
                <c:pt idx="958">
                  <c:v>907.96963946869073</c:v>
                </c:pt>
                <c:pt idx="959">
                  <c:v>908.91840607210634</c:v>
                </c:pt>
                <c:pt idx="960">
                  <c:v>909.86717267552183</c:v>
                </c:pt>
                <c:pt idx="961">
                  <c:v>910.81593927893732</c:v>
                </c:pt>
                <c:pt idx="962">
                  <c:v>911.76470588235293</c:v>
                </c:pt>
                <c:pt idx="963">
                  <c:v>912.71347248576853</c:v>
                </c:pt>
                <c:pt idx="964">
                  <c:v>913.66223908918414</c:v>
                </c:pt>
                <c:pt idx="965">
                  <c:v>914.61100569259975</c:v>
                </c:pt>
                <c:pt idx="966">
                  <c:v>915.55977229601513</c:v>
                </c:pt>
                <c:pt idx="967">
                  <c:v>916.50853889943073</c:v>
                </c:pt>
                <c:pt idx="968">
                  <c:v>917.45730550284622</c:v>
                </c:pt>
                <c:pt idx="969">
                  <c:v>918.40607210626195</c:v>
                </c:pt>
                <c:pt idx="970">
                  <c:v>919.35483870967755</c:v>
                </c:pt>
                <c:pt idx="971">
                  <c:v>920.30360531309304</c:v>
                </c:pt>
                <c:pt idx="972">
                  <c:v>921.25237191650854</c:v>
                </c:pt>
                <c:pt idx="973">
                  <c:v>922.20113851992403</c:v>
                </c:pt>
                <c:pt idx="974">
                  <c:v>923.14990512333964</c:v>
                </c:pt>
                <c:pt idx="975">
                  <c:v>924.09867172675524</c:v>
                </c:pt>
                <c:pt idx="976">
                  <c:v>925.04743833017085</c:v>
                </c:pt>
                <c:pt idx="977">
                  <c:v>925.99620493358645</c:v>
                </c:pt>
                <c:pt idx="978">
                  <c:v>926.94497153700183</c:v>
                </c:pt>
                <c:pt idx="979">
                  <c:v>927.89373814041744</c:v>
                </c:pt>
                <c:pt idx="980">
                  <c:v>928.84250474383305</c:v>
                </c:pt>
                <c:pt idx="981">
                  <c:v>929.79127134724865</c:v>
                </c:pt>
                <c:pt idx="982">
                  <c:v>930.74003795066426</c:v>
                </c:pt>
                <c:pt idx="983">
                  <c:v>931.68880455407964</c:v>
                </c:pt>
                <c:pt idx="984">
                  <c:v>932.63757115749524</c:v>
                </c:pt>
                <c:pt idx="985">
                  <c:v>933.58633776091074</c:v>
                </c:pt>
                <c:pt idx="986">
                  <c:v>934.53510436432646</c:v>
                </c:pt>
                <c:pt idx="987">
                  <c:v>935.48387096774206</c:v>
                </c:pt>
                <c:pt idx="988">
                  <c:v>936.43263757115756</c:v>
                </c:pt>
                <c:pt idx="989">
                  <c:v>937.38140417457316</c:v>
                </c:pt>
                <c:pt idx="990">
                  <c:v>938.33017077798854</c:v>
                </c:pt>
                <c:pt idx="991">
                  <c:v>939.27893738140415</c:v>
                </c:pt>
                <c:pt idx="992">
                  <c:v>940.22770398481975</c:v>
                </c:pt>
                <c:pt idx="993">
                  <c:v>941.17647058823536</c:v>
                </c:pt>
                <c:pt idx="994">
                  <c:v>942.12523719165097</c:v>
                </c:pt>
                <c:pt idx="995">
                  <c:v>943.07400379506635</c:v>
                </c:pt>
                <c:pt idx="996">
                  <c:v>944.02277039848195</c:v>
                </c:pt>
                <c:pt idx="997">
                  <c:v>944.97153700189745</c:v>
                </c:pt>
                <c:pt idx="998">
                  <c:v>945.92030360531317</c:v>
                </c:pt>
                <c:pt idx="999">
                  <c:v>946.86907020872877</c:v>
                </c:pt>
                <c:pt idx="1000">
                  <c:v>947.81783681214426</c:v>
                </c:pt>
                <c:pt idx="1001">
                  <c:v>948.76660341555976</c:v>
                </c:pt>
                <c:pt idx="1002">
                  <c:v>949.71537001897525</c:v>
                </c:pt>
                <c:pt idx="1003">
                  <c:v>950.66413662239086</c:v>
                </c:pt>
                <c:pt idx="1004">
                  <c:v>951.61290322580658</c:v>
                </c:pt>
                <c:pt idx="1005">
                  <c:v>952.56166982922207</c:v>
                </c:pt>
                <c:pt idx="1006">
                  <c:v>953.51043643263768</c:v>
                </c:pt>
                <c:pt idx="1007">
                  <c:v>954.45920303605305</c:v>
                </c:pt>
                <c:pt idx="1008">
                  <c:v>955.40796963946866</c:v>
                </c:pt>
                <c:pt idx="1009">
                  <c:v>956.35673624288427</c:v>
                </c:pt>
                <c:pt idx="1010">
                  <c:v>957.30550284629987</c:v>
                </c:pt>
                <c:pt idx="1011">
                  <c:v>958.25426944971548</c:v>
                </c:pt>
                <c:pt idx="1012">
                  <c:v>959.20303605313097</c:v>
                </c:pt>
                <c:pt idx="1013">
                  <c:v>960.15180265654647</c:v>
                </c:pt>
                <c:pt idx="1014">
                  <c:v>961.10056925996196</c:v>
                </c:pt>
                <c:pt idx="1015">
                  <c:v>962.04933586337756</c:v>
                </c:pt>
                <c:pt idx="1016">
                  <c:v>962.99810246679328</c:v>
                </c:pt>
                <c:pt idx="1017">
                  <c:v>963.94686907020878</c:v>
                </c:pt>
                <c:pt idx="1018">
                  <c:v>964.89563567362438</c:v>
                </c:pt>
                <c:pt idx="1019">
                  <c:v>965.84440227703976</c:v>
                </c:pt>
                <c:pt idx="1020">
                  <c:v>966.79316888045537</c:v>
                </c:pt>
                <c:pt idx="1021">
                  <c:v>967.74193548387098</c:v>
                </c:pt>
                <c:pt idx="1022">
                  <c:v>968.69070208728658</c:v>
                </c:pt>
                <c:pt idx="1023">
                  <c:v>969.63946869070219</c:v>
                </c:pt>
                <c:pt idx="1024">
                  <c:v>970.58823529411768</c:v>
                </c:pt>
                <c:pt idx="1025">
                  <c:v>971.53700189753317</c:v>
                </c:pt>
                <c:pt idx="1026">
                  <c:v>972.48576850094878</c:v>
                </c:pt>
                <c:pt idx="1027">
                  <c:v>973.43453510436427</c:v>
                </c:pt>
                <c:pt idx="1028">
                  <c:v>974.38330170777999</c:v>
                </c:pt>
                <c:pt idx="1029">
                  <c:v>975.33206831119548</c:v>
                </c:pt>
                <c:pt idx="1030">
                  <c:v>976.28083491461109</c:v>
                </c:pt>
                <c:pt idx="1031">
                  <c:v>977.22960151802647</c:v>
                </c:pt>
                <c:pt idx="1032">
                  <c:v>978.17836812144208</c:v>
                </c:pt>
                <c:pt idx="1033">
                  <c:v>979.12713472485768</c:v>
                </c:pt>
                <c:pt idx="1034">
                  <c:v>980.07590132827329</c:v>
                </c:pt>
                <c:pt idx="1035">
                  <c:v>981.0246679316889</c:v>
                </c:pt>
                <c:pt idx="1036">
                  <c:v>981.97343453510439</c:v>
                </c:pt>
                <c:pt idx="1037">
                  <c:v>982.92220113851988</c:v>
                </c:pt>
                <c:pt idx="1038">
                  <c:v>983.87096774193549</c:v>
                </c:pt>
                <c:pt idx="1039">
                  <c:v>984.81973434535098</c:v>
                </c:pt>
                <c:pt idx="1040">
                  <c:v>985.7685009487667</c:v>
                </c:pt>
                <c:pt idx="1041">
                  <c:v>986.71726755218219</c:v>
                </c:pt>
                <c:pt idx="1042">
                  <c:v>987.6660341555978</c:v>
                </c:pt>
                <c:pt idx="1043">
                  <c:v>988.61480075901329</c:v>
                </c:pt>
                <c:pt idx="1044">
                  <c:v>989.56356736242878</c:v>
                </c:pt>
                <c:pt idx="1045">
                  <c:v>990.51233396584439</c:v>
                </c:pt>
                <c:pt idx="1046">
                  <c:v>991.46110056926</c:v>
                </c:pt>
                <c:pt idx="1047">
                  <c:v>992.4098671726756</c:v>
                </c:pt>
                <c:pt idx="1048">
                  <c:v>993.35863377609121</c:v>
                </c:pt>
                <c:pt idx="1049">
                  <c:v>994.30740037950659</c:v>
                </c:pt>
                <c:pt idx="1050">
                  <c:v>995.2561669829222</c:v>
                </c:pt>
                <c:pt idx="1051">
                  <c:v>996.2049335863378</c:v>
                </c:pt>
                <c:pt idx="1052">
                  <c:v>997.15370018975341</c:v>
                </c:pt>
                <c:pt idx="1053">
                  <c:v>998.1024667931689</c:v>
                </c:pt>
                <c:pt idx="1054">
                  <c:v>999.05123339658451</c:v>
                </c:pt>
                <c:pt idx="1055">
                  <c:v>1000</c:v>
                </c:pt>
                <c:pt idx="1056">
                  <c:v>0</c:v>
                </c:pt>
                <c:pt idx="1057">
                  <c:v>0</c:v>
                </c:pt>
              </c:numCache>
            </c:numRef>
          </c:cat>
          <c:val>
            <c:numRef>
              <c:f>'Peak Payback Engine'!$AF$8:$AF$1065</c:f>
              <c:numCache>
                <c:formatCode>_("$"* #,##0.00_);_("$"* \(#,##0.00\);_("$"* "-"??_);_(@_)</c:formatCode>
                <c:ptCount val="1058"/>
                <c:pt idx="0" formatCode="General">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pt idx="994">
                  <c:v>0</c:v>
                </c:pt>
                <c:pt idx="995">
                  <c:v>0</c:v>
                </c:pt>
                <c:pt idx="996">
                  <c:v>0</c:v>
                </c:pt>
                <c:pt idx="997">
                  <c:v>0</c:v>
                </c:pt>
                <c:pt idx="998">
                  <c:v>0</c:v>
                </c:pt>
                <c:pt idx="999">
                  <c:v>0</c:v>
                </c:pt>
                <c:pt idx="1000">
                  <c:v>0</c:v>
                </c:pt>
                <c:pt idx="1001">
                  <c:v>0</c:v>
                </c:pt>
                <c:pt idx="1002">
                  <c:v>0</c:v>
                </c:pt>
                <c:pt idx="1003">
                  <c:v>0</c:v>
                </c:pt>
                <c:pt idx="1004">
                  <c:v>0</c:v>
                </c:pt>
                <c:pt idx="1005">
                  <c:v>0</c:v>
                </c:pt>
                <c:pt idx="1006">
                  <c:v>0</c:v>
                </c:pt>
                <c:pt idx="1007">
                  <c:v>0</c:v>
                </c:pt>
                <c:pt idx="1008">
                  <c:v>0</c:v>
                </c:pt>
                <c:pt idx="1009">
                  <c:v>0</c:v>
                </c:pt>
                <c:pt idx="1010">
                  <c:v>0</c:v>
                </c:pt>
                <c:pt idx="1011">
                  <c:v>0</c:v>
                </c:pt>
                <c:pt idx="1012">
                  <c:v>0</c:v>
                </c:pt>
                <c:pt idx="1013">
                  <c:v>0</c:v>
                </c:pt>
                <c:pt idx="1014">
                  <c:v>0</c:v>
                </c:pt>
                <c:pt idx="1015">
                  <c:v>0</c:v>
                </c:pt>
                <c:pt idx="1016">
                  <c:v>0</c:v>
                </c:pt>
                <c:pt idx="1017">
                  <c:v>0</c:v>
                </c:pt>
                <c:pt idx="1018">
                  <c:v>0</c:v>
                </c:pt>
                <c:pt idx="1019">
                  <c:v>0</c:v>
                </c:pt>
                <c:pt idx="1020">
                  <c:v>0</c:v>
                </c:pt>
                <c:pt idx="1021">
                  <c:v>0</c:v>
                </c:pt>
                <c:pt idx="1022">
                  <c:v>0</c:v>
                </c:pt>
                <c:pt idx="1023">
                  <c:v>0</c:v>
                </c:pt>
                <c:pt idx="1024">
                  <c:v>0</c:v>
                </c:pt>
                <c:pt idx="1025">
                  <c:v>0</c:v>
                </c:pt>
                <c:pt idx="1026">
                  <c:v>0</c:v>
                </c:pt>
                <c:pt idx="1027">
                  <c:v>0</c:v>
                </c:pt>
                <c:pt idx="1028">
                  <c:v>0</c:v>
                </c:pt>
                <c:pt idx="1029">
                  <c:v>0</c:v>
                </c:pt>
                <c:pt idx="1030">
                  <c:v>0</c:v>
                </c:pt>
                <c:pt idx="1031">
                  <c:v>0</c:v>
                </c:pt>
                <c:pt idx="1032">
                  <c:v>0</c:v>
                </c:pt>
                <c:pt idx="1033">
                  <c:v>0</c:v>
                </c:pt>
                <c:pt idx="1034">
                  <c:v>0</c:v>
                </c:pt>
                <c:pt idx="1035">
                  <c:v>0</c:v>
                </c:pt>
                <c:pt idx="1036">
                  <c:v>0</c:v>
                </c:pt>
                <c:pt idx="1037">
                  <c:v>0</c:v>
                </c:pt>
                <c:pt idx="1038">
                  <c:v>0</c:v>
                </c:pt>
                <c:pt idx="1039">
                  <c:v>0</c:v>
                </c:pt>
                <c:pt idx="1040">
                  <c:v>0</c:v>
                </c:pt>
                <c:pt idx="1041">
                  <c:v>0</c:v>
                </c:pt>
                <c:pt idx="1042">
                  <c:v>0</c:v>
                </c:pt>
                <c:pt idx="1043">
                  <c:v>0</c:v>
                </c:pt>
                <c:pt idx="1044">
                  <c:v>0</c:v>
                </c:pt>
                <c:pt idx="1045">
                  <c:v>0</c:v>
                </c:pt>
                <c:pt idx="1046">
                  <c:v>0</c:v>
                </c:pt>
                <c:pt idx="1047">
                  <c:v>0</c:v>
                </c:pt>
                <c:pt idx="1048">
                  <c:v>0</c:v>
                </c:pt>
                <c:pt idx="1049">
                  <c:v>0</c:v>
                </c:pt>
                <c:pt idx="1050">
                  <c:v>0</c:v>
                </c:pt>
                <c:pt idx="1051">
                  <c:v>0</c:v>
                </c:pt>
                <c:pt idx="1052">
                  <c:v>0</c:v>
                </c:pt>
                <c:pt idx="1053">
                  <c:v>0</c:v>
                </c:pt>
                <c:pt idx="1054">
                  <c:v>0</c:v>
                </c:pt>
                <c:pt idx="1055">
                  <c:v>0</c:v>
                </c:pt>
                <c:pt idx="1056">
                  <c:v>0</c:v>
                </c:pt>
                <c:pt idx="1057">
                  <c:v>0</c:v>
                </c:pt>
              </c:numCache>
            </c:numRef>
          </c:val>
          <c:extLst xmlns:c16r2="http://schemas.microsoft.com/office/drawing/2015/06/chart">
            <c:ext xmlns:c16="http://schemas.microsoft.com/office/drawing/2014/chart" uri="{C3380CC4-5D6E-409C-BE32-E72D297353CC}">
              <c16:uniqueId val="{00000002-0D70-493A-B7A6-9590C357C348}"/>
            </c:ext>
          </c:extLst>
        </c:ser>
        <c:dLbls>
          <c:showLegendKey val="0"/>
          <c:showVal val="0"/>
          <c:showCatName val="0"/>
          <c:showSerName val="0"/>
          <c:showPercent val="0"/>
          <c:showBubbleSize val="0"/>
        </c:dLbls>
        <c:axId val="539383088"/>
        <c:axId val="539383872"/>
      </c:areaChart>
      <c:scatterChart>
        <c:scatterStyle val="lineMarker"/>
        <c:varyColors val="0"/>
        <c:ser>
          <c:idx val="0"/>
          <c:order val="0"/>
          <c:tx>
            <c:v>Battery Effective Cost</c:v>
          </c:tx>
          <c:spPr>
            <a:ln w="50800">
              <a:solidFill>
                <a:srgbClr val="00A9D8"/>
              </a:solidFill>
            </a:ln>
          </c:spPr>
          <c:marker>
            <c:symbol val="none"/>
          </c:marker>
          <c:xVal>
            <c:numRef>
              <c:f>'Peak Payback Engine'!$B$10:$B$1063</c:f>
              <c:numCache>
                <c:formatCode>_-* #,##0.0_-;\-* #,##0.0_-;_-* "-"??_-;_-@_-</c:formatCode>
                <c:ptCount val="1054"/>
                <c:pt idx="0">
                  <c:v>2.7393507738665935E-2</c:v>
                </c:pt>
                <c:pt idx="1">
                  <c:v>5.478701547733187E-2</c:v>
                </c:pt>
                <c:pt idx="2">
                  <c:v>8.2180523215997808E-2</c:v>
                </c:pt>
                <c:pt idx="3">
                  <c:v>0.10957403095466374</c:v>
                </c:pt>
                <c:pt idx="4">
                  <c:v>0.13696753869332967</c:v>
                </c:pt>
                <c:pt idx="5">
                  <c:v>0.16436104643199562</c:v>
                </c:pt>
                <c:pt idx="6">
                  <c:v>0.19175455417066153</c:v>
                </c:pt>
                <c:pt idx="7">
                  <c:v>0.21914806190932748</c:v>
                </c:pt>
                <c:pt idx="8">
                  <c:v>0.24654156964799342</c:v>
                </c:pt>
                <c:pt idx="9">
                  <c:v>0.27393507738665934</c:v>
                </c:pt>
                <c:pt idx="10">
                  <c:v>0.30132858512532529</c:v>
                </c:pt>
                <c:pt idx="11">
                  <c:v>0.32872209286399123</c:v>
                </c:pt>
                <c:pt idx="12">
                  <c:v>0.35611560060265718</c:v>
                </c:pt>
                <c:pt idx="13">
                  <c:v>0.38350910834132307</c:v>
                </c:pt>
                <c:pt idx="14">
                  <c:v>0.41090261607998901</c:v>
                </c:pt>
                <c:pt idx="15">
                  <c:v>0.43829612381865496</c:v>
                </c:pt>
                <c:pt idx="16">
                  <c:v>0.4656896315573209</c:v>
                </c:pt>
                <c:pt idx="17">
                  <c:v>0.49308313929598685</c:v>
                </c:pt>
                <c:pt idx="18">
                  <c:v>0.5204766470346528</c:v>
                </c:pt>
                <c:pt idx="19">
                  <c:v>0.54787015477331868</c:v>
                </c:pt>
                <c:pt idx="20">
                  <c:v>0.57526366251198469</c:v>
                </c:pt>
                <c:pt idx="21">
                  <c:v>0.60265717025065058</c:v>
                </c:pt>
                <c:pt idx="22">
                  <c:v>0.63005067798931647</c:v>
                </c:pt>
                <c:pt idx="23">
                  <c:v>0.65744418572798247</c:v>
                </c:pt>
                <c:pt idx="24">
                  <c:v>0.68483769346664836</c:v>
                </c:pt>
                <c:pt idx="25">
                  <c:v>0.71223120120531436</c:v>
                </c:pt>
                <c:pt idx="26">
                  <c:v>0.73962470894398025</c:v>
                </c:pt>
                <c:pt idx="27">
                  <c:v>0.76701821668264614</c:v>
                </c:pt>
                <c:pt idx="28">
                  <c:v>0.79441172442131214</c:v>
                </c:pt>
                <c:pt idx="29">
                  <c:v>0.82180523215997803</c:v>
                </c:pt>
                <c:pt idx="30">
                  <c:v>0.84919873989864403</c:v>
                </c:pt>
                <c:pt idx="31">
                  <c:v>0.87659224763730992</c:v>
                </c:pt>
                <c:pt idx="32">
                  <c:v>0.90398575537597592</c:v>
                </c:pt>
                <c:pt idx="33">
                  <c:v>0.93137926311464181</c:v>
                </c:pt>
                <c:pt idx="34">
                  <c:v>0.9587727708533077</c:v>
                </c:pt>
                <c:pt idx="35">
                  <c:v>0.9861662785919737</c:v>
                </c:pt>
                <c:pt idx="36">
                  <c:v>1.0135597863306396</c:v>
                </c:pt>
                <c:pt idx="37">
                  <c:v>1.0409532940693056</c:v>
                </c:pt>
                <c:pt idx="38">
                  <c:v>1.0683468018079714</c:v>
                </c:pt>
                <c:pt idx="39">
                  <c:v>1.0957403095466374</c:v>
                </c:pt>
                <c:pt idx="40">
                  <c:v>1.1231338172853034</c:v>
                </c:pt>
                <c:pt idx="41">
                  <c:v>1.1505273250239694</c:v>
                </c:pt>
                <c:pt idx="42">
                  <c:v>1.1779208327626352</c:v>
                </c:pt>
                <c:pt idx="43">
                  <c:v>1.2053143405013012</c:v>
                </c:pt>
                <c:pt idx="44">
                  <c:v>1.2327078482399672</c:v>
                </c:pt>
                <c:pt idx="45">
                  <c:v>1.2601013559786329</c:v>
                </c:pt>
                <c:pt idx="46">
                  <c:v>1.2874948637172989</c:v>
                </c:pt>
                <c:pt idx="47">
                  <c:v>1.3148883714559649</c:v>
                </c:pt>
                <c:pt idx="48">
                  <c:v>1.3422818791946309</c:v>
                </c:pt>
                <c:pt idx="49">
                  <c:v>1.3696753869332967</c:v>
                </c:pt>
                <c:pt idx="50">
                  <c:v>1.3970688946719627</c:v>
                </c:pt>
                <c:pt idx="51">
                  <c:v>1.4244624024106287</c:v>
                </c:pt>
                <c:pt idx="52">
                  <c:v>1.4518559101492945</c:v>
                </c:pt>
                <c:pt idx="53">
                  <c:v>1.4792494178879605</c:v>
                </c:pt>
                <c:pt idx="54">
                  <c:v>1.5066429256266265</c:v>
                </c:pt>
                <c:pt idx="55">
                  <c:v>1.5340364333652923</c:v>
                </c:pt>
                <c:pt idx="56">
                  <c:v>1.5614299411039583</c:v>
                </c:pt>
                <c:pt idx="57">
                  <c:v>1.5888234488426243</c:v>
                </c:pt>
                <c:pt idx="58">
                  <c:v>1.6162169565812903</c:v>
                </c:pt>
                <c:pt idx="59">
                  <c:v>1.6436104643199561</c:v>
                </c:pt>
                <c:pt idx="60">
                  <c:v>1.6710039720586221</c:v>
                </c:pt>
                <c:pt idx="61">
                  <c:v>1.6983974797972881</c:v>
                </c:pt>
                <c:pt idx="62">
                  <c:v>1.7257909875359538</c:v>
                </c:pt>
                <c:pt idx="63">
                  <c:v>1.7531844952746198</c:v>
                </c:pt>
                <c:pt idx="64">
                  <c:v>1.7805780030132858</c:v>
                </c:pt>
                <c:pt idx="65">
                  <c:v>1.8079715107519518</c:v>
                </c:pt>
                <c:pt idx="66">
                  <c:v>1.8353650184906176</c:v>
                </c:pt>
                <c:pt idx="67">
                  <c:v>1.8627585262292836</c:v>
                </c:pt>
                <c:pt idx="68">
                  <c:v>1.8901520339679496</c:v>
                </c:pt>
                <c:pt idx="69">
                  <c:v>1.9175455417066154</c:v>
                </c:pt>
                <c:pt idx="70">
                  <c:v>1.9449390494452814</c:v>
                </c:pt>
                <c:pt idx="71">
                  <c:v>1.9723325571839474</c:v>
                </c:pt>
                <c:pt idx="72">
                  <c:v>1.9997260649226132</c:v>
                </c:pt>
                <c:pt idx="73">
                  <c:v>2.0271195726612792</c:v>
                </c:pt>
                <c:pt idx="74">
                  <c:v>2.054513080399945</c:v>
                </c:pt>
                <c:pt idx="75">
                  <c:v>2.0819065881386112</c:v>
                </c:pt>
                <c:pt idx="76">
                  <c:v>2.109300095877277</c:v>
                </c:pt>
                <c:pt idx="77">
                  <c:v>2.1366936036159427</c:v>
                </c:pt>
                <c:pt idx="78">
                  <c:v>2.164087111354609</c:v>
                </c:pt>
                <c:pt idx="79">
                  <c:v>2.1914806190932747</c:v>
                </c:pt>
                <c:pt idx="80">
                  <c:v>2.218874126831941</c:v>
                </c:pt>
                <c:pt idx="81">
                  <c:v>2.2462676345706067</c:v>
                </c:pt>
                <c:pt idx="82">
                  <c:v>2.2736611423092725</c:v>
                </c:pt>
                <c:pt idx="83">
                  <c:v>2.3010546500479387</c:v>
                </c:pt>
                <c:pt idx="84">
                  <c:v>2.3284481577866045</c:v>
                </c:pt>
                <c:pt idx="85">
                  <c:v>2.3558416655252703</c:v>
                </c:pt>
                <c:pt idx="86">
                  <c:v>2.3832351732639365</c:v>
                </c:pt>
                <c:pt idx="87">
                  <c:v>2.4106286810026023</c:v>
                </c:pt>
                <c:pt idx="88">
                  <c:v>2.4380221887412681</c:v>
                </c:pt>
                <c:pt idx="89">
                  <c:v>2.4654156964799343</c:v>
                </c:pt>
                <c:pt idx="90">
                  <c:v>2.4928092042186001</c:v>
                </c:pt>
                <c:pt idx="91">
                  <c:v>2.5202027119572659</c:v>
                </c:pt>
                <c:pt idx="92">
                  <c:v>2.5475962196959321</c:v>
                </c:pt>
                <c:pt idx="93">
                  <c:v>2.5749897274345979</c:v>
                </c:pt>
                <c:pt idx="94">
                  <c:v>2.6023832351732636</c:v>
                </c:pt>
                <c:pt idx="95">
                  <c:v>2.6297767429119299</c:v>
                </c:pt>
                <c:pt idx="96">
                  <c:v>2.6571702506505956</c:v>
                </c:pt>
                <c:pt idx="97">
                  <c:v>2.6845637583892619</c:v>
                </c:pt>
                <c:pt idx="98">
                  <c:v>2.7119572661279276</c:v>
                </c:pt>
                <c:pt idx="99">
                  <c:v>2.7393507738665934</c:v>
                </c:pt>
                <c:pt idx="100">
                  <c:v>2.7667442816052596</c:v>
                </c:pt>
                <c:pt idx="101">
                  <c:v>2.7941377893439254</c:v>
                </c:pt>
                <c:pt idx="102">
                  <c:v>2.8215312970825912</c:v>
                </c:pt>
                <c:pt idx="103">
                  <c:v>2.8489248048212574</c:v>
                </c:pt>
                <c:pt idx="104">
                  <c:v>2.8763183125599232</c:v>
                </c:pt>
                <c:pt idx="105">
                  <c:v>2.903711820298589</c:v>
                </c:pt>
                <c:pt idx="106">
                  <c:v>2.9311053280372552</c:v>
                </c:pt>
                <c:pt idx="107">
                  <c:v>2.958498835775921</c:v>
                </c:pt>
                <c:pt idx="108">
                  <c:v>2.9858923435145868</c:v>
                </c:pt>
                <c:pt idx="109">
                  <c:v>3.013285851253253</c:v>
                </c:pt>
                <c:pt idx="110">
                  <c:v>3.0406793589919188</c:v>
                </c:pt>
                <c:pt idx="111">
                  <c:v>3.0680728667305845</c:v>
                </c:pt>
                <c:pt idx="112">
                  <c:v>3.0954663744692508</c:v>
                </c:pt>
                <c:pt idx="113">
                  <c:v>3.1228598822079165</c:v>
                </c:pt>
                <c:pt idx="114">
                  <c:v>3.1502533899465828</c:v>
                </c:pt>
                <c:pt idx="115">
                  <c:v>3.1776468976852486</c:v>
                </c:pt>
                <c:pt idx="116">
                  <c:v>3.2050404054239143</c:v>
                </c:pt>
                <c:pt idx="117">
                  <c:v>3.2324339131625806</c:v>
                </c:pt>
                <c:pt idx="118">
                  <c:v>3.2598274209012463</c:v>
                </c:pt>
                <c:pt idx="119">
                  <c:v>3.2872209286399121</c:v>
                </c:pt>
                <c:pt idx="120">
                  <c:v>3.3146144363785783</c:v>
                </c:pt>
                <c:pt idx="121">
                  <c:v>3.3420079441172441</c:v>
                </c:pt>
                <c:pt idx="122">
                  <c:v>3.3694014518559099</c:v>
                </c:pt>
                <c:pt idx="123">
                  <c:v>3.3967949595945761</c:v>
                </c:pt>
                <c:pt idx="124">
                  <c:v>3.4241884673332419</c:v>
                </c:pt>
                <c:pt idx="125">
                  <c:v>3.4515819750719077</c:v>
                </c:pt>
                <c:pt idx="126">
                  <c:v>3.4789754828105739</c:v>
                </c:pt>
                <c:pt idx="127">
                  <c:v>3.5063689905492397</c:v>
                </c:pt>
                <c:pt idx="128">
                  <c:v>3.5337624982879055</c:v>
                </c:pt>
                <c:pt idx="129">
                  <c:v>3.5611560060265717</c:v>
                </c:pt>
                <c:pt idx="130">
                  <c:v>3.5885495137652375</c:v>
                </c:pt>
                <c:pt idx="131">
                  <c:v>3.6159430215039037</c:v>
                </c:pt>
                <c:pt idx="132">
                  <c:v>3.6433365292425695</c:v>
                </c:pt>
                <c:pt idx="133">
                  <c:v>3.6707300369812352</c:v>
                </c:pt>
                <c:pt idx="134">
                  <c:v>3.6981235447199015</c:v>
                </c:pt>
                <c:pt idx="135">
                  <c:v>3.7255170524585672</c:v>
                </c:pt>
                <c:pt idx="136">
                  <c:v>3.752910560197233</c:v>
                </c:pt>
                <c:pt idx="137">
                  <c:v>3.7803040679358992</c:v>
                </c:pt>
                <c:pt idx="138">
                  <c:v>3.807697575674565</c:v>
                </c:pt>
                <c:pt idx="139">
                  <c:v>3.8350910834132308</c:v>
                </c:pt>
                <c:pt idx="140">
                  <c:v>3.862484591151897</c:v>
                </c:pt>
                <c:pt idx="141">
                  <c:v>3.8898780988905628</c:v>
                </c:pt>
                <c:pt idx="142">
                  <c:v>3.9172716066292286</c:v>
                </c:pt>
                <c:pt idx="143">
                  <c:v>3.9446651143678948</c:v>
                </c:pt>
                <c:pt idx="144">
                  <c:v>3.9720586221065606</c:v>
                </c:pt>
                <c:pt idx="145">
                  <c:v>3.9994521298452264</c:v>
                </c:pt>
                <c:pt idx="146">
                  <c:v>4.0268456375838921</c:v>
                </c:pt>
                <c:pt idx="147">
                  <c:v>4.0542391453225584</c:v>
                </c:pt>
                <c:pt idx="148">
                  <c:v>4.0816326530612246</c:v>
                </c:pt>
                <c:pt idx="149">
                  <c:v>4.1090261607998899</c:v>
                </c:pt>
                <c:pt idx="150">
                  <c:v>4.1364196685385561</c:v>
                </c:pt>
                <c:pt idx="151">
                  <c:v>4.1638131762772224</c:v>
                </c:pt>
                <c:pt idx="152">
                  <c:v>4.1912066840158877</c:v>
                </c:pt>
                <c:pt idx="153">
                  <c:v>4.2186001917545539</c:v>
                </c:pt>
                <c:pt idx="154">
                  <c:v>4.2459936994932201</c:v>
                </c:pt>
                <c:pt idx="155">
                  <c:v>4.2733872072318855</c:v>
                </c:pt>
                <c:pt idx="156">
                  <c:v>4.3007807149705517</c:v>
                </c:pt>
                <c:pt idx="157">
                  <c:v>4.3281742227092179</c:v>
                </c:pt>
                <c:pt idx="158">
                  <c:v>4.3555677304478841</c:v>
                </c:pt>
                <c:pt idx="159">
                  <c:v>4.3829612381865495</c:v>
                </c:pt>
                <c:pt idx="160">
                  <c:v>4.4103547459252157</c:v>
                </c:pt>
                <c:pt idx="161">
                  <c:v>4.4377482536638819</c:v>
                </c:pt>
                <c:pt idx="162">
                  <c:v>4.4651417614025473</c:v>
                </c:pt>
                <c:pt idx="163">
                  <c:v>4.4925352691412135</c:v>
                </c:pt>
                <c:pt idx="164">
                  <c:v>4.5199287768798797</c:v>
                </c:pt>
                <c:pt idx="165">
                  <c:v>4.547322284618545</c:v>
                </c:pt>
                <c:pt idx="166">
                  <c:v>4.5747157923572113</c:v>
                </c:pt>
                <c:pt idx="167">
                  <c:v>4.6021093000958775</c:v>
                </c:pt>
                <c:pt idx="168">
                  <c:v>4.6295028078345428</c:v>
                </c:pt>
                <c:pt idx="169">
                  <c:v>4.656896315573209</c:v>
                </c:pt>
                <c:pt idx="170">
                  <c:v>4.6842898233118753</c:v>
                </c:pt>
                <c:pt idx="171">
                  <c:v>4.7116833310505406</c:v>
                </c:pt>
                <c:pt idx="172">
                  <c:v>4.7390768387892068</c:v>
                </c:pt>
                <c:pt idx="173">
                  <c:v>4.766470346527873</c:v>
                </c:pt>
                <c:pt idx="174">
                  <c:v>4.7938638542665384</c:v>
                </c:pt>
                <c:pt idx="175">
                  <c:v>4.8212573620052046</c:v>
                </c:pt>
                <c:pt idx="176">
                  <c:v>4.8486508697438708</c:v>
                </c:pt>
                <c:pt idx="177">
                  <c:v>4.8760443774825362</c:v>
                </c:pt>
                <c:pt idx="178">
                  <c:v>4.9034378852212024</c:v>
                </c:pt>
                <c:pt idx="179">
                  <c:v>4.9308313929598686</c:v>
                </c:pt>
                <c:pt idx="180">
                  <c:v>4.9582249006985339</c:v>
                </c:pt>
                <c:pt idx="181">
                  <c:v>4.9856184084372002</c:v>
                </c:pt>
                <c:pt idx="182">
                  <c:v>5.0130119161758664</c:v>
                </c:pt>
                <c:pt idx="183">
                  <c:v>5.0404054239145317</c:v>
                </c:pt>
                <c:pt idx="184">
                  <c:v>5.0677989316531979</c:v>
                </c:pt>
                <c:pt idx="185">
                  <c:v>5.0951924393918642</c:v>
                </c:pt>
                <c:pt idx="186">
                  <c:v>5.1225859471305295</c:v>
                </c:pt>
                <c:pt idx="187">
                  <c:v>5.1499794548691957</c:v>
                </c:pt>
                <c:pt idx="188">
                  <c:v>5.177372962607862</c:v>
                </c:pt>
                <c:pt idx="189">
                  <c:v>5.2047664703465273</c:v>
                </c:pt>
                <c:pt idx="190">
                  <c:v>5.2321599780851935</c:v>
                </c:pt>
                <c:pt idx="191">
                  <c:v>5.2595534858238597</c:v>
                </c:pt>
                <c:pt idx="192">
                  <c:v>5.286946993562526</c:v>
                </c:pt>
                <c:pt idx="193">
                  <c:v>5.3143405013011913</c:v>
                </c:pt>
                <c:pt idx="194">
                  <c:v>5.3417340090398575</c:v>
                </c:pt>
                <c:pt idx="195">
                  <c:v>5.3691275167785237</c:v>
                </c:pt>
                <c:pt idx="196">
                  <c:v>5.3965210245171891</c:v>
                </c:pt>
                <c:pt idx="197">
                  <c:v>5.4239145322558553</c:v>
                </c:pt>
                <c:pt idx="198">
                  <c:v>5.4513080399945215</c:v>
                </c:pt>
                <c:pt idx="199">
                  <c:v>5.4787015477331868</c:v>
                </c:pt>
                <c:pt idx="200">
                  <c:v>5.5060950554718531</c:v>
                </c:pt>
                <c:pt idx="201">
                  <c:v>5.5334885632105193</c:v>
                </c:pt>
                <c:pt idx="202">
                  <c:v>5.5608820709491846</c:v>
                </c:pt>
                <c:pt idx="203">
                  <c:v>5.5882755786878509</c:v>
                </c:pt>
                <c:pt idx="204">
                  <c:v>5.6156690864265171</c:v>
                </c:pt>
                <c:pt idx="205">
                  <c:v>5.6430625941651824</c:v>
                </c:pt>
                <c:pt idx="206">
                  <c:v>5.6704561019038486</c:v>
                </c:pt>
                <c:pt idx="207">
                  <c:v>5.6978496096425149</c:v>
                </c:pt>
                <c:pt idx="208">
                  <c:v>5.7252431173811802</c:v>
                </c:pt>
                <c:pt idx="209">
                  <c:v>5.7526366251198464</c:v>
                </c:pt>
                <c:pt idx="210">
                  <c:v>5.7800301328585126</c:v>
                </c:pt>
                <c:pt idx="211">
                  <c:v>5.807423640597178</c:v>
                </c:pt>
                <c:pt idx="212">
                  <c:v>5.8348171483358442</c:v>
                </c:pt>
                <c:pt idx="213">
                  <c:v>5.8622106560745104</c:v>
                </c:pt>
                <c:pt idx="214">
                  <c:v>5.8896041638131758</c:v>
                </c:pt>
                <c:pt idx="215">
                  <c:v>5.916997671551842</c:v>
                </c:pt>
                <c:pt idx="216">
                  <c:v>5.9443911792905082</c:v>
                </c:pt>
                <c:pt idx="217">
                  <c:v>5.9717846870291735</c:v>
                </c:pt>
                <c:pt idx="218">
                  <c:v>5.9991781947678398</c:v>
                </c:pt>
                <c:pt idx="219">
                  <c:v>6.026571702506506</c:v>
                </c:pt>
                <c:pt idx="220">
                  <c:v>6.0539652102451713</c:v>
                </c:pt>
                <c:pt idx="221">
                  <c:v>6.0813587179838375</c:v>
                </c:pt>
                <c:pt idx="222">
                  <c:v>6.1087522257225038</c:v>
                </c:pt>
                <c:pt idx="223">
                  <c:v>6.1361457334611691</c:v>
                </c:pt>
                <c:pt idx="224">
                  <c:v>6.1635392411998353</c:v>
                </c:pt>
                <c:pt idx="225">
                  <c:v>6.1909327489385015</c:v>
                </c:pt>
                <c:pt idx="226">
                  <c:v>6.2183262566771669</c:v>
                </c:pt>
                <c:pt idx="227">
                  <c:v>6.2457197644158331</c:v>
                </c:pt>
                <c:pt idx="228">
                  <c:v>6.2731132721544993</c:v>
                </c:pt>
                <c:pt idx="229">
                  <c:v>6.3005067798931655</c:v>
                </c:pt>
                <c:pt idx="230">
                  <c:v>6.3279002876318309</c:v>
                </c:pt>
                <c:pt idx="231">
                  <c:v>6.3552937953704971</c:v>
                </c:pt>
                <c:pt idx="232">
                  <c:v>6.3826873031091633</c:v>
                </c:pt>
                <c:pt idx="233">
                  <c:v>6.4100808108478287</c:v>
                </c:pt>
                <c:pt idx="234">
                  <c:v>6.4374743185864949</c:v>
                </c:pt>
                <c:pt idx="235">
                  <c:v>6.4648678263251611</c:v>
                </c:pt>
                <c:pt idx="236">
                  <c:v>6.4922613340638264</c:v>
                </c:pt>
                <c:pt idx="237">
                  <c:v>6.5196548418024927</c:v>
                </c:pt>
                <c:pt idx="238">
                  <c:v>6.5470483495411589</c:v>
                </c:pt>
                <c:pt idx="239">
                  <c:v>6.5744418572798242</c:v>
                </c:pt>
                <c:pt idx="240">
                  <c:v>6.6018353650184904</c:v>
                </c:pt>
                <c:pt idx="241">
                  <c:v>6.6292288727571567</c:v>
                </c:pt>
                <c:pt idx="242">
                  <c:v>6.656622380495822</c:v>
                </c:pt>
                <c:pt idx="243">
                  <c:v>6.6840158882344882</c:v>
                </c:pt>
                <c:pt idx="244">
                  <c:v>6.7114093959731544</c:v>
                </c:pt>
                <c:pt idx="245">
                  <c:v>6.7388029037118198</c:v>
                </c:pt>
                <c:pt idx="246">
                  <c:v>6.766196411450486</c:v>
                </c:pt>
                <c:pt idx="247">
                  <c:v>6.7935899191891522</c:v>
                </c:pt>
                <c:pt idx="248">
                  <c:v>6.8209834269278176</c:v>
                </c:pt>
                <c:pt idx="249">
                  <c:v>6.8483769346664838</c:v>
                </c:pt>
                <c:pt idx="250">
                  <c:v>6.87577044240515</c:v>
                </c:pt>
                <c:pt idx="251">
                  <c:v>6.9031639501438153</c:v>
                </c:pt>
                <c:pt idx="252">
                  <c:v>6.9305574578824816</c:v>
                </c:pt>
                <c:pt idx="253">
                  <c:v>6.9579509656211478</c:v>
                </c:pt>
                <c:pt idx="254">
                  <c:v>6.9853444733598131</c:v>
                </c:pt>
                <c:pt idx="255">
                  <c:v>7.0127379810984793</c:v>
                </c:pt>
                <c:pt idx="256">
                  <c:v>7.0401314888371456</c:v>
                </c:pt>
                <c:pt idx="257">
                  <c:v>7.0675249965758109</c:v>
                </c:pt>
                <c:pt idx="258">
                  <c:v>7.0949185043144771</c:v>
                </c:pt>
                <c:pt idx="259">
                  <c:v>7.1223120120531433</c:v>
                </c:pt>
                <c:pt idx="260">
                  <c:v>7.1497055197918087</c:v>
                </c:pt>
                <c:pt idx="261">
                  <c:v>7.1770990275304749</c:v>
                </c:pt>
                <c:pt idx="262">
                  <c:v>7.2044925352691411</c:v>
                </c:pt>
                <c:pt idx="263">
                  <c:v>7.2318860430078074</c:v>
                </c:pt>
                <c:pt idx="264">
                  <c:v>7.2592795507464727</c:v>
                </c:pt>
                <c:pt idx="265">
                  <c:v>7.2866730584851389</c:v>
                </c:pt>
                <c:pt idx="266">
                  <c:v>7.3140665662238051</c:v>
                </c:pt>
                <c:pt idx="267">
                  <c:v>7.3414600739624705</c:v>
                </c:pt>
                <c:pt idx="268">
                  <c:v>7.3688535817011367</c:v>
                </c:pt>
                <c:pt idx="269">
                  <c:v>7.3962470894398029</c:v>
                </c:pt>
                <c:pt idx="270">
                  <c:v>7.4236405971784682</c:v>
                </c:pt>
                <c:pt idx="271">
                  <c:v>7.4510341049171345</c:v>
                </c:pt>
                <c:pt idx="272">
                  <c:v>7.4784276126558007</c:v>
                </c:pt>
                <c:pt idx="273">
                  <c:v>7.505821120394466</c:v>
                </c:pt>
                <c:pt idx="274">
                  <c:v>7.5332146281331323</c:v>
                </c:pt>
                <c:pt idx="275">
                  <c:v>7.5606081358717985</c:v>
                </c:pt>
                <c:pt idx="276">
                  <c:v>7.5880016436104638</c:v>
                </c:pt>
                <c:pt idx="277">
                  <c:v>7.61539515134913</c:v>
                </c:pt>
                <c:pt idx="278">
                  <c:v>7.6427886590877963</c:v>
                </c:pt>
                <c:pt idx="279">
                  <c:v>7.6701821668264616</c:v>
                </c:pt>
                <c:pt idx="280">
                  <c:v>7.6975756745651278</c:v>
                </c:pt>
                <c:pt idx="281">
                  <c:v>7.724969182303794</c:v>
                </c:pt>
                <c:pt idx="282">
                  <c:v>7.7523626900424594</c:v>
                </c:pt>
                <c:pt idx="283">
                  <c:v>7.7797561977811256</c:v>
                </c:pt>
                <c:pt idx="284">
                  <c:v>7.8071497055197918</c:v>
                </c:pt>
                <c:pt idx="285">
                  <c:v>7.8345432132584572</c:v>
                </c:pt>
                <c:pt idx="286">
                  <c:v>7.8619367209971234</c:v>
                </c:pt>
                <c:pt idx="287">
                  <c:v>7.8893302287357896</c:v>
                </c:pt>
                <c:pt idx="288">
                  <c:v>7.9167237364744549</c:v>
                </c:pt>
                <c:pt idx="289">
                  <c:v>7.9441172442131212</c:v>
                </c:pt>
                <c:pt idx="290">
                  <c:v>7.9715107519517874</c:v>
                </c:pt>
                <c:pt idx="291">
                  <c:v>7.9989042596904527</c:v>
                </c:pt>
                <c:pt idx="292">
                  <c:v>8.0262977674291189</c:v>
                </c:pt>
                <c:pt idx="293">
                  <c:v>8.0536912751677843</c:v>
                </c:pt>
                <c:pt idx="294">
                  <c:v>8.0810847829064514</c:v>
                </c:pt>
                <c:pt idx="295">
                  <c:v>8.1084782906451167</c:v>
                </c:pt>
                <c:pt idx="296">
                  <c:v>8.135871798383782</c:v>
                </c:pt>
                <c:pt idx="297">
                  <c:v>8.1632653061224492</c:v>
                </c:pt>
                <c:pt idx="298">
                  <c:v>8.1906588138611145</c:v>
                </c:pt>
                <c:pt idx="299">
                  <c:v>8.2180523215997798</c:v>
                </c:pt>
                <c:pt idx="300">
                  <c:v>8.2454458293384469</c:v>
                </c:pt>
                <c:pt idx="301">
                  <c:v>8.2728393370771123</c:v>
                </c:pt>
                <c:pt idx="302">
                  <c:v>8.3002328448157776</c:v>
                </c:pt>
                <c:pt idx="303">
                  <c:v>8.3276263525544447</c:v>
                </c:pt>
                <c:pt idx="304">
                  <c:v>8.3550198602931101</c:v>
                </c:pt>
                <c:pt idx="305">
                  <c:v>8.3824133680317754</c:v>
                </c:pt>
                <c:pt idx="306">
                  <c:v>8.4098068757704425</c:v>
                </c:pt>
                <c:pt idx="307">
                  <c:v>8.4372003835091078</c:v>
                </c:pt>
                <c:pt idx="308">
                  <c:v>8.4645938912477732</c:v>
                </c:pt>
                <c:pt idx="309">
                  <c:v>8.4919873989864403</c:v>
                </c:pt>
                <c:pt idx="310">
                  <c:v>8.5193809067251056</c:v>
                </c:pt>
                <c:pt idx="311">
                  <c:v>8.546774414463771</c:v>
                </c:pt>
                <c:pt idx="312">
                  <c:v>8.5741679222024381</c:v>
                </c:pt>
                <c:pt idx="313">
                  <c:v>8.6015614299411034</c:v>
                </c:pt>
                <c:pt idx="314">
                  <c:v>8.6289549376797705</c:v>
                </c:pt>
                <c:pt idx="315">
                  <c:v>8.6563484454184358</c:v>
                </c:pt>
                <c:pt idx="316">
                  <c:v>8.6837419531571012</c:v>
                </c:pt>
                <c:pt idx="317">
                  <c:v>8.7111354608957683</c:v>
                </c:pt>
                <c:pt idx="318">
                  <c:v>8.7385289686344336</c:v>
                </c:pt>
                <c:pt idx="319">
                  <c:v>8.765922476373099</c:v>
                </c:pt>
                <c:pt idx="320">
                  <c:v>8.7933159841117661</c:v>
                </c:pt>
                <c:pt idx="321">
                  <c:v>8.8207094918504314</c:v>
                </c:pt>
                <c:pt idx="322">
                  <c:v>8.8481029995890967</c:v>
                </c:pt>
                <c:pt idx="323">
                  <c:v>8.8754965073277639</c:v>
                </c:pt>
                <c:pt idx="324">
                  <c:v>8.9028900150664292</c:v>
                </c:pt>
                <c:pt idx="325">
                  <c:v>8.9302835228050945</c:v>
                </c:pt>
                <c:pt idx="326">
                  <c:v>8.9576770305437616</c:v>
                </c:pt>
                <c:pt idx="327">
                  <c:v>8.985070538282427</c:v>
                </c:pt>
                <c:pt idx="328">
                  <c:v>9.0124640460210923</c:v>
                </c:pt>
                <c:pt idx="329">
                  <c:v>9.0398575537597594</c:v>
                </c:pt>
                <c:pt idx="330">
                  <c:v>9.0672510614984247</c:v>
                </c:pt>
                <c:pt idx="331">
                  <c:v>9.0946445692370901</c:v>
                </c:pt>
                <c:pt idx="332">
                  <c:v>9.1220380769757572</c:v>
                </c:pt>
                <c:pt idx="333">
                  <c:v>9.1494315847144225</c:v>
                </c:pt>
                <c:pt idx="334">
                  <c:v>9.1768250924530879</c:v>
                </c:pt>
                <c:pt idx="335">
                  <c:v>9.204218600191755</c:v>
                </c:pt>
                <c:pt idx="336">
                  <c:v>9.2316121079304203</c:v>
                </c:pt>
                <c:pt idx="337">
                  <c:v>9.2590056156690856</c:v>
                </c:pt>
                <c:pt idx="338">
                  <c:v>9.2863991234077528</c:v>
                </c:pt>
                <c:pt idx="339">
                  <c:v>9.3137926311464181</c:v>
                </c:pt>
                <c:pt idx="340">
                  <c:v>9.3411861388850834</c:v>
                </c:pt>
                <c:pt idx="341">
                  <c:v>9.3685796466237505</c:v>
                </c:pt>
                <c:pt idx="342">
                  <c:v>9.3959731543624159</c:v>
                </c:pt>
                <c:pt idx="343">
                  <c:v>9.4233666621010812</c:v>
                </c:pt>
                <c:pt idx="344">
                  <c:v>9.4507601698397483</c:v>
                </c:pt>
                <c:pt idx="345">
                  <c:v>9.4781536775784136</c:v>
                </c:pt>
                <c:pt idx="346">
                  <c:v>9.505547185317079</c:v>
                </c:pt>
                <c:pt idx="347">
                  <c:v>9.5329406930557461</c:v>
                </c:pt>
                <c:pt idx="348">
                  <c:v>9.5603342007944114</c:v>
                </c:pt>
                <c:pt idx="349">
                  <c:v>9.5877277085330768</c:v>
                </c:pt>
                <c:pt idx="350">
                  <c:v>9.6151212162717439</c:v>
                </c:pt>
                <c:pt idx="351">
                  <c:v>9.6425147240104092</c:v>
                </c:pt>
                <c:pt idx="352">
                  <c:v>9.6699082317490745</c:v>
                </c:pt>
                <c:pt idx="353">
                  <c:v>9.6973017394877417</c:v>
                </c:pt>
                <c:pt idx="354">
                  <c:v>9.724695247226407</c:v>
                </c:pt>
                <c:pt idx="355">
                  <c:v>9.7520887549650723</c:v>
                </c:pt>
                <c:pt idx="356">
                  <c:v>9.7794822627037394</c:v>
                </c:pt>
                <c:pt idx="357">
                  <c:v>9.8068757704424048</c:v>
                </c:pt>
                <c:pt idx="358">
                  <c:v>9.8342692781810701</c:v>
                </c:pt>
                <c:pt idx="359">
                  <c:v>9.8616627859197372</c:v>
                </c:pt>
                <c:pt idx="360">
                  <c:v>9.8890562936584026</c:v>
                </c:pt>
                <c:pt idx="361">
                  <c:v>9.9164498013970679</c:v>
                </c:pt>
                <c:pt idx="362">
                  <c:v>9.943843309135735</c:v>
                </c:pt>
                <c:pt idx="363">
                  <c:v>9.9712368168744003</c:v>
                </c:pt>
                <c:pt idx="364">
                  <c:v>9.9986303246130657</c:v>
                </c:pt>
                <c:pt idx="365">
                  <c:v>10.026023832351733</c:v>
                </c:pt>
                <c:pt idx="366">
                  <c:v>10.053417340090398</c:v>
                </c:pt>
                <c:pt idx="367">
                  <c:v>10.080810847829063</c:v>
                </c:pt>
                <c:pt idx="368">
                  <c:v>10.108204355567731</c:v>
                </c:pt>
                <c:pt idx="369">
                  <c:v>10.135597863306396</c:v>
                </c:pt>
                <c:pt idx="370">
                  <c:v>10.162991371045061</c:v>
                </c:pt>
                <c:pt idx="371">
                  <c:v>10.190384878783728</c:v>
                </c:pt>
                <c:pt idx="372">
                  <c:v>10.217778386522394</c:v>
                </c:pt>
                <c:pt idx="373">
                  <c:v>10.245171894261059</c:v>
                </c:pt>
                <c:pt idx="374">
                  <c:v>10.272565401999726</c:v>
                </c:pt>
                <c:pt idx="375">
                  <c:v>10.299958909738391</c:v>
                </c:pt>
                <c:pt idx="376">
                  <c:v>10.327352417477057</c:v>
                </c:pt>
                <c:pt idx="377">
                  <c:v>10.354745925215724</c:v>
                </c:pt>
                <c:pt idx="378">
                  <c:v>10.382139432954389</c:v>
                </c:pt>
                <c:pt idx="379">
                  <c:v>10.409532940693055</c:v>
                </c:pt>
                <c:pt idx="380">
                  <c:v>10.436926448431722</c:v>
                </c:pt>
                <c:pt idx="381">
                  <c:v>10.464319956170387</c:v>
                </c:pt>
                <c:pt idx="382">
                  <c:v>10.491713463909052</c:v>
                </c:pt>
                <c:pt idx="383">
                  <c:v>10.519106971647719</c:v>
                </c:pt>
                <c:pt idx="384">
                  <c:v>10.546500479386385</c:v>
                </c:pt>
                <c:pt idx="385">
                  <c:v>10.573893987125052</c:v>
                </c:pt>
                <c:pt idx="386">
                  <c:v>10.601287494863717</c:v>
                </c:pt>
                <c:pt idx="387">
                  <c:v>10.628681002602383</c:v>
                </c:pt>
                <c:pt idx="388">
                  <c:v>10.65607451034105</c:v>
                </c:pt>
                <c:pt idx="389">
                  <c:v>10.683468018079715</c:v>
                </c:pt>
                <c:pt idx="390">
                  <c:v>10.71086152581838</c:v>
                </c:pt>
                <c:pt idx="391">
                  <c:v>10.738255033557047</c:v>
                </c:pt>
                <c:pt idx="392">
                  <c:v>10.765648541295713</c:v>
                </c:pt>
                <c:pt idx="393">
                  <c:v>10.793042049034378</c:v>
                </c:pt>
                <c:pt idx="394">
                  <c:v>10.820435556773045</c:v>
                </c:pt>
                <c:pt idx="395">
                  <c:v>10.847829064511711</c:v>
                </c:pt>
                <c:pt idx="396">
                  <c:v>10.875222572250376</c:v>
                </c:pt>
                <c:pt idx="397">
                  <c:v>10.902616079989043</c:v>
                </c:pt>
                <c:pt idx="398">
                  <c:v>10.930009587727708</c:v>
                </c:pt>
                <c:pt idx="399">
                  <c:v>10.957403095466374</c:v>
                </c:pt>
                <c:pt idx="400">
                  <c:v>10.984796603205041</c:v>
                </c:pt>
                <c:pt idx="401">
                  <c:v>11.012190110943706</c:v>
                </c:pt>
                <c:pt idx="402">
                  <c:v>11.039583618682371</c:v>
                </c:pt>
                <c:pt idx="403">
                  <c:v>11.066977126421039</c:v>
                </c:pt>
                <c:pt idx="404">
                  <c:v>11.094370634159704</c:v>
                </c:pt>
                <c:pt idx="405">
                  <c:v>11.121764141898369</c:v>
                </c:pt>
                <c:pt idx="406">
                  <c:v>11.149157649637036</c:v>
                </c:pt>
                <c:pt idx="407">
                  <c:v>11.176551157375702</c:v>
                </c:pt>
                <c:pt idx="408">
                  <c:v>11.203944665114367</c:v>
                </c:pt>
                <c:pt idx="409">
                  <c:v>11.231338172853034</c:v>
                </c:pt>
                <c:pt idx="410">
                  <c:v>11.258731680591699</c:v>
                </c:pt>
                <c:pt idx="411">
                  <c:v>11.286125188330365</c:v>
                </c:pt>
                <c:pt idx="412">
                  <c:v>11.313518696069032</c:v>
                </c:pt>
                <c:pt idx="413">
                  <c:v>11.340912203807697</c:v>
                </c:pt>
                <c:pt idx="414">
                  <c:v>11.368305711546363</c:v>
                </c:pt>
                <c:pt idx="415">
                  <c:v>11.39569921928503</c:v>
                </c:pt>
                <c:pt idx="416">
                  <c:v>11.423092727023695</c:v>
                </c:pt>
                <c:pt idx="417">
                  <c:v>11.45048623476236</c:v>
                </c:pt>
                <c:pt idx="418">
                  <c:v>11.477879742501027</c:v>
                </c:pt>
                <c:pt idx="419">
                  <c:v>11.505273250239693</c:v>
                </c:pt>
                <c:pt idx="420">
                  <c:v>11.532666757978358</c:v>
                </c:pt>
                <c:pt idx="421">
                  <c:v>11.560060265717025</c:v>
                </c:pt>
                <c:pt idx="422">
                  <c:v>11.587453773455691</c:v>
                </c:pt>
                <c:pt idx="423">
                  <c:v>11.614847281194356</c:v>
                </c:pt>
                <c:pt idx="424">
                  <c:v>11.642240788933023</c:v>
                </c:pt>
                <c:pt idx="425">
                  <c:v>11.669634296671688</c:v>
                </c:pt>
                <c:pt idx="426">
                  <c:v>11.697027804410354</c:v>
                </c:pt>
                <c:pt idx="427">
                  <c:v>11.724421312149021</c:v>
                </c:pt>
                <c:pt idx="428">
                  <c:v>11.751814819887686</c:v>
                </c:pt>
                <c:pt idx="429">
                  <c:v>11.779208327626352</c:v>
                </c:pt>
                <c:pt idx="430">
                  <c:v>11.806601835365019</c:v>
                </c:pt>
                <c:pt idx="431">
                  <c:v>11.833995343103684</c:v>
                </c:pt>
                <c:pt idx="432">
                  <c:v>11.861388850842349</c:v>
                </c:pt>
                <c:pt idx="433">
                  <c:v>11.888782358581016</c:v>
                </c:pt>
                <c:pt idx="434">
                  <c:v>11.916175866319682</c:v>
                </c:pt>
                <c:pt idx="435">
                  <c:v>11.943569374058347</c:v>
                </c:pt>
                <c:pt idx="436">
                  <c:v>11.970962881797014</c:v>
                </c:pt>
                <c:pt idx="437">
                  <c:v>11.99835638953568</c:v>
                </c:pt>
                <c:pt idx="438">
                  <c:v>12.025749897274345</c:v>
                </c:pt>
                <c:pt idx="439">
                  <c:v>12.053143405013012</c:v>
                </c:pt>
                <c:pt idx="440">
                  <c:v>12.080536912751677</c:v>
                </c:pt>
                <c:pt idx="441">
                  <c:v>12.107930420490343</c:v>
                </c:pt>
                <c:pt idx="442">
                  <c:v>12.13532392822901</c:v>
                </c:pt>
                <c:pt idx="443">
                  <c:v>12.162717435967675</c:v>
                </c:pt>
                <c:pt idx="444">
                  <c:v>12.19011094370634</c:v>
                </c:pt>
                <c:pt idx="445">
                  <c:v>12.217504451445008</c:v>
                </c:pt>
                <c:pt idx="446">
                  <c:v>12.244897959183673</c:v>
                </c:pt>
                <c:pt idx="447">
                  <c:v>12.272291466922338</c:v>
                </c:pt>
                <c:pt idx="448">
                  <c:v>12.299684974661005</c:v>
                </c:pt>
                <c:pt idx="449">
                  <c:v>12.327078482399671</c:v>
                </c:pt>
                <c:pt idx="450">
                  <c:v>12.354471990138336</c:v>
                </c:pt>
                <c:pt idx="451">
                  <c:v>12.381865497877003</c:v>
                </c:pt>
                <c:pt idx="452">
                  <c:v>12.409259005615668</c:v>
                </c:pt>
                <c:pt idx="453">
                  <c:v>12.436652513354334</c:v>
                </c:pt>
                <c:pt idx="454">
                  <c:v>12.464046021093001</c:v>
                </c:pt>
                <c:pt idx="455">
                  <c:v>12.491439528831666</c:v>
                </c:pt>
                <c:pt idx="456">
                  <c:v>12.518833036570333</c:v>
                </c:pt>
                <c:pt idx="457">
                  <c:v>12.546226544308999</c:v>
                </c:pt>
                <c:pt idx="458">
                  <c:v>12.573620052047664</c:v>
                </c:pt>
                <c:pt idx="459">
                  <c:v>12.601013559786331</c:v>
                </c:pt>
                <c:pt idx="460">
                  <c:v>12.628407067524996</c:v>
                </c:pt>
                <c:pt idx="461">
                  <c:v>12.655800575263662</c:v>
                </c:pt>
                <c:pt idx="462">
                  <c:v>12.683194083002329</c:v>
                </c:pt>
                <c:pt idx="463">
                  <c:v>12.710587590740994</c:v>
                </c:pt>
                <c:pt idx="464">
                  <c:v>12.73798109847966</c:v>
                </c:pt>
                <c:pt idx="465">
                  <c:v>12.765374606218327</c:v>
                </c:pt>
                <c:pt idx="466">
                  <c:v>12.792768113956992</c:v>
                </c:pt>
                <c:pt idx="467">
                  <c:v>12.820161621695657</c:v>
                </c:pt>
                <c:pt idx="468">
                  <c:v>12.847555129434324</c:v>
                </c:pt>
                <c:pt idx="469">
                  <c:v>12.87494863717299</c:v>
                </c:pt>
                <c:pt idx="470">
                  <c:v>12.902342144911655</c:v>
                </c:pt>
                <c:pt idx="471">
                  <c:v>12.929735652650322</c:v>
                </c:pt>
                <c:pt idx="472">
                  <c:v>12.957129160388988</c:v>
                </c:pt>
                <c:pt idx="473">
                  <c:v>12.984522668127653</c:v>
                </c:pt>
                <c:pt idx="474">
                  <c:v>13.01191617586632</c:v>
                </c:pt>
                <c:pt idx="475">
                  <c:v>13.039309683604985</c:v>
                </c:pt>
                <c:pt idx="476">
                  <c:v>13.066703191343651</c:v>
                </c:pt>
                <c:pt idx="477">
                  <c:v>13.094096699082318</c:v>
                </c:pt>
                <c:pt idx="478">
                  <c:v>13.121490206820983</c:v>
                </c:pt>
                <c:pt idx="479">
                  <c:v>13.148883714559648</c:v>
                </c:pt>
                <c:pt idx="480">
                  <c:v>13.176277222298316</c:v>
                </c:pt>
                <c:pt idx="481">
                  <c:v>13.203670730036981</c:v>
                </c:pt>
                <c:pt idx="482">
                  <c:v>13.231064237775646</c:v>
                </c:pt>
                <c:pt idx="483">
                  <c:v>13.258457745514313</c:v>
                </c:pt>
                <c:pt idx="484">
                  <c:v>13.285851253252979</c:v>
                </c:pt>
                <c:pt idx="485">
                  <c:v>13.313244760991644</c:v>
                </c:pt>
                <c:pt idx="486">
                  <c:v>13.340638268730311</c:v>
                </c:pt>
                <c:pt idx="487">
                  <c:v>13.368031776468976</c:v>
                </c:pt>
                <c:pt idx="488">
                  <c:v>13.395425284207642</c:v>
                </c:pt>
                <c:pt idx="489">
                  <c:v>13.422818791946309</c:v>
                </c:pt>
                <c:pt idx="490">
                  <c:v>13.450212299684974</c:v>
                </c:pt>
                <c:pt idx="491">
                  <c:v>13.47760580742364</c:v>
                </c:pt>
                <c:pt idx="492">
                  <c:v>13.504999315162307</c:v>
                </c:pt>
                <c:pt idx="493">
                  <c:v>13.532392822900972</c:v>
                </c:pt>
                <c:pt idx="494">
                  <c:v>13.559786330639637</c:v>
                </c:pt>
                <c:pt idx="495">
                  <c:v>13.587179838378304</c:v>
                </c:pt>
                <c:pt idx="496">
                  <c:v>13.61457334611697</c:v>
                </c:pt>
                <c:pt idx="497">
                  <c:v>13.641966853855635</c:v>
                </c:pt>
                <c:pt idx="498">
                  <c:v>13.669360361594302</c:v>
                </c:pt>
                <c:pt idx="499">
                  <c:v>13.696753869332968</c:v>
                </c:pt>
                <c:pt idx="500">
                  <c:v>13.724147377071633</c:v>
                </c:pt>
                <c:pt idx="501">
                  <c:v>13.7515408848103</c:v>
                </c:pt>
                <c:pt idx="502">
                  <c:v>13.778934392548965</c:v>
                </c:pt>
                <c:pt idx="503">
                  <c:v>13.806327900287631</c:v>
                </c:pt>
                <c:pt idx="504">
                  <c:v>13.833721408026298</c:v>
                </c:pt>
                <c:pt idx="505">
                  <c:v>13.861114915764963</c:v>
                </c:pt>
                <c:pt idx="506">
                  <c:v>13.888508423503628</c:v>
                </c:pt>
                <c:pt idx="507">
                  <c:v>13.915901931242296</c:v>
                </c:pt>
                <c:pt idx="508">
                  <c:v>13.943295438980961</c:v>
                </c:pt>
                <c:pt idx="509">
                  <c:v>13.970688946719626</c:v>
                </c:pt>
                <c:pt idx="510">
                  <c:v>13.998082454458293</c:v>
                </c:pt>
                <c:pt idx="511">
                  <c:v>14.025475962196959</c:v>
                </c:pt>
                <c:pt idx="512">
                  <c:v>14.052869469935624</c:v>
                </c:pt>
                <c:pt idx="513">
                  <c:v>14.080262977674291</c:v>
                </c:pt>
                <c:pt idx="514">
                  <c:v>14.107656485412956</c:v>
                </c:pt>
                <c:pt idx="515">
                  <c:v>14.135049993151622</c:v>
                </c:pt>
                <c:pt idx="516">
                  <c:v>14.162443500890289</c:v>
                </c:pt>
                <c:pt idx="517">
                  <c:v>14.189837008628954</c:v>
                </c:pt>
                <c:pt idx="518">
                  <c:v>14.21723051636762</c:v>
                </c:pt>
                <c:pt idx="519">
                  <c:v>14.244624024106287</c:v>
                </c:pt>
                <c:pt idx="520">
                  <c:v>14.272017531844952</c:v>
                </c:pt>
                <c:pt idx="521">
                  <c:v>14.299411039583617</c:v>
                </c:pt>
                <c:pt idx="522">
                  <c:v>14.326804547322284</c:v>
                </c:pt>
                <c:pt idx="523">
                  <c:v>14.35419805506095</c:v>
                </c:pt>
                <c:pt idx="524">
                  <c:v>14.381591562799617</c:v>
                </c:pt>
                <c:pt idx="525">
                  <c:v>14.408985070538282</c:v>
                </c:pt>
                <c:pt idx="526">
                  <c:v>14.436378578276948</c:v>
                </c:pt>
                <c:pt idx="527">
                  <c:v>14.463772086015615</c:v>
                </c:pt>
                <c:pt idx="528">
                  <c:v>14.49116559375428</c:v>
                </c:pt>
                <c:pt idx="529">
                  <c:v>14.518559101492945</c:v>
                </c:pt>
                <c:pt idx="530">
                  <c:v>14.545952609231612</c:v>
                </c:pt>
                <c:pt idx="531">
                  <c:v>14.573346116970278</c:v>
                </c:pt>
                <c:pt idx="532">
                  <c:v>14.600739624708943</c:v>
                </c:pt>
                <c:pt idx="533">
                  <c:v>14.62813313244761</c:v>
                </c:pt>
                <c:pt idx="534">
                  <c:v>14.655526640186276</c:v>
                </c:pt>
                <c:pt idx="535">
                  <c:v>14.682920147924941</c:v>
                </c:pt>
                <c:pt idx="536">
                  <c:v>14.710313655663608</c:v>
                </c:pt>
                <c:pt idx="537">
                  <c:v>14.737707163402273</c:v>
                </c:pt>
                <c:pt idx="538">
                  <c:v>14.765100671140939</c:v>
                </c:pt>
                <c:pt idx="539">
                  <c:v>14.792494178879606</c:v>
                </c:pt>
                <c:pt idx="540">
                  <c:v>14.819887686618271</c:v>
                </c:pt>
                <c:pt idx="541">
                  <c:v>14.847281194356936</c:v>
                </c:pt>
                <c:pt idx="542">
                  <c:v>14.874674702095604</c:v>
                </c:pt>
                <c:pt idx="543">
                  <c:v>14.902068209834269</c:v>
                </c:pt>
                <c:pt idx="544">
                  <c:v>14.929461717572934</c:v>
                </c:pt>
                <c:pt idx="545">
                  <c:v>14.956855225311601</c:v>
                </c:pt>
                <c:pt idx="546">
                  <c:v>14.984248733050267</c:v>
                </c:pt>
                <c:pt idx="547">
                  <c:v>15.011642240788932</c:v>
                </c:pt>
                <c:pt idx="548">
                  <c:v>15.039035748527599</c:v>
                </c:pt>
                <c:pt idx="549">
                  <c:v>15.066429256266265</c:v>
                </c:pt>
                <c:pt idx="550">
                  <c:v>15.09382276400493</c:v>
                </c:pt>
                <c:pt idx="551">
                  <c:v>15.121216271743597</c:v>
                </c:pt>
                <c:pt idx="552">
                  <c:v>15.148609779482262</c:v>
                </c:pt>
                <c:pt idx="553">
                  <c:v>15.176003287220928</c:v>
                </c:pt>
                <c:pt idx="554">
                  <c:v>15.203396794959595</c:v>
                </c:pt>
                <c:pt idx="555">
                  <c:v>15.23079030269826</c:v>
                </c:pt>
                <c:pt idx="556">
                  <c:v>15.258183810436925</c:v>
                </c:pt>
                <c:pt idx="557">
                  <c:v>15.285577318175593</c:v>
                </c:pt>
                <c:pt idx="558">
                  <c:v>15.312970825914258</c:v>
                </c:pt>
                <c:pt idx="559">
                  <c:v>15.340364333652923</c:v>
                </c:pt>
                <c:pt idx="560">
                  <c:v>15.36775784139159</c:v>
                </c:pt>
                <c:pt idx="561">
                  <c:v>15.395151349130256</c:v>
                </c:pt>
                <c:pt idx="562">
                  <c:v>15.422544856868921</c:v>
                </c:pt>
                <c:pt idx="563">
                  <c:v>15.449938364607588</c:v>
                </c:pt>
                <c:pt idx="564">
                  <c:v>15.477331872346253</c:v>
                </c:pt>
                <c:pt idx="565">
                  <c:v>15.504725380084919</c:v>
                </c:pt>
                <c:pt idx="566">
                  <c:v>15.532118887823586</c:v>
                </c:pt>
                <c:pt idx="567">
                  <c:v>15.559512395562251</c:v>
                </c:pt>
                <c:pt idx="568">
                  <c:v>15.586905903300917</c:v>
                </c:pt>
                <c:pt idx="569">
                  <c:v>15.614299411039584</c:v>
                </c:pt>
                <c:pt idx="570">
                  <c:v>15.641692918778249</c:v>
                </c:pt>
                <c:pt idx="571">
                  <c:v>15.669086426516914</c:v>
                </c:pt>
                <c:pt idx="572">
                  <c:v>15.696479934255581</c:v>
                </c:pt>
                <c:pt idx="573">
                  <c:v>15.723873441994247</c:v>
                </c:pt>
                <c:pt idx="574">
                  <c:v>15.751266949732912</c:v>
                </c:pt>
                <c:pt idx="575">
                  <c:v>15.778660457471579</c:v>
                </c:pt>
                <c:pt idx="576">
                  <c:v>15.806053965210245</c:v>
                </c:pt>
                <c:pt idx="577">
                  <c:v>15.83344747294891</c:v>
                </c:pt>
                <c:pt idx="578">
                  <c:v>15.860840980687577</c:v>
                </c:pt>
                <c:pt idx="579">
                  <c:v>15.888234488426242</c:v>
                </c:pt>
                <c:pt idx="580">
                  <c:v>15.915627996164908</c:v>
                </c:pt>
                <c:pt idx="581">
                  <c:v>15.943021503903575</c:v>
                </c:pt>
                <c:pt idx="582">
                  <c:v>15.97041501164224</c:v>
                </c:pt>
                <c:pt idx="583">
                  <c:v>15.997808519380905</c:v>
                </c:pt>
                <c:pt idx="584">
                  <c:v>16.025202027119573</c:v>
                </c:pt>
                <c:pt idx="585">
                  <c:v>16.052595534858238</c:v>
                </c:pt>
                <c:pt idx="586">
                  <c:v>16.079989042596903</c:v>
                </c:pt>
                <c:pt idx="587">
                  <c:v>16.107382550335569</c:v>
                </c:pt>
                <c:pt idx="588">
                  <c:v>16.134776058074237</c:v>
                </c:pt>
                <c:pt idx="589">
                  <c:v>16.162169565812903</c:v>
                </c:pt>
                <c:pt idx="590">
                  <c:v>16.189563073551568</c:v>
                </c:pt>
                <c:pt idx="591">
                  <c:v>16.216956581290233</c:v>
                </c:pt>
                <c:pt idx="592">
                  <c:v>16.244350089028899</c:v>
                </c:pt>
                <c:pt idx="593">
                  <c:v>16.271743596767564</c:v>
                </c:pt>
                <c:pt idx="594">
                  <c:v>16.299137104506233</c:v>
                </c:pt>
                <c:pt idx="595">
                  <c:v>16.326530612244898</c:v>
                </c:pt>
                <c:pt idx="596">
                  <c:v>16.353924119983564</c:v>
                </c:pt>
                <c:pt idx="597">
                  <c:v>16.381317627722229</c:v>
                </c:pt>
                <c:pt idx="598">
                  <c:v>16.408711135460894</c:v>
                </c:pt>
                <c:pt idx="599">
                  <c:v>16.43610464319956</c:v>
                </c:pt>
                <c:pt idx="600">
                  <c:v>16.463498150938229</c:v>
                </c:pt>
                <c:pt idx="601">
                  <c:v>16.490891658676894</c:v>
                </c:pt>
                <c:pt idx="602">
                  <c:v>16.518285166415559</c:v>
                </c:pt>
                <c:pt idx="603">
                  <c:v>16.545678674154225</c:v>
                </c:pt>
                <c:pt idx="604">
                  <c:v>16.57307218189289</c:v>
                </c:pt>
                <c:pt idx="605">
                  <c:v>16.600465689631555</c:v>
                </c:pt>
                <c:pt idx="606">
                  <c:v>16.627859197370224</c:v>
                </c:pt>
                <c:pt idx="607">
                  <c:v>16.655252705108889</c:v>
                </c:pt>
                <c:pt idx="608">
                  <c:v>16.682646212847555</c:v>
                </c:pt>
                <c:pt idx="609">
                  <c:v>16.71003972058622</c:v>
                </c:pt>
                <c:pt idx="610">
                  <c:v>16.737433228324885</c:v>
                </c:pt>
                <c:pt idx="611">
                  <c:v>16.764826736063551</c:v>
                </c:pt>
                <c:pt idx="612">
                  <c:v>16.79222024380222</c:v>
                </c:pt>
                <c:pt idx="613">
                  <c:v>16.819613751540885</c:v>
                </c:pt>
                <c:pt idx="614">
                  <c:v>16.84700725927955</c:v>
                </c:pt>
                <c:pt idx="615">
                  <c:v>16.874400767018216</c:v>
                </c:pt>
                <c:pt idx="616">
                  <c:v>16.901794274756881</c:v>
                </c:pt>
                <c:pt idx="617">
                  <c:v>16.929187782495546</c:v>
                </c:pt>
                <c:pt idx="618">
                  <c:v>16.956581290234215</c:v>
                </c:pt>
                <c:pt idx="619">
                  <c:v>16.983974797972881</c:v>
                </c:pt>
                <c:pt idx="620">
                  <c:v>17.011368305711546</c:v>
                </c:pt>
                <c:pt idx="621">
                  <c:v>17.038761813450211</c:v>
                </c:pt>
                <c:pt idx="622">
                  <c:v>17.066155321188877</c:v>
                </c:pt>
                <c:pt idx="623">
                  <c:v>17.093548828927542</c:v>
                </c:pt>
                <c:pt idx="624">
                  <c:v>17.120942336666211</c:v>
                </c:pt>
                <c:pt idx="625">
                  <c:v>17.148335844404876</c:v>
                </c:pt>
                <c:pt idx="626">
                  <c:v>17.175729352143541</c:v>
                </c:pt>
                <c:pt idx="627">
                  <c:v>17.203122859882207</c:v>
                </c:pt>
                <c:pt idx="628">
                  <c:v>17.230516367620872</c:v>
                </c:pt>
                <c:pt idx="629">
                  <c:v>17.257909875359541</c:v>
                </c:pt>
                <c:pt idx="630">
                  <c:v>17.285303383098206</c:v>
                </c:pt>
                <c:pt idx="631">
                  <c:v>17.312696890836872</c:v>
                </c:pt>
                <c:pt idx="632">
                  <c:v>17.340090398575537</c:v>
                </c:pt>
                <c:pt idx="633">
                  <c:v>17.367483906314202</c:v>
                </c:pt>
                <c:pt idx="634">
                  <c:v>17.394877414052868</c:v>
                </c:pt>
                <c:pt idx="635">
                  <c:v>17.422270921791537</c:v>
                </c:pt>
                <c:pt idx="636">
                  <c:v>17.449664429530202</c:v>
                </c:pt>
                <c:pt idx="637">
                  <c:v>17.477057937268867</c:v>
                </c:pt>
                <c:pt idx="638">
                  <c:v>17.504451445007533</c:v>
                </c:pt>
                <c:pt idx="639">
                  <c:v>17.531844952746198</c:v>
                </c:pt>
                <c:pt idx="640">
                  <c:v>17.559238460484863</c:v>
                </c:pt>
                <c:pt idx="641">
                  <c:v>17.586631968223532</c:v>
                </c:pt>
                <c:pt idx="642">
                  <c:v>17.614025475962197</c:v>
                </c:pt>
                <c:pt idx="643">
                  <c:v>17.641418983700863</c:v>
                </c:pt>
                <c:pt idx="644">
                  <c:v>17.668812491439528</c:v>
                </c:pt>
                <c:pt idx="645">
                  <c:v>17.696205999178193</c:v>
                </c:pt>
                <c:pt idx="646">
                  <c:v>17.723599506916859</c:v>
                </c:pt>
                <c:pt idx="647">
                  <c:v>17.750993014655528</c:v>
                </c:pt>
                <c:pt idx="648">
                  <c:v>17.778386522394193</c:v>
                </c:pt>
                <c:pt idx="649">
                  <c:v>17.805780030132858</c:v>
                </c:pt>
                <c:pt idx="650">
                  <c:v>17.833173537871524</c:v>
                </c:pt>
                <c:pt idx="651">
                  <c:v>17.860567045610189</c:v>
                </c:pt>
                <c:pt idx="652">
                  <c:v>17.887960553348854</c:v>
                </c:pt>
                <c:pt idx="653">
                  <c:v>17.915354061087523</c:v>
                </c:pt>
                <c:pt idx="654">
                  <c:v>17.942747568826189</c:v>
                </c:pt>
                <c:pt idx="655">
                  <c:v>17.970141076564854</c:v>
                </c:pt>
                <c:pt idx="656">
                  <c:v>17.997534584303519</c:v>
                </c:pt>
                <c:pt idx="657">
                  <c:v>18.024928092042185</c:v>
                </c:pt>
                <c:pt idx="658">
                  <c:v>18.05232159978085</c:v>
                </c:pt>
                <c:pt idx="659">
                  <c:v>18.079715107519519</c:v>
                </c:pt>
                <c:pt idx="660">
                  <c:v>18.107108615258184</c:v>
                </c:pt>
                <c:pt idx="661">
                  <c:v>18.134502122996849</c:v>
                </c:pt>
                <c:pt idx="662">
                  <c:v>18.161895630735515</c:v>
                </c:pt>
                <c:pt idx="663">
                  <c:v>18.18928913847418</c:v>
                </c:pt>
                <c:pt idx="664">
                  <c:v>18.216682646212845</c:v>
                </c:pt>
                <c:pt idx="665">
                  <c:v>18.244076153951514</c:v>
                </c:pt>
                <c:pt idx="666">
                  <c:v>18.27146966169018</c:v>
                </c:pt>
                <c:pt idx="667">
                  <c:v>18.298863169428845</c:v>
                </c:pt>
                <c:pt idx="668">
                  <c:v>18.32625667716751</c:v>
                </c:pt>
                <c:pt idx="669">
                  <c:v>18.353650184906176</c:v>
                </c:pt>
                <c:pt idx="670">
                  <c:v>18.381043692644841</c:v>
                </c:pt>
                <c:pt idx="671">
                  <c:v>18.40843720038351</c:v>
                </c:pt>
                <c:pt idx="672">
                  <c:v>18.435830708122175</c:v>
                </c:pt>
                <c:pt idx="673">
                  <c:v>18.463224215860841</c:v>
                </c:pt>
                <c:pt idx="674">
                  <c:v>18.490617723599506</c:v>
                </c:pt>
                <c:pt idx="675">
                  <c:v>18.518011231338171</c:v>
                </c:pt>
                <c:pt idx="676">
                  <c:v>18.545404739076837</c:v>
                </c:pt>
                <c:pt idx="677">
                  <c:v>18.572798246815506</c:v>
                </c:pt>
                <c:pt idx="678">
                  <c:v>18.600191754554171</c:v>
                </c:pt>
                <c:pt idx="679">
                  <c:v>18.627585262292836</c:v>
                </c:pt>
                <c:pt idx="680">
                  <c:v>18.654978770031502</c:v>
                </c:pt>
                <c:pt idx="681">
                  <c:v>18.682372277770167</c:v>
                </c:pt>
                <c:pt idx="682">
                  <c:v>18.709765785508832</c:v>
                </c:pt>
                <c:pt idx="683">
                  <c:v>18.737159293247501</c:v>
                </c:pt>
                <c:pt idx="684">
                  <c:v>18.764552800986166</c:v>
                </c:pt>
                <c:pt idx="685">
                  <c:v>18.791946308724832</c:v>
                </c:pt>
                <c:pt idx="686">
                  <c:v>18.819339816463497</c:v>
                </c:pt>
                <c:pt idx="687">
                  <c:v>18.846733324202162</c:v>
                </c:pt>
                <c:pt idx="688">
                  <c:v>18.874126831940828</c:v>
                </c:pt>
                <c:pt idx="689">
                  <c:v>18.901520339679497</c:v>
                </c:pt>
                <c:pt idx="690">
                  <c:v>18.928913847418162</c:v>
                </c:pt>
                <c:pt idx="691">
                  <c:v>18.956307355156827</c:v>
                </c:pt>
                <c:pt idx="692">
                  <c:v>18.983700862895493</c:v>
                </c:pt>
                <c:pt idx="693">
                  <c:v>19.011094370634158</c:v>
                </c:pt>
                <c:pt idx="694">
                  <c:v>19.038487878372823</c:v>
                </c:pt>
                <c:pt idx="695">
                  <c:v>19.065881386111492</c:v>
                </c:pt>
                <c:pt idx="696">
                  <c:v>19.093274893850158</c:v>
                </c:pt>
                <c:pt idx="697">
                  <c:v>19.120668401588823</c:v>
                </c:pt>
                <c:pt idx="698">
                  <c:v>19.148061909327488</c:v>
                </c:pt>
                <c:pt idx="699">
                  <c:v>19.175455417066154</c:v>
                </c:pt>
                <c:pt idx="700">
                  <c:v>19.202848924804822</c:v>
                </c:pt>
                <c:pt idx="701">
                  <c:v>19.230242432543488</c:v>
                </c:pt>
                <c:pt idx="702">
                  <c:v>19.257635940282153</c:v>
                </c:pt>
                <c:pt idx="703">
                  <c:v>19.285029448020818</c:v>
                </c:pt>
                <c:pt idx="704">
                  <c:v>19.312422955759484</c:v>
                </c:pt>
                <c:pt idx="705">
                  <c:v>19.339816463498149</c:v>
                </c:pt>
                <c:pt idx="706">
                  <c:v>19.367209971236818</c:v>
                </c:pt>
                <c:pt idx="707">
                  <c:v>19.394603478975483</c:v>
                </c:pt>
                <c:pt idx="708">
                  <c:v>19.421996986714149</c:v>
                </c:pt>
                <c:pt idx="709">
                  <c:v>19.449390494452814</c:v>
                </c:pt>
                <c:pt idx="710">
                  <c:v>19.476784002191479</c:v>
                </c:pt>
                <c:pt idx="711">
                  <c:v>19.504177509930145</c:v>
                </c:pt>
                <c:pt idx="712">
                  <c:v>19.531571017668814</c:v>
                </c:pt>
                <c:pt idx="713">
                  <c:v>19.558964525407479</c:v>
                </c:pt>
                <c:pt idx="714">
                  <c:v>19.586358033146144</c:v>
                </c:pt>
                <c:pt idx="715">
                  <c:v>19.61375154088481</c:v>
                </c:pt>
                <c:pt idx="716">
                  <c:v>19.641145048623475</c:v>
                </c:pt>
                <c:pt idx="717">
                  <c:v>19.66853855636214</c:v>
                </c:pt>
                <c:pt idx="718">
                  <c:v>19.695932064100809</c:v>
                </c:pt>
                <c:pt idx="719">
                  <c:v>19.723325571839474</c:v>
                </c:pt>
                <c:pt idx="720">
                  <c:v>19.75071907957814</c:v>
                </c:pt>
                <c:pt idx="721">
                  <c:v>19.778112587316805</c:v>
                </c:pt>
                <c:pt idx="722">
                  <c:v>19.80550609505547</c:v>
                </c:pt>
                <c:pt idx="723">
                  <c:v>19.832899602794136</c:v>
                </c:pt>
                <c:pt idx="724">
                  <c:v>19.860293110532805</c:v>
                </c:pt>
                <c:pt idx="725">
                  <c:v>19.88768661827147</c:v>
                </c:pt>
                <c:pt idx="726">
                  <c:v>19.915080126010135</c:v>
                </c:pt>
                <c:pt idx="727">
                  <c:v>19.942473633748801</c:v>
                </c:pt>
                <c:pt idx="728">
                  <c:v>19.969867141487466</c:v>
                </c:pt>
                <c:pt idx="729">
                  <c:v>19.997260649226131</c:v>
                </c:pt>
                <c:pt idx="730">
                  <c:v>20.0246541569648</c:v>
                </c:pt>
                <c:pt idx="731">
                  <c:v>20.052047664703466</c:v>
                </c:pt>
                <c:pt idx="732">
                  <c:v>20.079441172442131</c:v>
                </c:pt>
                <c:pt idx="733">
                  <c:v>20.106834680180796</c:v>
                </c:pt>
                <c:pt idx="734">
                  <c:v>20.134228187919462</c:v>
                </c:pt>
                <c:pt idx="735">
                  <c:v>20.161621695658127</c:v>
                </c:pt>
                <c:pt idx="736">
                  <c:v>20.189015203396796</c:v>
                </c:pt>
                <c:pt idx="737">
                  <c:v>20.216408711135461</c:v>
                </c:pt>
                <c:pt idx="738">
                  <c:v>20.243802218874126</c:v>
                </c:pt>
                <c:pt idx="739">
                  <c:v>20.271195726612792</c:v>
                </c:pt>
                <c:pt idx="740">
                  <c:v>20.298589234351457</c:v>
                </c:pt>
                <c:pt idx="741">
                  <c:v>20.325982742090122</c:v>
                </c:pt>
                <c:pt idx="742">
                  <c:v>20.353376249828791</c:v>
                </c:pt>
                <c:pt idx="743">
                  <c:v>20.380769757567457</c:v>
                </c:pt>
                <c:pt idx="744">
                  <c:v>20.408163265306122</c:v>
                </c:pt>
                <c:pt idx="745">
                  <c:v>20.435556773044787</c:v>
                </c:pt>
                <c:pt idx="746">
                  <c:v>20.462950280783453</c:v>
                </c:pt>
                <c:pt idx="747">
                  <c:v>20.490343788522118</c:v>
                </c:pt>
                <c:pt idx="748">
                  <c:v>20.517737296260787</c:v>
                </c:pt>
                <c:pt idx="749">
                  <c:v>20.545130803999452</c:v>
                </c:pt>
                <c:pt idx="750">
                  <c:v>20.572524311738118</c:v>
                </c:pt>
                <c:pt idx="751">
                  <c:v>20.599917819476783</c:v>
                </c:pt>
                <c:pt idx="752">
                  <c:v>20.627311327215448</c:v>
                </c:pt>
                <c:pt idx="753">
                  <c:v>20.654704834954114</c:v>
                </c:pt>
                <c:pt idx="754">
                  <c:v>20.682098342692782</c:v>
                </c:pt>
                <c:pt idx="755">
                  <c:v>20.709491850431448</c:v>
                </c:pt>
                <c:pt idx="756">
                  <c:v>20.736885358170113</c:v>
                </c:pt>
                <c:pt idx="757">
                  <c:v>20.764278865908778</c:v>
                </c:pt>
                <c:pt idx="758">
                  <c:v>20.791672373647444</c:v>
                </c:pt>
                <c:pt idx="759">
                  <c:v>20.819065881386109</c:v>
                </c:pt>
                <c:pt idx="760">
                  <c:v>20.846459389124778</c:v>
                </c:pt>
                <c:pt idx="761">
                  <c:v>20.873852896863443</c:v>
                </c:pt>
                <c:pt idx="762">
                  <c:v>20.901246404602109</c:v>
                </c:pt>
                <c:pt idx="763">
                  <c:v>20.928639912340774</c:v>
                </c:pt>
                <c:pt idx="764">
                  <c:v>20.956033420079439</c:v>
                </c:pt>
                <c:pt idx="765">
                  <c:v>20.983426927818105</c:v>
                </c:pt>
                <c:pt idx="766">
                  <c:v>21.010820435556774</c:v>
                </c:pt>
                <c:pt idx="767">
                  <c:v>21.038213943295439</c:v>
                </c:pt>
                <c:pt idx="768">
                  <c:v>21.065607451034104</c:v>
                </c:pt>
                <c:pt idx="769">
                  <c:v>21.09300095877277</c:v>
                </c:pt>
                <c:pt idx="770">
                  <c:v>21.120394466511435</c:v>
                </c:pt>
                <c:pt idx="771">
                  <c:v>21.147787974250104</c:v>
                </c:pt>
                <c:pt idx="772">
                  <c:v>21.175181481988769</c:v>
                </c:pt>
                <c:pt idx="773">
                  <c:v>21.202574989727434</c:v>
                </c:pt>
                <c:pt idx="774">
                  <c:v>21.2299684974661</c:v>
                </c:pt>
                <c:pt idx="775">
                  <c:v>21.257362005204765</c:v>
                </c:pt>
                <c:pt idx="776">
                  <c:v>21.28475551294343</c:v>
                </c:pt>
                <c:pt idx="777">
                  <c:v>21.312149020682099</c:v>
                </c:pt>
                <c:pt idx="778">
                  <c:v>21.339542528420765</c:v>
                </c:pt>
                <c:pt idx="779">
                  <c:v>21.36693603615943</c:v>
                </c:pt>
                <c:pt idx="780">
                  <c:v>21.394329543898095</c:v>
                </c:pt>
                <c:pt idx="781">
                  <c:v>21.421723051636761</c:v>
                </c:pt>
                <c:pt idx="782">
                  <c:v>21.449116559375426</c:v>
                </c:pt>
                <c:pt idx="783">
                  <c:v>21.476510067114095</c:v>
                </c:pt>
                <c:pt idx="784">
                  <c:v>21.50390357485276</c:v>
                </c:pt>
                <c:pt idx="785">
                  <c:v>21.531297082591426</c:v>
                </c:pt>
                <c:pt idx="786">
                  <c:v>21.558690590330091</c:v>
                </c:pt>
                <c:pt idx="787">
                  <c:v>21.586084098068756</c:v>
                </c:pt>
                <c:pt idx="788">
                  <c:v>21.613477605807422</c:v>
                </c:pt>
                <c:pt idx="789">
                  <c:v>21.64087111354609</c:v>
                </c:pt>
                <c:pt idx="790">
                  <c:v>21.668264621284756</c:v>
                </c:pt>
                <c:pt idx="791">
                  <c:v>21.695658129023421</c:v>
                </c:pt>
                <c:pt idx="792">
                  <c:v>21.723051636762087</c:v>
                </c:pt>
                <c:pt idx="793">
                  <c:v>21.750445144500752</c:v>
                </c:pt>
                <c:pt idx="794">
                  <c:v>21.777838652239417</c:v>
                </c:pt>
                <c:pt idx="795">
                  <c:v>21.805232159978086</c:v>
                </c:pt>
                <c:pt idx="796">
                  <c:v>21.832625667716751</c:v>
                </c:pt>
                <c:pt idx="797">
                  <c:v>21.860019175455417</c:v>
                </c:pt>
                <c:pt idx="798">
                  <c:v>21.887412683194082</c:v>
                </c:pt>
                <c:pt idx="799">
                  <c:v>21.914806190932747</c:v>
                </c:pt>
                <c:pt idx="800">
                  <c:v>21.942199698671413</c:v>
                </c:pt>
                <c:pt idx="801">
                  <c:v>21.969593206410082</c:v>
                </c:pt>
                <c:pt idx="802">
                  <c:v>21.996986714148747</c:v>
                </c:pt>
                <c:pt idx="803">
                  <c:v>22.024380221887412</c:v>
                </c:pt>
                <c:pt idx="804">
                  <c:v>22.051773729626078</c:v>
                </c:pt>
                <c:pt idx="805">
                  <c:v>22.079167237364743</c:v>
                </c:pt>
                <c:pt idx="806">
                  <c:v>22.106560745103408</c:v>
                </c:pt>
                <c:pt idx="807">
                  <c:v>22.133954252842077</c:v>
                </c:pt>
                <c:pt idx="808">
                  <c:v>22.161347760580743</c:v>
                </c:pt>
                <c:pt idx="809">
                  <c:v>22.188741268319408</c:v>
                </c:pt>
                <c:pt idx="810">
                  <c:v>22.216134776058073</c:v>
                </c:pt>
                <c:pt idx="811">
                  <c:v>22.243528283796739</c:v>
                </c:pt>
                <c:pt idx="812">
                  <c:v>22.270921791535404</c:v>
                </c:pt>
                <c:pt idx="813">
                  <c:v>22.298315299274073</c:v>
                </c:pt>
                <c:pt idx="814">
                  <c:v>22.325708807012738</c:v>
                </c:pt>
                <c:pt idx="815">
                  <c:v>22.353102314751403</c:v>
                </c:pt>
                <c:pt idx="816">
                  <c:v>22.380495822490069</c:v>
                </c:pt>
                <c:pt idx="817">
                  <c:v>22.407889330228734</c:v>
                </c:pt>
                <c:pt idx="818">
                  <c:v>22.435282837967399</c:v>
                </c:pt>
                <c:pt idx="819">
                  <c:v>22.462676345706068</c:v>
                </c:pt>
                <c:pt idx="820">
                  <c:v>22.490069853444734</c:v>
                </c:pt>
                <c:pt idx="821">
                  <c:v>22.517463361183399</c:v>
                </c:pt>
                <c:pt idx="822">
                  <c:v>22.544856868922064</c:v>
                </c:pt>
                <c:pt idx="823">
                  <c:v>22.57225037666073</c:v>
                </c:pt>
                <c:pt idx="824">
                  <c:v>22.599643884399395</c:v>
                </c:pt>
                <c:pt idx="825">
                  <c:v>22.627037392138064</c:v>
                </c:pt>
                <c:pt idx="826">
                  <c:v>22.654430899876729</c:v>
                </c:pt>
                <c:pt idx="827">
                  <c:v>22.681824407615395</c:v>
                </c:pt>
                <c:pt idx="828">
                  <c:v>22.70921791535406</c:v>
                </c:pt>
                <c:pt idx="829">
                  <c:v>22.736611423092725</c:v>
                </c:pt>
                <c:pt idx="830">
                  <c:v>22.764004930831391</c:v>
                </c:pt>
                <c:pt idx="831">
                  <c:v>22.791398438570059</c:v>
                </c:pt>
                <c:pt idx="832">
                  <c:v>22.818791946308725</c:v>
                </c:pt>
                <c:pt idx="833">
                  <c:v>22.84618545404739</c:v>
                </c:pt>
                <c:pt idx="834">
                  <c:v>22.873578961786055</c:v>
                </c:pt>
                <c:pt idx="835">
                  <c:v>22.900972469524721</c:v>
                </c:pt>
                <c:pt idx="836">
                  <c:v>22.928365977263386</c:v>
                </c:pt>
                <c:pt idx="837">
                  <c:v>22.955759485002055</c:v>
                </c:pt>
                <c:pt idx="838">
                  <c:v>22.98315299274072</c:v>
                </c:pt>
                <c:pt idx="839">
                  <c:v>23.010546500479386</c:v>
                </c:pt>
                <c:pt idx="840">
                  <c:v>23.037940008218051</c:v>
                </c:pt>
                <c:pt idx="841">
                  <c:v>23.065333515956716</c:v>
                </c:pt>
                <c:pt idx="842">
                  <c:v>23.092727023695385</c:v>
                </c:pt>
                <c:pt idx="843">
                  <c:v>23.120120531434051</c:v>
                </c:pt>
                <c:pt idx="844">
                  <c:v>23.147514039172716</c:v>
                </c:pt>
                <c:pt idx="845">
                  <c:v>23.174907546911381</c:v>
                </c:pt>
                <c:pt idx="846">
                  <c:v>23.202301054650047</c:v>
                </c:pt>
                <c:pt idx="847">
                  <c:v>23.229694562388712</c:v>
                </c:pt>
                <c:pt idx="848">
                  <c:v>23.257088070127381</c:v>
                </c:pt>
                <c:pt idx="849">
                  <c:v>23.284481577866046</c:v>
                </c:pt>
                <c:pt idx="850">
                  <c:v>23.311875085604711</c:v>
                </c:pt>
                <c:pt idx="851">
                  <c:v>23.339268593343377</c:v>
                </c:pt>
                <c:pt idx="852">
                  <c:v>23.366662101082042</c:v>
                </c:pt>
                <c:pt idx="853">
                  <c:v>23.394055608820707</c:v>
                </c:pt>
                <c:pt idx="854">
                  <c:v>23.421449116559376</c:v>
                </c:pt>
                <c:pt idx="855">
                  <c:v>23.448842624298042</c:v>
                </c:pt>
                <c:pt idx="856">
                  <c:v>23.476236132036707</c:v>
                </c:pt>
                <c:pt idx="857">
                  <c:v>23.503629639775372</c:v>
                </c:pt>
                <c:pt idx="858">
                  <c:v>23.531023147514038</c:v>
                </c:pt>
                <c:pt idx="859">
                  <c:v>23.558416655252703</c:v>
                </c:pt>
                <c:pt idx="860">
                  <c:v>23.585810162991372</c:v>
                </c:pt>
                <c:pt idx="861">
                  <c:v>23.613203670730037</c:v>
                </c:pt>
                <c:pt idx="862">
                  <c:v>23.640597178468703</c:v>
                </c:pt>
                <c:pt idx="863">
                  <c:v>23.667990686207368</c:v>
                </c:pt>
                <c:pt idx="864">
                  <c:v>23.695384193946033</c:v>
                </c:pt>
                <c:pt idx="865">
                  <c:v>23.722777701684699</c:v>
                </c:pt>
                <c:pt idx="866">
                  <c:v>23.750171209423367</c:v>
                </c:pt>
                <c:pt idx="867">
                  <c:v>23.777564717162033</c:v>
                </c:pt>
                <c:pt idx="868">
                  <c:v>23.804958224900698</c:v>
                </c:pt>
                <c:pt idx="869">
                  <c:v>23.832351732639363</c:v>
                </c:pt>
                <c:pt idx="870">
                  <c:v>23.859745240378029</c:v>
                </c:pt>
                <c:pt idx="871">
                  <c:v>23.887138748116694</c:v>
                </c:pt>
                <c:pt idx="872">
                  <c:v>23.914532255855363</c:v>
                </c:pt>
                <c:pt idx="873">
                  <c:v>23.941925763594028</c:v>
                </c:pt>
                <c:pt idx="874">
                  <c:v>23.969319271332694</c:v>
                </c:pt>
                <c:pt idx="875">
                  <c:v>23.996712779071359</c:v>
                </c:pt>
                <c:pt idx="876">
                  <c:v>24.024106286810024</c:v>
                </c:pt>
                <c:pt idx="877">
                  <c:v>24.05149979454869</c:v>
                </c:pt>
                <c:pt idx="878">
                  <c:v>24.078893302287359</c:v>
                </c:pt>
                <c:pt idx="879">
                  <c:v>24.106286810026024</c:v>
                </c:pt>
                <c:pt idx="880">
                  <c:v>24.133680317764689</c:v>
                </c:pt>
                <c:pt idx="881">
                  <c:v>24.161073825503355</c:v>
                </c:pt>
                <c:pt idx="882">
                  <c:v>24.18846733324202</c:v>
                </c:pt>
                <c:pt idx="883">
                  <c:v>24.215860840980685</c:v>
                </c:pt>
                <c:pt idx="884">
                  <c:v>24.243254348719354</c:v>
                </c:pt>
                <c:pt idx="885">
                  <c:v>24.270647856458019</c:v>
                </c:pt>
                <c:pt idx="886">
                  <c:v>24.298041364196685</c:v>
                </c:pt>
                <c:pt idx="887">
                  <c:v>24.32543487193535</c:v>
                </c:pt>
                <c:pt idx="888">
                  <c:v>24.352828379674015</c:v>
                </c:pt>
                <c:pt idx="889">
                  <c:v>24.380221887412681</c:v>
                </c:pt>
                <c:pt idx="890">
                  <c:v>24.40761539515135</c:v>
                </c:pt>
                <c:pt idx="891">
                  <c:v>24.435008902890015</c:v>
                </c:pt>
                <c:pt idx="892">
                  <c:v>24.46240241062868</c:v>
                </c:pt>
                <c:pt idx="893">
                  <c:v>24.489795918367346</c:v>
                </c:pt>
                <c:pt idx="894">
                  <c:v>24.517189426106011</c:v>
                </c:pt>
                <c:pt idx="895">
                  <c:v>24.544582933844676</c:v>
                </c:pt>
                <c:pt idx="896">
                  <c:v>24.571976441583345</c:v>
                </c:pt>
                <c:pt idx="897">
                  <c:v>24.599369949322011</c:v>
                </c:pt>
                <c:pt idx="898">
                  <c:v>24.626763457060676</c:v>
                </c:pt>
                <c:pt idx="899">
                  <c:v>24.654156964799341</c:v>
                </c:pt>
                <c:pt idx="900">
                  <c:v>24.681550472538007</c:v>
                </c:pt>
                <c:pt idx="901">
                  <c:v>24.708943980276672</c:v>
                </c:pt>
                <c:pt idx="902">
                  <c:v>24.736337488015341</c:v>
                </c:pt>
                <c:pt idx="903">
                  <c:v>24.763730995754006</c:v>
                </c:pt>
                <c:pt idx="904">
                  <c:v>24.791124503492671</c:v>
                </c:pt>
                <c:pt idx="905">
                  <c:v>24.818518011231337</c:v>
                </c:pt>
                <c:pt idx="906">
                  <c:v>24.845911518970002</c:v>
                </c:pt>
                <c:pt idx="907">
                  <c:v>24.873305026708667</c:v>
                </c:pt>
                <c:pt idx="908">
                  <c:v>24.900698534447336</c:v>
                </c:pt>
                <c:pt idx="909">
                  <c:v>24.928092042186002</c:v>
                </c:pt>
                <c:pt idx="910">
                  <c:v>24.955485549924667</c:v>
                </c:pt>
                <c:pt idx="911">
                  <c:v>24.982879057663332</c:v>
                </c:pt>
                <c:pt idx="912">
                  <c:v>25.010272565401998</c:v>
                </c:pt>
                <c:pt idx="913">
                  <c:v>25.037666073140667</c:v>
                </c:pt>
                <c:pt idx="914">
                  <c:v>25.065059580879332</c:v>
                </c:pt>
                <c:pt idx="915">
                  <c:v>25.092453088617997</c:v>
                </c:pt>
                <c:pt idx="916">
                  <c:v>25.119846596356663</c:v>
                </c:pt>
                <c:pt idx="917">
                  <c:v>25.147240104095328</c:v>
                </c:pt>
                <c:pt idx="918">
                  <c:v>25.174633611833993</c:v>
                </c:pt>
                <c:pt idx="919">
                  <c:v>25.202027119572662</c:v>
                </c:pt>
                <c:pt idx="920">
                  <c:v>25.229420627311328</c:v>
                </c:pt>
                <c:pt idx="921">
                  <c:v>25.256814135049993</c:v>
                </c:pt>
                <c:pt idx="922">
                  <c:v>25.284207642788658</c:v>
                </c:pt>
                <c:pt idx="923">
                  <c:v>25.311601150527324</c:v>
                </c:pt>
                <c:pt idx="924">
                  <c:v>25.338994658265989</c:v>
                </c:pt>
                <c:pt idx="925">
                  <c:v>25.366388166004658</c:v>
                </c:pt>
                <c:pt idx="926">
                  <c:v>25.393781673743323</c:v>
                </c:pt>
                <c:pt idx="927">
                  <c:v>25.421175181481988</c:v>
                </c:pt>
                <c:pt idx="928">
                  <c:v>25.448568689220654</c:v>
                </c:pt>
                <c:pt idx="929">
                  <c:v>25.475962196959319</c:v>
                </c:pt>
                <c:pt idx="930">
                  <c:v>25.503355704697984</c:v>
                </c:pt>
                <c:pt idx="931">
                  <c:v>25.530749212436653</c:v>
                </c:pt>
                <c:pt idx="932">
                  <c:v>25.558142720175319</c:v>
                </c:pt>
                <c:pt idx="933">
                  <c:v>25.585536227913984</c:v>
                </c:pt>
                <c:pt idx="934">
                  <c:v>25.612929735652649</c:v>
                </c:pt>
                <c:pt idx="935">
                  <c:v>25.640323243391315</c:v>
                </c:pt>
                <c:pt idx="936">
                  <c:v>25.66771675112998</c:v>
                </c:pt>
                <c:pt idx="937">
                  <c:v>25.695110258868649</c:v>
                </c:pt>
                <c:pt idx="938">
                  <c:v>25.722503766607314</c:v>
                </c:pt>
                <c:pt idx="939">
                  <c:v>25.74989727434598</c:v>
                </c:pt>
                <c:pt idx="940">
                  <c:v>25.777290782084645</c:v>
                </c:pt>
                <c:pt idx="941">
                  <c:v>25.80468428982331</c:v>
                </c:pt>
                <c:pt idx="942">
                  <c:v>25.832077797561976</c:v>
                </c:pt>
                <c:pt idx="943">
                  <c:v>25.859471305300644</c:v>
                </c:pt>
                <c:pt idx="944">
                  <c:v>25.88686481303931</c:v>
                </c:pt>
                <c:pt idx="945">
                  <c:v>25.914258320777975</c:v>
                </c:pt>
                <c:pt idx="946">
                  <c:v>25.94165182851664</c:v>
                </c:pt>
                <c:pt idx="947">
                  <c:v>25.969045336255306</c:v>
                </c:pt>
                <c:pt idx="948">
                  <c:v>25.996438843993971</c:v>
                </c:pt>
                <c:pt idx="949">
                  <c:v>26.02383235173264</c:v>
                </c:pt>
                <c:pt idx="950">
                  <c:v>26.051225859471305</c:v>
                </c:pt>
                <c:pt idx="951">
                  <c:v>26.078619367209971</c:v>
                </c:pt>
                <c:pt idx="952">
                  <c:v>26.106012874948636</c:v>
                </c:pt>
                <c:pt idx="953">
                  <c:v>26.133406382687301</c:v>
                </c:pt>
                <c:pt idx="954">
                  <c:v>26.160799890425967</c:v>
                </c:pt>
                <c:pt idx="955">
                  <c:v>26.188193398164636</c:v>
                </c:pt>
                <c:pt idx="956">
                  <c:v>26.215586905903301</c:v>
                </c:pt>
                <c:pt idx="957">
                  <c:v>26.242980413641966</c:v>
                </c:pt>
                <c:pt idx="958">
                  <c:v>26.270373921380632</c:v>
                </c:pt>
                <c:pt idx="959">
                  <c:v>26.297767429119297</c:v>
                </c:pt>
                <c:pt idx="960">
                  <c:v>26.325160936857962</c:v>
                </c:pt>
                <c:pt idx="961">
                  <c:v>26.352554444596631</c:v>
                </c:pt>
                <c:pt idx="962">
                  <c:v>26.379947952335296</c:v>
                </c:pt>
                <c:pt idx="963">
                  <c:v>26.407341460073962</c:v>
                </c:pt>
                <c:pt idx="964">
                  <c:v>26.434734967812627</c:v>
                </c:pt>
                <c:pt idx="965">
                  <c:v>26.462128475551292</c:v>
                </c:pt>
                <c:pt idx="966">
                  <c:v>26.489521983289958</c:v>
                </c:pt>
                <c:pt idx="967">
                  <c:v>26.516915491028627</c:v>
                </c:pt>
                <c:pt idx="968">
                  <c:v>26.544308998767292</c:v>
                </c:pt>
                <c:pt idx="969">
                  <c:v>26.571702506505957</c:v>
                </c:pt>
                <c:pt idx="970">
                  <c:v>26.599096014244623</c:v>
                </c:pt>
                <c:pt idx="971">
                  <c:v>26.626489521983288</c:v>
                </c:pt>
                <c:pt idx="972">
                  <c:v>26.653883029721953</c:v>
                </c:pt>
                <c:pt idx="973">
                  <c:v>26.681276537460622</c:v>
                </c:pt>
                <c:pt idx="974">
                  <c:v>26.708670045199288</c:v>
                </c:pt>
                <c:pt idx="975">
                  <c:v>26.736063552937953</c:v>
                </c:pt>
                <c:pt idx="976">
                  <c:v>26.763457060676618</c:v>
                </c:pt>
                <c:pt idx="977">
                  <c:v>26.790850568415284</c:v>
                </c:pt>
                <c:pt idx="978">
                  <c:v>26.818244076153952</c:v>
                </c:pt>
                <c:pt idx="979">
                  <c:v>26.845637583892618</c:v>
                </c:pt>
                <c:pt idx="980">
                  <c:v>26.873031091631283</c:v>
                </c:pt>
                <c:pt idx="981">
                  <c:v>26.900424599369948</c:v>
                </c:pt>
                <c:pt idx="982">
                  <c:v>26.927818107108614</c:v>
                </c:pt>
                <c:pt idx="983">
                  <c:v>26.955211614847279</c:v>
                </c:pt>
                <c:pt idx="984">
                  <c:v>26.982605122585948</c:v>
                </c:pt>
                <c:pt idx="985">
                  <c:v>27.009998630324613</c:v>
                </c:pt>
                <c:pt idx="986">
                  <c:v>27.037392138063279</c:v>
                </c:pt>
                <c:pt idx="987">
                  <c:v>27.064785645801944</c:v>
                </c:pt>
                <c:pt idx="988">
                  <c:v>27.092179153540609</c:v>
                </c:pt>
                <c:pt idx="989">
                  <c:v>27.119572661279275</c:v>
                </c:pt>
                <c:pt idx="990">
                  <c:v>27.146966169017944</c:v>
                </c:pt>
                <c:pt idx="991">
                  <c:v>27.174359676756609</c:v>
                </c:pt>
                <c:pt idx="992">
                  <c:v>27.201753184495274</c:v>
                </c:pt>
                <c:pt idx="993">
                  <c:v>27.22914669223394</c:v>
                </c:pt>
                <c:pt idx="994">
                  <c:v>27.256540199972605</c:v>
                </c:pt>
                <c:pt idx="995">
                  <c:v>27.28393370771127</c:v>
                </c:pt>
                <c:pt idx="996">
                  <c:v>27.311327215449939</c:v>
                </c:pt>
                <c:pt idx="997">
                  <c:v>27.338720723188604</c:v>
                </c:pt>
                <c:pt idx="998">
                  <c:v>27.36611423092727</c:v>
                </c:pt>
                <c:pt idx="999">
                  <c:v>27.393507738665935</c:v>
                </c:pt>
                <c:pt idx="1000">
                  <c:v>27.4209012464046</c:v>
                </c:pt>
                <c:pt idx="1001">
                  <c:v>27.448294754143266</c:v>
                </c:pt>
                <c:pt idx="1002">
                  <c:v>27.475688261881935</c:v>
                </c:pt>
                <c:pt idx="1003">
                  <c:v>27.5030817696206</c:v>
                </c:pt>
                <c:pt idx="1004">
                  <c:v>27.530475277359265</c:v>
                </c:pt>
                <c:pt idx="1005">
                  <c:v>27.557868785097931</c:v>
                </c:pt>
                <c:pt idx="1006">
                  <c:v>27.585262292836596</c:v>
                </c:pt>
                <c:pt idx="1007">
                  <c:v>27.612655800575261</c:v>
                </c:pt>
                <c:pt idx="1008">
                  <c:v>27.64004930831393</c:v>
                </c:pt>
                <c:pt idx="1009">
                  <c:v>27.667442816052596</c:v>
                </c:pt>
                <c:pt idx="1010">
                  <c:v>27.694836323791261</c:v>
                </c:pt>
                <c:pt idx="1011">
                  <c:v>27.722229831529926</c:v>
                </c:pt>
                <c:pt idx="1012">
                  <c:v>27.749623339268592</c:v>
                </c:pt>
                <c:pt idx="1013">
                  <c:v>27.777016847007257</c:v>
                </c:pt>
                <c:pt idx="1014">
                  <c:v>27.804410354745926</c:v>
                </c:pt>
                <c:pt idx="1015">
                  <c:v>27.831803862484591</c:v>
                </c:pt>
                <c:pt idx="1016">
                  <c:v>27.859197370223256</c:v>
                </c:pt>
                <c:pt idx="1017">
                  <c:v>27.886590877961922</c:v>
                </c:pt>
                <c:pt idx="1018">
                  <c:v>27.913984385700587</c:v>
                </c:pt>
                <c:pt idx="1019">
                  <c:v>27.941377893439252</c:v>
                </c:pt>
                <c:pt idx="1020">
                  <c:v>27.968771401177921</c:v>
                </c:pt>
                <c:pt idx="1021">
                  <c:v>27.996164908916587</c:v>
                </c:pt>
                <c:pt idx="1022">
                  <c:v>28.023558416655252</c:v>
                </c:pt>
                <c:pt idx="1023">
                  <c:v>28.050951924393917</c:v>
                </c:pt>
                <c:pt idx="1024">
                  <c:v>28.078345432132583</c:v>
                </c:pt>
                <c:pt idx="1025">
                  <c:v>28.105738939871248</c:v>
                </c:pt>
                <c:pt idx="1026">
                  <c:v>28.133132447609917</c:v>
                </c:pt>
                <c:pt idx="1027">
                  <c:v>28.160525955348582</c:v>
                </c:pt>
                <c:pt idx="1028">
                  <c:v>28.187919463087248</c:v>
                </c:pt>
                <c:pt idx="1029">
                  <c:v>28.215312970825913</c:v>
                </c:pt>
                <c:pt idx="1030">
                  <c:v>28.242706478564578</c:v>
                </c:pt>
                <c:pt idx="1031">
                  <c:v>28.270099986303244</c:v>
                </c:pt>
                <c:pt idx="1032">
                  <c:v>28.297493494041912</c:v>
                </c:pt>
                <c:pt idx="1033">
                  <c:v>28.324887001780578</c:v>
                </c:pt>
                <c:pt idx="1034">
                  <c:v>28.352280509519243</c:v>
                </c:pt>
                <c:pt idx="1035">
                  <c:v>28.379674017257909</c:v>
                </c:pt>
                <c:pt idx="1036">
                  <c:v>28.407067524996574</c:v>
                </c:pt>
                <c:pt idx="1037">
                  <c:v>28.434461032735239</c:v>
                </c:pt>
                <c:pt idx="1038">
                  <c:v>28.461854540473908</c:v>
                </c:pt>
                <c:pt idx="1039">
                  <c:v>28.489248048212573</c:v>
                </c:pt>
                <c:pt idx="1040">
                  <c:v>28.516641555951239</c:v>
                </c:pt>
                <c:pt idx="1041">
                  <c:v>28.544035063689904</c:v>
                </c:pt>
                <c:pt idx="1042">
                  <c:v>28.571428571428569</c:v>
                </c:pt>
                <c:pt idx="1043">
                  <c:v>28.598822079167235</c:v>
                </c:pt>
                <c:pt idx="1044">
                  <c:v>28.626215586905904</c:v>
                </c:pt>
                <c:pt idx="1045">
                  <c:v>28.653609094644569</c:v>
                </c:pt>
                <c:pt idx="1046">
                  <c:v>28.681002602383234</c:v>
                </c:pt>
                <c:pt idx="1047">
                  <c:v>28.7083961101219</c:v>
                </c:pt>
                <c:pt idx="1048">
                  <c:v>28.735789617860565</c:v>
                </c:pt>
                <c:pt idx="1049">
                  <c:v>28.763183125599234</c:v>
                </c:pt>
                <c:pt idx="1050">
                  <c:v>28.790576633337899</c:v>
                </c:pt>
                <c:pt idx="1051">
                  <c:v>28.817970141076565</c:v>
                </c:pt>
                <c:pt idx="1052">
                  <c:v>28.84536364881523</c:v>
                </c:pt>
                <c:pt idx="1053">
                  <c:v>28.872757156553895</c:v>
                </c:pt>
              </c:numCache>
            </c:numRef>
          </c:xVal>
          <c:yVal>
            <c:numRef>
              <c:f>'Peak Payback Engine'!$K$10:$K$1063</c:f>
              <c:numCache>
                <c:formatCode>_("$"* #,##0.00_);_("$"* \(#,##0.00\);_("$"* "-"??_);_(@_)</c:formatCode>
                <c:ptCount val="105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pt idx="994">
                  <c:v>0</c:v>
                </c:pt>
                <c:pt idx="995">
                  <c:v>0</c:v>
                </c:pt>
                <c:pt idx="996">
                  <c:v>0</c:v>
                </c:pt>
                <c:pt idx="997">
                  <c:v>0</c:v>
                </c:pt>
                <c:pt idx="998">
                  <c:v>0</c:v>
                </c:pt>
                <c:pt idx="999">
                  <c:v>0</c:v>
                </c:pt>
                <c:pt idx="1000">
                  <c:v>0</c:v>
                </c:pt>
                <c:pt idx="1001">
                  <c:v>0</c:v>
                </c:pt>
                <c:pt idx="1002">
                  <c:v>0</c:v>
                </c:pt>
                <c:pt idx="1003">
                  <c:v>0</c:v>
                </c:pt>
                <c:pt idx="1004">
                  <c:v>0</c:v>
                </c:pt>
                <c:pt idx="1005">
                  <c:v>0</c:v>
                </c:pt>
                <c:pt idx="1006">
                  <c:v>0</c:v>
                </c:pt>
                <c:pt idx="1007">
                  <c:v>0</c:v>
                </c:pt>
                <c:pt idx="1008">
                  <c:v>0</c:v>
                </c:pt>
                <c:pt idx="1009">
                  <c:v>0</c:v>
                </c:pt>
                <c:pt idx="1010">
                  <c:v>0</c:v>
                </c:pt>
                <c:pt idx="1011">
                  <c:v>0</c:v>
                </c:pt>
                <c:pt idx="1012">
                  <c:v>0</c:v>
                </c:pt>
                <c:pt idx="1013">
                  <c:v>0</c:v>
                </c:pt>
                <c:pt idx="1014">
                  <c:v>0</c:v>
                </c:pt>
                <c:pt idx="1015">
                  <c:v>0</c:v>
                </c:pt>
                <c:pt idx="1016">
                  <c:v>0</c:v>
                </c:pt>
                <c:pt idx="1017">
                  <c:v>0</c:v>
                </c:pt>
                <c:pt idx="1018">
                  <c:v>0</c:v>
                </c:pt>
                <c:pt idx="1019">
                  <c:v>0</c:v>
                </c:pt>
                <c:pt idx="1020">
                  <c:v>0</c:v>
                </c:pt>
                <c:pt idx="1021">
                  <c:v>0</c:v>
                </c:pt>
                <c:pt idx="1022">
                  <c:v>0</c:v>
                </c:pt>
                <c:pt idx="1023">
                  <c:v>0</c:v>
                </c:pt>
                <c:pt idx="1024">
                  <c:v>0</c:v>
                </c:pt>
                <c:pt idx="1025">
                  <c:v>0</c:v>
                </c:pt>
                <c:pt idx="1026">
                  <c:v>0</c:v>
                </c:pt>
                <c:pt idx="1027">
                  <c:v>0</c:v>
                </c:pt>
                <c:pt idx="1028">
                  <c:v>0</c:v>
                </c:pt>
                <c:pt idx="1029">
                  <c:v>0</c:v>
                </c:pt>
                <c:pt idx="1030">
                  <c:v>0</c:v>
                </c:pt>
                <c:pt idx="1031">
                  <c:v>0</c:v>
                </c:pt>
                <c:pt idx="1032">
                  <c:v>0</c:v>
                </c:pt>
                <c:pt idx="1033">
                  <c:v>0</c:v>
                </c:pt>
                <c:pt idx="1034">
                  <c:v>0</c:v>
                </c:pt>
                <c:pt idx="1035">
                  <c:v>0</c:v>
                </c:pt>
                <c:pt idx="1036">
                  <c:v>0</c:v>
                </c:pt>
                <c:pt idx="1037">
                  <c:v>0</c:v>
                </c:pt>
                <c:pt idx="1038">
                  <c:v>0</c:v>
                </c:pt>
                <c:pt idx="1039">
                  <c:v>0</c:v>
                </c:pt>
                <c:pt idx="1040">
                  <c:v>0</c:v>
                </c:pt>
                <c:pt idx="1041">
                  <c:v>0</c:v>
                </c:pt>
                <c:pt idx="1042">
                  <c:v>0</c:v>
                </c:pt>
                <c:pt idx="1043">
                  <c:v>0</c:v>
                </c:pt>
                <c:pt idx="1044">
                  <c:v>0</c:v>
                </c:pt>
                <c:pt idx="1045">
                  <c:v>0</c:v>
                </c:pt>
                <c:pt idx="1046">
                  <c:v>0</c:v>
                </c:pt>
                <c:pt idx="1047">
                  <c:v>0</c:v>
                </c:pt>
                <c:pt idx="1048">
                  <c:v>0</c:v>
                </c:pt>
                <c:pt idx="1049">
                  <c:v>0</c:v>
                </c:pt>
                <c:pt idx="1050">
                  <c:v>0</c:v>
                </c:pt>
                <c:pt idx="1051">
                  <c:v>0</c:v>
                </c:pt>
                <c:pt idx="1052">
                  <c:v>0</c:v>
                </c:pt>
                <c:pt idx="1053">
                  <c:v>0</c:v>
                </c:pt>
              </c:numCache>
            </c:numRef>
          </c:yVal>
          <c:smooth val="0"/>
          <c:extLst xmlns:c16r2="http://schemas.microsoft.com/office/drawing/2015/06/chart">
            <c:ext xmlns:c16="http://schemas.microsoft.com/office/drawing/2014/chart" uri="{C3380CC4-5D6E-409C-BE32-E72D297353CC}">
              <c16:uniqueId val="{00000003-0D70-493A-B7A6-9590C357C348}"/>
            </c:ext>
          </c:extLst>
        </c:ser>
        <c:ser>
          <c:idx val="8"/>
          <c:order val="1"/>
          <c:tx>
            <c:v>Profit ($)</c:v>
          </c:tx>
          <c:marker>
            <c:symbol val="none"/>
          </c:marker>
          <c:dLbls>
            <c:dLbl>
              <c:idx val="0"/>
              <c:layout>
                <c:manualLayout>
                  <c:x val="-3.0171383876949731E-2"/>
                  <c:y val="-1.569041016956021E-3"/>
                </c:manualLayout>
              </c:layout>
              <c:spPr/>
              <c:txPr>
                <a:bodyPr/>
                <a:lstStyle/>
                <a:p>
                  <a:pPr>
                    <a:defRPr sz="1400" b="1">
                      <a:latin typeface="Arial" panose="020B0604020202020204" pitchFamily="34" charset="0"/>
                      <a:cs typeface="Arial" panose="020B0604020202020204" pitchFamily="34" charset="0"/>
                    </a:defRPr>
                  </a:pPr>
                  <a:endParaRPr lang="en-US"/>
                </a:p>
              </c:txPr>
              <c:showLegendKey val="0"/>
              <c:showVal val="0"/>
              <c:showCatName val="0"/>
              <c:showSerName val="1"/>
              <c:showPercent val="0"/>
              <c:showBubbleSize val="0"/>
              <c:extLst>
                <c:ext xmlns:c15="http://schemas.microsoft.com/office/drawing/2012/chart" uri="{CE6537A1-D6FC-4f65-9D91-7224C49458BB}"/>
              </c:extLst>
            </c:dLbl>
            <c:spPr>
              <a:noFill/>
              <a:ln>
                <a:noFill/>
              </a:ln>
              <a:effectLst/>
            </c:spPr>
            <c:txPr>
              <a:bodyPr/>
              <a:lstStyle/>
              <a:p>
                <a:pPr>
                  <a:defRPr>
                    <a:latin typeface="Arial" panose="020B0604020202020204" pitchFamily="34" charset="0"/>
                    <a:cs typeface="Arial" panose="020B0604020202020204" pitchFamily="34" charset="0"/>
                  </a:defRPr>
                </a:pPr>
                <a:endParaRPr lang="en-US"/>
              </a:p>
            </c:txPr>
            <c:showLegendKey val="0"/>
            <c:showVal val="0"/>
            <c:showCatName val="0"/>
            <c:showSerName val="1"/>
            <c:showPercent val="0"/>
            <c:showBubbleSize val="0"/>
            <c:showLeaderLines val="0"/>
            <c:extLst xmlns:c16r2="http://schemas.microsoft.com/office/drawing/2015/06/chart">
              <c:ext xmlns:c15="http://schemas.microsoft.com/office/drawing/2012/chart" uri="{CE6537A1-D6FC-4f65-9D91-7224C49458BB}">
                <c15:showLeaderLines val="0"/>
              </c:ext>
            </c:extLst>
          </c:dLbls>
          <c:xVal>
            <c:numRef>
              <c:f>'Peak Payback Engine'!$AE$3</c:f>
              <c:numCache>
                <c:formatCode>_-* #,##0.0_-;\-* #,##0.0_-;_-* "-"??_-;_-@_-</c:formatCode>
                <c:ptCount val="1"/>
                <c:pt idx="0">
                  <c:v>7.5</c:v>
                </c:pt>
              </c:numCache>
            </c:numRef>
          </c:xVal>
          <c:yVal>
            <c:numRef>
              <c:f>'Peak Payback Engine'!$AE$4</c:f>
              <c:numCache>
                <c:formatCode>_("$"* #,##0.00_);_("$"* \(#,##0.00\);_("$"* "-"??_);_(@_)</c:formatCode>
                <c:ptCount val="1"/>
                <c:pt idx="0">
                  <c:v>#N/A</c:v>
                </c:pt>
              </c:numCache>
            </c:numRef>
          </c:yVal>
          <c:smooth val="0"/>
          <c:extLst xmlns:c16r2="http://schemas.microsoft.com/office/drawing/2015/06/chart">
            <c:ext xmlns:c16="http://schemas.microsoft.com/office/drawing/2014/chart" uri="{C3380CC4-5D6E-409C-BE32-E72D297353CC}">
              <c16:uniqueId val="{00000005-0D70-493A-B7A6-9590C357C348}"/>
            </c:ext>
          </c:extLst>
        </c:ser>
        <c:ser>
          <c:idx val="9"/>
          <c:order val="2"/>
          <c:tx>
            <c:v>Loss (-$)</c:v>
          </c:tx>
          <c:marker>
            <c:symbol val="none"/>
          </c:marker>
          <c:dLbls>
            <c:dLbl>
              <c:idx val="0"/>
              <c:layout>
                <c:manualLayout>
                  <c:x val="-5.105926502253031E-2"/>
                  <c:y val="0"/>
                </c:manualLayout>
              </c:layout>
              <c:spPr/>
              <c:txPr>
                <a:bodyPr/>
                <a:lstStyle/>
                <a:p>
                  <a:pPr>
                    <a:defRPr sz="1400" b="1">
                      <a:latin typeface="Arial" panose="020B0604020202020204" pitchFamily="34" charset="0"/>
                      <a:cs typeface="Arial" panose="020B0604020202020204" pitchFamily="34" charset="0"/>
                    </a:defRPr>
                  </a:pPr>
                  <a:endParaRPr lang="en-US"/>
                </a:p>
              </c:txPr>
              <c:showLegendKey val="0"/>
              <c:showVal val="0"/>
              <c:showCatName val="0"/>
              <c:showSerName val="1"/>
              <c:showPercent val="0"/>
              <c:showBubbleSize val="0"/>
              <c:extLst>
                <c:ext xmlns:c15="http://schemas.microsoft.com/office/drawing/2012/chart" uri="{CE6537A1-D6FC-4f65-9D91-7224C49458BB}"/>
              </c:extLst>
            </c:dLbl>
            <c:spPr>
              <a:noFill/>
              <a:ln>
                <a:noFill/>
              </a:ln>
              <a:effectLst/>
            </c:spPr>
            <c:txPr>
              <a:bodyPr/>
              <a:lstStyle/>
              <a:p>
                <a:pPr>
                  <a:defRPr>
                    <a:latin typeface="Arial" panose="020B0604020202020204" pitchFamily="34" charset="0"/>
                    <a:cs typeface="Arial" panose="020B0604020202020204" pitchFamily="34" charset="0"/>
                  </a:defRPr>
                </a:pPr>
                <a:endParaRPr lang="en-US"/>
              </a:p>
            </c:txPr>
            <c:showLegendKey val="0"/>
            <c:showVal val="0"/>
            <c:showCatName val="0"/>
            <c:showSerName val="1"/>
            <c:showPercent val="0"/>
            <c:showBubbleSize val="0"/>
            <c:showLeaderLines val="0"/>
            <c:extLst xmlns:c16r2="http://schemas.microsoft.com/office/drawing/2015/06/chart">
              <c:ext xmlns:c15="http://schemas.microsoft.com/office/drawing/2012/chart" uri="{CE6537A1-D6FC-4f65-9D91-7224C49458BB}">
                <c15:showLeaderLines val="0"/>
              </c:ext>
            </c:extLst>
          </c:dLbls>
          <c:xVal>
            <c:numRef>
              <c:f>'Peak Payback Engine'!$AF$3</c:f>
              <c:numCache>
                <c:formatCode>General</c:formatCode>
                <c:ptCount val="1"/>
                <c:pt idx="0">
                  <c:v>7.5</c:v>
                </c:pt>
              </c:numCache>
            </c:numRef>
          </c:xVal>
          <c:yVal>
            <c:numRef>
              <c:f>'Peak Payback Engine'!$AF$4</c:f>
              <c:numCache>
                <c:formatCode>_("$"* #,##0.00_);_("$"* \(#,##0.00\);_("$"* "-"??_);_(@_)</c:formatCode>
                <c:ptCount val="1"/>
                <c:pt idx="0">
                  <c:v>#N/A</c:v>
                </c:pt>
              </c:numCache>
            </c:numRef>
          </c:yVal>
          <c:smooth val="0"/>
          <c:extLst xmlns:c16r2="http://schemas.microsoft.com/office/drawing/2015/06/chart">
            <c:ext xmlns:c16="http://schemas.microsoft.com/office/drawing/2014/chart" uri="{C3380CC4-5D6E-409C-BE32-E72D297353CC}">
              <c16:uniqueId val="{00000007-0D70-493A-B7A6-9590C357C348}"/>
            </c:ext>
          </c:extLst>
        </c:ser>
        <c:ser>
          <c:idx val="1"/>
          <c:order val="3"/>
          <c:tx>
            <c:v>Average Annual Savings</c:v>
          </c:tx>
          <c:spPr>
            <a:ln>
              <a:solidFill>
                <a:srgbClr val="31B784"/>
              </a:solidFill>
            </a:ln>
          </c:spPr>
          <c:marker>
            <c:symbol val="none"/>
          </c:marker>
          <c:dLbls>
            <c:dLbl>
              <c:idx val="619"/>
              <c:layout>
                <c:manualLayout>
                  <c:x val="-0.12184606472227835"/>
                  <c:y val="0"/>
                </c:manualLayout>
              </c:layout>
              <c:spPr>
                <a:solidFill>
                  <a:schemeClr val="bg1"/>
                </a:solidFill>
                <a:ln>
                  <a:solidFill>
                    <a:srgbClr val="31B784"/>
                  </a:solidFill>
                </a:ln>
              </c:spPr>
              <c:txPr>
                <a:bodyPr/>
                <a:lstStyle/>
                <a:p>
                  <a:pPr>
                    <a:defRPr>
                      <a:latin typeface="Arial" panose="020B0604020202020204" pitchFamily="34" charset="0"/>
                      <a:cs typeface="Arial" panose="020B0604020202020204" pitchFamily="34" charset="0"/>
                    </a:defRPr>
                  </a:pPr>
                  <a:endParaRPr lang="en-US"/>
                </a:p>
              </c:txPr>
              <c:showLegendKey val="0"/>
              <c:showVal val="0"/>
              <c:showCatName val="0"/>
              <c:showSerName val="1"/>
              <c:showPercent val="0"/>
              <c:showBubbleSize val="0"/>
              <c:extLst>
                <c:ext xmlns:c15="http://schemas.microsoft.com/office/drawing/2012/chart" uri="{CE6537A1-D6FC-4f65-9D91-7224C49458BB}"/>
              </c:extLst>
            </c:dLbl>
            <c:spPr>
              <a:noFill/>
              <a:ln>
                <a:solidFill>
                  <a:srgbClr val="31B784"/>
                </a:solidFill>
              </a:ln>
              <a:effectLst/>
            </c:spPr>
            <c:txPr>
              <a:bodyPr/>
              <a:lstStyle/>
              <a:p>
                <a:pPr>
                  <a:defRPr>
                    <a:latin typeface="Arial" panose="020B0604020202020204" pitchFamily="34" charset="0"/>
                    <a:cs typeface="Arial" panose="020B0604020202020204" pitchFamily="34" charset="0"/>
                  </a:defRPr>
                </a:pPr>
                <a:endParaRPr lang="en-US"/>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'Peak Payback Engine'!$B$10:$B$1063</c:f>
              <c:numCache>
                <c:formatCode>_-* #,##0.0_-;\-* #,##0.0_-;_-* "-"??_-;_-@_-</c:formatCode>
                <c:ptCount val="1054"/>
                <c:pt idx="0">
                  <c:v>2.7393507738665935E-2</c:v>
                </c:pt>
                <c:pt idx="1">
                  <c:v>5.478701547733187E-2</c:v>
                </c:pt>
                <c:pt idx="2">
                  <c:v>8.2180523215997808E-2</c:v>
                </c:pt>
                <c:pt idx="3">
                  <c:v>0.10957403095466374</c:v>
                </c:pt>
                <c:pt idx="4">
                  <c:v>0.13696753869332967</c:v>
                </c:pt>
                <c:pt idx="5">
                  <c:v>0.16436104643199562</c:v>
                </c:pt>
                <c:pt idx="6">
                  <c:v>0.19175455417066153</c:v>
                </c:pt>
                <c:pt idx="7">
                  <c:v>0.21914806190932748</c:v>
                </c:pt>
                <c:pt idx="8">
                  <c:v>0.24654156964799342</c:v>
                </c:pt>
                <c:pt idx="9">
                  <c:v>0.27393507738665934</c:v>
                </c:pt>
                <c:pt idx="10">
                  <c:v>0.30132858512532529</c:v>
                </c:pt>
                <c:pt idx="11">
                  <c:v>0.32872209286399123</c:v>
                </c:pt>
                <c:pt idx="12">
                  <c:v>0.35611560060265718</c:v>
                </c:pt>
                <c:pt idx="13">
                  <c:v>0.38350910834132307</c:v>
                </c:pt>
                <c:pt idx="14">
                  <c:v>0.41090261607998901</c:v>
                </c:pt>
                <c:pt idx="15">
                  <c:v>0.43829612381865496</c:v>
                </c:pt>
                <c:pt idx="16">
                  <c:v>0.4656896315573209</c:v>
                </c:pt>
                <c:pt idx="17">
                  <c:v>0.49308313929598685</c:v>
                </c:pt>
                <c:pt idx="18">
                  <c:v>0.5204766470346528</c:v>
                </c:pt>
                <c:pt idx="19">
                  <c:v>0.54787015477331868</c:v>
                </c:pt>
                <c:pt idx="20">
                  <c:v>0.57526366251198469</c:v>
                </c:pt>
                <c:pt idx="21">
                  <c:v>0.60265717025065058</c:v>
                </c:pt>
                <c:pt idx="22">
                  <c:v>0.63005067798931647</c:v>
                </c:pt>
                <c:pt idx="23">
                  <c:v>0.65744418572798247</c:v>
                </c:pt>
                <c:pt idx="24">
                  <c:v>0.68483769346664836</c:v>
                </c:pt>
                <c:pt idx="25">
                  <c:v>0.71223120120531436</c:v>
                </c:pt>
                <c:pt idx="26">
                  <c:v>0.73962470894398025</c:v>
                </c:pt>
                <c:pt idx="27">
                  <c:v>0.76701821668264614</c:v>
                </c:pt>
                <c:pt idx="28">
                  <c:v>0.79441172442131214</c:v>
                </c:pt>
                <c:pt idx="29">
                  <c:v>0.82180523215997803</c:v>
                </c:pt>
                <c:pt idx="30">
                  <c:v>0.84919873989864403</c:v>
                </c:pt>
                <c:pt idx="31">
                  <c:v>0.87659224763730992</c:v>
                </c:pt>
                <c:pt idx="32">
                  <c:v>0.90398575537597592</c:v>
                </c:pt>
                <c:pt idx="33">
                  <c:v>0.93137926311464181</c:v>
                </c:pt>
                <c:pt idx="34">
                  <c:v>0.9587727708533077</c:v>
                </c:pt>
                <c:pt idx="35">
                  <c:v>0.9861662785919737</c:v>
                </c:pt>
                <c:pt idx="36">
                  <c:v>1.0135597863306396</c:v>
                </c:pt>
                <c:pt idx="37">
                  <c:v>1.0409532940693056</c:v>
                </c:pt>
                <c:pt idx="38">
                  <c:v>1.0683468018079714</c:v>
                </c:pt>
                <c:pt idx="39">
                  <c:v>1.0957403095466374</c:v>
                </c:pt>
                <c:pt idx="40">
                  <c:v>1.1231338172853034</c:v>
                </c:pt>
                <c:pt idx="41">
                  <c:v>1.1505273250239694</c:v>
                </c:pt>
                <c:pt idx="42">
                  <c:v>1.1779208327626352</c:v>
                </c:pt>
                <c:pt idx="43">
                  <c:v>1.2053143405013012</c:v>
                </c:pt>
                <c:pt idx="44">
                  <c:v>1.2327078482399672</c:v>
                </c:pt>
                <c:pt idx="45">
                  <c:v>1.2601013559786329</c:v>
                </c:pt>
                <c:pt idx="46">
                  <c:v>1.2874948637172989</c:v>
                </c:pt>
                <c:pt idx="47">
                  <c:v>1.3148883714559649</c:v>
                </c:pt>
                <c:pt idx="48">
                  <c:v>1.3422818791946309</c:v>
                </c:pt>
                <c:pt idx="49">
                  <c:v>1.3696753869332967</c:v>
                </c:pt>
                <c:pt idx="50">
                  <c:v>1.3970688946719627</c:v>
                </c:pt>
                <c:pt idx="51">
                  <c:v>1.4244624024106287</c:v>
                </c:pt>
                <c:pt idx="52">
                  <c:v>1.4518559101492945</c:v>
                </c:pt>
                <c:pt idx="53">
                  <c:v>1.4792494178879605</c:v>
                </c:pt>
                <c:pt idx="54">
                  <c:v>1.5066429256266265</c:v>
                </c:pt>
                <c:pt idx="55">
                  <c:v>1.5340364333652923</c:v>
                </c:pt>
                <c:pt idx="56">
                  <c:v>1.5614299411039583</c:v>
                </c:pt>
                <c:pt idx="57">
                  <c:v>1.5888234488426243</c:v>
                </c:pt>
                <c:pt idx="58">
                  <c:v>1.6162169565812903</c:v>
                </c:pt>
                <c:pt idx="59">
                  <c:v>1.6436104643199561</c:v>
                </c:pt>
                <c:pt idx="60">
                  <c:v>1.6710039720586221</c:v>
                </c:pt>
                <c:pt idx="61">
                  <c:v>1.6983974797972881</c:v>
                </c:pt>
                <c:pt idx="62">
                  <c:v>1.7257909875359538</c:v>
                </c:pt>
                <c:pt idx="63">
                  <c:v>1.7531844952746198</c:v>
                </c:pt>
                <c:pt idx="64">
                  <c:v>1.7805780030132858</c:v>
                </c:pt>
                <c:pt idx="65">
                  <c:v>1.8079715107519518</c:v>
                </c:pt>
                <c:pt idx="66">
                  <c:v>1.8353650184906176</c:v>
                </c:pt>
                <c:pt idx="67">
                  <c:v>1.8627585262292836</c:v>
                </c:pt>
                <c:pt idx="68">
                  <c:v>1.8901520339679496</c:v>
                </c:pt>
                <c:pt idx="69">
                  <c:v>1.9175455417066154</c:v>
                </c:pt>
                <c:pt idx="70">
                  <c:v>1.9449390494452814</c:v>
                </c:pt>
                <c:pt idx="71">
                  <c:v>1.9723325571839474</c:v>
                </c:pt>
                <c:pt idx="72">
                  <c:v>1.9997260649226132</c:v>
                </c:pt>
                <c:pt idx="73">
                  <c:v>2.0271195726612792</c:v>
                </c:pt>
                <c:pt idx="74">
                  <c:v>2.054513080399945</c:v>
                </c:pt>
                <c:pt idx="75">
                  <c:v>2.0819065881386112</c:v>
                </c:pt>
                <c:pt idx="76">
                  <c:v>2.109300095877277</c:v>
                </c:pt>
                <c:pt idx="77">
                  <c:v>2.1366936036159427</c:v>
                </c:pt>
                <c:pt idx="78">
                  <c:v>2.164087111354609</c:v>
                </c:pt>
                <c:pt idx="79">
                  <c:v>2.1914806190932747</c:v>
                </c:pt>
                <c:pt idx="80">
                  <c:v>2.218874126831941</c:v>
                </c:pt>
                <c:pt idx="81">
                  <c:v>2.2462676345706067</c:v>
                </c:pt>
                <c:pt idx="82">
                  <c:v>2.2736611423092725</c:v>
                </c:pt>
                <c:pt idx="83">
                  <c:v>2.3010546500479387</c:v>
                </c:pt>
                <c:pt idx="84">
                  <c:v>2.3284481577866045</c:v>
                </c:pt>
                <c:pt idx="85">
                  <c:v>2.3558416655252703</c:v>
                </c:pt>
                <c:pt idx="86">
                  <c:v>2.3832351732639365</c:v>
                </c:pt>
                <c:pt idx="87">
                  <c:v>2.4106286810026023</c:v>
                </c:pt>
                <c:pt idx="88">
                  <c:v>2.4380221887412681</c:v>
                </c:pt>
                <c:pt idx="89">
                  <c:v>2.4654156964799343</c:v>
                </c:pt>
                <c:pt idx="90">
                  <c:v>2.4928092042186001</c:v>
                </c:pt>
                <c:pt idx="91">
                  <c:v>2.5202027119572659</c:v>
                </c:pt>
                <c:pt idx="92">
                  <c:v>2.5475962196959321</c:v>
                </c:pt>
                <c:pt idx="93">
                  <c:v>2.5749897274345979</c:v>
                </c:pt>
                <c:pt idx="94">
                  <c:v>2.6023832351732636</c:v>
                </c:pt>
                <c:pt idx="95">
                  <c:v>2.6297767429119299</c:v>
                </c:pt>
                <c:pt idx="96">
                  <c:v>2.6571702506505956</c:v>
                </c:pt>
                <c:pt idx="97">
                  <c:v>2.6845637583892619</c:v>
                </c:pt>
                <c:pt idx="98">
                  <c:v>2.7119572661279276</c:v>
                </c:pt>
                <c:pt idx="99">
                  <c:v>2.7393507738665934</c:v>
                </c:pt>
                <c:pt idx="100">
                  <c:v>2.7667442816052596</c:v>
                </c:pt>
                <c:pt idx="101">
                  <c:v>2.7941377893439254</c:v>
                </c:pt>
                <c:pt idx="102">
                  <c:v>2.8215312970825912</c:v>
                </c:pt>
                <c:pt idx="103">
                  <c:v>2.8489248048212574</c:v>
                </c:pt>
                <c:pt idx="104">
                  <c:v>2.8763183125599232</c:v>
                </c:pt>
                <c:pt idx="105">
                  <c:v>2.903711820298589</c:v>
                </c:pt>
                <c:pt idx="106">
                  <c:v>2.9311053280372552</c:v>
                </c:pt>
                <c:pt idx="107">
                  <c:v>2.958498835775921</c:v>
                </c:pt>
                <c:pt idx="108">
                  <c:v>2.9858923435145868</c:v>
                </c:pt>
                <c:pt idx="109">
                  <c:v>3.013285851253253</c:v>
                </c:pt>
                <c:pt idx="110">
                  <c:v>3.0406793589919188</c:v>
                </c:pt>
                <c:pt idx="111">
                  <c:v>3.0680728667305845</c:v>
                </c:pt>
                <c:pt idx="112">
                  <c:v>3.0954663744692508</c:v>
                </c:pt>
                <c:pt idx="113">
                  <c:v>3.1228598822079165</c:v>
                </c:pt>
                <c:pt idx="114">
                  <c:v>3.1502533899465828</c:v>
                </c:pt>
                <c:pt idx="115">
                  <c:v>3.1776468976852486</c:v>
                </c:pt>
                <c:pt idx="116">
                  <c:v>3.2050404054239143</c:v>
                </c:pt>
                <c:pt idx="117">
                  <c:v>3.2324339131625806</c:v>
                </c:pt>
                <c:pt idx="118">
                  <c:v>3.2598274209012463</c:v>
                </c:pt>
                <c:pt idx="119">
                  <c:v>3.2872209286399121</c:v>
                </c:pt>
                <c:pt idx="120">
                  <c:v>3.3146144363785783</c:v>
                </c:pt>
                <c:pt idx="121">
                  <c:v>3.3420079441172441</c:v>
                </c:pt>
                <c:pt idx="122">
                  <c:v>3.3694014518559099</c:v>
                </c:pt>
                <c:pt idx="123">
                  <c:v>3.3967949595945761</c:v>
                </c:pt>
                <c:pt idx="124">
                  <c:v>3.4241884673332419</c:v>
                </c:pt>
                <c:pt idx="125">
                  <c:v>3.4515819750719077</c:v>
                </c:pt>
                <c:pt idx="126">
                  <c:v>3.4789754828105739</c:v>
                </c:pt>
                <c:pt idx="127">
                  <c:v>3.5063689905492397</c:v>
                </c:pt>
                <c:pt idx="128">
                  <c:v>3.5337624982879055</c:v>
                </c:pt>
                <c:pt idx="129">
                  <c:v>3.5611560060265717</c:v>
                </c:pt>
                <c:pt idx="130">
                  <c:v>3.5885495137652375</c:v>
                </c:pt>
                <c:pt idx="131">
                  <c:v>3.6159430215039037</c:v>
                </c:pt>
                <c:pt idx="132">
                  <c:v>3.6433365292425695</c:v>
                </c:pt>
                <c:pt idx="133">
                  <c:v>3.6707300369812352</c:v>
                </c:pt>
                <c:pt idx="134">
                  <c:v>3.6981235447199015</c:v>
                </c:pt>
                <c:pt idx="135">
                  <c:v>3.7255170524585672</c:v>
                </c:pt>
                <c:pt idx="136">
                  <c:v>3.752910560197233</c:v>
                </c:pt>
                <c:pt idx="137">
                  <c:v>3.7803040679358992</c:v>
                </c:pt>
                <c:pt idx="138">
                  <c:v>3.807697575674565</c:v>
                </c:pt>
                <c:pt idx="139">
                  <c:v>3.8350910834132308</c:v>
                </c:pt>
                <c:pt idx="140">
                  <c:v>3.862484591151897</c:v>
                </c:pt>
                <c:pt idx="141">
                  <c:v>3.8898780988905628</c:v>
                </c:pt>
                <c:pt idx="142">
                  <c:v>3.9172716066292286</c:v>
                </c:pt>
                <c:pt idx="143">
                  <c:v>3.9446651143678948</c:v>
                </c:pt>
                <c:pt idx="144">
                  <c:v>3.9720586221065606</c:v>
                </c:pt>
                <c:pt idx="145">
                  <c:v>3.9994521298452264</c:v>
                </c:pt>
                <c:pt idx="146">
                  <c:v>4.0268456375838921</c:v>
                </c:pt>
                <c:pt idx="147">
                  <c:v>4.0542391453225584</c:v>
                </c:pt>
                <c:pt idx="148">
                  <c:v>4.0816326530612246</c:v>
                </c:pt>
                <c:pt idx="149">
                  <c:v>4.1090261607998899</c:v>
                </c:pt>
                <c:pt idx="150">
                  <c:v>4.1364196685385561</c:v>
                </c:pt>
                <c:pt idx="151">
                  <c:v>4.1638131762772224</c:v>
                </c:pt>
                <c:pt idx="152">
                  <c:v>4.1912066840158877</c:v>
                </c:pt>
                <c:pt idx="153">
                  <c:v>4.2186001917545539</c:v>
                </c:pt>
                <c:pt idx="154">
                  <c:v>4.2459936994932201</c:v>
                </c:pt>
                <c:pt idx="155">
                  <c:v>4.2733872072318855</c:v>
                </c:pt>
                <c:pt idx="156">
                  <c:v>4.3007807149705517</c:v>
                </c:pt>
                <c:pt idx="157">
                  <c:v>4.3281742227092179</c:v>
                </c:pt>
                <c:pt idx="158">
                  <c:v>4.3555677304478841</c:v>
                </c:pt>
                <c:pt idx="159">
                  <c:v>4.3829612381865495</c:v>
                </c:pt>
                <c:pt idx="160">
                  <c:v>4.4103547459252157</c:v>
                </c:pt>
                <c:pt idx="161">
                  <c:v>4.4377482536638819</c:v>
                </c:pt>
                <c:pt idx="162">
                  <c:v>4.4651417614025473</c:v>
                </c:pt>
                <c:pt idx="163">
                  <c:v>4.4925352691412135</c:v>
                </c:pt>
                <c:pt idx="164">
                  <c:v>4.5199287768798797</c:v>
                </c:pt>
                <c:pt idx="165">
                  <c:v>4.547322284618545</c:v>
                </c:pt>
                <c:pt idx="166">
                  <c:v>4.5747157923572113</c:v>
                </c:pt>
                <c:pt idx="167">
                  <c:v>4.6021093000958775</c:v>
                </c:pt>
                <c:pt idx="168">
                  <c:v>4.6295028078345428</c:v>
                </c:pt>
                <c:pt idx="169">
                  <c:v>4.656896315573209</c:v>
                </c:pt>
                <c:pt idx="170">
                  <c:v>4.6842898233118753</c:v>
                </c:pt>
                <c:pt idx="171">
                  <c:v>4.7116833310505406</c:v>
                </c:pt>
                <c:pt idx="172">
                  <c:v>4.7390768387892068</c:v>
                </c:pt>
                <c:pt idx="173">
                  <c:v>4.766470346527873</c:v>
                </c:pt>
                <c:pt idx="174">
                  <c:v>4.7938638542665384</c:v>
                </c:pt>
                <c:pt idx="175">
                  <c:v>4.8212573620052046</c:v>
                </c:pt>
                <c:pt idx="176">
                  <c:v>4.8486508697438708</c:v>
                </c:pt>
                <c:pt idx="177">
                  <c:v>4.8760443774825362</c:v>
                </c:pt>
                <c:pt idx="178">
                  <c:v>4.9034378852212024</c:v>
                </c:pt>
                <c:pt idx="179">
                  <c:v>4.9308313929598686</c:v>
                </c:pt>
                <c:pt idx="180">
                  <c:v>4.9582249006985339</c:v>
                </c:pt>
                <c:pt idx="181">
                  <c:v>4.9856184084372002</c:v>
                </c:pt>
                <c:pt idx="182">
                  <c:v>5.0130119161758664</c:v>
                </c:pt>
                <c:pt idx="183">
                  <c:v>5.0404054239145317</c:v>
                </c:pt>
                <c:pt idx="184">
                  <c:v>5.0677989316531979</c:v>
                </c:pt>
                <c:pt idx="185">
                  <c:v>5.0951924393918642</c:v>
                </c:pt>
                <c:pt idx="186">
                  <c:v>5.1225859471305295</c:v>
                </c:pt>
                <c:pt idx="187">
                  <c:v>5.1499794548691957</c:v>
                </c:pt>
                <c:pt idx="188">
                  <c:v>5.177372962607862</c:v>
                </c:pt>
                <c:pt idx="189">
                  <c:v>5.2047664703465273</c:v>
                </c:pt>
                <c:pt idx="190">
                  <c:v>5.2321599780851935</c:v>
                </c:pt>
                <c:pt idx="191">
                  <c:v>5.2595534858238597</c:v>
                </c:pt>
                <c:pt idx="192">
                  <c:v>5.286946993562526</c:v>
                </c:pt>
                <c:pt idx="193">
                  <c:v>5.3143405013011913</c:v>
                </c:pt>
                <c:pt idx="194">
                  <c:v>5.3417340090398575</c:v>
                </c:pt>
                <c:pt idx="195">
                  <c:v>5.3691275167785237</c:v>
                </c:pt>
                <c:pt idx="196">
                  <c:v>5.3965210245171891</c:v>
                </c:pt>
                <c:pt idx="197">
                  <c:v>5.4239145322558553</c:v>
                </c:pt>
                <c:pt idx="198">
                  <c:v>5.4513080399945215</c:v>
                </c:pt>
                <c:pt idx="199">
                  <c:v>5.4787015477331868</c:v>
                </c:pt>
                <c:pt idx="200">
                  <c:v>5.5060950554718531</c:v>
                </c:pt>
                <c:pt idx="201">
                  <c:v>5.5334885632105193</c:v>
                </c:pt>
                <c:pt idx="202">
                  <c:v>5.5608820709491846</c:v>
                </c:pt>
                <c:pt idx="203">
                  <c:v>5.5882755786878509</c:v>
                </c:pt>
                <c:pt idx="204">
                  <c:v>5.6156690864265171</c:v>
                </c:pt>
                <c:pt idx="205">
                  <c:v>5.6430625941651824</c:v>
                </c:pt>
                <c:pt idx="206">
                  <c:v>5.6704561019038486</c:v>
                </c:pt>
                <c:pt idx="207">
                  <c:v>5.6978496096425149</c:v>
                </c:pt>
                <c:pt idx="208">
                  <c:v>5.7252431173811802</c:v>
                </c:pt>
                <c:pt idx="209">
                  <c:v>5.7526366251198464</c:v>
                </c:pt>
                <c:pt idx="210">
                  <c:v>5.7800301328585126</c:v>
                </c:pt>
                <c:pt idx="211">
                  <c:v>5.807423640597178</c:v>
                </c:pt>
                <c:pt idx="212">
                  <c:v>5.8348171483358442</c:v>
                </c:pt>
                <c:pt idx="213">
                  <c:v>5.8622106560745104</c:v>
                </c:pt>
                <c:pt idx="214">
                  <c:v>5.8896041638131758</c:v>
                </c:pt>
                <c:pt idx="215">
                  <c:v>5.916997671551842</c:v>
                </c:pt>
                <c:pt idx="216">
                  <c:v>5.9443911792905082</c:v>
                </c:pt>
                <c:pt idx="217">
                  <c:v>5.9717846870291735</c:v>
                </c:pt>
                <c:pt idx="218">
                  <c:v>5.9991781947678398</c:v>
                </c:pt>
                <c:pt idx="219">
                  <c:v>6.026571702506506</c:v>
                </c:pt>
                <c:pt idx="220">
                  <c:v>6.0539652102451713</c:v>
                </c:pt>
                <c:pt idx="221">
                  <c:v>6.0813587179838375</c:v>
                </c:pt>
                <c:pt idx="222">
                  <c:v>6.1087522257225038</c:v>
                </c:pt>
                <c:pt idx="223">
                  <c:v>6.1361457334611691</c:v>
                </c:pt>
                <c:pt idx="224">
                  <c:v>6.1635392411998353</c:v>
                </c:pt>
                <c:pt idx="225">
                  <c:v>6.1909327489385015</c:v>
                </c:pt>
                <c:pt idx="226">
                  <c:v>6.2183262566771669</c:v>
                </c:pt>
                <c:pt idx="227">
                  <c:v>6.2457197644158331</c:v>
                </c:pt>
                <c:pt idx="228">
                  <c:v>6.2731132721544993</c:v>
                </c:pt>
                <c:pt idx="229">
                  <c:v>6.3005067798931655</c:v>
                </c:pt>
                <c:pt idx="230">
                  <c:v>6.3279002876318309</c:v>
                </c:pt>
                <c:pt idx="231">
                  <c:v>6.3552937953704971</c:v>
                </c:pt>
                <c:pt idx="232">
                  <c:v>6.3826873031091633</c:v>
                </c:pt>
                <c:pt idx="233">
                  <c:v>6.4100808108478287</c:v>
                </c:pt>
                <c:pt idx="234">
                  <c:v>6.4374743185864949</c:v>
                </c:pt>
                <c:pt idx="235">
                  <c:v>6.4648678263251611</c:v>
                </c:pt>
                <c:pt idx="236">
                  <c:v>6.4922613340638264</c:v>
                </c:pt>
                <c:pt idx="237">
                  <c:v>6.5196548418024927</c:v>
                </c:pt>
                <c:pt idx="238">
                  <c:v>6.5470483495411589</c:v>
                </c:pt>
                <c:pt idx="239">
                  <c:v>6.5744418572798242</c:v>
                </c:pt>
                <c:pt idx="240">
                  <c:v>6.6018353650184904</c:v>
                </c:pt>
                <c:pt idx="241">
                  <c:v>6.6292288727571567</c:v>
                </c:pt>
                <c:pt idx="242">
                  <c:v>6.656622380495822</c:v>
                </c:pt>
                <c:pt idx="243">
                  <c:v>6.6840158882344882</c:v>
                </c:pt>
                <c:pt idx="244">
                  <c:v>6.7114093959731544</c:v>
                </c:pt>
                <c:pt idx="245">
                  <c:v>6.7388029037118198</c:v>
                </c:pt>
                <c:pt idx="246">
                  <c:v>6.766196411450486</c:v>
                </c:pt>
                <c:pt idx="247">
                  <c:v>6.7935899191891522</c:v>
                </c:pt>
                <c:pt idx="248">
                  <c:v>6.8209834269278176</c:v>
                </c:pt>
                <c:pt idx="249">
                  <c:v>6.8483769346664838</c:v>
                </c:pt>
                <c:pt idx="250">
                  <c:v>6.87577044240515</c:v>
                </c:pt>
                <c:pt idx="251">
                  <c:v>6.9031639501438153</c:v>
                </c:pt>
                <c:pt idx="252">
                  <c:v>6.9305574578824816</c:v>
                </c:pt>
                <c:pt idx="253">
                  <c:v>6.9579509656211478</c:v>
                </c:pt>
                <c:pt idx="254">
                  <c:v>6.9853444733598131</c:v>
                </c:pt>
                <c:pt idx="255">
                  <c:v>7.0127379810984793</c:v>
                </c:pt>
                <c:pt idx="256">
                  <c:v>7.0401314888371456</c:v>
                </c:pt>
                <c:pt idx="257">
                  <c:v>7.0675249965758109</c:v>
                </c:pt>
                <c:pt idx="258">
                  <c:v>7.0949185043144771</c:v>
                </c:pt>
                <c:pt idx="259">
                  <c:v>7.1223120120531433</c:v>
                </c:pt>
                <c:pt idx="260">
                  <c:v>7.1497055197918087</c:v>
                </c:pt>
                <c:pt idx="261">
                  <c:v>7.1770990275304749</c:v>
                </c:pt>
                <c:pt idx="262">
                  <c:v>7.2044925352691411</c:v>
                </c:pt>
                <c:pt idx="263">
                  <c:v>7.2318860430078074</c:v>
                </c:pt>
                <c:pt idx="264">
                  <c:v>7.2592795507464727</c:v>
                </c:pt>
                <c:pt idx="265">
                  <c:v>7.2866730584851389</c:v>
                </c:pt>
                <c:pt idx="266">
                  <c:v>7.3140665662238051</c:v>
                </c:pt>
                <c:pt idx="267">
                  <c:v>7.3414600739624705</c:v>
                </c:pt>
                <c:pt idx="268">
                  <c:v>7.3688535817011367</c:v>
                </c:pt>
                <c:pt idx="269">
                  <c:v>7.3962470894398029</c:v>
                </c:pt>
                <c:pt idx="270">
                  <c:v>7.4236405971784682</c:v>
                </c:pt>
                <c:pt idx="271">
                  <c:v>7.4510341049171345</c:v>
                </c:pt>
                <c:pt idx="272">
                  <c:v>7.4784276126558007</c:v>
                </c:pt>
                <c:pt idx="273">
                  <c:v>7.505821120394466</c:v>
                </c:pt>
                <c:pt idx="274">
                  <c:v>7.5332146281331323</c:v>
                </c:pt>
                <c:pt idx="275">
                  <c:v>7.5606081358717985</c:v>
                </c:pt>
                <c:pt idx="276">
                  <c:v>7.5880016436104638</c:v>
                </c:pt>
                <c:pt idx="277">
                  <c:v>7.61539515134913</c:v>
                </c:pt>
                <c:pt idx="278">
                  <c:v>7.6427886590877963</c:v>
                </c:pt>
                <c:pt idx="279">
                  <c:v>7.6701821668264616</c:v>
                </c:pt>
                <c:pt idx="280">
                  <c:v>7.6975756745651278</c:v>
                </c:pt>
                <c:pt idx="281">
                  <c:v>7.724969182303794</c:v>
                </c:pt>
                <c:pt idx="282">
                  <c:v>7.7523626900424594</c:v>
                </c:pt>
                <c:pt idx="283">
                  <c:v>7.7797561977811256</c:v>
                </c:pt>
                <c:pt idx="284">
                  <c:v>7.8071497055197918</c:v>
                </c:pt>
                <c:pt idx="285">
                  <c:v>7.8345432132584572</c:v>
                </c:pt>
                <c:pt idx="286">
                  <c:v>7.8619367209971234</c:v>
                </c:pt>
                <c:pt idx="287">
                  <c:v>7.8893302287357896</c:v>
                </c:pt>
                <c:pt idx="288">
                  <c:v>7.9167237364744549</c:v>
                </c:pt>
                <c:pt idx="289">
                  <c:v>7.9441172442131212</c:v>
                </c:pt>
                <c:pt idx="290">
                  <c:v>7.9715107519517874</c:v>
                </c:pt>
                <c:pt idx="291">
                  <c:v>7.9989042596904527</c:v>
                </c:pt>
                <c:pt idx="292">
                  <c:v>8.0262977674291189</c:v>
                </c:pt>
                <c:pt idx="293">
                  <c:v>8.0536912751677843</c:v>
                </c:pt>
                <c:pt idx="294">
                  <c:v>8.0810847829064514</c:v>
                </c:pt>
                <c:pt idx="295">
                  <c:v>8.1084782906451167</c:v>
                </c:pt>
                <c:pt idx="296">
                  <c:v>8.135871798383782</c:v>
                </c:pt>
                <c:pt idx="297">
                  <c:v>8.1632653061224492</c:v>
                </c:pt>
                <c:pt idx="298">
                  <c:v>8.1906588138611145</c:v>
                </c:pt>
                <c:pt idx="299">
                  <c:v>8.2180523215997798</c:v>
                </c:pt>
                <c:pt idx="300">
                  <c:v>8.2454458293384469</c:v>
                </c:pt>
                <c:pt idx="301">
                  <c:v>8.2728393370771123</c:v>
                </c:pt>
                <c:pt idx="302">
                  <c:v>8.3002328448157776</c:v>
                </c:pt>
                <c:pt idx="303">
                  <c:v>8.3276263525544447</c:v>
                </c:pt>
                <c:pt idx="304">
                  <c:v>8.3550198602931101</c:v>
                </c:pt>
                <c:pt idx="305">
                  <c:v>8.3824133680317754</c:v>
                </c:pt>
                <c:pt idx="306">
                  <c:v>8.4098068757704425</c:v>
                </c:pt>
                <c:pt idx="307">
                  <c:v>8.4372003835091078</c:v>
                </c:pt>
                <c:pt idx="308">
                  <c:v>8.4645938912477732</c:v>
                </c:pt>
                <c:pt idx="309">
                  <c:v>8.4919873989864403</c:v>
                </c:pt>
                <c:pt idx="310">
                  <c:v>8.5193809067251056</c:v>
                </c:pt>
                <c:pt idx="311">
                  <c:v>8.546774414463771</c:v>
                </c:pt>
                <c:pt idx="312">
                  <c:v>8.5741679222024381</c:v>
                </c:pt>
                <c:pt idx="313">
                  <c:v>8.6015614299411034</c:v>
                </c:pt>
                <c:pt idx="314">
                  <c:v>8.6289549376797705</c:v>
                </c:pt>
                <c:pt idx="315">
                  <c:v>8.6563484454184358</c:v>
                </c:pt>
                <c:pt idx="316">
                  <c:v>8.6837419531571012</c:v>
                </c:pt>
                <c:pt idx="317">
                  <c:v>8.7111354608957683</c:v>
                </c:pt>
                <c:pt idx="318">
                  <c:v>8.7385289686344336</c:v>
                </c:pt>
                <c:pt idx="319">
                  <c:v>8.765922476373099</c:v>
                </c:pt>
                <c:pt idx="320">
                  <c:v>8.7933159841117661</c:v>
                </c:pt>
                <c:pt idx="321">
                  <c:v>8.8207094918504314</c:v>
                </c:pt>
                <c:pt idx="322">
                  <c:v>8.8481029995890967</c:v>
                </c:pt>
                <c:pt idx="323">
                  <c:v>8.8754965073277639</c:v>
                </c:pt>
                <c:pt idx="324">
                  <c:v>8.9028900150664292</c:v>
                </c:pt>
                <c:pt idx="325">
                  <c:v>8.9302835228050945</c:v>
                </c:pt>
                <c:pt idx="326">
                  <c:v>8.9576770305437616</c:v>
                </c:pt>
                <c:pt idx="327">
                  <c:v>8.985070538282427</c:v>
                </c:pt>
                <c:pt idx="328">
                  <c:v>9.0124640460210923</c:v>
                </c:pt>
                <c:pt idx="329">
                  <c:v>9.0398575537597594</c:v>
                </c:pt>
                <c:pt idx="330">
                  <c:v>9.0672510614984247</c:v>
                </c:pt>
                <c:pt idx="331">
                  <c:v>9.0946445692370901</c:v>
                </c:pt>
                <c:pt idx="332">
                  <c:v>9.1220380769757572</c:v>
                </c:pt>
                <c:pt idx="333">
                  <c:v>9.1494315847144225</c:v>
                </c:pt>
                <c:pt idx="334">
                  <c:v>9.1768250924530879</c:v>
                </c:pt>
                <c:pt idx="335">
                  <c:v>9.204218600191755</c:v>
                </c:pt>
                <c:pt idx="336">
                  <c:v>9.2316121079304203</c:v>
                </c:pt>
                <c:pt idx="337">
                  <c:v>9.2590056156690856</c:v>
                </c:pt>
                <c:pt idx="338">
                  <c:v>9.2863991234077528</c:v>
                </c:pt>
                <c:pt idx="339">
                  <c:v>9.3137926311464181</c:v>
                </c:pt>
                <c:pt idx="340">
                  <c:v>9.3411861388850834</c:v>
                </c:pt>
                <c:pt idx="341">
                  <c:v>9.3685796466237505</c:v>
                </c:pt>
                <c:pt idx="342">
                  <c:v>9.3959731543624159</c:v>
                </c:pt>
                <c:pt idx="343">
                  <c:v>9.4233666621010812</c:v>
                </c:pt>
                <c:pt idx="344">
                  <c:v>9.4507601698397483</c:v>
                </c:pt>
                <c:pt idx="345">
                  <c:v>9.4781536775784136</c:v>
                </c:pt>
                <c:pt idx="346">
                  <c:v>9.505547185317079</c:v>
                </c:pt>
                <c:pt idx="347">
                  <c:v>9.5329406930557461</c:v>
                </c:pt>
                <c:pt idx="348">
                  <c:v>9.5603342007944114</c:v>
                </c:pt>
                <c:pt idx="349">
                  <c:v>9.5877277085330768</c:v>
                </c:pt>
                <c:pt idx="350">
                  <c:v>9.6151212162717439</c:v>
                </c:pt>
                <c:pt idx="351">
                  <c:v>9.6425147240104092</c:v>
                </c:pt>
                <c:pt idx="352">
                  <c:v>9.6699082317490745</c:v>
                </c:pt>
                <c:pt idx="353">
                  <c:v>9.6973017394877417</c:v>
                </c:pt>
                <c:pt idx="354">
                  <c:v>9.724695247226407</c:v>
                </c:pt>
                <c:pt idx="355">
                  <c:v>9.7520887549650723</c:v>
                </c:pt>
                <c:pt idx="356">
                  <c:v>9.7794822627037394</c:v>
                </c:pt>
                <c:pt idx="357">
                  <c:v>9.8068757704424048</c:v>
                </c:pt>
                <c:pt idx="358">
                  <c:v>9.8342692781810701</c:v>
                </c:pt>
                <c:pt idx="359">
                  <c:v>9.8616627859197372</c:v>
                </c:pt>
                <c:pt idx="360">
                  <c:v>9.8890562936584026</c:v>
                </c:pt>
                <c:pt idx="361">
                  <c:v>9.9164498013970679</c:v>
                </c:pt>
                <c:pt idx="362">
                  <c:v>9.943843309135735</c:v>
                </c:pt>
                <c:pt idx="363">
                  <c:v>9.9712368168744003</c:v>
                </c:pt>
                <c:pt idx="364">
                  <c:v>9.9986303246130657</c:v>
                </c:pt>
                <c:pt idx="365">
                  <c:v>10.026023832351733</c:v>
                </c:pt>
                <c:pt idx="366">
                  <c:v>10.053417340090398</c:v>
                </c:pt>
                <c:pt idx="367">
                  <c:v>10.080810847829063</c:v>
                </c:pt>
                <c:pt idx="368">
                  <c:v>10.108204355567731</c:v>
                </c:pt>
                <c:pt idx="369">
                  <c:v>10.135597863306396</c:v>
                </c:pt>
                <c:pt idx="370">
                  <c:v>10.162991371045061</c:v>
                </c:pt>
                <c:pt idx="371">
                  <c:v>10.190384878783728</c:v>
                </c:pt>
                <c:pt idx="372">
                  <c:v>10.217778386522394</c:v>
                </c:pt>
                <c:pt idx="373">
                  <c:v>10.245171894261059</c:v>
                </c:pt>
                <c:pt idx="374">
                  <c:v>10.272565401999726</c:v>
                </c:pt>
                <c:pt idx="375">
                  <c:v>10.299958909738391</c:v>
                </c:pt>
                <c:pt idx="376">
                  <c:v>10.327352417477057</c:v>
                </c:pt>
                <c:pt idx="377">
                  <c:v>10.354745925215724</c:v>
                </c:pt>
                <c:pt idx="378">
                  <c:v>10.382139432954389</c:v>
                </c:pt>
                <c:pt idx="379">
                  <c:v>10.409532940693055</c:v>
                </c:pt>
                <c:pt idx="380">
                  <c:v>10.436926448431722</c:v>
                </c:pt>
                <c:pt idx="381">
                  <c:v>10.464319956170387</c:v>
                </c:pt>
                <c:pt idx="382">
                  <c:v>10.491713463909052</c:v>
                </c:pt>
                <c:pt idx="383">
                  <c:v>10.519106971647719</c:v>
                </c:pt>
                <c:pt idx="384">
                  <c:v>10.546500479386385</c:v>
                </c:pt>
                <c:pt idx="385">
                  <c:v>10.573893987125052</c:v>
                </c:pt>
                <c:pt idx="386">
                  <c:v>10.601287494863717</c:v>
                </c:pt>
                <c:pt idx="387">
                  <c:v>10.628681002602383</c:v>
                </c:pt>
                <c:pt idx="388">
                  <c:v>10.65607451034105</c:v>
                </c:pt>
                <c:pt idx="389">
                  <c:v>10.683468018079715</c:v>
                </c:pt>
                <c:pt idx="390">
                  <c:v>10.71086152581838</c:v>
                </c:pt>
                <c:pt idx="391">
                  <c:v>10.738255033557047</c:v>
                </c:pt>
                <c:pt idx="392">
                  <c:v>10.765648541295713</c:v>
                </c:pt>
                <c:pt idx="393">
                  <c:v>10.793042049034378</c:v>
                </c:pt>
                <c:pt idx="394">
                  <c:v>10.820435556773045</c:v>
                </c:pt>
                <c:pt idx="395">
                  <c:v>10.847829064511711</c:v>
                </c:pt>
                <c:pt idx="396">
                  <c:v>10.875222572250376</c:v>
                </c:pt>
                <c:pt idx="397">
                  <c:v>10.902616079989043</c:v>
                </c:pt>
                <c:pt idx="398">
                  <c:v>10.930009587727708</c:v>
                </c:pt>
                <c:pt idx="399">
                  <c:v>10.957403095466374</c:v>
                </c:pt>
                <c:pt idx="400">
                  <c:v>10.984796603205041</c:v>
                </c:pt>
                <c:pt idx="401">
                  <c:v>11.012190110943706</c:v>
                </c:pt>
                <c:pt idx="402">
                  <c:v>11.039583618682371</c:v>
                </c:pt>
                <c:pt idx="403">
                  <c:v>11.066977126421039</c:v>
                </c:pt>
                <c:pt idx="404">
                  <c:v>11.094370634159704</c:v>
                </c:pt>
                <c:pt idx="405">
                  <c:v>11.121764141898369</c:v>
                </c:pt>
                <c:pt idx="406">
                  <c:v>11.149157649637036</c:v>
                </c:pt>
                <c:pt idx="407">
                  <c:v>11.176551157375702</c:v>
                </c:pt>
                <c:pt idx="408">
                  <c:v>11.203944665114367</c:v>
                </c:pt>
                <c:pt idx="409">
                  <c:v>11.231338172853034</c:v>
                </c:pt>
                <c:pt idx="410">
                  <c:v>11.258731680591699</c:v>
                </c:pt>
                <c:pt idx="411">
                  <c:v>11.286125188330365</c:v>
                </c:pt>
                <c:pt idx="412">
                  <c:v>11.313518696069032</c:v>
                </c:pt>
                <c:pt idx="413">
                  <c:v>11.340912203807697</c:v>
                </c:pt>
                <c:pt idx="414">
                  <c:v>11.368305711546363</c:v>
                </c:pt>
                <c:pt idx="415">
                  <c:v>11.39569921928503</c:v>
                </c:pt>
                <c:pt idx="416">
                  <c:v>11.423092727023695</c:v>
                </c:pt>
                <c:pt idx="417">
                  <c:v>11.45048623476236</c:v>
                </c:pt>
                <c:pt idx="418">
                  <c:v>11.477879742501027</c:v>
                </c:pt>
                <c:pt idx="419">
                  <c:v>11.505273250239693</c:v>
                </c:pt>
                <c:pt idx="420">
                  <c:v>11.532666757978358</c:v>
                </c:pt>
                <c:pt idx="421">
                  <c:v>11.560060265717025</c:v>
                </c:pt>
                <c:pt idx="422">
                  <c:v>11.587453773455691</c:v>
                </c:pt>
                <c:pt idx="423">
                  <c:v>11.614847281194356</c:v>
                </c:pt>
                <c:pt idx="424">
                  <c:v>11.642240788933023</c:v>
                </c:pt>
                <c:pt idx="425">
                  <c:v>11.669634296671688</c:v>
                </c:pt>
                <c:pt idx="426">
                  <c:v>11.697027804410354</c:v>
                </c:pt>
                <c:pt idx="427">
                  <c:v>11.724421312149021</c:v>
                </c:pt>
                <c:pt idx="428">
                  <c:v>11.751814819887686</c:v>
                </c:pt>
                <c:pt idx="429">
                  <c:v>11.779208327626352</c:v>
                </c:pt>
                <c:pt idx="430">
                  <c:v>11.806601835365019</c:v>
                </c:pt>
                <c:pt idx="431">
                  <c:v>11.833995343103684</c:v>
                </c:pt>
                <c:pt idx="432">
                  <c:v>11.861388850842349</c:v>
                </c:pt>
                <c:pt idx="433">
                  <c:v>11.888782358581016</c:v>
                </c:pt>
                <c:pt idx="434">
                  <c:v>11.916175866319682</c:v>
                </c:pt>
                <c:pt idx="435">
                  <c:v>11.943569374058347</c:v>
                </c:pt>
                <c:pt idx="436">
                  <c:v>11.970962881797014</c:v>
                </c:pt>
                <c:pt idx="437">
                  <c:v>11.99835638953568</c:v>
                </c:pt>
                <c:pt idx="438">
                  <c:v>12.025749897274345</c:v>
                </c:pt>
                <c:pt idx="439">
                  <c:v>12.053143405013012</c:v>
                </c:pt>
                <c:pt idx="440">
                  <c:v>12.080536912751677</c:v>
                </c:pt>
                <c:pt idx="441">
                  <c:v>12.107930420490343</c:v>
                </c:pt>
                <c:pt idx="442">
                  <c:v>12.13532392822901</c:v>
                </c:pt>
                <c:pt idx="443">
                  <c:v>12.162717435967675</c:v>
                </c:pt>
                <c:pt idx="444">
                  <c:v>12.19011094370634</c:v>
                </c:pt>
                <c:pt idx="445">
                  <c:v>12.217504451445008</c:v>
                </c:pt>
                <c:pt idx="446">
                  <c:v>12.244897959183673</c:v>
                </c:pt>
                <c:pt idx="447">
                  <c:v>12.272291466922338</c:v>
                </c:pt>
                <c:pt idx="448">
                  <c:v>12.299684974661005</c:v>
                </c:pt>
                <c:pt idx="449">
                  <c:v>12.327078482399671</c:v>
                </c:pt>
                <c:pt idx="450">
                  <c:v>12.354471990138336</c:v>
                </c:pt>
                <c:pt idx="451">
                  <c:v>12.381865497877003</c:v>
                </c:pt>
                <c:pt idx="452">
                  <c:v>12.409259005615668</c:v>
                </c:pt>
                <c:pt idx="453">
                  <c:v>12.436652513354334</c:v>
                </c:pt>
                <c:pt idx="454">
                  <c:v>12.464046021093001</c:v>
                </c:pt>
                <c:pt idx="455">
                  <c:v>12.491439528831666</c:v>
                </c:pt>
                <c:pt idx="456">
                  <c:v>12.518833036570333</c:v>
                </c:pt>
                <c:pt idx="457">
                  <c:v>12.546226544308999</c:v>
                </c:pt>
                <c:pt idx="458">
                  <c:v>12.573620052047664</c:v>
                </c:pt>
                <c:pt idx="459">
                  <c:v>12.601013559786331</c:v>
                </c:pt>
                <c:pt idx="460">
                  <c:v>12.628407067524996</c:v>
                </c:pt>
                <c:pt idx="461">
                  <c:v>12.655800575263662</c:v>
                </c:pt>
                <c:pt idx="462">
                  <c:v>12.683194083002329</c:v>
                </c:pt>
                <c:pt idx="463">
                  <c:v>12.710587590740994</c:v>
                </c:pt>
                <c:pt idx="464">
                  <c:v>12.73798109847966</c:v>
                </c:pt>
                <c:pt idx="465">
                  <c:v>12.765374606218327</c:v>
                </c:pt>
                <c:pt idx="466">
                  <c:v>12.792768113956992</c:v>
                </c:pt>
                <c:pt idx="467">
                  <c:v>12.820161621695657</c:v>
                </c:pt>
                <c:pt idx="468">
                  <c:v>12.847555129434324</c:v>
                </c:pt>
                <c:pt idx="469">
                  <c:v>12.87494863717299</c:v>
                </c:pt>
                <c:pt idx="470">
                  <c:v>12.902342144911655</c:v>
                </c:pt>
                <c:pt idx="471">
                  <c:v>12.929735652650322</c:v>
                </c:pt>
                <c:pt idx="472">
                  <c:v>12.957129160388988</c:v>
                </c:pt>
                <c:pt idx="473">
                  <c:v>12.984522668127653</c:v>
                </c:pt>
                <c:pt idx="474">
                  <c:v>13.01191617586632</c:v>
                </c:pt>
                <c:pt idx="475">
                  <c:v>13.039309683604985</c:v>
                </c:pt>
                <c:pt idx="476">
                  <c:v>13.066703191343651</c:v>
                </c:pt>
                <c:pt idx="477">
                  <c:v>13.094096699082318</c:v>
                </c:pt>
                <c:pt idx="478">
                  <c:v>13.121490206820983</c:v>
                </c:pt>
                <c:pt idx="479">
                  <c:v>13.148883714559648</c:v>
                </c:pt>
                <c:pt idx="480">
                  <c:v>13.176277222298316</c:v>
                </c:pt>
                <c:pt idx="481">
                  <c:v>13.203670730036981</c:v>
                </c:pt>
                <c:pt idx="482">
                  <c:v>13.231064237775646</c:v>
                </c:pt>
                <c:pt idx="483">
                  <c:v>13.258457745514313</c:v>
                </c:pt>
                <c:pt idx="484">
                  <c:v>13.285851253252979</c:v>
                </c:pt>
                <c:pt idx="485">
                  <c:v>13.313244760991644</c:v>
                </c:pt>
                <c:pt idx="486">
                  <c:v>13.340638268730311</c:v>
                </c:pt>
                <c:pt idx="487">
                  <c:v>13.368031776468976</c:v>
                </c:pt>
                <c:pt idx="488">
                  <c:v>13.395425284207642</c:v>
                </c:pt>
                <c:pt idx="489">
                  <c:v>13.422818791946309</c:v>
                </c:pt>
                <c:pt idx="490">
                  <c:v>13.450212299684974</c:v>
                </c:pt>
                <c:pt idx="491">
                  <c:v>13.47760580742364</c:v>
                </c:pt>
                <c:pt idx="492">
                  <c:v>13.504999315162307</c:v>
                </c:pt>
                <c:pt idx="493">
                  <c:v>13.532392822900972</c:v>
                </c:pt>
                <c:pt idx="494">
                  <c:v>13.559786330639637</c:v>
                </c:pt>
                <c:pt idx="495">
                  <c:v>13.587179838378304</c:v>
                </c:pt>
                <c:pt idx="496">
                  <c:v>13.61457334611697</c:v>
                </c:pt>
                <c:pt idx="497">
                  <c:v>13.641966853855635</c:v>
                </c:pt>
                <c:pt idx="498">
                  <c:v>13.669360361594302</c:v>
                </c:pt>
                <c:pt idx="499">
                  <c:v>13.696753869332968</c:v>
                </c:pt>
                <c:pt idx="500">
                  <c:v>13.724147377071633</c:v>
                </c:pt>
                <c:pt idx="501">
                  <c:v>13.7515408848103</c:v>
                </c:pt>
                <c:pt idx="502">
                  <c:v>13.778934392548965</c:v>
                </c:pt>
                <c:pt idx="503">
                  <c:v>13.806327900287631</c:v>
                </c:pt>
                <c:pt idx="504">
                  <c:v>13.833721408026298</c:v>
                </c:pt>
                <c:pt idx="505">
                  <c:v>13.861114915764963</c:v>
                </c:pt>
                <c:pt idx="506">
                  <c:v>13.888508423503628</c:v>
                </c:pt>
                <c:pt idx="507">
                  <c:v>13.915901931242296</c:v>
                </c:pt>
                <c:pt idx="508">
                  <c:v>13.943295438980961</c:v>
                </c:pt>
                <c:pt idx="509">
                  <c:v>13.970688946719626</c:v>
                </c:pt>
                <c:pt idx="510">
                  <c:v>13.998082454458293</c:v>
                </c:pt>
                <c:pt idx="511">
                  <c:v>14.025475962196959</c:v>
                </c:pt>
                <c:pt idx="512">
                  <c:v>14.052869469935624</c:v>
                </c:pt>
                <c:pt idx="513">
                  <c:v>14.080262977674291</c:v>
                </c:pt>
                <c:pt idx="514">
                  <c:v>14.107656485412956</c:v>
                </c:pt>
                <c:pt idx="515">
                  <c:v>14.135049993151622</c:v>
                </c:pt>
                <c:pt idx="516">
                  <c:v>14.162443500890289</c:v>
                </c:pt>
                <c:pt idx="517">
                  <c:v>14.189837008628954</c:v>
                </c:pt>
                <c:pt idx="518">
                  <c:v>14.21723051636762</c:v>
                </c:pt>
                <c:pt idx="519">
                  <c:v>14.244624024106287</c:v>
                </c:pt>
                <c:pt idx="520">
                  <c:v>14.272017531844952</c:v>
                </c:pt>
                <c:pt idx="521">
                  <c:v>14.299411039583617</c:v>
                </c:pt>
                <c:pt idx="522">
                  <c:v>14.326804547322284</c:v>
                </c:pt>
                <c:pt idx="523">
                  <c:v>14.35419805506095</c:v>
                </c:pt>
                <c:pt idx="524">
                  <c:v>14.381591562799617</c:v>
                </c:pt>
                <c:pt idx="525">
                  <c:v>14.408985070538282</c:v>
                </c:pt>
                <c:pt idx="526">
                  <c:v>14.436378578276948</c:v>
                </c:pt>
                <c:pt idx="527">
                  <c:v>14.463772086015615</c:v>
                </c:pt>
                <c:pt idx="528">
                  <c:v>14.49116559375428</c:v>
                </c:pt>
                <c:pt idx="529">
                  <c:v>14.518559101492945</c:v>
                </c:pt>
                <c:pt idx="530">
                  <c:v>14.545952609231612</c:v>
                </c:pt>
                <c:pt idx="531">
                  <c:v>14.573346116970278</c:v>
                </c:pt>
                <c:pt idx="532">
                  <c:v>14.600739624708943</c:v>
                </c:pt>
                <c:pt idx="533">
                  <c:v>14.62813313244761</c:v>
                </c:pt>
                <c:pt idx="534">
                  <c:v>14.655526640186276</c:v>
                </c:pt>
                <c:pt idx="535">
                  <c:v>14.682920147924941</c:v>
                </c:pt>
                <c:pt idx="536">
                  <c:v>14.710313655663608</c:v>
                </c:pt>
                <c:pt idx="537">
                  <c:v>14.737707163402273</c:v>
                </c:pt>
                <c:pt idx="538">
                  <c:v>14.765100671140939</c:v>
                </c:pt>
                <c:pt idx="539">
                  <c:v>14.792494178879606</c:v>
                </c:pt>
                <c:pt idx="540">
                  <c:v>14.819887686618271</c:v>
                </c:pt>
                <c:pt idx="541">
                  <c:v>14.847281194356936</c:v>
                </c:pt>
                <c:pt idx="542">
                  <c:v>14.874674702095604</c:v>
                </c:pt>
                <c:pt idx="543">
                  <c:v>14.902068209834269</c:v>
                </c:pt>
                <c:pt idx="544">
                  <c:v>14.929461717572934</c:v>
                </c:pt>
                <c:pt idx="545">
                  <c:v>14.956855225311601</c:v>
                </c:pt>
                <c:pt idx="546">
                  <c:v>14.984248733050267</c:v>
                </c:pt>
                <c:pt idx="547">
                  <c:v>15.011642240788932</c:v>
                </c:pt>
                <c:pt idx="548">
                  <c:v>15.039035748527599</c:v>
                </c:pt>
                <c:pt idx="549">
                  <c:v>15.066429256266265</c:v>
                </c:pt>
                <c:pt idx="550">
                  <c:v>15.09382276400493</c:v>
                </c:pt>
                <c:pt idx="551">
                  <c:v>15.121216271743597</c:v>
                </c:pt>
                <c:pt idx="552">
                  <c:v>15.148609779482262</c:v>
                </c:pt>
                <c:pt idx="553">
                  <c:v>15.176003287220928</c:v>
                </c:pt>
                <c:pt idx="554">
                  <c:v>15.203396794959595</c:v>
                </c:pt>
                <c:pt idx="555">
                  <c:v>15.23079030269826</c:v>
                </c:pt>
                <c:pt idx="556">
                  <c:v>15.258183810436925</c:v>
                </c:pt>
                <c:pt idx="557">
                  <c:v>15.285577318175593</c:v>
                </c:pt>
                <c:pt idx="558">
                  <c:v>15.312970825914258</c:v>
                </c:pt>
                <c:pt idx="559">
                  <c:v>15.340364333652923</c:v>
                </c:pt>
                <c:pt idx="560">
                  <c:v>15.36775784139159</c:v>
                </c:pt>
                <c:pt idx="561">
                  <c:v>15.395151349130256</c:v>
                </c:pt>
                <c:pt idx="562">
                  <c:v>15.422544856868921</c:v>
                </c:pt>
                <c:pt idx="563">
                  <c:v>15.449938364607588</c:v>
                </c:pt>
                <c:pt idx="564">
                  <c:v>15.477331872346253</c:v>
                </c:pt>
                <c:pt idx="565">
                  <c:v>15.504725380084919</c:v>
                </c:pt>
                <c:pt idx="566">
                  <c:v>15.532118887823586</c:v>
                </c:pt>
                <c:pt idx="567">
                  <c:v>15.559512395562251</c:v>
                </c:pt>
                <c:pt idx="568">
                  <c:v>15.586905903300917</c:v>
                </c:pt>
                <c:pt idx="569">
                  <c:v>15.614299411039584</c:v>
                </c:pt>
                <c:pt idx="570">
                  <c:v>15.641692918778249</c:v>
                </c:pt>
                <c:pt idx="571">
                  <c:v>15.669086426516914</c:v>
                </c:pt>
                <c:pt idx="572">
                  <c:v>15.696479934255581</c:v>
                </c:pt>
                <c:pt idx="573">
                  <c:v>15.723873441994247</c:v>
                </c:pt>
                <c:pt idx="574">
                  <c:v>15.751266949732912</c:v>
                </c:pt>
                <c:pt idx="575">
                  <c:v>15.778660457471579</c:v>
                </c:pt>
                <c:pt idx="576">
                  <c:v>15.806053965210245</c:v>
                </c:pt>
                <c:pt idx="577">
                  <c:v>15.83344747294891</c:v>
                </c:pt>
                <c:pt idx="578">
                  <c:v>15.860840980687577</c:v>
                </c:pt>
                <c:pt idx="579">
                  <c:v>15.888234488426242</c:v>
                </c:pt>
                <c:pt idx="580">
                  <c:v>15.915627996164908</c:v>
                </c:pt>
                <c:pt idx="581">
                  <c:v>15.943021503903575</c:v>
                </c:pt>
                <c:pt idx="582">
                  <c:v>15.97041501164224</c:v>
                </c:pt>
                <c:pt idx="583">
                  <c:v>15.997808519380905</c:v>
                </c:pt>
                <c:pt idx="584">
                  <c:v>16.025202027119573</c:v>
                </c:pt>
                <c:pt idx="585">
                  <c:v>16.052595534858238</c:v>
                </c:pt>
                <c:pt idx="586">
                  <c:v>16.079989042596903</c:v>
                </c:pt>
                <c:pt idx="587">
                  <c:v>16.107382550335569</c:v>
                </c:pt>
                <c:pt idx="588">
                  <c:v>16.134776058074237</c:v>
                </c:pt>
                <c:pt idx="589">
                  <c:v>16.162169565812903</c:v>
                </c:pt>
                <c:pt idx="590">
                  <c:v>16.189563073551568</c:v>
                </c:pt>
                <c:pt idx="591">
                  <c:v>16.216956581290233</c:v>
                </c:pt>
                <c:pt idx="592">
                  <c:v>16.244350089028899</c:v>
                </c:pt>
                <c:pt idx="593">
                  <c:v>16.271743596767564</c:v>
                </c:pt>
                <c:pt idx="594">
                  <c:v>16.299137104506233</c:v>
                </c:pt>
                <c:pt idx="595">
                  <c:v>16.326530612244898</c:v>
                </c:pt>
                <c:pt idx="596">
                  <c:v>16.353924119983564</c:v>
                </c:pt>
                <c:pt idx="597">
                  <c:v>16.381317627722229</c:v>
                </c:pt>
                <c:pt idx="598">
                  <c:v>16.408711135460894</c:v>
                </c:pt>
                <c:pt idx="599">
                  <c:v>16.43610464319956</c:v>
                </c:pt>
                <c:pt idx="600">
                  <c:v>16.463498150938229</c:v>
                </c:pt>
                <c:pt idx="601">
                  <c:v>16.490891658676894</c:v>
                </c:pt>
                <c:pt idx="602">
                  <c:v>16.518285166415559</c:v>
                </c:pt>
                <c:pt idx="603">
                  <c:v>16.545678674154225</c:v>
                </c:pt>
                <c:pt idx="604">
                  <c:v>16.57307218189289</c:v>
                </c:pt>
                <c:pt idx="605">
                  <c:v>16.600465689631555</c:v>
                </c:pt>
                <c:pt idx="606">
                  <c:v>16.627859197370224</c:v>
                </c:pt>
                <c:pt idx="607">
                  <c:v>16.655252705108889</c:v>
                </c:pt>
                <c:pt idx="608">
                  <c:v>16.682646212847555</c:v>
                </c:pt>
                <c:pt idx="609">
                  <c:v>16.71003972058622</c:v>
                </c:pt>
                <c:pt idx="610">
                  <c:v>16.737433228324885</c:v>
                </c:pt>
                <c:pt idx="611">
                  <c:v>16.764826736063551</c:v>
                </c:pt>
                <c:pt idx="612">
                  <c:v>16.79222024380222</c:v>
                </c:pt>
                <c:pt idx="613">
                  <c:v>16.819613751540885</c:v>
                </c:pt>
                <c:pt idx="614">
                  <c:v>16.84700725927955</c:v>
                </c:pt>
                <c:pt idx="615">
                  <c:v>16.874400767018216</c:v>
                </c:pt>
                <c:pt idx="616">
                  <c:v>16.901794274756881</c:v>
                </c:pt>
                <c:pt idx="617">
                  <c:v>16.929187782495546</c:v>
                </c:pt>
                <c:pt idx="618">
                  <c:v>16.956581290234215</c:v>
                </c:pt>
                <c:pt idx="619">
                  <c:v>16.983974797972881</c:v>
                </c:pt>
                <c:pt idx="620">
                  <c:v>17.011368305711546</c:v>
                </c:pt>
                <c:pt idx="621">
                  <c:v>17.038761813450211</c:v>
                </c:pt>
                <c:pt idx="622">
                  <c:v>17.066155321188877</c:v>
                </c:pt>
                <c:pt idx="623">
                  <c:v>17.093548828927542</c:v>
                </c:pt>
                <c:pt idx="624">
                  <c:v>17.120942336666211</c:v>
                </c:pt>
                <c:pt idx="625">
                  <c:v>17.148335844404876</c:v>
                </c:pt>
                <c:pt idx="626">
                  <c:v>17.175729352143541</c:v>
                </c:pt>
                <c:pt idx="627">
                  <c:v>17.203122859882207</c:v>
                </c:pt>
                <c:pt idx="628">
                  <c:v>17.230516367620872</c:v>
                </c:pt>
                <c:pt idx="629">
                  <c:v>17.257909875359541</c:v>
                </c:pt>
                <c:pt idx="630">
                  <c:v>17.285303383098206</c:v>
                </c:pt>
                <c:pt idx="631">
                  <c:v>17.312696890836872</c:v>
                </c:pt>
                <c:pt idx="632">
                  <c:v>17.340090398575537</c:v>
                </c:pt>
                <c:pt idx="633">
                  <c:v>17.367483906314202</c:v>
                </c:pt>
                <c:pt idx="634">
                  <c:v>17.394877414052868</c:v>
                </c:pt>
                <c:pt idx="635">
                  <c:v>17.422270921791537</c:v>
                </c:pt>
                <c:pt idx="636">
                  <c:v>17.449664429530202</c:v>
                </c:pt>
                <c:pt idx="637">
                  <c:v>17.477057937268867</c:v>
                </c:pt>
                <c:pt idx="638">
                  <c:v>17.504451445007533</c:v>
                </c:pt>
                <c:pt idx="639">
                  <c:v>17.531844952746198</c:v>
                </c:pt>
                <c:pt idx="640">
                  <c:v>17.559238460484863</c:v>
                </c:pt>
                <c:pt idx="641">
                  <c:v>17.586631968223532</c:v>
                </c:pt>
                <c:pt idx="642">
                  <c:v>17.614025475962197</c:v>
                </c:pt>
                <c:pt idx="643">
                  <c:v>17.641418983700863</c:v>
                </c:pt>
                <c:pt idx="644">
                  <c:v>17.668812491439528</c:v>
                </c:pt>
                <c:pt idx="645">
                  <c:v>17.696205999178193</c:v>
                </c:pt>
                <c:pt idx="646">
                  <c:v>17.723599506916859</c:v>
                </c:pt>
                <c:pt idx="647">
                  <c:v>17.750993014655528</c:v>
                </c:pt>
                <c:pt idx="648">
                  <c:v>17.778386522394193</c:v>
                </c:pt>
                <c:pt idx="649">
                  <c:v>17.805780030132858</c:v>
                </c:pt>
                <c:pt idx="650">
                  <c:v>17.833173537871524</c:v>
                </c:pt>
                <c:pt idx="651">
                  <c:v>17.860567045610189</c:v>
                </c:pt>
                <c:pt idx="652">
                  <c:v>17.887960553348854</c:v>
                </c:pt>
                <c:pt idx="653">
                  <c:v>17.915354061087523</c:v>
                </c:pt>
                <c:pt idx="654">
                  <c:v>17.942747568826189</c:v>
                </c:pt>
                <c:pt idx="655">
                  <c:v>17.970141076564854</c:v>
                </c:pt>
                <c:pt idx="656">
                  <c:v>17.997534584303519</c:v>
                </c:pt>
                <c:pt idx="657">
                  <c:v>18.024928092042185</c:v>
                </c:pt>
                <c:pt idx="658">
                  <c:v>18.05232159978085</c:v>
                </c:pt>
                <c:pt idx="659">
                  <c:v>18.079715107519519</c:v>
                </c:pt>
                <c:pt idx="660">
                  <c:v>18.107108615258184</c:v>
                </c:pt>
                <c:pt idx="661">
                  <c:v>18.134502122996849</c:v>
                </c:pt>
                <c:pt idx="662">
                  <c:v>18.161895630735515</c:v>
                </c:pt>
                <c:pt idx="663">
                  <c:v>18.18928913847418</c:v>
                </c:pt>
                <c:pt idx="664">
                  <c:v>18.216682646212845</c:v>
                </c:pt>
                <c:pt idx="665">
                  <c:v>18.244076153951514</c:v>
                </c:pt>
                <c:pt idx="666">
                  <c:v>18.27146966169018</c:v>
                </c:pt>
                <c:pt idx="667">
                  <c:v>18.298863169428845</c:v>
                </c:pt>
                <c:pt idx="668">
                  <c:v>18.32625667716751</c:v>
                </c:pt>
                <c:pt idx="669">
                  <c:v>18.353650184906176</c:v>
                </c:pt>
                <c:pt idx="670">
                  <c:v>18.381043692644841</c:v>
                </c:pt>
                <c:pt idx="671">
                  <c:v>18.40843720038351</c:v>
                </c:pt>
                <c:pt idx="672">
                  <c:v>18.435830708122175</c:v>
                </c:pt>
                <c:pt idx="673">
                  <c:v>18.463224215860841</c:v>
                </c:pt>
                <c:pt idx="674">
                  <c:v>18.490617723599506</c:v>
                </c:pt>
                <c:pt idx="675">
                  <c:v>18.518011231338171</c:v>
                </c:pt>
                <c:pt idx="676">
                  <c:v>18.545404739076837</c:v>
                </c:pt>
                <c:pt idx="677">
                  <c:v>18.572798246815506</c:v>
                </c:pt>
                <c:pt idx="678">
                  <c:v>18.600191754554171</c:v>
                </c:pt>
                <c:pt idx="679">
                  <c:v>18.627585262292836</c:v>
                </c:pt>
                <c:pt idx="680">
                  <c:v>18.654978770031502</c:v>
                </c:pt>
                <c:pt idx="681">
                  <c:v>18.682372277770167</c:v>
                </c:pt>
                <c:pt idx="682">
                  <c:v>18.709765785508832</c:v>
                </c:pt>
                <c:pt idx="683">
                  <c:v>18.737159293247501</c:v>
                </c:pt>
                <c:pt idx="684">
                  <c:v>18.764552800986166</c:v>
                </c:pt>
                <c:pt idx="685">
                  <c:v>18.791946308724832</c:v>
                </c:pt>
                <c:pt idx="686">
                  <c:v>18.819339816463497</c:v>
                </c:pt>
                <c:pt idx="687">
                  <c:v>18.846733324202162</c:v>
                </c:pt>
                <c:pt idx="688">
                  <c:v>18.874126831940828</c:v>
                </c:pt>
                <c:pt idx="689">
                  <c:v>18.901520339679497</c:v>
                </c:pt>
                <c:pt idx="690">
                  <c:v>18.928913847418162</c:v>
                </c:pt>
                <c:pt idx="691">
                  <c:v>18.956307355156827</c:v>
                </c:pt>
                <c:pt idx="692">
                  <c:v>18.983700862895493</c:v>
                </c:pt>
                <c:pt idx="693">
                  <c:v>19.011094370634158</c:v>
                </c:pt>
                <c:pt idx="694">
                  <c:v>19.038487878372823</c:v>
                </c:pt>
                <c:pt idx="695">
                  <c:v>19.065881386111492</c:v>
                </c:pt>
                <c:pt idx="696">
                  <c:v>19.093274893850158</c:v>
                </c:pt>
                <c:pt idx="697">
                  <c:v>19.120668401588823</c:v>
                </c:pt>
                <c:pt idx="698">
                  <c:v>19.148061909327488</c:v>
                </c:pt>
                <c:pt idx="699">
                  <c:v>19.175455417066154</c:v>
                </c:pt>
                <c:pt idx="700">
                  <c:v>19.202848924804822</c:v>
                </c:pt>
                <c:pt idx="701">
                  <c:v>19.230242432543488</c:v>
                </c:pt>
                <c:pt idx="702">
                  <c:v>19.257635940282153</c:v>
                </c:pt>
                <c:pt idx="703">
                  <c:v>19.285029448020818</c:v>
                </c:pt>
                <c:pt idx="704">
                  <c:v>19.312422955759484</c:v>
                </c:pt>
                <c:pt idx="705">
                  <c:v>19.339816463498149</c:v>
                </c:pt>
                <c:pt idx="706">
                  <c:v>19.367209971236818</c:v>
                </c:pt>
                <c:pt idx="707">
                  <c:v>19.394603478975483</c:v>
                </c:pt>
                <c:pt idx="708">
                  <c:v>19.421996986714149</c:v>
                </c:pt>
                <c:pt idx="709">
                  <c:v>19.449390494452814</c:v>
                </c:pt>
                <c:pt idx="710">
                  <c:v>19.476784002191479</c:v>
                </c:pt>
                <c:pt idx="711">
                  <c:v>19.504177509930145</c:v>
                </c:pt>
                <c:pt idx="712">
                  <c:v>19.531571017668814</c:v>
                </c:pt>
                <c:pt idx="713">
                  <c:v>19.558964525407479</c:v>
                </c:pt>
                <c:pt idx="714">
                  <c:v>19.586358033146144</c:v>
                </c:pt>
                <c:pt idx="715">
                  <c:v>19.61375154088481</c:v>
                </c:pt>
                <c:pt idx="716">
                  <c:v>19.641145048623475</c:v>
                </c:pt>
                <c:pt idx="717">
                  <c:v>19.66853855636214</c:v>
                </c:pt>
                <c:pt idx="718">
                  <c:v>19.695932064100809</c:v>
                </c:pt>
                <c:pt idx="719">
                  <c:v>19.723325571839474</c:v>
                </c:pt>
                <c:pt idx="720">
                  <c:v>19.75071907957814</c:v>
                </c:pt>
                <c:pt idx="721">
                  <c:v>19.778112587316805</c:v>
                </c:pt>
                <c:pt idx="722">
                  <c:v>19.80550609505547</c:v>
                </c:pt>
                <c:pt idx="723">
                  <c:v>19.832899602794136</c:v>
                </c:pt>
                <c:pt idx="724">
                  <c:v>19.860293110532805</c:v>
                </c:pt>
                <c:pt idx="725">
                  <c:v>19.88768661827147</c:v>
                </c:pt>
                <c:pt idx="726">
                  <c:v>19.915080126010135</c:v>
                </c:pt>
                <c:pt idx="727">
                  <c:v>19.942473633748801</c:v>
                </c:pt>
                <c:pt idx="728">
                  <c:v>19.969867141487466</c:v>
                </c:pt>
                <c:pt idx="729">
                  <c:v>19.997260649226131</c:v>
                </c:pt>
                <c:pt idx="730">
                  <c:v>20.0246541569648</c:v>
                </c:pt>
                <c:pt idx="731">
                  <c:v>20.052047664703466</c:v>
                </c:pt>
                <c:pt idx="732">
                  <c:v>20.079441172442131</c:v>
                </c:pt>
                <c:pt idx="733">
                  <c:v>20.106834680180796</c:v>
                </c:pt>
                <c:pt idx="734">
                  <c:v>20.134228187919462</c:v>
                </c:pt>
                <c:pt idx="735">
                  <c:v>20.161621695658127</c:v>
                </c:pt>
                <c:pt idx="736">
                  <c:v>20.189015203396796</c:v>
                </c:pt>
                <c:pt idx="737">
                  <c:v>20.216408711135461</c:v>
                </c:pt>
                <c:pt idx="738">
                  <c:v>20.243802218874126</c:v>
                </c:pt>
                <c:pt idx="739">
                  <c:v>20.271195726612792</c:v>
                </c:pt>
                <c:pt idx="740">
                  <c:v>20.298589234351457</c:v>
                </c:pt>
                <c:pt idx="741">
                  <c:v>20.325982742090122</c:v>
                </c:pt>
                <c:pt idx="742">
                  <c:v>20.353376249828791</c:v>
                </c:pt>
                <c:pt idx="743">
                  <c:v>20.380769757567457</c:v>
                </c:pt>
                <c:pt idx="744">
                  <c:v>20.408163265306122</c:v>
                </c:pt>
                <c:pt idx="745">
                  <c:v>20.435556773044787</c:v>
                </c:pt>
                <c:pt idx="746">
                  <c:v>20.462950280783453</c:v>
                </c:pt>
                <c:pt idx="747">
                  <c:v>20.490343788522118</c:v>
                </c:pt>
                <c:pt idx="748">
                  <c:v>20.517737296260787</c:v>
                </c:pt>
                <c:pt idx="749">
                  <c:v>20.545130803999452</c:v>
                </c:pt>
                <c:pt idx="750">
                  <c:v>20.572524311738118</c:v>
                </c:pt>
                <c:pt idx="751">
                  <c:v>20.599917819476783</c:v>
                </c:pt>
                <c:pt idx="752">
                  <c:v>20.627311327215448</c:v>
                </c:pt>
                <c:pt idx="753">
                  <c:v>20.654704834954114</c:v>
                </c:pt>
                <c:pt idx="754">
                  <c:v>20.682098342692782</c:v>
                </c:pt>
                <c:pt idx="755">
                  <c:v>20.709491850431448</c:v>
                </c:pt>
                <c:pt idx="756">
                  <c:v>20.736885358170113</c:v>
                </c:pt>
                <c:pt idx="757">
                  <c:v>20.764278865908778</c:v>
                </c:pt>
                <c:pt idx="758">
                  <c:v>20.791672373647444</c:v>
                </c:pt>
                <c:pt idx="759">
                  <c:v>20.819065881386109</c:v>
                </c:pt>
                <c:pt idx="760">
                  <c:v>20.846459389124778</c:v>
                </c:pt>
                <c:pt idx="761">
                  <c:v>20.873852896863443</c:v>
                </c:pt>
                <c:pt idx="762">
                  <c:v>20.901246404602109</c:v>
                </c:pt>
                <c:pt idx="763">
                  <c:v>20.928639912340774</c:v>
                </c:pt>
                <c:pt idx="764">
                  <c:v>20.956033420079439</c:v>
                </c:pt>
                <c:pt idx="765">
                  <c:v>20.983426927818105</c:v>
                </c:pt>
                <c:pt idx="766">
                  <c:v>21.010820435556774</c:v>
                </c:pt>
                <c:pt idx="767">
                  <c:v>21.038213943295439</c:v>
                </c:pt>
                <c:pt idx="768">
                  <c:v>21.065607451034104</c:v>
                </c:pt>
                <c:pt idx="769">
                  <c:v>21.09300095877277</c:v>
                </c:pt>
                <c:pt idx="770">
                  <c:v>21.120394466511435</c:v>
                </c:pt>
                <c:pt idx="771">
                  <c:v>21.147787974250104</c:v>
                </c:pt>
                <c:pt idx="772">
                  <c:v>21.175181481988769</c:v>
                </c:pt>
                <c:pt idx="773">
                  <c:v>21.202574989727434</c:v>
                </c:pt>
                <c:pt idx="774">
                  <c:v>21.2299684974661</c:v>
                </c:pt>
                <c:pt idx="775">
                  <c:v>21.257362005204765</c:v>
                </c:pt>
                <c:pt idx="776">
                  <c:v>21.28475551294343</c:v>
                </c:pt>
                <c:pt idx="777">
                  <c:v>21.312149020682099</c:v>
                </c:pt>
                <c:pt idx="778">
                  <c:v>21.339542528420765</c:v>
                </c:pt>
                <c:pt idx="779">
                  <c:v>21.36693603615943</c:v>
                </c:pt>
                <c:pt idx="780">
                  <c:v>21.394329543898095</c:v>
                </c:pt>
                <c:pt idx="781">
                  <c:v>21.421723051636761</c:v>
                </c:pt>
                <c:pt idx="782">
                  <c:v>21.449116559375426</c:v>
                </c:pt>
                <c:pt idx="783">
                  <c:v>21.476510067114095</c:v>
                </c:pt>
                <c:pt idx="784">
                  <c:v>21.50390357485276</c:v>
                </c:pt>
                <c:pt idx="785">
                  <c:v>21.531297082591426</c:v>
                </c:pt>
                <c:pt idx="786">
                  <c:v>21.558690590330091</c:v>
                </c:pt>
                <c:pt idx="787">
                  <c:v>21.586084098068756</c:v>
                </c:pt>
                <c:pt idx="788">
                  <c:v>21.613477605807422</c:v>
                </c:pt>
                <c:pt idx="789">
                  <c:v>21.64087111354609</c:v>
                </c:pt>
                <c:pt idx="790">
                  <c:v>21.668264621284756</c:v>
                </c:pt>
                <c:pt idx="791">
                  <c:v>21.695658129023421</c:v>
                </c:pt>
                <c:pt idx="792">
                  <c:v>21.723051636762087</c:v>
                </c:pt>
                <c:pt idx="793">
                  <c:v>21.750445144500752</c:v>
                </c:pt>
                <c:pt idx="794">
                  <c:v>21.777838652239417</c:v>
                </c:pt>
                <c:pt idx="795">
                  <c:v>21.805232159978086</c:v>
                </c:pt>
                <c:pt idx="796">
                  <c:v>21.832625667716751</c:v>
                </c:pt>
                <c:pt idx="797">
                  <c:v>21.860019175455417</c:v>
                </c:pt>
                <c:pt idx="798">
                  <c:v>21.887412683194082</c:v>
                </c:pt>
                <c:pt idx="799">
                  <c:v>21.914806190932747</c:v>
                </c:pt>
                <c:pt idx="800">
                  <c:v>21.942199698671413</c:v>
                </c:pt>
                <c:pt idx="801">
                  <c:v>21.969593206410082</c:v>
                </c:pt>
                <c:pt idx="802">
                  <c:v>21.996986714148747</c:v>
                </c:pt>
                <c:pt idx="803">
                  <c:v>22.024380221887412</c:v>
                </c:pt>
                <c:pt idx="804">
                  <c:v>22.051773729626078</c:v>
                </c:pt>
                <c:pt idx="805">
                  <c:v>22.079167237364743</c:v>
                </c:pt>
                <c:pt idx="806">
                  <c:v>22.106560745103408</c:v>
                </c:pt>
                <c:pt idx="807">
                  <c:v>22.133954252842077</c:v>
                </c:pt>
                <c:pt idx="808">
                  <c:v>22.161347760580743</c:v>
                </c:pt>
                <c:pt idx="809">
                  <c:v>22.188741268319408</c:v>
                </c:pt>
                <c:pt idx="810">
                  <c:v>22.216134776058073</c:v>
                </c:pt>
                <c:pt idx="811">
                  <c:v>22.243528283796739</c:v>
                </c:pt>
                <c:pt idx="812">
                  <c:v>22.270921791535404</c:v>
                </c:pt>
                <c:pt idx="813">
                  <c:v>22.298315299274073</c:v>
                </c:pt>
                <c:pt idx="814">
                  <c:v>22.325708807012738</c:v>
                </c:pt>
                <c:pt idx="815">
                  <c:v>22.353102314751403</c:v>
                </c:pt>
                <c:pt idx="816">
                  <c:v>22.380495822490069</c:v>
                </c:pt>
                <c:pt idx="817">
                  <c:v>22.407889330228734</c:v>
                </c:pt>
                <c:pt idx="818">
                  <c:v>22.435282837967399</c:v>
                </c:pt>
                <c:pt idx="819">
                  <c:v>22.462676345706068</c:v>
                </c:pt>
                <c:pt idx="820">
                  <c:v>22.490069853444734</c:v>
                </c:pt>
                <c:pt idx="821">
                  <c:v>22.517463361183399</c:v>
                </c:pt>
                <c:pt idx="822">
                  <c:v>22.544856868922064</c:v>
                </c:pt>
                <c:pt idx="823">
                  <c:v>22.57225037666073</c:v>
                </c:pt>
                <c:pt idx="824">
                  <c:v>22.599643884399395</c:v>
                </c:pt>
                <c:pt idx="825">
                  <c:v>22.627037392138064</c:v>
                </c:pt>
                <c:pt idx="826">
                  <c:v>22.654430899876729</c:v>
                </c:pt>
                <c:pt idx="827">
                  <c:v>22.681824407615395</c:v>
                </c:pt>
                <c:pt idx="828">
                  <c:v>22.70921791535406</c:v>
                </c:pt>
                <c:pt idx="829">
                  <c:v>22.736611423092725</c:v>
                </c:pt>
                <c:pt idx="830">
                  <c:v>22.764004930831391</c:v>
                </c:pt>
                <c:pt idx="831">
                  <c:v>22.791398438570059</c:v>
                </c:pt>
                <c:pt idx="832">
                  <c:v>22.818791946308725</c:v>
                </c:pt>
                <c:pt idx="833">
                  <c:v>22.84618545404739</c:v>
                </c:pt>
                <c:pt idx="834">
                  <c:v>22.873578961786055</c:v>
                </c:pt>
                <c:pt idx="835">
                  <c:v>22.900972469524721</c:v>
                </c:pt>
                <c:pt idx="836">
                  <c:v>22.928365977263386</c:v>
                </c:pt>
                <c:pt idx="837">
                  <c:v>22.955759485002055</c:v>
                </c:pt>
                <c:pt idx="838">
                  <c:v>22.98315299274072</c:v>
                </c:pt>
                <c:pt idx="839">
                  <c:v>23.010546500479386</c:v>
                </c:pt>
                <c:pt idx="840">
                  <c:v>23.037940008218051</c:v>
                </c:pt>
                <c:pt idx="841">
                  <c:v>23.065333515956716</c:v>
                </c:pt>
                <c:pt idx="842">
                  <c:v>23.092727023695385</c:v>
                </c:pt>
                <c:pt idx="843">
                  <c:v>23.120120531434051</c:v>
                </c:pt>
                <c:pt idx="844">
                  <c:v>23.147514039172716</c:v>
                </c:pt>
                <c:pt idx="845">
                  <c:v>23.174907546911381</c:v>
                </c:pt>
                <c:pt idx="846">
                  <c:v>23.202301054650047</c:v>
                </c:pt>
                <c:pt idx="847">
                  <c:v>23.229694562388712</c:v>
                </c:pt>
                <c:pt idx="848">
                  <c:v>23.257088070127381</c:v>
                </c:pt>
                <c:pt idx="849">
                  <c:v>23.284481577866046</c:v>
                </c:pt>
                <c:pt idx="850">
                  <c:v>23.311875085604711</c:v>
                </c:pt>
                <c:pt idx="851">
                  <c:v>23.339268593343377</c:v>
                </c:pt>
                <c:pt idx="852">
                  <c:v>23.366662101082042</c:v>
                </c:pt>
                <c:pt idx="853">
                  <c:v>23.394055608820707</c:v>
                </c:pt>
                <c:pt idx="854">
                  <c:v>23.421449116559376</c:v>
                </c:pt>
                <c:pt idx="855">
                  <c:v>23.448842624298042</c:v>
                </c:pt>
                <c:pt idx="856">
                  <c:v>23.476236132036707</c:v>
                </c:pt>
                <c:pt idx="857">
                  <c:v>23.503629639775372</c:v>
                </c:pt>
                <c:pt idx="858">
                  <c:v>23.531023147514038</c:v>
                </c:pt>
                <c:pt idx="859">
                  <c:v>23.558416655252703</c:v>
                </c:pt>
                <c:pt idx="860">
                  <c:v>23.585810162991372</c:v>
                </c:pt>
                <c:pt idx="861">
                  <c:v>23.613203670730037</c:v>
                </c:pt>
                <c:pt idx="862">
                  <c:v>23.640597178468703</c:v>
                </c:pt>
                <c:pt idx="863">
                  <c:v>23.667990686207368</c:v>
                </c:pt>
                <c:pt idx="864">
                  <c:v>23.695384193946033</c:v>
                </c:pt>
                <c:pt idx="865">
                  <c:v>23.722777701684699</c:v>
                </c:pt>
                <c:pt idx="866">
                  <c:v>23.750171209423367</c:v>
                </c:pt>
                <c:pt idx="867">
                  <c:v>23.777564717162033</c:v>
                </c:pt>
                <c:pt idx="868">
                  <c:v>23.804958224900698</c:v>
                </c:pt>
                <c:pt idx="869">
                  <c:v>23.832351732639363</c:v>
                </c:pt>
                <c:pt idx="870">
                  <c:v>23.859745240378029</c:v>
                </c:pt>
                <c:pt idx="871">
                  <c:v>23.887138748116694</c:v>
                </c:pt>
                <c:pt idx="872">
                  <c:v>23.914532255855363</c:v>
                </c:pt>
                <c:pt idx="873">
                  <c:v>23.941925763594028</c:v>
                </c:pt>
                <c:pt idx="874">
                  <c:v>23.969319271332694</c:v>
                </c:pt>
                <c:pt idx="875">
                  <c:v>23.996712779071359</c:v>
                </c:pt>
                <c:pt idx="876">
                  <c:v>24.024106286810024</c:v>
                </c:pt>
                <c:pt idx="877">
                  <c:v>24.05149979454869</c:v>
                </c:pt>
                <c:pt idx="878">
                  <c:v>24.078893302287359</c:v>
                </c:pt>
                <c:pt idx="879">
                  <c:v>24.106286810026024</c:v>
                </c:pt>
                <c:pt idx="880">
                  <c:v>24.133680317764689</c:v>
                </c:pt>
                <c:pt idx="881">
                  <c:v>24.161073825503355</c:v>
                </c:pt>
                <c:pt idx="882">
                  <c:v>24.18846733324202</c:v>
                </c:pt>
                <c:pt idx="883">
                  <c:v>24.215860840980685</c:v>
                </c:pt>
                <c:pt idx="884">
                  <c:v>24.243254348719354</c:v>
                </c:pt>
                <c:pt idx="885">
                  <c:v>24.270647856458019</c:v>
                </c:pt>
                <c:pt idx="886">
                  <c:v>24.298041364196685</c:v>
                </c:pt>
                <c:pt idx="887">
                  <c:v>24.32543487193535</c:v>
                </c:pt>
                <c:pt idx="888">
                  <c:v>24.352828379674015</c:v>
                </c:pt>
                <c:pt idx="889">
                  <c:v>24.380221887412681</c:v>
                </c:pt>
                <c:pt idx="890">
                  <c:v>24.40761539515135</c:v>
                </c:pt>
                <c:pt idx="891">
                  <c:v>24.435008902890015</c:v>
                </c:pt>
                <c:pt idx="892">
                  <c:v>24.46240241062868</c:v>
                </c:pt>
                <c:pt idx="893">
                  <c:v>24.489795918367346</c:v>
                </c:pt>
                <c:pt idx="894">
                  <c:v>24.517189426106011</c:v>
                </c:pt>
                <c:pt idx="895">
                  <c:v>24.544582933844676</c:v>
                </c:pt>
                <c:pt idx="896">
                  <c:v>24.571976441583345</c:v>
                </c:pt>
                <c:pt idx="897">
                  <c:v>24.599369949322011</c:v>
                </c:pt>
                <c:pt idx="898">
                  <c:v>24.626763457060676</c:v>
                </c:pt>
                <c:pt idx="899">
                  <c:v>24.654156964799341</c:v>
                </c:pt>
                <c:pt idx="900">
                  <c:v>24.681550472538007</c:v>
                </c:pt>
                <c:pt idx="901">
                  <c:v>24.708943980276672</c:v>
                </c:pt>
                <c:pt idx="902">
                  <c:v>24.736337488015341</c:v>
                </c:pt>
                <c:pt idx="903">
                  <c:v>24.763730995754006</c:v>
                </c:pt>
                <c:pt idx="904">
                  <c:v>24.791124503492671</c:v>
                </c:pt>
                <c:pt idx="905">
                  <c:v>24.818518011231337</c:v>
                </c:pt>
                <c:pt idx="906">
                  <c:v>24.845911518970002</c:v>
                </c:pt>
                <c:pt idx="907">
                  <c:v>24.873305026708667</c:v>
                </c:pt>
                <c:pt idx="908">
                  <c:v>24.900698534447336</c:v>
                </c:pt>
                <c:pt idx="909">
                  <c:v>24.928092042186002</c:v>
                </c:pt>
                <c:pt idx="910">
                  <c:v>24.955485549924667</c:v>
                </c:pt>
                <c:pt idx="911">
                  <c:v>24.982879057663332</c:v>
                </c:pt>
                <c:pt idx="912">
                  <c:v>25.010272565401998</c:v>
                </c:pt>
                <c:pt idx="913">
                  <c:v>25.037666073140667</c:v>
                </c:pt>
                <c:pt idx="914">
                  <c:v>25.065059580879332</c:v>
                </c:pt>
                <c:pt idx="915">
                  <c:v>25.092453088617997</c:v>
                </c:pt>
                <c:pt idx="916">
                  <c:v>25.119846596356663</c:v>
                </c:pt>
                <c:pt idx="917">
                  <c:v>25.147240104095328</c:v>
                </c:pt>
                <c:pt idx="918">
                  <c:v>25.174633611833993</c:v>
                </c:pt>
                <c:pt idx="919">
                  <c:v>25.202027119572662</c:v>
                </c:pt>
                <c:pt idx="920">
                  <c:v>25.229420627311328</c:v>
                </c:pt>
                <c:pt idx="921">
                  <c:v>25.256814135049993</c:v>
                </c:pt>
                <c:pt idx="922">
                  <c:v>25.284207642788658</c:v>
                </c:pt>
                <c:pt idx="923">
                  <c:v>25.311601150527324</c:v>
                </c:pt>
                <c:pt idx="924">
                  <c:v>25.338994658265989</c:v>
                </c:pt>
                <c:pt idx="925">
                  <c:v>25.366388166004658</c:v>
                </c:pt>
                <c:pt idx="926">
                  <c:v>25.393781673743323</c:v>
                </c:pt>
                <c:pt idx="927">
                  <c:v>25.421175181481988</c:v>
                </c:pt>
                <c:pt idx="928">
                  <c:v>25.448568689220654</c:v>
                </c:pt>
                <c:pt idx="929">
                  <c:v>25.475962196959319</c:v>
                </c:pt>
                <c:pt idx="930">
                  <c:v>25.503355704697984</c:v>
                </c:pt>
                <c:pt idx="931">
                  <c:v>25.530749212436653</c:v>
                </c:pt>
                <c:pt idx="932">
                  <c:v>25.558142720175319</c:v>
                </c:pt>
                <c:pt idx="933">
                  <c:v>25.585536227913984</c:v>
                </c:pt>
                <c:pt idx="934">
                  <c:v>25.612929735652649</c:v>
                </c:pt>
                <c:pt idx="935">
                  <c:v>25.640323243391315</c:v>
                </c:pt>
                <c:pt idx="936">
                  <c:v>25.66771675112998</c:v>
                </c:pt>
                <c:pt idx="937">
                  <c:v>25.695110258868649</c:v>
                </c:pt>
                <c:pt idx="938">
                  <c:v>25.722503766607314</c:v>
                </c:pt>
                <c:pt idx="939">
                  <c:v>25.74989727434598</c:v>
                </c:pt>
                <c:pt idx="940">
                  <c:v>25.777290782084645</c:v>
                </c:pt>
                <c:pt idx="941">
                  <c:v>25.80468428982331</c:v>
                </c:pt>
                <c:pt idx="942">
                  <c:v>25.832077797561976</c:v>
                </c:pt>
                <c:pt idx="943">
                  <c:v>25.859471305300644</c:v>
                </c:pt>
                <c:pt idx="944">
                  <c:v>25.88686481303931</c:v>
                </c:pt>
                <c:pt idx="945">
                  <c:v>25.914258320777975</c:v>
                </c:pt>
                <c:pt idx="946">
                  <c:v>25.94165182851664</c:v>
                </c:pt>
                <c:pt idx="947">
                  <c:v>25.969045336255306</c:v>
                </c:pt>
                <c:pt idx="948">
                  <c:v>25.996438843993971</c:v>
                </c:pt>
                <c:pt idx="949">
                  <c:v>26.02383235173264</c:v>
                </c:pt>
                <c:pt idx="950">
                  <c:v>26.051225859471305</c:v>
                </c:pt>
                <c:pt idx="951">
                  <c:v>26.078619367209971</c:v>
                </c:pt>
                <c:pt idx="952">
                  <c:v>26.106012874948636</c:v>
                </c:pt>
                <c:pt idx="953">
                  <c:v>26.133406382687301</c:v>
                </c:pt>
                <c:pt idx="954">
                  <c:v>26.160799890425967</c:v>
                </c:pt>
                <c:pt idx="955">
                  <c:v>26.188193398164636</c:v>
                </c:pt>
                <c:pt idx="956">
                  <c:v>26.215586905903301</c:v>
                </c:pt>
                <c:pt idx="957">
                  <c:v>26.242980413641966</c:v>
                </c:pt>
                <c:pt idx="958">
                  <c:v>26.270373921380632</c:v>
                </c:pt>
                <c:pt idx="959">
                  <c:v>26.297767429119297</c:v>
                </c:pt>
                <c:pt idx="960">
                  <c:v>26.325160936857962</c:v>
                </c:pt>
                <c:pt idx="961">
                  <c:v>26.352554444596631</c:v>
                </c:pt>
                <c:pt idx="962">
                  <c:v>26.379947952335296</c:v>
                </c:pt>
                <c:pt idx="963">
                  <c:v>26.407341460073962</c:v>
                </c:pt>
                <c:pt idx="964">
                  <c:v>26.434734967812627</c:v>
                </c:pt>
                <c:pt idx="965">
                  <c:v>26.462128475551292</c:v>
                </c:pt>
                <c:pt idx="966">
                  <c:v>26.489521983289958</c:v>
                </c:pt>
                <c:pt idx="967">
                  <c:v>26.516915491028627</c:v>
                </c:pt>
                <c:pt idx="968">
                  <c:v>26.544308998767292</c:v>
                </c:pt>
                <c:pt idx="969">
                  <c:v>26.571702506505957</c:v>
                </c:pt>
                <c:pt idx="970">
                  <c:v>26.599096014244623</c:v>
                </c:pt>
                <c:pt idx="971">
                  <c:v>26.626489521983288</c:v>
                </c:pt>
                <c:pt idx="972">
                  <c:v>26.653883029721953</c:v>
                </c:pt>
                <c:pt idx="973">
                  <c:v>26.681276537460622</c:v>
                </c:pt>
                <c:pt idx="974">
                  <c:v>26.708670045199288</c:v>
                </c:pt>
                <c:pt idx="975">
                  <c:v>26.736063552937953</c:v>
                </c:pt>
                <c:pt idx="976">
                  <c:v>26.763457060676618</c:v>
                </c:pt>
                <c:pt idx="977">
                  <c:v>26.790850568415284</c:v>
                </c:pt>
                <c:pt idx="978">
                  <c:v>26.818244076153952</c:v>
                </c:pt>
                <c:pt idx="979">
                  <c:v>26.845637583892618</c:v>
                </c:pt>
                <c:pt idx="980">
                  <c:v>26.873031091631283</c:v>
                </c:pt>
                <c:pt idx="981">
                  <c:v>26.900424599369948</c:v>
                </c:pt>
                <c:pt idx="982">
                  <c:v>26.927818107108614</c:v>
                </c:pt>
                <c:pt idx="983">
                  <c:v>26.955211614847279</c:v>
                </c:pt>
                <c:pt idx="984">
                  <c:v>26.982605122585948</c:v>
                </c:pt>
                <c:pt idx="985">
                  <c:v>27.009998630324613</c:v>
                </c:pt>
                <c:pt idx="986">
                  <c:v>27.037392138063279</c:v>
                </c:pt>
                <c:pt idx="987">
                  <c:v>27.064785645801944</c:v>
                </c:pt>
                <c:pt idx="988">
                  <c:v>27.092179153540609</c:v>
                </c:pt>
                <c:pt idx="989">
                  <c:v>27.119572661279275</c:v>
                </c:pt>
                <c:pt idx="990">
                  <c:v>27.146966169017944</c:v>
                </c:pt>
                <c:pt idx="991">
                  <c:v>27.174359676756609</c:v>
                </c:pt>
                <c:pt idx="992">
                  <c:v>27.201753184495274</c:v>
                </c:pt>
                <c:pt idx="993">
                  <c:v>27.22914669223394</c:v>
                </c:pt>
                <c:pt idx="994">
                  <c:v>27.256540199972605</c:v>
                </c:pt>
                <c:pt idx="995">
                  <c:v>27.28393370771127</c:v>
                </c:pt>
                <c:pt idx="996">
                  <c:v>27.311327215449939</c:v>
                </c:pt>
                <c:pt idx="997">
                  <c:v>27.338720723188604</c:v>
                </c:pt>
                <c:pt idx="998">
                  <c:v>27.36611423092727</c:v>
                </c:pt>
                <c:pt idx="999">
                  <c:v>27.393507738665935</c:v>
                </c:pt>
                <c:pt idx="1000">
                  <c:v>27.4209012464046</c:v>
                </c:pt>
                <c:pt idx="1001">
                  <c:v>27.448294754143266</c:v>
                </c:pt>
                <c:pt idx="1002">
                  <c:v>27.475688261881935</c:v>
                </c:pt>
                <c:pt idx="1003">
                  <c:v>27.5030817696206</c:v>
                </c:pt>
                <c:pt idx="1004">
                  <c:v>27.530475277359265</c:v>
                </c:pt>
                <c:pt idx="1005">
                  <c:v>27.557868785097931</c:v>
                </c:pt>
                <c:pt idx="1006">
                  <c:v>27.585262292836596</c:v>
                </c:pt>
                <c:pt idx="1007">
                  <c:v>27.612655800575261</c:v>
                </c:pt>
                <c:pt idx="1008">
                  <c:v>27.64004930831393</c:v>
                </c:pt>
                <c:pt idx="1009">
                  <c:v>27.667442816052596</c:v>
                </c:pt>
                <c:pt idx="1010">
                  <c:v>27.694836323791261</c:v>
                </c:pt>
                <c:pt idx="1011">
                  <c:v>27.722229831529926</c:v>
                </c:pt>
                <c:pt idx="1012">
                  <c:v>27.749623339268592</c:v>
                </c:pt>
                <c:pt idx="1013">
                  <c:v>27.777016847007257</c:v>
                </c:pt>
                <c:pt idx="1014">
                  <c:v>27.804410354745926</c:v>
                </c:pt>
                <c:pt idx="1015">
                  <c:v>27.831803862484591</c:v>
                </c:pt>
                <c:pt idx="1016">
                  <c:v>27.859197370223256</c:v>
                </c:pt>
                <c:pt idx="1017">
                  <c:v>27.886590877961922</c:v>
                </c:pt>
                <c:pt idx="1018">
                  <c:v>27.913984385700587</c:v>
                </c:pt>
                <c:pt idx="1019">
                  <c:v>27.941377893439252</c:v>
                </c:pt>
                <c:pt idx="1020">
                  <c:v>27.968771401177921</c:v>
                </c:pt>
                <c:pt idx="1021">
                  <c:v>27.996164908916587</c:v>
                </c:pt>
                <c:pt idx="1022">
                  <c:v>28.023558416655252</c:v>
                </c:pt>
                <c:pt idx="1023">
                  <c:v>28.050951924393917</c:v>
                </c:pt>
                <c:pt idx="1024">
                  <c:v>28.078345432132583</c:v>
                </c:pt>
                <c:pt idx="1025">
                  <c:v>28.105738939871248</c:v>
                </c:pt>
                <c:pt idx="1026">
                  <c:v>28.133132447609917</c:v>
                </c:pt>
                <c:pt idx="1027">
                  <c:v>28.160525955348582</c:v>
                </c:pt>
                <c:pt idx="1028">
                  <c:v>28.187919463087248</c:v>
                </c:pt>
                <c:pt idx="1029">
                  <c:v>28.215312970825913</c:v>
                </c:pt>
                <c:pt idx="1030">
                  <c:v>28.242706478564578</c:v>
                </c:pt>
                <c:pt idx="1031">
                  <c:v>28.270099986303244</c:v>
                </c:pt>
                <c:pt idx="1032">
                  <c:v>28.297493494041912</c:v>
                </c:pt>
                <c:pt idx="1033">
                  <c:v>28.324887001780578</c:v>
                </c:pt>
                <c:pt idx="1034">
                  <c:v>28.352280509519243</c:v>
                </c:pt>
                <c:pt idx="1035">
                  <c:v>28.379674017257909</c:v>
                </c:pt>
                <c:pt idx="1036">
                  <c:v>28.407067524996574</c:v>
                </c:pt>
                <c:pt idx="1037">
                  <c:v>28.434461032735239</c:v>
                </c:pt>
                <c:pt idx="1038">
                  <c:v>28.461854540473908</c:v>
                </c:pt>
                <c:pt idx="1039">
                  <c:v>28.489248048212573</c:v>
                </c:pt>
                <c:pt idx="1040">
                  <c:v>28.516641555951239</c:v>
                </c:pt>
                <c:pt idx="1041">
                  <c:v>28.544035063689904</c:v>
                </c:pt>
                <c:pt idx="1042">
                  <c:v>28.571428571428569</c:v>
                </c:pt>
                <c:pt idx="1043">
                  <c:v>28.598822079167235</c:v>
                </c:pt>
                <c:pt idx="1044">
                  <c:v>28.626215586905904</c:v>
                </c:pt>
                <c:pt idx="1045">
                  <c:v>28.653609094644569</c:v>
                </c:pt>
                <c:pt idx="1046">
                  <c:v>28.681002602383234</c:v>
                </c:pt>
                <c:pt idx="1047">
                  <c:v>28.7083961101219</c:v>
                </c:pt>
                <c:pt idx="1048">
                  <c:v>28.735789617860565</c:v>
                </c:pt>
                <c:pt idx="1049">
                  <c:v>28.763183125599234</c:v>
                </c:pt>
                <c:pt idx="1050">
                  <c:v>28.790576633337899</c:v>
                </c:pt>
                <c:pt idx="1051">
                  <c:v>28.817970141076565</c:v>
                </c:pt>
                <c:pt idx="1052">
                  <c:v>28.84536364881523</c:v>
                </c:pt>
                <c:pt idx="1053">
                  <c:v>28.872757156553895</c:v>
                </c:pt>
              </c:numCache>
            </c:numRef>
          </c:xVal>
          <c:yVal>
            <c:numRef>
              <c:f>'Peak Payback Engine'!$N$10:$N$1063</c:f>
              <c:numCache>
                <c:formatCode>_("$"* #,##0.00_);_("$"* \(#,##0.00\);_("$"* "-"??_);_(@_)</c:formatCode>
                <c:ptCount val="105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pt idx="366">
                  <c:v>#N/A</c:v>
                </c:pt>
                <c:pt idx="367">
                  <c:v>#N/A</c:v>
                </c:pt>
                <c:pt idx="368">
                  <c:v>#N/A</c:v>
                </c:pt>
                <c:pt idx="369">
                  <c:v>#N/A</c:v>
                </c:pt>
                <c:pt idx="370">
                  <c:v>#N/A</c:v>
                </c:pt>
                <c:pt idx="371">
                  <c:v>#N/A</c:v>
                </c:pt>
                <c:pt idx="372">
                  <c:v>#N/A</c:v>
                </c:pt>
                <c:pt idx="373">
                  <c:v>#N/A</c:v>
                </c:pt>
                <c:pt idx="374">
                  <c:v>#N/A</c:v>
                </c:pt>
                <c:pt idx="375">
                  <c:v>#N/A</c:v>
                </c:pt>
                <c:pt idx="376">
                  <c:v>#N/A</c:v>
                </c:pt>
                <c:pt idx="377">
                  <c:v>#N/A</c:v>
                </c:pt>
                <c:pt idx="378">
                  <c:v>#N/A</c:v>
                </c:pt>
                <c:pt idx="379">
                  <c:v>#N/A</c:v>
                </c:pt>
                <c:pt idx="380">
                  <c:v>#N/A</c:v>
                </c:pt>
                <c:pt idx="381">
                  <c:v>#N/A</c:v>
                </c:pt>
                <c:pt idx="382">
                  <c:v>#N/A</c:v>
                </c:pt>
                <c:pt idx="383">
                  <c:v>#N/A</c:v>
                </c:pt>
                <c:pt idx="384">
                  <c:v>#N/A</c:v>
                </c:pt>
                <c:pt idx="385">
                  <c:v>#N/A</c:v>
                </c:pt>
                <c:pt idx="386">
                  <c:v>#N/A</c:v>
                </c:pt>
                <c:pt idx="387">
                  <c:v>#N/A</c:v>
                </c:pt>
                <c:pt idx="388">
                  <c:v>#N/A</c:v>
                </c:pt>
                <c:pt idx="389">
                  <c:v>#N/A</c:v>
                </c:pt>
                <c:pt idx="390">
                  <c:v>#N/A</c:v>
                </c:pt>
                <c:pt idx="391">
                  <c:v>#N/A</c:v>
                </c:pt>
                <c:pt idx="392">
                  <c:v>#N/A</c:v>
                </c:pt>
                <c:pt idx="393">
                  <c:v>#N/A</c:v>
                </c:pt>
                <c:pt idx="394">
                  <c:v>#N/A</c:v>
                </c:pt>
                <c:pt idx="395">
                  <c:v>#N/A</c:v>
                </c:pt>
                <c:pt idx="396">
                  <c:v>#N/A</c:v>
                </c:pt>
                <c:pt idx="397">
                  <c:v>#N/A</c:v>
                </c:pt>
                <c:pt idx="398">
                  <c:v>#N/A</c:v>
                </c:pt>
                <c:pt idx="399">
                  <c:v>#N/A</c:v>
                </c:pt>
                <c:pt idx="400">
                  <c:v>#N/A</c:v>
                </c:pt>
                <c:pt idx="401">
                  <c:v>#N/A</c:v>
                </c:pt>
                <c:pt idx="402">
                  <c:v>#N/A</c:v>
                </c:pt>
                <c:pt idx="403">
                  <c:v>#N/A</c:v>
                </c:pt>
                <c:pt idx="404">
                  <c:v>#N/A</c:v>
                </c:pt>
                <c:pt idx="405">
                  <c:v>#N/A</c:v>
                </c:pt>
                <c:pt idx="406">
                  <c:v>#N/A</c:v>
                </c:pt>
                <c:pt idx="407">
                  <c:v>#N/A</c:v>
                </c:pt>
                <c:pt idx="408">
                  <c:v>#N/A</c:v>
                </c:pt>
                <c:pt idx="409">
                  <c:v>#N/A</c:v>
                </c:pt>
                <c:pt idx="410">
                  <c:v>#N/A</c:v>
                </c:pt>
                <c:pt idx="411">
                  <c:v>#N/A</c:v>
                </c:pt>
                <c:pt idx="412">
                  <c:v>#N/A</c:v>
                </c:pt>
                <c:pt idx="413">
                  <c:v>#N/A</c:v>
                </c:pt>
                <c:pt idx="414">
                  <c:v>#N/A</c:v>
                </c:pt>
                <c:pt idx="415">
                  <c:v>#N/A</c:v>
                </c:pt>
                <c:pt idx="416">
                  <c:v>#N/A</c:v>
                </c:pt>
                <c:pt idx="417">
                  <c:v>#N/A</c:v>
                </c:pt>
                <c:pt idx="418">
                  <c:v>#N/A</c:v>
                </c:pt>
                <c:pt idx="419">
                  <c:v>#N/A</c:v>
                </c:pt>
                <c:pt idx="420">
                  <c:v>#N/A</c:v>
                </c:pt>
                <c:pt idx="421">
                  <c:v>#N/A</c:v>
                </c:pt>
                <c:pt idx="422">
                  <c:v>#N/A</c:v>
                </c:pt>
                <c:pt idx="423">
                  <c:v>#N/A</c:v>
                </c:pt>
                <c:pt idx="424">
                  <c:v>#N/A</c:v>
                </c:pt>
                <c:pt idx="425">
                  <c:v>#N/A</c:v>
                </c:pt>
                <c:pt idx="426">
                  <c:v>#N/A</c:v>
                </c:pt>
                <c:pt idx="427">
                  <c:v>#N/A</c:v>
                </c:pt>
                <c:pt idx="428">
                  <c:v>#N/A</c:v>
                </c:pt>
                <c:pt idx="429">
                  <c:v>#N/A</c:v>
                </c:pt>
                <c:pt idx="430">
                  <c:v>#N/A</c:v>
                </c:pt>
                <c:pt idx="431">
                  <c:v>#N/A</c:v>
                </c:pt>
                <c:pt idx="432">
                  <c:v>#N/A</c:v>
                </c:pt>
                <c:pt idx="433">
                  <c:v>#N/A</c:v>
                </c:pt>
                <c:pt idx="434">
                  <c:v>#N/A</c:v>
                </c:pt>
                <c:pt idx="435">
                  <c:v>#N/A</c:v>
                </c:pt>
                <c:pt idx="436">
                  <c:v>#N/A</c:v>
                </c:pt>
                <c:pt idx="437">
                  <c:v>#N/A</c:v>
                </c:pt>
                <c:pt idx="438">
                  <c:v>#N/A</c:v>
                </c:pt>
                <c:pt idx="439">
                  <c:v>#N/A</c:v>
                </c:pt>
                <c:pt idx="440">
                  <c:v>#N/A</c:v>
                </c:pt>
                <c:pt idx="441">
                  <c:v>#N/A</c:v>
                </c:pt>
                <c:pt idx="442">
                  <c:v>#N/A</c:v>
                </c:pt>
                <c:pt idx="443">
                  <c:v>#N/A</c:v>
                </c:pt>
                <c:pt idx="444">
                  <c:v>#N/A</c:v>
                </c:pt>
                <c:pt idx="445">
                  <c:v>#N/A</c:v>
                </c:pt>
                <c:pt idx="446">
                  <c:v>#N/A</c:v>
                </c:pt>
                <c:pt idx="447">
                  <c:v>#N/A</c:v>
                </c:pt>
                <c:pt idx="448">
                  <c:v>#N/A</c:v>
                </c:pt>
                <c:pt idx="449">
                  <c:v>#N/A</c:v>
                </c:pt>
                <c:pt idx="450">
                  <c:v>#N/A</c:v>
                </c:pt>
                <c:pt idx="451">
                  <c:v>#N/A</c:v>
                </c:pt>
                <c:pt idx="452">
                  <c:v>#N/A</c:v>
                </c:pt>
                <c:pt idx="453">
                  <c:v>#N/A</c:v>
                </c:pt>
                <c:pt idx="454">
                  <c:v>#N/A</c:v>
                </c:pt>
                <c:pt idx="455">
                  <c:v>#N/A</c:v>
                </c:pt>
                <c:pt idx="456">
                  <c:v>#N/A</c:v>
                </c:pt>
                <c:pt idx="457">
                  <c:v>#N/A</c:v>
                </c:pt>
                <c:pt idx="458">
                  <c:v>#N/A</c:v>
                </c:pt>
                <c:pt idx="459">
                  <c:v>#N/A</c:v>
                </c:pt>
                <c:pt idx="460">
                  <c:v>#N/A</c:v>
                </c:pt>
                <c:pt idx="461">
                  <c:v>#N/A</c:v>
                </c:pt>
                <c:pt idx="462">
                  <c:v>#N/A</c:v>
                </c:pt>
                <c:pt idx="463">
                  <c:v>#N/A</c:v>
                </c:pt>
                <c:pt idx="464">
                  <c:v>#N/A</c:v>
                </c:pt>
                <c:pt idx="465">
                  <c:v>#N/A</c:v>
                </c:pt>
                <c:pt idx="466">
                  <c:v>#N/A</c:v>
                </c:pt>
                <c:pt idx="467">
                  <c:v>#N/A</c:v>
                </c:pt>
                <c:pt idx="468">
                  <c:v>#N/A</c:v>
                </c:pt>
                <c:pt idx="469">
                  <c:v>#N/A</c:v>
                </c:pt>
                <c:pt idx="470">
                  <c:v>#N/A</c:v>
                </c:pt>
                <c:pt idx="471">
                  <c:v>#N/A</c:v>
                </c:pt>
                <c:pt idx="472">
                  <c:v>#N/A</c:v>
                </c:pt>
                <c:pt idx="473">
                  <c:v>#N/A</c:v>
                </c:pt>
                <c:pt idx="474">
                  <c:v>#N/A</c:v>
                </c:pt>
                <c:pt idx="475">
                  <c:v>#N/A</c:v>
                </c:pt>
                <c:pt idx="476">
                  <c:v>#N/A</c:v>
                </c:pt>
                <c:pt idx="477">
                  <c:v>#N/A</c:v>
                </c:pt>
                <c:pt idx="478">
                  <c:v>#N/A</c:v>
                </c:pt>
                <c:pt idx="479">
                  <c:v>#N/A</c:v>
                </c:pt>
                <c:pt idx="480">
                  <c:v>#N/A</c:v>
                </c:pt>
                <c:pt idx="481">
                  <c:v>#N/A</c:v>
                </c:pt>
                <c:pt idx="482">
                  <c:v>#N/A</c:v>
                </c:pt>
                <c:pt idx="483">
                  <c:v>#N/A</c:v>
                </c:pt>
                <c:pt idx="484">
                  <c:v>#N/A</c:v>
                </c:pt>
                <c:pt idx="485">
                  <c:v>#N/A</c:v>
                </c:pt>
                <c:pt idx="486">
                  <c:v>#N/A</c:v>
                </c:pt>
                <c:pt idx="487">
                  <c:v>#N/A</c:v>
                </c:pt>
                <c:pt idx="488">
                  <c:v>#N/A</c:v>
                </c:pt>
                <c:pt idx="489">
                  <c:v>#N/A</c:v>
                </c:pt>
                <c:pt idx="490">
                  <c:v>#N/A</c:v>
                </c:pt>
                <c:pt idx="491">
                  <c:v>#N/A</c:v>
                </c:pt>
                <c:pt idx="492">
                  <c:v>#N/A</c:v>
                </c:pt>
                <c:pt idx="493">
                  <c:v>#N/A</c:v>
                </c:pt>
                <c:pt idx="494">
                  <c:v>#N/A</c:v>
                </c:pt>
                <c:pt idx="495">
                  <c:v>#N/A</c:v>
                </c:pt>
                <c:pt idx="496">
                  <c:v>#N/A</c:v>
                </c:pt>
                <c:pt idx="497">
                  <c:v>#N/A</c:v>
                </c:pt>
                <c:pt idx="498">
                  <c:v>#N/A</c:v>
                </c:pt>
                <c:pt idx="499">
                  <c:v>#N/A</c:v>
                </c:pt>
                <c:pt idx="500">
                  <c:v>#N/A</c:v>
                </c:pt>
                <c:pt idx="501">
                  <c:v>#N/A</c:v>
                </c:pt>
                <c:pt idx="502">
                  <c:v>#N/A</c:v>
                </c:pt>
                <c:pt idx="503">
                  <c:v>#N/A</c:v>
                </c:pt>
                <c:pt idx="504">
                  <c:v>#N/A</c:v>
                </c:pt>
                <c:pt idx="505">
                  <c:v>#N/A</c:v>
                </c:pt>
                <c:pt idx="506">
                  <c:v>#N/A</c:v>
                </c:pt>
                <c:pt idx="507">
                  <c:v>#N/A</c:v>
                </c:pt>
                <c:pt idx="508">
                  <c:v>#N/A</c:v>
                </c:pt>
                <c:pt idx="509">
                  <c:v>#N/A</c:v>
                </c:pt>
                <c:pt idx="510">
                  <c:v>#N/A</c:v>
                </c:pt>
                <c:pt idx="511">
                  <c:v>#N/A</c:v>
                </c:pt>
                <c:pt idx="512">
                  <c:v>#N/A</c:v>
                </c:pt>
                <c:pt idx="513">
                  <c:v>#N/A</c:v>
                </c:pt>
                <c:pt idx="514">
                  <c:v>#N/A</c:v>
                </c:pt>
                <c:pt idx="515">
                  <c:v>#N/A</c:v>
                </c:pt>
                <c:pt idx="516">
                  <c:v>#N/A</c:v>
                </c:pt>
                <c:pt idx="517">
                  <c:v>#N/A</c:v>
                </c:pt>
                <c:pt idx="518">
                  <c:v>#N/A</c:v>
                </c:pt>
                <c:pt idx="519">
                  <c:v>#N/A</c:v>
                </c:pt>
                <c:pt idx="520">
                  <c:v>#N/A</c:v>
                </c:pt>
                <c:pt idx="521">
                  <c:v>#N/A</c:v>
                </c:pt>
                <c:pt idx="522">
                  <c:v>#N/A</c:v>
                </c:pt>
                <c:pt idx="523">
                  <c:v>#N/A</c:v>
                </c:pt>
                <c:pt idx="524">
                  <c:v>#N/A</c:v>
                </c:pt>
                <c:pt idx="525">
                  <c:v>#N/A</c:v>
                </c:pt>
                <c:pt idx="526">
                  <c:v>#N/A</c:v>
                </c:pt>
                <c:pt idx="527">
                  <c:v>#N/A</c:v>
                </c:pt>
                <c:pt idx="528">
                  <c:v>#N/A</c:v>
                </c:pt>
                <c:pt idx="529">
                  <c:v>#N/A</c:v>
                </c:pt>
                <c:pt idx="530">
                  <c:v>#N/A</c:v>
                </c:pt>
                <c:pt idx="531">
                  <c:v>#N/A</c:v>
                </c:pt>
                <c:pt idx="532">
                  <c:v>#N/A</c:v>
                </c:pt>
                <c:pt idx="533">
                  <c:v>#N/A</c:v>
                </c:pt>
                <c:pt idx="534">
                  <c:v>#N/A</c:v>
                </c:pt>
                <c:pt idx="535">
                  <c:v>#N/A</c:v>
                </c:pt>
                <c:pt idx="536">
                  <c:v>#N/A</c:v>
                </c:pt>
                <c:pt idx="537">
                  <c:v>#N/A</c:v>
                </c:pt>
                <c:pt idx="538">
                  <c:v>#N/A</c:v>
                </c:pt>
                <c:pt idx="539">
                  <c:v>#N/A</c:v>
                </c:pt>
                <c:pt idx="540">
                  <c:v>#N/A</c:v>
                </c:pt>
                <c:pt idx="541">
                  <c:v>#N/A</c:v>
                </c:pt>
                <c:pt idx="542">
                  <c:v>#N/A</c:v>
                </c:pt>
                <c:pt idx="543">
                  <c:v>#N/A</c:v>
                </c:pt>
                <c:pt idx="544">
                  <c:v>#N/A</c:v>
                </c:pt>
                <c:pt idx="545">
                  <c:v>#N/A</c:v>
                </c:pt>
                <c:pt idx="546">
                  <c:v>#N/A</c:v>
                </c:pt>
                <c:pt idx="547">
                  <c:v>#N/A</c:v>
                </c:pt>
                <c:pt idx="548">
                  <c:v>#N/A</c:v>
                </c:pt>
                <c:pt idx="549">
                  <c:v>#N/A</c:v>
                </c:pt>
                <c:pt idx="550">
                  <c:v>#N/A</c:v>
                </c:pt>
                <c:pt idx="551">
                  <c:v>#N/A</c:v>
                </c:pt>
                <c:pt idx="552">
                  <c:v>#N/A</c:v>
                </c:pt>
                <c:pt idx="553">
                  <c:v>#N/A</c:v>
                </c:pt>
                <c:pt idx="554">
                  <c:v>#N/A</c:v>
                </c:pt>
                <c:pt idx="555">
                  <c:v>#N/A</c:v>
                </c:pt>
                <c:pt idx="556">
                  <c:v>#N/A</c:v>
                </c:pt>
                <c:pt idx="557">
                  <c:v>#N/A</c:v>
                </c:pt>
                <c:pt idx="558">
                  <c:v>#N/A</c:v>
                </c:pt>
                <c:pt idx="559">
                  <c:v>#N/A</c:v>
                </c:pt>
                <c:pt idx="560">
                  <c:v>#N/A</c:v>
                </c:pt>
                <c:pt idx="561">
                  <c:v>#N/A</c:v>
                </c:pt>
                <c:pt idx="562">
                  <c:v>#N/A</c:v>
                </c:pt>
                <c:pt idx="563">
                  <c:v>#N/A</c:v>
                </c:pt>
                <c:pt idx="564">
                  <c:v>#N/A</c:v>
                </c:pt>
                <c:pt idx="565">
                  <c:v>#N/A</c:v>
                </c:pt>
                <c:pt idx="566">
                  <c:v>#N/A</c:v>
                </c:pt>
                <c:pt idx="567">
                  <c:v>#N/A</c:v>
                </c:pt>
                <c:pt idx="568">
                  <c:v>#N/A</c:v>
                </c:pt>
                <c:pt idx="569">
                  <c:v>#N/A</c:v>
                </c:pt>
                <c:pt idx="570">
                  <c:v>#N/A</c:v>
                </c:pt>
                <c:pt idx="571">
                  <c:v>#N/A</c:v>
                </c:pt>
                <c:pt idx="572">
                  <c:v>#N/A</c:v>
                </c:pt>
                <c:pt idx="573">
                  <c:v>#N/A</c:v>
                </c:pt>
                <c:pt idx="574">
                  <c:v>#N/A</c:v>
                </c:pt>
                <c:pt idx="575">
                  <c:v>#N/A</c:v>
                </c:pt>
                <c:pt idx="576">
                  <c:v>#N/A</c:v>
                </c:pt>
                <c:pt idx="577">
                  <c:v>#N/A</c:v>
                </c:pt>
                <c:pt idx="578">
                  <c:v>#N/A</c:v>
                </c:pt>
                <c:pt idx="579">
                  <c:v>#N/A</c:v>
                </c:pt>
                <c:pt idx="580">
                  <c:v>#N/A</c:v>
                </c:pt>
                <c:pt idx="581">
                  <c:v>#N/A</c:v>
                </c:pt>
                <c:pt idx="582">
                  <c:v>#N/A</c:v>
                </c:pt>
                <c:pt idx="583">
                  <c:v>#N/A</c:v>
                </c:pt>
                <c:pt idx="584">
                  <c:v>#N/A</c:v>
                </c:pt>
                <c:pt idx="585">
                  <c:v>#N/A</c:v>
                </c:pt>
                <c:pt idx="586">
                  <c:v>#N/A</c:v>
                </c:pt>
                <c:pt idx="587">
                  <c:v>#N/A</c:v>
                </c:pt>
                <c:pt idx="588">
                  <c:v>#N/A</c:v>
                </c:pt>
                <c:pt idx="589">
                  <c:v>#N/A</c:v>
                </c:pt>
                <c:pt idx="590">
                  <c:v>#N/A</c:v>
                </c:pt>
                <c:pt idx="591">
                  <c:v>#N/A</c:v>
                </c:pt>
                <c:pt idx="592">
                  <c:v>#N/A</c:v>
                </c:pt>
                <c:pt idx="593">
                  <c:v>#N/A</c:v>
                </c:pt>
                <c:pt idx="594">
                  <c:v>#N/A</c:v>
                </c:pt>
                <c:pt idx="595">
                  <c:v>#N/A</c:v>
                </c:pt>
                <c:pt idx="596">
                  <c:v>#N/A</c:v>
                </c:pt>
                <c:pt idx="597">
                  <c:v>#N/A</c:v>
                </c:pt>
                <c:pt idx="598">
                  <c:v>#N/A</c:v>
                </c:pt>
                <c:pt idx="599">
                  <c:v>#N/A</c:v>
                </c:pt>
                <c:pt idx="600">
                  <c:v>#N/A</c:v>
                </c:pt>
                <c:pt idx="601">
                  <c:v>#N/A</c:v>
                </c:pt>
                <c:pt idx="602">
                  <c:v>#N/A</c:v>
                </c:pt>
                <c:pt idx="603">
                  <c:v>#N/A</c:v>
                </c:pt>
                <c:pt idx="604">
                  <c:v>#N/A</c:v>
                </c:pt>
                <c:pt idx="605">
                  <c:v>#N/A</c:v>
                </c:pt>
                <c:pt idx="606">
                  <c:v>#N/A</c:v>
                </c:pt>
                <c:pt idx="607">
                  <c:v>#N/A</c:v>
                </c:pt>
                <c:pt idx="608">
                  <c:v>#N/A</c:v>
                </c:pt>
                <c:pt idx="609">
                  <c:v>#N/A</c:v>
                </c:pt>
                <c:pt idx="610">
                  <c:v>#N/A</c:v>
                </c:pt>
                <c:pt idx="611">
                  <c:v>#N/A</c:v>
                </c:pt>
                <c:pt idx="612">
                  <c:v>#N/A</c:v>
                </c:pt>
                <c:pt idx="613">
                  <c:v>#N/A</c:v>
                </c:pt>
                <c:pt idx="614">
                  <c:v>#N/A</c:v>
                </c:pt>
                <c:pt idx="615">
                  <c:v>#N/A</c:v>
                </c:pt>
                <c:pt idx="616">
                  <c:v>#N/A</c:v>
                </c:pt>
                <c:pt idx="617">
                  <c:v>#N/A</c:v>
                </c:pt>
                <c:pt idx="618">
                  <c:v>#N/A</c:v>
                </c:pt>
                <c:pt idx="619">
                  <c:v>#N/A</c:v>
                </c:pt>
                <c:pt idx="620">
                  <c:v>#N/A</c:v>
                </c:pt>
                <c:pt idx="621">
                  <c:v>#N/A</c:v>
                </c:pt>
                <c:pt idx="622">
                  <c:v>#N/A</c:v>
                </c:pt>
                <c:pt idx="623">
                  <c:v>#N/A</c:v>
                </c:pt>
                <c:pt idx="624">
                  <c:v>#N/A</c:v>
                </c:pt>
                <c:pt idx="625">
                  <c:v>#N/A</c:v>
                </c:pt>
                <c:pt idx="626">
                  <c:v>#N/A</c:v>
                </c:pt>
                <c:pt idx="627">
                  <c:v>#N/A</c:v>
                </c:pt>
                <c:pt idx="628">
                  <c:v>#N/A</c:v>
                </c:pt>
                <c:pt idx="629">
                  <c:v>#N/A</c:v>
                </c:pt>
                <c:pt idx="630">
                  <c:v>#N/A</c:v>
                </c:pt>
                <c:pt idx="631">
                  <c:v>#N/A</c:v>
                </c:pt>
                <c:pt idx="632">
                  <c:v>#N/A</c:v>
                </c:pt>
                <c:pt idx="633">
                  <c:v>#N/A</c:v>
                </c:pt>
                <c:pt idx="634">
                  <c:v>#N/A</c:v>
                </c:pt>
                <c:pt idx="635">
                  <c:v>#N/A</c:v>
                </c:pt>
                <c:pt idx="636">
                  <c:v>#N/A</c:v>
                </c:pt>
                <c:pt idx="637">
                  <c:v>#N/A</c:v>
                </c:pt>
                <c:pt idx="638">
                  <c:v>#N/A</c:v>
                </c:pt>
                <c:pt idx="639">
                  <c:v>#N/A</c:v>
                </c:pt>
                <c:pt idx="640">
                  <c:v>#N/A</c:v>
                </c:pt>
                <c:pt idx="641">
                  <c:v>#N/A</c:v>
                </c:pt>
                <c:pt idx="642">
                  <c:v>#N/A</c:v>
                </c:pt>
                <c:pt idx="643">
                  <c:v>#N/A</c:v>
                </c:pt>
                <c:pt idx="644">
                  <c:v>#N/A</c:v>
                </c:pt>
                <c:pt idx="645">
                  <c:v>#N/A</c:v>
                </c:pt>
                <c:pt idx="646">
                  <c:v>#N/A</c:v>
                </c:pt>
                <c:pt idx="647">
                  <c:v>#N/A</c:v>
                </c:pt>
                <c:pt idx="648">
                  <c:v>#N/A</c:v>
                </c:pt>
                <c:pt idx="649">
                  <c:v>#N/A</c:v>
                </c:pt>
                <c:pt idx="650">
                  <c:v>#N/A</c:v>
                </c:pt>
                <c:pt idx="651">
                  <c:v>#N/A</c:v>
                </c:pt>
                <c:pt idx="652">
                  <c:v>#N/A</c:v>
                </c:pt>
                <c:pt idx="653">
                  <c:v>#N/A</c:v>
                </c:pt>
                <c:pt idx="654">
                  <c:v>#N/A</c:v>
                </c:pt>
                <c:pt idx="655">
                  <c:v>#N/A</c:v>
                </c:pt>
                <c:pt idx="656">
                  <c:v>#N/A</c:v>
                </c:pt>
                <c:pt idx="657">
                  <c:v>#N/A</c:v>
                </c:pt>
                <c:pt idx="658">
                  <c:v>#N/A</c:v>
                </c:pt>
                <c:pt idx="659">
                  <c:v>#N/A</c:v>
                </c:pt>
                <c:pt idx="660">
                  <c:v>#N/A</c:v>
                </c:pt>
                <c:pt idx="661">
                  <c:v>#N/A</c:v>
                </c:pt>
                <c:pt idx="662">
                  <c:v>#N/A</c:v>
                </c:pt>
                <c:pt idx="663">
                  <c:v>#N/A</c:v>
                </c:pt>
                <c:pt idx="664">
                  <c:v>#N/A</c:v>
                </c:pt>
                <c:pt idx="665">
                  <c:v>#N/A</c:v>
                </c:pt>
                <c:pt idx="666">
                  <c:v>#N/A</c:v>
                </c:pt>
                <c:pt idx="667">
                  <c:v>#N/A</c:v>
                </c:pt>
                <c:pt idx="668">
                  <c:v>#N/A</c:v>
                </c:pt>
                <c:pt idx="669">
                  <c:v>#N/A</c:v>
                </c:pt>
                <c:pt idx="670">
                  <c:v>#N/A</c:v>
                </c:pt>
                <c:pt idx="671">
                  <c:v>#N/A</c:v>
                </c:pt>
                <c:pt idx="672">
                  <c:v>#N/A</c:v>
                </c:pt>
                <c:pt idx="673">
                  <c:v>#N/A</c:v>
                </c:pt>
                <c:pt idx="674">
                  <c:v>#N/A</c:v>
                </c:pt>
                <c:pt idx="675">
                  <c:v>#N/A</c:v>
                </c:pt>
                <c:pt idx="676">
                  <c:v>#N/A</c:v>
                </c:pt>
                <c:pt idx="677">
                  <c:v>#N/A</c:v>
                </c:pt>
                <c:pt idx="678">
                  <c:v>#N/A</c:v>
                </c:pt>
                <c:pt idx="679">
                  <c:v>#N/A</c:v>
                </c:pt>
                <c:pt idx="680">
                  <c:v>#N/A</c:v>
                </c:pt>
                <c:pt idx="681">
                  <c:v>#N/A</c:v>
                </c:pt>
                <c:pt idx="682">
                  <c:v>#N/A</c:v>
                </c:pt>
                <c:pt idx="683">
                  <c:v>#N/A</c:v>
                </c:pt>
                <c:pt idx="684">
                  <c:v>#N/A</c:v>
                </c:pt>
                <c:pt idx="685">
                  <c:v>#N/A</c:v>
                </c:pt>
                <c:pt idx="686">
                  <c:v>#N/A</c:v>
                </c:pt>
                <c:pt idx="687">
                  <c:v>#N/A</c:v>
                </c:pt>
                <c:pt idx="688">
                  <c:v>#N/A</c:v>
                </c:pt>
                <c:pt idx="689">
                  <c:v>#N/A</c:v>
                </c:pt>
                <c:pt idx="690">
                  <c:v>#N/A</c:v>
                </c:pt>
                <c:pt idx="691">
                  <c:v>#N/A</c:v>
                </c:pt>
                <c:pt idx="692">
                  <c:v>#N/A</c:v>
                </c:pt>
                <c:pt idx="693">
                  <c:v>#N/A</c:v>
                </c:pt>
                <c:pt idx="694">
                  <c:v>#N/A</c:v>
                </c:pt>
                <c:pt idx="695">
                  <c:v>#N/A</c:v>
                </c:pt>
                <c:pt idx="696">
                  <c:v>#N/A</c:v>
                </c:pt>
                <c:pt idx="697">
                  <c:v>#N/A</c:v>
                </c:pt>
                <c:pt idx="698">
                  <c:v>#N/A</c:v>
                </c:pt>
                <c:pt idx="699">
                  <c:v>#N/A</c:v>
                </c:pt>
                <c:pt idx="700">
                  <c:v>#N/A</c:v>
                </c:pt>
                <c:pt idx="701">
                  <c:v>#N/A</c:v>
                </c:pt>
                <c:pt idx="702">
                  <c:v>#N/A</c:v>
                </c:pt>
                <c:pt idx="703">
                  <c:v>#N/A</c:v>
                </c:pt>
                <c:pt idx="704">
                  <c:v>#N/A</c:v>
                </c:pt>
                <c:pt idx="705">
                  <c:v>#N/A</c:v>
                </c:pt>
                <c:pt idx="706">
                  <c:v>#N/A</c:v>
                </c:pt>
                <c:pt idx="707">
                  <c:v>#N/A</c:v>
                </c:pt>
                <c:pt idx="708">
                  <c:v>#N/A</c:v>
                </c:pt>
                <c:pt idx="709">
                  <c:v>#N/A</c:v>
                </c:pt>
                <c:pt idx="710">
                  <c:v>#N/A</c:v>
                </c:pt>
                <c:pt idx="711">
                  <c:v>#N/A</c:v>
                </c:pt>
                <c:pt idx="712">
                  <c:v>#N/A</c:v>
                </c:pt>
                <c:pt idx="713">
                  <c:v>#N/A</c:v>
                </c:pt>
                <c:pt idx="714">
                  <c:v>#N/A</c:v>
                </c:pt>
                <c:pt idx="715">
                  <c:v>#N/A</c:v>
                </c:pt>
                <c:pt idx="716">
                  <c:v>#N/A</c:v>
                </c:pt>
                <c:pt idx="717">
                  <c:v>#N/A</c:v>
                </c:pt>
                <c:pt idx="718">
                  <c:v>#N/A</c:v>
                </c:pt>
                <c:pt idx="719">
                  <c:v>#N/A</c:v>
                </c:pt>
                <c:pt idx="720">
                  <c:v>#N/A</c:v>
                </c:pt>
                <c:pt idx="721">
                  <c:v>#N/A</c:v>
                </c:pt>
                <c:pt idx="722">
                  <c:v>#N/A</c:v>
                </c:pt>
                <c:pt idx="723">
                  <c:v>#N/A</c:v>
                </c:pt>
                <c:pt idx="724">
                  <c:v>#N/A</c:v>
                </c:pt>
                <c:pt idx="725">
                  <c:v>#N/A</c:v>
                </c:pt>
                <c:pt idx="726">
                  <c:v>#N/A</c:v>
                </c:pt>
                <c:pt idx="727">
                  <c:v>#N/A</c:v>
                </c:pt>
                <c:pt idx="728">
                  <c:v>#N/A</c:v>
                </c:pt>
                <c:pt idx="729">
                  <c:v>#N/A</c:v>
                </c:pt>
                <c:pt idx="730">
                  <c:v>#N/A</c:v>
                </c:pt>
                <c:pt idx="731">
                  <c:v>#N/A</c:v>
                </c:pt>
                <c:pt idx="732">
                  <c:v>#N/A</c:v>
                </c:pt>
                <c:pt idx="733">
                  <c:v>#N/A</c:v>
                </c:pt>
                <c:pt idx="734">
                  <c:v>#N/A</c:v>
                </c:pt>
                <c:pt idx="735">
                  <c:v>#N/A</c:v>
                </c:pt>
                <c:pt idx="736">
                  <c:v>#N/A</c:v>
                </c:pt>
                <c:pt idx="737">
                  <c:v>#N/A</c:v>
                </c:pt>
                <c:pt idx="738">
                  <c:v>#N/A</c:v>
                </c:pt>
                <c:pt idx="739">
                  <c:v>#N/A</c:v>
                </c:pt>
                <c:pt idx="740">
                  <c:v>#N/A</c:v>
                </c:pt>
                <c:pt idx="741">
                  <c:v>#N/A</c:v>
                </c:pt>
                <c:pt idx="742">
                  <c:v>#N/A</c:v>
                </c:pt>
                <c:pt idx="743">
                  <c:v>#N/A</c:v>
                </c:pt>
                <c:pt idx="744">
                  <c:v>#N/A</c:v>
                </c:pt>
                <c:pt idx="745">
                  <c:v>#N/A</c:v>
                </c:pt>
                <c:pt idx="746">
                  <c:v>#N/A</c:v>
                </c:pt>
                <c:pt idx="747">
                  <c:v>#N/A</c:v>
                </c:pt>
                <c:pt idx="748">
                  <c:v>#N/A</c:v>
                </c:pt>
                <c:pt idx="749">
                  <c:v>#N/A</c:v>
                </c:pt>
                <c:pt idx="750">
                  <c:v>#N/A</c:v>
                </c:pt>
                <c:pt idx="751">
                  <c:v>#N/A</c:v>
                </c:pt>
                <c:pt idx="752">
                  <c:v>#N/A</c:v>
                </c:pt>
                <c:pt idx="753">
                  <c:v>#N/A</c:v>
                </c:pt>
                <c:pt idx="754">
                  <c:v>#N/A</c:v>
                </c:pt>
                <c:pt idx="755">
                  <c:v>#N/A</c:v>
                </c:pt>
                <c:pt idx="756">
                  <c:v>#N/A</c:v>
                </c:pt>
                <c:pt idx="757">
                  <c:v>#N/A</c:v>
                </c:pt>
                <c:pt idx="758">
                  <c:v>#N/A</c:v>
                </c:pt>
                <c:pt idx="759">
                  <c:v>#N/A</c:v>
                </c:pt>
                <c:pt idx="760">
                  <c:v>#N/A</c:v>
                </c:pt>
                <c:pt idx="761">
                  <c:v>#N/A</c:v>
                </c:pt>
                <c:pt idx="762">
                  <c:v>#N/A</c:v>
                </c:pt>
                <c:pt idx="763">
                  <c:v>#N/A</c:v>
                </c:pt>
                <c:pt idx="764">
                  <c:v>#N/A</c:v>
                </c:pt>
                <c:pt idx="765">
                  <c:v>#N/A</c:v>
                </c:pt>
                <c:pt idx="766">
                  <c:v>#N/A</c:v>
                </c:pt>
                <c:pt idx="767">
                  <c:v>#N/A</c:v>
                </c:pt>
                <c:pt idx="768">
                  <c:v>#N/A</c:v>
                </c:pt>
                <c:pt idx="769">
                  <c:v>#N/A</c:v>
                </c:pt>
                <c:pt idx="770">
                  <c:v>#N/A</c:v>
                </c:pt>
                <c:pt idx="771">
                  <c:v>#N/A</c:v>
                </c:pt>
                <c:pt idx="772">
                  <c:v>#N/A</c:v>
                </c:pt>
                <c:pt idx="773">
                  <c:v>#N/A</c:v>
                </c:pt>
                <c:pt idx="774">
                  <c:v>#N/A</c:v>
                </c:pt>
                <c:pt idx="775">
                  <c:v>#N/A</c:v>
                </c:pt>
                <c:pt idx="776">
                  <c:v>#N/A</c:v>
                </c:pt>
                <c:pt idx="777">
                  <c:v>#N/A</c:v>
                </c:pt>
                <c:pt idx="778">
                  <c:v>#N/A</c:v>
                </c:pt>
                <c:pt idx="779">
                  <c:v>#N/A</c:v>
                </c:pt>
                <c:pt idx="780">
                  <c:v>#N/A</c:v>
                </c:pt>
                <c:pt idx="781">
                  <c:v>#N/A</c:v>
                </c:pt>
                <c:pt idx="782">
                  <c:v>#N/A</c:v>
                </c:pt>
                <c:pt idx="783">
                  <c:v>#N/A</c:v>
                </c:pt>
                <c:pt idx="784">
                  <c:v>#N/A</c:v>
                </c:pt>
                <c:pt idx="785">
                  <c:v>#N/A</c:v>
                </c:pt>
                <c:pt idx="786">
                  <c:v>#N/A</c:v>
                </c:pt>
                <c:pt idx="787">
                  <c:v>#N/A</c:v>
                </c:pt>
                <c:pt idx="788">
                  <c:v>#N/A</c:v>
                </c:pt>
                <c:pt idx="789">
                  <c:v>#N/A</c:v>
                </c:pt>
                <c:pt idx="790">
                  <c:v>#N/A</c:v>
                </c:pt>
                <c:pt idx="791">
                  <c:v>#N/A</c:v>
                </c:pt>
                <c:pt idx="792">
                  <c:v>#N/A</c:v>
                </c:pt>
                <c:pt idx="793">
                  <c:v>#N/A</c:v>
                </c:pt>
                <c:pt idx="794">
                  <c:v>#N/A</c:v>
                </c:pt>
                <c:pt idx="795">
                  <c:v>#N/A</c:v>
                </c:pt>
                <c:pt idx="796">
                  <c:v>#N/A</c:v>
                </c:pt>
                <c:pt idx="797">
                  <c:v>#N/A</c:v>
                </c:pt>
                <c:pt idx="798">
                  <c:v>#N/A</c:v>
                </c:pt>
                <c:pt idx="799">
                  <c:v>#N/A</c:v>
                </c:pt>
                <c:pt idx="800">
                  <c:v>#N/A</c:v>
                </c:pt>
                <c:pt idx="801">
                  <c:v>#N/A</c:v>
                </c:pt>
                <c:pt idx="802">
                  <c:v>#N/A</c:v>
                </c:pt>
                <c:pt idx="803">
                  <c:v>#N/A</c:v>
                </c:pt>
                <c:pt idx="804">
                  <c:v>#N/A</c:v>
                </c:pt>
                <c:pt idx="805">
                  <c:v>#N/A</c:v>
                </c:pt>
                <c:pt idx="806">
                  <c:v>#N/A</c:v>
                </c:pt>
                <c:pt idx="807">
                  <c:v>#N/A</c:v>
                </c:pt>
                <c:pt idx="808">
                  <c:v>#N/A</c:v>
                </c:pt>
                <c:pt idx="809">
                  <c:v>#N/A</c:v>
                </c:pt>
                <c:pt idx="810">
                  <c:v>#N/A</c:v>
                </c:pt>
                <c:pt idx="811">
                  <c:v>#N/A</c:v>
                </c:pt>
                <c:pt idx="812">
                  <c:v>#N/A</c:v>
                </c:pt>
                <c:pt idx="813">
                  <c:v>#N/A</c:v>
                </c:pt>
                <c:pt idx="814">
                  <c:v>#N/A</c:v>
                </c:pt>
                <c:pt idx="815">
                  <c:v>#N/A</c:v>
                </c:pt>
                <c:pt idx="816">
                  <c:v>#N/A</c:v>
                </c:pt>
                <c:pt idx="817">
                  <c:v>#N/A</c:v>
                </c:pt>
                <c:pt idx="818">
                  <c:v>#N/A</c:v>
                </c:pt>
                <c:pt idx="819">
                  <c:v>#N/A</c:v>
                </c:pt>
                <c:pt idx="820">
                  <c:v>#N/A</c:v>
                </c:pt>
                <c:pt idx="821">
                  <c:v>#N/A</c:v>
                </c:pt>
                <c:pt idx="822">
                  <c:v>#N/A</c:v>
                </c:pt>
                <c:pt idx="823">
                  <c:v>#N/A</c:v>
                </c:pt>
                <c:pt idx="824">
                  <c:v>#N/A</c:v>
                </c:pt>
                <c:pt idx="825">
                  <c:v>#N/A</c:v>
                </c:pt>
                <c:pt idx="826">
                  <c:v>#N/A</c:v>
                </c:pt>
                <c:pt idx="827">
                  <c:v>#N/A</c:v>
                </c:pt>
                <c:pt idx="828">
                  <c:v>#N/A</c:v>
                </c:pt>
                <c:pt idx="829">
                  <c:v>#N/A</c:v>
                </c:pt>
                <c:pt idx="830">
                  <c:v>#N/A</c:v>
                </c:pt>
                <c:pt idx="831">
                  <c:v>#N/A</c:v>
                </c:pt>
                <c:pt idx="832">
                  <c:v>#N/A</c:v>
                </c:pt>
                <c:pt idx="833">
                  <c:v>#N/A</c:v>
                </c:pt>
                <c:pt idx="834">
                  <c:v>#N/A</c:v>
                </c:pt>
                <c:pt idx="835">
                  <c:v>#N/A</c:v>
                </c:pt>
                <c:pt idx="836">
                  <c:v>#N/A</c:v>
                </c:pt>
                <c:pt idx="837">
                  <c:v>#N/A</c:v>
                </c:pt>
                <c:pt idx="838">
                  <c:v>#N/A</c:v>
                </c:pt>
                <c:pt idx="839">
                  <c:v>#N/A</c:v>
                </c:pt>
                <c:pt idx="840">
                  <c:v>#N/A</c:v>
                </c:pt>
                <c:pt idx="841">
                  <c:v>#N/A</c:v>
                </c:pt>
                <c:pt idx="842">
                  <c:v>#N/A</c:v>
                </c:pt>
                <c:pt idx="843">
                  <c:v>#N/A</c:v>
                </c:pt>
                <c:pt idx="844">
                  <c:v>#N/A</c:v>
                </c:pt>
                <c:pt idx="845">
                  <c:v>#N/A</c:v>
                </c:pt>
                <c:pt idx="846">
                  <c:v>#N/A</c:v>
                </c:pt>
                <c:pt idx="847">
                  <c:v>#N/A</c:v>
                </c:pt>
                <c:pt idx="848">
                  <c:v>#N/A</c:v>
                </c:pt>
                <c:pt idx="849">
                  <c:v>#N/A</c:v>
                </c:pt>
                <c:pt idx="850">
                  <c:v>#N/A</c:v>
                </c:pt>
                <c:pt idx="851">
                  <c:v>#N/A</c:v>
                </c:pt>
                <c:pt idx="852">
                  <c:v>#N/A</c:v>
                </c:pt>
                <c:pt idx="853">
                  <c:v>#N/A</c:v>
                </c:pt>
                <c:pt idx="854">
                  <c:v>#N/A</c:v>
                </c:pt>
                <c:pt idx="855">
                  <c:v>#N/A</c:v>
                </c:pt>
                <c:pt idx="856">
                  <c:v>#N/A</c:v>
                </c:pt>
                <c:pt idx="857">
                  <c:v>#N/A</c:v>
                </c:pt>
                <c:pt idx="858">
                  <c:v>#N/A</c:v>
                </c:pt>
                <c:pt idx="859">
                  <c:v>#N/A</c:v>
                </c:pt>
                <c:pt idx="860">
                  <c:v>#N/A</c:v>
                </c:pt>
                <c:pt idx="861">
                  <c:v>#N/A</c:v>
                </c:pt>
                <c:pt idx="862">
                  <c:v>#N/A</c:v>
                </c:pt>
                <c:pt idx="863">
                  <c:v>#N/A</c:v>
                </c:pt>
                <c:pt idx="864">
                  <c:v>#N/A</c:v>
                </c:pt>
                <c:pt idx="865">
                  <c:v>#N/A</c:v>
                </c:pt>
                <c:pt idx="866">
                  <c:v>#N/A</c:v>
                </c:pt>
                <c:pt idx="867">
                  <c:v>#N/A</c:v>
                </c:pt>
                <c:pt idx="868">
                  <c:v>#N/A</c:v>
                </c:pt>
                <c:pt idx="869">
                  <c:v>#N/A</c:v>
                </c:pt>
                <c:pt idx="870">
                  <c:v>#N/A</c:v>
                </c:pt>
                <c:pt idx="871">
                  <c:v>#N/A</c:v>
                </c:pt>
                <c:pt idx="872">
                  <c:v>#N/A</c:v>
                </c:pt>
                <c:pt idx="873">
                  <c:v>#N/A</c:v>
                </c:pt>
                <c:pt idx="874">
                  <c:v>#N/A</c:v>
                </c:pt>
                <c:pt idx="875">
                  <c:v>#N/A</c:v>
                </c:pt>
                <c:pt idx="876">
                  <c:v>#N/A</c:v>
                </c:pt>
                <c:pt idx="877">
                  <c:v>#N/A</c:v>
                </c:pt>
                <c:pt idx="878">
                  <c:v>#N/A</c:v>
                </c:pt>
                <c:pt idx="879">
                  <c:v>#N/A</c:v>
                </c:pt>
                <c:pt idx="880">
                  <c:v>#N/A</c:v>
                </c:pt>
                <c:pt idx="881">
                  <c:v>#N/A</c:v>
                </c:pt>
                <c:pt idx="882">
                  <c:v>#N/A</c:v>
                </c:pt>
                <c:pt idx="883">
                  <c:v>#N/A</c:v>
                </c:pt>
                <c:pt idx="884">
                  <c:v>#N/A</c:v>
                </c:pt>
                <c:pt idx="885">
                  <c:v>#N/A</c:v>
                </c:pt>
                <c:pt idx="886">
                  <c:v>#N/A</c:v>
                </c:pt>
                <c:pt idx="887">
                  <c:v>#N/A</c:v>
                </c:pt>
                <c:pt idx="888">
                  <c:v>#N/A</c:v>
                </c:pt>
                <c:pt idx="889">
                  <c:v>#N/A</c:v>
                </c:pt>
                <c:pt idx="890">
                  <c:v>#N/A</c:v>
                </c:pt>
                <c:pt idx="891">
                  <c:v>#N/A</c:v>
                </c:pt>
                <c:pt idx="892">
                  <c:v>#N/A</c:v>
                </c:pt>
                <c:pt idx="893">
                  <c:v>#N/A</c:v>
                </c:pt>
                <c:pt idx="894">
                  <c:v>#N/A</c:v>
                </c:pt>
                <c:pt idx="895">
                  <c:v>#N/A</c:v>
                </c:pt>
                <c:pt idx="896">
                  <c:v>#N/A</c:v>
                </c:pt>
                <c:pt idx="897">
                  <c:v>#N/A</c:v>
                </c:pt>
                <c:pt idx="898">
                  <c:v>#N/A</c:v>
                </c:pt>
                <c:pt idx="899">
                  <c:v>#N/A</c:v>
                </c:pt>
                <c:pt idx="900">
                  <c:v>#N/A</c:v>
                </c:pt>
                <c:pt idx="901">
                  <c:v>#N/A</c:v>
                </c:pt>
                <c:pt idx="902">
                  <c:v>#N/A</c:v>
                </c:pt>
                <c:pt idx="903">
                  <c:v>#N/A</c:v>
                </c:pt>
                <c:pt idx="904">
                  <c:v>#N/A</c:v>
                </c:pt>
                <c:pt idx="905">
                  <c:v>#N/A</c:v>
                </c:pt>
                <c:pt idx="906">
                  <c:v>#N/A</c:v>
                </c:pt>
                <c:pt idx="907">
                  <c:v>#N/A</c:v>
                </c:pt>
                <c:pt idx="908">
                  <c:v>#N/A</c:v>
                </c:pt>
                <c:pt idx="909">
                  <c:v>#N/A</c:v>
                </c:pt>
                <c:pt idx="910">
                  <c:v>#N/A</c:v>
                </c:pt>
                <c:pt idx="911">
                  <c:v>#N/A</c:v>
                </c:pt>
                <c:pt idx="912">
                  <c:v>#N/A</c:v>
                </c:pt>
                <c:pt idx="913">
                  <c:v>#N/A</c:v>
                </c:pt>
                <c:pt idx="914">
                  <c:v>#N/A</c:v>
                </c:pt>
                <c:pt idx="915">
                  <c:v>#N/A</c:v>
                </c:pt>
                <c:pt idx="916">
                  <c:v>#N/A</c:v>
                </c:pt>
                <c:pt idx="917">
                  <c:v>#N/A</c:v>
                </c:pt>
                <c:pt idx="918">
                  <c:v>#N/A</c:v>
                </c:pt>
                <c:pt idx="919">
                  <c:v>#N/A</c:v>
                </c:pt>
                <c:pt idx="920">
                  <c:v>#N/A</c:v>
                </c:pt>
                <c:pt idx="921">
                  <c:v>#N/A</c:v>
                </c:pt>
                <c:pt idx="922">
                  <c:v>#N/A</c:v>
                </c:pt>
                <c:pt idx="923">
                  <c:v>#N/A</c:v>
                </c:pt>
                <c:pt idx="924">
                  <c:v>#N/A</c:v>
                </c:pt>
                <c:pt idx="925">
                  <c:v>#N/A</c:v>
                </c:pt>
                <c:pt idx="926">
                  <c:v>#N/A</c:v>
                </c:pt>
                <c:pt idx="927">
                  <c:v>#N/A</c:v>
                </c:pt>
                <c:pt idx="928">
                  <c:v>#N/A</c:v>
                </c:pt>
                <c:pt idx="929">
                  <c:v>#N/A</c:v>
                </c:pt>
                <c:pt idx="930">
                  <c:v>#N/A</c:v>
                </c:pt>
                <c:pt idx="931">
                  <c:v>#N/A</c:v>
                </c:pt>
                <c:pt idx="932">
                  <c:v>#N/A</c:v>
                </c:pt>
                <c:pt idx="933">
                  <c:v>#N/A</c:v>
                </c:pt>
                <c:pt idx="934">
                  <c:v>#N/A</c:v>
                </c:pt>
                <c:pt idx="935">
                  <c:v>#N/A</c:v>
                </c:pt>
                <c:pt idx="936">
                  <c:v>#N/A</c:v>
                </c:pt>
                <c:pt idx="937">
                  <c:v>#N/A</c:v>
                </c:pt>
                <c:pt idx="938">
                  <c:v>#N/A</c:v>
                </c:pt>
                <c:pt idx="939">
                  <c:v>#N/A</c:v>
                </c:pt>
                <c:pt idx="940">
                  <c:v>#N/A</c:v>
                </c:pt>
                <c:pt idx="941">
                  <c:v>#N/A</c:v>
                </c:pt>
                <c:pt idx="942">
                  <c:v>#N/A</c:v>
                </c:pt>
                <c:pt idx="943">
                  <c:v>#N/A</c:v>
                </c:pt>
                <c:pt idx="944">
                  <c:v>#N/A</c:v>
                </c:pt>
                <c:pt idx="945">
                  <c:v>#N/A</c:v>
                </c:pt>
                <c:pt idx="946">
                  <c:v>#N/A</c:v>
                </c:pt>
                <c:pt idx="947">
                  <c:v>#N/A</c:v>
                </c:pt>
                <c:pt idx="948">
                  <c:v>#N/A</c:v>
                </c:pt>
                <c:pt idx="949">
                  <c:v>#N/A</c:v>
                </c:pt>
                <c:pt idx="950">
                  <c:v>#N/A</c:v>
                </c:pt>
                <c:pt idx="951">
                  <c:v>#N/A</c:v>
                </c:pt>
                <c:pt idx="952">
                  <c:v>#N/A</c:v>
                </c:pt>
                <c:pt idx="953">
                  <c:v>#N/A</c:v>
                </c:pt>
                <c:pt idx="954">
                  <c:v>#N/A</c:v>
                </c:pt>
                <c:pt idx="955">
                  <c:v>#N/A</c:v>
                </c:pt>
                <c:pt idx="956">
                  <c:v>#N/A</c:v>
                </c:pt>
                <c:pt idx="957">
                  <c:v>#N/A</c:v>
                </c:pt>
                <c:pt idx="958">
                  <c:v>#N/A</c:v>
                </c:pt>
                <c:pt idx="959">
                  <c:v>#N/A</c:v>
                </c:pt>
                <c:pt idx="960">
                  <c:v>#N/A</c:v>
                </c:pt>
                <c:pt idx="961">
                  <c:v>#N/A</c:v>
                </c:pt>
                <c:pt idx="962">
                  <c:v>#N/A</c:v>
                </c:pt>
                <c:pt idx="963">
                  <c:v>#N/A</c:v>
                </c:pt>
                <c:pt idx="964">
                  <c:v>#N/A</c:v>
                </c:pt>
                <c:pt idx="965">
                  <c:v>#N/A</c:v>
                </c:pt>
                <c:pt idx="966">
                  <c:v>#N/A</c:v>
                </c:pt>
                <c:pt idx="967">
                  <c:v>#N/A</c:v>
                </c:pt>
                <c:pt idx="968">
                  <c:v>#N/A</c:v>
                </c:pt>
                <c:pt idx="969">
                  <c:v>#N/A</c:v>
                </c:pt>
                <c:pt idx="970">
                  <c:v>#N/A</c:v>
                </c:pt>
                <c:pt idx="971">
                  <c:v>#N/A</c:v>
                </c:pt>
                <c:pt idx="972">
                  <c:v>#N/A</c:v>
                </c:pt>
                <c:pt idx="973">
                  <c:v>#N/A</c:v>
                </c:pt>
                <c:pt idx="974">
                  <c:v>#N/A</c:v>
                </c:pt>
                <c:pt idx="975">
                  <c:v>#N/A</c:v>
                </c:pt>
                <c:pt idx="976">
                  <c:v>#N/A</c:v>
                </c:pt>
                <c:pt idx="977">
                  <c:v>#N/A</c:v>
                </c:pt>
                <c:pt idx="978">
                  <c:v>#N/A</c:v>
                </c:pt>
                <c:pt idx="979">
                  <c:v>#N/A</c:v>
                </c:pt>
                <c:pt idx="980">
                  <c:v>#N/A</c:v>
                </c:pt>
                <c:pt idx="981">
                  <c:v>#N/A</c:v>
                </c:pt>
                <c:pt idx="982">
                  <c:v>#N/A</c:v>
                </c:pt>
                <c:pt idx="983">
                  <c:v>#N/A</c:v>
                </c:pt>
                <c:pt idx="984">
                  <c:v>#N/A</c:v>
                </c:pt>
                <c:pt idx="985">
                  <c:v>#N/A</c:v>
                </c:pt>
                <c:pt idx="986">
                  <c:v>#N/A</c:v>
                </c:pt>
                <c:pt idx="987">
                  <c:v>#N/A</c:v>
                </c:pt>
                <c:pt idx="988">
                  <c:v>#N/A</c:v>
                </c:pt>
                <c:pt idx="989">
                  <c:v>#N/A</c:v>
                </c:pt>
                <c:pt idx="990">
                  <c:v>#N/A</c:v>
                </c:pt>
                <c:pt idx="991">
                  <c:v>#N/A</c:v>
                </c:pt>
                <c:pt idx="992">
                  <c:v>#N/A</c:v>
                </c:pt>
                <c:pt idx="993">
                  <c:v>#N/A</c:v>
                </c:pt>
                <c:pt idx="994">
                  <c:v>#N/A</c:v>
                </c:pt>
                <c:pt idx="995">
                  <c:v>#N/A</c:v>
                </c:pt>
                <c:pt idx="996">
                  <c:v>#N/A</c:v>
                </c:pt>
                <c:pt idx="997">
                  <c:v>#N/A</c:v>
                </c:pt>
                <c:pt idx="998">
                  <c:v>#N/A</c:v>
                </c:pt>
                <c:pt idx="999">
                  <c:v>#N/A</c:v>
                </c:pt>
                <c:pt idx="1000">
                  <c:v>#N/A</c:v>
                </c:pt>
                <c:pt idx="1001">
                  <c:v>#N/A</c:v>
                </c:pt>
                <c:pt idx="1002">
                  <c:v>#N/A</c:v>
                </c:pt>
                <c:pt idx="1003">
                  <c:v>#N/A</c:v>
                </c:pt>
                <c:pt idx="1004">
                  <c:v>#N/A</c:v>
                </c:pt>
                <c:pt idx="1005">
                  <c:v>#N/A</c:v>
                </c:pt>
                <c:pt idx="1006">
                  <c:v>#N/A</c:v>
                </c:pt>
                <c:pt idx="1007">
                  <c:v>#N/A</c:v>
                </c:pt>
                <c:pt idx="1008">
                  <c:v>#N/A</c:v>
                </c:pt>
                <c:pt idx="1009">
                  <c:v>#N/A</c:v>
                </c:pt>
                <c:pt idx="1010">
                  <c:v>#N/A</c:v>
                </c:pt>
                <c:pt idx="1011">
                  <c:v>#N/A</c:v>
                </c:pt>
                <c:pt idx="1012">
                  <c:v>#N/A</c:v>
                </c:pt>
                <c:pt idx="1013">
                  <c:v>#N/A</c:v>
                </c:pt>
                <c:pt idx="1014">
                  <c:v>#N/A</c:v>
                </c:pt>
                <c:pt idx="1015">
                  <c:v>#N/A</c:v>
                </c:pt>
                <c:pt idx="1016">
                  <c:v>#N/A</c:v>
                </c:pt>
                <c:pt idx="1017">
                  <c:v>#N/A</c:v>
                </c:pt>
                <c:pt idx="1018">
                  <c:v>#N/A</c:v>
                </c:pt>
                <c:pt idx="1019">
                  <c:v>#N/A</c:v>
                </c:pt>
                <c:pt idx="1020">
                  <c:v>#N/A</c:v>
                </c:pt>
                <c:pt idx="1021">
                  <c:v>#N/A</c:v>
                </c:pt>
                <c:pt idx="1022">
                  <c:v>#N/A</c:v>
                </c:pt>
                <c:pt idx="1023">
                  <c:v>#N/A</c:v>
                </c:pt>
                <c:pt idx="1024">
                  <c:v>#N/A</c:v>
                </c:pt>
                <c:pt idx="1025">
                  <c:v>#N/A</c:v>
                </c:pt>
                <c:pt idx="1026">
                  <c:v>#N/A</c:v>
                </c:pt>
                <c:pt idx="1027">
                  <c:v>#N/A</c:v>
                </c:pt>
                <c:pt idx="1028">
                  <c:v>#N/A</c:v>
                </c:pt>
                <c:pt idx="1029">
                  <c:v>#N/A</c:v>
                </c:pt>
                <c:pt idx="1030">
                  <c:v>#N/A</c:v>
                </c:pt>
                <c:pt idx="1031">
                  <c:v>#N/A</c:v>
                </c:pt>
                <c:pt idx="1032">
                  <c:v>#N/A</c:v>
                </c:pt>
                <c:pt idx="1033">
                  <c:v>#N/A</c:v>
                </c:pt>
                <c:pt idx="1034">
                  <c:v>#N/A</c:v>
                </c:pt>
                <c:pt idx="1035">
                  <c:v>#N/A</c:v>
                </c:pt>
                <c:pt idx="1036">
                  <c:v>#N/A</c:v>
                </c:pt>
                <c:pt idx="1037">
                  <c:v>#N/A</c:v>
                </c:pt>
                <c:pt idx="1038">
                  <c:v>#N/A</c:v>
                </c:pt>
                <c:pt idx="1039">
                  <c:v>#N/A</c:v>
                </c:pt>
                <c:pt idx="1040">
                  <c:v>#N/A</c:v>
                </c:pt>
                <c:pt idx="1041">
                  <c:v>#N/A</c:v>
                </c:pt>
                <c:pt idx="1042">
                  <c:v>#N/A</c:v>
                </c:pt>
                <c:pt idx="1043">
                  <c:v>#N/A</c:v>
                </c:pt>
                <c:pt idx="1044">
                  <c:v>#N/A</c:v>
                </c:pt>
                <c:pt idx="1045">
                  <c:v>#N/A</c:v>
                </c:pt>
                <c:pt idx="1046">
                  <c:v>#N/A</c:v>
                </c:pt>
                <c:pt idx="1047">
                  <c:v>#N/A</c:v>
                </c:pt>
                <c:pt idx="1048">
                  <c:v>#N/A</c:v>
                </c:pt>
                <c:pt idx="1049">
                  <c:v>#N/A</c:v>
                </c:pt>
                <c:pt idx="1050">
                  <c:v>#N/A</c:v>
                </c:pt>
                <c:pt idx="1051">
                  <c:v>#N/A</c:v>
                </c:pt>
                <c:pt idx="1052">
                  <c:v>#N/A</c:v>
                </c:pt>
                <c:pt idx="1053">
                  <c:v>#N/A</c:v>
                </c:pt>
              </c:numCache>
            </c:numRef>
          </c:yVal>
          <c:smooth val="0"/>
          <c:extLst xmlns:c16r2="http://schemas.microsoft.com/office/drawing/2015/06/chart">
            <c:ext xmlns:c16="http://schemas.microsoft.com/office/drawing/2014/chart" uri="{C3380CC4-5D6E-409C-BE32-E72D297353CC}">
              <c16:uniqueId val="{00000009-0D70-493A-B7A6-9590C357C348}"/>
            </c:ext>
          </c:extLst>
        </c:ser>
        <c:ser>
          <c:idx val="2"/>
          <c:order val="4"/>
          <c:tx>
            <c:v>Lifetime Year</c:v>
          </c:tx>
          <c:spPr>
            <a:ln>
              <a:solidFill>
                <a:srgbClr val="916BAC"/>
              </a:solidFill>
              <a:prstDash val="dash"/>
            </a:ln>
          </c:spPr>
          <c:marker>
            <c:symbol val="none"/>
          </c:marker>
          <c:dLbls>
            <c:dLbl>
              <c:idx val="897"/>
              <c:layout>
                <c:manualLayout>
                  <c:x val="-1.9727443304159438E-2"/>
                  <c:y val="2.3539692290053663E-2"/>
                </c:manualLayout>
              </c:layout>
              <c:tx>
                <c:rich>
                  <a:bodyPr rot="-5400000" vert="horz"/>
                  <a:lstStyle/>
                  <a:p>
                    <a:pPr>
                      <a:defRPr sz="1400" b="1">
                        <a:solidFill>
                          <a:srgbClr val="916BAC"/>
                        </a:solidFill>
                        <a:latin typeface="Arial" panose="020B0604020202020204" pitchFamily="34" charset="0"/>
                        <a:cs typeface="Arial" panose="020B0604020202020204" pitchFamily="34" charset="0"/>
                      </a:defRPr>
                    </a:pPr>
                    <a:r>
                      <a:rPr lang="en-US" sz="1400" b="1">
                        <a:solidFill>
                          <a:srgbClr val="916BAC"/>
                        </a:solidFill>
                        <a:latin typeface="Arial" panose="020B0604020202020204" pitchFamily="34" charset="0"/>
                        <a:cs typeface="Arial" panose="020B0604020202020204" pitchFamily="34" charset="0"/>
                      </a:rPr>
                      <a:t>Lifetime Constraint</a:t>
                    </a:r>
                    <a:endParaRPr lang="en-US" sz="1400"/>
                  </a:p>
                </c:rich>
              </c:tx>
              <c:spPr>
                <a:solidFill>
                  <a:schemeClr val="bg1"/>
                </a:solidFill>
                <a:ln>
                  <a:noFill/>
                </a:ln>
              </c:spPr>
              <c:showLegendKey val="0"/>
              <c:showVal val="0"/>
              <c:showCatName val="0"/>
              <c:showSerName val="1"/>
              <c:showPercent val="0"/>
              <c:showBubbleSize val="0"/>
              <c:extLst>
                <c:ext xmlns:c15="http://schemas.microsoft.com/office/drawing/2012/chart" uri="{CE6537A1-D6FC-4f65-9D91-7224C49458BB}">
                  <c15:layout/>
                </c:ext>
              </c:extLst>
            </c:dLbl>
            <c:spPr>
              <a:noFill/>
              <a:ln>
                <a:noFill/>
              </a:ln>
              <a:effectLst/>
            </c:spPr>
            <c:txPr>
              <a:bodyPr/>
              <a:lstStyle/>
              <a:p>
                <a:pPr>
                  <a:defRPr sz="1600" b="1">
                    <a:solidFill>
                      <a:srgbClr val="916BAC"/>
                    </a:solidFill>
                    <a:latin typeface="Arial" panose="020B0604020202020204" pitchFamily="34" charset="0"/>
                    <a:cs typeface="Arial" panose="020B0604020202020204" pitchFamily="34" charset="0"/>
                  </a:defRPr>
                </a:pPr>
                <a:endParaRPr lang="en-US"/>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'Peak Payback Engine'!$V$10:$V$1063</c:f>
              <c:numCache>
                <c:formatCode>_-* #,##0.0_-;\-* #,##0.0_-;_-* "-"??_-;_-@_-</c:formatCode>
                <c:ptCount val="1054"/>
                <c:pt idx="0">
                  <c:v>15</c:v>
                </c:pt>
                <c:pt idx="1">
                  <c:v>15</c:v>
                </c:pt>
                <c:pt idx="2">
                  <c:v>15</c:v>
                </c:pt>
                <c:pt idx="3">
                  <c:v>15</c:v>
                </c:pt>
                <c:pt idx="4">
                  <c:v>15</c:v>
                </c:pt>
                <c:pt idx="5">
                  <c:v>15</c:v>
                </c:pt>
                <c:pt idx="6">
                  <c:v>15</c:v>
                </c:pt>
                <c:pt idx="7">
                  <c:v>15</c:v>
                </c:pt>
                <c:pt idx="8">
                  <c:v>15</c:v>
                </c:pt>
                <c:pt idx="9">
                  <c:v>15</c:v>
                </c:pt>
                <c:pt idx="10">
                  <c:v>15</c:v>
                </c:pt>
                <c:pt idx="11">
                  <c:v>15</c:v>
                </c:pt>
                <c:pt idx="12">
                  <c:v>15</c:v>
                </c:pt>
                <c:pt idx="13">
                  <c:v>15</c:v>
                </c:pt>
                <c:pt idx="14">
                  <c:v>15</c:v>
                </c:pt>
                <c:pt idx="15">
                  <c:v>15</c:v>
                </c:pt>
                <c:pt idx="16">
                  <c:v>15</c:v>
                </c:pt>
                <c:pt idx="17">
                  <c:v>15</c:v>
                </c:pt>
                <c:pt idx="18">
                  <c:v>15</c:v>
                </c:pt>
                <c:pt idx="19">
                  <c:v>15</c:v>
                </c:pt>
                <c:pt idx="20">
                  <c:v>15</c:v>
                </c:pt>
                <c:pt idx="21">
                  <c:v>15</c:v>
                </c:pt>
                <c:pt idx="22">
                  <c:v>15</c:v>
                </c:pt>
                <c:pt idx="23">
                  <c:v>15</c:v>
                </c:pt>
                <c:pt idx="24">
                  <c:v>15</c:v>
                </c:pt>
                <c:pt idx="25">
                  <c:v>15</c:v>
                </c:pt>
                <c:pt idx="26">
                  <c:v>15</c:v>
                </c:pt>
                <c:pt idx="27">
                  <c:v>15</c:v>
                </c:pt>
                <c:pt idx="28">
                  <c:v>15</c:v>
                </c:pt>
                <c:pt idx="29">
                  <c:v>15</c:v>
                </c:pt>
                <c:pt idx="30">
                  <c:v>15</c:v>
                </c:pt>
                <c:pt idx="31">
                  <c:v>15</c:v>
                </c:pt>
                <c:pt idx="32">
                  <c:v>15</c:v>
                </c:pt>
                <c:pt idx="33">
                  <c:v>15</c:v>
                </c:pt>
                <c:pt idx="34">
                  <c:v>15</c:v>
                </c:pt>
                <c:pt idx="35">
                  <c:v>15</c:v>
                </c:pt>
                <c:pt idx="36">
                  <c:v>15</c:v>
                </c:pt>
                <c:pt idx="37">
                  <c:v>15</c:v>
                </c:pt>
                <c:pt idx="38">
                  <c:v>15</c:v>
                </c:pt>
                <c:pt idx="39">
                  <c:v>15</c:v>
                </c:pt>
                <c:pt idx="40">
                  <c:v>15</c:v>
                </c:pt>
                <c:pt idx="41">
                  <c:v>15</c:v>
                </c:pt>
                <c:pt idx="42">
                  <c:v>15</c:v>
                </c:pt>
                <c:pt idx="43">
                  <c:v>15</c:v>
                </c:pt>
                <c:pt idx="44">
                  <c:v>15</c:v>
                </c:pt>
                <c:pt idx="45">
                  <c:v>15</c:v>
                </c:pt>
                <c:pt idx="46">
                  <c:v>15</c:v>
                </c:pt>
                <c:pt idx="47">
                  <c:v>15</c:v>
                </c:pt>
                <c:pt idx="48">
                  <c:v>15</c:v>
                </c:pt>
                <c:pt idx="49">
                  <c:v>15</c:v>
                </c:pt>
                <c:pt idx="50">
                  <c:v>15</c:v>
                </c:pt>
                <c:pt idx="51">
                  <c:v>15</c:v>
                </c:pt>
                <c:pt idx="52">
                  <c:v>15</c:v>
                </c:pt>
                <c:pt idx="53">
                  <c:v>15</c:v>
                </c:pt>
                <c:pt idx="54">
                  <c:v>15</c:v>
                </c:pt>
                <c:pt idx="55">
                  <c:v>15</c:v>
                </c:pt>
                <c:pt idx="56">
                  <c:v>15</c:v>
                </c:pt>
                <c:pt idx="57">
                  <c:v>15</c:v>
                </c:pt>
                <c:pt idx="58">
                  <c:v>15</c:v>
                </c:pt>
                <c:pt idx="59">
                  <c:v>15</c:v>
                </c:pt>
                <c:pt idx="60">
                  <c:v>15</c:v>
                </c:pt>
                <c:pt idx="61">
                  <c:v>15</c:v>
                </c:pt>
                <c:pt idx="62">
                  <c:v>15</c:v>
                </c:pt>
                <c:pt idx="63">
                  <c:v>15</c:v>
                </c:pt>
                <c:pt idx="64">
                  <c:v>15</c:v>
                </c:pt>
                <c:pt idx="65">
                  <c:v>15</c:v>
                </c:pt>
                <c:pt idx="66">
                  <c:v>15</c:v>
                </c:pt>
                <c:pt idx="67">
                  <c:v>15</c:v>
                </c:pt>
                <c:pt idx="68">
                  <c:v>15</c:v>
                </c:pt>
                <c:pt idx="69">
                  <c:v>15</c:v>
                </c:pt>
                <c:pt idx="70">
                  <c:v>15</c:v>
                </c:pt>
                <c:pt idx="71">
                  <c:v>15</c:v>
                </c:pt>
                <c:pt idx="72">
                  <c:v>15</c:v>
                </c:pt>
                <c:pt idx="73">
                  <c:v>15</c:v>
                </c:pt>
                <c:pt idx="74">
                  <c:v>15</c:v>
                </c:pt>
                <c:pt idx="75">
                  <c:v>15</c:v>
                </c:pt>
                <c:pt idx="76">
                  <c:v>15</c:v>
                </c:pt>
                <c:pt idx="77">
                  <c:v>15</c:v>
                </c:pt>
                <c:pt idx="78">
                  <c:v>15</c:v>
                </c:pt>
                <c:pt idx="79">
                  <c:v>15</c:v>
                </c:pt>
                <c:pt idx="80">
                  <c:v>15</c:v>
                </c:pt>
                <c:pt idx="81">
                  <c:v>15</c:v>
                </c:pt>
                <c:pt idx="82">
                  <c:v>15</c:v>
                </c:pt>
                <c:pt idx="83">
                  <c:v>15</c:v>
                </c:pt>
                <c:pt idx="84">
                  <c:v>15</c:v>
                </c:pt>
                <c:pt idx="85">
                  <c:v>15</c:v>
                </c:pt>
                <c:pt idx="86">
                  <c:v>15</c:v>
                </c:pt>
                <c:pt idx="87">
                  <c:v>15</c:v>
                </c:pt>
                <c:pt idx="88">
                  <c:v>15</c:v>
                </c:pt>
                <c:pt idx="89">
                  <c:v>15</c:v>
                </c:pt>
                <c:pt idx="90">
                  <c:v>15</c:v>
                </c:pt>
                <c:pt idx="91">
                  <c:v>15</c:v>
                </c:pt>
                <c:pt idx="92">
                  <c:v>15</c:v>
                </c:pt>
                <c:pt idx="93">
                  <c:v>15</c:v>
                </c:pt>
                <c:pt idx="94">
                  <c:v>15</c:v>
                </c:pt>
                <c:pt idx="95">
                  <c:v>15</c:v>
                </c:pt>
                <c:pt idx="96">
                  <c:v>15</c:v>
                </c:pt>
                <c:pt idx="97">
                  <c:v>15</c:v>
                </c:pt>
                <c:pt idx="98">
                  <c:v>15</c:v>
                </c:pt>
                <c:pt idx="99">
                  <c:v>15</c:v>
                </c:pt>
                <c:pt idx="100">
                  <c:v>15</c:v>
                </c:pt>
                <c:pt idx="101">
                  <c:v>15</c:v>
                </c:pt>
                <c:pt idx="102">
                  <c:v>15</c:v>
                </c:pt>
                <c:pt idx="103">
                  <c:v>15</c:v>
                </c:pt>
                <c:pt idx="104">
                  <c:v>15</c:v>
                </c:pt>
                <c:pt idx="105">
                  <c:v>15</c:v>
                </c:pt>
                <c:pt idx="106">
                  <c:v>15</c:v>
                </c:pt>
                <c:pt idx="107">
                  <c:v>15</c:v>
                </c:pt>
                <c:pt idx="108">
                  <c:v>15</c:v>
                </c:pt>
                <c:pt idx="109">
                  <c:v>15</c:v>
                </c:pt>
                <c:pt idx="110">
                  <c:v>15</c:v>
                </c:pt>
                <c:pt idx="111">
                  <c:v>15</c:v>
                </c:pt>
                <c:pt idx="112">
                  <c:v>15</c:v>
                </c:pt>
                <c:pt idx="113">
                  <c:v>15</c:v>
                </c:pt>
                <c:pt idx="114">
                  <c:v>15</c:v>
                </c:pt>
                <c:pt idx="115">
                  <c:v>15</c:v>
                </c:pt>
                <c:pt idx="116">
                  <c:v>15</c:v>
                </c:pt>
                <c:pt idx="117">
                  <c:v>15</c:v>
                </c:pt>
                <c:pt idx="118">
                  <c:v>15</c:v>
                </c:pt>
                <c:pt idx="119">
                  <c:v>15</c:v>
                </c:pt>
                <c:pt idx="120">
                  <c:v>15</c:v>
                </c:pt>
                <c:pt idx="121">
                  <c:v>15</c:v>
                </c:pt>
                <c:pt idx="122">
                  <c:v>15</c:v>
                </c:pt>
                <c:pt idx="123">
                  <c:v>15</c:v>
                </c:pt>
                <c:pt idx="124">
                  <c:v>15</c:v>
                </c:pt>
                <c:pt idx="125">
                  <c:v>15</c:v>
                </c:pt>
                <c:pt idx="126">
                  <c:v>15</c:v>
                </c:pt>
                <c:pt idx="127">
                  <c:v>15</c:v>
                </c:pt>
                <c:pt idx="128">
                  <c:v>15</c:v>
                </c:pt>
                <c:pt idx="129">
                  <c:v>15</c:v>
                </c:pt>
                <c:pt idx="130">
                  <c:v>15</c:v>
                </c:pt>
                <c:pt idx="131">
                  <c:v>15</c:v>
                </c:pt>
                <c:pt idx="132">
                  <c:v>15</c:v>
                </c:pt>
                <c:pt idx="133">
                  <c:v>15</c:v>
                </c:pt>
                <c:pt idx="134">
                  <c:v>15</c:v>
                </c:pt>
                <c:pt idx="135">
                  <c:v>15</c:v>
                </c:pt>
                <c:pt idx="136">
                  <c:v>15</c:v>
                </c:pt>
                <c:pt idx="137">
                  <c:v>15</c:v>
                </c:pt>
                <c:pt idx="138">
                  <c:v>15</c:v>
                </c:pt>
                <c:pt idx="139">
                  <c:v>15</c:v>
                </c:pt>
                <c:pt idx="140">
                  <c:v>15</c:v>
                </c:pt>
                <c:pt idx="141">
                  <c:v>15</c:v>
                </c:pt>
                <c:pt idx="142">
                  <c:v>15</c:v>
                </c:pt>
                <c:pt idx="143">
                  <c:v>15</c:v>
                </c:pt>
                <c:pt idx="144">
                  <c:v>15</c:v>
                </c:pt>
                <c:pt idx="145">
                  <c:v>15</c:v>
                </c:pt>
                <c:pt idx="146">
                  <c:v>15</c:v>
                </c:pt>
                <c:pt idx="147">
                  <c:v>15</c:v>
                </c:pt>
                <c:pt idx="148">
                  <c:v>15</c:v>
                </c:pt>
                <c:pt idx="149">
                  <c:v>15</c:v>
                </c:pt>
                <c:pt idx="150">
                  <c:v>15</c:v>
                </c:pt>
                <c:pt idx="151">
                  <c:v>15</c:v>
                </c:pt>
                <c:pt idx="152">
                  <c:v>15</c:v>
                </c:pt>
                <c:pt idx="153">
                  <c:v>15</c:v>
                </c:pt>
                <c:pt idx="154">
                  <c:v>15</c:v>
                </c:pt>
                <c:pt idx="155">
                  <c:v>15</c:v>
                </c:pt>
                <c:pt idx="156">
                  <c:v>15</c:v>
                </c:pt>
                <c:pt idx="157">
                  <c:v>15</c:v>
                </c:pt>
                <c:pt idx="158">
                  <c:v>15</c:v>
                </c:pt>
                <c:pt idx="159">
                  <c:v>15</c:v>
                </c:pt>
                <c:pt idx="160">
                  <c:v>15</c:v>
                </c:pt>
                <c:pt idx="161">
                  <c:v>15</c:v>
                </c:pt>
                <c:pt idx="162">
                  <c:v>15</c:v>
                </c:pt>
                <c:pt idx="163">
                  <c:v>15</c:v>
                </c:pt>
                <c:pt idx="164">
                  <c:v>15</c:v>
                </c:pt>
                <c:pt idx="165">
                  <c:v>15</c:v>
                </c:pt>
                <c:pt idx="166">
                  <c:v>15</c:v>
                </c:pt>
                <c:pt idx="167">
                  <c:v>15</c:v>
                </c:pt>
                <c:pt idx="168">
                  <c:v>15</c:v>
                </c:pt>
                <c:pt idx="169">
                  <c:v>15</c:v>
                </c:pt>
                <c:pt idx="170">
                  <c:v>15</c:v>
                </c:pt>
                <c:pt idx="171">
                  <c:v>15</c:v>
                </c:pt>
                <c:pt idx="172">
                  <c:v>15</c:v>
                </c:pt>
                <c:pt idx="173">
                  <c:v>15</c:v>
                </c:pt>
                <c:pt idx="174">
                  <c:v>15</c:v>
                </c:pt>
                <c:pt idx="175">
                  <c:v>15</c:v>
                </c:pt>
                <c:pt idx="176">
                  <c:v>15</c:v>
                </c:pt>
                <c:pt idx="177">
                  <c:v>15</c:v>
                </c:pt>
                <c:pt idx="178">
                  <c:v>15</c:v>
                </c:pt>
                <c:pt idx="179">
                  <c:v>15</c:v>
                </c:pt>
                <c:pt idx="180">
                  <c:v>15</c:v>
                </c:pt>
                <c:pt idx="181">
                  <c:v>15</c:v>
                </c:pt>
                <c:pt idx="182">
                  <c:v>15</c:v>
                </c:pt>
                <c:pt idx="183">
                  <c:v>15</c:v>
                </c:pt>
                <c:pt idx="184">
                  <c:v>15</c:v>
                </c:pt>
                <c:pt idx="185">
                  <c:v>15</c:v>
                </c:pt>
                <c:pt idx="186">
                  <c:v>15</c:v>
                </c:pt>
                <c:pt idx="187">
                  <c:v>15</c:v>
                </c:pt>
                <c:pt idx="188">
                  <c:v>15</c:v>
                </c:pt>
                <c:pt idx="189">
                  <c:v>15</c:v>
                </c:pt>
                <c:pt idx="190">
                  <c:v>15</c:v>
                </c:pt>
                <c:pt idx="191">
                  <c:v>15</c:v>
                </c:pt>
                <c:pt idx="192">
                  <c:v>15</c:v>
                </c:pt>
                <c:pt idx="193">
                  <c:v>15</c:v>
                </c:pt>
                <c:pt idx="194">
                  <c:v>15</c:v>
                </c:pt>
                <c:pt idx="195">
                  <c:v>15</c:v>
                </c:pt>
                <c:pt idx="196">
                  <c:v>15</c:v>
                </c:pt>
                <c:pt idx="197">
                  <c:v>15</c:v>
                </c:pt>
                <c:pt idx="198">
                  <c:v>15</c:v>
                </c:pt>
                <c:pt idx="199">
                  <c:v>15</c:v>
                </c:pt>
                <c:pt idx="200">
                  <c:v>15</c:v>
                </c:pt>
                <c:pt idx="201">
                  <c:v>15</c:v>
                </c:pt>
                <c:pt idx="202">
                  <c:v>15</c:v>
                </c:pt>
                <c:pt idx="203">
                  <c:v>15</c:v>
                </c:pt>
                <c:pt idx="204">
                  <c:v>15</c:v>
                </c:pt>
                <c:pt idx="205">
                  <c:v>15</c:v>
                </c:pt>
                <c:pt idx="206">
                  <c:v>15</c:v>
                </c:pt>
                <c:pt idx="207">
                  <c:v>15</c:v>
                </c:pt>
                <c:pt idx="208">
                  <c:v>15</c:v>
                </c:pt>
                <c:pt idx="209">
                  <c:v>15</c:v>
                </c:pt>
                <c:pt idx="210">
                  <c:v>15</c:v>
                </c:pt>
                <c:pt idx="211">
                  <c:v>15</c:v>
                </c:pt>
                <c:pt idx="212">
                  <c:v>15</c:v>
                </c:pt>
                <c:pt idx="213">
                  <c:v>15</c:v>
                </c:pt>
                <c:pt idx="214">
                  <c:v>15</c:v>
                </c:pt>
                <c:pt idx="215">
                  <c:v>15</c:v>
                </c:pt>
                <c:pt idx="216">
                  <c:v>15</c:v>
                </c:pt>
                <c:pt idx="217">
                  <c:v>15</c:v>
                </c:pt>
                <c:pt idx="218">
                  <c:v>15</c:v>
                </c:pt>
                <c:pt idx="219">
                  <c:v>15</c:v>
                </c:pt>
                <c:pt idx="220">
                  <c:v>15</c:v>
                </c:pt>
                <c:pt idx="221">
                  <c:v>15</c:v>
                </c:pt>
                <c:pt idx="222">
                  <c:v>15</c:v>
                </c:pt>
                <c:pt idx="223">
                  <c:v>15</c:v>
                </c:pt>
                <c:pt idx="224">
                  <c:v>15</c:v>
                </c:pt>
                <c:pt idx="225">
                  <c:v>15</c:v>
                </c:pt>
                <c:pt idx="226">
                  <c:v>15</c:v>
                </c:pt>
                <c:pt idx="227">
                  <c:v>15</c:v>
                </c:pt>
                <c:pt idx="228">
                  <c:v>15</c:v>
                </c:pt>
                <c:pt idx="229">
                  <c:v>15</c:v>
                </c:pt>
                <c:pt idx="230">
                  <c:v>15</c:v>
                </c:pt>
                <c:pt idx="231">
                  <c:v>15</c:v>
                </c:pt>
                <c:pt idx="232">
                  <c:v>15</c:v>
                </c:pt>
                <c:pt idx="233">
                  <c:v>15</c:v>
                </c:pt>
                <c:pt idx="234">
                  <c:v>15</c:v>
                </c:pt>
                <c:pt idx="235">
                  <c:v>15</c:v>
                </c:pt>
                <c:pt idx="236">
                  <c:v>15</c:v>
                </c:pt>
                <c:pt idx="237">
                  <c:v>15</c:v>
                </c:pt>
                <c:pt idx="238">
                  <c:v>15</c:v>
                </c:pt>
                <c:pt idx="239">
                  <c:v>15</c:v>
                </c:pt>
                <c:pt idx="240">
                  <c:v>15</c:v>
                </c:pt>
                <c:pt idx="241">
                  <c:v>15</c:v>
                </c:pt>
                <c:pt idx="242">
                  <c:v>15</c:v>
                </c:pt>
                <c:pt idx="243">
                  <c:v>15</c:v>
                </c:pt>
                <c:pt idx="244">
                  <c:v>15</c:v>
                </c:pt>
                <c:pt idx="245">
                  <c:v>15</c:v>
                </c:pt>
                <c:pt idx="246">
                  <c:v>15</c:v>
                </c:pt>
                <c:pt idx="247">
                  <c:v>15</c:v>
                </c:pt>
                <c:pt idx="248">
                  <c:v>15</c:v>
                </c:pt>
                <c:pt idx="249">
                  <c:v>15</c:v>
                </c:pt>
                <c:pt idx="250">
                  <c:v>15</c:v>
                </c:pt>
                <c:pt idx="251">
                  <c:v>15</c:v>
                </c:pt>
                <c:pt idx="252">
                  <c:v>15</c:v>
                </c:pt>
                <c:pt idx="253">
                  <c:v>15</c:v>
                </c:pt>
                <c:pt idx="254">
                  <c:v>15</c:v>
                </c:pt>
                <c:pt idx="255">
                  <c:v>15</c:v>
                </c:pt>
                <c:pt idx="256">
                  <c:v>15</c:v>
                </c:pt>
                <c:pt idx="257">
                  <c:v>15</c:v>
                </c:pt>
                <c:pt idx="258">
                  <c:v>15</c:v>
                </c:pt>
                <c:pt idx="259">
                  <c:v>15</c:v>
                </c:pt>
                <c:pt idx="260">
                  <c:v>15</c:v>
                </c:pt>
                <c:pt idx="261">
                  <c:v>15</c:v>
                </c:pt>
                <c:pt idx="262">
                  <c:v>15</c:v>
                </c:pt>
                <c:pt idx="263">
                  <c:v>15</c:v>
                </c:pt>
                <c:pt idx="264">
                  <c:v>15</c:v>
                </c:pt>
                <c:pt idx="265">
                  <c:v>15</c:v>
                </c:pt>
                <c:pt idx="266">
                  <c:v>15</c:v>
                </c:pt>
                <c:pt idx="267">
                  <c:v>15</c:v>
                </c:pt>
                <c:pt idx="268">
                  <c:v>15</c:v>
                </c:pt>
                <c:pt idx="269">
                  <c:v>15</c:v>
                </c:pt>
                <c:pt idx="270">
                  <c:v>15</c:v>
                </c:pt>
                <c:pt idx="271">
                  <c:v>15</c:v>
                </c:pt>
                <c:pt idx="272">
                  <c:v>15</c:v>
                </c:pt>
                <c:pt idx="273">
                  <c:v>15</c:v>
                </c:pt>
                <c:pt idx="274">
                  <c:v>15</c:v>
                </c:pt>
                <c:pt idx="275">
                  <c:v>15</c:v>
                </c:pt>
                <c:pt idx="276">
                  <c:v>15</c:v>
                </c:pt>
                <c:pt idx="277">
                  <c:v>15</c:v>
                </c:pt>
                <c:pt idx="278">
                  <c:v>15</c:v>
                </c:pt>
                <c:pt idx="279">
                  <c:v>15</c:v>
                </c:pt>
                <c:pt idx="280">
                  <c:v>15</c:v>
                </c:pt>
                <c:pt idx="281">
                  <c:v>15</c:v>
                </c:pt>
                <c:pt idx="282">
                  <c:v>15</c:v>
                </c:pt>
                <c:pt idx="283">
                  <c:v>15</c:v>
                </c:pt>
                <c:pt idx="284">
                  <c:v>15</c:v>
                </c:pt>
                <c:pt idx="285">
                  <c:v>15</c:v>
                </c:pt>
                <c:pt idx="286">
                  <c:v>15</c:v>
                </c:pt>
                <c:pt idx="287">
                  <c:v>15</c:v>
                </c:pt>
                <c:pt idx="288">
                  <c:v>15</c:v>
                </c:pt>
                <c:pt idx="289">
                  <c:v>15</c:v>
                </c:pt>
                <c:pt idx="290">
                  <c:v>15</c:v>
                </c:pt>
                <c:pt idx="291">
                  <c:v>15</c:v>
                </c:pt>
                <c:pt idx="292">
                  <c:v>15</c:v>
                </c:pt>
                <c:pt idx="293">
                  <c:v>15</c:v>
                </c:pt>
                <c:pt idx="294">
                  <c:v>15</c:v>
                </c:pt>
                <c:pt idx="295">
                  <c:v>15</c:v>
                </c:pt>
                <c:pt idx="296">
                  <c:v>15</c:v>
                </c:pt>
                <c:pt idx="297">
                  <c:v>15</c:v>
                </c:pt>
                <c:pt idx="298">
                  <c:v>15</c:v>
                </c:pt>
                <c:pt idx="299">
                  <c:v>15</c:v>
                </c:pt>
                <c:pt idx="300">
                  <c:v>15</c:v>
                </c:pt>
                <c:pt idx="301">
                  <c:v>15</c:v>
                </c:pt>
                <c:pt idx="302">
                  <c:v>15</c:v>
                </c:pt>
                <c:pt idx="303">
                  <c:v>15</c:v>
                </c:pt>
                <c:pt idx="304">
                  <c:v>15</c:v>
                </c:pt>
                <c:pt idx="305">
                  <c:v>15</c:v>
                </c:pt>
                <c:pt idx="306">
                  <c:v>15</c:v>
                </c:pt>
                <c:pt idx="307">
                  <c:v>15</c:v>
                </c:pt>
                <c:pt idx="308">
                  <c:v>15</c:v>
                </c:pt>
                <c:pt idx="309">
                  <c:v>15</c:v>
                </c:pt>
                <c:pt idx="310">
                  <c:v>15</c:v>
                </c:pt>
                <c:pt idx="311">
                  <c:v>15</c:v>
                </c:pt>
                <c:pt idx="312">
                  <c:v>15</c:v>
                </c:pt>
                <c:pt idx="313">
                  <c:v>15</c:v>
                </c:pt>
                <c:pt idx="314">
                  <c:v>15</c:v>
                </c:pt>
                <c:pt idx="315">
                  <c:v>15</c:v>
                </c:pt>
                <c:pt idx="316">
                  <c:v>15</c:v>
                </c:pt>
                <c:pt idx="317">
                  <c:v>15</c:v>
                </c:pt>
                <c:pt idx="318">
                  <c:v>15</c:v>
                </c:pt>
                <c:pt idx="319">
                  <c:v>15</c:v>
                </c:pt>
                <c:pt idx="320">
                  <c:v>15</c:v>
                </c:pt>
                <c:pt idx="321">
                  <c:v>15</c:v>
                </c:pt>
                <c:pt idx="322">
                  <c:v>15</c:v>
                </c:pt>
                <c:pt idx="323">
                  <c:v>15</c:v>
                </c:pt>
                <c:pt idx="324">
                  <c:v>15</c:v>
                </c:pt>
                <c:pt idx="325">
                  <c:v>15</c:v>
                </c:pt>
                <c:pt idx="326">
                  <c:v>15</c:v>
                </c:pt>
                <c:pt idx="327">
                  <c:v>15</c:v>
                </c:pt>
                <c:pt idx="328">
                  <c:v>15</c:v>
                </c:pt>
                <c:pt idx="329">
                  <c:v>15</c:v>
                </c:pt>
                <c:pt idx="330">
                  <c:v>15</c:v>
                </c:pt>
                <c:pt idx="331">
                  <c:v>15</c:v>
                </c:pt>
                <c:pt idx="332">
                  <c:v>15</c:v>
                </c:pt>
                <c:pt idx="333">
                  <c:v>15</c:v>
                </c:pt>
                <c:pt idx="334">
                  <c:v>15</c:v>
                </c:pt>
                <c:pt idx="335">
                  <c:v>15</c:v>
                </c:pt>
                <c:pt idx="336">
                  <c:v>15</c:v>
                </c:pt>
                <c:pt idx="337">
                  <c:v>15</c:v>
                </c:pt>
                <c:pt idx="338">
                  <c:v>15</c:v>
                </c:pt>
                <c:pt idx="339">
                  <c:v>15</c:v>
                </c:pt>
                <c:pt idx="340">
                  <c:v>15</c:v>
                </c:pt>
                <c:pt idx="341">
                  <c:v>15</c:v>
                </c:pt>
                <c:pt idx="342">
                  <c:v>15</c:v>
                </c:pt>
                <c:pt idx="343">
                  <c:v>15</c:v>
                </c:pt>
                <c:pt idx="344">
                  <c:v>15</c:v>
                </c:pt>
                <c:pt idx="345">
                  <c:v>15</c:v>
                </c:pt>
                <c:pt idx="346">
                  <c:v>15</c:v>
                </c:pt>
                <c:pt idx="347">
                  <c:v>15</c:v>
                </c:pt>
                <c:pt idx="348">
                  <c:v>15</c:v>
                </c:pt>
                <c:pt idx="349">
                  <c:v>15</c:v>
                </c:pt>
                <c:pt idx="350">
                  <c:v>15</c:v>
                </c:pt>
                <c:pt idx="351">
                  <c:v>15</c:v>
                </c:pt>
                <c:pt idx="352">
                  <c:v>15</c:v>
                </c:pt>
                <c:pt idx="353">
                  <c:v>15</c:v>
                </c:pt>
                <c:pt idx="354">
                  <c:v>15</c:v>
                </c:pt>
                <c:pt idx="355">
                  <c:v>15</c:v>
                </c:pt>
                <c:pt idx="356">
                  <c:v>15</c:v>
                </c:pt>
                <c:pt idx="357">
                  <c:v>15</c:v>
                </c:pt>
                <c:pt idx="358">
                  <c:v>15</c:v>
                </c:pt>
                <c:pt idx="359">
                  <c:v>15</c:v>
                </c:pt>
                <c:pt idx="360">
                  <c:v>15</c:v>
                </c:pt>
                <c:pt idx="361">
                  <c:v>15</c:v>
                </c:pt>
                <c:pt idx="362">
                  <c:v>15</c:v>
                </c:pt>
                <c:pt idx="363">
                  <c:v>15</c:v>
                </c:pt>
                <c:pt idx="364">
                  <c:v>15</c:v>
                </c:pt>
                <c:pt idx="365">
                  <c:v>15</c:v>
                </c:pt>
                <c:pt idx="366">
                  <c:v>15</c:v>
                </c:pt>
                <c:pt idx="367">
                  <c:v>15</c:v>
                </c:pt>
                <c:pt idx="368">
                  <c:v>15</c:v>
                </c:pt>
                <c:pt idx="369">
                  <c:v>15</c:v>
                </c:pt>
                <c:pt idx="370">
                  <c:v>15</c:v>
                </c:pt>
                <c:pt idx="371">
                  <c:v>15</c:v>
                </c:pt>
                <c:pt idx="372">
                  <c:v>15</c:v>
                </c:pt>
                <c:pt idx="373">
                  <c:v>15</c:v>
                </c:pt>
                <c:pt idx="374">
                  <c:v>15</c:v>
                </c:pt>
                <c:pt idx="375">
                  <c:v>15</c:v>
                </c:pt>
                <c:pt idx="376">
                  <c:v>15</c:v>
                </c:pt>
                <c:pt idx="377">
                  <c:v>15</c:v>
                </c:pt>
                <c:pt idx="378">
                  <c:v>15</c:v>
                </c:pt>
                <c:pt idx="379">
                  <c:v>15</c:v>
                </c:pt>
                <c:pt idx="380">
                  <c:v>15</c:v>
                </c:pt>
                <c:pt idx="381">
                  <c:v>15</c:v>
                </c:pt>
                <c:pt idx="382">
                  <c:v>15</c:v>
                </c:pt>
                <c:pt idx="383">
                  <c:v>15</c:v>
                </c:pt>
                <c:pt idx="384">
                  <c:v>15</c:v>
                </c:pt>
                <c:pt idx="385">
                  <c:v>15</c:v>
                </c:pt>
                <c:pt idx="386">
                  <c:v>15</c:v>
                </c:pt>
                <c:pt idx="387">
                  <c:v>15</c:v>
                </c:pt>
                <c:pt idx="388">
                  <c:v>15</c:v>
                </c:pt>
                <c:pt idx="389">
                  <c:v>15</c:v>
                </c:pt>
                <c:pt idx="390">
                  <c:v>15</c:v>
                </c:pt>
                <c:pt idx="391">
                  <c:v>15</c:v>
                </c:pt>
                <c:pt idx="392">
                  <c:v>15</c:v>
                </c:pt>
                <c:pt idx="393">
                  <c:v>15</c:v>
                </c:pt>
                <c:pt idx="394">
                  <c:v>15</c:v>
                </c:pt>
                <c:pt idx="395">
                  <c:v>15</c:v>
                </c:pt>
                <c:pt idx="396">
                  <c:v>15</c:v>
                </c:pt>
                <c:pt idx="397">
                  <c:v>15</c:v>
                </c:pt>
                <c:pt idx="398">
                  <c:v>15</c:v>
                </c:pt>
                <c:pt idx="399">
                  <c:v>15</c:v>
                </c:pt>
                <c:pt idx="400">
                  <c:v>15</c:v>
                </c:pt>
                <c:pt idx="401">
                  <c:v>15</c:v>
                </c:pt>
                <c:pt idx="402">
                  <c:v>15</c:v>
                </c:pt>
                <c:pt idx="403">
                  <c:v>15</c:v>
                </c:pt>
                <c:pt idx="404">
                  <c:v>15</c:v>
                </c:pt>
                <c:pt idx="405">
                  <c:v>15</c:v>
                </c:pt>
                <c:pt idx="406">
                  <c:v>15</c:v>
                </c:pt>
                <c:pt idx="407">
                  <c:v>15</c:v>
                </c:pt>
                <c:pt idx="408">
                  <c:v>15</c:v>
                </c:pt>
                <c:pt idx="409">
                  <c:v>15</c:v>
                </c:pt>
                <c:pt idx="410">
                  <c:v>15</c:v>
                </c:pt>
                <c:pt idx="411">
                  <c:v>15</c:v>
                </c:pt>
                <c:pt idx="412">
                  <c:v>15</c:v>
                </c:pt>
                <c:pt idx="413">
                  <c:v>15</c:v>
                </c:pt>
                <c:pt idx="414">
                  <c:v>15</c:v>
                </c:pt>
                <c:pt idx="415">
                  <c:v>15</c:v>
                </c:pt>
                <c:pt idx="416">
                  <c:v>15</c:v>
                </c:pt>
                <c:pt idx="417">
                  <c:v>15</c:v>
                </c:pt>
                <c:pt idx="418">
                  <c:v>15</c:v>
                </c:pt>
                <c:pt idx="419">
                  <c:v>15</c:v>
                </c:pt>
                <c:pt idx="420">
                  <c:v>15</c:v>
                </c:pt>
                <c:pt idx="421">
                  <c:v>15</c:v>
                </c:pt>
                <c:pt idx="422">
                  <c:v>15</c:v>
                </c:pt>
                <c:pt idx="423">
                  <c:v>15</c:v>
                </c:pt>
                <c:pt idx="424">
                  <c:v>15</c:v>
                </c:pt>
                <c:pt idx="425">
                  <c:v>15</c:v>
                </c:pt>
                <c:pt idx="426">
                  <c:v>15</c:v>
                </c:pt>
                <c:pt idx="427">
                  <c:v>15</c:v>
                </c:pt>
                <c:pt idx="428">
                  <c:v>15</c:v>
                </c:pt>
                <c:pt idx="429">
                  <c:v>15</c:v>
                </c:pt>
                <c:pt idx="430">
                  <c:v>15</c:v>
                </c:pt>
                <c:pt idx="431">
                  <c:v>15</c:v>
                </c:pt>
                <c:pt idx="432">
                  <c:v>15</c:v>
                </c:pt>
                <c:pt idx="433">
                  <c:v>15</c:v>
                </c:pt>
                <c:pt idx="434">
                  <c:v>15</c:v>
                </c:pt>
                <c:pt idx="435">
                  <c:v>15</c:v>
                </c:pt>
                <c:pt idx="436">
                  <c:v>15</c:v>
                </c:pt>
                <c:pt idx="437">
                  <c:v>15</c:v>
                </c:pt>
                <c:pt idx="438">
                  <c:v>15</c:v>
                </c:pt>
                <c:pt idx="439">
                  <c:v>15</c:v>
                </c:pt>
                <c:pt idx="440">
                  <c:v>15</c:v>
                </c:pt>
                <c:pt idx="441">
                  <c:v>15</c:v>
                </c:pt>
                <c:pt idx="442">
                  <c:v>15</c:v>
                </c:pt>
                <c:pt idx="443">
                  <c:v>15</c:v>
                </c:pt>
                <c:pt idx="444">
                  <c:v>15</c:v>
                </c:pt>
                <c:pt idx="445">
                  <c:v>15</c:v>
                </c:pt>
                <c:pt idx="446">
                  <c:v>15</c:v>
                </c:pt>
                <c:pt idx="447">
                  <c:v>15</c:v>
                </c:pt>
                <c:pt idx="448">
                  <c:v>15</c:v>
                </c:pt>
                <c:pt idx="449">
                  <c:v>15</c:v>
                </c:pt>
                <c:pt idx="450">
                  <c:v>15</c:v>
                </c:pt>
                <c:pt idx="451">
                  <c:v>15</c:v>
                </c:pt>
                <c:pt idx="452">
                  <c:v>15</c:v>
                </c:pt>
                <c:pt idx="453">
                  <c:v>15</c:v>
                </c:pt>
                <c:pt idx="454">
                  <c:v>15</c:v>
                </c:pt>
                <c:pt idx="455">
                  <c:v>15</c:v>
                </c:pt>
                <c:pt idx="456">
                  <c:v>15</c:v>
                </c:pt>
                <c:pt idx="457">
                  <c:v>15</c:v>
                </c:pt>
                <c:pt idx="458">
                  <c:v>15</c:v>
                </c:pt>
                <c:pt idx="459">
                  <c:v>15</c:v>
                </c:pt>
                <c:pt idx="460">
                  <c:v>15</c:v>
                </c:pt>
                <c:pt idx="461">
                  <c:v>15</c:v>
                </c:pt>
                <c:pt idx="462">
                  <c:v>15</c:v>
                </c:pt>
                <c:pt idx="463">
                  <c:v>15</c:v>
                </c:pt>
                <c:pt idx="464">
                  <c:v>15</c:v>
                </c:pt>
                <c:pt idx="465">
                  <c:v>15</c:v>
                </c:pt>
                <c:pt idx="466">
                  <c:v>15</c:v>
                </c:pt>
                <c:pt idx="467">
                  <c:v>15</c:v>
                </c:pt>
                <c:pt idx="468">
                  <c:v>15</c:v>
                </c:pt>
                <c:pt idx="469">
                  <c:v>15</c:v>
                </c:pt>
                <c:pt idx="470">
                  <c:v>15</c:v>
                </c:pt>
                <c:pt idx="471">
                  <c:v>15</c:v>
                </c:pt>
                <c:pt idx="472">
                  <c:v>15</c:v>
                </c:pt>
                <c:pt idx="473">
                  <c:v>15</c:v>
                </c:pt>
                <c:pt idx="474">
                  <c:v>15</c:v>
                </c:pt>
                <c:pt idx="475">
                  <c:v>15</c:v>
                </c:pt>
                <c:pt idx="476">
                  <c:v>15</c:v>
                </c:pt>
                <c:pt idx="477">
                  <c:v>15</c:v>
                </c:pt>
                <c:pt idx="478">
                  <c:v>15</c:v>
                </c:pt>
                <c:pt idx="479">
                  <c:v>15</c:v>
                </c:pt>
                <c:pt idx="480">
                  <c:v>15</c:v>
                </c:pt>
                <c:pt idx="481">
                  <c:v>15</c:v>
                </c:pt>
                <c:pt idx="482">
                  <c:v>15</c:v>
                </c:pt>
                <c:pt idx="483">
                  <c:v>15</c:v>
                </c:pt>
                <c:pt idx="484">
                  <c:v>15</c:v>
                </c:pt>
                <c:pt idx="485">
                  <c:v>15</c:v>
                </c:pt>
                <c:pt idx="486">
                  <c:v>15</c:v>
                </c:pt>
                <c:pt idx="487">
                  <c:v>15</c:v>
                </c:pt>
                <c:pt idx="488">
                  <c:v>15</c:v>
                </c:pt>
                <c:pt idx="489">
                  <c:v>15</c:v>
                </c:pt>
                <c:pt idx="490">
                  <c:v>15</c:v>
                </c:pt>
                <c:pt idx="491">
                  <c:v>15</c:v>
                </c:pt>
                <c:pt idx="492">
                  <c:v>15</c:v>
                </c:pt>
                <c:pt idx="493">
                  <c:v>15</c:v>
                </c:pt>
                <c:pt idx="494">
                  <c:v>15</c:v>
                </c:pt>
                <c:pt idx="495">
                  <c:v>15</c:v>
                </c:pt>
                <c:pt idx="496">
                  <c:v>15</c:v>
                </c:pt>
                <c:pt idx="497">
                  <c:v>15</c:v>
                </c:pt>
                <c:pt idx="498">
                  <c:v>15</c:v>
                </c:pt>
                <c:pt idx="499">
                  <c:v>15</c:v>
                </c:pt>
                <c:pt idx="500">
                  <c:v>15</c:v>
                </c:pt>
                <c:pt idx="501">
                  <c:v>15</c:v>
                </c:pt>
                <c:pt idx="502">
                  <c:v>15</c:v>
                </c:pt>
                <c:pt idx="503">
                  <c:v>15</c:v>
                </c:pt>
                <c:pt idx="504">
                  <c:v>15</c:v>
                </c:pt>
                <c:pt idx="505">
                  <c:v>15</c:v>
                </c:pt>
                <c:pt idx="506">
                  <c:v>15</c:v>
                </c:pt>
                <c:pt idx="507">
                  <c:v>15</c:v>
                </c:pt>
                <c:pt idx="508">
                  <c:v>15</c:v>
                </c:pt>
                <c:pt idx="509">
                  <c:v>15</c:v>
                </c:pt>
                <c:pt idx="510">
                  <c:v>15</c:v>
                </c:pt>
                <c:pt idx="511">
                  <c:v>15</c:v>
                </c:pt>
                <c:pt idx="512">
                  <c:v>15</c:v>
                </c:pt>
                <c:pt idx="513">
                  <c:v>15</c:v>
                </c:pt>
                <c:pt idx="514">
                  <c:v>15</c:v>
                </c:pt>
                <c:pt idx="515">
                  <c:v>15</c:v>
                </c:pt>
                <c:pt idx="516">
                  <c:v>15</c:v>
                </c:pt>
                <c:pt idx="517">
                  <c:v>15</c:v>
                </c:pt>
                <c:pt idx="518">
                  <c:v>15</c:v>
                </c:pt>
                <c:pt idx="519">
                  <c:v>15</c:v>
                </c:pt>
                <c:pt idx="520">
                  <c:v>15</c:v>
                </c:pt>
                <c:pt idx="521">
                  <c:v>15</c:v>
                </c:pt>
                <c:pt idx="522">
                  <c:v>15</c:v>
                </c:pt>
                <c:pt idx="523">
                  <c:v>15</c:v>
                </c:pt>
                <c:pt idx="524">
                  <c:v>15</c:v>
                </c:pt>
                <c:pt idx="525">
                  <c:v>15</c:v>
                </c:pt>
                <c:pt idx="526">
                  <c:v>15</c:v>
                </c:pt>
                <c:pt idx="527">
                  <c:v>15</c:v>
                </c:pt>
                <c:pt idx="528">
                  <c:v>15</c:v>
                </c:pt>
                <c:pt idx="529">
                  <c:v>15</c:v>
                </c:pt>
                <c:pt idx="530">
                  <c:v>15</c:v>
                </c:pt>
                <c:pt idx="531">
                  <c:v>15</c:v>
                </c:pt>
                <c:pt idx="532">
                  <c:v>15</c:v>
                </c:pt>
                <c:pt idx="533">
                  <c:v>15</c:v>
                </c:pt>
                <c:pt idx="534">
                  <c:v>15</c:v>
                </c:pt>
                <c:pt idx="535">
                  <c:v>15</c:v>
                </c:pt>
                <c:pt idx="536">
                  <c:v>15</c:v>
                </c:pt>
                <c:pt idx="537">
                  <c:v>15</c:v>
                </c:pt>
                <c:pt idx="538">
                  <c:v>15</c:v>
                </c:pt>
                <c:pt idx="539">
                  <c:v>15</c:v>
                </c:pt>
                <c:pt idx="540">
                  <c:v>15</c:v>
                </c:pt>
                <c:pt idx="541">
                  <c:v>15</c:v>
                </c:pt>
                <c:pt idx="542">
                  <c:v>15</c:v>
                </c:pt>
                <c:pt idx="543">
                  <c:v>15</c:v>
                </c:pt>
                <c:pt idx="544">
                  <c:v>15</c:v>
                </c:pt>
                <c:pt idx="545">
                  <c:v>15</c:v>
                </c:pt>
                <c:pt idx="546">
                  <c:v>15</c:v>
                </c:pt>
                <c:pt idx="547">
                  <c:v>15</c:v>
                </c:pt>
                <c:pt idx="548">
                  <c:v>15</c:v>
                </c:pt>
                <c:pt idx="549">
                  <c:v>15</c:v>
                </c:pt>
                <c:pt idx="550">
                  <c:v>15</c:v>
                </c:pt>
                <c:pt idx="551">
                  <c:v>15</c:v>
                </c:pt>
                <c:pt idx="552">
                  <c:v>15</c:v>
                </c:pt>
                <c:pt idx="553">
                  <c:v>15</c:v>
                </c:pt>
                <c:pt idx="554">
                  <c:v>15</c:v>
                </c:pt>
                <c:pt idx="555">
                  <c:v>15</c:v>
                </c:pt>
                <c:pt idx="556">
                  <c:v>15</c:v>
                </c:pt>
                <c:pt idx="557">
                  <c:v>15</c:v>
                </c:pt>
                <c:pt idx="558">
                  <c:v>15</c:v>
                </c:pt>
                <c:pt idx="559">
                  <c:v>15</c:v>
                </c:pt>
                <c:pt idx="560">
                  <c:v>15</c:v>
                </c:pt>
                <c:pt idx="561">
                  <c:v>15</c:v>
                </c:pt>
                <c:pt idx="562">
                  <c:v>15</c:v>
                </c:pt>
                <c:pt idx="563">
                  <c:v>15</c:v>
                </c:pt>
                <c:pt idx="564">
                  <c:v>15</c:v>
                </c:pt>
                <c:pt idx="565">
                  <c:v>15</c:v>
                </c:pt>
                <c:pt idx="566">
                  <c:v>15</c:v>
                </c:pt>
                <c:pt idx="567">
                  <c:v>15</c:v>
                </c:pt>
                <c:pt idx="568">
                  <c:v>15</c:v>
                </c:pt>
                <c:pt idx="569">
                  <c:v>15</c:v>
                </c:pt>
                <c:pt idx="570">
                  <c:v>15</c:v>
                </c:pt>
                <c:pt idx="571">
                  <c:v>15</c:v>
                </c:pt>
                <c:pt idx="572">
                  <c:v>15</c:v>
                </c:pt>
                <c:pt idx="573">
                  <c:v>15</c:v>
                </c:pt>
                <c:pt idx="574">
                  <c:v>15</c:v>
                </c:pt>
                <c:pt idx="575">
                  <c:v>15</c:v>
                </c:pt>
                <c:pt idx="576">
                  <c:v>15</c:v>
                </c:pt>
                <c:pt idx="577">
                  <c:v>15</c:v>
                </c:pt>
                <c:pt idx="578">
                  <c:v>15</c:v>
                </c:pt>
                <c:pt idx="579">
                  <c:v>15</c:v>
                </c:pt>
                <c:pt idx="580">
                  <c:v>15</c:v>
                </c:pt>
                <c:pt idx="581">
                  <c:v>15</c:v>
                </c:pt>
                <c:pt idx="582">
                  <c:v>15</c:v>
                </c:pt>
                <c:pt idx="583">
                  <c:v>15</c:v>
                </c:pt>
                <c:pt idx="584">
                  <c:v>15</c:v>
                </c:pt>
                <c:pt idx="585">
                  <c:v>15</c:v>
                </c:pt>
                <c:pt idx="586">
                  <c:v>15</c:v>
                </c:pt>
                <c:pt idx="587">
                  <c:v>15</c:v>
                </c:pt>
                <c:pt idx="588">
                  <c:v>15</c:v>
                </c:pt>
                <c:pt idx="589">
                  <c:v>15</c:v>
                </c:pt>
                <c:pt idx="590">
                  <c:v>15</c:v>
                </c:pt>
                <c:pt idx="591">
                  <c:v>15</c:v>
                </c:pt>
                <c:pt idx="592">
                  <c:v>15</c:v>
                </c:pt>
                <c:pt idx="593">
                  <c:v>15</c:v>
                </c:pt>
                <c:pt idx="594">
                  <c:v>15</c:v>
                </c:pt>
                <c:pt idx="595">
                  <c:v>15</c:v>
                </c:pt>
                <c:pt idx="596">
                  <c:v>15</c:v>
                </c:pt>
                <c:pt idx="597">
                  <c:v>15</c:v>
                </c:pt>
                <c:pt idx="598">
                  <c:v>15</c:v>
                </c:pt>
                <c:pt idx="599">
                  <c:v>15</c:v>
                </c:pt>
                <c:pt idx="600">
                  <c:v>15</c:v>
                </c:pt>
                <c:pt idx="601">
                  <c:v>15</c:v>
                </c:pt>
                <c:pt idx="602">
                  <c:v>15</c:v>
                </c:pt>
                <c:pt idx="603">
                  <c:v>15</c:v>
                </c:pt>
                <c:pt idx="604">
                  <c:v>15</c:v>
                </c:pt>
                <c:pt idx="605">
                  <c:v>15</c:v>
                </c:pt>
                <c:pt idx="606">
                  <c:v>15</c:v>
                </c:pt>
                <c:pt idx="607">
                  <c:v>15</c:v>
                </c:pt>
                <c:pt idx="608">
                  <c:v>15</c:v>
                </c:pt>
                <c:pt idx="609">
                  <c:v>15</c:v>
                </c:pt>
                <c:pt idx="610">
                  <c:v>15</c:v>
                </c:pt>
                <c:pt idx="611">
                  <c:v>15</c:v>
                </c:pt>
                <c:pt idx="612">
                  <c:v>15</c:v>
                </c:pt>
                <c:pt idx="613">
                  <c:v>15</c:v>
                </c:pt>
                <c:pt idx="614">
                  <c:v>15</c:v>
                </c:pt>
                <c:pt idx="615">
                  <c:v>15</c:v>
                </c:pt>
                <c:pt idx="616">
                  <c:v>15</c:v>
                </c:pt>
                <c:pt idx="617">
                  <c:v>15</c:v>
                </c:pt>
                <c:pt idx="618">
                  <c:v>15</c:v>
                </c:pt>
                <c:pt idx="619">
                  <c:v>15</c:v>
                </c:pt>
                <c:pt idx="620">
                  <c:v>15</c:v>
                </c:pt>
                <c:pt idx="621">
                  <c:v>15</c:v>
                </c:pt>
                <c:pt idx="622">
                  <c:v>15</c:v>
                </c:pt>
                <c:pt idx="623">
                  <c:v>15</c:v>
                </c:pt>
                <c:pt idx="624">
                  <c:v>15</c:v>
                </c:pt>
                <c:pt idx="625">
                  <c:v>15</c:v>
                </c:pt>
                <c:pt idx="626">
                  <c:v>15</c:v>
                </c:pt>
                <c:pt idx="627">
                  <c:v>15</c:v>
                </c:pt>
                <c:pt idx="628">
                  <c:v>15</c:v>
                </c:pt>
                <c:pt idx="629">
                  <c:v>15</c:v>
                </c:pt>
                <c:pt idx="630">
                  <c:v>15</c:v>
                </c:pt>
                <c:pt idx="631">
                  <c:v>15</c:v>
                </c:pt>
                <c:pt idx="632">
                  <c:v>15</c:v>
                </c:pt>
                <c:pt idx="633">
                  <c:v>15</c:v>
                </c:pt>
                <c:pt idx="634">
                  <c:v>15</c:v>
                </c:pt>
                <c:pt idx="635">
                  <c:v>15</c:v>
                </c:pt>
                <c:pt idx="636">
                  <c:v>15</c:v>
                </c:pt>
                <c:pt idx="637">
                  <c:v>15</c:v>
                </c:pt>
                <c:pt idx="638">
                  <c:v>15</c:v>
                </c:pt>
                <c:pt idx="639">
                  <c:v>15</c:v>
                </c:pt>
                <c:pt idx="640">
                  <c:v>15</c:v>
                </c:pt>
                <c:pt idx="641">
                  <c:v>15</c:v>
                </c:pt>
                <c:pt idx="642">
                  <c:v>15</c:v>
                </c:pt>
                <c:pt idx="643">
                  <c:v>15</c:v>
                </c:pt>
                <c:pt idx="644">
                  <c:v>15</c:v>
                </c:pt>
                <c:pt idx="645">
                  <c:v>15</c:v>
                </c:pt>
                <c:pt idx="646">
                  <c:v>15</c:v>
                </c:pt>
                <c:pt idx="647">
                  <c:v>15</c:v>
                </c:pt>
                <c:pt idx="648">
                  <c:v>15</c:v>
                </c:pt>
                <c:pt idx="649">
                  <c:v>15</c:v>
                </c:pt>
                <c:pt idx="650">
                  <c:v>15</c:v>
                </c:pt>
                <c:pt idx="651">
                  <c:v>15</c:v>
                </c:pt>
                <c:pt idx="652">
                  <c:v>15</c:v>
                </c:pt>
                <c:pt idx="653">
                  <c:v>15</c:v>
                </c:pt>
                <c:pt idx="654">
                  <c:v>15</c:v>
                </c:pt>
                <c:pt idx="655">
                  <c:v>15</c:v>
                </c:pt>
                <c:pt idx="656">
                  <c:v>15</c:v>
                </c:pt>
                <c:pt idx="657">
                  <c:v>15</c:v>
                </c:pt>
                <c:pt idx="658">
                  <c:v>15</c:v>
                </c:pt>
                <c:pt idx="659">
                  <c:v>15</c:v>
                </c:pt>
                <c:pt idx="660">
                  <c:v>15</c:v>
                </c:pt>
                <c:pt idx="661">
                  <c:v>15</c:v>
                </c:pt>
                <c:pt idx="662">
                  <c:v>15</c:v>
                </c:pt>
                <c:pt idx="663">
                  <c:v>15</c:v>
                </c:pt>
                <c:pt idx="664">
                  <c:v>15</c:v>
                </c:pt>
                <c:pt idx="665">
                  <c:v>15</c:v>
                </c:pt>
                <c:pt idx="666">
                  <c:v>15</c:v>
                </c:pt>
                <c:pt idx="667">
                  <c:v>15</c:v>
                </c:pt>
                <c:pt idx="668">
                  <c:v>15</c:v>
                </c:pt>
                <c:pt idx="669">
                  <c:v>15</c:v>
                </c:pt>
                <c:pt idx="670">
                  <c:v>15</c:v>
                </c:pt>
                <c:pt idx="671">
                  <c:v>15</c:v>
                </c:pt>
                <c:pt idx="672">
                  <c:v>15</c:v>
                </c:pt>
                <c:pt idx="673">
                  <c:v>15</c:v>
                </c:pt>
                <c:pt idx="674">
                  <c:v>15</c:v>
                </c:pt>
                <c:pt idx="675">
                  <c:v>15</c:v>
                </c:pt>
                <c:pt idx="676">
                  <c:v>15</c:v>
                </c:pt>
                <c:pt idx="677">
                  <c:v>15</c:v>
                </c:pt>
                <c:pt idx="678">
                  <c:v>15</c:v>
                </c:pt>
                <c:pt idx="679">
                  <c:v>15</c:v>
                </c:pt>
                <c:pt idx="680">
                  <c:v>15</c:v>
                </c:pt>
                <c:pt idx="681">
                  <c:v>15</c:v>
                </c:pt>
                <c:pt idx="682">
                  <c:v>15</c:v>
                </c:pt>
                <c:pt idx="683">
                  <c:v>15</c:v>
                </c:pt>
                <c:pt idx="684">
                  <c:v>15</c:v>
                </c:pt>
                <c:pt idx="685">
                  <c:v>15</c:v>
                </c:pt>
                <c:pt idx="686">
                  <c:v>15</c:v>
                </c:pt>
                <c:pt idx="687">
                  <c:v>15</c:v>
                </c:pt>
                <c:pt idx="688">
                  <c:v>15</c:v>
                </c:pt>
                <c:pt idx="689">
                  <c:v>15</c:v>
                </c:pt>
                <c:pt idx="690">
                  <c:v>15</c:v>
                </c:pt>
                <c:pt idx="691">
                  <c:v>15</c:v>
                </c:pt>
                <c:pt idx="692">
                  <c:v>15</c:v>
                </c:pt>
                <c:pt idx="693">
                  <c:v>15</c:v>
                </c:pt>
                <c:pt idx="694">
                  <c:v>15</c:v>
                </c:pt>
                <c:pt idx="695">
                  <c:v>15</c:v>
                </c:pt>
                <c:pt idx="696">
                  <c:v>15</c:v>
                </c:pt>
                <c:pt idx="697">
                  <c:v>15</c:v>
                </c:pt>
                <c:pt idx="698">
                  <c:v>15</c:v>
                </c:pt>
                <c:pt idx="699">
                  <c:v>15</c:v>
                </c:pt>
                <c:pt idx="700">
                  <c:v>15</c:v>
                </c:pt>
                <c:pt idx="701">
                  <c:v>15</c:v>
                </c:pt>
                <c:pt idx="702">
                  <c:v>15</c:v>
                </c:pt>
                <c:pt idx="703">
                  <c:v>15</c:v>
                </c:pt>
                <c:pt idx="704">
                  <c:v>15</c:v>
                </c:pt>
                <c:pt idx="705">
                  <c:v>15</c:v>
                </c:pt>
                <c:pt idx="706">
                  <c:v>15</c:v>
                </c:pt>
                <c:pt idx="707">
                  <c:v>15</c:v>
                </c:pt>
                <c:pt idx="708">
                  <c:v>15</c:v>
                </c:pt>
                <c:pt idx="709">
                  <c:v>15</c:v>
                </c:pt>
                <c:pt idx="710">
                  <c:v>15</c:v>
                </c:pt>
                <c:pt idx="711">
                  <c:v>15</c:v>
                </c:pt>
                <c:pt idx="712">
                  <c:v>15</c:v>
                </c:pt>
                <c:pt idx="713">
                  <c:v>15</c:v>
                </c:pt>
                <c:pt idx="714">
                  <c:v>15</c:v>
                </c:pt>
                <c:pt idx="715">
                  <c:v>15</c:v>
                </c:pt>
                <c:pt idx="716">
                  <c:v>15</c:v>
                </c:pt>
                <c:pt idx="717">
                  <c:v>15</c:v>
                </c:pt>
                <c:pt idx="718">
                  <c:v>15</c:v>
                </c:pt>
                <c:pt idx="719">
                  <c:v>15</c:v>
                </c:pt>
                <c:pt idx="720">
                  <c:v>15</c:v>
                </c:pt>
                <c:pt idx="721">
                  <c:v>15</c:v>
                </c:pt>
                <c:pt idx="722">
                  <c:v>15</c:v>
                </c:pt>
                <c:pt idx="723">
                  <c:v>15</c:v>
                </c:pt>
                <c:pt idx="724">
                  <c:v>15</c:v>
                </c:pt>
                <c:pt idx="725">
                  <c:v>15</c:v>
                </c:pt>
                <c:pt idx="726">
                  <c:v>15</c:v>
                </c:pt>
                <c:pt idx="727">
                  <c:v>15</c:v>
                </c:pt>
                <c:pt idx="728">
                  <c:v>15</c:v>
                </c:pt>
                <c:pt idx="729">
                  <c:v>15</c:v>
                </c:pt>
                <c:pt idx="730">
                  <c:v>15</c:v>
                </c:pt>
                <c:pt idx="731">
                  <c:v>15</c:v>
                </c:pt>
                <c:pt idx="732">
                  <c:v>15</c:v>
                </c:pt>
                <c:pt idx="733">
                  <c:v>15</c:v>
                </c:pt>
                <c:pt idx="734">
                  <c:v>15</c:v>
                </c:pt>
                <c:pt idx="735">
                  <c:v>15</c:v>
                </c:pt>
                <c:pt idx="736">
                  <c:v>15</c:v>
                </c:pt>
                <c:pt idx="737">
                  <c:v>15</c:v>
                </c:pt>
                <c:pt idx="738">
                  <c:v>15</c:v>
                </c:pt>
                <c:pt idx="739">
                  <c:v>15</c:v>
                </c:pt>
                <c:pt idx="740">
                  <c:v>15</c:v>
                </c:pt>
                <c:pt idx="741">
                  <c:v>15</c:v>
                </c:pt>
                <c:pt idx="742">
                  <c:v>15</c:v>
                </c:pt>
                <c:pt idx="743">
                  <c:v>15</c:v>
                </c:pt>
                <c:pt idx="744">
                  <c:v>15</c:v>
                </c:pt>
                <c:pt idx="745">
                  <c:v>15</c:v>
                </c:pt>
                <c:pt idx="746">
                  <c:v>15</c:v>
                </c:pt>
                <c:pt idx="747">
                  <c:v>15</c:v>
                </c:pt>
                <c:pt idx="748">
                  <c:v>15</c:v>
                </c:pt>
                <c:pt idx="749">
                  <c:v>15</c:v>
                </c:pt>
                <c:pt idx="750">
                  <c:v>15</c:v>
                </c:pt>
                <c:pt idx="751">
                  <c:v>15</c:v>
                </c:pt>
                <c:pt idx="752">
                  <c:v>15</c:v>
                </c:pt>
                <c:pt idx="753">
                  <c:v>15</c:v>
                </c:pt>
                <c:pt idx="754">
                  <c:v>15</c:v>
                </c:pt>
                <c:pt idx="755">
                  <c:v>15</c:v>
                </c:pt>
                <c:pt idx="756">
                  <c:v>15</c:v>
                </c:pt>
                <c:pt idx="757">
                  <c:v>15</c:v>
                </c:pt>
                <c:pt idx="758">
                  <c:v>15</c:v>
                </c:pt>
                <c:pt idx="759">
                  <c:v>15</c:v>
                </c:pt>
                <c:pt idx="760">
                  <c:v>15</c:v>
                </c:pt>
                <c:pt idx="761">
                  <c:v>15</c:v>
                </c:pt>
                <c:pt idx="762">
                  <c:v>15</c:v>
                </c:pt>
                <c:pt idx="763">
                  <c:v>15</c:v>
                </c:pt>
                <c:pt idx="764">
                  <c:v>15</c:v>
                </c:pt>
                <c:pt idx="765">
                  <c:v>15</c:v>
                </c:pt>
                <c:pt idx="766">
                  <c:v>15</c:v>
                </c:pt>
                <c:pt idx="767">
                  <c:v>15</c:v>
                </c:pt>
                <c:pt idx="768">
                  <c:v>15</c:v>
                </c:pt>
                <c:pt idx="769">
                  <c:v>15</c:v>
                </c:pt>
                <c:pt idx="770">
                  <c:v>15</c:v>
                </c:pt>
                <c:pt idx="771">
                  <c:v>15</c:v>
                </c:pt>
                <c:pt idx="772">
                  <c:v>15</c:v>
                </c:pt>
                <c:pt idx="773">
                  <c:v>15</c:v>
                </c:pt>
                <c:pt idx="774">
                  <c:v>15</c:v>
                </c:pt>
                <c:pt idx="775">
                  <c:v>15</c:v>
                </c:pt>
                <c:pt idx="776">
                  <c:v>15</c:v>
                </c:pt>
                <c:pt idx="777">
                  <c:v>15</c:v>
                </c:pt>
                <c:pt idx="778">
                  <c:v>15</c:v>
                </c:pt>
                <c:pt idx="779">
                  <c:v>15</c:v>
                </c:pt>
                <c:pt idx="780">
                  <c:v>15</c:v>
                </c:pt>
                <c:pt idx="781">
                  <c:v>15</c:v>
                </c:pt>
                <c:pt idx="782">
                  <c:v>15</c:v>
                </c:pt>
                <c:pt idx="783">
                  <c:v>15</c:v>
                </c:pt>
                <c:pt idx="784">
                  <c:v>15</c:v>
                </c:pt>
                <c:pt idx="785">
                  <c:v>15</c:v>
                </c:pt>
                <c:pt idx="786">
                  <c:v>15</c:v>
                </c:pt>
                <c:pt idx="787">
                  <c:v>15</c:v>
                </c:pt>
                <c:pt idx="788">
                  <c:v>15</c:v>
                </c:pt>
                <c:pt idx="789">
                  <c:v>15</c:v>
                </c:pt>
                <c:pt idx="790">
                  <c:v>15</c:v>
                </c:pt>
                <c:pt idx="791">
                  <c:v>15</c:v>
                </c:pt>
                <c:pt idx="792">
                  <c:v>15</c:v>
                </c:pt>
                <c:pt idx="793">
                  <c:v>15</c:v>
                </c:pt>
                <c:pt idx="794">
                  <c:v>15</c:v>
                </c:pt>
                <c:pt idx="795">
                  <c:v>15</c:v>
                </c:pt>
                <c:pt idx="796">
                  <c:v>15</c:v>
                </c:pt>
                <c:pt idx="797">
                  <c:v>15</c:v>
                </c:pt>
                <c:pt idx="798">
                  <c:v>15</c:v>
                </c:pt>
                <c:pt idx="799">
                  <c:v>15</c:v>
                </c:pt>
                <c:pt idx="800">
                  <c:v>15</c:v>
                </c:pt>
                <c:pt idx="801">
                  <c:v>15</c:v>
                </c:pt>
                <c:pt idx="802">
                  <c:v>15</c:v>
                </c:pt>
                <c:pt idx="803">
                  <c:v>15</c:v>
                </c:pt>
                <c:pt idx="804">
                  <c:v>15</c:v>
                </c:pt>
                <c:pt idx="805">
                  <c:v>15</c:v>
                </c:pt>
                <c:pt idx="806">
                  <c:v>15</c:v>
                </c:pt>
                <c:pt idx="807">
                  <c:v>15</c:v>
                </c:pt>
                <c:pt idx="808">
                  <c:v>15</c:v>
                </c:pt>
                <c:pt idx="809">
                  <c:v>15</c:v>
                </c:pt>
                <c:pt idx="810">
                  <c:v>15</c:v>
                </c:pt>
                <c:pt idx="811">
                  <c:v>15</c:v>
                </c:pt>
                <c:pt idx="812">
                  <c:v>15</c:v>
                </c:pt>
                <c:pt idx="813">
                  <c:v>15</c:v>
                </c:pt>
                <c:pt idx="814">
                  <c:v>15</c:v>
                </c:pt>
                <c:pt idx="815">
                  <c:v>15</c:v>
                </c:pt>
                <c:pt idx="816">
                  <c:v>15</c:v>
                </c:pt>
                <c:pt idx="817">
                  <c:v>15</c:v>
                </c:pt>
                <c:pt idx="818">
                  <c:v>15</c:v>
                </c:pt>
                <c:pt idx="819">
                  <c:v>15</c:v>
                </c:pt>
                <c:pt idx="820">
                  <c:v>15</c:v>
                </c:pt>
                <c:pt idx="821">
                  <c:v>15</c:v>
                </c:pt>
                <c:pt idx="822">
                  <c:v>15</c:v>
                </c:pt>
                <c:pt idx="823">
                  <c:v>15</c:v>
                </c:pt>
                <c:pt idx="824">
                  <c:v>15</c:v>
                </c:pt>
                <c:pt idx="825">
                  <c:v>15</c:v>
                </c:pt>
                <c:pt idx="826">
                  <c:v>15</c:v>
                </c:pt>
                <c:pt idx="827">
                  <c:v>15</c:v>
                </c:pt>
                <c:pt idx="828">
                  <c:v>15</c:v>
                </c:pt>
                <c:pt idx="829">
                  <c:v>15</c:v>
                </c:pt>
                <c:pt idx="830">
                  <c:v>15</c:v>
                </c:pt>
                <c:pt idx="831">
                  <c:v>15</c:v>
                </c:pt>
                <c:pt idx="832">
                  <c:v>15</c:v>
                </c:pt>
                <c:pt idx="833">
                  <c:v>15</c:v>
                </c:pt>
                <c:pt idx="834">
                  <c:v>15</c:v>
                </c:pt>
                <c:pt idx="835">
                  <c:v>15</c:v>
                </c:pt>
                <c:pt idx="836">
                  <c:v>15</c:v>
                </c:pt>
                <c:pt idx="837">
                  <c:v>15</c:v>
                </c:pt>
                <c:pt idx="838">
                  <c:v>15</c:v>
                </c:pt>
                <c:pt idx="839">
                  <c:v>15</c:v>
                </c:pt>
                <c:pt idx="840">
                  <c:v>15</c:v>
                </c:pt>
                <c:pt idx="841">
                  <c:v>15</c:v>
                </c:pt>
                <c:pt idx="842">
                  <c:v>15</c:v>
                </c:pt>
                <c:pt idx="843">
                  <c:v>15</c:v>
                </c:pt>
                <c:pt idx="844">
                  <c:v>15</c:v>
                </c:pt>
                <c:pt idx="845">
                  <c:v>15</c:v>
                </c:pt>
                <c:pt idx="846">
                  <c:v>15</c:v>
                </c:pt>
                <c:pt idx="847">
                  <c:v>15</c:v>
                </c:pt>
                <c:pt idx="848">
                  <c:v>15</c:v>
                </c:pt>
                <c:pt idx="849">
                  <c:v>15</c:v>
                </c:pt>
                <c:pt idx="850">
                  <c:v>15</c:v>
                </c:pt>
                <c:pt idx="851">
                  <c:v>15</c:v>
                </c:pt>
                <c:pt idx="852">
                  <c:v>15</c:v>
                </c:pt>
                <c:pt idx="853">
                  <c:v>15</c:v>
                </c:pt>
                <c:pt idx="854">
                  <c:v>15</c:v>
                </c:pt>
                <c:pt idx="855">
                  <c:v>15</c:v>
                </c:pt>
                <c:pt idx="856">
                  <c:v>15</c:v>
                </c:pt>
                <c:pt idx="857">
                  <c:v>15</c:v>
                </c:pt>
                <c:pt idx="858">
                  <c:v>15</c:v>
                </c:pt>
                <c:pt idx="859">
                  <c:v>15</c:v>
                </c:pt>
                <c:pt idx="860">
                  <c:v>15</c:v>
                </c:pt>
                <c:pt idx="861">
                  <c:v>15</c:v>
                </c:pt>
                <c:pt idx="862">
                  <c:v>15</c:v>
                </c:pt>
                <c:pt idx="863">
                  <c:v>15</c:v>
                </c:pt>
                <c:pt idx="864">
                  <c:v>15</c:v>
                </c:pt>
                <c:pt idx="865">
                  <c:v>15</c:v>
                </c:pt>
                <c:pt idx="866">
                  <c:v>15</c:v>
                </c:pt>
                <c:pt idx="867">
                  <c:v>15</c:v>
                </c:pt>
                <c:pt idx="868">
                  <c:v>15</c:v>
                </c:pt>
                <c:pt idx="869">
                  <c:v>15</c:v>
                </c:pt>
                <c:pt idx="870">
                  <c:v>15</c:v>
                </c:pt>
                <c:pt idx="871">
                  <c:v>15</c:v>
                </c:pt>
                <c:pt idx="872">
                  <c:v>15</c:v>
                </c:pt>
                <c:pt idx="873">
                  <c:v>15</c:v>
                </c:pt>
                <c:pt idx="874">
                  <c:v>15</c:v>
                </c:pt>
                <c:pt idx="875">
                  <c:v>15</c:v>
                </c:pt>
                <c:pt idx="876">
                  <c:v>15</c:v>
                </c:pt>
                <c:pt idx="877">
                  <c:v>15</c:v>
                </c:pt>
                <c:pt idx="878">
                  <c:v>15</c:v>
                </c:pt>
                <c:pt idx="879">
                  <c:v>15</c:v>
                </c:pt>
                <c:pt idx="880">
                  <c:v>15</c:v>
                </c:pt>
                <c:pt idx="881">
                  <c:v>15</c:v>
                </c:pt>
                <c:pt idx="882">
                  <c:v>15</c:v>
                </c:pt>
                <c:pt idx="883">
                  <c:v>15</c:v>
                </c:pt>
                <c:pt idx="884">
                  <c:v>15</c:v>
                </c:pt>
                <c:pt idx="885">
                  <c:v>15</c:v>
                </c:pt>
                <c:pt idx="886">
                  <c:v>15</c:v>
                </c:pt>
                <c:pt idx="887">
                  <c:v>15</c:v>
                </c:pt>
                <c:pt idx="888">
                  <c:v>15</c:v>
                </c:pt>
                <c:pt idx="889">
                  <c:v>15</c:v>
                </c:pt>
                <c:pt idx="890">
                  <c:v>15</c:v>
                </c:pt>
                <c:pt idx="891">
                  <c:v>15</c:v>
                </c:pt>
                <c:pt idx="892">
                  <c:v>15</c:v>
                </c:pt>
                <c:pt idx="893">
                  <c:v>15</c:v>
                </c:pt>
                <c:pt idx="894">
                  <c:v>15</c:v>
                </c:pt>
                <c:pt idx="895">
                  <c:v>15</c:v>
                </c:pt>
                <c:pt idx="896">
                  <c:v>15</c:v>
                </c:pt>
                <c:pt idx="897">
                  <c:v>15</c:v>
                </c:pt>
                <c:pt idx="898">
                  <c:v>15</c:v>
                </c:pt>
                <c:pt idx="899">
                  <c:v>15</c:v>
                </c:pt>
                <c:pt idx="900">
                  <c:v>15</c:v>
                </c:pt>
                <c:pt idx="901">
                  <c:v>15</c:v>
                </c:pt>
                <c:pt idx="902">
                  <c:v>15</c:v>
                </c:pt>
                <c:pt idx="903">
                  <c:v>15</c:v>
                </c:pt>
                <c:pt idx="904">
                  <c:v>15</c:v>
                </c:pt>
                <c:pt idx="905">
                  <c:v>15</c:v>
                </c:pt>
                <c:pt idx="906">
                  <c:v>15</c:v>
                </c:pt>
                <c:pt idx="907">
                  <c:v>15</c:v>
                </c:pt>
                <c:pt idx="908">
                  <c:v>15</c:v>
                </c:pt>
                <c:pt idx="909">
                  <c:v>15</c:v>
                </c:pt>
                <c:pt idx="910">
                  <c:v>15</c:v>
                </c:pt>
                <c:pt idx="911">
                  <c:v>15</c:v>
                </c:pt>
                <c:pt idx="912">
                  <c:v>15</c:v>
                </c:pt>
                <c:pt idx="913">
                  <c:v>15</c:v>
                </c:pt>
                <c:pt idx="914">
                  <c:v>15</c:v>
                </c:pt>
                <c:pt idx="915">
                  <c:v>15</c:v>
                </c:pt>
                <c:pt idx="916">
                  <c:v>15</c:v>
                </c:pt>
                <c:pt idx="917">
                  <c:v>15</c:v>
                </c:pt>
                <c:pt idx="918">
                  <c:v>15</c:v>
                </c:pt>
                <c:pt idx="919">
                  <c:v>15</c:v>
                </c:pt>
                <c:pt idx="920">
                  <c:v>15</c:v>
                </c:pt>
                <c:pt idx="921">
                  <c:v>15</c:v>
                </c:pt>
                <c:pt idx="922">
                  <c:v>15</c:v>
                </c:pt>
                <c:pt idx="923">
                  <c:v>15</c:v>
                </c:pt>
                <c:pt idx="924">
                  <c:v>15</c:v>
                </c:pt>
                <c:pt idx="925">
                  <c:v>15</c:v>
                </c:pt>
                <c:pt idx="926">
                  <c:v>15</c:v>
                </c:pt>
                <c:pt idx="927">
                  <c:v>15</c:v>
                </c:pt>
                <c:pt idx="928">
                  <c:v>15</c:v>
                </c:pt>
                <c:pt idx="929">
                  <c:v>15</c:v>
                </c:pt>
                <c:pt idx="930">
                  <c:v>15</c:v>
                </c:pt>
                <c:pt idx="931">
                  <c:v>15</c:v>
                </c:pt>
                <c:pt idx="932">
                  <c:v>15</c:v>
                </c:pt>
                <c:pt idx="933">
                  <c:v>15</c:v>
                </c:pt>
                <c:pt idx="934">
                  <c:v>15</c:v>
                </c:pt>
                <c:pt idx="935">
                  <c:v>15</c:v>
                </c:pt>
                <c:pt idx="936">
                  <c:v>15</c:v>
                </c:pt>
                <c:pt idx="937">
                  <c:v>15</c:v>
                </c:pt>
                <c:pt idx="938">
                  <c:v>15</c:v>
                </c:pt>
                <c:pt idx="939">
                  <c:v>15</c:v>
                </c:pt>
                <c:pt idx="940">
                  <c:v>15</c:v>
                </c:pt>
                <c:pt idx="941">
                  <c:v>15</c:v>
                </c:pt>
                <c:pt idx="942">
                  <c:v>15</c:v>
                </c:pt>
                <c:pt idx="943">
                  <c:v>15</c:v>
                </c:pt>
                <c:pt idx="944">
                  <c:v>15</c:v>
                </c:pt>
                <c:pt idx="945">
                  <c:v>15</c:v>
                </c:pt>
                <c:pt idx="946">
                  <c:v>15</c:v>
                </c:pt>
                <c:pt idx="947">
                  <c:v>15</c:v>
                </c:pt>
                <c:pt idx="948">
                  <c:v>15</c:v>
                </c:pt>
                <c:pt idx="949">
                  <c:v>15</c:v>
                </c:pt>
                <c:pt idx="950">
                  <c:v>15</c:v>
                </c:pt>
                <c:pt idx="951">
                  <c:v>15</c:v>
                </c:pt>
                <c:pt idx="952">
                  <c:v>15</c:v>
                </c:pt>
                <c:pt idx="953">
                  <c:v>15</c:v>
                </c:pt>
                <c:pt idx="954">
                  <c:v>15</c:v>
                </c:pt>
                <c:pt idx="955">
                  <c:v>15</c:v>
                </c:pt>
                <c:pt idx="956">
                  <c:v>15</c:v>
                </c:pt>
                <c:pt idx="957">
                  <c:v>15</c:v>
                </c:pt>
                <c:pt idx="958">
                  <c:v>15</c:v>
                </c:pt>
                <c:pt idx="959">
                  <c:v>15</c:v>
                </c:pt>
                <c:pt idx="960">
                  <c:v>15</c:v>
                </c:pt>
                <c:pt idx="961">
                  <c:v>15</c:v>
                </c:pt>
                <c:pt idx="962">
                  <c:v>15</c:v>
                </c:pt>
                <c:pt idx="963">
                  <c:v>15</c:v>
                </c:pt>
                <c:pt idx="964">
                  <c:v>15</c:v>
                </c:pt>
                <c:pt idx="965">
                  <c:v>15</c:v>
                </c:pt>
                <c:pt idx="966">
                  <c:v>15</c:v>
                </c:pt>
                <c:pt idx="967">
                  <c:v>15</c:v>
                </c:pt>
                <c:pt idx="968">
                  <c:v>15</c:v>
                </c:pt>
                <c:pt idx="969">
                  <c:v>15</c:v>
                </c:pt>
                <c:pt idx="970">
                  <c:v>15</c:v>
                </c:pt>
                <c:pt idx="971">
                  <c:v>15</c:v>
                </c:pt>
                <c:pt idx="972">
                  <c:v>15</c:v>
                </c:pt>
                <c:pt idx="973">
                  <c:v>15</c:v>
                </c:pt>
                <c:pt idx="974">
                  <c:v>15</c:v>
                </c:pt>
                <c:pt idx="975">
                  <c:v>15</c:v>
                </c:pt>
                <c:pt idx="976">
                  <c:v>15</c:v>
                </c:pt>
                <c:pt idx="977">
                  <c:v>15</c:v>
                </c:pt>
                <c:pt idx="978">
                  <c:v>15</c:v>
                </c:pt>
                <c:pt idx="979">
                  <c:v>15</c:v>
                </c:pt>
                <c:pt idx="980">
                  <c:v>15</c:v>
                </c:pt>
                <c:pt idx="981">
                  <c:v>15</c:v>
                </c:pt>
                <c:pt idx="982">
                  <c:v>15</c:v>
                </c:pt>
                <c:pt idx="983">
                  <c:v>15</c:v>
                </c:pt>
                <c:pt idx="984">
                  <c:v>15</c:v>
                </c:pt>
                <c:pt idx="985">
                  <c:v>15</c:v>
                </c:pt>
                <c:pt idx="986">
                  <c:v>15</c:v>
                </c:pt>
                <c:pt idx="987">
                  <c:v>15</c:v>
                </c:pt>
                <c:pt idx="988">
                  <c:v>15</c:v>
                </c:pt>
                <c:pt idx="989">
                  <c:v>15</c:v>
                </c:pt>
                <c:pt idx="990">
                  <c:v>15</c:v>
                </c:pt>
                <c:pt idx="991">
                  <c:v>15</c:v>
                </c:pt>
                <c:pt idx="992">
                  <c:v>15</c:v>
                </c:pt>
                <c:pt idx="993">
                  <c:v>15</c:v>
                </c:pt>
                <c:pt idx="994">
                  <c:v>15</c:v>
                </c:pt>
                <c:pt idx="995">
                  <c:v>15</c:v>
                </c:pt>
                <c:pt idx="996">
                  <c:v>15</c:v>
                </c:pt>
                <c:pt idx="997">
                  <c:v>15</c:v>
                </c:pt>
                <c:pt idx="998">
                  <c:v>15</c:v>
                </c:pt>
                <c:pt idx="999">
                  <c:v>15</c:v>
                </c:pt>
                <c:pt idx="1000">
                  <c:v>15</c:v>
                </c:pt>
                <c:pt idx="1001">
                  <c:v>15</c:v>
                </c:pt>
                <c:pt idx="1002">
                  <c:v>15</c:v>
                </c:pt>
                <c:pt idx="1003">
                  <c:v>15</c:v>
                </c:pt>
                <c:pt idx="1004">
                  <c:v>15</c:v>
                </c:pt>
                <c:pt idx="1005">
                  <c:v>15</c:v>
                </c:pt>
                <c:pt idx="1006">
                  <c:v>15</c:v>
                </c:pt>
                <c:pt idx="1007">
                  <c:v>15</c:v>
                </c:pt>
                <c:pt idx="1008">
                  <c:v>15</c:v>
                </c:pt>
                <c:pt idx="1009">
                  <c:v>15</c:v>
                </c:pt>
                <c:pt idx="1010">
                  <c:v>15</c:v>
                </c:pt>
                <c:pt idx="1011">
                  <c:v>15</c:v>
                </c:pt>
                <c:pt idx="1012">
                  <c:v>15</c:v>
                </c:pt>
                <c:pt idx="1013">
                  <c:v>15</c:v>
                </c:pt>
                <c:pt idx="1014">
                  <c:v>15</c:v>
                </c:pt>
                <c:pt idx="1015">
                  <c:v>15</c:v>
                </c:pt>
                <c:pt idx="1016">
                  <c:v>15</c:v>
                </c:pt>
                <c:pt idx="1017">
                  <c:v>15</c:v>
                </c:pt>
                <c:pt idx="1018">
                  <c:v>15</c:v>
                </c:pt>
                <c:pt idx="1019">
                  <c:v>15</c:v>
                </c:pt>
                <c:pt idx="1020">
                  <c:v>15</c:v>
                </c:pt>
                <c:pt idx="1021">
                  <c:v>15</c:v>
                </c:pt>
                <c:pt idx="1022">
                  <c:v>15</c:v>
                </c:pt>
                <c:pt idx="1023">
                  <c:v>15</c:v>
                </c:pt>
                <c:pt idx="1024">
                  <c:v>15</c:v>
                </c:pt>
                <c:pt idx="1025">
                  <c:v>15</c:v>
                </c:pt>
                <c:pt idx="1026">
                  <c:v>15</c:v>
                </c:pt>
                <c:pt idx="1027">
                  <c:v>15</c:v>
                </c:pt>
                <c:pt idx="1028">
                  <c:v>15</c:v>
                </c:pt>
                <c:pt idx="1029">
                  <c:v>15</c:v>
                </c:pt>
                <c:pt idx="1030">
                  <c:v>15</c:v>
                </c:pt>
                <c:pt idx="1031">
                  <c:v>15</c:v>
                </c:pt>
                <c:pt idx="1032">
                  <c:v>15</c:v>
                </c:pt>
                <c:pt idx="1033">
                  <c:v>15</c:v>
                </c:pt>
                <c:pt idx="1034">
                  <c:v>15</c:v>
                </c:pt>
                <c:pt idx="1035">
                  <c:v>15</c:v>
                </c:pt>
                <c:pt idx="1036">
                  <c:v>15</c:v>
                </c:pt>
                <c:pt idx="1037">
                  <c:v>15</c:v>
                </c:pt>
                <c:pt idx="1038">
                  <c:v>15</c:v>
                </c:pt>
                <c:pt idx="1039">
                  <c:v>15</c:v>
                </c:pt>
                <c:pt idx="1040">
                  <c:v>15</c:v>
                </c:pt>
                <c:pt idx="1041">
                  <c:v>15</c:v>
                </c:pt>
                <c:pt idx="1042">
                  <c:v>15</c:v>
                </c:pt>
                <c:pt idx="1043">
                  <c:v>15</c:v>
                </c:pt>
                <c:pt idx="1044">
                  <c:v>15</c:v>
                </c:pt>
                <c:pt idx="1045">
                  <c:v>15</c:v>
                </c:pt>
                <c:pt idx="1046">
                  <c:v>15</c:v>
                </c:pt>
                <c:pt idx="1047">
                  <c:v>15</c:v>
                </c:pt>
                <c:pt idx="1048">
                  <c:v>15</c:v>
                </c:pt>
                <c:pt idx="1049">
                  <c:v>15</c:v>
                </c:pt>
                <c:pt idx="1050">
                  <c:v>15</c:v>
                </c:pt>
                <c:pt idx="1051">
                  <c:v>15</c:v>
                </c:pt>
                <c:pt idx="1052">
                  <c:v>15</c:v>
                </c:pt>
                <c:pt idx="1053">
                  <c:v>15</c:v>
                </c:pt>
              </c:numCache>
            </c:numRef>
          </c:xVal>
          <c:yVal>
            <c:numRef>
              <c:f>'Peak Payback Engine'!$X$10:$X$1063</c:f>
              <c:numCache>
                <c:formatCode>_(* #,##0.00_);_(* \(#,##0.00\);_(* "-"??_);_(@_)</c:formatCode>
                <c:ptCount val="1054"/>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pt idx="365">
                  <c:v>366</c:v>
                </c:pt>
                <c:pt idx="366">
                  <c:v>367</c:v>
                </c:pt>
                <c:pt idx="367">
                  <c:v>368</c:v>
                </c:pt>
                <c:pt idx="368">
                  <c:v>369</c:v>
                </c:pt>
                <c:pt idx="369">
                  <c:v>370</c:v>
                </c:pt>
                <c:pt idx="370">
                  <c:v>371</c:v>
                </c:pt>
                <c:pt idx="371">
                  <c:v>372</c:v>
                </c:pt>
                <c:pt idx="372">
                  <c:v>373</c:v>
                </c:pt>
                <c:pt idx="373">
                  <c:v>374</c:v>
                </c:pt>
                <c:pt idx="374">
                  <c:v>375</c:v>
                </c:pt>
                <c:pt idx="375">
                  <c:v>376</c:v>
                </c:pt>
                <c:pt idx="376">
                  <c:v>377</c:v>
                </c:pt>
                <c:pt idx="377">
                  <c:v>378</c:v>
                </c:pt>
                <c:pt idx="378">
                  <c:v>379</c:v>
                </c:pt>
                <c:pt idx="379">
                  <c:v>380</c:v>
                </c:pt>
                <c:pt idx="380">
                  <c:v>381</c:v>
                </c:pt>
                <c:pt idx="381">
                  <c:v>382</c:v>
                </c:pt>
                <c:pt idx="382">
                  <c:v>383</c:v>
                </c:pt>
                <c:pt idx="383">
                  <c:v>384</c:v>
                </c:pt>
                <c:pt idx="384">
                  <c:v>385</c:v>
                </c:pt>
                <c:pt idx="385">
                  <c:v>386</c:v>
                </c:pt>
                <c:pt idx="386">
                  <c:v>387</c:v>
                </c:pt>
                <c:pt idx="387">
                  <c:v>388</c:v>
                </c:pt>
                <c:pt idx="388">
                  <c:v>389</c:v>
                </c:pt>
                <c:pt idx="389">
                  <c:v>390</c:v>
                </c:pt>
                <c:pt idx="390">
                  <c:v>391</c:v>
                </c:pt>
                <c:pt idx="391">
                  <c:v>392</c:v>
                </c:pt>
                <c:pt idx="392">
                  <c:v>393</c:v>
                </c:pt>
                <c:pt idx="393">
                  <c:v>394</c:v>
                </c:pt>
                <c:pt idx="394">
                  <c:v>395</c:v>
                </c:pt>
                <c:pt idx="395">
                  <c:v>396</c:v>
                </c:pt>
                <c:pt idx="396">
                  <c:v>397</c:v>
                </c:pt>
                <c:pt idx="397">
                  <c:v>398</c:v>
                </c:pt>
                <c:pt idx="398">
                  <c:v>399</c:v>
                </c:pt>
                <c:pt idx="399">
                  <c:v>400</c:v>
                </c:pt>
                <c:pt idx="400">
                  <c:v>401</c:v>
                </c:pt>
                <c:pt idx="401">
                  <c:v>402</c:v>
                </c:pt>
                <c:pt idx="402">
                  <c:v>403</c:v>
                </c:pt>
                <c:pt idx="403">
                  <c:v>404</c:v>
                </c:pt>
                <c:pt idx="404">
                  <c:v>405</c:v>
                </c:pt>
                <c:pt idx="405">
                  <c:v>406</c:v>
                </c:pt>
                <c:pt idx="406">
                  <c:v>407</c:v>
                </c:pt>
                <c:pt idx="407">
                  <c:v>408</c:v>
                </c:pt>
                <c:pt idx="408">
                  <c:v>409</c:v>
                </c:pt>
                <c:pt idx="409">
                  <c:v>410</c:v>
                </c:pt>
                <c:pt idx="410">
                  <c:v>411</c:v>
                </c:pt>
                <c:pt idx="411">
                  <c:v>412</c:v>
                </c:pt>
                <c:pt idx="412">
                  <c:v>413</c:v>
                </c:pt>
                <c:pt idx="413">
                  <c:v>414</c:v>
                </c:pt>
                <c:pt idx="414">
                  <c:v>415</c:v>
                </c:pt>
                <c:pt idx="415">
                  <c:v>416</c:v>
                </c:pt>
                <c:pt idx="416">
                  <c:v>417</c:v>
                </c:pt>
                <c:pt idx="417">
                  <c:v>418</c:v>
                </c:pt>
                <c:pt idx="418">
                  <c:v>419</c:v>
                </c:pt>
                <c:pt idx="419">
                  <c:v>420</c:v>
                </c:pt>
                <c:pt idx="420">
                  <c:v>421</c:v>
                </c:pt>
                <c:pt idx="421">
                  <c:v>422</c:v>
                </c:pt>
                <c:pt idx="422">
                  <c:v>423</c:v>
                </c:pt>
                <c:pt idx="423">
                  <c:v>424</c:v>
                </c:pt>
                <c:pt idx="424">
                  <c:v>425</c:v>
                </c:pt>
                <c:pt idx="425">
                  <c:v>426</c:v>
                </c:pt>
                <c:pt idx="426">
                  <c:v>427</c:v>
                </c:pt>
                <c:pt idx="427">
                  <c:v>428</c:v>
                </c:pt>
                <c:pt idx="428">
                  <c:v>429</c:v>
                </c:pt>
                <c:pt idx="429">
                  <c:v>430</c:v>
                </c:pt>
                <c:pt idx="430">
                  <c:v>431</c:v>
                </c:pt>
                <c:pt idx="431">
                  <c:v>432</c:v>
                </c:pt>
                <c:pt idx="432">
                  <c:v>433</c:v>
                </c:pt>
                <c:pt idx="433">
                  <c:v>434</c:v>
                </c:pt>
                <c:pt idx="434">
                  <c:v>435</c:v>
                </c:pt>
                <c:pt idx="435">
                  <c:v>436</c:v>
                </c:pt>
                <c:pt idx="436">
                  <c:v>437</c:v>
                </c:pt>
                <c:pt idx="437">
                  <c:v>438</c:v>
                </c:pt>
                <c:pt idx="438">
                  <c:v>439</c:v>
                </c:pt>
                <c:pt idx="439">
                  <c:v>440</c:v>
                </c:pt>
                <c:pt idx="440">
                  <c:v>441</c:v>
                </c:pt>
                <c:pt idx="441">
                  <c:v>442</c:v>
                </c:pt>
                <c:pt idx="442">
                  <c:v>443</c:v>
                </c:pt>
                <c:pt idx="443">
                  <c:v>444</c:v>
                </c:pt>
                <c:pt idx="444">
                  <c:v>445</c:v>
                </c:pt>
                <c:pt idx="445">
                  <c:v>446</c:v>
                </c:pt>
                <c:pt idx="446">
                  <c:v>447</c:v>
                </c:pt>
                <c:pt idx="447">
                  <c:v>448</c:v>
                </c:pt>
                <c:pt idx="448">
                  <c:v>449</c:v>
                </c:pt>
                <c:pt idx="449">
                  <c:v>450</c:v>
                </c:pt>
                <c:pt idx="450">
                  <c:v>451</c:v>
                </c:pt>
                <c:pt idx="451">
                  <c:v>452</c:v>
                </c:pt>
                <c:pt idx="452">
                  <c:v>453</c:v>
                </c:pt>
                <c:pt idx="453">
                  <c:v>454</c:v>
                </c:pt>
                <c:pt idx="454">
                  <c:v>455</c:v>
                </c:pt>
                <c:pt idx="455">
                  <c:v>456</c:v>
                </c:pt>
                <c:pt idx="456">
                  <c:v>457</c:v>
                </c:pt>
                <c:pt idx="457">
                  <c:v>458</c:v>
                </c:pt>
                <c:pt idx="458">
                  <c:v>459</c:v>
                </c:pt>
                <c:pt idx="459">
                  <c:v>460</c:v>
                </c:pt>
                <c:pt idx="460">
                  <c:v>461</c:v>
                </c:pt>
                <c:pt idx="461">
                  <c:v>462</c:v>
                </c:pt>
                <c:pt idx="462">
                  <c:v>463</c:v>
                </c:pt>
                <c:pt idx="463">
                  <c:v>464</c:v>
                </c:pt>
                <c:pt idx="464">
                  <c:v>465</c:v>
                </c:pt>
                <c:pt idx="465">
                  <c:v>466</c:v>
                </c:pt>
                <c:pt idx="466">
                  <c:v>467</c:v>
                </c:pt>
                <c:pt idx="467">
                  <c:v>468</c:v>
                </c:pt>
                <c:pt idx="468">
                  <c:v>469</c:v>
                </c:pt>
                <c:pt idx="469">
                  <c:v>470</c:v>
                </c:pt>
                <c:pt idx="470">
                  <c:v>471</c:v>
                </c:pt>
                <c:pt idx="471">
                  <c:v>472</c:v>
                </c:pt>
                <c:pt idx="472">
                  <c:v>473</c:v>
                </c:pt>
                <c:pt idx="473">
                  <c:v>474</c:v>
                </c:pt>
                <c:pt idx="474">
                  <c:v>475</c:v>
                </c:pt>
                <c:pt idx="475">
                  <c:v>476</c:v>
                </c:pt>
                <c:pt idx="476">
                  <c:v>477</c:v>
                </c:pt>
                <c:pt idx="477">
                  <c:v>478</c:v>
                </c:pt>
                <c:pt idx="478">
                  <c:v>479</c:v>
                </c:pt>
                <c:pt idx="479">
                  <c:v>480</c:v>
                </c:pt>
                <c:pt idx="480">
                  <c:v>481</c:v>
                </c:pt>
                <c:pt idx="481">
                  <c:v>482</c:v>
                </c:pt>
                <c:pt idx="482">
                  <c:v>483</c:v>
                </c:pt>
                <c:pt idx="483">
                  <c:v>484</c:v>
                </c:pt>
                <c:pt idx="484">
                  <c:v>485</c:v>
                </c:pt>
                <c:pt idx="485">
                  <c:v>486</c:v>
                </c:pt>
                <c:pt idx="486">
                  <c:v>487</c:v>
                </c:pt>
                <c:pt idx="487">
                  <c:v>488</c:v>
                </c:pt>
                <c:pt idx="488">
                  <c:v>489</c:v>
                </c:pt>
                <c:pt idx="489">
                  <c:v>490</c:v>
                </c:pt>
                <c:pt idx="490">
                  <c:v>491</c:v>
                </c:pt>
                <c:pt idx="491">
                  <c:v>492</c:v>
                </c:pt>
                <c:pt idx="492">
                  <c:v>493</c:v>
                </c:pt>
                <c:pt idx="493">
                  <c:v>494</c:v>
                </c:pt>
                <c:pt idx="494">
                  <c:v>495</c:v>
                </c:pt>
                <c:pt idx="495">
                  <c:v>496</c:v>
                </c:pt>
                <c:pt idx="496">
                  <c:v>497</c:v>
                </c:pt>
                <c:pt idx="497">
                  <c:v>498</c:v>
                </c:pt>
                <c:pt idx="498">
                  <c:v>499</c:v>
                </c:pt>
                <c:pt idx="499">
                  <c:v>500</c:v>
                </c:pt>
                <c:pt idx="500">
                  <c:v>501</c:v>
                </c:pt>
                <c:pt idx="501">
                  <c:v>502</c:v>
                </c:pt>
                <c:pt idx="502">
                  <c:v>503</c:v>
                </c:pt>
                <c:pt idx="503">
                  <c:v>504</c:v>
                </c:pt>
                <c:pt idx="504">
                  <c:v>505</c:v>
                </c:pt>
                <c:pt idx="505">
                  <c:v>506</c:v>
                </c:pt>
                <c:pt idx="506">
                  <c:v>507</c:v>
                </c:pt>
                <c:pt idx="507">
                  <c:v>508</c:v>
                </c:pt>
                <c:pt idx="508">
                  <c:v>509</c:v>
                </c:pt>
                <c:pt idx="509">
                  <c:v>510</c:v>
                </c:pt>
                <c:pt idx="510">
                  <c:v>511</c:v>
                </c:pt>
                <c:pt idx="511">
                  <c:v>512</c:v>
                </c:pt>
                <c:pt idx="512">
                  <c:v>513</c:v>
                </c:pt>
                <c:pt idx="513">
                  <c:v>514</c:v>
                </c:pt>
                <c:pt idx="514">
                  <c:v>515</c:v>
                </c:pt>
                <c:pt idx="515">
                  <c:v>516</c:v>
                </c:pt>
                <c:pt idx="516">
                  <c:v>517</c:v>
                </c:pt>
                <c:pt idx="517">
                  <c:v>518</c:v>
                </c:pt>
                <c:pt idx="518">
                  <c:v>519</c:v>
                </c:pt>
                <c:pt idx="519">
                  <c:v>520</c:v>
                </c:pt>
                <c:pt idx="520">
                  <c:v>521</c:v>
                </c:pt>
                <c:pt idx="521">
                  <c:v>522</c:v>
                </c:pt>
                <c:pt idx="522">
                  <c:v>523</c:v>
                </c:pt>
                <c:pt idx="523">
                  <c:v>524</c:v>
                </c:pt>
                <c:pt idx="524">
                  <c:v>525</c:v>
                </c:pt>
                <c:pt idx="525">
                  <c:v>526</c:v>
                </c:pt>
                <c:pt idx="526">
                  <c:v>527</c:v>
                </c:pt>
                <c:pt idx="527">
                  <c:v>528</c:v>
                </c:pt>
                <c:pt idx="528">
                  <c:v>529</c:v>
                </c:pt>
                <c:pt idx="529">
                  <c:v>530</c:v>
                </c:pt>
                <c:pt idx="530">
                  <c:v>531</c:v>
                </c:pt>
                <c:pt idx="531">
                  <c:v>532</c:v>
                </c:pt>
                <c:pt idx="532">
                  <c:v>533</c:v>
                </c:pt>
                <c:pt idx="533">
                  <c:v>534</c:v>
                </c:pt>
                <c:pt idx="534">
                  <c:v>535</c:v>
                </c:pt>
                <c:pt idx="535">
                  <c:v>536</c:v>
                </c:pt>
                <c:pt idx="536">
                  <c:v>537</c:v>
                </c:pt>
                <c:pt idx="537">
                  <c:v>538</c:v>
                </c:pt>
                <c:pt idx="538">
                  <c:v>539</c:v>
                </c:pt>
                <c:pt idx="539">
                  <c:v>540</c:v>
                </c:pt>
                <c:pt idx="540">
                  <c:v>541</c:v>
                </c:pt>
                <c:pt idx="541">
                  <c:v>542</c:v>
                </c:pt>
                <c:pt idx="542">
                  <c:v>543</c:v>
                </c:pt>
                <c:pt idx="543">
                  <c:v>544</c:v>
                </c:pt>
                <c:pt idx="544">
                  <c:v>545</c:v>
                </c:pt>
                <c:pt idx="545">
                  <c:v>546</c:v>
                </c:pt>
                <c:pt idx="546">
                  <c:v>547</c:v>
                </c:pt>
                <c:pt idx="547">
                  <c:v>548</c:v>
                </c:pt>
                <c:pt idx="548">
                  <c:v>549</c:v>
                </c:pt>
                <c:pt idx="549">
                  <c:v>550</c:v>
                </c:pt>
                <c:pt idx="550">
                  <c:v>551</c:v>
                </c:pt>
                <c:pt idx="551">
                  <c:v>552</c:v>
                </c:pt>
                <c:pt idx="552">
                  <c:v>553</c:v>
                </c:pt>
                <c:pt idx="553">
                  <c:v>554</c:v>
                </c:pt>
                <c:pt idx="554">
                  <c:v>555</c:v>
                </c:pt>
                <c:pt idx="555">
                  <c:v>556</c:v>
                </c:pt>
                <c:pt idx="556">
                  <c:v>557</c:v>
                </c:pt>
                <c:pt idx="557">
                  <c:v>558</c:v>
                </c:pt>
                <c:pt idx="558">
                  <c:v>559</c:v>
                </c:pt>
                <c:pt idx="559">
                  <c:v>560</c:v>
                </c:pt>
                <c:pt idx="560">
                  <c:v>561</c:v>
                </c:pt>
                <c:pt idx="561">
                  <c:v>562</c:v>
                </c:pt>
                <c:pt idx="562">
                  <c:v>563</c:v>
                </c:pt>
                <c:pt idx="563">
                  <c:v>564</c:v>
                </c:pt>
                <c:pt idx="564">
                  <c:v>565</c:v>
                </c:pt>
                <c:pt idx="565">
                  <c:v>566</c:v>
                </c:pt>
                <c:pt idx="566">
                  <c:v>567</c:v>
                </c:pt>
                <c:pt idx="567">
                  <c:v>568</c:v>
                </c:pt>
                <c:pt idx="568">
                  <c:v>569</c:v>
                </c:pt>
                <c:pt idx="569">
                  <c:v>570</c:v>
                </c:pt>
                <c:pt idx="570">
                  <c:v>571</c:v>
                </c:pt>
                <c:pt idx="571">
                  <c:v>572</c:v>
                </c:pt>
                <c:pt idx="572">
                  <c:v>573</c:v>
                </c:pt>
                <c:pt idx="573">
                  <c:v>574</c:v>
                </c:pt>
                <c:pt idx="574">
                  <c:v>575</c:v>
                </c:pt>
                <c:pt idx="575">
                  <c:v>576</c:v>
                </c:pt>
                <c:pt idx="576">
                  <c:v>577</c:v>
                </c:pt>
                <c:pt idx="577">
                  <c:v>578</c:v>
                </c:pt>
                <c:pt idx="578">
                  <c:v>579</c:v>
                </c:pt>
                <c:pt idx="579">
                  <c:v>580</c:v>
                </c:pt>
                <c:pt idx="580">
                  <c:v>581</c:v>
                </c:pt>
                <c:pt idx="581">
                  <c:v>582</c:v>
                </c:pt>
                <c:pt idx="582">
                  <c:v>583</c:v>
                </c:pt>
                <c:pt idx="583">
                  <c:v>584</c:v>
                </c:pt>
                <c:pt idx="584">
                  <c:v>585</c:v>
                </c:pt>
                <c:pt idx="585">
                  <c:v>586</c:v>
                </c:pt>
                <c:pt idx="586">
                  <c:v>587</c:v>
                </c:pt>
                <c:pt idx="587">
                  <c:v>588</c:v>
                </c:pt>
                <c:pt idx="588">
                  <c:v>589</c:v>
                </c:pt>
                <c:pt idx="589">
                  <c:v>590</c:v>
                </c:pt>
                <c:pt idx="590">
                  <c:v>591</c:v>
                </c:pt>
                <c:pt idx="591">
                  <c:v>592</c:v>
                </c:pt>
                <c:pt idx="592">
                  <c:v>593</c:v>
                </c:pt>
                <c:pt idx="593">
                  <c:v>594</c:v>
                </c:pt>
                <c:pt idx="594">
                  <c:v>595</c:v>
                </c:pt>
                <c:pt idx="595">
                  <c:v>596</c:v>
                </c:pt>
                <c:pt idx="596">
                  <c:v>597</c:v>
                </c:pt>
                <c:pt idx="597">
                  <c:v>598</c:v>
                </c:pt>
                <c:pt idx="598">
                  <c:v>599</c:v>
                </c:pt>
                <c:pt idx="599">
                  <c:v>600</c:v>
                </c:pt>
                <c:pt idx="600">
                  <c:v>601</c:v>
                </c:pt>
                <c:pt idx="601">
                  <c:v>602</c:v>
                </c:pt>
                <c:pt idx="602">
                  <c:v>603</c:v>
                </c:pt>
                <c:pt idx="603">
                  <c:v>604</c:v>
                </c:pt>
                <c:pt idx="604">
                  <c:v>605</c:v>
                </c:pt>
                <c:pt idx="605">
                  <c:v>606</c:v>
                </c:pt>
                <c:pt idx="606">
                  <c:v>607</c:v>
                </c:pt>
                <c:pt idx="607">
                  <c:v>608</c:v>
                </c:pt>
                <c:pt idx="608">
                  <c:v>609</c:v>
                </c:pt>
                <c:pt idx="609">
                  <c:v>610</c:v>
                </c:pt>
                <c:pt idx="610">
                  <c:v>611</c:v>
                </c:pt>
                <c:pt idx="611">
                  <c:v>612</c:v>
                </c:pt>
                <c:pt idx="612">
                  <c:v>613</c:v>
                </c:pt>
                <c:pt idx="613">
                  <c:v>614</c:v>
                </c:pt>
                <c:pt idx="614">
                  <c:v>615</c:v>
                </c:pt>
                <c:pt idx="615">
                  <c:v>616</c:v>
                </c:pt>
                <c:pt idx="616">
                  <c:v>617</c:v>
                </c:pt>
                <c:pt idx="617">
                  <c:v>618</c:v>
                </c:pt>
                <c:pt idx="618">
                  <c:v>619</c:v>
                </c:pt>
                <c:pt idx="619">
                  <c:v>620</c:v>
                </c:pt>
                <c:pt idx="620">
                  <c:v>621</c:v>
                </c:pt>
                <c:pt idx="621">
                  <c:v>622</c:v>
                </c:pt>
                <c:pt idx="622">
                  <c:v>623</c:v>
                </c:pt>
                <c:pt idx="623">
                  <c:v>624</c:v>
                </c:pt>
                <c:pt idx="624">
                  <c:v>625</c:v>
                </c:pt>
                <c:pt idx="625">
                  <c:v>626</c:v>
                </c:pt>
                <c:pt idx="626">
                  <c:v>627</c:v>
                </c:pt>
                <c:pt idx="627">
                  <c:v>628</c:v>
                </c:pt>
                <c:pt idx="628">
                  <c:v>629</c:v>
                </c:pt>
                <c:pt idx="629">
                  <c:v>630</c:v>
                </c:pt>
                <c:pt idx="630">
                  <c:v>631</c:v>
                </c:pt>
                <c:pt idx="631">
                  <c:v>632</c:v>
                </c:pt>
                <c:pt idx="632">
                  <c:v>633</c:v>
                </c:pt>
                <c:pt idx="633">
                  <c:v>634</c:v>
                </c:pt>
                <c:pt idx="634">
                  <c:v>635</c:v>
                </c:pt>
                <c:pt idx="635">
                  <c:v>636</c:v>
                </c:pt>
                <c:pt idx="636">
                  <c:v>637</c:v>
                </c:pt>
                <c:pt idx="637">
                  <c:v>638</c:v>
                </c:pt>
                <c:pt idx="638">
                  <c:v>639</c:v>
                </c:pt>
                <c:pt idx="639">
                  <c:v>640</c:v>
                </c:pt>
                <c:pt idx="640">
                  <c:v>641</c:v>
                </c:pt>
                <c:pt idx="641">
                  <c:v>642</c:v>
                </c:pt>
                <c:pt idx="642">
                  <c:v>643</c:v>
                </c:pt>
                <c:pt idx="643">
                  <c:v>644</c:v>
                </c:pt>
                <c:pt idx="644">
                  <c:v>645</c:v>
                </c:pt>
                <c:pt idx="645">
                  <c:v>646</c:v>
                </c:pt>
                <c:pt idx="646">
                  <c:v>647</c:v>
                </c:pt>
                <c:pt idx="647">
                  <c:v>648</c:v>
                </c:pt>
                <c:pt idx="648">
                  <c:v>649</c:v>
                </c:pt>
                <c:pt idx="649">
                  <c:v>650</c:v>
                </c:pt>
                <c:pt idx="650">
                  <c:v>651</c:v>
                </c:pt>
                <c:pt idx="651">
                  <c:v>652</c:v>
                </c:pt>
                <c:pt idx="652">
                  <c:v>653</c:v>
                </c:pt>
                <c:pt idx="653">
                  <c:v>654</c:v>
                </c:pt>
                <c:pt idx="654">
                  <c:v>655</c:v>
                </c:pt>
                <c:pt idx="655">
                  <c:v>656</c:v>
                </c:pt>
                <c:pt idx="656">
                  <c:v>657</c:v>
                </c:pt>
                <c:pt idx="657">
                  <c:v>658</c:v>
                </c:pt>
                <c:pt idx="658">
                  <c:v>659</c:v>
                </c:pt>
                <c:pt idx="659">
                  <c:v>660</c:v>
                </c:pt>
                <c:pt idx="660">
                  <c:v>661</c:v>
                </c:pt>
                <c:pt idx="661">
                  <c:v>662</c:v>
                </c:pt>
                <c:pt idx="662">
                  <c:v>663</c:v>
                </c:pt>
                <c:pt idx="663">
                  <c:v>664</c:v>
                </c:pt>
                <c:pt idx="664">
                  <c:v>665</c:v>
                </c:pt>
                <c:pt idx="665">
                  <c:v>666</c:v>
                </c:pt>
                <c:pt idx="666">
                  <c:v>667</c:v>
                </c:pt>
                <c:pt idx="667">
                  <c:v>668</c:v>
                </c:pt>
                <c:pt idx="668">
                  <c:v>669</c:v>
                </c:pt>
                <c:pt idx="669">
                  <c:v>670</c:v>
                </c:pt>
                <c:pt idx="670">
                  <c:v>671</c:v>
                </c:pt>
                <c:pt idx="671">
                  <c:v>672</c:v>
                </c:pt>
                <c:pt idx="672">
                  <c:v>673</c:v>
                </c:pt>
                <c:pt idx="673">
                  <c:v>674</c:v>
                </c:pt>
                <c:pt idx="674">
                  <c:v>675</c:v>
                </c:pt>
                <c:pt idx="675">
                  <c:v>676</c:v>
                </c:pt>
                <c:pt idx="676">
                  <c:v>677</c:v>
                </c:pt>
                <c:pt idx="677">
                  <c:v>678</c:v>
                </c:pt>
                <c:pt idx="678">
                  <c:v>679</c:v>
                </c:pt>
                <c:pt idx="679">
                  <c:v>680</c:v>
                </c:pt>
                <c:pt idx="680">
                  <c:v>681</c:v>
                </c:pt>
                <c:pt idx="681">
                  <c:v>682</c:v>
                </c:pt>
                <c:pt idx="682">
                  <c:v>683</c:v>
                </c:pt>
                <c:pt idx="683">
                  <c:v>684</c:v>
                </c:pt>
                <c:pt idx="684">
                  <c:v>685</c:v>
                </c:pt>
                <c:pt idx="685">
                  <c:v>686</c:v>
                </c:pt>
                <c:pt idx="686">
                  <c:v>687</c:v>
                </c:pt>
                <c:pt idx="687">
                  <c:v>688</c:v>
                </c:pt>
                <c:pt idx="688">
                  <c:v>689</c:v>
                </c:pt>
                <c:pt idx="689">
                  <c:v>690</c:v>
                </c:pt>
                <c:pt idx="690">
                  <c:v>691</c:v>
                </c:pt>
                <c:pt idx="691">
                  <c:v>692</c:v>
                </c:pt>
                <c:pt idx="692">
                  <c:v>693</c:v>
                </c:pt>
                <c:pt idx="693">
                  <c:v>694</c:v>
                </c:pt>
                <c:pt idx="694">
                  <c:v>695</c:v>
                </c:pt>
                <c:pt idx="695">
                  <c:v>696</c:v>
                </c:pt>
                <c:pt idx="696">
                  <c:v>697</c:v>
                </c:pt>
                <c:pt idx="697">
                  <c:v>698</c:v>
                </c:pt>
                <c:pt idx="698">
                  <c:v>699</c:v>
                </c:pt>
                <c:pt idx="699">
                  <c:v>700</c:v>
                </c:pt>
                <c:pt idx="700">
                  <c:v>701</c:v>
                </c:pt>
                <c:pt idx="701">
                  <c:v>702</c:v>
                </c:pt>
                <c:pt idx="702">
                  <c:v>703</c:v>
                </c:pt>
                <c:pt idx="703">
                  <c:v>704</c:v>
                </c:pt>
                <c:pt idx="704">
                  <c:v>705</c:v>
                </c:pt>
                <c:pt idx="705">
                  <c:v>706</c:v>
                </c:pt>
                <c:pt idx="706">
                  <c:v>707</c:v>
                </c:pt>
                <c:pt idx="707">
                  <c:v>708</c:v>
                </c:pt>
                <c:pt idx="708">
                  <c:v>709</c:v>
                </c:pt>
                <c:pt idx="709">
                  <c:v>710</c:v>
                </c:pt>
                <c:pt idx="710">
                  <c:v>711</c:v>
                </c:pt>
                <c:pt idx="711">
                  <c:v>712</c:v>
                </c:pt>
                <c:pt idx="712">
                  <c:v>713</c:v>
                </c:pt>
                <c:pt idx="713">
                  <c:v>714</c:v>
                </c:pt>
                <c:pt idx="714">
                  <c:v>715</c:v>
                </c:pt>
                <c:pt idx="715">
                  <c:v>716</c:v>
                </c:pt>
                <c:pt idx="716">
                  <c:v>717</c:v>
                </c:pt>
                <c:pt idx="717">
                  <c:v>718</c:v>
                </c:pt>
                <c:pt idx="718">
                  <c:v>719</c:v>
                </c:pt>
                <c:pt idx="719">
                  <c:v>720</c:v>
                </c:pt>
                <c:pt idx="720">
                  <c:v>721</c:v>
                </c:pt>
                <c:pt idx="721">
                  <c:v>722</c:v>
                </c:pt>
                <c:pt idx="722">
                  <c:v>723</c:v>
                </c:pt>
                <c:pt idx="723">
                  <c:v>724</c:v>
                </c:pt>
                <c:pt idx="724">
                  <c:v>725</c:v>
                </c:pt>
                <c:pt idx="725">
                  <c:v>726</c:v>
                </c:pt>
                <c:pt idx="726">
                  <c:v>727</c:v>
                </c:pt>
                <c:pt idx="727">
                  <c:v>728</c:v>
                </c:pt>
                <c:pt idx="728">
                  <c:v>729</c:v>
                </c:pt>
                <c:pt idx="729">
                  <c:v>730</c:v>
                </c:pt>
                <c:pt idx="730">
                  <c:v>731</c:v>
                </c:pt>
                <c:pt idx="731">
                  <c:v>732</c:v>
                </c:pt>
                <c:pt idx="732">
                  <c:v>733</c:v>
                </c:pt>
                <c:pt idx="733">
                  <c:v>734</c:v>
                </c:pt>
                <c:pt idx="734">
                  <c:v>735</c:v>
                </c:pt>
                <c:pt idx="735">
                  <c:v>736</c:v>
                </c:pt>
                <c:pt idx="736">
                  <c:v>737</c:v>
                </c:pt>
                <c:pt idx="737">
                  <c:v>738</c:v>
                </c:pt>
                <c:pt idx="738">
                  <c:v>739</c:v>
                </c:pt>
                <c:pt idx="739">
                  <c:v>740</c:v>
                </c:pt>
                <c:pt idx="740">
                  <c:v>741</c:v>
                </c:pt>
                <c:pt idx="741">
                  <c:v>742</c:v>
                </c:pt>
                <c:pt idx="742">
                  <c:v>743</c:v>
                </c:pt>
                <c:pt idx="743">
                  <c:v>744</c:v>
                </c:pt>
                <c:pt idx="744">
                  <c:v>745</c:v>
                </c:pt>
                <c:pt idx="745">
                  <c:v>746</c:v>
                </c:pt>
                <c:pt idx="746">
                  <c:v>747</c:v>
                </c:pt>
                <c:pt idx="747">
                  <c:v>748</c:v>
                </c:pt>
                <c:pt idx="748">
                  <c:v>749</c:v>
                </c:pt>
                <c:pt idx="749">
                  <c:v>750</c:v>
                </c:pt>
                <c:pt idx="750">
                  <c:v>751</c:v>
                </c:pt>
                <c:pt idx="751">
                  <c:v>752</c:v>
                </c:pt>
                <c:pt idx="752">
                  <c:v>753</c:v>
                </c:pt>
                <c:pt idx="753">
                  <c:v>754</c:v>
                </c:pt>
                <c:pt idx="754">
                  <c:v>755</c:v>
                </c:pt>
                <c:pt idx="755">
                  <c:v>756</c:v>
                </c:pt>
                <c:pt idx="756">
                  <c:v>757</c:v>
                </c:pt>
                <c:pt idx="757">
                  <c:v>758</c:v>
                </c:pt>
                <c:pt idx="758">
                  <c:v>759</c:v>
                </c:pt>
                <c:pt idx="759">
                  <c:v>760</c:v>
                </c:pt>
                <c:pt idx="760">
                  <c:v>761</c:v>
                </c:pt>
                <c:pt idx="761">
                  <c:v>762</c:v>
                </c:pt>
                <c:pt idx="762">
                  <c:v>763</c:v>
                </c:pt>
                <c:pt idx="763">
                  <c:v>764</c:v>
                </c:pt>
                <c:pt idx="764">
                  <c:v>765</c:v>
                </c:pt>
                <c:pt idx="765">
                  <c:v>766</c:v>
                </c:pt>
                <c:pt idx="766">
                  <c:v>767</c:v>
                </c:pt>
                <c:pt idx="767">
                  <c:v>768</c:v>
                </c:pt>
                <c:pt idx="768">
                  <c:v>769</c:v>
                </c:pt>
                <c:pt idx="769">
                  <c:v>770</c:v>
                </c:pt>
                <c:pt idx="770">
                  <c:v>771</c:v>
                </c:pt>
                <c:pt idx="771">
                  <c:v>772</c:v>
                </c:pt>
                <c:pt idx="772">
                  <c:v>773</c:v>
                </c:pt>
                <c:pt idx="773">
                  <c:v>774</c:v>
                </c:pt>
                <c:pt idx="774">
                  <c:v>775</c:v>
                </c:pt>
                <c:pt idx="775">
                  <c:v>776</c:v>
                </c:pt>
                <c:pt idx="776">
                  <c:v>777</c:v>
                </c:pt>
                <c:pt idx="777">
                  <c:v>778</c:v>
                </c:pt>
                <c:pt idx="778">
                  <c:v>779</c:v>
                </c:pt>
                <c:pt idx="779">
                  <c:v>780</c:v>
                </c:pt>
                <c:pt idx="780">
                  <c:v>781</c:v>
                </c:pt>
                <c:pt idx="781">
                  <c:v>782</c:v>
                </c:pt>
                <c:pt idx="782">
                  <c:v>783</c:v>
                </c:pt>
                <c:pt idx="783">
                  <c:v>784</c:v>
                </c:pt>
                <c:pt idx="784">
                  <c:v>785</c:v>
                </c:pt>
                <c:pt idx="785">
                  <c:v>786</c:v>
                </c:pt>
                <c:pt idx="786">
                  <c:v>787</c:v>
                </c:pt>
                <c:pt idx="787">
                  <c:v>788</c:v>
                </c:pt>
                <c:pt idx="788">
                  <c:v>789</c:v>
                </c:pt>
                <c:pt idx="789">
                  <c:v>790</c:v>
                </c:pt>
                <c:pt idx="790">
                  <c:v>791</c:v>
                </c:pt>
                <c:pt idx="791">
                  <c:v>792</c:v>
                </c:pt>
                <c:pt idx="792">
                  <c:v>793</c:v>
                </c:pt>
                <c:pt idx="793">
                  <c:v>794</c:v>
                </c:pt>
                <c:pt idx="794">
                  <c:v>795</c:v>
                </c:pt>
                <c:pt idx="795">
                  <c:v>796</c:v>
                </c:pt>
                <c:pt idx="796">
                  <c:v>797</c:v>
                </c:pt>
                <c:pt idx="797">
                  <c:v>798</c:v>
                </c:pt>
                <c:pt idx="798">
                  <c:v>799</c:v>
                </c:pt>
                <c:pt idx="799">
                  <c:v>800</c:v>
                </c:pt>
                <c:pt idx="800">
                  <c:v>801</c:v>
                </c:pt>
                <c:pt idx="801">
                  <c:v>802</c:v>
                </c:pt>
                <c:pt idx="802">
                  <c:v>803</c:v>
                </c:pt>
                <c:pt idx="803">
                  <c:v>804</c:v>
                </c:pt>
                <c:pt idx="804">
                  <c:v>805</c:v>
                </c:pt>
                <c:pt idx="805">
                  <c:v>806</c:v>
                </c:pt>
                <c:pt idx="806">
                  <c:v>807</c:v>
                </c:pt>
                <c:pt idx="807">
                  <c:v>808</c:v>
                </c:pt>
                <c:pt idx="808">
                  <c:v>809</c:v>
                </c:pt>
                <c:pt idx="809">
                  <c:v>810</c:v>
                </c:pt>
                <c:pt idx="810">
                  <c:v>811</c:v>
                </c:pt>
                <c:pt idx="811">
                  <c:v>812</c:v>
                </c:pt>
                <c:pt idx="812">
                  <c:v>813</c:v>
                </c:pt>
                <c:pt idx="813">
                  <c:v>814</c:v>
                </c:pt>
                <c:pt idx="814">
                  <c:v>815</c:v>
                </c:pt>
                <c:pt idx="815">
                  <c:v>816</c:v>
                </c:pt>
                <c:pt idx="816">
                  <c:v>817</c:v>
                </c:pt>
                <c:pt idx="817">
                  <c:v>818</c:v>
                </c:pt>
                <c:pt idx="818">
                  <c:v>819</c:v>
                </c:pt>
                <c:pt idx="819">
                  <c:v>820</c:v>
                </c:pt>
                <c:pt idx="820">
                  <c:v>821</c:v>
                </c:pt>
                <c:pt idx="821">
                  <c:v>822</c:v>
                </c:pt>
                <c:pt idx="822">
                  <c:v>823</c:v>
                </c:pt>
                <c:pt idx="823">
                  <c:v>824</c:v>
                </c:pt>
                <c:pt idx="824">
                  <c:v>825</c:v>
                </c:pt>
                <c:pt idx="825">
                  <c:v>826</c:v>
                </c:pt>
                <c:pt idx="826">
                  <c:v>827</c:v>
                </c:pt>
                <c:pt idx="827">
                  <c:v>828</c:v>
                </c:pt>
                <c:pt idx="828">
                  <c:v>829</c:v>
                </c:pt>
                <c:pt idx="829">
                  <c:v>830</c:v>
                </c:pt>
                <c:pt idx="830">
                  <c:v>831</c:v>
                </c:pt>
                <c:pt idx="831">
                  <c:v>832</c:v>
                </c:pt>
                <c:pt idx="832">
                  <c:v>833</c:v>
                </c:pt>
                <c:pt idx="833">
                  <c:v>834</c:v>
                </c:pt>
                <c:pt idx="834">
                  <c:v>835</c:v>
                </c:pt>
                <c:pt idx="835">
                  <c:v>836</c:v>
                </c:pt>
                <c:pt idx="836">
                  <c:v>837</c:v>
                </c:pt>
                <c:pt idx="837">
                  <c:v>838</c:v>
                </c:pt>
                <c:pt idx="838">
                  <c:v>839</c:v>
                </c:pt>
                <c:pt idx="839">
                  <c:v>840</c:v>
                </c:pt>
                <c:pt idx="840">
                  <c:v>841</c:v>
                </c:pt>
                <c:pt idx="841">
                  <c:v>842</c:v>
                </c:pt>
                <c:pt idx="842">
                  <c:v>843</c:v>
                </c:pt>
                <c:pt idx="843">
                  <c:v>844</c:v>
                </c:pt>
                <c:pt idx="844">
                  <c:v>845</c:v>
                </c:pt>
                <c:pt idx="845">
                  <c:v>846</c:v>
                </c:pt>
                <c:pt idx="846">
                  <c:v>847</c:v>
                </c:pt>
                <c:pt idx="847">
                  <c:v>848</c:v>
                </c:pt>
                <c:pt idx="848">
                  <c:v>849</c:v>
                </c:pt>
                <c:pt idx="849">
                  <c:v>850</c:v>
                </c:pt>
                <c:pt idx="850">
                  <c:v>851</c:v>
                </c:pt>
                <c:pt idx="851">
                  <c:v>852</c:v>
                </c:pt>
                <c:pt idx="852">
                  <c:v>853</c:v>
                </c:pt>
                <c:pt idx="853">
                  <c:v>854</c:v>
                </c:pt>
                <c:pt idx="854">
                  <c:v>855</c:v>
                </c:pt>
                <c:pt idx="855">
                  <c:v>856</c:v>
                </c:pt>
                <c:pt idx="856">
                  <c:v>857</c:v>
                </c:pt>
                <c:pt idx="857">
                  <c:v>858</c:v>
                </c:pt>
                <c:pt idx="858">
                  <c:v>859</c:v>
                </c:pt>
                <c:pt idx="859">
                  <c:v>860</c:v>
                </c:pt>
                <c:pt idx="860">
                  <c:v>861</c:v>
                </c:pt>
                <c:pt idx="861">
                  <c:v>862</c:v>
                </c:pt>
                <c:pt idx="862">
                  <c:v>863</c:v>
                </c:pt>
                <c:pt idx="863">
                  <c:v>864</c:v>
                </c:pt>
                <c:pt idx="864">
                  <c:v>865</c:v>
                </c:pt>
                <c:pt idx="865">
                  <c:v>866</c:v>
                </c:pt>
                <c:pt idx="866">
                  <c:v>867</c:v>
                </c:pt>
                <c:pt idx="867">
                  <c:v>868</c:v>
                </c:pt>
                <c:pt idx="868">
                  <c:v>869</c:v>
                </c:pt>
                <c:pt idx="869">
                  <c:v>870</c:v>
                </c:pt>
                <c:pt idx="870">
                  <c:v>871</c:v>
                </c:pt>
                <c:pt idx="871">
                  <c:v>872</c:v>
                </c:pt>
                <c:pt idx="872">
                  <c:v>873</c:v>
                </c:pt>
                <c:pt idx="873">
                  <c:v>874</c:v>
                </c:pt>
                <c:pt idx="874">
                  <c:v>875</c:v>
                </c:pt>
                <c:pt idx="875">
                  <c:v>876</c:v>
                </c:pt>
                <c:pt idx="876">
                  <c:v>877</c:v>
                </c:pt>
                <c:pt idx="877">
                  <c:v>878</c:v>
                </c:pt>
                <c:pt idx="878">
                  <c:v>879</c:v>
                </c:pt>
                <c:pt idx="879">
                  <c:v>880</c:v>
                </c:pt>
                <c:pt idx="880">
                  <c:v>881</c:v>
                </c:pt>
                <c:pt idx="881">
                  <c:v>882</c:v>
                </c:pt>
                <c:pt idx="882">
                  <c:v>883</c:v>
                </c:pt>
                <c:pt idx="883">
                  <c:v>884</c:v>
                </c:pt>
                <c:pt idx="884">
                  <c:v>885</c:v>
                </c:pt>
                <c:pt idx="885">
                  <c:v>886</c:v>
                </c:pt>
                <c:pt idx="886">
                  <c:v>887</c:v>
                </c:pt>
                <c:pt idx="887">
                  <c:v>888</c:v>
                </c:pt>
                <c:pt idx="888">
                  <c:v>889</c:v>
                </c:pt>
                <c:pt idx="889">
                  <c:v>890</c:v>
                </c:pt>
                <c:pt idx="890">
                  <c:v>891</c:v>
                </c:pt>
                <c:pt idx="891">
                  <c:v>892</c:v>
                </c:pt>
                <c:pt idx="892">
                  <c:v>893</c:v>
                </c:pt>
                <c:pt idx="893">
                  <c:v>894</c:v>
                </c:pt>
                <c:pt idx="894">
                  <c:v>895</c:v>
                </c:pt>
                <c:pt idx="895">
                  <c:v>896</c:v>
                </c:pt>
                <c:pt idx="896">
                  <c:v>897</c:v>
                </c:pt>
                <c:pt idx="897">
                  <c:v>898</c:v>
                </c:pt>
                <c:pt idx="898">
                  <c:v>899</c:v>
                </c:pt>
                <c:pt idx="899">
                  <c:v>900</c:v>
                </c:pt>
                <c:pt idx="900">
                  <c:v>901</c:v>
                </c:pt>
                <c:pt idx="901">
                  <c:v>902</c:v>
                </c:pt>
                <c:pt idx="902">
                  <c:v>903</c:v>
                </c:pt>
                <c:pt idx="903">
                  <c:v>904</c:v>
                </c:pt>
                <c:pt idx="904">
                  <c:v>905</c:v>
                </c:pt>
                <c:pt idx="905">
                  <c:v>906</c:v>
                </c:pt>
                <c:pt idx="906">
                  <c:v>907</c:v>
                </c:pt>
                <c:pt idx="907">
                  <c:v>908</c:v>
                </c:pt>
                <c:pt idx="908">
                  <c:v>909</c:v>
                </c:pt>
                <c:pt idx="909">
                  <c:v>910</c:v>
                </c:pt>
                <c:pt idx="910">
                  <c:v>911</c:v>
                </c:pt>
                <c:pt idx="911">
                  <c:v>912</c:v>
                </c:pt>
                <c:pt idx="912">
                  <c:v>913</c:v>
                </c:pt>
                <c:pt idx="913">
                  <c:v>914</c:v>
                </c:pt>
                <c:pt idx="914">
                  <c:v>915</c:v>
                </c:pt>
                <c:pt idx="915">
                  <c:v>916</c:v>
                </c:pt>
                <c:pt idx="916">
                  <c:v>917</c:v>
                </c:pt>
                <c:pt idx="917">
                  <c:v>918</c:v>
                </c:pt>
                <c:pt idx="918">
                  <c:v>919</c:v>
                </c:pt>
                <c:pt idx="919">
                  <c:v>920</c:v>
                </c:pt>
                <c:pt idx="920">
                  <c:v>921</c:v>
                </c:pt>
                <c:pt idx="921">
                  <c:v>922</c:v>
                </c:pt>
                <c:pt idx="922">
                  <c:v>923</c:v>
                </c:pt>
                <c:pt idx="923">
                  <c:v>924</c:v>
                </c:pt>
                <c:pt idx="924">
                  <c:v>925</c:v>
                </c:pt>
                <c:pt idx="925">
                  <c:v>926</c:v>
                </c:pt>
                <c:pt idx="926">
                  <c:v>927</c:v>
                </c:pt>
                <c:pt idx="927">
                  <c:v>928</c:v>
                </c:pt>
                <c:pt idx="928">
                  <c:v>929</c:v>
                </c:pt>
                <c:pt idx="929">
                  <c:v>930</c:v>
                </c:pt>
                <c:pt idx="930">
                  <c:v>931</c:v>
                </c:pt>
                <c:pt idx="931">
                  <c:v>932</c:v>
                </c:pt>
                <c:pt idx="932">
                  <c:v>933</c:v>
                </c:pt>
                <c:pt idx="933">
                  <c:v>934</c:v>
                </c:pt>
                <c:pt idx="934">
                  <c:v>935</c:v>
                </c:pt>
                <c:pt idx="935">
                  <c:v>936</c:v>
                </c:pt>
                <c:pt idx="936">
                  <c:v>937</c:v>
                </c:pt>
                <c:pt idx="937">
                  <c:v>938</c:v>
                </c:pt>
                <c:pt idx="938">
                  <c:v>939</c:v>
                </c:pt>
                <c:pt idx="939">
                  <c:v>940</c:v>
                </c:pt>
                <c:pt idx="940">
                  <c:v>941</c:v>
                </c:pt>
                <c:pt idx="941">
                  <c:v>942</c:v>
                </c:pt>
                <c:pt idx="942">
                  <c:v>943</c:v>
                </c:pt>
                <c:pt idx="943">
                  <c:v>944</c:v>
                </c:pt>
                <c:pt idx="944">
                  <c:v>945</c:v>
                </c:pt>
                <c:pt idx="945">
                  <c:v>946</c:v>
                </c:pt>
                <c:pt idx="946">
                  <c:v>947</c:v>
                </c:pt>
                <c:pt idx="947">
                  <c:v>948</c:v>
                </c:pt>
                <c:pt idx="948">
                  <c:v>949</c:v>
                </c:pt>
                <c:pt idx="949">
                  <c:v>950</c:v>
                </c:pt>
                <c:pt idx="950">
                  <c:v>951</c:v>
                </c:pt>
                <c:pt idx="951">
                  <c:v>952</c:v>
                </c:pt>
                <c:pt idx="952">
                  <c:v>953</c:v>
                </c:pt>
                <c:pt idx="953">
                  <c:v>954</c:v>
                </c:pt>
                <c:pt idx="954">
                  <c:v>955</c:v>
                </c:pt>
                <c:pt idx="955">
                  <c:v>956</c:v>
                </c:pt>
                <c:pt idx="956">
                  <c:v>957</c:v>
                </c:pt>
                <c:pt idx="957">
                  <c:v>958</c:v>
                </c:pt>
                <c:pt idx="958">
                  <c:v>959</c:v>
                </c:pt>
                <c:pt idx="959">
                  <c:v>960</c:v>
                </c:pt>
                <c:pt idx="960">
                  <c:v>961</c:v>
                </c:pt>
                <c:pt idx="961">
                  <c:v>962</c:v>
                </c:pt>
                <c:pt idx="962">
                  <c:v>963</c:v>
                </c:pt>
                <c:pt idx="963">
                  <c:v>964</c:v>
                </c:pt>
                <c:pt idx="964">
                  <c:v>965</c:v>
                </c:pt>
                <c:pt idx="965">
                  <c:v>966</c:v>
                </c:pt>
                <c:pt idx="966">
                  <c:v>967</c:v>
                </c:pt>
                <c:pt idx="967">
                  <c:v>968</c:v>
                </c:pt>
                <c:pt idx="968">
                  <c:v>969</c:v>
                </c:pt>
                <c:pt idx="969">
                  <c:v>970</c:v>
                </c:pt>
                <c:pt idx="970">
                  <c:v>971</c:v>
                </c:pt>
                <c:pt idx="971">
                  <c:v>972</c:v>
                </c:pt>
                <c:pt idx="972">
                  <c:v>973</c:v>
                </c:pt>
                <c:pt idx="973">
                  <c:v>974</c:v>
                </c:pt>
                <c:pt idx="974">
                  <c:v>975</c:v>
                </c:pt>
                <c:pt idx="975">
                  <c:v>976</c:v>
                </c:pt>
                <c:pt idx="976">
                  <c:v>977</c:v>
                </c:pt>
                <c:pt idx="977">
                  <c:v>978</c:v>
                </c:pt>
                <c:pt idx="978">
                  <c:v>979</c:v>
                </c:pt>
                <c:pt idx="979">
                  <c:v>980</c:v>
                </c:pt>
                <c:pt idx="980">
                  <c:v>981</c:v>
                </c:pt>
                <c:pt idx="981">
                  <c:v>982</c:v>
                </c:pt>
                <c:pt idx="982">
                  <c:v>983</c:v>
                </c:pt>
                <c:pt idx="983">
                  <c:v>984</c:v>
                </c:pt>
                <c:pt idx="984">
                  <c:v>985</c:v>
                </c:pt>
                <c:pt idx="985">
                  <c:v>986</c:v>
                </c:pt>
                <c:pt idx="986">
                  <c:v>987</c:v>
                </c:pt>
                <c:pt idx="987">
                  <c:v>988</c:v>
                </c:pt>
                <c:pt idx="988">
                  <c:v>989</c:v>
                </c:pt>
                <c:pt idx="989">
                  <c:v>990</c:v>
                </c:pt>
                <c:pt idx="990">
                  <c:v>991</c:v>
                </c:pt>
                <c:pt idx="991">
                  <c:v>992</c:v>
                </c:pt>
                <c:pt idx="992">
                  <c:v>993</c:v>
                </c:pt>
                <c:pt idx="993">
                  <c:v>994</c:v>
                </c:pt>
                <c:pt idx="994">
                  <c:v>995</c:v>
                </c:pt>
                <c:pt idx="995">
                  <c:v>996</c:v>
                </c:pt>
                <c:pt idx="996">
                  <c:v>997</c:v>
                </c:pt>
                <c:pt idx="997">
                  <c:v>998</c:v>
                </c:pt>
                <c:pt idx="998">
                  <c:v>999</c:v>
                </c:pt>
                <c:pt idx="999">
                  <c:v>1000</c:v>
                </c:pt>
                <c:pt idx="1000">
                  <c:v>1001</c:v>
                </c:pt>
                <c:pt idx="1001">
                  <c:v>1002</c:v>
                </c:pt>
                <c:pt idx="1002">
                  <c:v>1003</c:v>
                </c:pt>
                <c:pt idx="1003">
                  <c:v>1004</c:v>
                </c:pt>
                <c:pt idx="1004">
                  <c:v>1005</c:v>
                </c:pt>
                <c:pt idx="1005">
                  <c:v>1006</c:v>
                </c:pt>
                <c:pt idx="1006">
                  <c:v>1007</c:v>
                </c:pt>
                <c:pt idx="1007">
                  <c:v>1008</c:v>
                </c:pt>
                <c:pt idx="1008">
                  <c:v>1009</c:v>
                </c:pt>
                <c:pt idx="1009">
                  <c:v>1010</c:v>
                </c:pt>
                <c:pt idx="1010">
                  <c:v>1011</c:v>
                </c:pt>
                <c:pt idx="1011">
                  <c:v>1012</c:v>
                </c:pt>
                <c:pt idx="1012">
                  <c:v>1013</c:v>
                </c:pt>
                <c:pt idx="1013">
                  <c:v>1014</c:v>
                </c:pt>
                <c:pt idx="1014">
                  <c:v>1015</c:v>
                </c:pt>
                <c:pt idx="1015">
                  <c:v>1016</c:v>
                </c:pt>
                <c:pt idx="1016">
                  <c:v>1017</c:v>
                </c:pt>
                <c:pt idx="1017">
                  <c:v>1018</c:v>
                </c:pt>
                <c:pt idx="1018">
                  <c:v>1019</c:v>
                </c:pt>
                <c:pt idx="1019">
                  <c:v>1020</c:v>
                </c:pt>
                <c:pt idx="1020">
                  <c:v>1021</c:v>
                </c:pt>
                <c:pt idx="1021">
                  <c:v>1022</c:v>
                </c:pt>
                <c:pt idx="1022">
                  <c:v>1023</c:v>
                </c:pt>
                <c:pt idx="1023">
                  <c:v>1024</c:v>
                </c:pt>
                <c:pt idx="1024">
                  <c:v>1025</c:v>
                </c:pt>
                <c:pt idx="1025">
                  <c:v>1026</c:v>
                </c:pt>
                <c:pt idx="1026">
                  <c:v>1027</c:v>
                </c:pt>
                <c:pt idx="1027">
                  <c:v>1028</c:v>
                </c:pt>
                <c:pt idx="1028">
                  <c:v>1029</c:v>
                </c:pt>
                <c:pt idx="1029">
                  <c:v>1030</c:v>
                </c:pt>
                <c:pt idx="1030">
                  <c:v>1031</c:v>
                </c:pt>
                <c:pt idx="1031">
                  <c:v>1032</c:v>
                </c:pt>
                <c:pt idx="1032">
                  <c:v>1033</c:v>
                </c:pt>
                <c:pt idx="1033">
                  <c:v>1034</c:v>
                </c:pt>
                <c:pt idx="1034">
                  <c:v>1035</c:v>
                </c:pt>
                <c:pt idx="1035">
                  <c:v>1036</c:v>
                </c:pt>
                <c:pt idx="1036">
                  <c:v>1037</c:v>
                </c:pt>
                <c:pt idx="1037">
                  <c:v>1038</c:v>
                </c:pt>
                <c:pt idx="1038">
                  <c:v>1039</c:v>
                </c:pt>
                <c:pt idx="1039">
                  <c:v>1040</c:v>
                </c:pt>
                <c:pt idx="1040">
                  <c:v>1041</c:v>
                </c:pt>
                <c:pt idx="1041">
                  <c:v>1042</c:v>
                </c:pt>
                <c:pt idx="1042">
                  <c:v>1043</c:v>
                </c:pt>
                <c:pt idx="1043">
                  <c:v>1044</c:v>
                </c:pt>
                <c:pt idx="1044">
                  <c:v>1045</c:v>
                </c:pt>
                <c:pt idx="1045">
                  <c:v>1046</c:v>
                </c:pt>
                <c:pt idx="1046">
                  <c:v>1047</c:v>
                </c:pt>
                <c:pt idx="1047">
                  <c:v>1048</c:v>
                </c:pt>
                <c:pt idx="1048">
                  <c:v>1049</c:v>
                </c:pt>
                <c:pt idx="1049">
                  <c:v>1050</c:v>
                </c:pt>
                <c:pt idx="1050">
                  <c:v>1051</c:v>
                </c:pt>
                <c:pt idx="1051">
                  <c:v>1052</c:v>
                </c:pt>
                <c:pt idx="1052">
                  <c:v>1053</c:v>
                </c:pt>
                <c:pt idx="1053">
                  <c:v>1054</c:v>
                </c:pt>
              </c:numCache>
            </c:numRef>
          </c:yVal>
          <c:smooth val="0"/>
          <c:extLst xmlns:c16r2="http://schemas.microsoft.com/office/drawing/2015/06/chart">
            <c:ext xmlns:c16="http://schemas.microsoft.com/office/drawing/2014/chart" uri="{C3380CC4-5D6E-409C-BE32-E72D297353CC}">
              <c16:uniqueId val="{0000000B-0D70-493A-B7A6-9590C357C348}"/>
            </c:ext>
          </c:extLst>
        </c:ser>
        <c:ser>
          <c:idx val="3"/>
          <c:order val="5"/>
          <c:tx>
            <c:v>Payback Year</c:v>
          </c:tx>
          <c:spPr>
            <a:ln>
              <a:solidFill>
                <a:srgbClr val="916BAC"/>
              </a:solidFill>
              <a:prstDash val="dash"/>
            </a:ln>
          </c:spPr>
          <c:marker>
            <c:symbol val="none"/>
          </c:marker>
          <c:dLbls>
            <c:dLbl>
              <c:idx val="895"/>
              <c:layout>
                <c:manualLayout>
                  <c:x val="-1.8567005462738297E-2"/>
                  <c:y val="2.1966574237384306E-2"/>
                </c:manualLayout>
              </c:layout>
              <c:tx>
                <c:rich>
                  <a:bodyPr rot="-5400000" vert="horz"/>
                  <a:lstStyle/>
                  <a:p>
                    <a:pPr>
                      <a:defRPr sz="1600">
                        <a:solidFill>
                          <a:srgbClr val="916BAC"/>
                        </a:solidFill>
                        <a:latin typeface="Arial" panose="020B0604020202020204" pitchFamily="34" charset="0"/>
                        <a:cs typeface="Arial" panose="020B0604020202020204" pitchFamily="34" charset="0"/>
                      </a:defRPr>
                    </a:pPr>
                    <a:r>
                      <a:rPr lang="en-US" sz="1400" b="1">
                        <a:solidFill>
                          <a:srgbClr val="916BAC"/>
                        </a:solidFill>
                        <a:latin typeface="Arial" panose="020B0604020202020204" pitchFamily="34" charset="0"/>
                        <a:cs typeface="Arial" panose="020B0604020202020204" pitchFamily="34" charset="0"/>
                      </a:rPr>
                      <a:t>Payback Constraint</a:t>
                    </a:r>
                    <a:endParaRPr lang="en-US" sz="1400" b="1">
                      <a:solidFill>
                        <a:schemeClr val="accent1">
                          <a:lumMod val="60000"/>
                          <a:lumOff val="40000"/>
                        </a:schemeClr>
                      </a:solidFill>
                    </a:endParaRPr>
                  </a:p>
                </c:rich>
              </c:tx>
              <c:spPr>
                <a:solidFill>
                  <a:schemeClr val="bg1"/>
                </a:solidFill>
              </c:spPr>
              <c:showLegendKey val="0"/>
              <c:showVal val="0"/>
              <c:showCatName val="0"/>
              <c:showSerName val="1"/>
              <c:showPercent val="0"/>
              <c:showBubbleSize val="0"/>
              <c:extLst>
                <c:ext xmlns:c15="http://schemas.microsoft.com/office/drawing/2012/chart" uri="{CE6537A1-D6FC-4f65-9D91-7224C49458BB}"/>
              </c:extLst>
            </c:dLbl>
            <c:spPr>
              <a:noFill/>
              <a:ln>
                <a:noFill/>
              </a:ln>
              <a:effectLst/>
            </c:spPr>
            <c:txPr>
              <a:bodyPr/>
              <a:lstStyle/>
              <a:p>
                <a:pPr>
                  <a:defRPr>
                    <a:solidFill>
                      <a:srgbClr val="916BAC"/>
                    </a:solidFill>
                    <a:latin typeface="Arial" panose="020B0604020202020204" pitchFamily="34" charset="0"/>
                    <a:cs typeface="Arial" panose="020B0604020202020204" pitchFamily="34" charset="0"/>
                  </a:defRPr>
                </a:pPr>
                <a:endParaRPr lang="en-US"/>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'Peak Payback Engine'!$U$10:$U$1063</c:f>
              <c:numCache>
                <c:formatCode>_-* #,##0.0_-;\-* #,##0.0_-;_-* "-"??_-;_-@_-</c:formatCode>
                <c:ptCount val="1054"/>
                <c:pt idx="0">
                  <c:v>25</c:v>
                </c:pt>
                <c:pt idx="1">
                  <c:v>25</c:v>
                </c:pt>
                <c:pt idx="2">
                  <c:v>25</c:v>
                </c:pt>
                <c:pt idx="3">
                  <c:v>25</c:v>
                </c:pt>
                <c:pt idx="4">
                  <c:v>25</c:v>
                </c:pt>
                <c:pt idx="5">
                  <c:v>25</c:v>
                </c:pt>
                <c:pt idx="6">
                  <c:v>25</c:v>
                </c:pt>
                <c:pt idx="7">
                  <c:v>25</c:v>
                </c:pt>
                <c:pt idx="8">
                  <c:v>25</c:v>
                </c:pt>
                <c:pt idx="9">
                  <c:v>25</c:v>
                </c:pt>
                <c:pt idx="10">
                  <c:v>25</c:v>
                </c:pt>
                <c:pt idx="11">
                  <c:v>25</c:v>
                </c:pt>
                <c:pt idx="12">
                  <c:v>25</c:v>
                </c:pt>
                <c:pt idx="13">
                  <c:v>25</c:v>
                </c:pt>
                <c:pt idx="14">
                  <c:v>25</c:v>
                </c:pt>
                <c:pt idx="15">
                  <c:v>25</c:v>
                </c:pt>
                <c:pt idx="16">
                  <c:v>25</c:v>
                </c:pt>
                <c:pt idx="17">
                  <c:v>25</c:v>
                </c:pt>
                <c:pt idx="18">
                  <c:v>25</c:v>
                </c:pt>
                <c:pt idx="19">
                  <c:v>25</c:v>
                </c:pt>
                <c:pt idx="20">
                  <c:v>25</c:v>
                </c:pt>
                <c:pt idx="21">
                  <c:v>25</c:v>
                </c:pt>
                <c:pt idx="22">
                  <c:v>25</c:v>
                </c:pt>
                <c:pt idx="23">
                  <c:v>25</c:v>
                </c:pt>
                <c:pt idx="24">
                  <c:v>25</c:v>
                </c:pt>
                <c:pt idx="25">
                  <c:v>25</c:v>
                </c:pt>
                <c:pt idx="26">
                  <c:v>25</c:v>
                </c:pt>
                <c:pt idx="27">
                  <c:v>25</c:v>
                </c:pt>
                <c:pt idx="28">
                  <c:v>25</c:v>
                </c:pt>
                <c:pt idx="29">
                  <c:v>25</c:v>
                </c:pt>
                <c:pt idx="30">
                  <c:v>25</c:v>
                </c:pt>
                <c:pt idx="31">
                  <c:v>25</c:v>
                </c:pt>
                <c:pt idx="32">
                  <c:v>25</c:v>
                </c:pt>
                <c:pt idx="33">
                  <c:v>25</c:v>
                </c:pt>
                <c:pt idx="34">
                  <c:v>25</c:v>
                </c:pt>
                <c:pt idx="35">
                  <c:v>25</c:v>
                </c:pt>
                <c:pt idx="36">
                  <c:v>25</c:v>
                </c:pt>
                <c:pt idx="37">
                  <c:v>25</c:v>
                </c:pt>
                <c:pt idx="38">
                  <c:v>25</c:v>
                </c:pt>
                <c:pt idx="39">
                  <c:v>25</c:v>
                </c:pt>
                <c:pt idx="40">
                  <c:v>25</c:v>
                </c:pt>
                <c:pt idx="41">
                  <c:v>25</c:v>
                </c:pt>
                <c:pt idx="42">
                  <c:v>25</c:v>
                </c:pt>
                <c:pt idx="43">
                  <c:v>25</c:v>
                </c:pt>
                <c:pt idx="44">
                  <c:v>25</c:v>
                </c:pt>
                <c:pt idx="45">
                  <c:v>25</c:v>
                </c:pt>
                <c:pt idx="46">
                  <c:v>25</c:v>
                </c:pt>
                <c:pt idx="47">
                  <c:v>25</c:v>
                </c:pt>
                <c:pt idx="48">
                  <c:v>25</c:v>
                </c:pt>
                <c:pt idx="49">
                  <c:v>25</c:v>
                </c:pt>
                <c:pt idx="50">
                  <c:v>25</c:v>
                </c:pt>
                <c:pt idx="51">
                  <c:v>25</c:v>
                </c:pt>
                <c:pt idx="52">
                  <c:v>25</c:v>
                </c:pt>
                <c:pt idx="53">
                  <c:v>25</c:v>
                </c:pt>
                <c:pt idx="54">
                  <c:v>25</c:v>
                </c:pt>
                <c:pt idx="55">
                  <c:v>25</c:v>
                </c:pt>
                <c:pt idx="56">
                  <c:v>25</c:v>
                </c:pt>
                <c:pt idx="57">
                  <c:v>25</c:v>
                </c:pt>
                <c:pt idx="58">
                  <c:v>25</c:v>
                </c:pt>
                <c:pt idx="59">
                  <c:v>25</c:v>
                </c:pt>
                <c:pt idx="60">
                  <c:v>25</c:v>
                </c:pt>
                <c:pt idx="61">
                  <c:v>25</c:v>
                </c:pt>
                <c:pt idx="62">
                  <c:v>25</c:v>
                </c:pt>
                <c:pt idx="63">
                  <c:v>25</c:v>
                </c:pt>
                <c:pt idx="64">
                  <c:v>25</c:v>
                </c:pt>
                <c:pt idx="65">
                  <c:v>25</c:v>
                </c:pt>
                <c:pt idx="66">
                  <c:v>25</c:v>
                </c:pt>
                <c:pt idx="67">
                  <c:v>25</c:v>
                </c:pt>
                <c:pt idx="68">
                  <c:v>25</c:v>
                </c:pt>
                <c:pt idx="69">
                  <c:v>25</c:v>
                </c:pt>
                <c:pt idx="70">
                  <c:v>25</c:v>
                </c:pt>
                <c:pt idx="71">
                  <c:v>25</c:v>
                </c:pt>
                <c:pt idx="72">
                  <c:v>25</c:v>
                </c:pt>
                <c:pt idx="73">
                  <c:v>25</c:v>
                </c:pt>
                <c:pt idx="74">
                  <c:v>25</c:v>
                </c:pt>
                <c:pt idx="75">
                  <c:v>25</c:v>
                </c:pt>
                <c:pt idx="76">
                  <c:v>25</c:v>
                </c:pt>
                <c:pt idx="77">
                  <c:v>25</c:v>
                </c:pt>
                <c:pt idx="78">
                  <c:v>25</c:v>
                </c:pt>
                <c:pt idx="79">
                  <c:v>25</c:v>
                </c:pt>
                <c:pt idx="80">
                  <c:v>25</c:v>
                </c:pt>
                <c:pt idx="81">
                  <c:v>25</c:v>
                </c:pt>
                <c:pt idx="82">
                  <c:v>25</c:v>
                </c:pt>
                <c:pt idx="83">
                  <c:v>25</c:v>
                </c:pt>
                <c:pt idx="84">
                  <c:v>25</c:v>
                </c:pt>
                <c:pt idx="85">
                  <c:v>25</c:v>
                </c:pt>
                <c:pt idx="86">
                  <c:v>25</c:v>
                </c:pt>
                <c:pt idx="87">
                  <c:v>25</c:v>
                </c:pt>
                <c:pt idx="88">
                  <c:v>25</c:v>
                </c:pt>
                <c:pt idx="89">
                  <c:v>25</c:v>
                </c:pt>
                <c:pt idx="90">
                  <c:v>25</c:v>
                </c:pt>
                <c:pt idx="91">
                  <c:v>25</c:v>
                </c:pt>
                <c:pt idx="92">
                  <c:v>25</c:v>
                </c:pt>
                <c:pt idx="93">
                  <c:v>25</c:v>
                </c:pt>
                <c:pt idx="94">
                  <c:v>25</c:v>
                </c:pt>
                <c:pt idx="95">
                  <c:v>25</c:v>
                </c:pt>
                <c:pt idx="96">
                  <c:v>25</c:v>
                </c:pt>
                <c:pt idx="97">
                  <c:v>25</c:v>
                </c:pt>
                <c:pt idx="98">
                  <c:v>25</c:v>
                </c:pt>
                <c:pt idx="99">
                  <c:v>25</c:v>
                </c:pt>
                <c:pt idx="100">
                  <c:v>25</c:v>
                </c:pt>
                <c:pt idx="101">
                  <c:v>25</c:v>
                </c:pt>
                <c:pt idx="102">
                  <c:v>25</c:v>
                </c:pt>
                <c:pt idx="103">
                  <c:v>25</c:v>
                </c:pt>
                <c:pt idx="104">
                  <c:v>25</c:v>
                </c:pt>
                <c:pt idx="105">
                  <c:v>25</c:v>
                </c:pt>
                <c:pt idx="106">
                  <c:v>25</c:v>
                </c:pt>
                <c:pt idx="107">
                  <c:v>25</c:v>
                </c:pt>
                <c:pt idx="108">
                  <c:v>25</c:v>
                </c:pt>
                <c:pt idx="109">
                  <c:v>25</c:v>
                </c:pt>
                <c:pt idx="110">
                  <c:v>25</c:v>
                </c:pt>
                <c:pt idx="111">
                  <c:v>25</c:v>
                </c:pt>
                <c:pt idx="112">
                  <c:v>25</c:v>
                </c:pt>
                <c:pt idx="113">
                  <c:v>25</c:v>
                </c:pt>
                <c:pt idx="114">
                  <c:v>25</c:v>
                </c:pt>
                <c:pt idx="115">
                  <c:v>25</c:v>
                </c:pt>
                <c:pt idx="116">
                  <c:v>25</c:v>
                </c:pt>
                <c:pt idx="117">
                  <c:v>25</c:v>
                </c:pt>
                <c:pt idx="118">
                  <c:v>25</c:v>
                </c:pt>
                <c:pt idx="119">
                  <c:v>25</c:v>
                </c:pt>
                <c:pt idx="120">
                  <c:v>25</c:v>
                </c:pt>
                <c:pt idx="121">
                  <c:v>25</c:v>
                </c:pt>
                <c:pt idx="122">
                  <c:v>25</c:v>
                </c:pt>
                <c:pt idx="123">
                  <c:v>25</c:v>
                </c:pt>
                <c:pt idx="124">
                  <c:v>25</c:v>
                </c:pt>
                <c:pt idx="125">
                  <c:v>25</c:v>
                </c:pt>
                <c:pt idx="126">
                  <c:v>25</c:v>
                </c:pt>
                <c:pt idx="127">
                  <c:v>25</c:v>
                </c:pt>
                <c:pt idx="128">
                  <c:v>25</c:v>
                </c:pt>
                <c:pt idx="129">
                  <c:v>25</c:v>
                </c:pt>
                <c:pt idx="130">
                  <c:v>25</c:v>
                </c:pt>
                <c:pt idx="131">
                  <c:v>25</c:v>
                </c:pt>
                <c:pt idx="132">
                  <c:v>25</c:v>
                </c:pt>
                <c:pt idx="133">
                  <c:v>25</c:v>
                </c:pt>
                <c:pt idx="134">
                  <c:v>25</c:v>
                </c:pt>
                <c:pt idx="135">
                  <c:v>25</c:v>
                </c:pt>
                <c:pt idx="136">
                  <c:v>25</c:v>
                </c:pt>
                <c:pt idx="137">
                  <c:v>25</c:v>
                </c:pt>
                <c:pt idx="138">
                  <c:v>25</c:v>
                </c:pt>
                <c:pt idx="139">
                  <c:v>25</c:v>
                </c:pt>
                <c:pt idx="140">
                  <c:v>25</c:v>
                </c:pt>
                <c:pt idx="141">
                  <c:v>25</c:v>
                </c:pt>
                <c:pt idx="142">
                  <c:v>25</c:v>
                </c:pt>
                <c:pt idx="143">
                  <c:v>25</c:v>
                </c:pt>
                <c:pt idx="144">
                  <c:v>25</c:v>
                </c:pt>
                <c:pt idx="145">
                  <c:v>25</c:v>
                </c:pt>
                <c:pt idx="146">
                  <c:v>25</c:v>
                </c:pt>
                <c:pt idx="147">
                  <c:v>25</c:v>
                </c:pt>
                <c:pt idx="148">
                  <c:v>25</c:v>
                </c:pt>
                <c:pt idx="149">
                  <c:v>25</c:v>
                </c:pt>
                <c:pt idx="150">
                  <c:v>25</c:v>
                </c:pt>
                <c:pt idx="151">
                  <c:v>25</c:v>
                </c:pt>
                <c:pt idx="152">
                  <c:v>25</c:v>
                </c:pt>
                <c:pt idx="153">
                  <c:v>25</c:v>
                </c:pt>
                <c:pt idx="154">
                  <c:v>25</c:v>
                </c:pt>
                <c:pt idx="155">
                  <c:v>25</c:v>
                </c:pt>
                <c:pt idx="156">
                  <c:v>25</c:v>
                </c:pt>
                <c:pt idx="157">
                  <c:v>25</c:v>
                </c:pt>
                <c:pt idx="158">
                  <c:v>25</c:v>
                </c:pt>
                <c:pt idx="159">
                  <c:v>25</c:v>
                </c:pt>
                <c:pt idx="160">
                  <c:v>25</c:v>
                </c:pt>
                <c:pt idx="161">
                  <c:v>25</c:v>
                </c:pt>
                <c:pt idx="162">
                  <c:v>25</c:v>
                </c:pt>
                <c:pt idx="163">
                  <c:v>25</c:v>
                </c:pt>
                <c:pt idx="164">
                  <c:v>25</c:v>
                </c:pt>
                <c:pt idx="165">
                  <c:v>25</c:v>
                </c:pt>
                <c:pt idx="166">
                  <c:v>25</c:v>
                </c:pt>
                <c:pt idx="167">
                  <c:v>25</c:v>
                </c:pt>
                <c:pt idx="168">
                  <c:v>25</c:v>
                </c:pt>
                <c:pt idx="169">
                  <c:v>25</c:v>
                </c:pt>
                <c:pt idx="170">
                  <c:v>25</c:v>
                </c:pt>
                <c:pt idx="171">
                  <c:v>25</c:v>
                </c:pt>
                <c:pt idx="172">
                  <c:v>25</c:v>
                </c:pt>
                <c:pt idx="173">
                  <c:v>25</c:v>
                </c:pt>
                <c:pt idx="174">
                  <c:v>25</c:v>
                </c:pt>
                <c:pt idx="175">
                  <c:v>25</c:v>
                </c:pt>
                <c:pt idx="176">
                  <c:v>25</c:v>
                </c:pt>
                <c:pt idx="177">
                  <c:v>25</c:v>
                </c:pt>
                <c:pt idx="178">
                  <c:v>25</c:v>
                </c:pt>
                <c:pt idx="179">
                  <c:v>25</c:v>
                </c:pt>
                <c:pt idx="180">
                  <c:v>25</c:v>
                </c:pt>
                <c:pt idx="181">
                  <c:v>25</c:v>
                </c:pt>
                <c:pt idx="182">
                  <c:v>25</c:v>
                </c:pt>
                <c:pt idx="183">
                  <c:v>25</c:v>
                </c:pt>
                <c:pt idx="184">
                  <c:v>25</c:v>
                </c:pt>
                <c:pt idx="185">
                  <c:v>25</c:v>
                </c:pt>
                <c:pt idx="186">
                  <c:v>25</c:v>
                </c:pt>
                <c:pt idx="187">
                  <c:v>25</c:v>
                </c:pt>
                <c:pt idx="188">
                  <c:v>25</c:v>
                </c:pt>
                <c:pt idx="189">
                  <c:v>25</c:v>
                </c:pt>
                <c:pt idx="190">
                  <c:v>25</c:v>
                </c:pt>
                <c:pt idx="191">
                  <c:v>25</c:v>
                </c:pt>
                <c:pt idx="192">
                  <c:v>25</c:v>
                </c:pt>
                <c:pt idx="193">
                  <c:v>25</c:v>
                </c:pt>
                <c:pt idx="194">
                  <c:v>25</c:v>
                </c:pt>
                <c:pt idx="195">
                  <c:v>25</c:v>
                </c:pt>
                <c:pt idx="196">
                  <c:v>25</c:v>
                </c:pt>
                <c:pt idx="197">
                  <c:v>25</c:v>
                </c:pt>
                <c:pt idx="198">
                  <c:v>25</c:v>
                </c:pt>
                <c:pt idx="199">
                  <c:v>25</c:v>
                </c:pt>
                <c:pt idx="200">
                  <c:v>25</c:v>
                </c:pt>
                <c:pt idx="201">
                  <c:v>25</c:v>
                </c:pt>
                <c:pt idx="202">
                  <c:v>25</c:v>
                </c:pt>
                <c:pt idx="203">
                  <c:v>25</c:v>
                </c:pt>
                <c:pt idx="204">
                  <c:v>25</c:v>
                </c:pt>
                <c:pt idx="205">
                  <c:v>25</c:v>
                </c:pt>
                <c:pt idx="206">
                  <c:v>25</c:v>
                </c:pt>
                <c:pt idx="207">
                  <c:v>25</c:v>
                </c:pt>
                <c:pt idx="208">
                  <c:v>25</c:v>
                </c:pt>
                <c:pt idx="209">
                  <c:v>25</c:v>
                </c:pt>
                <c:pt idx="210">
                  <c:v>25</c:v>
                </c:pt>
                <c:pt idx="211">
                  <c:v>25</c:v>
                </c:pt>
                <c:pt idx="212">
                  <c:v>25</c:v>
                </c:pt>
                <c:pt idx="213">
                  <c:v>25</c:v>
                </c:pt>
                <c:pt idx="214">
                  <c:v>25</c:v>
                </c:pt>
                <c:pt idx="215">
                  <c:v>25</c:v>
                </c:pt>
                <c:pt idx="216">
                  <c:v>25</c:v>
                </c:pt>
                <c:pt idx="217">
                  <c:v>25</c:v>
                </c:pt>
                <c:pt idx="218">
                  <c:v>25</c:v>
                </c:pt>
                <c:pt idx="219">
                  <c:v>25</c:v>
                </c:pt>
                <c:pt idx="220">
                  <c:v>25</c:v>
                </c:pt>
                <c:pt idx="221">
                  <c:v>25</c:v>
                </c:pt>
                <c:pt idx="222">
                  <c:v>25</c:v>
                </c:pt>
                <c:pt idx="223">
                  <c:v>25</c:v>
                </c:pt>
                <c:pt idx="224">
                  <c:v>25</c:v>
                </c:pt>
                <c:pt idx="225">
                  <c:v>25</c:v>
                </c:pt>
                <c:pt idx="226">
                  <c:v>25</c:v>
                </c:pt>
                <c:pt idx="227">
                  <c:v>25</c:v>
                </c:pt>
                <c:pt idx="228">
                  <c:v>25</c:v>
                </c:pt>
                <c:pt idx="229">
                  <c:v>25</c:v>
                </c:pt>
                <c:pt idx="230">
                  <c:v>25</c:v>
                </c:pt>
                <c:pt idx="231">
                  <c:v>25</c:v>
                </c:pt>
                <c:pt idx="232">
                  <c:v>25</c:v>
                </c:pt>
                <c:pt idx="233">
                  <c:v>25</c:v>
                </c:pt>
                <c:pt idx="234">
                  <c:v>25</c:v>
                </c:pt>
                <c:pt idx="235">
                  <c:v>25</c:v>
                </c:pt>
                <c:pt idx="236">
                  <c:v>25</c:v>
                </c:pt>
                <c:pt idx="237">
                  <c:v>25</c:v>
                </c:pt>
                <c:pt idx="238">
                  <c:v>25</c:v>
                </c:pt>
                <c:pt idx="239">
                  <c:v>25</c:v>
                </c:pt>
                <c:pt idx="240">
                  <c:v>25</c:v>
                </c:pt>
                <c:pt idx="241">
                  <c:v>25</c:v>
                </c:pt>
                <c:pt idx="242">
                  <c:v>25</c:v>
                </c:pt>
                <c:pt idx="243">
                  <c:v>25</c:v>
                </c:pt>
                <c:pt idx="244">
                  <c:v>25</c:v>
                </c:pt>
                <c:pt idx="245">
                  <c:v>25</c:v>
                </c:pt>
                <c:pt idx="246">
                  <c:v>25</c:v>
                </c:pt>
                <c:pt idx="247">
                  <c:v>25</c:v>
                </c:pt>
                <c:pt idx="248">
                  <c:v>25</c:v>
                </c:pt>
                <c:pt idx="249">
                  <c:v>25</c:v>
                </c:pt>
                <c:pt idx="250">
                  <c:v>25</c:v>
                </c:pt>
                <c:pt idx="251">
                  <c:v>25</c:v>
                </c:pt>
                <c:pt idx="252">
                  <c:v>25</c:v>
                </c:pt>
                <c:pt idx="253">
                  <c:v>25</c:v>
                </c:pt>
                <c:pt idx="254">
                  <c:v>25</c:v>
                </c:pt>
                <c:pt idx="255">
                  <c:v>25</c:v>
                </c:pt>
                <c:pt idx="256">
                  <c:v>25</c:v>
                </c:pt>
                <c:pt idx="257">
                  <c:v>25</c:v>
                </c:pt>
                <c:pt idx="258">
                  <c:v>25</c:v>
                </c:pt>
                <c:pt idx="259">
                  <c:v>25</c:v>
                </c:pt>
                <c:pt idx="260">
                  <c:v>25</c:v>
                </c:pt>
                <c:pt idx="261">
                  <c:v>25</c:v>
                </c:pt>
                <c:pt idx="262">
                  <c:v>25</c:v>
                </c:pt>
                <c:pt idx="263">
                  <c:v>25</c:v>
                </c:pt>
                <c:pt idx="264">
                  <c:v>25</c:v>
                </c:pt>
                <c:pt idx="265">
                  <c:v>25</c:v>
                </c:pt>
                <c:pt idx="266">
                  <c:v>25</c:v>
                </c:pt>
                <c:pt idx="267">
                  <c:v>25</c:v>
                </c:pt>
                <c:pt idx="268">
                  <c:v>25</c:v>
                </c:pt>
                <c:pt idx="269">
                  <c:v>25</c:v>
                </c:pt>
                <c:pt idx="270">
                  <c:v>25</c:v>
                </c:pt>
                <c:pt idx="271">
                  <c:v>25</c:v>
                </c:pt>
                <c:pt idx="272">
                  <c:v>25</c:v>
                </c:pt>
                <c:pt idx="273">
                  <c:v>25</c:v>
                </c:pt>
                <c:pt idx="274">
                  <c:v>25</c:v>
                </c:pt>
                <c:pt idx="275">
                  <c:v>25</c:v>
                </c:pt>
                <c:pt idx="276">
                  <c:v>25</c:v>
                </c:pt>
                <c:pt idx="277">
                  <c:v>25</c:v>
                </c:pt>
                <c:pt idx="278">
                  <c:v>25</c:v>
                </c:pt>
                <c:pt idx="279">
                  <c:v>25</c:v>
                </c:pt>
                <c:pt idx="280">
                  <c:v>25</c:v>
                </c:pt>
                <c:pt idx="281">
                  <c:v>25</c:v>
                </c:pt>
                <c:pt idx="282">
                  <c:v>25</c:v>
                </c:pt>
                <c:pt idx="283">
                  <c:v>25</c:v>
                </c:pt>
                <c:pt idx="284">
                  <c:v>25</c:v>
                </c:pt>
                <c:pt idx="285">
                  <c:v>25</c:v>
                </c:pt>
                <c:pt idx="286">
                  <c:v>25</c:v>
                </c:pt>
                <c:pt idx="287">
                  <c:v>25</c:v>
                </c:pt>
                <c:pt idx="288">
                  <c:v>25</c:v>
                </c:pt>
                <c:pt idx="289">
                  <c:v>25</c:v>
                </c:pt>
                <c:pt idx="290">
                  <c:v>25</c:v>
                </c:pt>
                <c:pt idx="291">
                  <c:v>25</c:v>
                </c:pt>
                <c:pt idx="292">
                  <c:v>25</c:v>
                </c:pt>
                <c:pt idx="293">
                  <c:v>25</c:v>
                </c:pt>
                <c:pt idx="294">
                  <c:v>25</c:v>
                </c:pt>
                <c:pt idx="295">
                  <c:v>25</c:v>
                </c:pt>
                <c:pt idx="296">
                  <c:v>25</c:v>
                </c:pt>
                <c:pt idx="297">
                  <c:v>25</c:v>
                </c:pt>
                <c:pt idx="298">
                  <c:v>25</c:v>
                </c:pt>
                <c:pt idx="299">
                  <c:v>25</c:v>
                </c:pt>
                <c:pt idx="300">
                  <c:v>25</c:v>
                </c:pt>
                <c:pt idx="301">
                  <c:v>25</c:v>
                </c:pt>
                <c:pt idx="302">
                  <c:v>25</c:v>
                </c:pt>
                <c:pt idx="303">
                  <c:v>25</c:v>
                </c:pt>
                <c:pt idx="304">
                  <c:v>25</c:v>
                </c:pt>
                <c:pt idx="305">
                  <c:v>25</c:v>
                </c:pt>
                <c:pt idx="306">
                  <c:v>25</c:v>
                </c:pt>
                <c:pt idx="307">
                  <c:v>25</c:v>
                </c:pt>
                <c:pt idx="308">
                  <c:v>25</c:v>
                </c:pt>
                <c:pt idx="309">
                  <c:v>25</c:v>
                </c:pt>
                <c:pt idx="310">
                  <c:v>25</c:v>
                </c:pt>
                <c:pt idx="311">
                  <c:v>25</c:v>
                </c:pt>
                <c:pt idx="312">
                  <c:v>25</c:v>
                </c:pt>
                <c:pt idx="313">
                  <c:v>25</c:v>
                </c:pt>
                <c:pt idx="314">
                  <c:v>25</c:v>
                </c:pt>
                <c:pt idx="315">
                  <c:v>25</c:v>
                </c:pt>
                <c:pt idx="316">
                  <c:v>25</c:v>
                </c:pt>
                <c:pt idx="317">
                  <c:v>25</c:v>
                </c:pt>
                <c:pt idx="318">
                  <c:v>25</c:v>
                </c:pt>
                <c:pt idx="319">
                  <c:v>25</c:v>
                </c:pt>
                <c:pt idx="320">
                  <c:v>25</c:v>
                </c:pt>
                <c:pt idx="321">
                  <c:v>25</c:v>
                </c:pt>
                <c:pt idx="322">
                  <c:v>25</c:v>
                </c:pt>
                <c:pt idx="323">
                  <c:v>25</c:v>
                </c:pt>
                <c:pt idx="324">
                  <c:v>25</c:v>
                </c:pt>
                <c:pt idx="325">
                  <c:v>25</c:v>
                </c:pt>
                <c:pt idx="326">
                  <c:v>25</c:v>
                </c:pt>
                <c:pt idx="327">
                  <c:v>25</c:v>
                </c:pt>
                <c:pt idx="328">
                  <c:v>25</c:v>
                </c:pt>
                <c:pt idx="329">
                  <c:v>25</c:v>
                </c:pt>
                <c:pt idx="330">
                  <c:v>25</c:v>
                </c:pt>
                <c:pt idx="331">
                  <c:v>25</c:v>
                </c:pt>
                <c:pt idx="332">
                  <c:v>25</c:v>
                </c:pt>
                <c:pt idx="333">
                  <c:v>25</c:v>
                </c:pt>
                <c:pt idx="334">
                  <c:v>25</c:v>
                </c:pt>
                <c:pt idx="335">
                  <c:v>25</c:v>
                </c:pt>
                <c:pt idx="336">
                  <c:v>25</c:v>
                </c:pt>
                <c:pt idx="337">
                  <c:v>25</c:v>
                </c:pt>
                <c:pt idx="338">
                  <c:v>25</c:v>
                </c:pt>
                <c:pt idx="339">
                  <c:v>25</c:v>
                </c:pt>
                <c:pt idx="340">
                  <c:v>25</c:v>
                </c:pt>
                <c:pt idx="341">
                  <c:v>25</c:v>
                </c:pt>
                <c:pt idx="342">
                  <c:v>25</c:v>
                </c:pt>
                <c:pt idx="343">
                  <c:v>25</c:v>
                </c:pt>
                <c:pt idx="344">
                  <c:v>25</c:v>
                </c:pt>
                <c:pt idx="345">
                  <c:v>25</c:v>
                </c:pt>
                <c:pt idx="346">
                  <c:v>25</c:v>
                </c:pt>
                <c:pt idx="347">
                  <c:v>25</c:v>
                </c:pt>
                <c:pt idx="348">
                  <c:v>25</c:v>
                </c:pt>
                <c:pt idx="349">
                  <c:v>25</c:v>
                </c:pt>
                <c:pt idx="350">
                  <c:v>25</c:v>
                </c:pt>
                <c:pt idx="351">
                  <c:v>25</c:v>
                </c:pt>
                <c:pt idx="352">
                  <c:v>25</c:v>
                </c:pt>
                <c:pt idx="353">
                  <c:v>25</c:v>
                </c:pt>
                <c:pt idx="354">
                  <c:v>25</c:v>
                </c:pt>
                <c:pt idx="355">
                  <c:v>25</c:v>
                </c:pt>
                <c:pt idx="356">
                  <c:v>25</c:v>
                </c:pt>
                <c:pt idx="357">
                  <c:v>25</c:v>
                </c:pt>
                <c:pt idx="358">
                  <c:v>25</c:v>
                </c:pt>
                <c:pt idx="359">
                  <c:v>25</c:v>
                </c:pt>
                <c:pt idx="360">
                  <c:v>25</c:v>
                </c:pt>
                <c:pt idx="361">
                  <c:v>25</c:v>
                </c:pt>
                <c:pt idx="362">
                  <c:v>25</c:v>
                </c:pt>
                <c:pt idx="363">
                  <c:v>25</c:v>
                </c:pt>
                <c:pt idx="364">
                  <c:v>25</c:v>
                </c:pt>
                <c:pt idx="365">
                  <c:v>25</c:v>
                </c:pt>
                <c:pt idx="366">
                  <c:v>25</c:v>
                </c:pt>
                <c:pt idx="367">
                  <c:v>25</c:v>
                </c:pt>
                <c:pt idx="368">
                  <c:v>25</c:v>
                </c:pt>
                <c:pt idx="369">
                  <c:v>25</c:v>
                </c:pt>
                <c:pt idx="370">
                  <c:v>25</c:v>
                </c:pt>
                <c:pt idx="371">
                  <c:v>25</c:v>
                </c:pt>
                <c:pt idx="372">
                  <c:v>25</c:v>
                </c:pt>
                <c:pt idx="373">
                  <c:v>25</c:v>
                </c:pt>
                <c:pt idx="374">
                  <c:v>25</c:v>
                </c:pt>
                <c:pt idx="375">
                  <c:v>25</c:v>
                </c:pt>
                <c:pt idx="376">
                  <c:v>25</c:v>
                </c:pt>
                <c:pt idx="377">
                  <c:v>25</c:v>
                </c:pt>
                <c:pt idx="378">
                  <c:v>25</c:v>
                </c:pt>
                <c:pt idx="379">
                  <c:v>25</c:v>
                </c:pt>
                <c:pt idx="380">
                  <c:v>25</c:v>
                </c:pt>
                <c:pt idx="381">
                  <c:v>25</c:v>
                </c:pt>
                <c:pt idx="382">
                  <c:v>25</c:v>
                </c:pt>
                <c:pt idx="383">
                  <c:v>25</c:v>
                </c:pt>
                <c:pt idx="384">
                  <c:v>25</c:v>
                </c:pt>
                <c:pt idx="385">
                  <c:v>25</c:v>
                </c:pt>
                <c:pt idx="386">
                  <c:v>25</c:v>
                </c:pt>
                <c:pt idx="387">
                  <c:v>25</c:v>
                </c:pt>
                <c:pt idx="388">
                  <c:v>25</c:v>
                </c:pt>
                <c:pt idx="389">
                  <c:v>25</c:v>
                </c:pt>
                <c:pt idx="390">
                  <c:v>25</c:v>
                </c:pt>
                <c:pt idx="391">
                  <c:v>25</c:v>
                </c:pt>
                <c:pt idx="392">
                  <c:v>25</c:v>
                </c:pt>
                <c:pt idx="393">
                  <c:v>25</c:v>
                </c:pt>
                <c:pt idx="394">
                  <c:v>25</c:v>
                </c:pt>
                <c:pt idx="395">
                  <c:v>25</c:v>
                </c:pt>
                <c:pt idx="396">
                  <c:v>25</c:v>
                </c:pt>
                <c:pt idx="397">
                  <c:v>25</c:v>
                </c:pt>
                <c:pt idx="398">
                  <c:v>25</c:v>
                </c:pt>
                <c:pt idx="399">
                  <c:v>25</c:v>
                </c:pt>
                <c:pt idx="400">
                  <c:v>25</c:v>
                </c:pt>
                <c:pt idx="401">
                  <c:v>25</c:v>
                </c:pt>
                <c:pt idx="402">
                  <c:v>25</c:v>
                </c:pt>
                <c:pt idx="403">
                  <c:v>25</c:v>
                </c:pt>
                <c:pt idx="404">
                  <c:v>25</c:v>
                </c:pt>
                <c:pt idx="405">
                  <c:v>25</c:v>
                </c:pt>
                <c:pt idx="406">
                  <c:v>25</c:v>
                </c:pt>
                <c:pt idx="407">
                  <c:v>25</c:v>
                </c:pt>
                <c:pt idx="408">
                  <c:v>25</c:v>
                </c:pt>
                <c:pt idx="409">
                  <c:v>25</c:v>
                </c:pt>
                <c:pt idx="410">
                  <c:v>25</c:v>
                </c:pt>
                <c:pt idx="411">
                  <c:v>25</c:v>
                </c:pt>
                <c:pt idx="412">
                  <c:v>25</c:v>
                </c:pt>
                <c:pt idx="413">
                  <c:v>25</c:v>
                </c:pt>
                <c:pt idx="414">
                  <c:v>25</c:v>
                </c:pt>
                <c:pt idx="415">
                  <c:v>25</c:v>
                </c:pt>
                <c:pt idx="416">
                  <c:v>25</c:v>
                </c:pt>
                <c:pt idx="417">
                  <c:v>25</c:v>
                </c:pt>
                <c:pt idx="418">
                  <c:v>25</c:v>
                </c:pt>
                <c:pt idx="419">
                  <c:v>25</c:v>
                </c:pt>
                <c:pt idx="420">
                  <c:v>25</c:v>
                </c:pt>
                <c:pt idx="421">
                  <c:v>25</c:v>
                </c:pt>
                <c:pt idx="422">
                  <c:v>25</c:v>
                </c:pt>
                <c:pt idx="423">
                  <c:v>25</c:v>
                </c:pt>
                <c:pt idx="424">
                  <c:v>25</c:v>
                </c:pt>
                <c:pt idx="425">
                  <c:v>25</c:v>
                </c:pt>
                <c:pt idx="426">
                  <c:v>25</c:v>
                </c:pt>
                <c:pt idx="427">
                  <c:v>25</c:v>
                </c:pt>
                <c:pt idx="428">
                  <c:v>25</c:v>
                </c:pt>
                <c:pt idx="429">
                  <c:v>25</c:v>
                </c:pt>
                <c:pt idx="430">
                  <c:v>25</c:v>
                </c:pt>
                <c:pt idx="431">
                  <c:v>25</c:v>
                </c:pt>
                <c:pt idx="432">
                  <c:v>25</c:v>
                </c:pt>
                <c:pt idx="433">
                  <c:v>25</c:v>
                </c:pt>
                <c:pt idx="434">
                  <c:v>25</c:v>
                </c:pt>
                <c:pt idx="435">
                  <c:v>25</c:v>
                </c:pt>
                <c:pt idx="436">
                  <c:v>25</c:v>
                </c:pt>
                <c:pt idx="437">
                  <c:v>25</c:v>
                </c:pt>
                <c:pt idx="438">
                  <c:v>25</c:v>
                </c:pt>
                <c:pt idx="439">
                  <c:v>25</c:v>
                </c:pt>
                <c:pt idx="440">
                  <c:v>25</c:v>
                </c:pt>
                <c:pt idx="441">
                  <c:v>25</c:v>
                </c:pt>
                <c:pt idx="442">
                  <c:v>25</c:v>
                </c:pt>
                <c:pt idx="443">
                  <c:v>25</c:v>
                </c:pt>
                <c:pt idx="444">
                  <c:v>25</c:v>
                </c:pt>
                <c:pt idx="445">
                  <c:v>25</c:v>
                </c:pt>
                <c:pt idx="446">
                  <c:v>25</c:v>
                </c:pt>
                <c:pt idx="447">
                  <c:v>25</c:v>
                </c:pt>
                <c:pt idx="448">
                  <c:v>25</c:v>
                </c:pt>
                <c:pt idx="449">
                  <c:v>25</c:v>
                </c:pt>
                <c:pt idx="450">
                  <c:v>25</c:v>
                </c:pt>
                <c:pt idx="451">
                  <c:v>25</c:v>
                </c:pt>
                <c:pt idx="452">
                  <c:v>25</c:v>
                </c:pt>
                <c:pt idx="453">
                  <c:v>25</c:v>
                </c:pt>
                <c:pt idx="454">
                  <c:v>25</c:v>
                </c:pt>
                <c:pt idx="455">
                  <c:v>25</c:v>
                </c:pt>
                <c:pt idx="456">
                  <c:v>25</c:v>
                </c:pt>
                <c:pt idx="457">
                  <c:v>25</c:v>
                </c:pt>
                <c:pt idx="458">
                  <c:v>25</c:v>
                </c:pt>
                <c:pt idx="459">
                  <c:v>25</c:v>
                </c:pt>
                <c:pt idx="460">
                  <c:v>25</c:v>
                </c:pt>
                <c:pt idx="461">
                  <c:v>25</c:v>
                </c:pt>
                <c:pt idx="462">
                  <c:v>25</c:v>
                </c:pt>
                <c:pt idx="463">
                  <c:v>25</c:v>
                </c:pt>
                <c:pt idx="464">
                  <c:v>25</c:v>
                </c:pt>
                <c:pt idx="465">
                  <c:v>25</c:v>
                </c:pt>
                <c:pt idx="466">
                  <c:v>25</c:v>
                </c:pt>
                <c:pt idx="467">
                  <c:v>25</c:v>
                </c:pt>
                <c:pt idx="468">
                  <c:v>25</c:v>
                </c:pt>
                <c:pt idx="469">
                  <c:v>25</c:v>
                </c:pt>
                <c:pt idx="470">
                  <c:v>25</c:v>
                </c:pt>
                <c:pt idx="471">
                  <c:v>25</c:v>
                </c:pt>
                <c:pt idx="472">
                  <c:v>25</c:v>
                </c:pt>
                <c:pt idx="473">
                  <c:v>25</c:v>
                </c:pt>
                <c:pt idx="474">
                  <c:v>25</c:v>
                </c:pt>
                <c:pt idx="475">
                  <c:v>25</c:v>
                </c:pt>
                <c:pt idx="476">
                  <c:v>25</c:v>
                </c:pt>
                <c:pt idx="477">
                  <c:v>25</c:v>
                </c:pt>
                <c:pt idx="478">
                  <c:v>25</c:v>
                </c:pt>
                <c:pt idx="479">
                  <c:v>25</c:v>
                </c:pt>
                <c:pt idx="480">
                  <c:v>25</c:v>
                </c:pt>
                <c:pt idx="481">
                  <c:v>25</c:v>
                </c:pt>
                <c:pt idx="482">
                  <c:v>25</c:v>
                </c:pt>
                <c:pt idx="483">
                  <c:v>25</c:v>
                </c:pt>
                <c:pt idx="484">
                  <c:v>25</c:v>
                </c:pt>
                <c:pt idx="485">
                  <c:v>25</c:v>
                </c:pt>
                <c:pt idx="486">
                  <c:v>25</c:v>
                </c:pt>
                <c:pt idx="487">
                  <c:v>25</c:v>
                </c:pt>
                <c:pt idx="488">
                  <c:v>25</c:v>
                </c:pt>
                <c:pt idx="489">
                  <c:v>25</c:v>
                </c:pt>
                <c:pt idx="490">
                  <c:v>25</c:v>
                </c:pt>
                <c:pt idx="491">
                  <c:v>25</c:v>
                </c:pt>
                <c:pt idx="492">
                  <c:v>25</c:v>
                </c:pt>
                <c:pt idx="493">
                  <c:v>25</c:v>
                </c:pt>
                <c:pt idx="494">
                  <c:v>25</c:v>
                </c:pt>
                <c:pt idx="495">
                  <c:v>25</c:v>
                </c:pt>
                <c:pt idx="496">
                  <c:v>25</c:v>
                </c:pt>
                <c:pt idx="497">
                  <c:v>25</c:v>
                </c:pt>
                <c:pt idx="498">
                  <c:v>25</c:v>
                </c:pt>
                <c:pt idx="499">
                  <c:v>25</c:v>
                </c:pt>
                <c:pt idx="500">
                  <c:v>25</c:v>
                </c:pt>
                <c:pt idx="501">
                  <c:v>25</c:v>
                </c:pt>
                <c:pt idx="502">
                  <c:v>25</c:v>
                </c:pt>
                <c:pt idx="503">
                  <c:v>25</c:v>
                </c:pt>
                <c:pt idx="504">
                  <c:v>25</c:v>
                </c:pt>
                <c:pt idx="505">
                  <c:v>25</c:v>
                </c:pt>
                <c:pt idx="506">
                  <c:v>25</c:v>
                </c:pt>
                <c:pt idx="507">
                  <c:v>25</c:v>
                </c:pt>
                <c:pt idx="508">
                  <c:v>25</c:v>
                </c:pt>
                <c:pt idx="509">
                  <c:v>25</c:v>
                </c:pt>
                <c:pt idx="510">
                  <c:v>25</c:v>
                </c:pt>
                <c:pt idx="511">
                  <c:v>25</c:v>
                </c:pt>
                <c:pt idx="512">
                  <c:v>25</c:v>
                </c:pt>
                <c:pt idx="513">
                  <c:v>25</c:v>
                </c:pt>
                <c:pt idx="514">
                  <c:v>25</c:v>
                </c:pt>
                <c:pt idx="515">
                  <c:v>25</c:v>
                </c:pt>
                <c:pt idx="516">
                  <c:v>25</c:v>
                </c:pt>
                <c:pt idx="517">
                  <c:v>25</c:v>
                </c:pt>
                <c:pt idx="518">
                  <c:v>25</c:v>
                </c:pt>
                <c:pt idx="519">
                  <c:v>25</c:v>
                </c:pt>
                <c:pt idx="520">
                  <c:v>25</c:v>
                </c:pt>
                <c:pt idx="521">
                  <c:v>25</c:v>
                </c:pt>
                <c:pt idx="522">
                  <c:v>25</c:v>
                </c:pt>
                <c:pt idx="523">
                  <c:v>25</c:v>
                </c:pt>
                <c:pt idx="524">
                  <c:v>25</c:v>
                </c:pt>
                <c:pt idx="525">
                  <c:v>25</c:v>
                </c:pt>
                <c:pt idx="526">
                  <c:v>25</c:v>
                </c:pt>
                <c:pt idx="527">
                  <c:v>25</c:v>
                </c:pt>
                <c:pt idx="528">
                  <c:v>25</c:v>
                </c:pt>
                <c:pt idx="529">
                  <c:v>25</c:v>
                </c:pt>
                <c:pt idx="530">
                  <c:v>25</c:v>
                </c:pt>
                <c:pt idx="531">
                  <c:v>25</c:v>
                </c:pt>
                <c:pt idx="532">
                  <c:v>25</c:v>
                </c:pt>
                <c:pt idx="533">
                  <c:v>25</c:v>
                </c:pt>
                <c:pt idx="534">
                  <c:v>25</c:v>
                </c:pt>
                <c:pt idx="535">
                  <c:v>25</c:v>
                </c:pt>
                <c:pt idx="536">
                  <c:v>25</c:v>
                </c:pt>
                <c:pt idx="537">
                  <c:v>25</c:v>
                </c:pt>
                <c:pt idx="538">
                  <c:v>25</c:v>
                </c:pt>
                <c:pt idx="539">
                  <c:v>25</c:v>
                </c:pt>
                <c:pt idx="540">
                  <c:v>25</c:v>
                </c:pt>
                <c:pt idx="541">
                  <c:v>25</c:v>
                </c:pt>
                <c:pt idx="542">
                  <c:v>25</c:v>
                </c:pt>
                <c:pt idx="543">
                  <c:v>25</c:v>
                </c:pt>
                <c:pt idx="544">
                  <c:v>25</c:v>
                </c:pt>
                <c:pt idx="545">
                  <c:v>25</c:v>
                </c:pt>
                <c:pt idx="546">
                  <c:v>25</c:v>
                </c:pt>
                <c:pt idx="547">
                  <c:v>25</c:v>
                </c:pt>
                <c:pt idx="548">
                  <c:v>25</c:v>
                </c:pt>
                <c:pt idx="549">
                  <c:v>25</c:v>
                </c:pt>
                <c:pt idx="550">
                  <c:v>25</c:v>
                </c:pt>
                <c:pt idx="551">
                  <c:v>25</c:v>
                </c:pt>
                <c:pt idx="552">
                  <c:v>25</c:v>
                </c:pt>
                <c:pt idx="553">
                  <c:v>25</c:v>
                </c:pt>
                <c:pt idx="554">
                  <c:v>25</c:v>
                </c:pt>
                <c:pt idx="555">
                  <c:v>25</c:v>
                </c:pt>
                <c:pt idx="556">
                  <c:v>25</c:v>
                </c:pt>
                <c:pt idx="557">
                  <c:v>25</c:v>
                </c:pt>
                <c:pt idx="558">
                  <c:v>25</c:v>
                </c:pt>
                <c:pt idx="559">
                  <c:v>25</c:v>
                </c:pt>
                <c:pt idx="560">
                  <c:v>25</c:v>
                </c:pt>
                <c:pt idx="561">
                  <c:v>25</c:v>
                </c:pt>
                <c:pt idx="562">
                  <c:v>25</c:v>
                </c:pt>
                <c:pt idx="563">
                  <c:v>25</c:v>
                </c:pt>
                <c:pt idx="564">
                  <c:v>25</c:v>
                </c:pt>
                <c:pt idx="565">
                  <c:v>25</c:v>
                </c:pt>
                <c:pt idx="566">
                  <c:v>25</c:v>
                </c:pt>
                <c:pt idx="567">
                  <c:v>25</c:v>
                </c:pt>
                <c:pt idx="568">
                  <c:v>25</c:v>
                </c:pt>
                <c:pt idx="569">
                  <c:v>25</c:v>
                </c:pt>
                <c:pt idx="570">
                  <c:v>25</c:v>
                </c:pt>
                <c:pt idx="571">
                  <c:v>25</c:v>
                </c:pt>
                <c:pt idx="572">
                  <c:v>25</c:v>
                </c:pt>
                <c:pt idx="573">
                  <c:v>25</c:v>
                </c:pt>
                <c:pt idx="574">
                  <c:v>25</c:v>
                </c:pt>
                <c:pt idx="575">
                  <c:v>25</c:v>
                </c:pt>
                <c:pt idx="576">
                  <c:v>25</c:v>
                </c:pt>
                <c:pt idx="577">
                  <c:v>25</c:v>
                </c:pt>
                <c:pt idx="578">
                  <c:v>25</c:v>
                </c:pt>
                <c:pt idx="579">
                  <c:v>25</c:v>
                </c:pt>
                <c:pt idx="580">
                  <c:v>25</c:v>
                </c:pt>
                <c:pt idx="581">
                  <c:v>25</c:v>
                </c:pt>
                <c:pt idx="582">
                  <c:v>25</c:v>
                </c:pt>
                <c:pt idx="583">
                  <c:v>25</c:v>
                </c:pt>
                <c:pt idx="584">
                  <c:v>25</c:v>
                </c:pt>
                <c:pt idx="585">
                  <c:v>25</c:v>
                </c:pt>
                <c:pt idx="586">
                  <c:v>25</c:v>
                </c:pt>
                <c:pt idx="587">
                  <c:v>25</c:v>
                </c:pt>
                <c:pt idx="588">
                  <c:v>25</c:v>
                </c:pt>
                <c:pt idx="589">
                  <c:v>25</c:v>
                </c:pt>
                <c:pt idx="590">
                  <c:v>25</c:v>
                </c:pt>
                <c:pt idx="591">
                  <c:v>25</c:v>
                </c:pt>
                <c:pt idx="592">
                  <c:v>25</c:v>
                </c:pt>
                <c:pt idx="593">
                  <c:v>25</c:v>
                </c:pt>
                <c:pt idx="594">
                  <c:v>25</c:v>
                </c:pt>
                <c:pt idx="595">
                  <c:v>25</c:v>
                </c:pt>
                <c:pt idx="596">
                  <c:v>25</c:v>
                </c:pt>
                <c:pt idx="597">
                  <c:v>25</c:v>
                </c:pt>
                <c:pt idx="598">
                  <c:v>25</c:v>
                </c:pt>
                <c:pt idx="599">
                  <c:v>25</c:v>
                </c:pt>
                <c:pt idx="600">
                  <c:v>25</c:v>
                </c:pt>
                <c:pt idx="601">
                  <c:v>25</c:v>
                </c:pt>
                <c:pt idx="602">
                  <c:v>25</c:v>
                </c:pt>
                <c:pt idx="603">
                  <c:v>25</c:v>
                </c:pt>
                <c:pt idx="604">
                  <c:v>25</c:v>
                </c:pt>
                <c:pt idx="605">
                  <c:v>25</c:v>
                </c:pt>
                <c:pt idx="606">
                  <c:v>25</c:v>
                </c:pt>
                <c:pt idx="607">
                  <c:v>25</c:v>
                </c:pt>
                <c:pt idx="608">
                  <c:v>25</c:v>
                </c:pt>
                <c:pt idx="609">
                  <c:v>25</c:v>
                </c:pt>
                <c:pt idx="610">
                  <c:v>25</c:v>
                </c:pt>
                <c:pt idx="611">
                  <c:v>25</c:v>
                </c:pt>
                <c:pt idx="612">
                  <c:v>25</c:v>
                </c:pt>
                <c:pt idx="613">
                  <c:v>25</c:v>
                </c:pt>
                <c:pt idx="614">
                  <c:v>25</c:v>
                </c:pt>
                <c:pt idx="615">
                  <c:v>25</c:v>
                </c:pt>
                <c:pt idx="616">
                  <c:v>25</c:v>
                </c:pt>
                <c:pt idx="617">
                  <c:v>25</c:v>
                </c:pt>
                <c:pt idx="618">
                  <c:v>25</c:v>
                </c:pt>
                <c:pt idx="619">
                  <c:v>25</c:v>
                </c:pt>
                <c:pt idx="620">
                  <c:v>25</c:v>
                </c:pt>
                <c:pt idx="621">
                  <c:v>25</c:v>
                </c:pt>
                <c:pt idx="622">
                  <c:v>25</c:v>
                </c:pt>
                <c:pt idx="623">
                  <c:v>25</c:v>
                </c:pt>
                <c:pt idx="624">
                  <c:v>25</c:v>
                </c:pt>
                <c:pt idx="625">
                  <c:v>25</c:v>
                </c:pt>
                <c:pt idx="626">
                  <c:v>25</c:v>
                </c:pt>
                <c:pt idx="627">
                  <c:v>25</c:v>
                </c:pt>
                <c:pt idx="628">
                  <c:v>25</c:v>
                </c:pt>
                <c:pt idx="629">
                  <c:v>25</c:v>
                </c:pt>
                <c:pt idx="630">
                  <c:v>25</c:v>
                </c:pt>
                <c:pt idx="631">
                  <c:v>25</c:v>
                </c:pt>
                <c:pt idx="632">
                  <c:v>25</c:v>
                </c:pt>
                <c:pt idx="633">
                  <c:v>25</c:v>
                </c:pt>
                <c:pt idx="634">
                  <c:v>25</c:v>
                </c:pt>
                <c:pt idx="635">
                  <c:v>25</c:v>
                </c:pt>
                <c:pt idx="636">
                  <c:v>25</c:v>
                </c:pt>
                <c:pt idx="637">
                  <c:v>25</c:v>
                </c:pt>
                <c:pt idx="638">
                  <c:v>25</c:v>
                </c:pt>
                <c:pt idx="639">
                  <c:v>25</c:v>
                </c:pt>
                <c:pt idx="640">
                  <c:v>25</c:v>
                </c:pt>
                <c:pt idx="641">
                  <c:v>25</c:v>
                </c:pt>
                <c:pt idx="642">
                  <c:v>25</c:v>
                </c:pt>
                <c:pt idx="643">
                  <c:v>25</c:v>
                </c:pt>
                <c:pt idx="644">
                  <c:v>25</c:v>
                </c:pt>
                <c:pt idx="645">
                  <c:v>25</c:v>
                </c:pt>
                <c:pt idx="646">
                  <c:v>25</c:v>
                </c:pt>
                <c:pt idx="647">
                  <c:v>25</c:v>
                </c:pt>
                <c:pt idx="648">
                  <c:v>25</c:v>
                </c:pt>
                <c:pt idx="649">
                  <c:v>25</c:v>
                </c:pt>
                <c:pt idx="650">
                  <c:v>25</c:v>
                </c:pt>
                <c:pt idx="651">
                  <c:v>25</c:v>
                </c:pt>
                <c:pt idx="652">
                  <c:v>25</c:v>
                </c:pt>
                <c:pt idx="653">
                  <c:v>25</c:v>
                </c:pt>
                <c:pt idx="654">
                  <c:v>25</c:v>
                </c:pt>
                <c:pt idx="655">
                  <c:v>25</c:v>
                </c:pt>
                <c:pt idx="656">
                  <c:v>25</c:v>
                </c:pt>
                <c:pt idx="657">
                  <c:v>25</c:v>
                </c:pt>
                <c:pt idx="658">
                  <c:v>25</c:v>
                </c:pt>
                <c:pt idx="659">
                  <c:v>25</c:v>
                </c:pt>
                <c:pt idx="660">
                  <c:v>25</c:v>
                </c:pt>
                <c:pt idx="661">
                  <c:v>25</c:v>
                </c:pt>
                <c:pt idx="662">
                  <c:v>25</c:v>
                </c:pt>
                <c:pt idx="663">
                  <c:v>25</c:v>
                </c:pt>
                <c:pt idx="664">
                  <c:v>25</c:v>
                </c:pt>
                <c:pt idx="665">
                  <c:v>25</c:v>
                </c:pt>
                <c:pt idx="666">
                  <c:v>25</c:v>
                </c:pt>
                <c:pt idx="667">
                  <c:v>25</c:v>
                </c:pt>
                <c:pt idx="668">
                  <c:v>25</c:v>
                </c:pt>
                <c:pt idx="669">
                  <c:v>25</c:v>
                </c:pt>
                <c:pt idx="670">
                  <c:v>25</c:v>
                </c:pt>
                <c:pt idx="671">
                  <c:v>25</c:v>
                </c:pt>
                <c:pt idx="672">
                  <c:v>25</c:v>
                </c:pt>
                <c:pt idx="673">
                  <c:v>25</c:v>
                </c:pt>
                <c:pt idx="674">
                  <c:v>25</c:v>
                </c:pt>
                <c:pt idx="675">
                  <c:v>25</c:v>
                </c:pt>
                <c:pt idx="676">
                  <c:v>25</c:v>
                </c:pt>
                <c:pt idx="677">
                  <c:v>25</c:v>
                </c:pt>
                <c:pt idx="678">
                  <c:v>25</c:v>
                </c:pt>
                <c:pt idx="679">
                  <c:v>25</c:v>
                </c:pt>
                <c:pt idx="680">
                  <c:v>25</c:v>
                </c:pt>
                <c:pt idx="681">
                  <c:v>25</c:v>
                </c:pt>
                <c:pt idx="682">
                  <c:v>25</c:v>
                </c:pt>
                <c:pt idx="683">
                  <c:v>25</c:v>
                </c:pt>
                <c:pt idx="684">
                  <c:v>25</c:v>
                </c:pt>
                <c:pt idx="685">
                  <c:v>25</c:v>
                </c:pt>
                <c:pt idx="686">
                  <c:v>25</c:v>
                </c:pt>
                <c:pt idx="687">
                  <c:v>25</c:v>
                </c:pt>
                <c:pt idx="688">
                  <c:v>25</c:v>
                </c:pt>
                <c:pt idx="689">
                  <c:v>25</c:v>
                </c:pt>
                <c:pt idx="690">
                  <c:v>25</c:v>
                </c:pt>
                <c:pt idx="691">
                  <c:v>25</c:v>
                </c:pt>
                <c:pt idx="692">
                  <c:v>25</c:v>
                </c:pt>
                <c:pt idx="693">
                  <c:v>25</c:v>
                </c:pt>
                <c:pt idx="694">
                  <c:v>25</c:v>
                </c:pt>
                <c:pt idx="695">
                  <c:v>25</c:v>
                </c:pt>
                <c:pt idx="696">
                  <c:v>25</c:v>
                </c:pt>
                <c:pt idx="697">
                  <c:v>25</c:v>
                </c:pt>
                <c:pt idx="698">
                  <c:v>25</c:v>
                </c:pt>
                <c:pt idx="699">
                  <c:v>25</c:v>
                </c:pt>
                <c:pt idx="700">
                  <c:v>25</c:v>
                </c:pt>
                <c:pt idx="701">
                  <c:v>25</c:v>
                </c:pt>
                <c:pt idx="702">
                  <c:v>25</c:v>
                </c:pt>
                <c:pt idx="703">
                  <c:v>25</c:v>
                </c:pt>
                <c:pt idx="704">
                  <c:v>25</c:v>
                </c:pt>
                <c:pt idx="705">
                  <c:v>25</c:v>
                </c:pt>
                <c:pt idx="706">
                  <c:v>25</c:v>
                </c:pt>
                <c:pt idx="707">
                  <c:v>25</c:v>
                </c:pt>
                <c:pt idx="708">
                  <c:v>25</c:v>
                </c:pt>
                <c:pt idx="709">
                  <c:v>25</c:v>
                </c:pt>
                <c:pt idx="710">
                  <c:v>25</c:v>
                </c:pt>
                <c:pt idx="711">
                  <c:v>25</c:v>
                </c:pt>
                <c:pt idx="712">
                  <c:v>25</c:v>
                </c:pt>
                <c:pt idx="713">
                  <c:v>25</c:v>
                </c:pt>
                <c:pt idx="714">
                  <c:v>25</c:v>
                </c:pt>
                <c:pt idx="715">
                  <c:v>25</c:v>
                </c:pt>
                <c:pt idx="716">
                  <c:v>25</c:v>
                </c:pt>
                <c:pt idx="717">
                  <c:v>25</c:v>
                </c:pt>
                <c:pt idx="718">
                  <c:v>25</c:v>
                </c:pt>
                <c:pt idx="719">
                  <c:v>25</c:v>
                </c:pt>
                <c:pt idx="720">
                  <c:v>25</c:v>
                </c:pt>
                <c:pt idx="721">
                  <c:v>25</c:v>
                </c:pt>
                <c:pt idx="722">
                  <c:v>25</c:v>
                </c:pt>
                <c:pt idx="723">
                  <c:v>25</c:v>
                </c:pt>
                <c:pt idx="724">
                  <c:v>25</c:v>
                </c:pt>
                <c:pt idx="725">
                  <c:v>25</c:v>
                </c:pt>
                <c:pt idx="726">
                  <c:v>25</c:v>
                </c:pt>
                <c:pt idx="727">
                  <c:v>25</c:v>
                </c:pt>
                <c:pt idx="728">
                  <c:v>25</c:v>
                </c:pt>
                <c:pt idx="729">
                  <c:v>25</c:v>
                </c:pt>
                <c:pt idx="730">
                  <c:v>25</c:v>
                </c:pt>
                <c:pt idx="731">
                  <c:v>25</c:v>
                </c:pt>
                <c:pt idx="732">
                  <c:v>25</c:v>
                </c:pt>
                <c:pt idx="733">
                  <c:v>25</c:v>
                </c:pt>
                <c:pt idx="734">
                  <c:v>25</c:v>
                </c:pt>
                <c:pt idx="735">
                  <c:v>25</c:v>
                </c:pt>
                <c:pt idx="736">
                  <c:v>25</c:v>
                </c:pt>
                <c:pt idx="737">
                  <c:v>25</c:v>
                </c:pt>
                <c:pt idx="738">
                  <c:v>25</c:v>
                </c:pt>
                <c:pt idx="739">
                  <c:v>25</c:v>
                </c:pt>
                <c:pt idx="740">
                  <c:v>25</c:v>
                </c:pt>
                <c:pt idx="741">
                  <c:v>25</c:v>
                </c:pt>
                <c:pt idx="742">
                  <c:v>25</c:v>
                </c:pt>
                <c:pt idx="743">
                  <c:v>25</c:v>
                </c:pt>
                <c:pt idx="744">
                  <c:v>25</c:v>
                </c:pt>
                <c:pt idx="745">
                  <c:v>25</c:v>
                </c:pt>
                <c:pt idx="746">
                  <c:v>25</c:v>
                </c:pt>
                <c:pt idx="747">
                  <c:v>25</c:v>
                </c:pt>
                <c:pt idx="748">
                  <c:v>25</c:v>
                </c:pt>
                <c:pt idx="749">
                  <c:v>25</c:v>
                </c:pt>
                <c:pt idx="750">
                  <c:v>25</c:v>
                </c:pt>
                <c:pt idx="751">
                  <c:v>25</c:v>
                </c:pt>
                <c:pt idx="752">
                  <c:v>25</c:v>
                </c:pt>
                <c:pt idx="753">
                  <c:v>25</c:v>
                </c:pt>
                <c:pt idx="754">
                  <c:v>25</c:v>
                </c:pt>
                <c:pt idx="755">
                  <c:v>25</c:v>
                </c:pt>
                <c:pt idx="756">
                  <c:v>25</c:v>
                </c:pt>
                <c:pt idx="757">
                  <c:v>25</c:v>
                </c:pt>
                <c:pt idx="758">
                  <c:v>25</c:v>
                </c:pt>
                <c:pt idx="759">
                  <c:v>25</c:v>
                </c:pt>
                <c:pt idx="760">
                  <c:v>25</c:v>
                </c:pt>
                <c:pt idx="761">
                  <c:v>25</c:v>
                </c:pt>
                <c:pt idx="762">
                  <c:v>25</c:v>
                </c:pt>
                <c:pt idx="763">
                  <c:v>25</c:v>
                </c:pt>
                <c:pt idx="764">
                  <c:v>25</c:v>
                </c:pt>
                <c:pt idx="765">
                  <c:v>25</c:v>
                </c:pt>
                <c:pt idx="766">
                  <c:v>25</c:v>
                </c:pt>
                <c:pt idx="767">
                  <c:v>25</c:v>
                </c:pt>
                <c:pt idx="768">
                  <c:v>25</c:v>
                </c:pt>
                <c:pt idx="769">
                  <c:v>25</c:v>
                </c:pt>
                <c:pt idx="770">
                  <c:v>25</c:v>
                </c:pt>
                <c:pt idx="771">
                  <c:v>25</c:v>
                </c:pt>
                <c:pt idx="772">
                  <c:v>25</c:v>
                </c:pt>
                <c:pt idx="773">
                  <c:v>25</c:v>
                </c:pt>
                <c:pt idx="774">
                  <c:v>25</c:v>
                </c:pt>
                <c:pt idx="775">
                  <c:v>25</c:v>
                </c:pt>
                <c:pt idx="776">
                  <c:v>25</c:v>
                </c:pt>
                <c:pt idx="777">
                  <c:v>25</c:v>
                </c:pt>
                <c:pt idx="778">
                  <c:v>25</c:v>
                </c:pt>
                <c:pt idx="779">
                  <c:v>25</c:v>
                </c:pt>
                <c:pt idx="780">
                  <c:v>25</c:v>
                </c:pt>
                <c:pt idx="781">
                  <c:v>25</c:v>
                </c:pt>
                <c:pt idx="782">
                  <c:v>25</c:v>
                </c:pt>
                <c:pt idx="783">
                  <c:v>25</c:v>
                </c:pt>
                <c:pt idx="784">
                  <c:v>25</c:v>
                </c:pt>
                <c:pt idx="785">
                  <c:v>25</c:v>
                </c:pt>
                <c:pt idx="786">
                  <c:v>25</c:v>
                </c:pt>
                <c:pt idx="787">
                  <c:v>25</c:v>
                </c:pt>
                <c:pt idx="788">
                  <c:v>25</c:v>
                </c:pt>
                <c:pt idx="789">
                  <c:v>25</c:v>
                </c:pt>
                <c:pt idx="790">
                  <c:v>25</c:v>
                </c:pt>
                <c:pt idx="791">
                  <c:v>25</c:v>
                </c:pt>
                <c:pt idx="792">
                  <c:v>25</c:v>
                </c:pt>
                <c:pt idx="793">
                  <c:v>25</c:v>
                </c:pt>
                <c:pt idx="794">
                  <c:v>25</c:v>
                </c:pt>
                <c:pt idx="795">
                  <c:v>25</c:v>
                </c:pt>
                <c:pt idx="796">
                  <c:v>25</c:v>
                </c:pt>
                <c:pt idx="797">
                  <c:v>25</c:v>
                </c:pt>
                <c:pt idx="798">
                  <c:v>25</c:v>
                </c:pt>
                <c:pt idx="799">
                  <c:v>25</c:v>
                </c:pt>
                <c:pt idx="800">
                  <c:v>25</c:v>
                </c:pt>
                <c:pt idx="801">
                  <c:v>25</c:v>
                </c:pt>
                <c:pt idx="802">
                  <c:v>25</c:v>
                </c:pt>
                <c:pt idx="803">
                  <c:v>25</c:v>
                </c:pt>
                <c:pt idx="804">
                  <c:v>25</c:v>
                </c:pt>
                <c:pt idx="805">
                  <c:v>25</c:v>
                </c:pt>
                <c:pt idx="806">
                  <c:v>25</c:v>
                </c:pt>
                <c:pt idx="807">
                  <c:v>25</c:v>
                </c:pt>
                <c:pt idx="808">
                  <c:v>25</c:v>
                </c:pt>
                <c:pt idx="809">
                  <c:v>25</c:v>
                </c:pt>
                <c:pt idx="810">
                  <c:v>25</c:v>
                </c:pt>
                <c:pt idx="811">
                  <c:v>25</c:v>
                </c:pt>
                <c:pt idx="812">
                  <c:v>25</c:v>
                </c:pt>
                <c:pt idx="813">
                  <c:v>25</c:v>
                </c:pt>
                <c:pt idx="814">
                  <c:v>25</c:v>
                </c:pt>
                <c:pt idx="815">
                  <c:v>25</c:v>
                </c:pt>
                <c:pt idx="816">
                  <c:v>25</c:v>
                </c:pt>
                <c:pt idx="817">
                  <c:v>25</c:v>
                </c:pt>
                <c:pt idx="818">
                  <c:v>25</c:v>
                </c:pt>
                <c:pt idx="819">
                  <c:v>25</c:v>
                </c:pt>
                <c:pt idx="820">
                  <c:v>25</c:v>
                </c:pt>
                <c:pt idx="821">
                  <c:v>25</c:v>
                </c:pt>
                <c:pt idx="822">
                  <c:v>25</c:v>
                </c:pt>
                <c:pt idx="823">
                  <c:v>25</c:v>
                </c:pt>
                <c:pt idx="824">
                  <c:v>25</c:v>
                </c:pt>
                <c:pt idx="825">
                  <c:v>25</c:v>
                </c:pt>
                <c:pt idx="826">
                  <c:v>25</c:v>
                </c:pt>
                <c:pt idx="827">
                  <c:v>25</c:v>
                </c:pt>
                <c:pt idx="828">
                  <c:v>25</c:v>
                </c:pt>
                <c:pt idx="829">
                  <c:v>25</c:v>
                </c:pt>
                <c:pt idx="830">
                  <c:v>25</c:v>
                </c:pt>
                <c:pt idx="831">
                  <c:v>25</c:v>
                </c:pt>
                <c:pt idx="832">
                  <c:v>25</c:v>
                </c:pt>
                <c:pt idx="833">
                  <c:v>25</c:v>
                </c:pt>
                <c:pt idx="834">
                  <c:v>25</c:v>
                </c:pt>
                <c:pt idx="835">
                  <c:v>25</c:v>
                </c:pt>
                <c:pt idx="836">
                  <c:v>25</c:v>
                </c:pt>
                <c:pt idx="837">
                  <c:v>25</c:v>
                </c:pt>
                <c:pt idx="838">
                  <c:v>25</c:v>
                </c:pt>
                <c:pt idx="839">
                  <c:v>25</c:v>
                </c:pt>
                <c:pt idx="840">
                  <c:v>25</c:v>
                </c:pt>
                <c:pt idx="841">
                  <c:v>25</c:v>
                </c:pt>
                <c:pt idx="842">
                  <c:v>25</c:v>
                </c:pt>
                <c:pt idx="843">
                  <c:v>25</c:v>
                </c:pt>
                <c:pt idx="844">
                  <c:v>25</c:v>
                </c:pt>
                <c:pt idx="845">
                  <c:v>25</c:v>
                </c:pt>
                <c:pt idx="846">
                  <c:v>25</c:v>
                </c:pt>
                <c:pt idx="847">
                  <c:v>25</c:v>
                </c:pt>
                <c:pt idx="848">
                  <c:v>25</c:v>
                </c:pt>
                <c:pt idx="849">
                  <c:v>25</c:v>
                </c:pt>
                <c:pt idx="850">
                  <c:v>25</c:v>
                </c:pt>
                <c:pt idx="851">
                  <c:v>25</c:v>
                </c:pt>
                <c:pt idx="852">
                  <c:v>25</c:v>
                </c:pt>
                <c:pt idx="853">
                  <c:v>25</c:v>
                </c:pt>
                <c:pt idx="854">
                  <c:v>25</c:v>
                </c:pt>
                <c:pt idx="855">
                  <c:v>25</c:v>
                </c:pt>
                <c:pt idx="856">
                  <c:v>25</c:v>
                </c:pt>
                <c:pt idx="857">
                  <c:v>25</c:v>
                </c:pt>
                <c:pt idx="858">
                  <c:v>25</c:v>
                </c:pt>
                <c:pt idx="859">
                  <c:v>25</c:v>
                </c:pt>
                <c:pt idx="860">
                  <c:v>25</c:v>
                </c:pt>
                <c:pt idx="861">
                  <c:v>25</c:v>
                </c:pt>
                <c:pt idx="862">
                  <c:v>25</c:v>
                </c:pt>
                <c:pt idx="863">
                  <c:v>25</c:v>
                </c:pt>
                <c:pt idx="864">
                  <c:v>25</c:v>
                </c:pt>
                <c:pt idx="865">
                  <c:v>25</c:v>
                </c:pt>
                <c:pt idx="866">
                  <c:v>25</c:v>
                </c:pt>
                <c:pt idx="867">
                  <c:v>25</c:v>
                </c:pt>
                <c:pt idx="868">
                  <c:v>25</c:v>
                </c:pt>
                <c:pt idx="869">
                  <c:v>25</c:v>
                </c:pt>
                <c:pt idx="870">
                  <c:v>25</c:v>
                </c:pt>
                <c:pt idx="871">
                  <c:v>25</c:v>
                </c:pt>
                <c:pt idx="872">
                  <c:v>25</c:v>
                </c:pt>
                <c:pt idx="873">
                  <c:v>25</c:v>
                </c:pt>
                <c:pt idx="874">
                  <c:v>25</c:v>
                </c:pt>
                <c:pt idx="875">
                  <c:v>25</c:v>
                </c:pt>
                <c:pt idx="876">
                  <c:v>25</c:v>
                </c:pt>
                <c:pt idx="877">
                  <c:v>25</c:v>
                </c:pt>
                <c:pt idx="878">
                  <c:v>25</c:v>
                </c:pt>
                <c:pt idx="879">
                  <c:v>25</c:v>
                </c:pt>
                <c:pt idx="880">
                  <c:v>25</c:v>
                </c:pt>
                <c:pt idx="881">
                  <c:v>25</c:v>
                </c:pt>
                <c:pt idx="882">
                  <c:v>25</c:v>
                </c:pt>
                <c:pt idx="883">
                  <c:v>25</c:v>
                </c:pt>
                <c:pt idx="884">
                  <c:v>25</c:v>
                </c:pt>
                <c:pt idx="885">
                  <c:v>25</c:v>
                </c:pt>
                <c:pt idx="886">
                  <c:v>25</c:v>
                </c:pt>
                <c:pt idx="887">
                  <c:v>25</c:v>
                </c:pt>
                <c:pt idx="888">
                  <c:v>25</c:v>
                </c:pt>
                <c:pt idx="889">
                  <c:v>25</c:v>
                </c:pt>
                <c:pt idx="890">
                  <c:v>25</c:v>
                </c:pt>
                <c:pt idx="891">
                  <c:v>25</c:v>
                </c:pt>
                <c:pt idx="892">
                  <c:v>25</c:v>
                </c:pt>
                <c:pt idx="893">
                  <c:v>25</c:v>
                </c:pt>
                <c:pt idx="894">
                  <c:v>25</c:v>
                </c:pt>
                <c:pt idx="895">
                  <c:v>25</c:v>
                </c:pt>
                <c:pt idx="896">
                  <c:v>25</c:v>
                </c:pt>
                <c:pt idx="897">
                  <c:v>25</c:v>
                </c:pt>
                <c:pt idx="898">
                  <c:v>25</c:v>
                </c:pt>
                <c:pt idx="899">
                  <c:v>25</c:v>
                </c:pt>
                <c:pt idx="900">
                  <c:v>25</c:v>
                </c:pt>
                <c:pt idx="901">
                  <c:v>25</c:v>
                </c:pt>
                <c:pt idx="902">
                  <c:v>25</c:v>
                </c:pt>
                <c:pt idx="903">
                  <c:v>25</c:v>
                </c:pt>
                <c:pt idx="904">
                  <c:v>25</c:v>
                </c:pt>
                <c:pt idx="905">
                  <c:v>25</c:v>
                </c:pt>
                <c:pt idx="906">
                  <c:v>25</c:v>
                </c:pt>
                <c:pt idx="907">
                  <c:v>25</c:v>
                </c:pt>
                <c:pt idx="908">
                  <c:v>25</c:v>
                </c:pt>
                <c:pt idx="909">
                  <c:v>25</c:v>
                </c:pt>
                <c:pt idx="910">
                  <c:v>25</c:v>
                </c:pt>
                <c:pt idx="911">
                  <c:v>25</c:v>
                </c:pt>
                <c:pt idx="912">
                  <c:v>25</c:v>
                </c:pt>
                <c:pt idx="913">
                  <c:v>25</c:v>
                </c:pt>
                <c:pt idx="914">
                  <c:v>25</c:v>
                </c:pt>
                <c:pt idx="915">
                  <c:v>25</c:v>
                </c:pt>
                <c:pt idx="916">
                  <c:v>25</c:v>
                </c:pt>
                <c:pt idx="917">
                  <c:v>25</c:v>
                </c:pt>
                <c:pt idx="918">
                  <c:v>25</c:v>
                </c:pt>
                <c:pt idx="919">
                  <c:v>25</c:v>
                </c:pt>
                <c:pt idx="920">
                  <c:v>25</c:v>
                </c:pt>
                <c:pt idx="921">
                  <c:v>25</c:v>
                </c:pt>
                <c:pt idx="922">
                  <c:v>25</c:v>
                </c:pt>
                <c:pt idx="923">
                  <c:v>25</c:v>
                </c:pt>
                <c:pt idx="924">
                  <c:v>25</c:v>
                </c:pt>
                <c:pt idx="925">
                  <c:v>25</c:v>
                </c:pt>
                <c:pt idx="926">
                  <c:v>25</c:v>
                </c:pt>
                <c:pt idx="927">
                  <c:v>25</c:v>
                </c:pt>
                <c:pt idx="928">
                  <c:v>25</c:v>
                </c:pt>
                <c:pt idx="929">
                  <c:v>25</c:v>
                </c:pt>
                <c:pt idx="930">
                  <c:v>25</c:v>
                </c:pt>
                <c:pt idx="931">
                  <c:v>25</c:v>
                </c:pt>
                <c:pt idx="932">
                  <c:v>25</c:v>
                </c:pt>
                <c:pt idx="933">
                  <c:v>25</c:v>
                </c:pt>
                <c:pt idx="934">
                  <c:v>25</c:v>
                </c:pt>
                <c:pt idx="935">
                  <c:v>25</c:v>
                </c:pt>
                <c:pt idx="936">
                  <c:v>25</c:v>
                </c:pt>
                <c:pt idx="937">
                  <c:v>25</c:v>
                </c:pt>
                <c:pt idx="938">
                  <c:v>25</c:v>
                </c:pt>
                <c:pt idx="939">
                  <c:v>25</c:v>
                </c:pt>
                <c:pt idx="940">
                  <c:v>25</c:v>
                </c:pt>
                <c:pt idx="941">
                  <c:v>25</c:v>
                </c:pt>
                <c:pt idx="942">
                  <c:v>25</c:v>
                </c:pt>
                <c:pt idx="943">
                  <c:v>25</c:v>
                </c:pt>
                <c:pt idx="944">
                  <c:v>25</c:v>
                </c:pt>
                <c:pt idx="945">
                  <c:v>25</c:v>
                </c:pt>
                <c:pt idx="946">
                  <c:v>25</c:v>
                </c:pt>
                <c:pt idx="947">
                  <c:v>25</c:v>
                </c:pt>
                <c:pt idx="948">
                  <c:v>25</c:v>
                </c:pt>
                <c:pt idx="949">
                  <c:v>25</c:v>
                </c:pt>
                <c:pt idx="950">
                  <c:v>25</c:v>
                </c:pt>
                <c:pt idx="951">
                  <c:v>25</c:v>
                </c:pt>
                <c:pt idx="952">
                  <c:v>25</c:v>
                </c:pt>
                <c:pt idx="953">
                  <c:v>25</c:v>
                </c:pt>
                <c:pt idx="954">
                  <c:v>25</c:v>
                </c:pt>
                <c:pt idx="955">
                  <c:v>25</c:v>
                </c:pt>
                <c:pt idx="956">
                  <c:v>25</c:v>
                </c:pt>
                <c:pt idx="957">
                  <c:v>25</c:v>
                </c:pt>
                <c:pt idx="958">
                  <c:v>25</c:v>
                </c:pt>
                <c:pt idx="959">
                  <c:v>25</c:v>
                </c:pt>
                <c:pt idx="960">
                  <c:v>25</c:v>
                </c:pt>
                <c:pt idx="961">
                  <c:v>25</c:v>
                </c:pt>
                <c:pt idx="962">
                  <c:v>25</c:v>
                </c:pt>
                <c:pt idx="963">
                  <c:v>25</c:v>
                </c:pt>
                <c:pt idx="964">
                  <c:v>25</c:v>
                </c:pt>
                <c:pt idx="965">
                  <c:v>25</c:v>
                </c:pt>
                <c:pt idx="966">
                  <c:v>25</c:v>
                </c:pt>
                <c:pt idx="967">
                  <c:v>25</c:v>
                </c:pt>
                <c:pt idx="968">
                  <c:v>25</c:v>
                </c:pt>
                <c:pt idx="969">
                  <c:v>25</c:v>
                </c:pt>
                <c:pt idx="970">
                  <c:v>25</c:v>
                </c:pt>
                <c:pt idx="971">
                  <c:v>25</c:v>
                </c:pt>
                <c:pt idx="972">
                  <c:v>25</c:v>
                </c:pt>
                <c:pt idx="973">
                  <c:v>25</c:v>
                </c:pt>
                <c:pt idx="974">
                  <c:v>25</c:v>
                </c:pt>
                <c:pt idx="975">
                  <c:v>25</c:v>
                </c:pt>
                <c:pt idx="976">
                  <c:v>25</c:v>
                </c:pt>
                <c:pt idx="977">
                  <c:v>25</c:v>
                </c:pt>
                <c:pt idx="978">
                  <c:v>25</c:v>
                </c:pt>
                <c:pt idx="979">
                  <c:v>25</c:v>
                </c:pt>
                <c:pt idx="980">
                  <c:v>25</c:v>
                </c:pt>
                <c:pt idx="981">
                  <c:v>25</c:v>
                </c:pt>
                <c:pt idx="982">
                  <c:v>25</c:v>
                </c:pt>
                <c:pt idx="983">
                  <c:v>25</c:v>
                </c:pt>
                <c:pt idx="984">
                  <c:v>25</c:v>
                </c:pt>
                <c:pt idx="985">
                  <c:v>25</c:v>
                </c:pt>
                <c:pt idx="986">
                  <c:v>25</c:v>
                </c:pt>
                <c:pt idx="987">
                  <c:v>25</c:v>
                </c:pt>
                <c:pt idx="988">
                  <c:v>25</c:v>
                </c:pt>
                <c:pt idx="989">
                  <c:v>25</c:v>
                </c:pt>
                <c:pt idx="990">
                  <c:v>25</c:v>
                </c:pt>
                <c:pt idx="991">
                  <c:v>25</c:v>
                </c:pt>
                <c:pt idx="992">
                  <c:v>25</c:v>
                </c:pt>
                <c:pt idx="993">
                  <c:v>25</c:v>
                </c:pt>
                <c:pt idx="994">
                  <c:v>25</c:v>
                </c:pt>
                <c:pt idx="995">
                  <c:v>25</c:v>
                </c:pt>
                <c:pt idx="996">
                  <c:v>25</c:v>
                </c:pt>
                <c:pt idx="997">
                  <c:v>25</c:v>
                </c:pt>
                <c:pt idx="998">
                  <c:v>25</c:v>
                </c:pt>
                <c:pt idx="999">
                  <c:v>25</c:v>
                </c:pt>
                <c:pt idx="1000">
                  <c:v>25</c:v>
                </c:pt>
                <c:pt idx="1001">
                  <c:v>25</c:v>
                </c:pt>
                <c:pt idx="1002">
                  <c:v>25</c:v>
                </c:pt>
                <c:pt idx="1003">
                  <c:v>25</c:v>
                </c:pt>
                <c:pt idx="1004">
                  <c:v>25</c:v>
                </c:pt>
                <c:pt idx="1005">
                  <c:v>25</c:v>
                </c:pt>
                <c:pt idx="1006">
                  <c:v>25</c:v>
                </c:pt>
                <c:pt idx="1007">
                  <c:v>25</c:v>
                </c:pt>
                <c:pt idx="1008">
                  <c:v>25</c:v>
                </c:pt>
                <c:pt idx="1009">
                  <c:v>25</c:v>
                </c:pt>
                <c:pt idx="1010">
                  <c:v>25</c:v>
                </c:pt>
                <c:pt idx="1011">
                  <c:v>25</c:v>
                </c:pt>
                <c:pt idx="1012">
                  <c:v>25</c:v>
                </c:pt>
                <c:pt idx="1013">
                  <c:v>25</c:v>
                </c:pt>
                <c:pt idx="1014">
                  <c:v>25</c:v>
                </c:pt>
                <c:pt idx="1015">
                  <c:v>25</c:v>
                </c:pt>
                <c:pt idx="1016">
                  <c:v>25</c:v>
                </c:pt>
                <c:pt idx="1017">
                  <c:v>25</c:v>
                </c:pt>
                <c:pt idx="1018">
                  <c:v>25</c:v>
                </c:pt>
                <c:pt idx="1019">
                  <c:v>25</c:v>
                </c:pt>
                <c:pt idx="1020">
                  <c:v>25</c:v>
                </c:pt>
                <c:pt idx="1021">
                  <c:v>25</c:v>
                </c:pt>
                <c:pt idx="1022">
                  <c:v>25</c:v>
                </c:pt>
                <c:pt idx="1023">
                  <c:v>25</c:v>
                </c:pt>
                <c:pt idx="1024">
                  <c:v>25</c:v>
                </c:pt>
                <c:pt idx="1025">
                  <c:v>25</c:v>
                </c:pt>
                <c:pt idx="1026">
                  <c:v>25</c:v>
                </c:pt>
                <c:pt idx="1027">
                  <c:v>25</c:v>
                </c:pt>
                <c:pt idx="1028">
                  <c:v>25</c:v>
                </c:pt>
                <c:pt idx="1029">
                  <c:v>25</c:v>
                </c:pt>
                <c:pt idx="1030">
                  <c:v>25</c:v>
                </c:pt>
                <c:pt idx="1031">
                  <c:v>25</c:v>
                </c:pt>
                <c:pt idx="1032">
                  <c:v>25</c:v>
                </c:pt>
                <c:pt idx="1033">
                  <c:v>25</c:v>
                </c:pt>
                <c:pt idx="1034">
                  <c:v>25</c:v>
                </c:pt>
                <c:pt idx="1035">
                  <c:v>25</c:v>
                </c:pt>
                <c:pt idx="1036">
                  <c:v>25</c:v>
                </c:pt>
                <c:pt idx="1037">
                  <c:v>25</c:v>
                </c:pt>
                <c:pt idx="1038">
                  <c:v>25</c:v>
                </c:pt>
                <c:pt idx="1039">
                  <c:v>25</c:v>
                </c:pt>
                <c:pt idx="1040">
                  <c:v>25</c:v>
                </c:pt>
                <c:pt idx="1041">
                  <c:v>25</c:v>
                </c:pt>
                <c:pt idx="1042">
                  <c:v>25</c:v>
                </c:pt>
                <c:pt idx="1043">
                  <c:v>25</c:v>
                </c:pt>
                <c:pt idx="1044">
                  <c:v>25</c:v>
                </c:pt>
                <c:pt idx="1045">
                  <c:v>25</c:v>
                </c:pt>
                <c:pt idx="1046">
                  <c:v>25</c:v>
                </c:pt>
                <c:pt idx="1047">
                  <c:v>25</c:v>
                </c:pt>
                <c:pt idx="1048">
                  <c:v>25</c:v>
                </c:pt>
                <c:pt idx="1049">
                  <c:v>25</c:v>
                </c:pt>
                <c:pt idx="1050">
                  <c:v>25</c:v>
                </c:pt>
                <c:pt idx="1051">
                  <c:v>25</c:v>
                </c:pt>
                <c:pt idx="1052">
                  <c:v>25</c:v>
                </c:pt>
                <c:pt idx="1053">
                  <c:v>25</c:v>
                </c:pt>
              </c:numCache>
            </c:numRef>
          </c:xVal>
          <c:yVal>
            <c:numRef>
              <c:f>'Peak Payback Engine'!$X$10:$X$1063</c:f>
              <c:numCache>
                <c:formatCode>_(* #,##0.00_);_(* \(#,##0.00\);_(* "-"??_);_(@_)</c:formatCode>
                <c:ptCount val="1054"/>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pt idx="365">
                  <c:v>366</c:v>
                </c:pt>
                <c:pt idx="366">
                  <c:v>367</c:v>
                </c:pt>
                <c:pt idx="367">
                  <c:v>368</c:v>
                </c:pt>
                <c:pt idx="368">
                  <c:v>369</c:v>
                </c:pt>
                <c:pt idx="369">
                  <c:v>370</c:v>
                </c:pt>
                <c:pt idx="370">
                  <c:v>371</c:v>
                </c:pt>
                <c:pt idx="371">
                  <c:v>372</c:v>
                </c:pt>
                <c:pt idx="372">
                  <c:v>373</c:v>
                </c:pt>
                <c:pt idx="373">
                  <c:v>374</c:v>
                </c:pt>
                <c:pt idx="374">
                  <c:v>375</c:v>
                </c:pt>
                <c:pt idx="375">
                  <c:v>376</c:v>
                </c:pt>
                <c:pt idx="376">
                  <c:v>377</c:v>
                </c:pt>
                <c:pt idx="377">
                  <c:v>378</c:v>
                </c:pt>
                <c:pt idx="378">
                  <c:v>379</c:v>
                </c:pt>
                <c:pt idx="379">
                  <c:v>380</c:v>
                </c:pt>
                <c:pt idx="380">
                  <c:v>381</c:v>
                </c:pt>
                <c:pt idx="381">
                  <c:v>382</c:v>
                </c:pt>
                <c:pt idx="382">
                  <c:v>383</c:v>
                </c:pt>
                <c:pt idx="383">
                  <c:v>384</c:v>
                </c:pt>
                <c:pt idx="384">
                  <c:v>385</c:v>
                </c:pt>
                <c:pt idx="385">
                  <c:v>386</c:v>
                </c:pt>
                <c:pt idx="386">
                  <c:v>387</c:v>
                </c:pt>
                <c:pt idx="387">
                  <c:v>388</c:v>
                </c:pt>
                <c:pt idx="388">
                  <c:v>389</c:v>
                </c:pt>
                <c:pt idx="389">
                  <c:v>390</c:v>
                </c:pt>
                <c:pt idx="390">
                  <c:v>391</c:v>
                </c:pt>
                <c:pt idx="391">
                  <c:v>392</c:v>
                </c:pt>
                <c:pt idx="392">
                  <c:v>393</c:v>
                </c:pt>
                <c:pt idx="393">
                  <c:v>394</c:v>
                </c:pt>
                <c:pt idx="394">
                  <c:v>395</c:v>
                </c:pt>
                <c:pt idx="395">
                  <c:v>396</c:v>
                </c:pt>
                <c:pt idx="396">
                  <c:v>397</c:v>
                </c:pt>
                <c:pt idx="397">
                  <c:v>398</c:v>
                </c:pt>
                <c:pt idx="398">
                  <c:v>399</c:v>
                </c:pt>
                <c:pt idx="399">
                  <c:v>400</c:v>
                </c:pt>
                <c:pt idx="400">
                  <c:v>401</c:v>
                </c:pt>
                <c:pt idx="401">
                  <c:v>402</c:v>
                </c:pt>
                <c:pt idx="402">
                  <c:v>403</c:v>
                </c:pt>
                <c:pt idx="403">
                  <c:v>404</c:v>
                </c:pt>
                <c:pt idx="404">
                  <c:v>405</c:v>
                </c:pt>
                <c:pt idx="405">
                  <c:v>406</c:v>
                </c:pt>
                <c:pt idx="406">
                  <c:v>407</c:v>
                </c:pt>
                <c:pt idx="407">
                  <c:v>408</c:v>
                </c:pt>
                <c:pt idx="408">
                  <c:v>409</c:v>
                </c:pt>
                <c:pt idx="409">
                  <c:v>410</c:v>
                </c:pt>
                <c:pt idx="410">
                  <c:v>411</c:v>
                </c:pt>
                <c:pt idx="411">
                  <c:v>412</c:v>
                </c:pt>
                <c:pt idx="412">
                  <c:v>413</c:v>
                </c:pt>
                <c:pt idx="413">
                  <c:v>414</c:v>
                </c:pt>
                <c:pt idx="414">
                  <c:v>415</c:v>
                </c:pt>
                <c:pt idx="415">
                  <c:v>416</c:v>
                </c:pt>
                <c:pt idx="416">
                  <c:v>417</c:v>
                </c:pt>
                <c:pt idx="417">
                  <c:v>418</c:v>
                </c:pt>
                <c:pt idx="418">
                  <c:v>419</c:v>
                </c:pt>
                <c:pt idx="419">
                  <c:v>420</c:v>
                </c:pt>
                <c:pt idx="420">
                  <c:v>421</c:v>
                </c:pt>
                <c:pt idx="421">
                  <c:v>422</c:v>
                </c:pt>
                <c:pt idx="422">
                  <c:v>423</c:v>
                </c:pt>
                <c:pt idx="423">
                  <c:v>424</c:v>
                </c:pt>
                <c:pt idx="424">
                  <c:v>425</c:v>
                </c:pt>
                <c:pt idx="425">
                  <c:v>426</c:v>
                </c:pt>
                <c:pt idx="426">
                  <c:v>427</c:v>
                </c:pt>
                <c:pt idx="427">
                  <c:v>428</c:v>
                </c:pt>
                <c:pt idx="428">
                  <c:v>429</c:v>
                </c:pt>
                <c:pt idx="429">
                  <c:v>430</c:v>
                </c:pt>
                <c:pt idx="430">
                  <c:v>431</c:v>
                </c:pt>
                <c:pt idx="431">
                  <c:v>432</c:v>
                </c:pt>
                <c:pt idx="432">
                  <c:v>433</c:v>
                </c:pt>
                <c:pt idx="433">
                  <c:v>434</c:v>
                </c:pt>
                <c:pt idx="434">
                  <c:v>435</c:v>
                </c:pt>
                <c:pt idx="435">
                  <c:v>436</c:v>
                </c:pt>
                <c:pt idx="436">
                  <c:v>437</c:v>
                </c:pt>
                <c:pt idx="437">
                  <c:v>438</c:v>
                </c:pt>
                <c:pt idx="438">
                  <c:v>439</c:v>
                </c:pt>
                <c:pt idx="439">
                  <c:v>440</c:v>
                </c:pt>
                <c:pt idx="440">
                  <c:v>441</c:v>
                </c:pt>
                <c:pt idx="441">
                  <c:v>442</c:v>
                </c:pt>
                <c:pt idx="442">
                  <c:v>443</c:v>
                </c:pt>
                <c:pt idx="443">
                  <c:v>444</c:v>
                </c:pt>
                <c:pt idx="444">
                  <c:v>445</c:v>
                </c:pt>
                <c:pt idx="445">
                  <c:v>446</c:v>
                </c:pt>
                <c:pt idx="446">
                  <c:v>447</c:v>
                </c:pt>
                <c:pt idx="447">
                  <c:v>448</c:v>
                </c:pt>
                <c:pt idx="448">
                  <c:v>449</c:v>
                </c:pt>
                <c:pt idx="449">
                  <c:v>450</c:v>
                </c:pt>
                <c:pt idx="450">
                  <c:v>451</c:v>
                </c:pt>
                <c:pt idx="451">
                  <c:v>452</c:v>
                </c:pt>
                <c:pt idx="452">
                  <c:v>453</c:v>
                </c:pt>
                <c:pt idx="453">
                  <c:v>454</c:v>
                </c:pt>
                <c:pt idx="454">
                  <c:v>455</c:v>
                </c:pt>
                <c:pt idx="455">
                  <c:v>456</c:v>
                </c:pt>
                <c:pt idx="456">
                  <c:v>457</c:v>
                </c:pt>
                <c:pt idx="457">
                  <c:v>458</c:v>
                </c:pt>
                <c:pt idx="458">
                  <c:v>459</c:v>
                </c:pt>
                <c:pt idx="459">
                  <c:v>460</c:v>
                </c:pt>
                <c:pt idx="460">
                  <c:v>461</c:v>
                </c:pt>
                <c:pt idx="461">
                  <c:v>462</c:v>
                </c:pt>
                <c:pt idx="462">
                  <c:v>463</c:v>
                </c:pt>
                <c:pt idx="463">
                  <c:v>464</c:v>
                </c:pt>
                <c:pt idx="464">
                  <c:v>465</c:v>
                </c:pt>
                <c:pt idx="465">
                  <c:v>466</c:v>
                </c:pt>
                <c:pt idx="466">
                  <c:v>467</c:v>
                </c:pt>
                <c:pt idx="467">
                  <c:v>468</c:v>
                </c:pt>
                <c:pt idx="468">
                  <c:v>469</c:v>
                </c:pt>
                <c:pt idx="469">
                  <c:v>470</c:v>
                </c:pt>
                <c:pt idx="470">
                  <c:v>471</c:v>
                </c:pt>
                <c:pt idx="471">
                  <c:v>472</c:v>
                </c:pt>
                <c:pt idx="472">
                  <c:v>473</c:v>
                </c:pt>
                <c:pt idx="473">
                  <c:v>474</c:v>
                </c:pt>
                <c:pt idx="474">
                  <c:v>475</c:v>
                </c:pt>
                <c:pt idx="475">
                  <c:v>476</c:v>
                </c:pt>
                <c:pt idx="476">
                  <c:v>477</c:v>
                </c:pt>
                <c:pt idx="477">
                  <c:v>478</c:v>
                </c:pt>
                <c:pt idx="478">
                  <c:v>479</c:v>
                </c:pt>
                <c:pt idx="479">
                  <c:v>480</c:v>
                </c:pt>
                <c:pt idx="480">
                  <c:v>481</c:v>
                </c:pt>
                <c:pt idx="481">
                  <c:v>482</c:v>
                </c:pt>
                <c:pt idx="482">
                  <c:v>483</c:v>
                </c:pt>
                <c:pt idx="483">
                  <c:v>484</c:v>
                </c:pt>
                <c:pt idx="484">
                  <c:v>485</c:v>
                </c:pt>
                <c:pt idx="485">
                  <c:v>486</c:v>
                </c:pt>
                <c:pt idx="486">
                  <c:v>487</c:v>
                </c:pt>
                <c:pt idx="487">
                  <c:v>488</c:v>
                </c:pt>
                <c:pt idx="488">
                  <c:v>489</c:v>
                </c:pt>
                <c:pt idx="489">
                  <c:v>490</c:v>
                </c:pt>
                <c:pt idx="490">
                  <c:v>491</c:v>
                </c:pt>
                <c:pt idx="491">
                  <c:v>492</c:v>
                </c:pt>
                <c:pt idx="492">
                  <c:v>493</c:v>
                </c:pt>
                <c:pt idx="493">
                  <c:v>494</c:v>
                </c:pt>
                <c:pt idx="494">
                  <c:v>495</c:v>
                </c:pt>
                <c:pt idx="495">
                  <c:v>496</c:v>
                </c:pt>
                <c:pt idx="496">
                  <c:v>497</c:v>
                </c:pt>
                <c:pt idx="497">
                  <c:v>498</c:v>
                </c:pt>
                <c:pt idx="498">
                  <c:v>499</c:v>
                </c:pt>
                <c:pt idx="499">
                  <c:v>500</c:v>
                </c:pt>
                <c:pt idx="500">
                  <c:v>501</c:v>
                </c:pt>
                <c:pt idx="501">
                  <c:v>502</c:v>
                </c:pt>
                <c:pt idx="502">
                  <c:v>503</c:v>
                </c:pt>
                <c:pt idx="503">
                  <c:v>504</c:v>
                </c:pt>
                <c:pt idx="504">
                  <c:v>505</c:v>
                </c:pt>
                <c:pt idx="505">
                  <c:v>506</c:v>
                </c:pt>
                <c:pt idx="506">
                  <c:v>507</c:v>
                </c:pt>
                <c:pt idx="507">
                  <c:v>508</c:v>
                </c:pt>
                <c:pt idx="508">
                  <c:v>509</c:v>
                </c:pt>
                <c:pt idx="509">
                  <c:v>510</c:v>
                </c:pt>
                <c:pt idx="510">
                  <c:v>511</c:v>
                </c:pt>
                <c:pt idx="511">
                  <c:v>512</c:v>
                </c:pt>
                <c:pt idx="512">
                  <c:v>513</c:v>
                </c:pt>
                <c:pt idx="513">
                  <c:v>514</c:v>
                </c:pt>
                <c:pt idx="514">
                  <c:v>515</c:v>
                </c:pt>
                <c:pt idx="515">
                  <c:v>516</c:v>
                </c:pt>
                <c:pt idx="516">
                  <c:v>517</c:v>
                </c:pt>
                <c:pt idx="517">
                  <c:v>518</c:v>
                </c:pt>
                <c:pt idx="518">
                  <c:v>519</c:v>
                </c:pt>
                <c:pt idx="519">
                  <c:v>520</c:v>
                </c:pt>
                <c:pt idx="520">
                  <c:v>521</c:v>
                </c:pt>
                <c:pt idx="521">
                  <c:v>522</c:v>
                </c:pt>
                <c:pt idx="522">
                  <c:v>523</c:v>
                </c:pt>
                <c:pt idx="523">
                  <c:v>524</c:v>
                </c:pt>
                <c:pt idx="524">
                  <c:v>525</c:v>
                </c:pt>
                <c:pt idx="525">
                  <c:v>526</c:v>
                </c:pt>
                <c:pt idx="526">
                  <c:v>527</c:v>
                </c:pt>
                <c:pt idx="527">
                  <c:v>528</c:v>
                </c:pt>
                <c:pt idx="528">
                  <c:v>529</c:v>
                </c:pt>
                <c:pt idx="529">
                  <c:v>530</c:v>
                </c:pt>
                <c:pt idx="530">
                  <c:v>531</c:v>
                </c:pt>
                <c:pt idx="531">
                  <c:v>532</c:v>
                </c:pt>
                <c:pt idx="532">
                  <c:v>533</c:v>
                </c:pt>
                <c:pt idx="533">
                  <c:v>534</c:v>
                </c:pt>
                <c:pt idx="534">
                  <c:v>535</c:v>
                </c:pt>
                <c:pt idx="535">
                  <c:v>536</c:v>
                </c:pt>
                <c:pt idx="536">
                  <c:v>537</c:v>
                </c:pt>
                <c:pt idx="537">
                  <c:v>538</c:v>
                </c:pt>
                <c:pt idx="538">
                  <c:v>539</c:v>
                </c:pt>
                <c:pt idx="539">
                  <c:v>540</c:v>
                </c:pt>
                <c:pt idx="540">
                  <c:v>541</c:v>
                </c:pt>
                <c:pt idx="541">
                  <c:v>542</c:v>
                </c:pt>
                <c:pt idx="542">
                  <c:v>543</c:v>
                </c:pt>
                <c:pt idx="543">
                  <c:v>544</c:v>
                </c:pt>
                <c:pt idx="544">
                  <c:v>545</c:v>
                </c:pt>
                <c:pt idx="545">
                  <c:v>546</c:v>
                </c:pt>
                <c:pt idx="546">
                  <c:v>547</c:v>
                </c:pt>
                <c:pt idx="547">
                  <c:v>548</c:v>
                </c:pt>
                <c:pt idx="548">
                  <c:v>549</c:v>
                </c:pt>
                <c:pt idx="549">
                  <c:v>550</c:v>
                </c:pt>
                <c:pt idx="550">
                  <c:v>551</c:v>
                </c:pt>
                <c:pt idx="551">
                  <c:v>552</c:v>
                </c:pt>
                <c:pt idx="552">
                  <c:v>553</c:v>
                </c:pt>
                <c:pt idx="553">
                  <c:v>554</c:v>
                </c:pt>
                <c:pt idx="554">
                  <c:v>555</c:v>
                </c:pt>
                <c:pt idx="555">
                  <c:v>556</c:v>
                </c:pt>
                <c:pt idx="556">
                  <c:v>557</c:v>
                </c:pt>
                <c:pt idx="557">
                  <c:v>558</c:v>
                </c:pt>
                <c:pt idx="558">
                  <c:v>559</c:v>
                </c:pt>
                <c:pt idx="559">
                  <c:v>560</c:v>
                </c:pt>
                <c:pt idx="560">
                  <c:v>561</c:v>
                </c:pt>
                <c:pt idx="561">
                  <c:v>562</c:v>
                </c:pt>
                <c:pt idx="562">
                  <c:v>563</c:v>
                </c:pt>
                <c:pt idx="563">
                  <c:v>564</c:v>
                </c:pt>
                <c:pt idx="564">
                  <c:v>565</c:v>
                </c:pt>
                <c:pt idx="565">
                  <c:v>566</c:v>
                </c:pt>
                <c:pt idx="566">
                  <c:v>567</c:v>
                </c:pt>
                <c:pt idx="567">
                  <c:v>568</c:v>
                </c:pt>
                <c:pt idx="568">
                  <c:v>569</c:v>
                </c:pt>
                <c:pt idx="569">
                  <c:v>570</c:v>
                </c:pt>
                <c:pt idx="570">
                  <c:v>571</c:v>
                </c:pt>
                <c:pt idx="571">
                  <c:v>572</c:v>
                </c:pt>
                <c:pt idx="572">
                  <c:v>573</c:v>
                </c:pt>
                <c:pt idx="573">
                  <c:v>574</c:v>
                </c:pt>
                <c:pt idx="574">
                  <c:v>575</c:v>
                </c:pt>
                <c:pt idx="575">
                  <c:v>576</c:v>
                </c:pt>
                <c:pt idx="576">
                  <c:v>577</c:v>
                </c:pt>
                <c:pt idx="577">
                  <c:v>578</c:v>
                </c:pt>
                <c:pt idx="578">
                  <c:v>579</c:v>
                </c:pt>
                <c:pt idx="579">
                  <c:v>580</c:v>
                </c:pt>
                <c:pt idx="580">
                  <c:v>581</c:v>
                </c:pt>
                <c:pt idx="581">
                  <c:v>582</c:v>
                </c:pt>
                <c:pt idx="582">
                  <c:v>583</c:v>
                </c:pt>
                <c:pt idx="583">
                  <c:v>584</c:v>
                </c:pt>
                <c:pt idx="584">
                  <c:v>585</c:v>
                </c:pt>
                <c:pt idx="585">
                  <c:v>586</c:v>
                </c:pt>
                <c:pt idx="586">
                  <c:v>587</c:v>
                </c:pt>
                <c:pt idx="587">
                  <c:v>588</c:v>
                </c:pt>
                <c:pt idx="588">
                  <c:v>589</c:v>
                </c:pt>
                <c:pt idx="589">
                  <c:v>590</c:v>
                </c:pt>
                <c:pt idx="590">
                  <c:v>591</c:v>
                </c:pt>
                <c:pt idx="591">
                  <c:v>592</c:v>
                </c:pt>
                <c:pt idx="592">
                  <c:v>593</c:v>
                </c:pt>
                <c:pt idx="593">
                  <c:v>594</c:v>
                </c:pt>
                <c:pt idx="594">
                  <c:v>595</c:v>
                </c:pt>
                <c:pt idx="595">
                  <c:v>596</c:v>
                </c:pt>
                <c:pt idx="596">
                  <c:v>597</c:v>
                </c:pt>
                <c:pt idx="597">
                  <c:v>598</c:v>
                </c:pt>
                <c:pt idx="598">
                  <c:v>599</c:v>
                </c:pt>
                <c:pt idx="599">
                  <c:v>600</c:v>
                </c:pt>
                <c:pt idx="600">
                  <c:v>601</c:v>
                </c:pt>
                <c:pt idx="601">
                  <c:v>602</c:v>
                </c:pt>
                <c:pt idx="602">
                  <c:v>603</c:v>
                </c:pt>
                <c:pt idx="603">
                  <c:v>604</c:v>
                </c:pt>
                <c:pt idx="604">
                  <c:v>605</c:v>
                </c:pt>
                <c:pt idx="605">
                  <c:v>606</c:v>
                </c:pt>
                <c:pt idx="606">
                  <c:v>607</c:v>
                </c:pt>
                <c:pt idx="607">
                  <c:v>608</c:v>
                </c:pt>
                <c:pt idx="608">
                  <c:v>609</c:v>
                </c:pt>
                <c:pt idx="609">
                  <c:v>610</c:v>
                </c:pt>
                <c:pt idx="610">
                  <c:v>611</c:v>
                </c:pt>
                <c:pt idx="611">
                  <c:v>612</c:v>
                </c:pt>
                <c:pt idx="612">
                  <c:v>613</c:v>
                </c:pt>
                <c:pt idx="613">
                  <c:v>614</c:v>
                </c:pt>
                <c:pt idx="614">
                  <c:v>615</c:v>
                </c:pt>
                <c:pt idx="615">
                  <c:v>616</c:v>
                </c:pt>
                <c:pt idx="616">
                  <c:v>617</c:v>
                </c:pt>
                <c:pt idx="617">
                  <c:v>618</c:v>
                </c:pt>
                <c:pt idx="618">
                  <c:v>619</c:v>
                </c:pt>
                <c:pt idx="619">
                  <c:v>620</c:v>
                </c:pt>
                <c:pt idx="620">
                  <c:v>621</c:v>
                </c:pt>
                <c:pt idx="621">
                  <c:v>622</c:v>
                </c:pt>
                <c:pt idx="622">
                  <c:v>623</c:v>
                </c:pt>
                <c:pt idx="623">
                  <c:v>624</c:v>
                </c:pt>
                <c:pt idx="624">
                  <c:v>625</c:v>
                </c:pt>
                <c:pt idx="625">
                  <c:v>626</c:v>
                </c:pt>
                <c:pt idx="626">
                  <c:v>627</c:v>
                </c:pt>
                <c:pt idx="627">
                  <c:v>628</c:v>
                </c:pt>
                <c:pt idx="628">
                  <c:v>629</c:v>
                </c:pt>
                <c:pt idx="629">
                  <c:v>630</c:v>
                </c:pt>
                <c:pt idx="630">
                  <c:v>631</c:v>
                </c:pt>
                <c:pt idx="631">
                  <c:v>632</c:v>
                </c:pt>
                <c:pt idx="632">
                  <c:v>633</c:v>
                </c:pt>
                <c:pt idx="633">
                  <c:v>634</c:v>
                </c:pt>
                <c:pt idx="634">
                  <c:v>635</c:v>
                </c:pt>
                <c:pt idx="635">
                  <c:v>636</c:v>
                </c:pt>
                <c:pt idx="636">
                  <c:v>637</c:v>
                </c:pt>
                <c:pt idx="637">
                  <c:v>638</c:v>
                </c:pt>
                <c:pt idx="638">
                  <c:v>639</c:v>
                </c:pt>
                <c:pt idx="639">
                  <c:v>640</c:v>
                </c:pt>
                <c:pt idx="640">
                  <c:v>641</c:v>
                </c:pt>
                <c:pt idx="641">
                  <c:v>642</c:v>
                </c:pt>
                <c:pt idx="642">
                  <c:v>643</c:v>
                </c:pt>
                <c:pt idx="643">
                  <c:v>644</c:v>
                </c:pt>
                <c:pt idx="644">
                  <c:v>645</c:v>
                </c:pt>
                <c:pt idx="645">
                  <c:v>646</c:v>
                </c:pt>
                <c:pt idx="646">
                  <c:v>647</c:v>
                </c:pt>
                <c:pt idx="647">
                  <c:v>648</c:v>
                </c:pt>
                <c:pt idx="648">
                  <c:v>649</c:v>
                </c:pt>
                <c:pt idx="649">
                  <c:v>650</c:v>
                </c:pt>
                <c:pt idx="650">
                  <c:v>651</c:v>
                </c:pt>
                <c:pt idx="651">
                  <c:v>652</c:v>
                </c:pt>
                <c:pt idx="652">
                  <c:v>653</c:v>
                </c:pt>
                <c:pt idx="653">
                  <c:v>654</c:v>
                </c:pt>
                <c:pt idx="654">
                  <c:v>655</c:v>
                </c:pt>
                <c:pt idx="655">
                  <c:v>656</c:v>
                </c:pt>
                <c:pt idx="656">
                  <c:v>657</c:v>
                </c:pt>
                <c:pt idx="657">
                  <c:v>658</c:v>
                </c:pt>
                <c:pt idx="658">
                  <c:v>659</c:v>
                </c:pt>
                <c:pt idx="659">
                  <c:v>660</c:v>
                </c:pt>
                <c:pt idx="660">
                  <c:v>661</c:v>
                </c:pt>
                <c:pt idx="661">
                  <c:v>662</c:v>
                </c:pt>
                <c:pt idx="662">
                  <c:v>663</c:v>
                </c:pt>
                <c:pt idx="663">
                  <c:v>664</c:v>
                </c:pt>
                <c:pt idx="664">
                  <c:v>665</c:v>
                </c:pt>
                <c:pt idx="665">
                  <c:v>666</c:v>
                </c:pt>
                <c:pt idx="666">
                  <c:v>667</c:v>
                </c:pt>
                <c:pt idx="667">
                  <c:v>668</c:v>
                </c:pt>
                <c:pt idx="668">
                  <c:v>669</c:v>
                </c:pt>
                <c:pt idx="669">
                  <c:v>670</c:v>
                </c:pt>
                <c:pt idx="670">
                  <c:v>671</c:v>
                </c:pt>
                <c:pt idx="671">
                  <c:v>672</c:v>
                </c:pt>
                <c:pt idx="672">
                  <c:v>673</c:v>
                </c:pt>
                <c:pt idx="673">
                  <c:v>674</c:v>
                </c:pt>
                <c:pt idx="674">
                  <c:v>675</c:v>
                </c:pt>
                <c:pt idx="675">
                  <c:v>676</c:v>
                </c:pt>
                <c:pt idx="676">
                  <c:v>677</c:v>
                </c:pt>
                <c:pt idx="677">
                  <c:v>678</c:v>
                </c:pt>
                <c:pt idx="678">
                  <c:v>679</c:v>
                </c:pt>
                <c:pt idx="679">
                  <c:v>680</c:v>
                </c:pt>
                <c:pt idx="680">
                  <c:v>681</c:v>
                </c:pt>
                <c:pt idx="681">
                  <c:v>682</c:v>
                </c:pt>
                <c:pt idx="682">
                  <c:v>683</c:v>
                </c:pt>
                <c:pt idx="683">
                  <c:v>684</c:v>
                </c:pt>
                <c:pt idx="684">
                  <c:v>685</c:v>
                </c:pt>
                <c:pt idx="685">
                  <c:v>686</c:v>
                </c:pt>
                <c:pt idx="686">
                  <c:v>687</c:v>
                </c:pt>
                <c:pt idx="687">
                  <c:v>688</c:v>
                </c:pt>
                <c:pt idx="688">
                  <c:v>689</c:v>
                </c:pt>
                <c:pt idx="689">
                  <c:v>690</c:v>
                </c:pt>
                <c:pt idx="690">
                  <c:v>691</c:v>
                </c:pt>
                <c:pt idx="691">
                  <c:v>692</c:v>
                </c:pt>
                <c:pt idx="692">
                  <c:v>693</c:v>
                </c:pt>
                <c:pt idx="693">
                  <c:v>694</c:v>
                </c:pt>
                <c:pt idx="694">
                  <c:v>695</c:v>
                </c:pt>
                <c:pt idx="695">
                  <c:v>696</c:v>
                </c:pt>
                <c:pt idx="696">
                  <c:v>697</c:v>
                </c:pt>
                <c:pt idx="697">
                  <c:v>698</c:v>
                </c:pt>
                <c:pt idx="698">
                  <c:v>699</c:v>
                </c:pt>
                <c:pt idx="699">
                  <c:v>700</c:v>
                </c:pt>
                <c:pt idx="700">
                  <c:v>701</c:v>
                </c:pt>
                <c:pt idx="701">
                  <c:v>702</c:v>
                </c:pt>
                <c:pt idx="702">
                  <c:v>703</c:v>
                </c:pt>
                <c:pt idx="703">
                  <c:v>704</c:v>
                </c:pt>
                <c:pt idx="704">
                  <c:v>705</c:v>
                </c:pt>
                <c:pt idx="705">
                  <c:v>706</c:v>
                </c:pt>
                <c:pt idx="706">
                  <c:v>707</c:v>
                </c:pt>
                <c:pt idx="707">
                  <c:v>708</c:v>
                </c:pt>
                <c:pt idx="708">
                  <c:v>709</c:v>
                </c:pt>
                <c:pt idx="709">
                  <c:v>710</c:v>
                </c:pt>
                <c:pt idx="710">
                  <c:v>711</c:v>
                </c:pt>
                <c:pt idx="711">
                  <c:v>712</c:v>
                </c:pt>
                <c:pt idx="712">
                  <c:v>713</c:v>
                </c:pt>
                <c:pt idx="713">
                  <c:v>714</c:v>
                </c:pt>
                <c:pt idx="714">
                  <c:v>715</c:v>
                </c:pt>
                <c:pt idx="715">
                  <c:v>716</c:v>
                </c:pt>
                <c:pt idx="716">
                  <c:v>717</c:v>
                </c:pt>
                <c:pt idx="717">
                  <c:v>718</c:v>
                </c:pt>
                <c:pt idx="718">
                  <c:v>719</c:v>
                </c:pt>
                <c:pt idx="719">
                  <c:v>720</c:v>
                </c:pt>
                <c:pt idx="720">
                  <c:v>721</c:v>
                </c:pt>
                <c:pt idx="721">
                  <c:v>722</c:v>
                </c:pt>
                <c:pt idx="722">
                  <c:v>723</c:v>
                </c:pt>
                <c:pt idx="723">
                  <c:v>724</c:v>
                </c:pt>
                <c:pt idx="724">
                  <c:v>725</c:v>
                </c:pt>
                <c:pt idx="725">
                  <c:v>726</c:v>
                </c:pt>
                <c:pt idx="726">
                  <c:v>727</c:v>
                </c:pt>
                <c:pt idx="727">
                  <c:v>728</c:v>
                </c:pt>
                <c:pt idx="728">
                  <c:v>729</c:v>
                </c:pt>
                <c:pt idx="729">
                  <c:v>730</c:v>
                </c:pt>
                <c:pt idx="730">
                  <c:v>731</c:v>
                </c:pt>
                <c:pt idx="731">
                  <c:v>732</c:v>
                </c:pt>
                <c:pt idx="732">
                  <c:v>733</c:v>
                </c:pt>
                <c:pt idx="733">
                  <c:v>734</c:v>
                </c:pt>
                <c:pt idx="734">
                  <c:v>735</c:v>
                </c:pt>
                <c:pt idx="735">
                  <c:v>736</c:v>
                </c:pt>
                <c:pt idx="736">
                  <c:v>737</c:v>
                </c:pt>
                <c:pt idx="737">
                  <c:v>738</c:v>
                </c:pt>
                <c:pt idx="738">
                  <c:v>739</c:v>
                </c:pt>
                <c:pt idx="739">
                  <c:v>740</c:v>
                </c:pt>
                <c:pt idx="740">
                  <c:v>741</c:v>
                </c:pt>
                <c:pt idx="741">
                  <c:v>742</c:v>
                </c:pt>
                <c:pt idx="742">
                  <c:v>743</c:v>
                </c:pt>
                <c:pt idx="743">
                  <c:v>744</c:v>
                </c:pt>
                <c:pt idx="744">
                  <c:v>745</c:v>
                </c:pt>
                <c:pt idx="745">
                  <c:v>746</c:v>
                </c:pt>
                <c:pt idx="746">
                  <c:v>747</c:v>
                </c:pt>
                <c:pt idx="747">
                  <c:v>748</c:v>
                </c:pt>
                <c:pt idx="748">
                  <c:v>749</c:v>
                </c:pt>
                <c:pt idx="749">
                  <c:v>750</c:v>
                </c:pt>
                <c:pt idx="750">
                  <c:v>751</c:v>
                </c:pt>
                <c:pt idx="751">
                  <c:v>752</c:v>
                </c:pt>
                <c:pt idx="752">
                  <c:v>753</c:v>
                </c:pt>
                <c:pt idx="753">
                  <c:v>754</c:v>
                </c:pt>
                <c:pt idx="754">
                  <c:v>755</c:v>
                </c:pt>
                <c:pt idx="755">
                  <c:v>756</c:v>
                </c:pt>
                <c:pt idx="756">
                  <c:v>757</c:v>
                </c:pt>
                <c:pt idx="757">
                  <c:v>758</c:v>
                </c:pt>
                <c:pt idx="758">
                  <c:v>759</c:v>
                </c:pt>
                <c:pt idx="759">
                  <c:v>760</c:v>
                </c:pt>
                <c:pt idx="760">
                  <c:v>761</c:v>
                </c:pt>
                <c:pt idx="761">
                  <c:v>762</c:v>
                </c:pt>
                <c:pt idx="762">
                  <c:v>763</c:v>
                </c:pt>
                <c:pt idx="763">
                  <c:v>764</c:v>
                </c:pt>
                <c:pt idx="764">
                  <c:v>765</c:v>
                </c:pt>
                <c:pt idx="765">
                  <c:v>766</c:v>
                </c:pt>
                <c:pt idx="766">
                  <c:v>767</c:v>
                </c:pt>
                <c:pt idx="767">
                  <c:v>768</c:v>
                </c:pt>
                <c:pt idx="768">
                  <c:v>769</c:v>
                </c:pt>
                <c:pt idx="769">
                  <c:v>770</c:v>
                </c:pt>
                <c:pt idx="770">
                  <c:v>771</c:v>
                </c:pt>
                <c:pt idx="771">
                  <c:v>772</c:v>
                </c:pt>
                <c:pt idx="772">
                  <c:v>773</c:v>
                </c:pt>
                <c:pt idx="773">
                  <c:v>774</c:v>
                </c:pt>
                <c:pt idx="774">
                  <c:v>775</c:v>
                </c:pt>
                <c:pt idx="775">
                  <c:v>776</c:v>
                </c:pt>
                <c:pt idx="776">
                  <c:v>777</c:v>
                </c:pt>
                <c:pt idx="777">
                  <c:v>778</c:v>
                </c:pt>
                <c:pt idx="778">
                  <c:v>779</c:v>
                </c:pt>
                <c:pt idx="779">
                  <c:v>780</c:v>
                </c:pt>
                <c:pt idx="780">
                  <c:v>781</c:v>
                </c:pt>
                <c:pt idx="781">
                  <c:v>782</c:v>
                </c:pt>
                <c:pt idx="782">
                  <c:v>783</c:v>
                </c:pt>
                <c:pt idx="783">
                  <c:v>784</c:v>
                </c:pt>
                <c:pt idx="784">
                  <c:v>785</c:v>
                </c:pt>
                <c:pt idx="785">
                  <c:v>786</c:v>
                </c:pt>
                <c:pt idx="786">
                  <c:v>787</c:v>
                </c:pt>
                <c:pt idx="787">
                  <c:v>788</c:v>
                </c:pt>
                <c:pt idx="788">
                  <c:v>789</c:v>
                </c:pt>
                <c:pt idx="789">
                  <c:v>790</c:v>
                </c:pt>
                <c:pt idx="790">
                  <c:v>791</c:v>
                </c:pt>
                <c:pt idx="791">
                  <c:v>792</c:v>
                </c:pt>
                <c:pt idx="792">
                  <c:v>793</c:v>
                </c:pt>
                <c:pt idx="793">
                  <c:v>794</c:v>
                </c:pt>
                <c:pt idx="794">
                  <c:v>795</c:v>
                </c:pt>
                <c:pt idx="795">
                  <c:v>796</c:v>
                </c:pt>
                <c:pt idx="796">
                  <c:v>797</c:v>
                </c:pt>
                <c:pt idx="797">
                  <c:v>798</c:v>
                </c:pt>
                <c:pt idx="798">
                  <c:v>799</c:v>
                </c:pt>
                <c:pt idx="799">
                  <c:v>800</c:v>
                </c:pt>
                <c:pt idx="800">
                  <c:v>801</c:v>
                </c:pt>
                <c:pt idx="801">
                  <c:v>802</c:v>
                </c:pt>
                <c:pt idx="802">
                  <c:v>803</c:v>
                </c:pt>
                <c:pt idx="803">
                  <c:v>804</c:v>
                </c:pt>
                <c:pt idx="804">
                  <c:v>805</c:v>
                </c:pt>
                <c:pt idx="805">
                  <c:v>806</c:v>
                </c:pt>
                <c:pt idx="806">
                  <c:v>807</c:v>
                </c:pt>
                <c:pt idx="807">
                  <c:v>808</c:v>
                </c:pt>
                <c:pt idx="808">
                  <c:v>809</c:v>
                </c:pt>
                <c:pt idx="809">
                  <c:v>810</c:v>
                </c:pt>
                <c:pt idx="810">
                  <c:v>811</c:v>
                </c:pt>
                <c:pt idx="811">
                  <c:v>812</c:v>
                </c:pt>
                <c:pt idx="812">
                  <c:v>813</c:v>
                </c:pt>
                <c:pt idx="813">
                  <c:v>814</c:v>
                </c:pt>
                <c:pt idx="814">
                  <c:v>815</c:v>
                </c:pt>
                <c:pt idx="815">
                  <c:v>816</c:v>
                </c:pt>
                <c:pt idx="816">
                  <c:v>817</c:v>
                </c:pt>
                <c:pt idx="817">
                  <c:v>818</c:v>
                </c:pt>
                <c:pt idx="818">
                  <c:v>819</c:v>
                </c:pt>
                <c:pt idx="819">
                  <c:v>820</c:v>
                </c:pt>
                <c:pt idx="820">
                  <c:v>821</c:v>
                </c:pt>
                <c:pt idx="821">
                  <c:v>822</c:v>
                </c:pt>
                <c:pt idx="822">
                  <c:v>823</c:v>
                </c:pt>
                <c:pt idx="823">
                  <c:v>824</c:v>
                </c:pt>
                <c:pt idx="824">
                  <c:v>825</c:v>
                </c:pt>
                <c:pt idx="825">
                  <c:v>826</c:v>
                </c:pt>
                <c:pt idx="826">
                  <c:v>827</c:v>
                </c:pt>
                <c:pt idx="827">
                  <c:v>828</c:v>
                </c:pt>
                <c:pt idx="828">
                  <c:v>829</c:v>
                </c:pt>
                <c:pt idx="829">
                  <c:v>830</c:v>
                </c:pt>
                <c:pt idx="830">
                  <c:v>831</c:v>
                </c:pt>
                <c:pt idx="831">
                  <c:v>832</c:v>
                </c:pt>
                <c:pt idx="832">
                  <c:v>833</c:v>
                </c:pt>
                <c:pt idx="833">
                  <c:v>834</c:v>
                </c:pt>
                <c:pt idx="834">
                  <c:v>835</c:v>
                </c:pt>
                <c:pt idx="835">
                  <c:v>836</c:v>
                </c:pt>
                <c:pt idx="836">
                  <c:v>837</c:v>
                </c:pt>
                <c:pt idx="837">
                  <c:v>838</c:v>
                </c:pt>
                <c:pt idx="838">
                  <c:v>839</c:v>
                </c:pt>
                <c:pt idx="839">
                  <c:v>840</c:v>
                </c:pt>
                <c:pt idx="840">
                  <c:v>841</c:v>
                </c:pt>
                <c:pt idx="841">
                  <c:v>842</c:v>
                </c:pt>
                <c:pt idx="842">
                  <c:v>843</c:v>
                </c:pt>
                <c:pt idx="843">
                  <c:v>844</c:v>
                </c:pt>
                <c:pt idx="844">
                  <c:v>845</c:v>
                </c:pt>
                <c:pt idx="845">
                  <c:v>846</c:v>
                </c:pt>
                <c:pt idx="846">
                  <c:v>847</c:v>
                </c:pt>
                <c:pt idx="847">
                  <c:v>848</c:v>
                </c:pt>
                <c:pt idx="848">
                  <c:v>849</c:v>
                </c:pt>
                <c:pt idx="849">
                  <c:v>850</c:v>
                </c:pt>
                <c:pt idx="850">
                  <c:v>851</c:v>
                </c:pt>
                <c:pt idx="851">
                  <c:v>852</c:v>
                </c:pt>
                <c:pt idx="852">
                  <c:v>853</c:v>
                </c:pt>
                <c:pt idx="853">
                  <c:v>854</c:v>
                </c:pt>
                <c:pt idx="854">
                  <c:v>855</c:v>
                </c:pt>
                <c:pt idx="855">
                  <c:v>856</c:v>
                </c:pt>
                <c:pt idx="856">
                  <c:v>857</c:v>
                </c:pt>
                <c:pt idx="857">
                  <c:v>858</c:v>
                </c:pt>
                <c:pt idx="858">
                  <c:v>859</c:v>
                </c:pt>
                <c:pt idx="859">
                  <c:v>860</c:v>
                </c:pt>
                <c:pt idx="860">
                  <c:v>861</c:v>
                </c:pt>
                <c:pt idx="861">
                  <c:v>862</c:v>
                </c:pt>
                <c:pt idx="862">
                  <c:v>863</c:v>
                </c:pt>
                <c:pt idx="863">
                  <c:v>864</c:v>
                </c:pt>
                <c:pt idx="864">
                  <c:v>865</c:v>
                </c:pt>
                <c:pt idx="865">
                  <c:v>866</c:v>
                </c:pt>
                <c:pt idx="866">
                  <c:v>867</c:v>
                </c:pt>
                <c:pt idx="867">
                  <c:v>868</c:v>
                </c:pt>
                <c:pt idx="868">
                  <c:v>869</c:v>
                </c:pt>
                <c:pt idx="869">
                  <c:v>870</c:v>
                </c:pt>
                <c:pt idx="870">
                  <c:v>871</c:v>
                </c:pt>
                <c:pt idx="871">
                  <c:v>872</c:v>
                </c:pt>
                <c:pt idx="872">
                  <c:v>873</c:v>
                </c:pt>
                <c:pt idx="873">
                  <c:v>874</c:v>
                </c:pt>
                <c:pt idx="874">
                  <c:v>875</c:v>
                </c:pt>
                <c:pt idx="875">
                  <c:v>876</c:v>
                </c:pt>
                <c:pt idx="876">
                  <c:v>877</c:v>
                </c:pt>
                <c:pt idx="877">
                  <c:v>878</c:v>
                </c:pt>
                <c:pt idx="878">
                  <c:v>879</c:v>
                </c:pt>
                <c:pt idx="879">
                  <c:v>880</c:v>
                </c:pt>
                <c:pt idx="880">
                  <c:v>881</c:v>
                </c:pt>
                <c:pt idx="881">
                  <c:v>882</c:v>
                </c:pt>
                <c:pt idx="882">
                  <c:v>883</c:v>
                </c:pt>
                <c:pt idx="883">
                  <c:v>884</c:v>
                </c:pt>
                <c:pt idx="884">
                  <c:v>885</c:v>
                </c:pt>
                <c:pt idx="885">
                  <c:v>886</c:v>
                </c:pt>
                <c:pt idx="886">
                  <c:v>887</c:v>
                </c:pt>
                <c:pt idx="887">
                  <c:v>888</c:v>
                </c:pt>
                <c:pt idx="888">
                  <c:v>889</c:v>
                </c:pt>
                <c:pt idx="889">
                  <c:v>890</c:v>
                </c:pt>
                <c:pt idx="890">
                  <c:v>891</c:v>
                </c:pt>
                <c:pt idx="891">
                  <c:v>892</c:v>
                </c:pt>
                <c:pt idx="892">
                  <c:v>893</c:v>
                </c:pt>
                <c:pt idx="893">
                  <c:v>894</c:v>
                </c:pt>
                <c:pt idx="894">
                  <c:v>895</c:v>
                </c:pt>
                <c:pt idx="895">
                  <c:v>896</c:v>
                </c:pt>
                <c:pt idx="896">
                  <c:v>897</c:v>
                </c:pt>
                <c:pt idx="897">
                  <c:v>898</c:v>
                </c:pt>
                <c:pt idx="898">
                  <c:v>899</c:v>
                </c:pt>
                <c:pt idx="899">
                  <c:v>900</c:v>
                </c:pt>
                <c:pt idx="900">
                  <c:v>901</c:v>
                </c:pt>
                <c:pt idx="901">
                  <c:v>902</c:v>
                </c:pt>
                <c:pt idx="902">
                  <c:v>903</c:v>
                </c:pt>
                <c:pt idx="903">
                  <c:v>904</c:v>
                </c:pt>
                <c:pt idx="904">
                  <c:v>905</c:v>
                </c:pt>
                <c:pt idx="905">
                  <c:v>906</c:v>
                </c:pt>
                <c:pt idx="906">
                  <c:v>907</c:v>
                </c:pt>
                <c:pt idx="907">
                  <c:v>908</c:v>
                </c:pt>
                <c:pt idx="908">
                  <c:v>909</c:v>
                </c:pt>
                <c:pt idx="909">
                  <c:v>910</c:v>
                </c:pt>
                <c:pt idx="910">
                  <c:v>911</c:v>
                </c:pt>
                <c:pt idx="911">
                  <c:v>912</c:v>
                </c:pt>
                <c:pt idx="912">
                  <c:v>913</c:v>
                </c:pt>
                <c:pt idx="913">
                  <c:v>914</c:v>
                </c:pt>
                <c:pt idx="914">
                  <c:v>915</c:v>
                </c:pt>
                <c:pt idx="915">
                  <c:v>916</c:v>
                </c:pt>
                <c:pt idx="916">
                  <c:v>917</c:v>
                </c:pt>
                <c:pt idx="917">
                  <c:v>918</c:v>
                </c:pt>
                <c:pt idx="918">
                  <c:v>919</c:v>
                </c:pt>
                <c:pt idx="919">
                  <c:v>920</c:v>
                </c:pt>
                <c:pt idx="920">
                  <c:v>921</c:v>
                </c:pt>
                <c:pt idx="921">
                  <c:v>922</c:v>
                </c:pt>
                <c:pt idx="922">
                  <c:v>923</c:v>
                </c:pt>
                <c:pt idx="923">
                  <c:v>924</c:v>
                </c:pt>
                <c:pt idx="924">
                  <c:v>925</c:v>
                </c:pt>
                <c:pt idx="925">
                  <c:v>926</c:v>
                </c:pt>
                <c:pt idx="926">
                  <c:v>927</c:v>
                </c:pt>
                <c:pt idx="927">
                  <c:v>928</c:v>
                </c:pt>
                <c:pt idx="928">
                  <c:v>929</c:v>
                </c:pt>
                <c:pt idx="929">
                  <c:v>930</c:v>
                </c:pt>
                <c:pt idx="930">
                  <c:v>931</c:v>
                </c:pt>
                <c:pt idx="931">
                  <c:v>932</c:v>
                </c:pt>
                <c:pt idx="932">
                  <c:v>933</c:v>
                </c:pt>
                <c:pt idx="933">
                  <c:v>934</c:v>
                </c:pt>
                <c:pt idx="934">
                  <c:v>935</c:v>
                </c:pt>
                <c:pt idx="935">
                  <c:v>936</c:v>
                </c:pt>
                <c:pt idx="936">
                  <c:v>937</c:v>
                </c:pt>
                <c:pt idx="937">
                  <c:v>938</c:v>
                </c:pt>
                <c:pt idx="938">
                  <c:v>939</c:v>
                </c:pt>
                <c:pt idx="939">
                  <c:v>940</c:v>
                </c:pt>
                <c:pt idx="940">
                  <c:v>941</c:v>
                </c:pt>
                <c:pt idx="941">
                  <c:v>942</c:v>
                </c:pt>
                <c:pt idx="942">
                  <c:v>943</c:v>
                </c:pt>
                <c:pt idx="943">
                  <c:v>944</c:v>
                </c:pt>
                <c:pt idx="944">
                  <c:v>945</c:v>
                </c:pt>
                <c:pt idx="945">
                  <c:v>946</c:v>
                </c:pt>
                <c:pt idx="946">
                  <c:v>947</c:v>
                </c:pt>
                <c:pt idx="947">
                  <c:v>948</c:v>
                </c:pt>
                <c:pt idx="948">
                  <c:v>949</c:v>
                </c:pt>
                <c:pt idx="949">
                  <c:v>950</c:v>
                </c:pt>
                <c:pt idx="950">
                  <c:v>951</c:v>
                </c:pt>
                <c:pt idx="951">
                  <c:v>952</c:v>
                </c:pt>
                <c:pt idx="952">
                  <c:v>953</c:v>
                </c:pt>
                <c:pt idx="953">
                  <c:v>954</c:v>
                </c:pt>
                <c:pt idx="954">
                  <c:v>955</c:v>
                </c:pt>
                <c:pt idx="955">
                  <c:v>956</c:v>
                </c:pt>
                <c:pt idx="956">
                  <c:v>957</c:v>
                </c:pt>
                <c:pt idx="957">
                  <c:v>958</c:v>
                </c:pt>
                <c:pt idx="958">
                  <c:v>959</c:v>
                </c:pt>
                <c:pt idx="959">
                  <c:v>960</c:v>
                </c:pt>
                <c:pt idx="960">
                  <c:v>961</c:v>
                </c:pt>
                <c:pt idx="961">
                  <c:v>962</c:v>
                </c:pt>
                <c:pt idx="962">
                  <c:v>963</c:v>
                </c:pt>
                <c:pt idx="963">
                  <c:v>964</c:v>
                </c:pt>
                <c:pt idx="964">
                  <c:v>965</c:v>
                </c:pt>
                <c:pt idx="965">
                  <c:v>966</c:v>
                </c:pt>
                <c:pt idx="966">
                  <c:v>967</c:v>
                </c:pt>
                <c:pt idx="967">
                  <c:v>968</c:v>
                </c:pt>
                <c:pt idx="968">
                  <c:v>969</c:v>
                </c:pt>
                <c:pt idx="969">
                  <c:v>970</c:v>
                </c:pt>
                <c:pt idx="970">
                  <c:v>971</c:v>
                </c:pt>
                <c:pt idx="971">
                  <c:v>972</c:v>
                </c:pt>
                <c:pt idx="972">
                  <c:v>973</c:v>
                </c:pt>
                <c:pt idx="973">
                  <c:v>974</c:v>
                </c:pt>
                <c:pt idx="974">
                  <c:v>975</c:v>
                </c:pt>
                <c:pt idx="975">
                  <c:v>976</c:v>
                </c:pt>
                <c:pt idx="976">
                  <c:v>977</c:v>
                </c:pt>
                <c:pt idx="977">
                  <c:v>978</c:v>
                </c:pt>
                <c:pt idx="978">
                  <c:v>979</c:v>
                </c:pt>
                <c:pt idx="979">
                  <c:v>980</c:v>
                </c:pt>
                <c:pt idx="980">
                  <c:v>981</c:v>
                </c:pt>
                <c:pt idx="981">
                  <c:v>982</c:v>
                </c:pt>
                <c:pt idx="982">
                  <c:v>983</c:v>
                </c:pt>
                <c:pt idx="983">
                  <c:v>984</c:v>
                </c:pt>
                <c:pt idx="984">
                  <c:v>985</c:v>
                </c:pt>
                <c:pt idx="985">
                  <c:v>986</c:v>
                </c:pt>
                <c:pt idx="986">
                  <c:v>987</c:v>
                </c:pt>
                <c:pt idx="987">
                  <c:v>988</c:v>
                </c:pt>
                <c:pt idx="988">
                  <c:v>989</c:v>
                </c:pt>
                <c:pt idx="989">
                  <c:v>990</c:v>
                </c:pt>
                <c:pt idx="990">
                  <c:v>991</c:v>
                </c:pt>
                <c:pt idx="991">
                  <c:v>992</c:v>
                </c:pt>
                <c:pt idx="992">
                  <c:v>993</c:v>
                </c:pt>
                <c:pt idx="993">
                  <c:v>994</c:v>
                </c:pt>
                <c:pt idx="994">
                  <c:v>995</c:v>
                </c:pt>
                <c:pt idx="995">
                  <c:v>996</c:v>
                </c:pt>
                <c:pt idx="996">
                  <c:v>997</c:v>
                </c:pt>
                <c:pt idx="997">
                  <c:v>998</c:v>
                </c:pt>
                <c:pt idx="998">
                  <c:v>999</c:v>
                </c:pt>
                <c:pt idx="999">
                  <c:v>1000</c:v>
                </c:pt>
                <c:pt idx="1000">
                  <c:v>1001</c:v>
                </c:pt>
                <c:pt idx="1001">
                  <c:v>1002</c:v>
                </c:pt>
                <c:pt idx="1002">
                  <c:v>1003</c:v>
                </c:pt>
                <c:pt idx="1003">
                  <c:v>1004</c:v>
                </c:pt>
                <c:pt idx="1004">
                  <c:v>1005</c:v>
                </c:pt>
                <c:pt idx="1005">
                  <c:v>1006</c:v>
                </c:pt>
                <c:pt idx="1006">
                  <c:v>1007</c:v>
                </c:pt>
                <c:pt idx="1007">
                  <c:v>1008</c:v>
                </c:pt>
                <c:pt idx="1008">
                  <c:v>1009</c:v>
                </c:pt>
                <c:pt idx="1009">
                  <c:v>1010</c:v>
                </c:pt>
                <c:pt idx="1010">
                  <c:v>1011</c:v>
                </c:pt>
                <c:pt idx="1011">
                  <c:v>1012</c:v>
                </c:pt>
                <c:pt idx="1012">
                  <c:v>1013</c:v>
                </c:pt>
                <c:pt idx="1013">
                  <c:v>1014</c:v>
                </c:pt>
                <c:pt idx="1014">
                  <c:v>1015</c:v>
                </c:pt>
                <c:pt idx="1015">
                  <c:v>1016</c:v>
                </c:pt>
                <c:pt idx="1016">
                  <c:v>1017</c:v>
                </c:pt>
                <c:pt idx="1017">
                  <c:v>1018</c:v>
                </c:pt>
                <c:pt idx="1018">
                  <c:v>1019</c:v>
                </c:pt>
                <c:pt idx="1019">
                  <c:v>1020</c:v>
                </c:pt>
                <c:pt idx="1020">
                  <c:v>1021</c:v>
                </c:pt>
                <c:pt idx="1021">
                  <c:v>1022</c:v>
                </c:pt>
                <c:pt idx="1022">
                  <c:v>1023</c:v>
                </c:pt>
                <c:pt idx="1023">
                  <c:v>1024</c:v>
                </c:pt>
                <c:pt idx="1024">
                  <c:v>1025</c:v>
                </c:pt>
                <c:pt idx="1025">
                  <c:v>1026</c:v>
                </c:pt>
                <c:pt idx="1026">
                  <c:v>1027</c:v>
                </c:pt>
                <c:pt idx="1027">
                  <c:v>1028</c:v>
                </c:pt>
                <c:pt idx="1028">
                  <c:v>1029</c:v>
                </c:pt>
                <c:pt idx="1029">
                  <c:v>1030</c:v>
                </c:pt>
                <c:pt idx="1030">
                  <c:v>1031</c:v>
                </c:pt>
                <c:pt idx="1031">
                  <c:v>1032</c:v>
                </c:pt>
                <c:pt idx="1032">
                  <c:v>1033</c:v>
                </c:pt>
                <c:pt idx="1033">
                  <c:v>1034</c:v>
                </c:pt>
                <c:pt idx="1034">
                  <c:v>1035</c:v>
                </c:pt>
                <c:pt idx="1035">
                  <c:v>1036</c:v>
                </c:pt>
                <c:pt idx="1036">
                  <c:v>1037</c:v>
                </c:pt>
                <c:pt idx="1037">
                  <c:v>1038</c:v>
                </c:pt>
                <c:pt idx="1038">
                  <c:v>1039</c:v>
                </c:pt>
                <c:pt idx="1039">
                  <c:v>1040</c:v>
                </c:pt>
                <c:pt idx="1040">
                  <c:v>1041</c:v>
                </c:pt>
                <c:pt idx="1041">
                  <c:v>1042</c:v>
                </c:pt>
                <c:pt idx="1042">
                  <c:v>1043</c:v>
                </c:pt>
                <c:pt idx="1043">
                  <c:v>1044</c:v>
                </c:pt>
                <c:pt idx="1044">
                  <c:v>1045</c:v>
                </c:pt>
                <c:pt idx="1045">
                  <c:v>1046</c:v>
                </c:pt>
                <c:pt idx="1046">
                  <c:v>1047</c:v>
                </c:pt>
                <c:pt idx="1047">
                  <c:v>1048</c:v>
                </c:pt>
                <c:pt idx="1048">
                  <c:v>1049</c:v>
                </c:pt>
                <c:pt idx="1049">
                  <c:v>1050</c:v>
                </c:pt>
                <c:pt idx="1050">
                  <c:v>1051</c:v>
                </c:pt>
                <c:pt idx="1051">
                  <c:v>1052</c:v>
                </c:pt>
                <c:pt idx="1052">
                  <c:v>1053</c:v>
                </c:pt>
                <c:pt idx="1053">
                  <c:v>1054</c:v>
                </c:pt>
              </c:numCache>
            </c:numRef>
          </c:yVal>
          <c:smooth val="0"/>
          <c:extLst xmlns:c16r2="http://schemas.microsoft.com/office/drawing/2015/06/chart">
            <c:ext xmlns:c16="http://schemas.microsoft.com/office/drawing/2014/chart" uri="{C3380CC4-5D6E-409C-BE32-E72D297353CC}">
              <c16:uniqueId val="{0000000D-0D70-493A-B7A6-9590C357C348}"/>
            </c:ext>
          </c:extLst>
        </c:ser>
        <c:ser>
          <c:idx val="7"/>
          <c:order val="9"/>
          <c:tx>
            <c:v>Average System Cost at Payback Year</c:v>
          </c:tx>
          <c:spPr>
            <a:ln>
              <a:solidFill>
                <a:srgbClr val="E2173D"/>
              </a:solidFill>
            </a:ln>
          </c:spPr>
          <c:marker>
            <c:symbol val="none"/>
          </c:marker>
          <c:dLbls>
            <c:dLbl>
              <c:idx val="623"/>
              <c:layout/>
              <c:spPr>
                <a:solidFill>
                  <a:schemeClr val="bg1"/>
                </a:solidFill>
                <a:ln>
                  <a:solidFill>
                    <a:srgbClr val="E2173D"/>
                  </a:solidFill>
                </a:ln>
              </c:spPr>
              <c:txPr>
                <a:bodyPr/>
                <a:lstStyle/>
                <a:p>
                  <a:pPr>
                    <a:defRPr>
                      <a:latin typeface="Arial" panose="020B0604020202020204" pitchFamily="34" charset="0"/>
                      <a:cs typeface="Arial" panose="020B0604020202020204" pitchFamily="34" charset="0"/>
                    </a:defRPr>
                  </a:pPr>
                  <a:endParaRPr lang="en-US"/>
                </a:p>
              </c:txPr>
              <c:showLegendKey val="0"/>
              <c:showVal val="0"/>
              <c:showCatName val="0"/>
              <c:showSerName val="1"/>
              <c:showPercent val="0"/>
              <c:showBubbleSize val="0"/>
              <c:extLst>
                <c:ext xmlns:c15="http://schemas.microsoft.com/office/drawing/2012/chart" uri="{CE6537A1-D6FC-4f65-9D91-7224C49458BB}">
                  <c15:layout/>
                </c:ext>
              </c:extLst>
            </c:dLbl>
            <c:spPr>
              <a:noFill/>
              <a:ln>
                <a:solidFill>
                  <a:srgbClr val="E2173D"/>
                </a:solidFill>
              </a:ln>
              <a:effectLst/>
            </c:spPr>
            <c:txPr>
              <a:bodyPr/>
              <a:lstStyle/>
              <a:p>
                <a:pPr>
                  <a:defRPr>
                    <a:latin typeface="Arial" panose="020B0604020202020204" pitchFamily="34" charset="0"/>
                    <a:cs typeface="Arial" panose="020B0604020202020204" pitchFamily="34" charset="0"/>
                  </a:defRPr>
                </a:pPr>
                <a:endParaRPr lang="en-US"/>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'Peak Payback Engine'!$B$10:$B$1063</c:f>
              <c:numCache>
                <c:formatCode>_-* #,##0.0_-;\-* #,##0.0_-;_-* "-"??_-;_-@_-</c:formatCode>
                <c:ptCount val="1054"/>
                <c:pt idx="0">
                  <c:v>2.7393507738665935E-2</c:v>
                </c:pt>
                <c:pt idx="1">
                  <c:v>5.478701547733187E-2</c:v>
                </c:pt>
                <c:pt idx="2">
                  <c:v>8.2180523215997808E-2</c:v>
                </c:pt>
                <c:pt idx="3">
                  <c:v>0.10957403095466374</c:v>
                </c:pt>
                <c:pt idx="4">
                  <c:v>0.13696753869332967</c:v>
                </c:pt>
                <c:pt idx="5">
                  <c:v>0.16436104643199562</c:v>
                </c:pt>
                <c:pt idx="6">
                  <c:v>0.19175455417066153</c:v>
                </c:pt>
                <c:pt idx="7">
                  <c:v>0.21914806190932748</c:v>
                </c:pt>
                <c:pt idx="8">
                  <c:v>0.24654156964799342</c:v>
                </c:pt>
                <c:pt idx="9">
                  <c:v>0.27393507738665934</c:v>
                </c:pt>
                <c:pt idx="10">
                  <c:v>0.30132858512532529</c:v>
                </c:pt>
                <c:pt idx="11">
                  <c:v>0.32872209286399123</c:v>
                </c:pt>
                <c:pt idx="12">
                  <c:v>0.35611560060265718</c:v>
                </c:pt>
                <c:pt idx="13">
                  <c:v>0.38350910834132307</c:v>
                </c:pt>
                <c:pt idx="14">
                  <c:v>0.41090261607998901</c:v>
                </c:pt>
                <c:pt idx="15">
                  <c:v>0.43829612381865496</c:v>
                </c:pt>
                <c:pt idx="16">
                  <c:v>0.4656896315573209</c:v>
                </c:pt>
                <c:pt idx="17">
                  <c:v>0.49308313929598685</c:v>
                </c:pt>
                <c:pt idx="18">
                  <c:v>0.5204766470346528</c:v>
                </c:pt>
                <c:pt idx="19">
                  <c:v>0.54787015477331868</c:v>
                </c:pt>
                <c:pt idx="20">
                  <c:v>0.57526366251198469</c:v>
                </c:pt>
                <c:pt idx="21">
                  <c:v>0.60265717025065058</c:v>
                </c:pt>
                <c:pt idx="22">
                  <c:v>0.63005067798931647</c:v>
                </c:pt>
                <c:pt idx="23">
                  <c:v>0.65744418572798247</c:v>
                </c:pt>
                <c:pt idx="24">
                  <c:v>0.68483769346664836</c:v>
                </c:pt>
                <c:pt idx="25">
                  <c:v>0.71223120120531436</c:v>
                </c:pt>
                <c:pt idx="26">
                  <c:v>0.73962470894398025</c:v>
                </c:pt>
                <c:pt idx="27">
                  <c:v>0.76701821668264614</c:v>
                </c:pt>
                <c:pt idx="28">
                  <c:v>0.79441172442131214</c:v>
                </c:pt>
                <c:pt idx="29">
                  <c:v>0.82180523215997803</c:v>
                </c:pt>
                <c:pt idx="30">
                  <c:v>0.84919873989864403</c:v>
                </c:pt>
                <c:pt idx="31">
                  <c:v>0.87659224763730992</c:v>
                </c:pt>
                <c:pt idx="32">
                  <c:v>0.90398575537597592</c:v>
                </c:pt>
                <c:pt idx="33">
                  <c:v>0.93137926311464181</c:v>
                </c:pt>
                <c:pt idx="34">
                  <c:v>0.9587727708533077</c:v>
                </c:pt>
                <c:pt idx="35">
                  <c:v>0.9861662785919737</c:v>
                </c:pt>
                <c:pt idx="36">
                  <c:v>1.0135597863306396</c:v>
                </c:pt>
                <c:pt idx="37">
                  <c:v>1.0409532940693056</c:v>
                </c:pt>
                <c:pt idx="38">
                  <c:v>1.0683468018079714</c:v>
                </c:pt>
                <c:pt idx="39">
                  <c:v>1.0957403095466374</c:v>
                </c:pt>
                <c:pt idx="40">
                  <c:v>1.1231338172853034</c:v>
                </c:pt>
                <c:pt idx="41">
                  <c:v>1.1505273250239694</c:v>
                </c:pt>
                <c:pt idx="42">
                  <c:v>1.1779208327626352</c:v>
                </c:pt>
                <c:pt idx="43">
                  <c:v>1.2053143405013012</c:v>
                </c:pt>
                <c:pt idx="44">
                  <c:v>1.2327078482399672</c:v>
                </c:pt>
                <c:pt idx="45">
                  <c:v>1.2601013559786329</c:v>
                </c:pt>
                <c:pt idx="46">
                  <c:v>1.2874948637172989</c:v>
                </c:pt>
                <c:pt idx="47">
                  <c:v>1.3148883714559649</c:v>
                </c:pt>
                <c:pt idx="48">
                  <c:v>1.3422818791946309</c:v>
                </c:pt>
                <c:pt idx="49">
                  <c:v>1.3696753869332967</c:v>
                </c:pt>
                <c:pt idx="50">
                  <c:v>1.3970688946719627</c:v>
                </c:pt>
                <c:pt idx="51">
                  <c:v>1.4244624024106287</c:v>
                </c:pt>
                <c:pt idx="52">
                  <c:v>1.4518559101492945</c:v>
                </c:pt>
                <c:pt idx="53">
                  <c:v>1.4792494178879605</c:v>
                </c:pt>
                <c:pt idx="54">
                  <c:v>1.5066429256266265</c:v>
                </c:pt>
                <c:pt idx="55">
                  <c:v>1.5340364333652923</c:v>
                </c:pt>
                <c:pt idx="56">
                  <c:v>1.5614299411039583</c:v>
                </c:pt>
                <c:pt idx="57">
                  <c:v>1.5888234488426243</c:v>
                </c:pt>
                <c:pt idx="58">
                  <c:v>1.6162169565812903</c:v>
                </c:pt>
                <c:pt idx="59">
                  <c:v>1.6436104643199561</c:v>
                </c:pt>
                <c:pt idx="60">
                  <c:v>1.6710039720586221</c:v>
                </c:pt>
                <c:pt idx="61">
                  <c:v>1.6983974797972881</c:v>
                </c:pt>
                <c:pt idx="62">
                  <c:v>1.7257909875359538</c:v>
                </c:pt>
                <c:pt idx="63">
                  <c:v>1.7531844952746198</c:v>
                </c:pt>
                <c:pt idx="64">
                  <c:v>1.7805780030132858</c:v>
                </c:pt>
                <c:pt idx="65">
                  <c:v>1.8079715107519518</c:v>
                </c:pt>
                <c:pt idx="66">
                  <c:v>1.8353650184906176</c:v>
                </c:pt>
                <c:pt idx="67">
                  <c:v>1.8627585262292836</c:v>
                </c:pt>
                <c:pt idx="68">
                  <c:v>1.8901520339679496</c:v>
                </c:pt>
                <c:pt idx="69">
                  <c:v>1.9175455417066154</c:v>
                </c:pt>
                <c:pt idx="70">
                  <c:v>1.9449390494452814</c:v>
                </c:pt>
                <c:pt idx="71">
                  <c:v>1.9723325571839474</c:v>
                </c:pt>
                <c:pt idx="72">
                  <c:v>1.9997260649226132</c:v>
                </c:pt>
                <c:pt idx="73">
                  <c:v>2.0271195726612792</c:v>
                </c:pt>
                <c:pt idx="74">
                  <c:v>2.054513080399945</c:v>
                </c:pt>
                <c:pt idx="75">
                  <c:v>2.0819065881386112</c:v>
                </c:pt>
                <c:pt idx="76">
                  <c:v>2.109300095877277</c:v>
                </c:pt>
                <c:pt idx="77">
                  <c:v>2.1366936036159427</c:v>
                </c:pt>
                <c:pt idx="78">
                  <c:v>2.164087111354609</c:v>
                </c:pt>
                <c:pt idx="79">
                  <c:v>2.1914806190932747</c:v>
                </c:pt>
                <c:pt idx="80">
                  <c:v>2.218874126831941</c:v>
                </c:pt>
                <c:pt idx="81">
                  <c:v>2.2462676345706067</c:v>
                </c:pt>
                <c:pt idx="82">
                  <c:v>2.2736611423092725</c:v>
                </c:pt>
                <c:pt idx="83">
                  <c:v>2.3010546500479387</c:v>
                </c:pt>
                <c:pt idx="84">
                  <c:v>2.3284481577866045</c:v>
                </c:pt>
                <c:pt idx="85">
                  <c:v>2.3558416655252703</c:v>
                </c:pt>
                <c:pt idx="86">
                  <c:v>2.3832351732639365</c:v>
                </c:pt>
                <c:pt idx="87">
                  <c:v>2.4106286810026023</c:v>
                </c:pt>
                <c:pt idx="88">
                  <c:v>2.4380221887412681</c:v>
                </c:pt>
                <c:pt idx="89">
                  <c:v>2.4654156964799343</c:v>
                </c:pt>
                <c:pt idx="90">
                  <c:v>2.4928092042186001</c:v>
                </c:pt>
                <c:pt idx="91">
                  <c:v>2.5202027119572659</c:v>
                </c:pt>
                <c:pt idx="92">
                  <c:v>2.5475962196959321</c:v>
                </c:pt>
                <c:pt idx="93">
                  <c:v>2.5749897274345979</c:v>
                </c:pt>
                <c:pt idx="94">
                  <c:v>2.6023832351732636</c:v>
                </c:pt>
                <c:pt idx="95">
                  <c:v>2.6297767429119299</c:v>
                </c:pt>
                <c:pt idx="96">
                  <c:v>2.6571702506505956</c:v>
                </c:pt>
                <c:pt idx="97">
                  <c:v>2.6845637583892619</c:v>
                </c:pt>
                <c:pt idx="98">
                  <c:v>2.7119572661279276</c:v>
                </c:pt>
                <c:pt idx="99">
                  <c:v>2.7393507738665934</c:v>
                </c:pt>
                <c:pt idx="100">
                  <c:v>2.7667442816052596</c:v>
                </c:pt>
                <c:pt idx="101">
                  <c:v>2.7941377893439254</c:v>
                </c:pt>
                <c:pt idx="102">
                  <c:v>2.8215312970825912</c:v>
                </c:pt>
                <c:pt idx="103">
                  <c:v>2.8489248048212574</c:v>
                </c:pt>
                <c:pt idx="104">
                  <c:v>2.8763183125599232</c:v>
                </c:pt>
                <c:pt idx="105">
                  <c:v>2.903711820298589</c:v>
                </c:pt>
                <c:pt idx="106">
                  <c:v>2.9311053280372552</c:v>
                </c:pt>
                <c:pt idx="107">
                  <c:v>2.958498835775921</c:v>
                </c:pt>
                <c:pt idx="108">
                  <c:v>2.9858923435145868</c:v>
                </c:pt>
                <c:pt idx="109">
                  <c:v>3.013285851253253</c:v>
                </c:pt>
                <c:pt idx="110">
                  <c:v>3.0406793589919188</c:v>
                </c:pt>
                <c:pt idx="111">
                  <c:v>3.0680728667305845</c:v>
                </c:pt>
                <c:pt idx="112">
                  <c:v>3.0954663744692508</c:v>
                </c:pt>
                <c:pt idx="113">
                  <c:v>3.1228598822079165</c:v>
                </c:pt>
                <c:pt idx="114">
                  <c:v>3.1502533899465828</c:v>
                </c:pt>
                <c:pt idx="115">
                  <c:v>3.1776468976852486</c:v>
                </c:pt>
                <c:pt idx="116">
                  <c:v>3.2050404054239143</c:v>
                </c:pt>
                <c:pt idx="117">
                  <c:v>3.2324339131625806</c:v>
                </c:pt>
                <c:pt idx="118">
                  <c:v>3.2598274209012463</c:v>
                </c:pt>
                <c:pt idx="119">
                  <c:v>3.2872209286399121</c:v>
                </c:pt>
                <c:pt idx="120">
                  <c:v>3.3146144363785783</c:v>
                </c:pt>
                <c:pt idx="121">
                  <c:v>3.3420079441172441</c:v>
                </c:pt>
                <c:pt idx="122">
                  <c:v>3.3694014518559099</c:v>
                </c:pt>
                <c:pt idx="123">
                  <c:v>3.3967949595945761</c:v>
                </c:pt>
                <c:pt idx="124">
                  <c:v>3.4241884673332419</c:v>
                </c:pt>
                <c:pt idx="125">
                  <c:v>3.4515819750719077</c:v>
                </c:pt>
                <c:pt idx="126">
                  <c:v>3.4789754828105739</c:v>
                </c:pt>
                <c:pt idx="127">
                  <c:v>3.5063689905492397</c:v>
                </c:pt>
                <c:pt idx="128">
                  <c:v>3.5337624982879055</c:v>
                </c:pt>
                <c:pt idx="129">
                  <c:v>3.5611560060265717</c:v>
                </c:pt>
                <c:pt idx="130">
                  <c:v>3.5885495137652375</c:v>
                </c:pt>
                <c:pt idx="131">
                  <c:v>3.6159430215039037</c:v>
                </c:pt>
                <c:pt idx="132">
                  <c:v>3.6433365292425695</c:v>
                </c:pt>
                <c:pt idx="133">
                  <c:v>3.6707300369812352</c:v>
                </c:pt>
                <c:pt idx="134">
                  <c:v>3.6981235447199015</c:v>
                </c:pt>
                <c:pt idx="135">
                  <c:v>3.7255170524585672</c:v>
                </c:pt>
                <c:pt idx="136">
                  <c:v>3.752910560197233</c:v>
                </c:pt>
                <c:pt idx="137">
                  <c:v>3.7803040679358992</c:v>
                </c:pt>
                <c:pt idx="138">
                  <c:v>3.807697575674565</c:v>
                </c:pt>
                <c:pt idx="139">
                  <c:v>3.8350910834132308</c:v>
                </c:pt>
                <c:pt idx="140">
                  <c:v>3.862484591151897</c:v>
                </c:pt>
                <c:pt idx="141">
                  <c:v>3.8898780988905628</c:v>
                </c:pt>
                <c:pt idx="142">
                  <c:v>3.9172716066292286</c:v>
                </c:pt>
                <c:pt idx="143">
                  <c:v>3.9446651143678948</c:v>
                </c:pt>
                <c:pt idx="144">
                  <c:v>3.9720586221065606</c:v>
                </c:pt>
                <c:pt idx="145">
                  <c:v>3.9994521298452264</c:v>
                </c:pt>
                <c:pt idx="146">
                  <c:v>4.0268456375838921</c:v>
                </c:pt>
                <c:pt idx="147">
                  <c:v>4.0542391453225584</c:v>
                </c:pt>
                <c:pt idx="148">
                  <c:v>4.0816326530612246</c:v>
                </c:pt>
                <c:pt idx="149">
                  <c:v>4.1090261607998899</c:v>
                </c:pt>
                <c:pt idx="150">
                  <c:v>4.1364196685385561</c:v>
                </c:pt>
                <c:pt idx="151">
                  <c:v>4.1638131762772224</c:v>
                </c:pt>
                <c:pt idx="152">
                  <c:v>4.1912066840158877</c:v>
                </c:pt>
                <c:pt idx="153">
                  <c:v>4.2186001917545539</c:v>
                </c:pt>
                <c:pt idx="154">
                  <c:v>4.2459936994932201</c:v>
                </c:pt>
                <c:pt idx="155">
                  <c:v>4.2733872072318855</c:v>
                </c:pt>
                <c:pt idx="156">
                  <c:v>4.3007807149705517</c:v>
                </c:pt>
                <c:pt idx="157">
                  <c:v>4.3281742227092179</c:v>
                </c:pt>
                <c:pt idx="158">
                  <c:v>4.3555677304478841</c:v>
                </c:pt>
                <c:pt idx="159">
                  <c:v>4.3829612381865495</c:v>
                </c:pt>
                <c:pt idx="160">
                  <c:v>4.4103547459252157</c:v>
                </c:pt>
                <c:pt idx="161">
                  <c:v>4.4377482536638819</c:v>
                </c:pt>
                <c:pt idx="162">
                  <c:v>4.4651417614025473</c:v>
                </c:pt>
                <c:pt idx="163">
                  <c:v>4.4925352691412135</c:v>
                </c:pt>
                <c:pt idx="164">
                  <c:v>4.5199287768798797</c:v>
                </c:pt>
                <c:pt idx="165">
                  <c:v>4.547322284618545</c:v>
                </c:pt>
                <c:pt idx="166">
                  <c:v>4.5747157923572113</c:v>
                </c:pt>
                <c:pt idx="167">
                  <c:v>4.6021093000958775</c:v>
                </c:pt>
                <c:pt idx="168">
                  <c:v>4.6295028078345428</c:v>
                </c:pt>
                <c:pt idx="169">
                  <c:v>4.656896315573209</c:v>
                </c:pt>
                <c:pt idx="170">
                  <c:v>4.6842898233118753</c:v>
                </c:pt>
                <c:pt idx="171">
                  <c:v>4.7116833310505406</c:v>
                </c:pt>
                <c:pt idx="172">
                  <c:v>4.7390768387892068</c:v>
                </c:pt>
                <c:pt idx="173">
                  <c:v>4.766470346527873</c:v>
                </c:pt>
                <c:pt idx="174">
                  <c:v>4.7938638542665384</c:v>
                </c:pt>
                <c:pt idx="175">
                  <c:v>4.8212573620052046</c:v>
                </c:pt>
                <c:pt idx="176">
                  <c:v>4.8486508697438708</c:v>
                </c:pt>
                <c:pt idx="177">
                  <c:v>4.8760443774825362</c:v>
                </c:pt>
                <c:pt idx="178">
                  <c:v>4.9034378852212024</c:v>
                </c:pt>
                <c:pt idx="179">
                  <c:v>4.9308313929598686</c:v>
                </c:pt>
                <c:pt idx="180">
                  <c:v>4.9582249006985339</c:v>
                </c:pt>
                <c:pt idx="181">
                  <c:v>4.9856184084372002</c:v>
                </c:pt>
                <c:pt idx="182">
                  <c:v>5.0130119161758664</c:v>
                </c:pt>
                <c:pt idx="183">
                  <c:v>5.0404054239145317</c:v>
                </c:pt>
                <c:pt idx="184">
                  <c:v>5.0677989316531979</c:v>
                </c:pt>
                <c:pt idx="185">
                  <c:v>5.0951924393918642</c:v>
                </c:pt>
                <c:pt idx="186">
                  <c:v>5.1225859471305295</c:v>
                </c:pt>
                <c:pt idx="187">
                  <c:v>5.1499794548691957</c:v>
                </c:pt>
                <c:pt idx="188">
                  <c:v>5.177372962607862</c:v>
                </c:pt>
                <c:pt idx="189">
                  <c:v>5.2047664703465273</c:v>
                </c:pt>
                <c:pt idx="190">
                  <c:v>5.2321599780851935</c:v>
                </c:pt>
                <c:pt idx="191">
                  <c:v>5.2595534858238597</c:v>
                </c:pt>
                <c:pt idx="192">
                  <c:v>5.286946993562526</c:v>
                </c:pt>
                <c:pt idx="193">
                  <c:v>5.3143405013011913</c:v>
                </c:pt>
                <c:pt idx="194">
                  <c:v>5.3417340090398575</c:v>
                </c:pt>
                <c:pt idx="195">
                  <c:v>5.3691275167785237</c:v>
                </c:pt>
                <c:pt idx="196">
                  <c:v>5.3965210245171891</c:v>
                </c:pt>
                <c:pt idx="197">
                  <c:v>5.4239145322558553</c:v>
                </c:pt>
                <c:pt idx="198">
                  <c:v>5.4513080399945215</c:v>
                </c:pt>
                <c:pt idx="199">
                  <c:v>5.4787015477331868</c:v>
                </c:pt>
                <c:pt idx="200">
                  <c:v>5.5060950554718531</c:v>
                </c:pt>
                <c:pt idx="201">
                  <c:v>5.5334885632105193</c:v>
                </c:pt>
                <c:pt idx="202">
                  <c:v>5.5608820709491846</c:v>
                </c:pt>
                <c:pt idx="203">
                  <c:v>5.5882755786878509</c:v>
                </c:pt>
                <c:pt idx="204">
                  <c:v>5.6156690864265171</c:v>
                </c:pt>
                <c:pt idx="205">
                  <c:v>5.6430625941651824</c:v>
                </c:pt>
                <c:pt idx="206">
                  <c:v>5.6704561019038486</c:v>
                </c:pt>
                <c:pt idx="207">
                  <c:v>5.6978496096425149</c:v>
                </c:pt>
                <c:pt idx="208">
                  <c:v>5.7252431173811802</c:v>
                </c:pt>
                <c:pt idx="209">
                  <c:v>5.7526366251198464</c:v>
                </c:pt>
                <c:pt idx="210">
                  <c:v>5.7800301328585126</c:v>
                </c:pt>
                <c:pt idx="211">
                  <c:v>5.807423640597178</c:v>
                </c:pt>
                <c:pt idx="212">
                  <c:v>5.8348171483358442</c:v>
                </c:pt>
                <c:pt idx="213">
                  <c:v>5.8622106560745104</c:v>
                </c:pt>
                <c:pt idx="214">
                  <c:v>5.8896041638131758</c:v>
                </c:pt>
                <c:pt idx="215">
                  <c:v>5.916997671551842</c:v>
                </c:pt>
                <c:pt idx="216">
                  <c:v>5.9443911792905082</c:v>
                </c:pt>
                <c:pt idx="217">
                  <c:v>5.9717846870291735</c:v>
                </c:pt>
                <c:pt idx="218">
                  <c:v>5.9991781947678398</c:v>
                </c:pt>
                <c:pt idx="219">
                  <c:v>6.026571702506506</c:v>
                </c:pt>
                <c:pt idx="220">
                  <c:v>6.0539652102451713</c:v>
                </c:pt>
                <c:pt idx="221">
                  <c:v>6.0813587179838375</c:v>
                </c:pt>
                <c:pt idx="222">
                  <c:v>6.1087522257225038</c:v>
                </c:pt>
                <c:pt idx="223">
                  <c:v>6.1361457334611691</c:v>
                </c:pt>
                <c:pt idx="224">
                  <c:v>6.1635392411998353</c:v>
                </c:pt>
                <c:pt idx="225">
                  <c:v>6.1909327489385015</c:v>
                </c:pt>
                <c:pt idx="226">
                  <c:v>6.2183262566771669</c:v>
                </c:pt>
                <c:pt idx="227">
                  <c:v>6.2457197644158331</c:v>
                </c:pt>
                <c:pt idx="228">
                  <c:v>6.2731132721544993</c:v>
                </c:pt>
                <c:pt idx="229">
                  <c:v>6.3005067798931655</c:v>
                </c:pt>
                <c:pt idx="230">
                  <c:v>6.3279002876318309</c:v>
                </c:pt>
                <c:pt idx="231">
                  <c:v>6.3552937953704971</c:v>
                </c:pt>
                <c:pt idx="232">
                  <c:v>6.3826873031091633</c:v>
                </c:pt>
                <c:pt idx="233">
                  <c:v>6.4100808108478287</c:v>
                </c:pt>
                <c:pt idx="234">
                  <c:v>6.4374743185864949</c:v>
                </c:pt>
                <c:pt idx="235">
                  <c:v>6.4648678263251611</c:v>
                </c:pt>
                <c:pt idx="236">
                  <c:v>6.4922613340638264</c:v>
                </c:pt>
                <c:pt idx="237">
                  <c:v>6.5196548418024927</c:v>
                </c:pt>
                <c:pt idx="238">
                  <c:v>6.5470483495411589</c:v>
                </c:pt>
                <c:pt idx="239">
                  <c:v>6.5744418572798242</c:v>
                </c:pt>
                <c:pt idx="240">
                  <c:v>6.6018353650184904</c:v>
                </c:pt>
                <c:pt idx="241">
                  <c:v>6.6292288727571567</c:v>
                </c:pt>
                <c:pt idx="242">
                  <c:v>6.656622380495822</c:v>
                </c:pt>
                <c:pt idx="243">
                  <c:v>6.6840158882344882</c:v>
                </c:pt>
                <c:pt idx="244">
                  <c:v>6.7114093959731544</c:v>
                </c:pt>
                <c:pt idx="245">
                  <c:v>6.7388029037118198</c:v>
                </c:pt>
                <c:pt idx="246">
                  <c:v>6.766196411450486</c:v>
                </c:pt>
                <c:pt idx="247">
                  <c:v>6.7935899191891522</c:v>
                </c:pt>
                <c:pt idx="248">
                  <c:v>6.8209834269278176</c:v>
                </c:pt>
                <c:pt idx="249">
                  <c:v>6.8483769346664838</c:v>
                </c:pt>
                <c:pt idx="250">
                  <c:v>6.87577044240515</c:v>
                </c:pt>
                <c:pt idx="251">
                  <c:v>6.9031639501438153</c:v>
                </c:pt>
                <c:pt idx="252">
                  <c:v>6.9305574578824816</c:v>
                </c:pt>
                <c:pt idx="253">
                  <c:v>6.9579509656211478</c:v>
                </c:pt>
                <c:pt idx="254">
                  <c:v>6.9853444733598131</c:v>
                </c:pt>
                <c:pt idx="255">
                  <c:v>7.0127379810984793</c:v>
                </c:pt>
                <c:pt idx="256">
                  <c:v>7.0401314888371456</c:v>
                </c:pt>
                <c:pt idx="257">
                  <c:v>7.0675249965758109</c:v>
                </c:pt>
                <c:pt idx="258">
                  <c:v>7.0949185043144771</c:v>
                </c:pt>
                <c:pt idx="259">
                  <c:v>7.1223120120531433</c:v>
                </c:pt>
                <c:pt idx="260">
                  <c:v>7.1497055197918087</c:v>
                </c:pt>
                <c:pt idx="261">
                  <c:v>7.1770990275304749</c:v>
                </c:pt>
                <c:pt idx="262">
                  <c:v>7.2044925352691411</c:v>
                </c:pt>
                <c:pt idx="263">
                  <c:v>7.2318860430078074</c:v>
                </c:pt>
                <c:pt idx="264">
                  <c:v>7.2592795507464727</c:v>
                </c:pt>
                <c:pt idx="265">
                  <c:v>7.2866730584851389</c:v>
                </c:pt>
                <c:pt idx="266">
                  <c:v>7.3140665662238051</c:v>
                </c:pt>
                <c:pt idx="267">
                  <c:v>7.3414600739624705</c:v>
                </c:pt>
                <c:pt idx="268">
                  <c:v>7.3688535817011367</c:v>
                </c:pt>
                <c:pt idx="269">
                  <c:v>7.3962470894398029</c:v>
                </c:pt>
                <c:pt idx="270">
                  <c:v>7.4236405971784682</c:v>
                </c:pt>
                <c:pt idx="271">
                  <c:v>7.4510341049171345</c:v>
                </c:pt>
                <c:pt idx="272">
                  <c:v>7.4784276126558007</c:v>
                </c:pt>
                <c:pt idx="273">
                  <c:v>7.505821120394466</c:v>
                </c:pt>
                <c:pt idx="274">
                  <c:v>7.5332146281331323</c:v>
                </c:pt>
                <c:pt idx="275">
                  <c:v>7.5606081358717985</c:v>
                </c:pt>
                <c:pt idx="276">
                  <c:v>7.5880016436104638</c:v>
                </c:pt>
                <c:pt idx="277">
                  <c:v>7.61539515134913</c:v>
                </c:pt>
                <c:pt idx="278">
                  <c:v>7.6427886590877963</c:v>
                </c:pt>
                <c:pt idx="279">
                  <c:v>7.6701821668264616</c:v>
                </c:pt>
                <c:pt idx="280">
                  <c:v>7.6975756745651278</c:v>
                </c:pt>
                <c:pt idx="281">
                  <c:v>7.724969182303794</c:v>
                </c:pt>
                <c:pt idx="282">
                  <c:v>7.7523626900424594</c:v>
                </c:pt>
                <c:pt idx="283">
                  <c:v>7.7797561977811256</c:v>
                </c:pt>
                <c:pt idx="284">
                  <c:v>7.8071497055197918</c:v>
                </c:pt>
                <c:pt idx="285">
                  <c:v>7.8345432132584572</c:v>
                </c:pt>
                <c:pt idx="286">
                  <c:v>7.8619367209971234</c:v>
                </c:pt>
                <c:pt idx="287">
                  <c:v>7.8893302287357896</c:v>
                </c:pt>
                <c:pt idx="288">
                  <c:v>7.9167237364744549</c:v>
                </c:pt>
                <c:pt idx="289">
                  <c:v>7.9441172442131212</c:v>
                </c:pt>
                <c:pt idx="290">
                  <c:v>7.9715107519517874</c:v>
                </c:pt>
                <c:pt idx="291">
                  <c:v>7.9989042596904527</c:v>
                </c:pt>
                <c:pt idx="292">
                  <c:v>8.0262977674291189</c:v>
                </c:pt>
                <c:pt idx="293">
                  <c:v>8.0536912751677843</c:v>
                </c:pt>
                <c:pt idx="294">
                  <c:v>8.0810847829064514</c:v>
                </c:pt>
                <c:pt idx="295">
                  <c:v>8.1084782906451167</c:v>
                </c:pt>
                <c:pt idx="296">
                  <c:v>8.135871798383782</c:v>
                </c:pt>
                <c:pt idx="297">
                  <c:v>8.1632653061224492</c:v>
                </c:pt>
                <c:pt idx="298">
                  <c:v>8.1906588138611145</c:v>
                </c:pt>
                <c:pt idx="299">
                  <c:v>8.2180523215997798</c:v>
                </c:pt>
                <c:pt idx="300">
                  <c:v>8.2454458293384469</c:v>
                </c:pt>
                <c:pt idx="301">
                  <c:v>8.2728393370771123</c:v>
                </c:pt>
                <c:pt idx="302">
                  <c:v>8.3002328448157776</c:v>
                </c:pt>
                <c:pt idx="303">
                  <c:v>8.3276263525544447</c:v>
                </c:pt>
                <c:pt idx="304">
                  <c:v>8.3550198602931101</c:v>
                </c:pt>
                <c:pt idx="305">
                  <c:v>8.3824133680317754</c:v>
                </c:pt>
                <c:pt idx="306">
                  <c:v>8.4098068757704425</c:v>
                </c:pt>
                <c:pt idx="307">
                  <c:v>8.4372003835091078</c:v>
                </c:pt>
                <c:pt idx="308">
                  <c:v>8.4645938912477732</c:v>
                </c:pt>
                <c:pt idx="309">
                  <c:v>8.4919873989864403</c:v>
                </c:pt>
                <c:pt idx="310">
                  <c:v>8.5193809067251056</c:v>
                </c:pt>
                <c:pt idx="311">
                  <c:v>8.546774414463771</c:v>
                </c:pt>
                <c:pt idx="312">
                  <c:v>8.5741679222024381</c:v>
                </c:pt>
                <c:pt idx="313">
                  <c:v>8.6015614299411034</c:v>
                </c:pt>
                <c:pt idx="314">
                  <c:v>8.6289549376797705</c:v>
                </c:pt>
                <c:pt idx="315">
                  <c:v>8.6563484454184358</c:v>
                </c:pt>
                <c:pt idx="316">
                  <c:v>8.6837419531571012</c:v>
                </c:pt>
                <c:pt idx="317">
                  <c:v>8.7111354608957683</c:v>
                </c:pt>
                <c:pt idx="318">
                  <c:v>8.7385289686344336</c:v>
                </c:pt>
                <c:pt idx="319">
                  <c:v>8.765922476373099</c:v>
                </c:pt>
                <c:pt idx="320">
                  <c:v>8.7933159841117661</c:v>
                </c:pt>
                <c:pt idx="321">
                  <c:v>8.8207094918504314</c:v>
                </c:pt>
                <c:pt idx="322">
                  <c:v>8.8481029995890967</c:v>
                </c:pt>
                <c:pt idx="323">
                  <c:v>8.8754965073277639</c:v>
                </c:pt>
                <c:pt idx="324">
                  <c:v>8.9028900150664292</c:v>
                </c:pt>
                <c:pt idx="325">
                  <c:v>8.9302835228050945</c:v>
                </c:pt>
                <c:pt idx="326">
                  <c:v>8.9576770305437616</c:v>
                </c:pt>
                <c:pt idx="327">
                  <c:v>8.985070538282427</c:v>
                </c:pt>
                <c:pt idx="328">
                  <c:v>9.0124640460210923</c:v>
                </c:pt>
                <c:pt idx="329">
                  <c:v>9.0398575537597594</c:v>
                </c:pt>
                <c:pt idx="330">
                  <c:v>9.0672510614984247</c:v>
                </c:pt>
                <c:pt idx="331">
                  <c:v>9.0946445692370901</c:v>
                </c:pt>
                <c:pt idx="332">
                  <c:v>9.1220380769757572</c:v>
                </c:pt>
                <c:pt idx="333">
                  <c:v>9.1494315847144225</c:v>
                </c:pt>
                <c:pt idx="334">
                  <c:v>9.1768250924530879</c:v>
                </c:pt>
                <c:pt idx="335">
                  <c:v>9.204218600191755</c:v>
                </c:pt>
                <c:pt idx="336">
                  <c:v>9.2316121079304203</c:v>
                </c:pt>
                <c:pt idx="337">
                  <c:v>9.2590056156690856</c:v>
                </c:pt>
                <c:pt idx="338">
                  <c:v>9.2863991234077528</c:v>
                </c:pt>
                <c:pt idx="339">
                  <c:v>9.3137926311464181</c:v>
                </c:pt>
                <c:pt idx="340">
                  <c:v>9.3411861388850834</c:v>
                </c:pt>
                <c:pt idx="341">
                  <c:v>9.3685796466237505</c:v>
                </c:pt>
                <c:pt idx="342">
                  <c:v>9.3959731543624159</c:v>
                </c:pt>
                <c:pt idx="343">
                  <c:v>9.4233666621010812</c:v>
                </c:pt>
                <c:pt idx="344">
                  <c:v>9.4507601698397483</c:v>
                </c:pt>
                <c:pt idx="345">
                  <c:v>9.4781536775784136</c:v>
                </c:pt>
                <c:pt idx="346">
                  <c:v>9.505547185317079</c:v>
                </c:pt>
                <c:pt idx="347">
                  <c:v>9.5329406930557461</c:v>
                </c:pt>
                <c:pt idx="348">
                  <c:v>9.5603342007944114</c:v>
                </c:pt>
                <c:pt idx="349">
                  <c:v>9.5877277085330768</c:v>
                </c:pt>
                <c:pt idx="350">
                  <c:v>9.6151212162717439</c:v>
                </c:pt>
                <c:pt idx="351">
                  <c:v>9.6425147240104092</c:v>
                </c:pt>
                <c:pt idx="352">
                  <c:v>9.6699082317490745</c:v>
                </c:pt>
                <c:pt idx="353">
                  <c:v>9.6973017394877417</c:v>
                </c:pt>
                <c:pt idx="354">
                  <c:v>9.724695247226407</c:v>
                </c:pt>
                <c:pt idx="355">
                  <c:v>9.7520887549650723</c:v>
                </c:pt>
                <c:pt idx="356">
                  <c:v>9.7794822627037394</c:v>
                </c:pt>
                <c:pt idx="357">
                  <c:v>9.8068757704424048</c:v>
                </c:pt>
                <c:pt idx="358">
                  <c:v>9.8342692781810701</c:v>
                </c:pt>
                <c:pt idx="359">
                  <c:v>9.8616627859197372</c:v>
                </c:pt>
                <c:pt idx="360">
                  <c:v>9.8890562936584026</c:v>
                </c:pt>
                <c:pt idx="361">
                  <c:v>9.9164498013970679</c:v>
                </c:pt>
                <c:pt idx="362">
                  <c:v>9.943843309135735</c:v>
                </c:pt>
                <c:pt idx="363">
                  <c:v>9.9712368168744003</c:v>
                </c:pt>
                <c:pt idx="364">
                  <c:v>9.9986303246130657</c:v>
                </c:pt>
                <c:pt idx="365">
                  <c:v>10.026023832351733</c:v>
                </c:pt>
                <c:pt idx="366">
                  <c:v>10.053417340090398</c:v>
                </c:pt>
                <c:pt idx="367">
                  <c:v>10.080810847829063</c:v>
                </c:pt>
                <c:pt idx="368">
                  <c:v>10.108204355567731</c:v>
                </c:pt>
                <c:pt idx="369">
                  <c:v>10.135597863306396</c:v>
                </c:pt>
                <c:pt idx="370">
                  <c:v>10.162991371045061</c:v>
                </c:pt>
                <c:pt idx="371">
                  <c:v>10.190384878783728</c:v>
                </c:pt>
                <c:pt idx="372">
                  <c:v>10.217778386522394</c:v>
                </c:pt>
                <c:pt idx="373">
                  <c:v>10.245171894261059</c:v>
                </c:pt>
                <c:pt idx="374">
                  <c:v>10.272565401999726</c:v>
                </c:pt>
                <c:pt idx="375">
                  <c:v>10.299958909738391</c:v>
                </c:pt>
                <c:pt idx="376">
                  <c:v>10.327352417477057</c:v>
                </c:pt>
                <c:pt idx="377">
                  <c:v>10.354745925215724</c:v>
                </c:pt>
                <c:pt idx="378">
                  <c:v>10.382139432954389</c:v>
                </c:pt>
                <c:pt idx="379">
                  <c:v>10.409532940693055</c:v>
                </c:pt>
                <c:pt idx="380">
                  <c:v>10.436926448431722</c:v>
                </c:pt>
                <c:pt idx="381">
                  <c:v>10.464319956170387</c:v>
                </c:pt>
                <c:pt idx="382">
                  <c:v>10.491713463909052</c:v>
                </c:pt>
                <c:pt idx="383">
                  <c:v>10.519106971647719</c:v>
                </c:pt>
                <c:pt idx="384">
                  <c:v>10.546500479386385</c:v>
                </c:pt>
                <c:pt idx="385">
                  <c:v>10.573893987125052</c:v>
                </c:pt>
                <c:pt idx="386">
                  <c:v>10.601287494863717</c:v>
                </c:pt>
                <c:pt idx="387">
                  <c:v>10.628681002602383</c:v>
                </c:pt>
                <c:pt idx="388">
                  <c:v>10.65607451034105</c:v>
                </c:pt>
                <c:pt idx="389">
                  <c:v>10.683468018079715</c:v>
                </c:pt>
                <c:pt idx="390">
                  <c:v>10.71086152581838</c:v>
                </c:pt>
                <c:pt idx="391">
                  <c:v>10.738255033557047</c:v>
                </c:pt>
                <c:pt idx="392">
                  <c:v>10.765648541295713</c:v>
                </c:pt>
                <c:pt idx="393">
                  <c:v>10.793042049034378</c:v>
                </c:pt>
                <c:pt idx="394">
                  <c:v>10.820435556773045</c:v>
                </c:pt>
                <c:pt idx="395">
                  <c:v>10.847829064511711</c:v>
                </c:pt>
                <c:pt idx="396">
                  <c:v>10.875222572250376</c:v>
                </c:pt>
                <c:pt idx="397">
                  <c:v>10.902616079989043</c:v>
                </c:pt>
                <c:pt idx="398">
                  <c:v>10.930009587727708</c:v>
                </c:pt>
                <c:pt idx="399">
                  <c:v>10.957403095466374</c:v>
                </c:pt>
                <c:pt idx="400">
                  <c:v>10.984796603205041</c:v>
                </c:pt>
                <c:pt idx="401">
                  <c:v>11.012190110943706</c:v>
                </c:pt>
                <c:pt idx="402">
                  <c:v>11.039583618682371</c:v>
                </c:pt>
                <c:pt idx="403">
                  <c:v>11.066977126421039</c:v>
                </c:pt>
                <c:pt idx="404">
                  <c:v>11.094370634159704</c:v>
                </c:pt>
                <c:pt idx="405">
                  <c:v>11.121764141898369</c:v>
                </c:pt>
                <c:pt idx="406">
                  <c:v>11.149157649637036</c:v>
                </c:pt>
                <c:pt idx="407">
                  <c:v>11.176551157375702</c:v>
                </c:pt>
                <c:pt idx="408">
                  <c:v>11.203944665114367</c:v>
                </c:pt>
                <c:pt idx="409">
                  <c:v>11.231338172853034</c:v>
                </c:pt>
                <c:pt idx="410">
                  <c:v>11.258731680591699</c:v>
                </c:pt>
                <c:pt idx="411">
                  <c:v>11.286125188330365</c:v>
                </c:pt>
                <c:pt idx="412">
                  <c:v>11.313518696069032</c:v>
                </c:pt>
                <c:pt idx="413">
                  <c:v>11.340912203807697</c:v>
                </c:pt>
                <c:pt idx="414">
                  <c:v>11.368305711546363</c:v>
                </c:pt>
                <c:pt idx="415">
                  <c:v>11.39569921928503</c:v>
                </c:pt>
                <c:pt idx="416">
                  <c:v>11.423092727023695</c:v>
                </c:pt>
                <c:pt idx="417">
                  <c:v>11.45048623476236</c:v>
                </c:pt>
                <c:pt idx="418">
                  <c:v>11.477879742501027</c:v>
                </c:pt>
                <c:pt idx="419">
                  <c:v>11.505273250239693</c:v>
                </c:pt>
                <c:pt idx="420">
                  <c:v>11.532666757978358</c:v>
                </c:pt>
                <c:pt idx="421">
                  <c:v>11.560060265717025</c:v>
                </c:pt>
                <c:pt idx="422">
                  <c:v>11.587453773455691</c:v>
                </c:pt>
                <c:pt idx="423">
                  <c:v>11.614847281194356</c:v>
                </c:pt>
                <c:pt idx="424">
                  <c:v>11.642240788933023</c:v>
                </c:pt>
                <c:pt idx="425">
                  <c:v>11.669634296671688</c:v>
                </c:pt>
                <c:pt idx="426">
                  <c:v>11.697027804410354</c:v>
                </c:pt>
                <c:pt idx="427">
                  <c:v>11.724421312149021</c:v>
                </c:pt>
                <c:pt idx="428">
                  <c:v>11.751814819887686</c:v>
                </c:pt>
                <c:pt idx="429">
                  <c:v>11.779208327626352</c:v>
                </c:pt>
                <c:pt idx="430">
                  <c:v>11.806601835365019</c:v>
                </c:pt>
                <c:pt idx="431">
                  <c:v>11.833995343103684</c:v>
                </c:pt>
                <c:pt idx="432">
                  <c:v>11.861388850842349</c:v>
                </c:pt>
                <c:pt idx="433">
                  <c:v>11.888782358581016</c:v>
                </c:pt>
                <c:pt idx="434">
                  <c:v>11.916175866319682</c:v>
                </c:pt>
                <c:pt idx="435">
                  <c:v>11.943569374058347</c:v>
                </c:pt>
                <c:pt idx="436">
                  <c:v>11.970962881797014</c:v>
                </c:pt>
                <c:pt idx="437">
                  <c:v>11.99835638953568</c:v>
                </c:pt>
                <c:pt idx="438">
                  <c:v>12.025749897274345</c:v>
                </c:pt>
                <c:pt idx="439">
                  <c:v>12.053143405013012</c:v>
                </c:pt>
                <c:pt idx="440">
                  <c:v>12.080536912751677</c:v>
                </c:pt>
                <c:pt idx="441">
                  <c:v>12.107930420490343</c:v>
                </c:pt>
                <c:pt idx="442">
                  <c:v>12.13532392822901</c:v>
                </c:pt>
                <c:pt idx="443">
                  <c:v>12.162717435967675</c:v>
                </c:pt>
                <c:pt idx="444">
                  <c:v>12.19011094370634</c:v>
                </c:pt>
                <c:pt idx="445">
                  <c:v>12.217504451445008</c:v>
                </c:pt>
                <c:pt idx="446">
                  <c:v>12.244897959183673</c:v>
                </c:pt>
                <c:pt idx="447">
                  <c:v>12.272291466922338</c:v>
                </c:pt>
                <c:pt idx="448">
                  <c:v>12.299684974661005</c:v>
                </c:pt>
                <c:pt idx="449">
                  <c:v>12.327078482399671</c:v>
                </c:pt>
                <c:pt idx="450">
                  <c:v>12.354471990138336</c:v>
                </c:pt>
                <c:pt idx="451">
                  <c:v>12.381865497877003</c:v>
                </c:pt>
                <c:pt idx="452">
                  <c:v>12.409259005615668</c:v>
                </c:pt>
                <c:pt idx="453">
                  <c:v>12.436652513354334</c:v>
                </c:pt>
                <c:pt idx="454">
                  <c:v>12.464046021093001</c:v>
                </c:pt>
                <c:pt idx="455">
                  <c:v>12.491439528831666</c:v>
                </c:pt>
                <c:pt idx="456">
                  <c:v>12.518833036570333</c:v>
                </c:pt>
                <c:pt idx="457">
                  <c:v>12.546226544308999</c:v>
                </c:pt>
                <c:pt idx="458">
                  <c:v>12.573620052047664</c:v>
                </c:pt>
                <c:pt idx="459">
                  <c:v>12.601013559786331</c:v>
                </c:pt>
                <c:pt idx="460">
                  <c:v>12.628407067524996</c:v>
                </c:pt>
                <c:pt idx="461">
                  <c:v>12.655800575263662</c:v>
                </c:pt>
                <c:pt idx="462">
                  <c:v>12.683194083002329</c:v>
                </c:pt>
                <c:pt idx="463">
                  <c:v>12.710587590740994</c:v>
                </c:pt>
                <c:pt idx="464">
                  <c:v>12.73798109847966</c:v>
                </c:pt>
                <c:pt idx="465">
                  <c:v>12.765374606218327</c:v>
                </c:pt>
                <c:pt idx="466">
                  <c:v>12.792768113956992</c:v>
                </c:pt>
                <c:pt idx="467">
                  <c:v>12.820161621695657</c:v>
                </c:pt>
                <c:pt idx="468">
                  <c:v>12.847555129434324</c:v>
                </c:pt>
                <c:pt idx="469">
                  <c:v>12.87494863717299</c:v>
                </c:pt>
                <c:pt idx="470">
                  <c:v>12.902342144911655</c:v>
                </c:pt>
                <c:pt idx="471">
                  <c:v>12.929735652650322</c:v>
                </c:pt>
                <c:pt idx="472">
                  <c:v>12.957129160388988</c:v>
                </c:pt>
                <c:pt idx="473">
                  <c:v>12.984522668127653</c:v>
                </c:pt>
                <c:pt idx="474">
                  <c:v>13.01191617586632</c:v>
                </c:pt>
                <c:pt idx="475">
                  <c:v>13.039309683604985</c:v>
                </c:pt>
                <c:pt idx="476">
                  <c:v>13.066703191343651</c:v>
                </c:pt>
                <c:pt idx="477">
                  <c:v>13.094096699082318</c:v>
                </c:pt>
                <c:pt idx="478">
                  <c:v>13.121490206820983</c:v>
                </c:pt>
                <c:pt idx="479">
                  <c:v>13.148883714559648</c:v>
                </c:pt>
                <c:pt idx="480">
                  <c:v>13.176277222298316</c:v>
                </c:pt>
                <c:pt idx="481">
                  <c:v>13.203670730036981</c:v>
                </c:pt>
                <c:pt idx="482">
                  <c:v>13.231064237775646</c:v>
                </c:pt>
                <c:pt idx="483">
                  <c:v>13.258457745514313</c:v>
                </c:pt>
                <c:pt idx="484">
                  <c:v>13.285851253252979</c:v>
                </c:pt>
                <c:pt idx="485">
                  <c:v>13.313244760991644</c:v>
                </c:pt>
                <c:pt idx="486">
                  <c:v>13.340638268730311</c:v>
                </c:pt>
                <c:pt idx="487">
                  <c:v>13.368031776468976</c:v>
                </c:pt>
                <c:pt idx="488">
                  <c:v>13.395425284207642</c:v>
                </c:pt>
                <c:pt idx="489">
                  <c:v>13.422818791946309</c:v>
                </c:pt>
                <c:pt idx="490">
                  <c:v>13.450212299684974</c:v>
                </c:pt>
                <c:pt idx="491">
                  <c:v>13.47760580742364</c:v>
                </c:pt>
                <c:pt idx="492">
                  <c:v>13.504999315162307</c:v>
                </c:pt>
                <c:pt idx="493">
                  <c:v>13.532392822900972</c:v>
                </c:pt>
                <c:pt idx="494">
                  <c:v>13.559786330639637</c:v>
                </c:pt>
                <c:pt idx="495">
                  <c:v>13.587179838378304</c:v>
                </c:pt>
                <c:pt idx="496">
                  <c:v>13.61457334611697</c:v>
                </c:pt>
                <c:pt idx="497">
                  <c:v>13.641966853855635</c:v>
                </c:pt>
                <c:pt idx="498">
                  <c:v>13.669360361594302</c:v>
                </c:pt>
                <c:pt idx="499">
                  <c:v>13.696753869332968</c:v>
                </c:pt>
                <c:pt idx="500">
                  <c:v>13.724147377071633</c:v>
                </c:pt>
                <c:pt idx="501">
                  <c:v>13.7515408848103</c:v>
                </c:pt>
                <c:pt idx="502">
                  <c:v>13.778934392548965</c:v>
                </c:pt>
                <c:pt idx="503">
                  <c:v>13.806327900287631</c:v>
                </c:pt>
                <c:pt idx="504">
                  <c:v>13.833721408026298</c:v>
                </c:pt>
                <c:pt idx="505">
                  <c:v>13.861114915764963</c:v>
                </c:pt>
                <c:pt idx="506">
                  <c:v>13.888508423503628</c:v>
                </c:pt>
                <c:pt idx="507">
                  <c:v>13.915901931242296</c:v>
                </c:pt>
                <c:pt idx="508">
                  <c:v>13.943295438980961</c:v>
                </c:pt>
                <c:pt idx="509">
                  <c:v>13.970688946719626</c:v>
                </c:pt>
                <c:pt idx="510">
                  <c:v>13.998082454458293</c:v>
                </c:pt>
                <c:pt idx="511">
                  <c:v>14.025475962196959</c:v>
                </c:pt>
                <c:pt idx="512">
                  <c:v>14.052869469935624</c:v>
                </c:pt>
                <c:pt idx="513">
                  <c:v>14.080262977674291</c:v>
                </c:pt>
                <c:pt idx="514">
                  <c:v>14.107656485412956</c:v>
                </c:pt>
                <c:pt idx="515">
                  <c:v>14.135049993151622</c:v>
                </c:pt>
                <c:pt idx="516">
                  <c:v>14.162443500890289</c:v>
                </c:pt>
                <c:pt idx="517">
                  <c:v>14.189837008628954</c:v>
                </c:pt>
                <c:pt idx="518">
                  <c:v>14.21723051636762</c:v>
                </c:pt>
                <c:pt idx="519">
                  <c:v>14.244624024106287</c:v>
                </c:pt>
                <c:pt idx="520">
                  <c:v>14.272017531844952</c:v>
                </c:pt>
                <c:pt idx="521">
                  <c:v>14.299411039583617</c:v>
                </c:pt>
                <c:pt idx="522">
                  <c:v>14.326804547322284</c:v>
                </c:pt>
                <c:pt idx="523">
                  <c:v>14.35419805506095</c:v>
                </c:pt>
                <c:pt idx="524">
                  <c:v>14.381591562799617</c:v>
                </c:pt>
                <c:pt idx="525">
                  <c:v>14.408985070538282</c:v>
                </c:pt>
                <c:pt idx="526">
                  <c:v>14.436378578276948</c:v>
                </c:pt>
                <c:pt idx="527">
                  <c:v>14.463772086015615</c:v>
                </c:pt>
                <c:pt idx="528">
                  <c:v>14.49116559375428</c:v>
                </c:pt>
                <c:pt idx="529">
                  <c:v>14.518559101492945</c:v>
                </c:pt>
                <c:pt idx="530">
                  <c:v>14.545952609231612</c:v>
                </c:pt>
                <c:pt idx="531">
                  <c:v>14.573346116970278</c:v>
                </c:pt>
                <c:pt idx="532">
                  <c:v>14.600739624708943</c:v>
                </c:pt>
                <c:pt idx="533">
                  <c:v>14.62813313244761</c:v>
                </c:pt>
                <c:pt idx="534">
                  <c:v>14.655526640186276</c:v>
                </c:pt>
                <c:pt idx="535">
                  <c:v>14.682920147924941</c:v>
                </c:pt>
                <c:pt idx="536">
                  <c:v>14.710313655663608</c:v>
                </c:pt>
                <c:pt idx="537">
                  <c:v>14.737707163402273</c:v>
                </c:pt>
                <c:pt idx="538">
                  <c:v>14.765100671140939</c:v>
                </c:pt>
                <c:pt idx="539">
                  <c:v>14.792494178879606</c:v>
                </c:pt>
                <c:pt idx="540">
                  <c:v>14.819887686618271</c:v>
                </c:pt>
                <c:pt idx="541">
                  <c:v>14.847281194356936</c:v>
                </c:pt>
                <c:pt idx="542">
                  <c:v>14.874674702095604</c:v>
                </c:pt>
                <c:pt idx="543">
                  <c:v>14.902068209834269</c:v>
                </c:pt>
                <c:pt idx="544">
                  <c:v>14.929461717572934</c:v>
                </c:pt>
                <c:pt idx="545">
                  <c:v>14.956855225311601</c:v>
                </c:pt>
                <c:pt idx="546">
                  <c:v>14.984248733050267</c:v>
                </c:pt>
                <c:pt idx="547">
                  <c:v>15.011642240788932</c:v>
                </c:pt>
                <c:pt idx="548">
                  <c:v>15.039035748527599</c:v>
                </c:pt>
                <c:pt idx="549">
                  <c:v>15.066429256266265</c:v>
                </c:pt>
                <c:pt idx="550">
                  <c:v>15.09382276400493</c:v>
                </c:pt>
                <c:pt idx="551">
                  <c:v>15.121216271743597</c:v>
                </c:pt>
                <c:pt idx="552">
                  <c:v>15.148609779482262</c:v>
                </c:pt>
                <c:pt idx="553">
                  <c:v>15.176003287220928</c:v>
                </c:pt>
                <c:pt idx="554">
                  <c:v>15.203396794959595</c:v>
                </c:pt>
                <c:pt idx="555">
                  <c:v>15.23079030269826</c:v>
                </c:pt>
                <c:pt idx="556">
                  <c:v>15.258183810436925</c:v>
                </c:pt>
                <c:pt idx="557">
                  <c:v>15.285577318175593</c:v>
                </c:pt>
                <c:pt idx="558">
                  <c:v>15.312970825914258</c:v>
                </c:pt>
                <c:pt idx="559">
                  <c:v>15.340364333652923</c:v>
                </c:pt>
                <c:pt idx="560">
                  <c:v>15.36775784139159</c:v>
                </c:pt>
                <c:pt idx="561">
                  <c:v>15.395151349130256</c:v>
                </c:pt>
                <c:pt idx="562">
                  <c:v>15.422544856868921</c:v>
                </c:pt>
                <c:pt idx="563">
                  <c:v>15.449938364607588</c:v>
                </c:pt>
                <c:pt idx="564">
                  <c:v>15.477331872346253</c:v>
                </c:pt>
                <c:pt idx="565">
                  <c:v>15.504725380084919</c:v>
                </c:pt>
                <c:pt idx="566">
                  <c:v>15.532118887823586</c:v>
                </c:pt>
                <c:pt idx="567">
                  <c:v>15.559512395562251</c:v>
                </c:pt>
                <c:pt idx="568">
                  <c:v>15.586905903300917</c:v>
                </c:pt>
                <c:pt idx="569">
                  <c:v>15.614299411039584</c:v>
                </c:pt>
                <c:pt idx="570">
                  <c:v>15.641692918778249</c:v>
                </c:pt>
                <c:pt idx="571">
                  <c:v>15.669086426516914</c:v>
                </c:pt>
                <c:pt idx="572">
                  <c:v>15.696479934255581</c:v>
                </c:pt>
                <c:pt idx="573">
                  <c:v>15.723873441994247</c:v>
                </c:pt>
                <c:pt idx="574">
                  <c:v>15.751266949732912</c:v>
                </c:pt>
                <c:pt idx="575">
                  <c:v>15.778660457471579</c:v>
                </c:pt>
                <c:pt idx="576">
                  <c:v>15.806053965210245</c:v>
                </c:pt>
                <c:pt idx="577">
                  <c:v>15.83344747294891</c:v>
                </c:pt>
                <c:pt idx="578">
                  <c:v>15.860840980687577</c:v>
                </c:pt>
                <c:pt idx="579">
                  <c:v>15.888234488426242</c:v>
                </c:pt>
                <c:pt idx="580">
                  <c:v>15.915627996164908</c:v>
                </c:pt>
                <c:pt idx="581">
                  <c:v>15.943021503903575</c:v>
                </c:pt>
                <c:pt idx="582">
                  <c:v>15.97041501164224</c:v>
                </c:pt>
                <c:pt idx="583">
                  <c:v>15.997808519380905</c:v>
                </c:pt>
                <c:pt idx="584">
                  <c:v>16.025202027119573</c:v>
                </c:pt>
                <c:pt idx="585">
                  <c:v>16.052595534858238</c:v>
                </c:pt>
                <c:pt idx="586">
                  <c:v>16.079989042596903</c:v>
                </c:pt>
                <c:pt idx="587">
                  <c:v>16.107382550335569</c:v>
                </c:pt>
                <c:pt idx="588">
                  <c:v>16.134776058074237</c:v>
                </c:pt>
                <c:pt idx="589">
                  <c:v>16.162169565812903</c:v>
                </c:pt>
                <c:pt idx="590">
                  <c:v>16.189563073551568</c:v>
                </c:pt>
                <c:pt idx="591">
                  <c:v>16.216956581290233</c:v>
                </c:pt>
                <c:pt idx="592">
                  <c:v>16.244350089028899</c:v>
                </c:pt>
                <c:pt idx="593">
                  <c:v>16.271743596767564</c:v>
                </c:pt>
                <c:pt idx="594">
                  <c:v>16.299137104506233</c:v>
                </c:pt>
                <c:pt idx="595">
                  <c:v>16.326530612244898</c:v>
                </c:pt>
                <c:pt idx="596">
                  <c:v>16.353924119983564</c:v>
                </c:pt>
                <c:pt idx="597">
                  <c:v>16.381317627722229</c:v>
                </c:pt>
                <c:pt idx="598">
                  <c:v>16.408711135460894</c:v>
                </c:pt>
                <c:pt idx="599">
                  <c:v>16.43610464319956</c:v>
                </c:pt>
                <c:pt idx="600">
                  <c:v>16.463498150938229</c:v>
                </c:pt>
                <c:pt idx="601">
                  <c:v>16.490891658676894</c:v>
                </c:pt>
                <c:pt idx="602">
                  <c:v>16.518285166415559</c:v>
                </c:pt>
                <c:pt idx="603">
                  <c:v>16.545678674154225</c:v>
                </c:pt>
                <c:pt idx="604">
                  <c:v>16.57307218189289</c:v>
                </c:pt>
                <c:pt idx="605">
                  <c:v>16.600465689631555</c:v>
                </c:pt>
                <c:pt idx="606">
                  <c:v>16.627859197370224</c:v>
                </c:pt>
                <c:pt idx="607">
                  <c:v>16.655252705108889</c:v>
                </c:pt>
                <c:pt idx="608">
                  <c:v>16.682646212847555</c:v>
                </c:pt>
                <c:pt idx="609">
                  <c:v>16.71003972058622</c:v>
                </c:pt>
                <c:pt idx="610">
                  <c:v>16.737433228324885</c:v>
                </c:pt>
                <c:pt idx="611">
                  <c:v>16.764826736063551</c:v>
                </c:pt>
                <c:pt idx="612">
                  <c:v>16.79222024380222</c:v>
                </c:pt>
                <c:pt idx="613">
                  <c:v>16.819613751540885</c:v>
                </c:pt>
                <c:pt idx="614">
                  <c:v>16.84700725927955</c:v>
                </c:pt>
                <c:pt idx="615">
                  <c:v>16.874400767018216</c:v>
                </c:pt>
                <c:pt idx="616">
                  <c:v>16.901794274756881</c:v>
                </c:pt>
                <c:pt idx="617">
                  <c:v>16.929187782495546</c:v>
                </c:pt>
                <c:pt idx="618">
                  <c:v>16.956581290234215</c:v>
                </c:pt>
                <c:pt idx="619">
                  <c:v>16.983974797972881</c:v>
                </c:pt>
                <c:pt idx="620">
                  <c:v>17.011368305711546</c:v>
                </c:pt>
                <c:pt idx="621">
                  <c:v>17.038761813450211</c:v>
                </c:pt>
                <c:pt idx="622">
                  <c:v>17.066155321188877</c:v>
                </c:pt>
                <c:pt idx="623">
                  <c:v>17.093548828927542</c:v>
                </c:pt>
                <c:pt idx="624">
                  <c:v>17.120942336666211</c:v>
                </c:pt>
                <c:pt idx="625">
                  <c:v>17.148335844404876</c:v>
                </c:pt>
                <c:pt idx="626">
                  <c:v>17.175729352143541</c:v>
                </c:pt>
                <c:pt idx="627">
                  <c:v>17.203122859882207</c:v>
                </c:pt>
                <c:pt idx="628">
                  <c:v>17.230516367620872</c:v>
                </c:pt>
                <c:pt idx="629">
                  <c:v>17.257909875359541</c:v>
                </c:pt>
                <c:pt idx="630">
                  <c:v>17.285303383098206</c:v>
                </c:pt>
                <c:pt idx="631">
                  <c:v>17.312696890836872</c:v>
                </c:pt>
                <c:pt idx="632">
                  <c:v>17.340090398575537</c:v>
                </c:pt>
                <c:pt idx="633">
                  <c:v>17.367483906314202</c:v>
                </c:pt>
                <c:pt idx="634">
                  <c:v>17.394877414052868</c:v>
                </c:pt>
                <c:pt idx="635">
                  <c:v>17.422270921791537</c:v>
                </c:pt>
                <c:pt idx="636">
                  <c:v>17.449664429530202</c:v>
                </c:pt>
                <c:pt idx="637">
                  <c:v>17.477057937268867</c:v>
                </c:pt>
                <c:pt idx="638">
                  <c:v>17.504451445007533</c:v>
                </c:pt>
                <c:pt idx="639">
                  <c:v>17.531844952746198</c:v>
                </c:pt>
                <c:pt idx="640">
                  <c:v>17.559238460484863</c:v>
                </c:pt>
                <c:pt idx="641">
                  <c:v>17.586631968223532</c:v>
                </c:pt>
                <c:pt idx="642">
                  <c:v>17.614025475962197</c:v>
                </c:pt>
                <c:pt idx="643">
                  <c:v>17.641418983700863</c:v>
                </c:pt>
                <c:pt idx="644">
                  <c:v>17.668812491439528</c:v>
                </c:pt>
                <c:pt idx="645">
                  <c:v>17.696205999178193</c:v>
                </c:pt>
                <c:pt idx="646">
                  <c:v>17.723599506916859</c:v>
                </c:pt>
                <c:pt idx="647">
                  <c:v>17.750993014655528</c:v>
                </c:pt>
                <c:pt idx="648">
                  <c:v>17.778386522394193</c:v>
                </c:pt>
                <c:pt idx="649">
                  <c:v>17.805780030132858</c:v>
                </c:pt>
                <c:pt idx="650">
                  <c:v>17.833173537871524</c:v>
                </c:pt>
                <c:pt idx="651">
                  <c:v>17.860567045610189</c:v>
                </c:pt>
                <c:pt idx="652">
                  <c:v>17.887960553348854</c:v>
                </c:pt>
                <c:pt idx="653">
                  <c:v>17.915354061087523</c:v>
                </c:pt>
                <c:pt idx="654">
                  <c:v>17.942747568826189</c:v>
                </c:pt>
                <c:pt idx="655">
                  <c:v>17.970141076564854</c:v>
                </c:pt>
                <c:pt idx="656">
                  <c:v>17.997534584303519</c:v>
                </c:pt>
                <c:pt idx="657">
                  <c:v>18.024928092042185</c:v>
                </c:pt>
                <c:pt idx="658">
                  <c:v>18.05232159978085</c:v>
                </c:pt>
                <c:pt idx="659">
                  <c:v>18.079715107519519</c:v>
                </c:pt>
                <c:pt idx="660">
                  <c:v>18.107108615258184</c:v>
                </c:pt>
                <c:pt idx="661">
                  <c:v>18.134502122996849</c:v>
                </c:pt>
                <c:pt idx="662">
                  <c:v>18.161895630735515</c:v>
                </c:pt>
                <c:pt idx="663">
                  <c:v>18.18928913847418</c:v>
                </c:pt>
                <c:pt idx="664">
                  <c:v>18.216682646212845</c:v>
                </c:pt>
                <c:pt idx="665">
                  <c:v>18.244076153951514</c:v>
                </c:pt>
                <c:pt idx="666">
                  <c:v>18.27146966169018</c:v>
                </c:pt>
                <c:pt idx="667">
                  <c:v>18.298863169428845</c:v>
                </c:pt>
                <c:pt idx="668">
                  <c:v>18.32625667716751</c:v>
                </c:pt>
                <c:pt idx="669">
                  <c:v>18.353650184906176</c:v>
                </c:pt>
                <c:pt idx="670">
                  <c:v>18.381043692644841</c:v>
                </c:pt>
                <c:pt idx="671">
                  <c:v>18.40843720038351</c:v>
                </c:pt>
                <c:pt idx="672">
                  <c:v>18.435830708122175</c:v>
                </c:pt>
                <c:pt idx="673">
                  <c:v>18.463224215860841</c:v>
                </c:pt>
                <c:pt idx="674">
                  <c:v>18.490617723599506</c:v>
                </c:pt>
                <c:pt idx="675">
                  <c:v>18.518011231338171</c:v>
                </c:pt>
                <c:pt idx="676">
                  <c:v>18.545404739076837</c:v>
                </c:pt>
                <c:pt idx="677">
                  <c:v>18.572798246815506</c:v>
                </c:pt>
                <c:pt idx="678">
                  <c:v>18.600191754554171</c:v>
                </c:pt>
                <c:pt idx="679">
                  <c:v>18.627585262292836</c:v>
                </c:pt>
                <c:pt idx="680">
                  <c:v>18.654978770031502</c:v>
                </c:pt>
                <c:pt idx="681">
                  <c:v>18.682372277770167</c:v>
                </c:pt>
                <c:pt idx="682">
                  <c:v>18.709765785508832</c:v>
                </c:pt>
                <c:pt idx="683">
                  <c:v>18.737159293247501</c:v>
                </c:pt>
                <c:pt idx="684">
                  <c:v>18.764552800986166</c:v>
                </c:pt>
                <c:pt idx="685">
                  <c:v>18.791946308724832</c:v>
                </c:pt>
                <c:pt idx="686">
                  <c:v>18.819339816463497</c:v>
                </c:pt>
                <c:pt idx="687">
                  <c:v>18.846733324202162</c:v>
                </c:pt>
                <c:pt idx="688">
                  <c:v>18.874126831940828</c:v>
                </c:pt>
                <c:pt idx="689">
                  <c:v>18.901520339679497</c:v>
                </c:pt>
                <c:pt idx="690">
                  <c:v>18.928913847418162</c:v>
                </c:pt>
                <c:pt idx="691">
                  <c:v>18.956307355156827</c:v>
                </c:pt>
                <c:pt idx="692">
                  <c:v>18.983700862895493</c:v>
                </c:pt>
                <c:pt idx="693">
                  <c:v>19.011094370634158</c:v>
                </c:pt>
                <c:pt idx="694">
                  <c:v>19.038487878372823</c:v>
                </c:pt>
                <c:pt idx="695">
                  <c:v>19.065881386111492</c:v>
                </c:pt>
                <c:pt idx="696">
                  <c:v>19.093274893850158</c:v>
                </c:pt>
                <c:pt idx="697">
                  <c:v>19.120668401588823</c:v>
                </c:pt>
                <c:pt idx="698">
                  <c:v>19.148061909327488</c:v>
                </c:pt>
                <c:pt idx="699">
                  <c:v>19.175455417066154</c:v>
                </c:pt>
                <c:pt idx="700">
                  <c:v>19.202848924804822</c:v>
                </c:pt>
                <c:pt idx="701">
                  <c:v>19.230242432543488</c:v>
                </c:pt>
                <c:pt idx="702">
                  <c:v>19.257635940282153</c:v>
                </c:pt>
                <c:pt idx="703">
                  <c:v>19.285029448020818</c:v>
                </c:pt>
                <c:pt idx="704">
                  <c:v>19.312422955759484</c:v>
                </c:pt>
                <c:pt idx="705">
                  <c:v>19.339816463498149</c:v>
                </c:pt>
                <c:pt idx="706">
                  <c:v>19.367209971236818</c:v>
                </c:pt>
                <c:pt idx="707">
                  <c:v>19.394603478975483</c:v>
                </c:pt>
                <c:pt idx="708">
                  <c:v>19.421996986714149</c:v>
                </c:pt>
                <c:pt idx="709">
                  <c:v>19.449390494452814</c:v>
                </c:pt>
                <c:pt idx="710">
                  <c:v>19.476784002191479</c:v>
                </c:pt>
                <c:pt idx="711">
                  <c:v>19.504177509930145</c:v>
                </c:pt>
                <c:pt idx="712">
                  <c:v>19.531571017668814</c:v>
                </c:pt>
                <c:pt idx="713">
                  <c:v>19.558964525407479</c:v>
                </c:pt>
                <c:pt idx="714">
                  <c:v>19.586358033146144</c:v>
                </c:pt>
                <c:pt idx="715">
                  <c:v>19.61375154088481</c:v>
                </c:pt>
                <c:pt idx="716">
                  <c:v>19.641145048623475</c:v>
                </c:pt>
                <c:pt idx="717">
                  <c:v>19.66853855636214</c:v>
                </c:pt>
                <c:pt idx="718">
                  <c:v>19.695932064100809</c:v>
                </c:pt>
                <c:pt idx="719">
                  <c:v>19.723325571839474</c:v>
                </c:pt>
                <c:pt idx="720">
                  <c:v>19.75071907957814</c:v>
                </c:pt>
                <c:pt idx="721">
                  <c:v>19.778112587316805</c:v>
                </c:pt>
                <c:pt idx="722">
                  <c:v>19.80550609505547</c:v>
                </c:pt>
                <c:pt idx="723">
                  <c:v>19.832899602794136</c:v>
                </c:pt>
                <c:pt idx="724">
                  <c:v>19.860293110532805</c:v>
                </c:pt>
                <c:pt idx="725">
                  <c:v>19.88768661827147</c:v>
                </c:pt>
                <c:pt idx="726">
                  <c:v>19.915080126010135</c:v>
                </c:pt>
                <c:pt idx="727">
                  <c:v>19.942473633748801</c:v>
                </c:pt>
                <c:pt idx="728">
                  <c:v>19.969867141487466</c:v>
                </c:pt>
                <c:pt idx="729">
                  <c:v>19.997260649226131</c:v>
                </c:pt>
                <c:pt idx="730">
                  <c:v>20.0246541569648</c:v>
                </c:pt>
                <c:pt idx="731">
                  <c:v>20.052047664703466</c:v>
                </c:pt>
                <c:pt idx="732">
                  <c:v>20.079441172442131</c:v>
                </c:pt>
                <c:pt idx="733">
                  <c:v>20.106834680180796</c:v>
                </c:pt>
                <c:pt idx="734">
                  <c:v>20.134228187919462</c:v>
                </c:pt>
                <c:pt idx="735">
                  <c:v>20.161621695658127</c:v>
                </c:pt>
                <c:pt idx="736">
                  <c:v>20.189015203396796</c:v>
                </c:pt>
                <c:pt idx="737">
                  <c:v>20.216408711135461</c:v>
                </c:pt>
                <c:pt idx="738">
                  <c:v>20.243802218874126</c:v>
                </c:pt>
                <c:pt idx="739">
                  <c:v>20.271195726612792</c:v>
                </c:pt>
                <c:pt idx="740">
                  <c:v>20.298589234351457</c:v>
                </c:pt>
                <c:pt idx="741">
                  <c:v>20.325982742090122</c:v>
                </c:pt>
                <c:pt idx="742">
                  <c:v>20.353376249828791</c:v>
                </c:pt>
                <c:pt idx="743">
                  <c:v>20.380769757567457</c:v>
                </c:pt>
                <c:pt idx="744">
                  <c:v>20.408163265306122</c:v>
                </c:pt>
                <c:pt idx="745">
                  <c:v>20.435556773044787</c:v>
                </c:pt>
                <c:pt idx="746">
                  <c:v>20.462950280783453</c:v>
                </c:pt>
                <c:pt idx="747">
                  <c:v>20.490343788522118</c:v>
                </c:pt>
                <c:pt idx="748">
                  <c:v>20.517737296260787</c:v>
                </c:pt>
                <c:pt idx="749">
                  <c:v>20.545130803999452</c:v>
                </c:pt>
                <c:pt idx="750">
                  <c:v>20.572524311738118</c:v>
                </c:pt>
                <c:pt idx="751">
                  <c:v>20.599917819476783</c:v>
                </c:pt>
                <c:pt idx="752">
                  <c:v>20.627311327215448</c:v>
                </c:pt>
                <c:pt idx="753">
                  <c:v>20.654704834954114</c:v>
                </c:pt>
                <c:pt idx="754">
                  <c:v>20.682098342692782</c:v>
                </c:pt>
                <c:pt idx="755">
                  <c:v>20.709491850431448</c:v>
                </c:pt>
                <c:pt idx="756">
                  <c:v>20.736885358170113</c:v>
                </c:pt>
                <c:pt idx="757">
                  <c:v>20.764278865908778</c:v>
                </c:pt>
                <c:pt idx="758">
                  <c:v>20.791672373647444</c:v>
                </c:pt>
                <c:pt idx="759">
                  <c:v>20.819065881386109</c:v>
                </c:pt>
                <c:pt idx="760">
                  <c:v>20.846459389124778</c:v>
                </c:pt>
                <c:pt idx="761">
                  <c:v>20.873852896863443</c:v>
                </c:pt>
                <c:pt idx="762">
                  <c:v>20.901246404602109</c:v>
                </c:pt>
                <c:pt idx="763">
                  <c:v>20.928639912340774</c:v>
                </c:pt>
                <c:pt idx="764">
                  <c:v>20.956033420079439</c:v>
                </c:pt>
                <c:pt idx="765">
                  <c:v>20.983426927818105</c:v>
                </c:pt>
                <c:pt idx="766">
                  <c:v>21.010820435556774</c:v>
                </c:pt>
                <c:pt idx="767">
                  <c:v>21.038213943295439</c:v>
                </c:pt>
                <c:pt idx="768">
                  <c:v>21.065607451034104</c:v>
                </c:pt>
                <c:pt idx="769">
                  <c:v>21.09300095877277</c:v>
                </c:pt>
                <c:pt idx="770">
                  <c:v>21.120394466511435</c:v>
                </c:pt>
                <c:pt idx="771">
                  <c:v>21.147787974250104</c:v>
                </c:pt>
                <c:pt idx="772">
                  <c:v>21.175181481988769</c:v>
                </c:pt>
                <c:pt idx="773">
                  <c:v>21.202574989727434</c:v>
                </c:pt>
                <c:pt idx="774">
                  <c:v>21.2299684974661</c:v>
                </c:pt>
                <c:pt idx="775">
                  <c:v>21.257362005204765</c:v>
                </c:pt>
                <c:pt idx="776">
                  <c:v>21.28475551294343</c:v>
                </c:pt>
                <c:pt idx="777">
                  <c:v>21.312149020682099</c:v>
                </c:pt>
                <c:pt idx="778">
                  <c:v>21.339542528420765</c:v>
                </c:pt>
                <c:pt idx="779">
                  <c:v>21.36693603615943</c:v>
                </c:pt>
                <c:pt idx="780">
                  <c:v>21.394329543898095</c:v>
                </c:pt>
                <c:pt idx="781">
                  <c:v>21.421723051636761</c:v>
                </c:pt>
                <c:pt idx="782">
                  <c:v>21.449116559375426</c:v>
                </c:pt>
                <c:pt idx="783">
                  <c:v>21.476510067114095</c:v>
                </c:pt>
                <c:pt idx="784">
                  <c:v>21.50390357485276</c:v>
                </c:pt>
                <c:pt idx="785">
                  <c:v>21.531297082591426</c:v>
                </c:pt>
                <c:pt idx="786">
                  <c:v>21.558690590330091</c:v>
                </c:pt>
                <c:pt idx="787">
                  <c:v>21.586084098068756</c:v>
                </c:pt>
                <c:pt idx="788">
                  <c:v>21.613477605807422</c:v>
                </c:pt>
                <c:pt idx="789">
                  <c:v>21.64087111354609</c:v>
                </c:pt>
                <c:pt idx="790">
                  <c:v>21.668264621284756</c:v>
                </c:pt>
                <c:pt idx="791">
                  <c:v>21.695658129023421</c:v>
                </c:pt>
                <c:pt idx="792">
                  <c:v>21.723051636762087</c:v>
                </c:pt>
                <c:pt idx="793">
                  <c:v>21.750445144500752</c:v>
                </c:pt>
                <c:pt idx="794">
                  <c:v>21.777838652239417</c:v>
                </c:pt>
                <c:pt idx="795">
                  <c:v>21.805232159978086</c:v>
                </c:pt>
                <c:pt idx="796">
                  <c:v>21.832625667716751</c:v>
                </c:pt>
                <c:pt idx="797">
                  <c:v>21.860019175455417</c:v>
                </c:pt>
                <c:pt idx="798">
                  <c:v>21.887412683194082</c:v>
                </c:pt>
                <c:pt idx="799">
                  <c:v>21.914806190932747</c:v>
                </c:pt>
                <c:pt idx="800">
                  <c:v>21.942199698671413</c:v>
                </c:pt>
                <c:pt idx="801">
                  <c:v>21.969593206410082</c:v>
                </c:pt>
                <c:pt idx="802">
                  <c:v>21.996986714148747</c:v>
                </c:pt>
                <c:pt idx="803">
                  <c:v>22.024380221887412</c:v>
                </c:pt>
                <c:pt idx="804">
                  <c:v>22.051773729626078</c:v>
                </c:pt>
                <c:pt idx="805">
                  <c:v>22.079167237364743</c:v>
                </c:pt>
                <c:pt idx="806">
                  <c:v>22.106560745103408</c:v>
                </c:pt>
                <c:pt idx="807">
                  <c:v>22.133954252842077</c:v>
                </c:pt>
                <c:pt idx="808">
                  <c:v>22.161347760580743</c:v>
                </c:pt>
                <c:pt idx="809">
                  <c:v>22.188741268319408</c:v>
                </c:pt>
                <c:pt idx="810">
                  <c:v>22.216134776058073</c:v>
                </c:pt>
                <c:pt idx="811">
                  <c:v>22.243528283796739</c:v>
                </c:pt>
                <c:pt idx="812">
                  <c:v>22.270921791535404</c:v>
                </c:pt>
                <c:pt idx="813">
                  <c:v>22.298315299274073</c:v>
                </c:pt>
                <c:pt idx="814">
                  <c:v>22.325708807012738</c:v>
                </c:pt>
                <c:pt idx="815">
                  <c:v>22.353102314751403</c:v>
                </c:pt>
                <c:pt idx="816">
                  <c:v>22.380495822490069</c:v>
                </c:pt>
                <c:pt idx="817">
                  <c:v>22.407889330228734</c:v>
                </c:pt>
                <c:pt idx="818">
                  <c:v>22.435282837967399</c:v>
                </c:pt>
                <c:pt idx="819">
                  <c:v>22.462676345706068</c:v>
                </c:pt>
                <c:pt idx="820">
                  <c:v>22.490069853444734</c:v>
                </c:pt>
                <c:pt idx="821">
                  <c:v>22.517463361183399</c:v>
                </c:pt>
                <c:pt idx="822">
                  <c:v>22.544856868922064</c:v>
                </c:pt>
                <c:pt idx="823">
                  <c:v>22.57225037666073</c:v>
                </c:pt>
                <c:pt idx="824">
                  <c:v>22.599643884399395</c:v>
                </c:pt>
                <c:pt idx="825">
                  <c:v>22.627037392138064</c:v>
                </c:pt>
                <c:pt idx="826">
                  <c:v>22.654430899876729</c:v>
                </c:pt>
                <c:pt idx="827">
                  <c:v>22.681824407615395</c:v>
                </c:pt>
                <c:pt idx="828">
                  <c:v>22.70921791535406</c:v>
                </c:pt>
                <c:pt idx="829">
                  <c:v>22.736611423092725</c:v>
                </c:pt>
                <c:pt idx="830">
                  <c:v>22.764004930831391</c:v>
                </c:pt>
                <c:pt idx="831">
                  <c:v>22.791398438570059</c:v>
                </c:pt>
                <c:pt idx="832">
                  <c:v>22.818791946308725</c:v>
                </c:pt>
                <c:pt idx="833">
                  <c:v>22.84618545404739</c:v>
                </c:pt>
                <c:pt idx="834">
                  <c:v>22.873578961786055</c:v>
                </c:pt>
                <c:pt idx="835">
                  <c:v>22.900972469524721</c:v>
                </c:pt>
                <c:pt idx="836">
                  <c:v>22.928365977263386</c:v>
                </c:pt>
                <c:pt idx="837">
                  <c:v>22.955759485002055</c:v>
                </c:pt>
                <c:pt idx="838">
                  <c:v>22.98315299274072</c:v>
                </c:pt>
                <c:pt idx="839">
                  <c:v>23.010546500479386</c:v>
                </c:pt>
                <c:pt idx="840">
                  <c:v>23.037940008218051</c:v>
                </c:pt>
                <c:pt idx="841">
                  <c:v>23.065333515956716</c:v>
                </c:pt>
                <c:pt idx="842">
                  <c:v>23.092727023695385</c:v>
                </c:pt>
                <c:pt idx="843">
                  <c:v>23.120120531434051</c:v>
                </c:pt>
                <c:pt idx="844">
                  <c:v>23.147514039172716</c:v>
                </c:pt>
                <c:pt idx="845">
                  <c:v>23.174907546911381</c:v>
                </c:pt>
                <c:pt idx="846">
                  <c:v>23.202301054650047</c:v>
                </c:pt>
                <c:pt idx="847">
                  <c:v>23.229694562388712</c:v>
                </c:pt>
                <c:pt idx="848">
                  <c:v>23.257088070127381</c:v>
                </c:pt>
                <c:pt idx="849">
                  <c:v>23.284481577866046</c:v>
                </c:pt>
                <c:pt idx="850">
                  <c:v>23.311875085604711</c:v>
                </c:pt>
                <c:pt idx="851">
                  <c:v>23.339268593343377</c:v>
                </c:pt>
                <c:pt idx="852">
                  <c:v>23.366662101082042</c:v>
                </c:pt>
                <c:pt idx="853">
                  <c:v>23.394055608820707</c:v>
                </c:pt>
                <c:pt idx="854">
                  <c:v>23.421449116559376</c:v>
                </c:pt>
                <c:pt idx="855">
                  <c:v>23.448842624298042</c:v>
                </c:pt>
                <c:pt idx="856">
                  <c:v>23.476236132036707</c:v>
                </c:pt>
                <c:pt idx="857">
                  <c:v>23.503629639775372</c:v>
                </c:pt>
                <c:pt idx="858">
                  <c:v>23.531023147514038</c:v>
                </c:pt>
                <c:pt idx="859">
                  <c:v>23.558416655252703</c:v>
                </c:pt>
                <c:pt idx="860">
                  <c:v>23.585810162991372</c:v>
                </c:pt>
                <c:pt idx="861">
                  <c:v>23.613203670730037</c:v>
                </c:pt>
                <c:pt idx="862">
                  <c:v>23.640597178468703</c:v>
                </c:pt>
                <c:pt idx="863">
                  <c:v>23.667990686207368</c:v>
                </c:pt>
                <c:pt idx="864">
                  <c:v>23.695384193946033</c:v>
                </c:pt>
                <c:pt idx="865">
                  <c:v>23.722777701684699</c:v>
                </c:pt>
                <c:pt idx="866">
                  <c:v>23.750171209423367</c:v>
                </c:pt>
                <c:pt idx="867">
                  <c:v>23.777564717162033</c:v>
                </c:pt>
                <c:pt idx="868">
                  <c:v>23.804958224900698</c:v>
                </c:pt>
                <c:pt idx="869">
                  <c:v>23.832351732639363</c:v>
                </c:pt>
                <c:pt idx="870">
                  <c:v>23.859745240378029</c:v>
                </c:pt>
                <c:pt idx="871">
                  <c:v>23.887138748116694</c:v>
                </c:pt>
                <c:pt idx="872">
                  <c:v>23.914532255855363</c:v>
                </c:pt>
                <c:pt idx="873">
                  <c:v>23.941925763594028</c:v>
                </c:pt>
                <c:pt idx="874">
                  <c:v>23.969319271332694</c:v>
                </c:pt>
                <c:pt idx="875">
                  <c:v>23.996712779071359</c:v>
                </c:pt>
                <c:pt idx="876">
                  <c:v>24.024106286810024</c:v>
                </c:pt>
                <c:pt idx="877">
                  <c:v>24.05149979454869</c:v>
                </c:pt>
                <c:pt idx="878">
                  <c:v>24.078893302287359</c:v>
                </c:pt>
                <c:pt idx="879">
                  <c:v>24.106286810026024</c:v>
                </c:pt>
                <c:pt idx="880">
                  <c:v>24.133680317764689</c:v>
                </c:pt>
                <c:pt idx="881">
                  <c:v>24.161073825503355</c:v>
                </c:pt>
                <c:pt idx="882">
                  <c:v>24.18846733324202</c:v>
                </c:pt>
                <c:pt idx="883">
                  <c:v>24.215860840980685</c:v>
                </c:pt>
                <c:pt idx="884">
                  <c:v>24.243254348719354</c:v>
                </c:pt>
                <c:pt idx="885">
                  <c:v>24.270647856458019</c:v>
                </c:pt>
                <c:pt idx="886">
                  <c:v>24.298041364196685</c:v>
                </c:pt>
                <c:pt idx="887">
                  <c:v>24.32543487193535</c:v>
                </c:pt>
                <c:pt idx="888">
                  <c:v>24.352828379674015</c:v>
                </c:pt>
                <c:pt idx="889">
                  <c:v>24.380221887412681</c:v>
                </c:pt>
                <c:pt idx="890">
                  <c:v>24.40761539515135</c:v>
                </c:pt>
                <c:pt idx="891">
                  <c:v>24.435008902890015</c:v>
                </c:pt>
                <c:pt idx="892">
                  <c:v>24.46240241062868</c:v>
                </c:pt>
                <c:pt idx="893">
                  <c:v>24.489795918367346</c:v>
                </c:pt>
                <c:pt idx="894">
                  <c:v>24.517189426106011</c:v>
                </c:pt>
                <c:pt idx="895">
                  <c:v>24.544582933844676</c:v>
                </c:pt>
                <c:pt idx="896">
                  <c:v>24.571976441583345</c:v>
                </c:pt>
                <c:pt idx="897">
                  <c:v>24.599369949322011</c:v>
                </c:pt>
                <c:pt idx="898">
                  <c:v>24.626763457060676</c:v>
                </c:pt>
                <c:pt idx="899">
                  <c:v>24.654156964799341</c:v>
                </c:pt>
                <c:pt idx="900">
                  <c:v>24.681550472538007</c:v>
                </c:pt>
                <c:pt idx="901">
                  <c:v>24.708943980276672</c:v>
                </c:pt>
                <c:pt idx="902">
                  <c:v>24.736337488015341</c:v>
                </c:pt>
                <c:pt idx="903">
                  <c:v>24.763730995754006</c:v>
                </c:pt>
                <c:pt idx="904">
                  <c:v>24.791124503492671</c:v>
                </c:pt>
                <c:pt idx="905">
                  <c:v>24.818518011231337</c:v>
                </c:pt>
                <c:pt idx="906">
                  <c:v>24.845911518970002</c:v>
                </c:pt>
                <c:pt idx="907">
                  <c:v>24.873305026708667</c:v>
                </c:pt>
                <c:pt idx="908">
                  <c:v>24.900698534447336</c:v>
                </c:pt>
                <c:pt idx="909">
                  <c:v>24.928092042186002</c:v>
                </c:pt>
                <c:pt idx="910">
                  <c:v>24.955485549924667</c:v>
                </c:pt>
                <c:pt idx="911">
                  <c:v>24.982879057663332</c:v>
                </c:pt>
                <c:pt idx="912">
                  <c:v>25.010272565401998</c:v>
                </c:pt>
                <c:pt idx="913">
                  <c:v>25.037666073140667</c:v>
                </c:pt>
                <c:pt idx="914">
                  <c:v>25.065059580879332</c:v>
                </c:pt>
                <c:pt idx="915">
                  <c:v>25.092453088617997</c:v>
                </c:pt>
                <c:pt idx="916">
                  <c:v>25.119846596356663</c:v>
                </c:pt>
                <c:pt idx="917">
                  <c:v>25.147240104095328</c:v>
                </c:pt>
                <c:pt idx="918">
                  <c:v>25.174633611833993</c:v>
                </c:pt>
                <c:pt idx="919">
                  <c:v>25.202027119572662</c:v>
                </c:pt>
                <c:pt idx="920">
                  <c:v>25.229420627311328</c:v>
                </c:pt>
                <c:pt idx="921">
                  <c:v>25.256814135049993</c:v>
                </c:pt>
                <c:pt idx="922">
                  <c:v>25.284207642788658</c:v>
                </c:pt>
                <c:pt idx="923">
                  <c:v>25.311601150527324</c:v>
                </c:pt>
                <c:pt idx="924">
                  <c:v>25.338994658265989</c:v>
                </c:pt>
                <c:pt idx="925">
                  <c:v>25.366388166004658</c:v>
                </c:pt>
                <c:pt idx="926">
                  <c:v>25.393781673743323</c:v>
                </c:pt>
                <c:pt idx="927">
                  <c:v>25.421175181481988</c:v>
                </c:pt>
                <c:pt idx="928">
                  <c:v>25.448568689220654</c:v>
                </c:pt>
                <c:pt idx="929">
                  <c:v>25.475962196959319</c:v>
                </c:pt>
                <c:pt idx="930">
                  <c:v>25.503355704697984</c:v>
                </c:pt>
                <c:pt idx="931">
                  <c:v>25.530749212436653</c:v>
                </c:pt>
                <c:pt idx="932">
                  <c:v>25.558142720175319</c:v>
                </c:pt>
                <c:pt idx="933">
                  <c:v>25.585536227913984</c:v>
                </c:pt>
                <c:pt idx="934">
                  <c:v>25.612929735652649</c:v>
                </c:pt>
                <c:pt idx="935">
                  <c:v>25.640323243391315</c:v>
                </c:pt>
                <c:pt idx="936">
                  <c:v>25.66771675112998</c:v>
                </c:pt>
                <c:pt idx="937">
                  <c:v>25.695110258868649</c:v>
                </c:pt>
                <c:pt idx="938">
                  <c:v>25.722503766607314</c:v>
                </c:pt>
                <c:pt idx="939">
                  <c:v>25.74989727434598</c:v>
                </c:pt>
                <c:pt idx="940">
                  <c:v>25.777290782084645</c:v>
                </c:pt>
                <c:pt idx="941">
                  <c:v>25.80468428982331</c:v>
                </c:pt>
                <c:pt idx="942">
                  <c:v>25.832077797561976</c:v>
                </c:pt>
                <c:pt idx="943">
                  <c:v>25.859471305300644</c:v>
                </c:pt>
                <c:pt idx="944">
                  <c:v>25.88686481303931</c:v>
                </c:pt>
                <c:pt idx="945">
                  <c:v>25.914258320777975</c:v>
                </c:pt>
                <c:pt idx="946">
                  <c:v>25.94165182851664</c:v>
                </c:pt>
                <c:pt idx="947">
                  <c:v>25.969045336255306</c:v>
                </c:pt>
                <c:pt idx="948">
                  <c:v>25.996438843993971</c:v>
                </c:pt>
                <c:pt idx="949">
                  <c:v>26.02383235173264</c:v>
                </c:pt>
                <c:pt idx="950">
                  <c:v>26.051225859471305</c:v>
                </c:pt>
                <c:pt idx="951">
                  <c:v>26.078619367209971</c:v>
                </c:pt>
                <c:pt idx="952">
                  <c:v>26.106012874948636</c:v>
                </c:pt>
                <c:pt idx="953">
                  <c:v>26.133406382687301</c:v>
                </c:pt>
                <c:pt idx="954">
                  <c:v>26.160799890425967</c:v>
                </c:pt>
                <c:pt idx="955">
                  <c:v>26.188193398164636</c:v>
                </c:pt>
                <c:pt idx="956">
                  <c:v>26.215586905903301</c:v>
                </c:pt>
                <c:pt idx="957">
                  <c:v>26.242980413641966</c:v>
                </c:pt>
                <c:pt idx="958">
                  <c:v>26.270373921380632</c:v>
                </c:pt>
                <c:pt idx="959">
                  <c:v>26.297767429119297</c:v>
                </c:pt>
                <c:pt idx="960">
                  <c:v>26.325160936857962</c:v>
                </c:pt>
                <c:pt idx="961">
                  <c:v>26.352554444596631</c:v>
                </c:pt>
                <c:pt idx="962">
                  <c:v>26.379947952335296</c:v>
                </c:pt>
                <c:pt idx="963">
                  <c:v>26.407341460073962</c:v>
                </c:pt>
                <c:pt idx="964">
                  <c:v>26.434734967812627</c:v>
                </c:pt>
                <c:pt idx="965">
                  <c:v>26.462128475551292</c:v>
                </c:pt>
                <c:pt idx="966">
                  <c:v>26.489521983289958</c:v>
                </c:pt>
                <c:pt idx="967">
                  <c:v>26.516915491028627</c:v>
                </c:pt>
                <c:pt idx="968">
                  <c:v>26.544308998767292</c:v>
                </c:pt>
                <c:pt idx="969">
                  <c:v>26.571702506505957</c:v>
                </c:pt>
                <c:pt idx="970">
                  <c:v>26.599096014244623</c:v>
                </c:pt>
                <c:pt idx="971">
                  <c:v>26.626489521983288</c:v>
                </c:pt>
                <c:pt idx="972">
                  <c:v>26.653883029721953</c:v>
                </c:pt>
                <c:pt idx="973">
                  <c:v>26.681276537460622</c:v>
                </c:pt>
                <c:pt idx="974">
                  <c:v>26.708670045199288</c:v>
                </c:pt>
                <c:pt idx="975">
                  <c:v>26.736063552937953</c:v>
                </c:pt>
                <c:pt idx="976">
                  <c:v>26.763457060676618</c:v>
                </c:pt>
                <c:pt idx="977">
                  <c:v>26.790850568415284</c:v>
                </c:pt>
                <c:pt idx="978">
                  <c:v>26.818244076153952</c:v>
                </c:pt>
                <c:pt idx="979">
                  <c:v>26.845637583892618</c:v>
                </c:pt>
                <c:pt idx="980">
                  <c:v>26.873031091631283</c:v>
                </c:pt>
                <c:pt idx="981">
                  <c:v>26.900424599369948</c:v>
                </c:pt>
                <c:pt idx="982">
                  <c:v>26.927818107108614</c:v>
                </c:pt>
                <c:pt idx="983">
                  <c:v>26.955211614847279</c:v>
                </c:pt>
                <c:pt idx="984">
                  <c:v>26.982605122585948</c:v>
                </c:pt>
                <c:pt idx="985">
                  <c:v>27.009998630324613</c:v>
                </c:pt>
                <c:pt idx="986">
                  <c:v>27.037392138063279</c:v>
                </c:pt>
                <c:pt idx="987">
                  <c:v>27.064785645801944</c:v>
                </c:pt>
                <c:pt idx="988">
                  <c:v>27.092179153540609</c:v>
                </c:pt>
                <c:pt idx="989">
                  <c:v>27.119572661279275</c:v>
                </c:pt>
                <c:pt idx="990">
                  <c:v>27.146966169017944</c:v>
                </c:pt>
                <c:pt idx="991">
                  <c:v>27.174359676756609</c:v>
                </c:pt>
                <c:pt idx="992">
                  <c:v>27.201753184495274</c:v>
                </c:pt>
                <c:pt idx="993">
                  <c:v>27.22914669223394</c:v>
                </c:pt>
                <c:pt idx="994">
                  <c:v>27.256540199972605</c:v>
                </c:pt>
                <c:pt idx="995">
                  <c:v>27.28393370771127</c:v>
                </c:pt>
                <c:pt idx="996">
                  <c:v>27.311327215449939</c:v>
                </c:pt>
                <c:pt idx="997">
                  <c:v>27.338720723188604</c:v>
                </c:pt>
                <c:pt idx="998">
                  <c:v>27.36611423092727</c:v>
                </c:pt>
                <c:pt idx="999">
                  <c:v>27.393507738665935</c:v>
                </c:pt>
                <c:pt idx="1000">
                  <c:v>27.4209012464046</c:v>
                </c:pt>
                <c:pt idx="1001">
                  <c:v>27.448294754143266</c:v>
                </c:pt>
                <c:pt idx="1002">
                  <c:v>27.475688261881935</c:v>
                </c:pt>
                <c:pt idx="1003">
                  <c:v>27.5030817696206</c:v>
                </c:pt>
                <c:pt idx="1004">
                  <c:v>27.530475277359265</c:v>
                </c:pt>
                <c:pt idx="1005">
                  <c:v>27.557868785097931</c:v>
                </c:pt>
                <c:pt idx="1006">
                  <c:v>27.585262292836596</c:v>
                </c:pt>
                <c:pt idx="1007">
                  <c:v>27.612655800575261</c:v>
                </c:pt>
                <c:pt idx="1008">
                  <c:v>27.64004930831393</c:v>
                </c:pt>
                <c:pt idx="1009">
                  <c:v>27.667442816052596</c:v>
                </c:pt>
                <c:pt idx="1010">
                  <c:v>27.694836323791261</c:v>
                </c:pt>
                <c:pt idx="1011">
                  <c:v>27.722229831529926</c:v>
                </c:pt>
                <c:pt idx="1012">
                  <c:v>27.749623339268592</c:v>
                </c:pt>
                <c:pt idx="1013">
                  <c:v>27.777016847007257</c:v>
                </c:pt>
                <c:pt idx="1014">
                  <c:v>27.804410354745926</c:v>
                </c:pt>
                <c:pt idx="1015">
                  <c:v>27.831803862484591</c:v>
                </c:pt>
                <c:pt idx="1016">
                  <c:v>27.859197370223256</c:v>
                </c:pt>
                <c:pt idx="1017">
                  <c:v>27.886590877961922</c:v>
                </c:pt>
                <c:pt idx="1018">
                  <c:v>27.913984385700587</c:v>
                </c:pt>
                <c:pt idx="1019">
                  <c:v>27.941377893439252</c:v>
                </c:pt>
                <c:pt idx="1020">
                  <c:v>27.968771401177921</c:v>
                </c:pt>
                <c:pt idx="1021">
                  <c:v>27.996164908916587</c:v>
                </c:pt>
                <c:pt idx="1022">
                  <c:v>28.023558416655252</c:v>
                </c:pt>
                <c:pt idx="1023">
                  <c:v>28.050951924393917</c:v>
                </c:pt>
                <c:pt idx="1024">
                  <c:v>28.078345432132583</c:v>
                </c:pt>
                <c:pt idx="1025">
                  <c:v>28.105738939871248</c:v>
                </c:pt>
                <c:pt idx="1026">
                  <c:v>28.133132447609917</c:v>
                </c:pt>
                <c:pt idx="1027">
                  <c:v>28.160525955348582</c:v>
                </c:pt>
                <c:pt idx="1028">
                  <c:v>28.187919463087248</c:v>
                </c:pt>
                <c:pt idx="1029">
                  <c:v>28.215312970825913</c:v>
                </c:pt>
                <c:pt idx="1030">
                  <c:v>28.242706478564578</c:v>
                </c:pt>
                <c:pt idx="1031">
                  <c:v>28.270099986303244</c:v>
                </c:pt>
                <c:pt idx="1032">
                  <c:v>28.297493494041912</c:v>
                </c:pt>
                <c:pt idx="1033">
                  <c:v>28.324887001780578</c:v>
                </c:pt>
                <c:pt idx="1034">
                  <c:v>28.352280509519243</c:v>
                </c:pt>
                <c:pt idx="1035">
                  <c:v>28.379674017257909</c:v>
                </c:pt>
                <c:pt idx="1036">
                  <c:v>28.407067524996574</c:v>
                </c:pt>
                <c:pt idx="1037">
                  <c:v>28.434461032735239</c:v>
                </c:pt>
                <c:pt idx="1038">
                  <c:v>28.461854540473908</c:v>
                </c:pt>
                <c:pt idx="1039">
                  <c:v>28.489248048212573</c:v>
                </c:pt>
                <c:pt idx="1040">
                  <c:v>28.516641555951239</c:v>
                </c:pt>
                <c:pt idx="1041">
                  <c:v>28.544035063689904</c:v>
                </c:pt>
                <c:pt idx="1042">
                  <c:v>28.571428571428569</c:v>
                </c:pt>
                <c:pt idx="1043">
                  <c:v>28.598822079167235</c:v>
                </c:pt>
                <c:pt idx="1044">
                  <c:v>28.626215586905904</c:v>
                </c:pt>
                <c:pt idx="1045">
                  <c:v>28.653609094644569</c:v>
                </c:pt>
                <c:pt idx="1046">
                  <c:v>28.681002602383234</c:v>
                </c:pt>
                <c:pt idx="1047">
                  <c:v>28.7083961101219</c:v>
                </c:pt>
                <c:pt idx="1048">
                  <c:v>28.735789617860565</c:v>
                </c:pt>
                <c:pt idx="1049">
                  <c:v>28.763183125599234</c:v>
                </c:pt>
                <c:pt idx="1050">
                  <c:v>28.790576633337899</c:v>
                </c:pt>
                <c:pt idx="1051">
                  <c:v>28.817970141076565</c:v>
                </c:pt>
                <c:pt idx="1052">
                  <c:v>28.84536364881523</c:v>
                </c:pt>
                <c:pt idx="1053">
                  <c:v>28.872757156553895</c:v>
                </c:pt>
              </c:numCache>
            </c:numRef>
          </c:xVal>
          <c:yVal>
            <c:numRef>
              <c:f>'Peak Payback Engine'!$R$10:$R$1063</c:f>
              <c:numCache>
                <c:formatCode>_("$"* #,##0.00_);_("$"* \(#,##0.00\);_("$"* "-"??_);_(@_)</c:formatCode>
                <c:ptCount val="105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pt idx="994">
                  <c:v>0</c:v>
                </c:pt>
                <c:pt idx="995">
                  <c:v>0</c:v>
                </c:pt>
                <c:pt idx="996">
                  <c:v>0</c:v>
                </c:pt>
                <c:pt idx="997">
                  <c:v>0</c:v>
                </c:pt>
                <c:pt idx="998">
                  <c:v>0</c:v>
                </c:pt>
                <c:pt idx="999">
                  <c:v>0</c:v>
                </c:pt>
                <c:pt idx="1000">
                  <c:v>0</c:v>
                </c:pt>
                <c:pt idx="1001">
                  <c:v>0</c:v>
                </c:pt>
                <c:pt idx="1002">
                  <c:v>0</c:v>
                </c:pt>
                <c:pt idx="1003">
                  <c:v>0</c:v>
                </c:pt>
                <c:pt idx="1004">
                  <c:v>0</c:v>
                </c:pt>
                <c:pt idx="1005">
                  <c:v>0</c:v>
                </c:pt>
                <c:pt idx="1006">
                  <c:v>0</c:v>
                </c:pt>
                <c:pt idx="1007">
                  <c:v>0</c:v>
                </c:pt>
                <c:pt idx="1008">
                  <c:v>0</c:v>
                </c:pt>
                <c:pt idx="1009">
                  <c:v>0</c:v>
                </c:pt>
                <c:pt idx="1010">
                  <c:v>0</c:v>
                </c:pt>
                <c:pt idx="1011">
                  <c:v>0</c:v>
                </c:pt>
                <c:pt idx="1012">
                  <c:v>0</c:v>
                </c:pt>
                <c:pt idx="1013">
                  <c:v>0</c:v>
                </c:pt>
                <c:pt idx="1014">
                  <c:v>0</c:v>
                </c:pt>
                <c:pt idx="1015">
                  <c:v>0</c:v>
                </c:pt>
                <c:pt idx="1016">
                  <c:v>0</c:v>
                </c:pt>
                <c:pt idx="1017">
                  <c:v>0</c:v>
                </c:pt>
                <c:pt idx="1018">
                  <c:v>0</c:v>
                </c:pt>
                <c:pt idx="1019">
                  <c:v>0</c:v>
                </c:pt>
                <c:pt idx="1020">
                  <c:v>0</c:v>
                </c:pt>
                <c:pt idx="1021">
                  <c:v>0</c:v>
                </c:pt>
                <c:pt idx="1022">
                  <c:v>0</c:v>
                </c:pt>
                <c:pt idx="1023">
                  <c:v>0</c:v>
                </c:pt>
                <c:pt idx="1024">
                  <c:v>0</c:v>
                </c:pt>
                <c:pt idx="1025">
                  <c:v>0</c:v>
                </c:pt>
                <c:pt idx="1026">
                  <c:v>0</c:v>
                </c:pt>
                <c:pt idx="1027">
                  <c:v>0</c:v>
                </c:pt>
                <c:pt idx="1028">
                  <c:v>0</c:v>
                </c:pt>
                <c:pt idx="1029">
                  <c:v>0</c:v>
                </c:pt>
                <c:pt idx="1030">
                  <c:v>0</c:v>
                </c:pt>
                <c:pt idx="1031">
                  <c:v>0</c:v>
                </c:pt>
                <c:pt idx="1032">
                  <c:v>0</c:v>
                </c:pt>
                <c:pt idx="1033">
                  <c:v>0</c:v>
                </c:pt>
                <c:pt idx="1034">
                  <c:v>0</c:v>
                </c:pt>
                <c:pt idx="1035">
                  <c:v>0</c:v>
                </c:pt>
                <c:pt idx="1036">
                  <c:v>0</c:v>
                </c:pt>
                <c:pt idx="1037">
                  <c:v>0</c:v>
                </c:pt>
                <c:pt idx="1038">
                  <c:v>0</c:v>
                </c:pt>
                <c:pt idx="1039">
                  <c:v>0</c:v>
                </c:pt>
                <c:pt idx="1040">
                  <c:v>0</c:v>
                </c:pt>
                <c:pt idx="1041">
                  <c:v>0</c:v>
                </c:pt>
                <c:pt idx="1042">
                  <c:v>0</c:v>
                </c:pt>
                <c:pt idx="1043">
                  <c:v>0</c:v>
                </c:pt>
                <c:pt idx="1044">
                  <c:v>0</c:v>
                </c:pt>
                <c:pt idx="1045">
                  <c:v>0</c:v>
                </c:pt>
                <c:pt idx="1046">
                  <c:v>0</c:v>
                </c:pt>
                <c:pt idx="1047">
                  <c:v>0</c:v>
                </c:pt>
                <c:pt idx="1048">
                  <c:v>0</c:v>
                </c:pt>
                <c:pt idx="1049">
                  <c:v>0</c:v>
                </c:pt>
                <c:pt idx="1050">
                  <c:v>0</c:v>
                </c:pt>
                <c:pt idx="1051">
                  <c:v>0</c:v>
                </c:pt>
                <c:pt idx="1052">
                  <c:v>0</c:v>
                </c:pt>
                <c:pt idx="1053">
                  <c:v>0</c:v>
                </c:pt>
              </c:numCache>
            </c:numRef>
          </c:yVal>
          <c:smooth val="0"/>
          <c:extLst xmlns:c16r2="http://schemas.microsoft.com/office/drawing/2015/06/chart">
            <c:ext xmlns:c16="http://schemas.microsoft.com/office/drawing/2014/chart" uri="{C3380CC4-5D6E-409C-BE32-E72D297353CC}">
              <c16:uniqueId val="{0000000F-0D70-493A-B7A6-9590C357C348}"/>
            </c:ext>
          </c:extLst>
        </c:ser>
        <c:dLbls>
          <c:showLegendKey val="0"/>
          <c:showVal val="0"/>
          <c:showCatName val="0"/>
          <c:showSerName val="0"/>
          <c:showPercent val="0"/>
          <c:showBubbleSize val="0"/>
        </c:dLbls>
        <c:axId val="539384264"/>
        <c:axId val="539383480"/>
      </c:scatterChart>
      <c:valAx>
        <c:axId val="539384264"/>
        <c:scaling>
          <c:orientation val="minMax"/>
          <c:max val="20"/>
          <c:min val="0"/>
        </c:scaling>
        <c:delete val="0"/>
        <c:axPos val="b"/>
        <c:title>
          <c:tx>
            <c:rich>
              <a:bodyPr/>
              <a:lstStyle/>
              <a:p>
                <a:pPr>
                  <a:defRPr sz="2400">
                    <a:latin typeface="Arial" panose="020B0604020202020204" pitchFamily="34" charset="0"/>
                    <a:cs typeface="Arial" panose="020B0604020202020204" pitchFamily="34" charset="0"/>
                  </a:defRPr>
                </a:pPr>
                <a:r>
                  <a:rPr lang="en-US" sz="2400" b="1" i="0" u="none" strike="noStrike" baseline="0">
                    <a:effectLst/>
                    <a:latin typeface="Arial" panose="020B0604020202020204" pitchFamily="34" charset="0"/>
                    <a:cs typeface="Arial" panose="020B0604020202020204" pitchFamily="34" charset="0"/>
                  </a:rPr>
                  <a:t>Payback Duration (Years)</a:t>
                </a:r>
                <a:endParaRPr lang="en-US" sz="2400">
                  <a:latin typeface="Arial" panose="020B0604020202020204" pitchFamily="34" charset="0"/>
                  <a:cs typeface="Arial" panose="020B0604020202020204" pitchFamily="34" charset="0"/>
                </a:endParaRPr>
              </a:p>
            </c:rich>
          </c:tx>
          <c:layout/>
          <c:overlay val="0"/>
        </c:title>
        <c:numFmt formatCode="#,##0" sourceLinked="0"/>
        <c:majorTickMark val="out"/>
        <c:minorTickMark val="none"/>
        <c:tickLblPos val="nextTo"/>
        <c:txPr>
          <a:bodyPr/>
          <a:lstStyle/>
          <a:p>
            <a:pPr>
              <a:defRPr sz="1600"/>
            </a:pPr>
            <a:endParaRPr lang="en-US"/>
          </a:p>
        </c:txPr>
        <c:crossAx val="539383480"/>
        <c:crosses val="autoZero"/>
        <c:crossBetween val="midCat"/>
        <c:majorUnit val="1"/>
      </c:valAx>
      <c:valAx>
        <c:axId val="539383480"/>
        <c:scaling>
          <c:orientation val="minMax"/>
          <c:max val="1000"/>
          <c:min val="0"/>
        </c:scaling>
        <c:delete val="0"/>
        <c:axPos val="l"/>
        <c:majorGridlines/>
        <c:title>
          <c:tx>
            <c:rich>
              <a:bodyPr rot="-5400000" vert="horz"/>
              <a:lstStyle/>
              <a:p>
                <a:pPr>
                  <a:defRPr sz="2800">
                    <a:latin typeface="Arial" panose="020B0604020202020204" pitchFamily="34" charset="0"/>
                    <a:cs typeface="Arial" panose="020B0604020202020204" pitchFamily="34" charset="0"/>
                  </a:defRPr>
                </a:pPr>
                <a:r>
                  <a:rPr lang="en-US" sz="2800" baseline="0">
                    <a:latin typeface="Arial" panose="020B0604020202020204" pitchFamily="34" charset="0"/>
                    <a:cs typeface="Arial" panose="020B0604020202020204" pitchFamily="34" charset="0"/>
                  </a:rPr>
                  <a:t>Average $ per kW</a:t>
                </a:r>
                <a:endParaRPr lang="en-US" sz="2800">
                  <a:latin typeface="Arial" panose="020B0604020202020204" pitchFamily="34" charset="0"/>
                  <a:cs typeface="Arial" panose="020B0604020202020204" pitchFamily="34" charset="0"/>
                </a:endParaRPr>
              </a:p>
            </c:rich>
          </c:tx>
          <c:layout/>
          <c:overlay val="0"/>
        </c:title>
        <c:numFmt formatCode="_(&quot;$&quot;* #,##0.00_);_(&quot;$&quot;* \(#,##0.00\);_(&quot;$&quot;* &quot;-&quot;??_);_(@_)" sourceLinked="1"/>
        <c:majorTickMark val="out"/>
        <c:minorTickMark val="none"/>
        <c:tickLblPos val="nextTo"/>
        <c:txPr>
          <a:bodyPr/>
          <a:lstStyle/>
          <a:p>
            <a:pPr>
              <a:defRPr sz="1400"/>
            </a:pPr>
            <a:endParaRPr lang="en-US"/>
          </a:p>
        </c:txPr>
        <c:crossAx val="539384264"/>
        <c:crosses val="autoZero"/>
        <c:crossBetween val="midCat"/>
      </c:valAx>
      <c:valAx>
        <c:axId val="539383872"/>
        <c:scaling>
          <c:orientation val="minMax"/>
          <c:max val="1000"/>
        </c:scaling>
        <c:delete val="1"/>
        <c:axPos val="r"/>
        <c:numFmt formatCode="General" sourceLinked="1"/>
        <c:majorTickMark val="out"/>
        <c:minorTickMark val="none"/>
        <c:tickLblPos val="nextTo"/>
        <c:crossAx val="539383088"/>
        <c:crosses val="max"/>
        <c:crossBetween val="between"/>
      </c:valAx>
      <c:dateAx>
        <c:axId val="539383088"/>
        <c:scaling>
          <c:orientation val="minMax"/>
          <c:max val="692"/>
          <c:min val="0"/>
        </c:scaling>
        <c:delete val="1"/>
        <c:axPos val="t"/>
        <c:numFmt formatCode="_(* #,##0.00_);_(* \(#,##0.00\);_(* &quot;-&quot;??_);_(@_)" sourceLinked="1"/>
        <c:majorTickMark val="out"/>
        <c:minorTickMark val="none"/>
        <c:tickLblPos val="nextTo"/>
        <c:crossAx val="539383872"/>
        <c:crosses val="max"/>
        <c:auto val="0"/>
        <c:lblOffset val="100"/>
        <c:baseTimeUnit val="days"/>
      </c:dateAx>
    </c:plotArea>
    <c:plotVisOnly val="1"/>
    <c:dispBlanksAs val="gap"/>
    <c:showDLblsOverMax val="0"/>
  </c:chart>
  <c:spPr>
    <a:ln>
      <a:solidFill>
        <a:srgbClr val="E2173D"/>
      </a:solidFill>
    </a:ln>
  </c:sp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tx>
            <c:strRef>
              <c:f>'Battery Pricing Model'!$H$3</c:f>
              <c:strCache>
                <c:ptCount val="1"/>
                <c:pt idx="0">
                  <c:v>2.5</c:v>
                </c:pt>
              </c:strCache>
            </c:strRef>
          </c:tx>
          <c:spPr>
            <a:ln w="28575">
              <a:noFill/>
            </a:ln>
          </c:spPr>
          <c:trendline>
            <c:trendlineType val="linear"/>
            <c:dispRSqr val="0"/>
            <c:dispEq val="1"/>
            <c:trendlineLbl>
              <c:numFmt formatCode="General" sourceLinked="0"/>
            </c:trendlineLbl>
          </c:trendline>
          <c:xVal>
            <c:numRef>
              <c:f>'Battery Pricing Model'!$G$4:$G$10</c:f>
              <c:numCache>
                <c:formatCode>General</c:formatCode>
                <c:ptCount val="7"/>
                <c:pt idx="0">
                  <c:v>7.5</c:v>
                </c:pt>
                <c:pt idx="1">
                  <c:v>15</c:v>
                </c:pt>
                <c:pt idx="2">
                  <c:v>17</c:v>
                </c:pt>
                <c:pt idx="3">
                  <c:v>22.5</c:v>
                </c:pt>
                <c:pt idx="4">
                  <c:v>30</c:v>
                </c:pt>
                <c:pt idx="5">
                  <c:v>36</c:v>
                </c:pt>
                <c:pt idx="6">
                  <c:v>72</c:v>
                </c:pt>
              </c:numCache>
            </c:numRef>
          </c:xVal>
          <c:yVal>
            <c:numRef>
              <c:f>'Battery Pricing Model'!$H$4:$H$10</c:f>
              <c:numCache>
                <c:formatCode>"$"#,##0_);[Red]\("$"#,##0\)</c:formatCode>
                <c:ptCount val="7"/>
                <c:pt idx="0">
                  <c:v>9000</c:v>
                </c:pt>
                <c:pt idx="1">
                  <c:v>16500</c:v>
                </c:pt>
                <c:pt idx="2">
                  <c:v>21500</c:v>
                </c:pt>
                <c:pt idx="3">
                  <c:v>24000</c:v>
                </c:pt>
                <c:pt idx="4">
                  <c:v>31500</c:v>
                </c:pt>
                <c:pt idx="5">
                  <c:v>37500</c:v>
                </c:pt>
              </c:numCache>
            </c:numRef>
          </c:yVal>
          <c:smooth val="0"/>
          <c:extLst xmlns:c16r2="http://schemas.microsoft.com/office/drawing/2015/06/chart">
            <c:ext xmlns:c16="http://schemas.microsoft.com/office/drawing/2014/chart" uri="{C3380CC4-5D6E-409C-BE32-E72D297353CC}">
              <c16:uniqueId val="{00000001-F363-4CBB-B9ED-005A35AA618C}"/>
            </c:ext>
          </c:extLst>
        </c:ser>
        <c:ser>
          <c:idx val="1"/>
          <c:order val="1"/>
          <c:tx>
            <c:strRef>
              <c:f>'Battery Pricing Model'!$I$3</c:f>
              <c:strCache>
                <c:ptCount val="1"/>
                <c:pt idx="0">
                  <c:v>5</c:v>
                </c:pt>
              </c:strCache>
            </c:strRef>
          </c:tx>
          <c:spPr>
            <a:ln w="28575">
              <a:noFill/>
            </a:ln>
          </c:spPr>
          <c:xVal>
            <c:numRef>
              <c:f>'Battery Pricing Model'!$G$4:$G$10</c:f>
              <c:numCache>
                <c:formatCode>General</c:formatCode>
                <c:ptCount val="7"/>
                <c:pt idx="0">
                  <c:v>7.5</c:v>
                </c:pt>
                <c:pt idx="1">
                  <c:v>15</c:v>
                </c:pt>
                <c:pt idx="2">
                  <c:v>17</c:v>
                </c:pt>
                <c:pt idx="3">
                  <c:v>22.5</c:v>
                </c:pt>
                <c:pt idx="4">
                  <c:v>30</c:v>
                </c:pt>
                <c:pt idx="5">
                  <c:v>36</c:v>
                </c:pt>
                <c:pt idx="6">
                  <c:v>72</c:v>
                </c:pt>
              </c:numCache>
            </c:numRef>
          </c:xVal>
          <c:yVal>
            <c:numRef>
              <c:f>'Battery Pricing Model'!$I$4:$I$10</c:f>
              <c:numCache>
                <c:formatCode>"$"#,##0_);[Red]\("$"#,##0\)</c:formatCode>
                <c:ptCount val="7"/>
                <c:pt idx="0">
                  <c:v>10500</c:v>
                </c:pt>
                <c:pt idx="1">
                  <c:v>18000</c:v>
                </c:pt>
                <c:pt idx="2">
                  <c:v>25000</c:v>
                </c:pt>
                <c:pt idx="3">
                  <c:v>27500</c:v>
                </c:pt>
                <c:pt idx="4">
                  <c:v>35000</c:v>
                </c:pt>
                <c:pt idx="5">
                  <c:v>41000</c:v>
                </c:pt>
                <c:pt idx="6">
                  <c:v>77000</c:v>
                </c:pt>
              </c:numCache>
            </c:numRef>
          </c:yVal>
          <c:smooth val="0"/>
          <c:extLst xmlns:c16r2="http://schemas.microsoft.com/office/drawing/2015/06/chart">
            <c:ext xmlns:c16="http://schemas.microsoft.com/office/drawing/2014/chart" uri="{C3380CC4-5D6E-409C-BE32-E72D297353CC}">
              <c16:uniqueId val="{00000002-F363-4CBB-B9ED-005A35AA618C}"/>
            </c:ext>
          </c:extLst>
        </c:ser>
        <c:ser>
          <c:idx val="2"/>
          <c:order val="2"/>
          <c:tx>
            <c:strRef>
              <c:f>'Battery Pricing Model'!$J$3</c:f>
              <c:strCache>
                <c:ptCount val="1"/>
                <c:pt idx="0">
                  <c:v>6</c:v>
                </c:pt>
              </c:strCache>
            </c:strRef>
          </c:tx>
          <c:spPr>
            <a:ln w="28575">
              <a:noFill/>
            </a:ln>
          </c:spPr>
          <c:xVal>
            <c:numRef>
              <c:f>'Battery Pricing Model'!$G$4:$G$10</c:f>
              <c:numCache>
                <c:formatCode>General</c:formatCode>
                <c:ptCount val="7"/>
                <c:pt idx="0">
                  <c:v>7.5</c:v>
                </c:pt>
                <c:pt idx="1">
                  <c:v>15</c:v>
                </c:pt>
                <c:pt idx="2">
                  <c:v>17</c:v>
                </c:pt>
                <c:pt idx="3">
                  <c:v>22.5</c:v>
                </c:pt>
                <c:pt idx="4">
                  <c:v>30</c:v>
                </c:pt>
                <c:pt idx="5">
                  <c:v>36</c:v>
                </c:pt>
                <c:pt idx="6">
                  <c:v>72</c:v>
                </c:pt>
              </c:numCache>
            </c:numRef>
          </c:xVal>
          <c:yVal>
            <c:numRef>
              <c:f>'Battery Pricing Model'!$J$4:$J$10</c:f>
              <c:numCache>
                <c:formatCode>"$"#,##0_);[Red]\("$"#,##0\)</c:formatCode>
                <c:ptCount val="7"/>
                <c:pt idx="0">
                  <c:v>12500</c:v>
                </c:pt>
                <c:pt idx="1">
                  <c:v>6500</c:v>
                </c:pt>
                <c:pt idx="2">
                  <c:v>25000</c:v>
                </c:pt>
                <c:pt idx="3">
                  <c:v>27500</c:v>
                </c:pt>
                <c:pt idx="4">
                  <c:v>35000</c:v>
                </c:pt>
                <c:pt idx="5">
                  <c:v>41000</c:v>
                </c:pt>
                <c:pt idx="6">
                  <c:v>77000</c:v>
                </c:pt>
              </c:numCache>
            </c:numRef>
          </c:yVal>
          <c:smooth val="0"/>
          <c:extLst xmlns:c16r2="http://schemas.microsoft.com/office/drawing/2015/06/chart">
            <c:ext xmlns:c16="http://schemas.microsoft.com/office/drawing/2014/chart" uri="{C3380CC4-5D6E-409C-BE32-E72D297353CC}">
              <c16:uniqueId val="{00000003-F363-4CBB-B9ED-005A35AA618C}"/>
            </c:ext>
          </c:extLst>
        </c:ser>
        <c:ser>
          <c:idx val="3"/>
          <c:order val="3"/>
          <c:tx>
            <c:strRef>
              <c:f>'Battery Pricing Model'!$K$3</c:f>
              <c:strCache>
                <c:ptCount val="1"/>
                <c:pt idx="0">
                  <c:v>9</c:v>
                </c:pt>
              </c:strCache>
            </c:strRef>
          </c:tx>
          <c:spPr>
            <a:ln w="28575">
              <a:noFill/>
            </a:ln>
          </c:spPr>
          <c:xVal>
            <c:numRef>
              <c:f>'Battery Pricing Model'!$G$4:$G$10</c:f>
              <c:numCache>
                <c:formatCode>General</c:formatCode>
                <c:ptCount val="7"/>
                <c:pt idx="0">
                  <c:v>7.5</c:v>
                </c:pt>
                <c:pt idx="1">
                  <c:v>15</c:v>
                </c:pt>
                <c:pt idx="2">
                  <c:v>17</c:v>
                </c:pt>
                <c:pt idx="3">
                  <c:v>22.5</c:v>
                </c:pt>
                <c:pt idx="4">
                  <c:v>30</c:v>
                </c:pt>
                <c:pt idx="5">
                  <c:v>36</c:v>
                </c:pt>
                <c:pt idx="6">
                  <c:v>72</c:v>
                </c:pt>
              </c:numCache>
            </c:numRef>
          </c:xVal>
          <c:yVal>
            <c:numRef>
              <c:f>'Battery Pricing Model'!$K$4:$K$10</c:f>
              <c:numCache>
                <c:formatCode>General</c:formatCode>
                <c:ptCount val="7"/>
                <c:pt idx="0" formatCode="&quot;$&quot;#,##0_);[Red]\(&quot;$&quot;#,##0\)">
                  <c:v>0</c:v>
                </c:pt>
                <c:pt idx="2" formatCode="&quot;$&quot;#,##0_);[Red]\(&quot;$&quot;#,##0\)">
                  <c:v>27000</c:v>
                </c:pt>
                <c:pt idx="3" formatCode="&quot;$&quot;#,##0_);[Red]\(&quot;$&quot;#,##0\)">
                  <c:v>29500</c:v>
                </c:pt>
                <c:pt idx="4" formatCode="&quot;$&quot;#,##0_);[Red]\(&quot;$&quot;#,##0\)">
                  <c:v>37000</c:v>
                </c:pt>
                <c:pt idx="5" formatCode="&quot;$&quot;#,##0_);[Red]\(&quot;$&quot;#,##0\)">
                  <c:v>43000</c:v>
                </c:pt>
                <c:pt idx="6" formatCode="&quot;$&quot;#,##0_);[Red]\(&quot;$&quot;#,##0\)">
                  <c:v>79000</c:v>
                </c:pt>
              </c:numCache>
            </c:numRef>
          </c:yVal>
          <c:smooth val="0"/>
          <c:extLst xmlns:c16r2="http://schemas.microsoft.com/office/drawing/2015/06/chart">
            <c:ext xmlns:c16="http://schemas.microsoft.com/office/drawing/2014/chart" uri="{C3380CC4-5D6E-409C-BE32-E72D297353CC}">
              <c16:uniqueId val="{00000004-F363-4CBB-B9ED-005A35AA618C}"/>
            </c:ext>
          </c:extLst>
        </c:ser>
        <c:ser>
          <c:idx val="4"/>
          <c:order val="4"/>
          <c:tx>
            <c:strRef>
              <c:f>'Battery Pricing Model'!$L$3</c:f>
              <c:strCache>
                <c:ptCount val="1"/>
                <c:pt idx="0">
                  <c:v>10</c:v>
                </c:pt>
              </c:strCache>
            </c:strRef>
          </c:tx>
          <c:spPr>
            <a:ln w="28575">
              <a:noFill/>
            </a:ln>
          </c:spPr>
          <c:xVal>
            <c:numRef>
              <c:f>'Battery Pricing Model'!$G$4:$G$10</c:f>
              <c:numCache>
                <c:formatCode>General</c:formatCode>
                <c:ptCount val="7"/>
                <c:pt idx="0">
                  <c:v>7.5</c:v>
                </c:pt>
                <c:pt idx="1">
                  <c:v>15</c:v>
                </c:pt>
                <c:pt idx="2">
                  <c:v>17</c:v>
                </c:pt>
                <c:pt idx="3">
                  <c:v>22.5</c:v>
                </c:pt>
                <c:pt idx="4">
                  <c:v>30</c:v>
                </c:pt>
                <c:pt idx="5">
                  <c:v>36</c:v>
                </c:pt>
                <c:pt idx="6">
                  <c:v>72</c:v>
                </c:pt>
              </c:numCache>
            </c:numRef>
          </c:xVal>
          <c:yVal>
            <c:numRef>
              <c:f>'Battery Pricing Model'!$L$4:$L$10</c:f>
              <c:numCache>
                <c:formatCode>General</c:formatCode>
                <c:ptCount val="7"/>
                <c:pt idx="0" formatCode="&quot;$&quot;#,##0_);[Red]\(&quot;$&quot;#,##0\)">
                  <c:v>0</c:v>
                </c:pt>
                <c:pt idx="2" formatCode="&quot;$&quot;#,##0_);[Red]\(&quot;$&quot;#,##0\)">
                  <c:v>27000</c:v>
                </c:pt>
                <c:pt idx="3" formatCode="&quot;$&quot;#,##0_);[Red]\(&quot;$&quot;#,##0\)">
                  <c:v>29500</c:v>
                </c:pt>
                <c:pt idx="4" formatCode="&quot;$&quot;#,##0_);[Red]\(&quot;$&quot;#,##0\)">
                  <c:v>37000</c:v>
                </c:pt>
                <c:pt idx="5" formatCode="&quot;$&quot;#,##0_);[Red]\(&quot;$&quot;#,##0\)">
                  <c:v>43000</c:v>
                </c:pt>
                <c:pt idx="6" formatCode="&quot;$&quot;#,##0_);[Red]\(&quot;$&quot;#,##0\)">
                  <c:v>79000</c:v>
                </c:pt>
              </c:numCache>
            </c:numRef>
          </c:yVal>
          <c:smooth val="0"/>
          <c:extLst xmlns:c16r2="http://schemas.microsoft.com/office/drawing/2015/06/chart">
            <c:ext xmlns:c16="http://schemas.microsoft.com/office/drawing/2014/chart" uri="{C3380CC4-5D6E-409C-BE32-E72D297353CC}">
              <c16:uniqueId val="{00000005-F363-4CBB-B9ED-005A35AA618C}"/>
            </c:ext>
          </c:extLst>
        </c:ser>
        <c:ser>
          <c:idx val="5"/>
          <c:order val="5"/>
          <c:tx>
            <c:strRef>
              <c:f>'Battery Pricing Model'!$M$3</c:f>
              <c:strCache>
                <c:ptCount val="1"/>
                <c:pt idx="0">
                  <c:v>20</c:v>
                </c:pt>
              </c:strCache>
            </c:strRef>
          </c:tx>
          <c:spPr>
            <a:ln w="28575">
              <a:noFill/>
            </a:ln>
          </c:spPr>
          <c:trendline>
            <c:trendlineType val="linear"/>
            <c:dispRSqr val="0"/>
            <c:dispEq val="1"/>
            <c:trendlineLbl>
              <c:numFmt formatCode="General" sourceLinked="0"/>
            </c:trendlineLbl>
          </c:trendline>
          <c:xVal>
            <c:numRef>
              <c:f>'Battery Pricing Model'!$G$4:$G$10</c:f>
              <c:numCache>
                <c:formatCode>General</c:formatCode>
                <c:ptCount val="7"/>
                <c:pt idx="0">
                  <c:v>7.5</c:v>
                </c:pt>
                <c:pt idx="1">
                  <c:v>15</c:v>
                </c:pt>
                <c:pt idx="2">
                  <c:v>17</c:v>
                </c:pt>
                <c:pt idx="3">
                  <c:v>22.5</c:v>
                </c:pt>
                <c:pt idx="4">
                  <c:v>30</c:v>
                </c:pt>
                <c:pt idx="5">
                  <c:v>36</c:v>
                </c:pt>
                <c:pt idx="6">
                  <c:v>72</c:v>
                </c:pt>
              </c:numCache>
            </c:numRef>
          </c:xVal>
          <c:yVal>
            <c:numRef>
              <c:f>'Battery Pricing Model'!$M$4:$M$10</c:f>
              <c:numCache>
                <c:formatCode>General</c:formatCode>
                <c:ptCount val="7"/>
                <c:pt idx="2" formatCode="&quot;$&quot;#,##0_);[Red]\(&quot;$&quot;#,##0\)">
                  <c:v>27000</c:v>
                </c:pt>
                <c:pt idx="3" formatCode="&quot;$&quot;#,##0_);[Red]\(&quot;$&quot;#,##0\)">
                  <c:v>29500</c:v>
                </c:pt>
                <c:pt idx="4" formatCode="&quot;$&quot;#,##0_);[Red]\(&quot;$&quot;#,##0\)">
                  <c:v>37000</c:v>
                </c:pt>
                <c:pt idx="5" formatCode="&quot;$&quot;#,##0_);[Red]\(&quot;$&quot;#,##0\)">
                  <c:v>43000</c:v>
                </c:pt>
                <c:pt idx="6" formatCode="&quot;$&quot;#,##0_);[Red]\(&quot;$&quot;#,##0\)">
                  <c:v>79000</c:v>
                </c:pt>
              </c:numCache>
            </c:numRef>
          </c:yVal>
          <c:smooth val="0"/>
          <c:extLst xmlns:c16r2="http://schemas.microsoft.com/office/drawing/2015/06/chart">
            <c:ext xmlns:c16="http://schemas.microsoft.com/office/drawing/2014/chart" uri="{C3380CC4-5D6E-409C-BE32-E72D297353CC}">
              <c16:uniqueId val="{00000007-F363-4CBB-B9ED-005A35AA618C}"/>
            </c:ext>
          </c:extLst>
        </c:ser>
        <c:dLbls>
          <c:showLegendKey val="0"/>
          <c:showVal val="0"/>
          <c:showCatName val="0"/>
          <c:showSerName val="0"/>
          <c:showPercent val="0"/>
          <c:showBubbleSize val="0"/>
        </c:dLbls>
        <c:axId val="539382696"/>
        <c:axId val="539370152"/>
      </c:scatterChart>
      <c:valAx>
        <c:axId val="539382696"/>
        <c:scaling>
          <c:orientation val="minMax"/>
        </c:scaling>
        <c:delete val="0"/>
        <c:axPos val="b"/>
        <c:numFmt formatCode="General" sourceLinked="1"/>
        <c:majorTickMark val="out"/>
        <c:minorTickMark val="none"/>
        <c:tickLblPos val="nextTo"/>
        <c:crossAx val="539370152"/>
        <c:crosses val="autoZero"/>
        <c:crossBetween val="midCat"/>
      </c:valAx>
      <c:valAx>
        <c:axId val="539370152"/>
        <c:scaling>
          <c:orientation val="minMax"/>
        </c:scaling>
        <c:delete val="0"/>
        <c:axPos val="l"/>
        <c:majorGridlines/>
        <c:numFmt formatCode="&quot;$&quot;#,##0_);[Red]\(&quot;$&quot;#,##0\)" sourceLinked="1"/>
        <c:majorTickMark val="out"/>
        <c:minorTickMark val="none"/>
        <c:tickLblPos val="nextTo"/>
        <c:crossAx val="539382696"/>
        <c:crosses val="autoZero"/>
        <c:crossBetween val="midCat"/>
      </c:valAx>
    </c:plotArea>
    <c:legend>
      <c:legendPos val="r"/>
      <c:overlay val="0"/>
    </c:legend>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tx>
            <c:v>Large</c:v>
          </c:tx>
          <c:xVal>
            <c:numRef>
              <c:f>'Spending Model'!$B$7:$B$30</c:f>
              <c:numCache>
                <c:formatCode>General</c:formatCode>
                <c:ptCount val="24"/>
                <c:pt idx="0">
                  <c:v>10000</c:v>
                </c:pt>
                <c:pt idx="1">
                  <c:v>20000</c:v>
                </c:pt>
                <c:pt idx="2">
                  <c:v>30000</c:v>
                </c:pt>
                <c:pt idx="3">
                  <c:v>40000</c:v>
                </c:pt>
                <c:pt idx="4">
                  <c:v>50000</c:v>
                </c:pt>
                <c:pt idx="5">
                  <c:v>60000</c:v>
                </c:pt>
                <c:pt idx="6">
                  <c:v>70000</c:v>
                </c:pt>
                <c:pt idx="7">
                  <c:v>80000</c:v>
                </c:pt>
                <c:pt idx="8">
                  <c:v>90000</c:v>
                </c:pt>
                <c:pt idx="9">
                  <c:v>100000</c:v>
                </c:pt>
                <c:pt idx="10">
                  <c:v>110000</c:v>
                </c:pt>
                <c:pt idx="11">
                  <c:v>120000</c:v>
                </c:pt>
                <c:pt idx="12">
                  <c:v>130000</c:v>
                </c:pt>
                <c:pt idx="13">
                  <c:v>140000</c:v>
                </c:pt>
                <c:pt idx="14">
                  <c:v>150000</c:v>
                </c:pt>
                <c:pt idx="15">
                  <c:v>160000</c:v>
                </c:pt>
                <c:pt idx="16">
                  <c:v>170000</c:v>
                </c:pt>
                <c:pt idx="17">
                  <c:v>180000</c:v>
                </c:pt>
                <c:pt idx="18">
                  <c:v>190000</c:v>
                </c:pt>
                <c:pt idx="19">
                  <c:v>200000</c:v>
                </c:pt>
                <c:pt idx="20">
                  <c:v>210000</c:v>
                </c:pt>
                <c:pt idx="21">
                  <c:v>220000</c:v>
                </c:pt>
                <c:pt idx="22">
                  <c:v>230000</c:v>
                </c:pt>
                <c:pt idx="23">
                  <c:v>240000</c:v>
                </c:pt>
              </c:numCache>
            </c:numRef>
          </c:xVal>
          <c:yVal>
            <c:numRef>
              <c:f>'Spending Model'!$N$7:$N$30</c:f>
              <c:numCache>
                <c:formatCode>_-"$"* #,##0_-;\-"$"* #,##0_-;_-"$"* "-"??_-;_-@_-</c:formatCode>
                <c:ptCount val="24"/>
                <c:pt idx="9">
                  <c:v>20951.566195776257</c:v>
                </c:pt>
                <c:pt idx="10">
                  <c:v>22355.047815353882</c:v>
                </c:pt>
                <c:pt idx="11">
                  <c:v>23758.529434931512</c:v>
                </c:pt>
                <c:pt idx="12">
                  <c:v>25162.011054509134</c:v>
                </c:pt>
                <c:pt idx="13">
                  <c:v>26565.49267408676</c:v>
                </c:pt>
                <c:pt idx="14">
                  <c:v>27968.974293664389</c:v>
                </c:pt>
                <c:pt idx="15">
                  <c:v>29372.455913242015</c:v>
                </c:pt>
                <c:pt idx="16">
                  <c:v>30775.937532819637</c:v>
                </c:pt>
                <c:pt idx="17">
                  <c:v>32179.419152397262</c:v>
                </c:pt>
                <c:pt idx="18">
                  <c:v>33582.900771974892</c:v>
                </c:pt>
                <c:pt idx="19">
                  <c:v>34986.382391552514</c:v>
                </c:pt>
                <c:pt idx="20">
                  <c:v>36389.864011130136</c:v>
                </c:pt>
                <c:pt idx="21">
                  <c:v>37793.345630707765</c:v>
                </c:pt>
                <c:pt idx="22">
                  <c:v>39196.827250285394</c:v>
                </c:pt>
                <c:pt idx="23">
                  <c:v>40600.308869863024</c:v>
                </c:pt>
              </c:numCache>
            </c:numRef>
          </c:yVal>
          <c:smooth val="0"/>
          <c:extLst xmlns:c16r2="http://schemas.microsoft.com/office/drawing/2015/06/chart">
            <c:ext xmlns:c16="http://schemas.microsoft.com/office/drawing/2014/chart" uri="{C3380CC4-5D6E-409C-BE32-E72D297353CC}">
              <c16:uniqueId val="{00000000-01F0-4392-AD6A-1A5CFED2C366}"/>
            </c:ext>
          </c:extLst>
        </c:ser>
        <c:ser>
          <c:idx val="3"/>
          <c:order val="1"/>
          <c:tx>
            <c:v>Small</c:v>
          </c:tx>
          <c:xVal>
            <c:numRef>
              <c:f>'Spending Model'!$B$7:$B$30</c:f>
              <c:numCache>
                <c:formatCode>General</c:formatCode>
                <c:ptCount val="24"/>
                <c:pt idx="0">
                  <c:v>10000</c:v>
                </c:pt>
                <c:pt idx="1">
                  <c:v>20000</c:v>
                </c:pt>
                <c:pt idx="2">
                  <c:v>30000</c:v>
                </c:pt>
                <c:pt idx="3">
                  <c:v>40000</c:v>
                </c:pt>
                <c:pt idx="4">
                  <c:v>50000</c:v>
                </c:pt>
                <c:pt idx="5">
                  <c:v>60000</c:v>
                </c:pt>
                <c:pt idx="6">
                  <c:v>70000</c:v>
                </c:pt>
                <c:pt idx="7">
                  <c:v>80000</c:v>
                </c:pt>
                <c:pt idx="8">
                  <c:v>90000</c:v>
                </c:pt>
                <c:pt idx="9">
                  <c:v>100000</c:v>
                </c:pt>
                <c:pt idx="10">
                  <c:v>110000</c:v>
                </c:pt>
                <c:pt idx="11">
                  <c:v>120000</c:v>
                </c:pt>
                <c:pt idx="12">
                  <c:v>130000</c:v>
                </c:pt>
                <c:pt idx="13">
                  <c:v>140000</c:v>
                </c:pt>
                <c:pt idx="14">
                  <c:v>150000</c:v>
                </c:pt>
                <c:pt idx="15">
                  <c:v>160000</c:v>
                </c:pt>
                <c:pt idx="16">
                  <c:v>170000</c:v>
                </c:pt>
                <c:pt idx="17">
                  <c:v>180000</c:v>
                </c:pt>
                <c:pt idx="18">
                  <c:v>190000</c:v>
                </c:pt>
                <c:pt idx="19">
                  <c:v>200000</c:v>
                </c:pt>
                <c:pt idx="20">
                  <c:v>210000</c:v>
                </c:pt>
                <c:pt idx="21">
                  <c:v>220000</c:v>
                </c:pt>
                <c:pt idx="22">
                  <c:v>230000</c:v>
                </c:pt>
                <c:pt idx="23">
                  <c:v>240000</c:v>
                </c:pt>
              </c:numCache>
            </c:numRef>
          </c:xVal>
          <c:yVal>
            <c:numRef>
              <c:f>'Spending Model'!$F$7:$F$30</c:f>
              <c:numCache>
                <c:formatCode>_-"$"* #,##0_-;\-"$"* #,##0_-;_-"$"* "-"??_-;_-@_-</c:formatCode>
                <c:ptCount val="24"/>
                <c:pt idx="0">
                  <c:v>2744.1833333333329</c:v>
                </c:pt>
                <c:pt idx="1">
                  <c:v>5017.5166666666664</c:v>
                </c:pt>
                <c:pt idx="2">
                  <c:v>7290.8499999999995</c:v>
                </c:pt>
                <c:pt idx="3">
                  <c:v>9564.1833333333325</c:v>
                </c:pt>
                <c:pt idx="4">
                  <c:v>11837.516666666666</c:v>
                </c:pt>
                <c:pt idx="5">
                  <c:v>14110.849999999999</c:v>
                </c:pt>
                <c:pt idx="6">
                  <c:v>16384.183333333331</c:v>
                </c:pt>
                <c:pt idx="7">
                  <c:v>18657.516666666663</c:v>
                </c:pt>
                <c:pt idx="8">
                  <c:v>20930.849999999995</c:v>
                </c:pt>
                <c:pt idx="9">
                  <c:v>23204.183333333331</c:v>
                </c:pt>
                <c:pt idx="10">
                  <c:v>25477.516666666663</c:v>
                </c:pt>
                <c:pt idx="11">
                  <c:v>27750.849999999995</c:v>
                </c:pt>
                <c:pt idx="12">
                  <c:v>30024.183333333327</c:v>
                </c:pt>
                <c:pt idx="13">
                  <c:v>32297.516666666663</c:v>
                </c:pt>
                <c:pt idx="14">
                  <c:v>34570.849999999991</c:v>
                </c:pt>
                <c:pt idx="15">
                  <c:v>36844.183333333327</c:v>
                </c:pt>
              </c:numCache>
            </c:numRef>
          </c:yVal>
          <c:smooth val="0"/>
          <c:extLst xmlns:c16r2="http://schemas.microsoft.com/office/drawing/2015/06/chart">
            <c:ext xmlns:c16="http://schemas.microsoft.com/office/drawing/2014/chart" uri="{C3380CC4-5D6E-409C-BE32-E72D297353CC}">
              <c16:uniqueId val="{00000001-01F0-4392-AD6A-1A5CFED2C366}"/>
            </c:ext>
          </c:extLst>
        </c:ser>
        <c:ser>
          <c:idx val="7"/>
          <c:order val="2"/>
          <c:tx>
            <c:v>Medium</c:v>
          </c:tx>
          <c:xVal>
            <c:numRef>
              <c:f>'Spending Model'!$B$7:$B$30</c:f>
              <c:numCache>
                <c:formatCode>General</c:formatCode>
                <c:ptCount val="24"/>
                <c:pt idx="0">
                  <c:v>10000</c:v>
                </c:pt>
                <c:pt idx="1">
                  <c:v>20000</c:v>
                </c:pt>
                <c:pt idx="2">
                  <c:v>30000</c:v>
                </c:pt>
                <c:pt idx="3">
                  <c:v>40000</c:v>
                </c:pt>
                <c:pt idx="4">
                  <c:v>50000</c:v>
                </c:pt>
                <c:pt idx="5">
                  <c:v>60000</c:v>
                </c:pt>
                <c:pt idx="6">
                  <c:v>70000</c:v>
                </c:pt>
                <c:pt idx="7">
                  <c:v>80000</c:v>
                </c:pt>
                <c:pt idx="8">
                  <c:v>90000</c:v>
                </c:pt>
                <c:pt idx="9">
                  <c:v>100000</c:v>
                </c:pt>
                <c:pt idx="10">
                  <c:v>110000</c:v>
                </c:pt>
                <c:pt idx="11">
                  <c:v>120000</c:v>
                </c:pt>
                <c:pt idx="12">
                  <c:v>130000</c:v>
                </c:pt>
                <c:pt idx="13">
                  <c:v>140000</c:v>
                </c:pt>
                <c:pt idx="14">
                  <c:v>150000</c:v>
                </c:pt>
                <c:pt idx="15">
                  <c:v>160000</c:v>
                </c:pt>
                <c:pt idx="16">
                  <c:v>170000</c:v>
                </c:pt>
                <c:pt idx="17">
                  <c:v>180000</c:v>
                </c:pt>
                <c:pt idx="18">
                  <c:v>190000</c:v>
                </c:pt>
                <c:pt idx="19">
                  <c:v>200000</c:v>
                </c:pt>
                <c:pt idx="20">
                  <c:v>210000</c:v>
                </c:pt>
                <c:pt idx="21">
                  <c:v>220000</c:v>
                </c:pt>
                <c:pt idx="22">
                  <c:v>230000</c:v>
                </c:pt>
                <c:pt idx="23">
                  <c:v>240000</c:v>
                </c:pt>
              </c:numCache>
            </c:numRef>
          </c:xVal>
          <c:yVal>
            <c:numRef>
              <c:f>'Spending Model'!$J$7:$J$30</c:f>
              <c:numCache>
                <c:formatCode>_-"$"* #,##0_-;\-"$"* #,##0_-;_-"$"* "-"??_-;_-@_-</c:formatCode>
                <c:ptCount val="24"/>
                <c:pt idx="0">
                  <c:v>4393.3316195776251</c:v>
                </c:pt>
                <c:pt idx="1">
                  <c:v>6490.8132391552499</c:v>
                </c:pt>
                <c:pt idx="2">
                  <c:v>8588.2948587328756</c:v>
                </c:pt>
                <c:pt idx="3">
                  <c:v>10685.776478310501</c:v>
                </c:pt>
                <c:pt idx="4">
                  <c:v>12783.258097888127</c:v>
                </c:pt>
                <c:pt idx="5">
                  <c:v>14880.739717465753</c:v>
                </c:pt>
                <c:pt idx="6">
                  <c:v>16978.221337043378</c:v>
                </c:pt>
                <c:pt idx="7">
                  <c:v>19075.702956621</c:v>
                </c:pt>
                <c:pt idx="8">
                  <c:v>21173.18457619863</c:v>
                </c:pt>
                <c:pt idx="9">
                  <c:v>23270.666195776252</c:v>
                </c:pt>
                <c:pt idx="10">
                  <c:v>25368.147815353877</c:v>
                </c:pt>
                <c:pt idx="11">
                  <c:v>27465.629434931503</c:v>
                </c:pt>
                <c:pt idx="12">
                  <c:v>29563.111054509129</c:v>
                </c:pt>
                <c:pt idx="13">
                  <c:v>31660.592674086754</c:v>
                </c:pt>
                <c:pt idx="14">
                  <c:v>33758.07429366438</c:v>
                </c:pt>
                <c:pt idx="15">
                  <c:v>35855.555913242002</c:v>
                </c:pt>
                <c:pt idx="16">
                  <c:v>37953.037532819631</c:v>
                </c:pt>
                <c:pt idx="17">
                  <c:v>40050.519152397261</c:v>
                </c:pt>
                <c:pt idx="18">
                  <c:v>42148.000771974883</c:v>
                </c:pt>
                <c:pt idx="19">
                  <c:v>44245.482391552505</c:v>
                </c:pt>
                <c:pt idx="20">
                  <c:v>46342.964011130127</c:v>
                </c:pt>
                <c:pt idx="21">
                  <c:v>48440.445630707756</c:v>
                </c:pt>
                <c:pt idx="22">
                  <c:v>50537.927250285386</c:v>
                </c:pt>
                <c:pt idx="23">
                  <c:v>52635.408869863008</c:v>
                </c:pt>
              </c:numCache>
            </c:numRef>
          </c:yVal>
          <c:smooth val="0"/>
          <c:extLst xmlns:c16r2="http://schemas.microsoft.com/office/drawing/2015/06/chart">
            <c:ext xmlns:c16="http://schemas.microsoft.com/office/drawing/2014/chart" uri="{C3380CC4-5D6E-409C-BE32-E72D297353CC}">
              <c16:uniqueId val="{00000002-01F0-4392-AD6A-1A5CFED2C366}"/>
            </c:ext>
          </c:extLst>
        </c:ser>
        <c:dLbls>
          <c:showLegendKey val="0"/>
          <c:showVal val="0"/>
          <c:showCatName val="0"/>
          <c:showSerName val="0"/>
          <c:showPercent val="0"/>
          <c:showBubbleSize val="0"/>
        </c:dLbls>
        <c:axId val="539372896"/>
        <c:axId val="539373288"/>
      </c:scatterChart>
      <c:valAx>
        <c:axId val="539372896"/>
        <c:scaling>
          <c:orientation val="minMax"/>
        </c:scaling>
        <c:delete val="0"/>
        <c:axPos val="b"/>
        <c:numFmt formatCode="General" sourceLinked="1"/>
        <c:majorTickMark val="out"/>
        <c:minorTickMark val="none"/>
        <c:tickLblPos val="nextTo"/>
        <c:crossAx val="539373288"/>
        <c:crosses val="autoZero"/>
        <c:crossBetween val="midCat"/>
      </c:valAx>
      <c:valAx>
        <c:axId val="539373288"/>
        <c:scaling>
          <c:orientation val="minMax"/>
        </c:scaling>
        <c:delete val="0"/>
        <c:axPos val="l"/>
        <c:majorGridlines/>
        <c:numFmt formatCode="_-&quot;$&quot;* #,##0_-;\-&quot;$&quot;* #,##0_-;_-&quot;$&quot;* &quot;-&quot;??_-;_-@_-" sourceLinked="1"/>
        <c:majorTickMark val="out"/>
        <c:minorTickMark val="none"/>
        <c:tickLblPos val="nextTo"/>
        <c:crossAx val="539372896"/>
        <c:crosses val="autoZero"/>
        <c:crossBetween val="midCat"/>
      </c:valAx>
    </c:plotArea>
    <c:legend>
      <c:legendPos val="r"/>
      <c:overlay val="0"/>
    </c:legend>
    <c:plotVisOnly val="1"/>
    <c:dispBlanksAs val="gap"/>
    <c:showDLblsOverMax val="0"/>
  </c:chart>
  <c:printSettings>
    <c:headerFooter/>
    <c:pageMargins b="0.75" l="0.7" r="0.7" t="0.75" header="0.3" footer="0.3"/>
    <c:pageSetup/>
  </c:printSettings>
</c:chartSpace>
</file>

<file path=xl/ctrlProps/ctrlProp1.xml><?xml version="1.0" encoding="utf-8"?>
<formControlPr xmlns="http://schemas.microsoft.com/office/spreadsheetml/2009/9/main" objectType="List" dx="25" fmlaLink="$A$5" fmlaRange="$A$7:$A$8" noThreeD="1" sel="0" val="0"/>
</file>

<file path=xl/ctrlProps/ctrlProp10.xml><?xml version="1.0" encoding="utf-8"?>
<formControlPr xmlns="http://schemas.microsoft.com/office/spreadsheetml/2009/9/main" objectType="Drop" dropStyle="combo" dx="25" fmlaLink="$B$14" fmlaRange="$A$19:$A$25" noThreeD="1" sel="1" val="0"/>
</file>

<file path=xl/ctrlProps/ctrlProp11.xml><?xml version="1.0" encoding="utf-8"?>
<formControlPr xmlns="http://schemas.microsoft.com/office/spreadsheetml/2009/9/main" objectType="Drop" dropStyle="combo" dx="25" fmlaLink="$B$15" fmlaRange="$A$28:$A$48" noThreeD="1" sel="1" val="0"/>
</file>

<file path=xl/ctrlProps/ctrlProp12.xml><?xml version="1.0" encoding="utf-8"?>
<formControlPr xmlns="http://schemas.microsoft.com/office/spreadsheetml/2009/9/main" objectType="List" dx="25" fmlaLink="$B$2" fmlaRange="$A$2:$A$4" noThreeD="1" sel="1" val="0"/>
</file>

<file path=xl/ctrlProps/ctrlProp13.xml><?xml version="1.0" encoding="utf-8"?>
<formControlPr xmlns="http://schemas.microsoft.com/office/spreadsheetml/2009/9/main" objectType="List" dx="25" fmlaLink="$B$5" fmlaRange="$A$5:$A$6" noThreeD="1" sel="1" val="0"/>
</file>

<file path=xl/ctrlProps/ctrlProp14.xml><?xml version="1.0" encoding="utf-8"?>
<formControlPr xmlns="http://schemas.microsoft.com/office/spreadsheetml/2009/9/main" objectType="List" dx="25" fmlaLink="$B$10" fmlaRange="$A$10:$A$12" noThreeD="1" sel="1" val="0"/>
</file>

<file path=xl/ctrlProps/ctrlProp15.xml><?xml version="1.0" encoding="utf-8"?>
<formControlPr xmlns="http://schemas.microsoft.com/office/spreadsheetml/2009/9/main" objectType="Spin" dx="25" fmlaLink="$A$7" max="99" page="10" val="28"/>
</file>

<file path=xl/ctrlProps/ctrlProp16.xml><?xml version="1.0" encoding="utf-8"?>
<formControlPr xmlns="http://schemas.microsoft.com/office/spreadsheetml/2009/9/main" objectType="Spin" dx="25" fmlaLink="$A$8" max="99" page="10" val="20"/>
</file>

<file path=xl/ctrlProps/ctrlProp17.xml><?xml version="1.0" encoding="utf-8"?>
<formControlPr xmlns="http://schemas.microsoft.com/office/spreadsheetml/2009/9/main" objectType="Spin" dx="25" fmlaLink="$A$9" max="99" page="10" val="12"/>
</file>

<file path=xl/ctrlProps/ctrlProp18.xml><?xml version="1.0" encoding="utf-8"?>
<formControlPr xmlns="http://schemas.microsoft.com/office/spreadsheetml/2009/9/main" objectType="Button" lockText="1"/>
</file>

<file path=xl/ctrlProps/ctrlProp19.xml><?xml version="1.0" encoding="utf-8"?>
<formControlPr xmlns="http://schemas.microsoft.com/office/spreadsheetml/2009/9/main" objectType="Button" lockText="1"/>
</file>

<file path=xl/ctrlProps/ctrlProp2.xml><?xml version="1.0" encoding="utf-8"?>
<formControlPr xmlns="http://schemas.microsoft.com/office/spreadsheetml/2009/9/main" objectType="List" dx="25" fmlaLink="$B$3" fmlaRange="$A$20:$A$22" noThreeD="1" sel="0" val="0"/>
</file>

<file path=xl/ctrlProps/ctrlProp20.xml><?xml version="1.0" encoding="utf-8"?>
<formControlPr xmlns="http://schemas.microsoft.com/office/spreadsheetml/2009/9/main" objectType="Button" lockText="1"/>
</file>

<file path=xl/ctrlProps/ctrlProp21.xml><?xml version="1.0" encoding="utf-8"?>
<formControlPr xmlns="http://schemas.microsoft.com/office/spreadsheetml/2009/9/main" objectType="Button" lockText="1"/>
</file>

<file path=xl/ctrlProps/ctrlProp22.xml><?xml version="1.0" encoding="utf-8"?>
<formControlPr xmlns="http://schemas.microsoft.com/office/spreadsheetml/2009/9/main" objectType="Button" lockText="1"/>
</file>

<file path=xl/ctrlProps/ctrlProp23.xml><?xml version="1.0" encoding="utf-8"?>
<formControlPr xmlns="http://schemas.microsoft.com/office/spreadsheetml/2009/9/main" objectType="Button" lockText="1"/>
</file>

<file path=xl/ctrlProps/ctrlProp24.xml><?xml version="1.0" encoding="utf-8"?>
<formControlPr xmlns="http://schemas.microsoft.com/office/spreadsheetml/2009/9/main" objectType="Button" lockText="1"/>
</file>

<file path=xl/ctrlProps/ctrlProp25.xml><?xml version="1.0" encoding="utf-8"?>
<formControlPr xmlns="http://schemas.microsoft.com/office/spreadsheetml/2009/9/main" objectType="Button" lockText="1"/>
</file>

<file path=xl/ctrlProps/ctrlProp26.xml><?xml version="1.0" encoding="utf-8"?>
<formControlPr xmlns="http://schemas.microsoft.com/office/spreadsheetml/2009/9/main" objectType="Button" lockText="1"/>
</file>

<file path=xl/ctrlProps/ctrlProp27.xml><?xml version="1.0" encoding="utf-8"?>
<formControlPr xmlns="http://schemas.microsoft.com/office/spreadsheetml/2009/9/main" objectType="Button" lockText="1"/>
</file>

<file path=xl/ctrlProps/ctrlProp28.xml><?xml version="1.0" encoding="utf-8"?>
<formControlPr xmlns="http://schemas.microsoft.com/office/spreadsheetml/2009/9/main" objectType="Button" lockText="1"/>
</file>

<file path=xl/ctrlProps/ctrlProp29.xml><?xml version="1.0" encoding="utf-8"?>
<formControlPr xmlns="http://schemas.microsoft.com/office/spreadsheetml/2009/9/main" objectType="Button" lockText="1"/>
</file>

<file path=xl/ctrlProps/ctrlProp3.xml><?xml version="1.0" encoding="utf-8"?>
<formControlPr xmlns="http://schemas.microsoft.com/office/spreadsheetml/2009/9/main" objectType="List" dx="25" fmlaLink="$B$4" fmlaRange="$A$25:$A$26" noThreeD="1" sel="0" val="0"/>
</file>

<file path=xl/ctrlProps/ctrlProp30.xml><?xml version="1.0" encoding="utf-8"?>
<formControlPr xmlns="http://schemas.microsoft.com/office/spreadsheetml/2009/9/main" objectType="Button" lockText="1"/>
</file>

<file path=xl/ctrlProps/ctrlProp31.xml><?xml version="1.0" encoding="utf-8"?>
<formControlPr xmlns="http://schemas.microsoft.com/office/spreadsheetml/2009/9/main" objectType="List" dx="25" fmlaLink="$B$19" fmlaRange="$A$2:$A$3" noThreeD="1" sel="0" val="0"/>
</file>

<file path=xl/ctrlProps/ctrlProp32.xml><?xml version="1.0" encoding="utf-8"?>
<formControlPr xmlns="http://schemas.microsoft.com/office/spreadsheetml/2009/9/main" objectType="List" dx="25" fmlaLink="$B$20" fmlaRange="$A$4:$A$6" noThreeD="1" sel="0" val="0"/>
</file>

<file path=xl/ctrlProps/ctrlProp33.xml><?xml version="1.0" encoding="utf-8"?>
<formControlPr xmlns="http://schemas.microsoft.com/office/spreadsheetml/2009/9/main" objectType="List" dx="25" fmlaLink="$B$21" fmlaRange="$A$7:$A$9" noThreeD="1" sel="0" val="0"/>
</file>

<file path=xl/ctrlProps/ctrlProp34.xml><?xml version="1.0" encoding="utf-8"?>
<formControlPr xmlns="http://schemas.microsoft.com/office/spreadsheetml/2009/9/main" objectType="List" dx="25" fmlaLink="$B$22" fmlaRange="$A$10:$A$13" noThreeD="1" sel="0" val="0"/>
</file>

<file path=xl/ctrlProps/ctrlProp35.xml><?xml version="1.0" encoding="utf-8"?>
<formControlPr xmlns="http://schemas.microsoft.com/office/spreadsheetml/2009/9/main" objectType="List" dx="25" fmlaLink="$B$23" fmlaRange="$A$14:$A$17" noThreeD="1" sel="0" val="0"/>
</file>

<file path=xl/ctrlProps/ctrlProp36.xml><?xml version="1.0" encoding="utf-8"?>
<formControlPr xmlns="http://schemas.microsoft.com/office/spreadsheetml/2009/9/main" objectType="Spin" dx="25" fmlaLink="$A$48" inc="5" max="20000" page="10" val="1133"/>
</file>

<file path=xl/ctrlProps/ctrlProp37.xml><?xml version="1.0" encoding="utf-8"?>
<formControlPr xmlns="http://schemas.microsoft.com/office/spreadsheetml/2009/9/main" objectType="Drop" dropStyle="combo" dx="25" fmlaLink="$B$2" fmlaRange="$A$7:$A$18" noThreeD="1" sel="1" val="0"/>
</file>

<file path=xl/ctrlProps/ctrlProp38.xml><?xml version="1.0" encoding="utf-8"?>
<formControlPr xmlns="http://schemas.microsoft.com/office/spreadsheetml/2009/9/main" objectType="Drop" dropStyle="combo" dx="25" fmlaLink="$B$3" fmlaRange="$A$23:$A$29" noThreeD="1" sel="1" val="0"/>
</file>

<file path=xl/ctrlProps/ctrlProp39.xml><?xml version="1.0" encoding="utf-8"?>
<formControlPr xmlns="http://schemas.microsoft.com/office/spreadsheetml/2009/9/main" objectType="List" dx="25" fmlaLink="$B$41" fmlaRange="$A$41:$A$42" noThreeD="1" sel="1" val="0"/>
</file>

<file path=xl/ctrlProps/ctrlProp4.xml><?xml version="1.0" encoding="utf-8"?>
<formControlPr xmlns="http://schemas.microsoft.com/office/spreadsheetml/2009/9/main" objectType="List" dx="25" fmlaLink="$B$5" fmlaRange="$A$29:$A$31" noThreeD="1" sel="0" val="0"/>
</file>

<file path=xl/ctrlProps/ctrlProp5.xml><?xml version="1.0" encoding="utf-8"?>
<formControlPr xmlns="http://schemas.microsoft.com/office/spreadsheetml/2009/9/main" objectType="List" dx="25" fmlaLink="$B$6" fmlaRange="$A$34:$A$36" noThreeD="1" sel="0" val="0"/>
</file>

<file path=xl/ctrlProps/ctrlProp6.xml><?xml version="1.0" encoding="utf-8"?>
<formControlPr xmlns="http://schemas.microsoft.com/office/spreadsheetml/2009/9/main" objectType="List" dx="25" fmlaLink="$B$8" fmlaRange="$A$44:$A$46" sel="0" val="0"/>
</file>

<file path=xl/ctrlProps/ctrlProp7.xml><?xml version="1.0" encoding="utf-8"?>
<formControlPr xmlns="http://schemas.microsoft.com/office/spreadsheetml/2009/9/main" objectType="List" dx="25" fmlaLink="$B$7" fmlaRange="$A$39:$A$41" noThreeD="1" sel="0" val="0"/>
</file>

<file path=xl/ctrlProps/ctrlProp8.xml><?xml version="1.0" encoding="utf-8"?>
<formControlPr xmlns="http://schemas.microsoft.com/office/spreadsheetml/2009/9/main" objectType="Button" lockText="1"/>
</file>

<file path=xl/ctrlProps/ctrlProp9.xml><?xml version="1.0" encoding="utf-8"?>
<formControlPr xmlns="http://schemas.microsoft.com/office/spreadsheetml/2009/9/main" objectType="List" dx="25" fmlaLink="$B$9" fmlaRange="$A$49:$A$51" sel="0" val="0"/>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hyperlink" Target="mailto:energy.saver@environment.nsw.gov.au?subject=Battery%20Storage%20for%20business:%20contact%20us" TargetMode="External"/><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1" Type="http://schemas.openxmlformats.org/officeDocument/2006/relationships/chart" Target="../charts/chart4.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5.xml"/></Relationships>
</file>

<file path=xl/drawings/_rels/drawing2.xml.rels><?xml version="1.0" encoding="UTF-8" standalone="yes"?>
<Relationships xmlns="http://schemas.openxmlformats.org/package/2006/relationships"><Relationship Id="rId3" Type="http://schemas.openxmlformats.org/officeDocument/2006/relationships/hyperlink" Target="mailto:energy.saver@environment.nsw.gov.au?subject=Battery%20Storage%20for%20business:%20contact%20us" TargetMode="External"/><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3" Type="http://schemas.openxmlformats.org/officeDocument/2006/relationships/hyperlink" Target="mailto:energy.saver@environment.nsw.gov.au?subject=Battery%20Storage%20for%20business:%20contact%20us" TargetMode="External"/><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4.xml.rels><?xml version="1.0" encoding="UTF-8" standalone="yes"?>
<Relationships xmlns="http://schemas.openxmlformats.org/package/2006/relationships"><Relationship Id="rId3" Type="http://schemas.openxmlformats.org/officeDocument/2006/relationships/hyperlink" Target="mailto:energy.saver@environment.nsw.gov.au?subject=Battery%20Storage%20for%20business:%20contact%20us" TargetMode="External"/><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5.png"/></Relationships>
</file>

<file path=xl/drawings/_rels/drawing5.xml.rels><?xml version="1.0" encoding="UTF-8" standalone="yes"?>
<Relationships xmlns="http://schemas.openxmlformats.org/package/2006/relationships"><Relationship Id="rId3" Type="http://schemas.openxmlformats.org/officeDocument/2006/relationships/hyperlink" Target="mailto:energy.saver@environment.nsw.gov.au?subject=Battery%20Storage%20for%20business:%20contact%20us" TargetMode="External"/><Relationship Id="rId2" Type="http://schemas.openxmlformats.org/officeDocument/2006/relationships/image" Target="../media/image4.png"/><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3" Type="http://schemas.openxmlformats.org/officeDocument/2006/relationships/hyperlink" Target="mailto:energy.saver@environment.nsw.gov.au?subject=Battery%20Storage%20for%20business:%20contact%20us" TargetMode="External"/><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5.png"/></Relationships>
</file>

<file path=xl/drawings/_rels/drawing7.xml.rels><?xml version="1.0" encoding="UTF-8" standalone="yes"?>
<Relationships xmlns="http://schemas.openxmlformats.org/package/2006/relationships"><Relationship Id="rId2" Type="http://schemas.openxmlformats.org/officeDocument/2006/relationships/image" Target="../media/image8.emf"/><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1" Type="http://schemas.openxmlformats.org/officeDocument/2006/relationships/image" Target="../media/image8.emf"/></Relationships>
</file>

<file path=xl/drawings/_rels/drawing9.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vmlDrawing6.vml.rels><?xml version="1.0" encoding="UTF-8" standalone="yes"?>
<Relationships xmlns="http://schemas.openxmlformats.org/package/2006/relationships"><Relationship Id="rId1" Type="http://schemas.openxmlformats.org/officeDocument/2006/relationships/image" Target="../media/image9.emf"/></Relationships>
</file>

<file path=xl/drawings/_rels/vmlDrawing7.vml.rels><?xml version="1.0" encoding="UTF-8" standalone="yes"?>
<Relationships xmlns="http://schemas.openxmlformats.org/package/2006/relationships"><Relationship Id="rId1" Type="http://schemas.openxmlformats.org/officeDocument/2006/relationships/image" Target="../media/image9.emf"/></Relationships>
</file>

<file path=xl/drawings/drawing1.xml><?xml version="1.0" encoding="utf-8"?>
<xdr:wsDr xmlns:xdr="http://schemas.openxmlformats.org/drawingml/2006/spreadsheetDrawing" xmlns:a="http://schemas.openxmlformats.org/drawingml/2006/main">
  <xdr:twoCellAnchor editAs="oneCell">
    <xdr:from>
      <xdr:col>1</xdr:col>
      <xdr:colOff>47625</xdr:colOff>
      <xdr:row>30</xdr:row>
      <xdr:rowOff>123825</xdr:rowOff>
    </xdr:from>
    <xdr:to>
      <xdr:col>10</xdr:col>
      <xdr:colOff>394335</xdr:colOff>
      <xdr:row>32</xdr:row>
      <xdr:rowOff>102235</xdr:rowOff>
    </xdr:to>
    <xdr:pic>
      <xdr:nvPicPr>
        <xdr:cNvPr id="2" name="Picture 1"/>
        <xdr:cNvPicPr/>
      </xdr:nvPicPr>
      <xdr:blipFill>
        <a:blip xmlns:r="http://schemas.openxmlformats.org/officeDocument/2006/relationships" r:embed="rId1"/>
        <a:stretch>
          <a:fillRect/>
        </a:stretch>
      </xdr:blipFill>
      <xdr:spPr>
        <a:xfrm>
          <a:off x="672465" y="5648325"/>
          <a:ext cx="5833110" cy="331470"/>
        </a:xfrm>
        <a:prstGeom prst="rect">
          <a:avLst/>
        </a:prstGeom>
      </xdr:spPr>
    </xdr:pic>
    <xdr:clientData/>
  </xdr:twoCellAnchor>
  <xdr:twoCellAnchor editAs="oneCell">
    <xdr:from>
      <xdr:col>1</xdr:col>
      <xdr:colOff>66675</xdr:colOff>
      <xdr:row>35</xdr:row>
      <xdr:rowOff>136525</xdr:rowOff>
    </xdr:from>
    <xdr:to>
      <xdr:col>10</xdr:col>
      <xdr:colOff>432435</xdr:colOff>
      <xdr:row>37</xdr:row>
      <xdr:rowOff>57785</xdr:rowOff>
    </xdr:to>
    <xdr:pic>
      <xdr:nvPicPr>
        <xdr:cNvPr id="3" name="Picture 2"/>
        <xdr:cNvPicPr/>
      </xdr:nvPicPr>
      <xdr:blipFill>
        <a:blip xmlns:r="http://schemas.openxmlformats.org/officeDocument/2006/relationships" r:embed="rId2"/>
        <a:stretch>
          <a:fillRect/>
        </a:stretch>
      </xdr:blipFill>
      <xdr:spPr>
        <a:xfrm>
          <a:off x="688975" y="6423025"/>
          <a:ext cx="5966460" cy="276860"/>
        </a:xfrm>
        <a:prstGeom prst="rect">
          <a:avLst/>
        </a:prstGeom>
      </xdr:spPr>
    </xdr:pic>
    <xdr:clientData/>
  </xdr:twoCellAnchor>
  <xdr:twoCellAnchor>
    <xdr:from>
      <xdr:col>0</xdr:col>
      <xdr:colOff>579120</xdr:colOff>
      <xdr:row>1</xdr:row>
      <xdr:rowOff>106680</xdr:rowOff>
    </xdr:from>
    <xdr:to>
      <xdr:col>20</xdr:col>
      <xdr:colOff>279693</xdr:colOff>
      <xdr:row>7</xdr:row>
      <xdr:rowOff>135499</xdr:rowOff>
    </xdr:to>
    <xdr:sp macro="" textlink="">
      <xdr:nvSpPr>
        <xdr:cNvPr id="4" name="TextBox 3"/>
        <xdr:cNvSpPr txBox="1"/>
      </xdr:nvSpPr>
      <xdr:spPr>
        <a:xfrm>
          <a:off x="579120" y="289560"/>
          <a:ext cx="11892573" cy="1126099"/>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lvl="1"/>
          <a:r>
            <a:rPr lang="en-US" sz="3200" b="1">
              <a:solidFill>
                <a:schemeClr val="tx1"/>
              </a:solidFill>
            </a:rPr>
            <a:t>	</a:t>
          </a:r>
          <a:r>
            <a:rPr lang="en-US" sz="3200" b="1">
              <a:solidFill>
                <a:schemeClr val="tx1"/>
              </a:solidFill>
              <a:latin typeface="Arial" panose="020B0604020202020204" pitchFamily="34" charset="0"/>
              <a:cs typeface="Arial" panose="020B0604020202020204" pitchFamily="34" charset="0"/>
            </a:rPr>
            <a:t>	     </a:t>
          </a:r>
          <a:r>
            <a:rPr lang="en-US" sz="2200" b="1">
              <a:solidFill>
                <a:schemeClr val="tx1"/>
              </a:solidFill>
              <a:latin typeface="Arial" panose="020B0604020202020204" pitchFamily="34" charset="0"/>
              <a:cs typeface="Arial" panose="020B0604020202020204" pitchFamily="34" charset="0"/>
            </a:rPr>
            <a:t>Battery Storage for business:</a:t>
          </a:r>
          <a:r>
            <a:rPr lang="en-US" sz="2200" b="1" baseline="0">
              <a:solidFill>
                <a:schemeClr val="tx1"/>
              </a:solidFill>
              <a:latin typeface="Arial" panose="020B0604020202020204" pitchFamily="34" charset="0"/>
              <a:cs typeface="Arial" panose="020B0604020202020204" pitchFamily="34" charset="0"/>
            </a:rPr>
            <a:t> an investment decision tool</a:t>
          </a:r>
          <a:endParaRPr lang="en-US" sz="2200" b="0">
            <a:solidFill>
              <a:schemeClr val="tx1"/>
            </a:solidFill>
            <a:latin typeface="Arial" panose="020B0604020202020204" pitchFamily="34" charset="0"/>
            <a:cs typeface="Arial" panose="020B0604020202020204" pitchFamily="34" charset="0"/>
          </a:endParaRPr>
        </a:p>
      </xdr:txBody>
    </xdr:sp>
    <xdr:clientData/>
  </xdr:twoCellAnchor>
  <xdr:twoCellAnchor editAs="oneCell">
    <xdr:from>
      <xdr:col>1</xdr:col>
      <xdr:colOff>111555</xdr:colOff>
      <xdr:row>2</xdr:row>
      <xdr:rowOff>70511</xdr:rowOff>
    </xdr:from>
    <xdr:to>
      <xdr:col>3</xdr:col>
      <xdr:colOff>541864</xdr:colOff>
      <xdr:row>6</xdr:row>
      <xdr:rowOff>156652</xdr:rowOff>
    </xdr:to>
    <xdr:pic>
      <xdr:nvPicPr>
        <xdr:cNvPr id="5" name="Picture 4"/>
        <xdr:cNvPicPr>
          <a:picLocks noChangeAspect="1"/>
        </xdr:cNvPicPr>
      </xdr:nvPicPr>
      <xdr:blipFill>
        <a:blip xmlns:r="http://schemas.openxmlformats.org/officeDocument/2006/relationships" r:embed="rId3"/>
        <a:stretch>
          <a:fillRect/>
        </a:stretch>
      </xdr:blipFill>
      <xdr:spPr>
        <a:xfrm>
          <a:off x="721155" y="436271"/>
          <a:ext cx="1649509" cy="792261"/>
        </a:xfrm>
        <a:prstGeom prst="rect">
          <a:avLst/>
        </a:prstGeom>
      </xdr:spPr>
    </xdr:pic>
    <xdr:clientData/>
  </xdr:twoCellAnchor>
  <xdr:twoCellAnchor>
    <xdr:from>
      <xdr:col>1</xdr:col>
      <xdr:colOff>0</xdr:colOff>
      <xdr:row>43</xdr:row>
      <xdr:rowOff>0</xdr:rowOff>
    </xdr:from>
    <xdr:to>
      <xdr:col>20</xdr:col>
      <xdr:colOff>128657</xdr:colOff>
      <xdr:row>43</xdr:row>
      <xdr:rowOff>11430</xdr:rowOff>
    </xdr:to>
    <xdr:cxnSp macro="">
      <xdr:nvCxnSpPr>
        <xdr:cNvPr id="6" name="Straight Connector 5"/>
        <xdr:cNvCxnSpPr/>
      </xdr:nvCxnSpPr>
      <xdr:spPr>
        <a:xfrm>
          <a:off x="609600" y="7955280"/>
          <a:ext cx="11711057" cy="1143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0</xdr:colOff>
      <xdr:row>44</xdr:row>
      <xdr:rowOff>0</xdr:rowOff>
    </xdr:from>
    <xdr:to>
      <xdr:col>18</xdr:col>
      <xdr:colOff>571500</xdr:colOff>
      <xdr:row>47</xdr:row>
      <xdr:rowOff>147822</xdr:rowOff>
    </xdr:to>
    <xdr:grpSp>
      <xdr:nvGrpSpPr>
        <xdr:cNvPr id="12" name="Group 11"/>
        <xdr:cNvGrpSpPr/>
      </xdr:nvGrpSpPr>
      <xdr:grpSpPr>
        <a:xfrm>
          <a:off x="590550" y="7648575"/>
          <a:ext cx="10610850" cy="690747"/>
          <a:chOff x="615950" y="7362190"/>
          <a:chExt cx="10627916" cy="655822"/>
        </a:xfrm>
      </xdr:grpSpPr>
      <xdr:pic>
        <xdr:nvPicPr>
          <xdr:cNvPr id="13" name="Picture 12"/>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615950" y="7362190"/>
            <a:ext cx="1246230" cy="655822"/>
          </a:xfrm>
          <a:prstGeom prst="rect">
            <a:avLst/>
          </a:prstGeom>
        </xdr:spPr>
      </xdr:pic>
      <xdr:sp macro="" textlink="">
        <xdr:nvSpPr>
          <xdr:cNvPr id="14" name="ShapeQ3Label">
            <a:hlinkClick xmlns:r="http://schemas.openxmlformats.org/officeDocument/2006/relationships" r:id="rId5"/>
          </xdr:cNvPr>
          <xdr:cNvSpPr txBox="1"/>
        </xdr:nvSpPr>
        <xdr:spPr>
          <a:xfrm>
            <a:off x="2089150" y="7594600"/>
            <a:ext cx="9154716" cy="2730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US" sz="1100" b="0">
                <a:solidFill>
                  <a:srgbClr xmlns:mc="http://schemas.openxmlformats.org/markup-compatibility/2006" xmlns:a14="http://schemas.microsoft.com/office/drawing/2010/main" val="000000" mc:Ignorable="a14" a14:legacySpreadsheetColorIndex="8"/>
                </a:solidFill>
                <a:latin typeface="Arial" panose="020B0604020202020204" pitchFamily="34" charset="0"/>
                <a:cs typeface="Arial" panose="020B0604020202020204" pitchFamily="34" charset="0"/>
              </a:rPr>
              <a:t>For more information please contact the Energy Efficient Business Team on </a:t>
            </a:r>
            <a:r>
              <a:rPr lang="en-US" sz="1100" b="1">
                <a:solidFill>
                  <a:srgbClr xmlns:mc="http://schemas.openxmlformats.org/markup-compatibility/2006" xmlns:a14="http://schemas.microsoft.com/office/drawing/2010/main" val="000000" mc:Ignorable="a14" a14:legacySpreadsheetColorIndex="8"/>
                </a:solidFill>
                <a:latin typeface="Arial" panose="020B0604020202020204" pitchFamily="34" charset="0"/>
                <a:cs typeface="Arial" panose="020B0604020202020204" pitchFamily="34" charset="0"/>
              </a:rPr>
              <a:t>1300</a:t>
            </a:r>
            <a:r>
              <a:rPr lang="en-US" sz="1100" b="1" baseline="0">
                <a:solidFill>
                  <a:srgbClr xmlns:mc="http://schemas.openxmlformats.org/markup-compatibility/2006" xmlns:a14="http://schemas.microsoft.com/office/drawing/2010/main" val="000000" mc:Ignorable="a14" a14:legacySpreadsheetColorIndex="8"/>
                </a:solidFill>
                <a:latin typeface="Arial" panose="020B0604020202020204" pitchFamily="34" charset="0"/>
                <a:cs typeface="Arial" panose="020B0604020202020204" pitchFamily="34" charset="0"/>
              </a:rPr>
              <a:t> 361 967 </a:t>
            </a:r>
            <a:r>
              <a:rPr lang="en-US" sz="1100" b="0" baseline="0">
                <a:solidFill>
                  <a:srgbClr xmlns:mc="http://schemas.openxmlformats.org/markup-compatibility/2006" xmlns:a14="http://schemas.microsoft.com/office/drawing/2010/main" val="000000" mc:Ignorable="a14" a14:legacySpreadsheetColorIndex="8"/>
                </a:solidFill>
                <a:latin typeface="Arial" panose="020B0604020202020204" pitchFamily="34" charset="0"/>
                <a:cs typeface="Arial" panose="020B0604020202020204" pitchFamily="34" charset="0"/>
              </a:rPr>
              <a:t>or email: </a:t>
            </a:r>
            <a:r>
              <a:rPr lang="en-AU" sz="1100" u="sng">
                <a:solidFill>
                  <a:srgbClr val="056399"/>
                </a:solidFill>
                <a:effectLst/>
                <a:latin typeface="Arial" panose="020B0604020202020204" pitchFamily="34" charset="0"/>
                <a:ea typeface="+mn-ea"/>
                <a:cs typeface="Arial" panose="020B0604020202020204" pitchFamily="34" charset="0"/>
              </a:rPr>
              <a:t>energy.saver@environment.nsw.gov.au</a:t>
            </a:r>
            <a:endParaRPr lang="en-US">
              <a:solidFill>
                <a:srgbClr val="056399"/>
              </a:solidFill>
              <a:effectLst/>
              <a:latin typeface="Arial" panose="020B0604020202020204" pitchFamily="34" charset="0"/>
              <a:cs typeface="Arial" panose="020B0604020202020204" pitchFamily="34" charset="0"/>
            </a:endParaRPr>
          </a:p>
          <a:p>
            <a:r>
              <a:rPr lang="en-US" sz="1100" b="0" baseline="0">
                <a:solidFill>
                  <a:srgbClr xmlns:mc="http://schemas.openxmlformats.org/markup-compatibility/2006" xmlns:a14="http://schemas.microsoft.com/office/drawing/2010/main" val="000000" mc:Ignorable="a14" a14:legacySpreadsheetColorIndex="8"/>
                </a:solidFill>
                <a:latin typeface="Arial" panose="020B0604020202020204" pitchFamily="34" charset="0"/>
                <a:cs typeface="Arial" panose="020B0604020202020204" pitchFamily="34" charset="0"/>
              </a:rPr>
              <a:t>: </a:t>
            </a:r>
            <a:endParaRPr lang="en-US" sz="1100" b="0">
              <a:solidFill>
                <a:srgbClr xmlns:mc="http://schemas.openxmlformats.org/markup-compatibility/2006" xmlns:a14="http://schemas.microsoft.com/office/drawing/2010/main" val="000000" mc:Ignorable="a14" a14:legacySpreadsheetColorIndex="8"/>
              </a:solidFill>
              <a:latin typeface="Arial" panose="020B0604020202020204" pitchFamily="34" charset="0"/>
              <a:cs typeface="Arial" panose="020B0604020202020204" pitchFamily="34" charset="0"/>
            </a:endParaRPr>
          </a:p>
        </xdr:txBody>
      </xdr:sp>
    </xdr:grpSp>
    <xdr:clientData/>
  </xdr:twoCellAnchor>
</xdr:wsDr>
</file>

<file path=xl/drawings/drawing10.xml><?xml version="1.0" encoding="utf-8"?>
<xdr:wsDr xmlns:xdr="http://schemas.openxmlformats.org/drawingml/2006/spreadsheetDrawing" xmlns:a="http://schemas.openxmlformats.org/drawingml/2006/main">
  <xdr:twoCellAnchor>
    <xdr:from>
      <xdr:col>5</xdr:col>
      <xdr:colOff>244475</xdr:colOff>
      <xdr:row>11</xdr:row>
      <xdr:rowOff>38100</xdr:rowOff>
    </xdr:from>
    <xdr:to>
      <xdr:col>12</xdr:col>
      <xdr:colOff>473075</xdr:colOff>
      <xdr:row>27</xdr:row>
      <xdr:rowOff>19050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2</xdr:col>
      <xdr:colOff>0</xdr:colOff>
      <xdr:row>32</xdr:row>
      <xdr:rowOff>41162</xdr:rowOff>
    </xdr:from>
    <xdr:to>
      <xdr:col>17</xdr:col>
      <xdr:colOff>514350</xdr:colOff>
      <xdr:row>50</xdr:row>
      <xdr:rowOff>133350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12700</xdr:colOff>
      <xdr:row>10</xdr:row>
      <xdr:rowOff>44450</xdr:rowOff>
    </xdr:from>
    <xdr:to>
      <xdr:col>11</xdr:col>
      <xdr:colOff>495300</xdr:colOff>
      <xdr:row>22</xdr:row>
      <xdr:rowOff>146050</xdr:rowOff>
    </xdr:to>
    <xdr:sp macro="" textlink="">
      <xdr:nvSpPr>
        <xdr:cNvPr id="31" name="IntroLabel"/>
        <xdr:cNvSpPr txBox="1"/>
      </xdr:nvSpPr>
      <xdr:spPr>
        <a:xfrm>
          <a:off x="1231900" y="1466850"/>
          <a:ext cx="4140200" cy="2317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solidFill>
                <a:schemeClr val="tx1"/>
              </a:solidFill>
              <a:latin typeface="Arial" panose="020B0604020202020204" pitchFamily="34" charset="0"/>
              <a:cs typeface="Arial" panose="020B0604020202020204" pitchFamily="34" charset="0"/>
            </a:rPr>
            <a:t>This tool will help you understand if battery storage is right for your business.</a:t>
          </a:r>
        </a:p>
        <a:p>
          <a:endParaRPr lang="en-US" sz="1200" b="0">
            <a:solidFill>
              <a:schemeClr val="tx1"/>
            </a:solidFill>
            <a:latin typeface="Arial" panose="020B0604020202020204" pitchFamily="34" charset="0"/>
            <a:cs typeface="Arial" panose="020B0604020202020204" pitchFamily="34" charset="0"/>
          </a:endParaRPr>
        </a:p>
        <a:p>
          <a:r>
            <a:rPr lang="en-US" sz="1200" b="0">
              <a:solidFill>
                <a:schemeClr val="tx1"/>
              </a:solidFill>
              <a:latin typeface="Arial" panose="020B0604020202020204" pitchFamily="34" charset="0"/>
              <a:cs typeface="Arial" panose="020B0604020202020204" pitchFamily="34" charset="0"/>
            </a:rPr>
            <a:t>You'll be able to see the return on investment of tariff optimisation through battery storage. You may also be able to explore peak shaving as an alternative.</a:t>
          </a:r>
        </a:p>
        <a:p>
          <a:endParaRPr lang="en-US" sz="1200" b="0">
            <a:solidFill>
              <a:schemeClr val="tx1"/>
            </a:solidFill>
            <a:latin typeface="Arial" panose="020B0604020202020204" pitchFamily="34" charset="0"/>
            <a:cs typeface="Arial" panose="020B0604020202020204" pitchFamily="34" charset="0"/>
          </a:endParaRPr>
        </a:p>
        <a:p>
          <a:pPr>
            <a:lnSpc>
              <a:spcPct val="150000"/>
            </a:lnSpc>
          </a:pPr>
          <a:r>
            <a:rPr lang="en-US" sz="1200" b="0">
              <a:solidFill>
                <a:schemeClr val="tx1"/>
              </a:solidFill>
              <a:latin typeface="Arial" panose="020B0604020202020204" pitchFamily="34" charset="0"/>
              <a:cs typeface="Arial" panose="020B0604020202020204" pitchFamily="34" charset="0"/>
            </a:rPr>
            <a:t>Gather the following information before you start. </a:t>
          </a:r>
        </a:p>
        <a:p>
          <a:r>
            <a:rPr lang="en-US" sz="1200" b="0">
              <a:solidFill>
                <a:schemeClr val="tx1"/>
              </a:solidFill>
              <a:latin typeface="Arial" panose="020B0604020202020204" pitchFamily="34" charset="0"/>
              <a:cs typeface="Arial" panose="020B0604020202020204" pitchFamily="34" charset="0"/>
            </a:rPr>
            <a:t>- Your budget                                   </a:t>
          </a:r>
        </a:p>
        <a:p>
          <a:r>
            <a:rPr lang="en-US" sz="1200" b="0">
              <a:solidFill>
                <a:schemeClr val="tx1"/>
              </a:solidFill>
              <a:latin typeface="Arial" panose="020B0604020202020204" pitchFamily="34" charset="0"/>
              <a:cs typeface="Arial" panose="020B0604020202020204" pitchFamily="34" charset="0"/>
            </a:rPr>
            <a:t>- Your yearly electricity expenditure</a:t>
          </a:r>
        </a:p>
        <a:p>
          <a:r>
            <a:rPr lang="en-US" sz="1200" b="0">
              <a:solidFill>
                <a:schemeClr val="tx1"/>
              </a:solidFill>
              <a:latin typeface="Arial" panose="020B0604020202020204" pitchFamily="34" charset="0"/>
              <a:cs typeface="Arial" panose="020B0604020202020204" pitchFamily="34" charset="0"/>
            </a:rPr>
            <a:t>- Your simple payback expectations</a:t>
          </a:r>
        </a:p>
      </xdr:txBody>
    </xdr:sp>
    <xdr:clientData/>
  </xdr:twoCellAnchor>
  <xdr:twoCellAnchor editAs="oneCell">
    <xdr:from>
      <xdr:col>12</xdr:col>
      <xdr:colOff>63500</xdr:colOff>
      <xdr:row>10</xdr:row>
      <xdr:rowOff>44450</xdr:rowOff>
    </xdr:from>
    <xdr:to>
      <xdr:col>21</xdr:col>
      <xdr:colOff>1365250</xdr:colOff>
      <xdr:row>23</xdr:row>
      <xdr:rowOff>95250</xdr:rowOff>
    </xdr:to>
    <xdr:sp macro="" textlink="">
      <xdr:nvSpPr>
        <xdr:cNvPr id="30" name="IntroLabel"/>
        <xdr:cNvSpPr txBox="1"/>
      </xdr:nvSpPr>
      <xdr:spPr>
        <a:xfrm>
          <a:off x="5549900" y="1466850"/>
          <a:ext cx="6788150" cy="24511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solidFill>
                <a:schemeClr val="tx1"/>
              </a:solidFill>
              <a:latin typeface="Arial" panose="020B0604020202020204" pitchFamily="34" charset="0"/>
              <a:cs typeface="Arial" panose="020B0604020202020204" pitchFamily="34" charset="0"/>
            </a:rPr>
            <a:t>STEP 1   Questionnaire</a:t>
          </a:r>
          <a:br>
            <a:rPr lang="en-US" sz="1200" b="1">
              <a:solidFill>
                <a:schemeClr val="tx1"/>
              </a:solidFill>
              <a:latin typeface="Arial" panose="020B0604020202020204" pitchFamily="34" charset="0"/>
              <a:cs typeface="Arial" panose="020B0604020202020204" pitchFamily="34" charset="0"/>
            </a:rPr>
          </a:br>
          <a:endParaRPr lang="en-US" sz="1200" b="1">
            <a:solidFill>
              <a:schemeClr val="tx1"/>
            </a:solidFill>
            <a:latin typeface="Arial" panose="020B0604020202020204" pitchFamily="34" charset="0"/>
            <a:cs typeface="Arial" panose="020B0604020202020204" pitchFamily="34" charset="0"/>
          </a:endParaRPr>
        </a:p>
        <a:p>
          <a:r>
            <a:rPr lang="en-US" sz="1200" b="0">
              <a:solidFill>
                <a:schemeClr val="tx1"/>
              </a:solidFill>
              <a:latin typeface="Arial" panose="020B0604020202020204" pitchFamily="34" charset="0"/>
              <a:cs typeface="Arial" panose="020B0604020202020204" pitchFamily="34" charset="0"/>
            </a:rPr>
            <a:t>Choose</a:t>
          </a:r>
          <a:r>
            <a:rPr lang="en-US" sz="1200" b="0" baseline="0">
              <a:solidFill>
                <a:schemeClr val="tx1"/>
              </a:solidFill>
              <a:latin typeface="Arial" panose="020B0604020202020204" pitchFamily="34" charset="0"/>
              <a:cs typeface="Arial" panose="020B0604020202020204" pitchFamily="34" charset="0"/>
            </a:rPr>
            <a:t> options that best reflect your situation.</a:t>
          </a:r>
        </a:p>
        <a:p>
          <a:endParaRPr lang="en-US" sz="1200" b="0" baseline="0">
            <a:solidFill>
              <a:schemeClr val="tx1"/>
            </a:solidFill>
            <a:latin typeface="Arial" panose="020B0604020202020204" pitchFamily="34" charset="0"/>
            <a:cs typeface="Arial" panose="020B0604020202020204" pitchFamily="34" charset="0"/>
          </a:endParaRPr>
        </a:p>
        <a:p>
          <a:r>
            <a:rPr lang="en-US" sz="1200" b="1" baseline="0">
              <a:solidFill>
                <a:schemeClr val="tx1"/>
              </a:solidFill>
              <a:latin typeface="Arial" panose="020B0604020202020204" pitchFamily="34" charset="0"/>
              <a:cs typeface="Arial" panose="020B0604020202020204" pitchFamily="34" charset="0"/>
            </a:rPr>
            <a:t>STEP 2   Customisation</a:t>
          </a:r>
        </a:p>
        <a:p>
          <a:r>
            <a:rPr lang="en-US" sz="1100" b="0" baseline="0">
              <a:solidFill>
                <a:schemeClr val="tx1"/>
              </a:solidFill>
              <a:latin typeface="Arial" panose="020B0604020202020204" pitchFamily="34" charset="0"/>
              <a:cs typeface="Arial" panose="020B0604020202020204" pitchFamily="34" charset="0"/>
            </a:rPr>
            <a:t/>
          </a:r>
          <a:br>
            <a:rPr lang="en-US" sz="1100" b="0" baseline="0">
              <a:solidFill>
                <a:schemeClr val="tx1"/>
              </a:solidFill>
              <a:latin typeface="Arial" panose="020B0604020202020204" pitchFamily="34" charset="0"/>
              <a:cs typeface="Arial" panose="020B0604020202020204" pitchFamily="34" charset="0"/>
            </a:rPr>
          </a:br>
          <a:r>
            <a:rPr lang="en-US" sz="1200" b="0" baseline="0">
              <a:solidFill>
                <a:schemeClr val="tx1"/>
              </a:solidFill>
              <a:latin typeface="Arial" panose="020B0604020202020204" pitchFamily="34" charset="0"/>
              <a:cs typeface="Arial" panose="020B0604020202020204" pitchFamily="34" charset="0"/>
            </a:rPr>
            <a:t>Fine tune energy prices and expeiment with forecasts. Results will be shown in blue (feasible) or in red (not feasible). An option to explore peak shaving may also be shown at this stage. </a:t>
          </a:r>
        </a:p>
        <a:p>
          <a:endParaRPr lang="en-US" sz="1100" b="0" baseline="0">
            <a:solidFill>
              <a:schemeClr val="tx1"/>
            </a:solidFill>
            <a:latin typeface="Arial" panose="020B0604020202020204" pitchFamily="34" charset="0"/>
            <a:cs typeface="Arial" panose="020B0604020202020204" pitchFamily="34" charset="0"/>
          </a:endParaRPr>
        </a:p>
        <a:p>
          <a:r>
            <a:rPr lang="en-US" sz="1200" b="1" baseline="0">
              <a:solidFill>
                <a:schemeClr val="tx1"/>
              </a:solidFill>
              <a:latin typeface="Arial" panose="020B0604020202020204" pitchFamily="34" charset="0"/>
              <a:cs typeface="Arial" panose="020B0604020202020204" pitchFamily="34" charset="0"/>
            </a:rPr>
            <a:t>STEP 3   Summary</a:t>
          </a:r>
        </a:p>
        <a:p>
          <a:endParaRPr lang="en-US" sz="1200" b="0" baseline="0">
            <a:solidFill>
              <a:schemeClr val="tx1"/>
            </a:solidFill>
            <a:latin typeface="Arial" panose="020B0604020202020204" pitchFamily="34" charset="0"/>
            <a:cs typeface="Arial" panose="020B0604020202020204" pitchFamily="34" charset="0"/>
          </a:endParaRPr>
        </a:p>
        <a:p>
          <a:r>
            <a:rPr lang="en-US" sz="1200" b="0" baseline="0">
              <a:solidFill>
                <a:schemeClr val="tx1"/>
              </a:solidFill>
              <a:latin typeface="Arial" panose="020B0604020202020204" pitchFamily="34" charset="0"/>
              <a:cs typeface="Arial" panose="020B0604020202020204" pitchFamily="34" charset="0"/>
            </a:rPr>
            <a:t>Your results will appear in this section. Use this information when talking to a supplier or engineering consultant about sizing and costing for an appropirate battery storage solution. </a:t>
          </a:r>
          <a:endParaRPr lang="en-US" sz="1200" b="0">
            <a:solidFill>
              <a:schemeClr val="tx1"/>
            </a:solidFill>
            <a:latin typeface="Arial" panose="020B0604020202020204" pitchFamily="34" charset="0"/>
            <a:cs typeface="Arial" panose="020B0604020202020204" pitchFamily="34" charset="0"/>
          </a:endParaRPr>
        </a:p>
      </xdr:txBody>
    </xdr:sp>
    <xdr:clientData/>
  </xdr:twoCellAnchor>
  <xdr:twoCellAnchor>
    <xdr:from>
      <xdr:col>5</xdr:col>
      <xdr:colOff>108927</xdr:colOff>
      <xdr:row>3</xdr:row>
      <xdr:rowOff>107950</xdr:rowOff>
    </xdr:from>
    <xdr:to>
      <xdr:col>24</xdr:col>
      <xdr:colOff>419100</xdr:colOff>
      <xdr:row>9</xdr:row>
      <xdr:rowOff>136769</xdr:rowOff>
    </xdr:to>
    <xdr:sp macro="" textlink="">
      <xdr:nvSpPr>
        <xdr:cNvPr id="21" name="TextBox 20"/>
        <xdr:cNvSpPr txBox="1"/>
      </xdr:nvSpPr>
      <xdr:spPr>
        <a:xfrm>
          <a:off x="1328127" y="292100"/>
          <a:ext cx="12984773" cy="1133719"/>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lvl="1"/>
          <a:r>
            <a:rPr lang="en-US" sz="3200" b="1">
              <a:solidFill>
                <a:schemeClr val="tx1"/>
              </a:solidFill>
              <a:latin typeface="Arial" panose="020B0604020202020204" pitchFamily="34" charset="0"/>
              <a:cs typeface="Arial" panose="020B0604020202020204" pitchFamily="34" charset="0"/>
            </a:rPr>
            <a:t>		    </a:t>
          </a:r>
          <a:r>
            <a:rPr lang="en-US" sz="2200" b="1">
              <a:solidFill>
                <a:schemeClr val="tx1"/>
              </a:solidFill>
              <a:latin typeface="Arial" panose="020B0604020202020204" pitchFamily="34" charset="0"/>
              <a:cs typeface="Arial" panose="020B0604020202020204" pitchFamily="34" charset="0"/>
            </a:rPr>
            <a:t>Battery Storage for business:</a:t>
          </a:r>
          <a:r>
            <a:rPr lang="en-US" sz="2200" b="1" baseline="0">
              <a:solidFill>
                <a:schemeClr val="tx1"/>
              </a:solidFill>
              <a:latin typeface="Arial" panose="020B0604020202020204" pitchFamily="34" charset="0"/>
              <a:cs typeface="Arial" panose="020B0604020202020204" pitchFamily="34" charset="0"/>
            </a:rPr>
            <a:t> an investment decision tool</a:t>
          </a:r>
          <a:endParaRPr lang="en-US" sz="2200" b="0">
            <a:solidFill>
              <a:schemeClr val="tx1"/>
            </a:solidFill>
            <a:latin typeface="Arial" panose="020B0604020202020204" pitchFamily="34" charset="0"/>
            <a:cs typeface="Arial" panose="020B0604020202020204" pitchFamily="34" charset="0"/>
          </a:endParaRPr>
        </a:p>
      </xdr:txBody>
    </xdr:sp>
    <xdr:clientData/>
  </xdr:twoCellAnchor>
  <xdr:twoCellAnchor>
    <xdr:from>
      <xdr:col>4</xdr:col>
      <xdr:colOff>368300</xdr:colOff>
      <xdr:row>39</xdr:row>
      <xdr:rowOff>171450</xdr:rowOff>
    </xdr:from>
    <xdr:to>
      <xdr:col>23</xdr:col>
      <xdr:colOff>496957</xdr:colOff>
      <xdr:row>40</xdr:row>
      <xdr:rowOff>0</xdr:rowOff>
    </xdr:to>
    <xdr:cxnSp macro="">
      <xdr:nvCxnSpPr>
        <xdr:cNvPr id="7" name="Straight Connector 6"/>
        <xdr:cNvCxnSpPr/>
      </xdr:nvCxnSpPr>
      <xdr:spPr>
        <a:xfrm>
          <a:off x="1583083" y="5301146"/>
          <a:ext cx="11669091" cy="10767"/>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5</xdr:col>
      <xdr:colOff>111262</xdr:colOff>
      <xdr:row>4</xdr:row>
      <xdr:rowOff>103531</xdr:rowOff>
    </xdr:from>
    <xdr:to>
      <xdr:col>7</xdr:col>
      <xdr:colOff>541571</xdr:colOff>
      <xdr:row>8</xdr:row>
      <xdr:rowOff>138872</xdr:rowOff>
    </xdr:to>
    <xdr:pic>
      <xdr:nvPicPr>
        <xdr:cNvPr id="24" name="Picture 23"/>
        <xdr:cNvPicPr>
          <a:picLocks noChangeAspect="1"/>
        </xdr:cNvPicPr>
      </xdr:nvPicPr>
      <xdr:blipFill>
        <a:blip xmlns:r="http://schemas.openxmlformats.org/officeDocument/2006/relationships" r:embed="rId1"/>
        <a:stretch>
          <a:fillRect/>
        </a:stretch>
      </xdr:blipFill>
      <xdr:spPr>
        <a:xfrm>
          <a:off x="720862" y="471831"/>
          <a:ext cx="1649509" cy="771941"/>
        </a:xfrm>
        <a:prstGeom prst="rect">
          <a:avLst/>
        </a:prstGeom>
      </xdr:spPr>
    </xdr:pic>
    <xdr:clientData/>
  </xdr:twoCellAnchor>
  <xdr:twoCellAnchor editAs="oneCell">
    <xdr:from>
      <xdr:col>12</xdr:col>
      <xdr:colOff>127000</xdr:colOff>
      <xdr:row>28</xdr:row>
      <xdr:rowOff>158750</xdr:rowOff>
    </xdr:from>
    <xdr:to>
      <xdr:col>21</xdr:col>
      <xdr:colOff>723900</xdr:colOff>
      <xdr:row>31</xdr:row>
      <xdr:rowOff>38300</xdr:rowOff>
    </xdr:to>
    <xdr:sp macro="[0]!StartQuestionnaireButton_Click" textlink="">
      <xdr:nvSpPr>
        <xdr:cNvPr id="32" name="StartQuestionnaireButton"/>
        <xdr:cNvSpPr txBox="1"/>
      </xdr:nvSpPr>
      <xdr:spPr>
        <a:xfrm>
          <a:off x="7442200" y="4946650"/>
          <a:ext cx="6083300" cy="432000"/>
        </a:xfrm>
        <a:prstGeom prst="rect">
          <a:avLst/>
        </a:prstGeom>
        <a:solidFill>
          <a:srgbClr val="00A9D8"/>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600" b="0">
              <a:solidFill>
                <a:schemeClr val="bg1"/>
              </a:solidFill>
              <a:latin typeface="Arial" panose="020B0604020202020204" pitchFamily="34" charset="0"/>
              <a:cs typeface="Arial" panose="020B0604020202020204" pitchFamily="34" charset="0"/>
            </a:rPr>
            <a:t>START QUESTIONNAIRE</a:t>
          </a:r>
        </a:p>
      </xdr:txBody>
    </xdr:sp>
    <xdr:clientData/>
  </xdr:twoCellAnchor>
  <xdr:twoCellAnchor editAs="oneCell">
    <xdr:from>
      <xdr:col>12</xdr:col>
      <xdr:colOff>127000</xdr:colOff>
      <xdr:row>25</xdr:row>
      <xdr:rowOff>31750</xdr:rowOff>
    </xdr:from>
    <xdr:to>
      <xdr:col>20</xdr:col>
      <xdr:colOff>133350</xdr:colOff>
      <xdr:row>28</xdr:row>
      <xdr:rowOff>38100</xdr:rowOff>
    </xdr:to>
    <xdr:sp macro="" textlink="">
      <xdr:nvSpPr>
        <xdr:cNvPr id="33" name="IntroLabel"/>
        <xdr:cNvSpPr txBox="1"/>
      </xdr:nvSpPr>
      <xdr:spPr>
        <a:xfrm>
          <a:off x="7442200" y="4267200"/>
          <a:ext cx="4883150" cy="558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0" baseline="0">
              <a:solidFill>
                <a:schemeClr val="tx1"/>
              </a:solidFill>
              <a:latin typeface="Arial" panose="020B0604020202020204" pitchFamily="34" charset="0"/>
              <a:cs typeface="Arial" panose="020B0604020202020204" pitchFamily="34" charset="0"/>
            </a:rPr>
            <a:t>Do you accept the disclaimer detailed below in order to use this tool?</a:t>
          </a:r>
          <a:endParaRPr lang="en-US" sz="1200" b="0">
            <a:solidFill>
              <a:schemeClr val="tx1"/>
            </a:solidFill>
            <a:latin typeface="Arial" panose="020B0604020202020204" pitchFamily="34" charset="0"/>
            <a:cs typeface="Arial" panose="020B0604020202020204" pitchFamily="34" charset="0"/>
          </a:endParaRPr>
        </a:p>
      </xdr:txBody>
    </xdr:sp>
    <xdr:clientData/>
  </xdr:twoCellAnchor>
  <mc:AlternateContent xmlns:mc="http://schemas.openxmlformats.org/markup-compatibility/2006">
    <mc:Choice xmlns:a14="http://schemas.microsoft.com/office/drawing/2010/main" Requires="a14">
      <xdr:twoCellAnchor editAs="oneCell">
        <xdr:from>
          <xdr:col>20</xdr:col>
          <xdr:colOff>200025</xdr:colOff>
          <xdr:row>25</xdr:row>
          <xdr:rowOff>85725</xdr:rowOff>
        </xdr:from>
        <xdr:to>
          <xdr:col>21</xdr:col>
          <xdr:colOff>581025</xdr:colOff>
          <xdr:row>27</xdr:row>
          <xdr:rowOff>28575</xdr:rowOff>
        </xdr:to>
        <xdr:sp macro="" textlink="">
          <xdr:nvSpPr>
            <xdr:cNvPr id="2111" name="List Box 63" hidden="1">
              <a:extLst>
                <a:ext uri="{63B3BB69-23CF-44E3-9099-C40C66FF867C}">
                  <a14:compatExt spid="_x0000_s211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4</xdr:col>
      <xdr:colOff>387350</xdr:colOff>
      <xdr:row>40</xdr:row>
      <xdr:rowOff>127000</xdr:rowOff>
    </xdr:from>
    <xdr:to>
      <xdr:col>21</xdr:col>
      <xdr:colOff>1174750</xdr:colOff>
      <xdr:row>44</xdr:row>
      <xdr:rowOff>71622</xdr:rowOff>
    </xdr:to>
    <xdr:grpSp>
      <xdr:nvGrpSpPr>
        <xdr:cNvPr id="15" name="Group 14"/>
        <xdr:cNvGrpSpPr/>
      </xdr:nvGrpSpPr>
      <xdr:grpSpPr>
        <a:xfrm>
          <a:off x="387350" y="8632825"/>
          <a:ext cx="11150600" cy="706622"/>
          <a:chOff x="615950" y="7362190"/>
          <a:chExt cx="10627916" cy="655822"/>
        </a:xfrm>
      </xdr:grpSpPr>
      <xdr:pic>
        <xdr:nvPicPr>
          <xdr:cNvPr id="17" name="Picture 16"/>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15950" y="7362190"/>
            <a:ext cx="1246230" cy="655822"/>
          </a:xfrm>
          <a:prstGeom prst="rect">
            <a:avLst/>
          </a:prstGeom>
        </xdr:spPr>
      </xdr:pic>
      <xdr:sp macro="" textlink="">
        <xdr:nvSpPr>
          <xdr:cNvPr id="23" name="ShapeQ3Label">
            <a:hlinkClick xmlns:r="http://schemas.openxmlformats.org/officeDocument/2006/relationships" r:id="rId3"/>
          </xdr:cNvPr>
          <xdr:cNvSpPr txBox="1"/>
        </xdr:nvSpPr>
        <xdr:spPr>
          <a:xfrm>
            <a:off x="2089150" y="7594600"/>
            <a:ext cx="9154716" cy="2730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US" sz="1100" b="0">
                <a:solidFill>
                  <a:srgbClr xmlns:mc="http://schemas.openxmlformats.org/markup-compatibility/2006" xmlns:a14="http://schemas.microsoft.com/office/drawing/2010/main" val="000000" mc:Ignorable="a14" a14:legacySpreadsheetColorIndex="8"/>
                </a:solidFill>
                <a:latin typeface="Arial" panose="020B0604020202020204" pitchFamily="34" charset="0"/>
                <a:cs typeface="Arial" panose="020B0604020202020204" pitchFamily="34" charset="0"/>
              </a:rPr>
              <a:t>For more information please contact the Energy Efficient Business Team on </a:t>
            </a:r>
            <a:r>
              <a:rPr lang="en-US" sz="1100" b="1">
                <a:solidFill>
                  <a:srgbClr xmlns:mc="http://schemas.openxmlformats.org/markup-compatibility/2006" xmlns:a14="http://schemas.microsoft.com/office/drawing/2010/main" val="000000" mc:Ignorable="a14" a14:legacySpreadsheetColorIndex="8"/>
                </a:solidFill>
                <a:latin typeface="Arial" panose="020B0604020202020204" pitchFamily="34" charset="0"/>
                <a:cs typeface="Arial" panose="020B0604020202020204" pitchFamily="34" charset="0"/>
              </a:rPr>
              <a:t>1300</a:t>
            </a:r>
            <a:r>
              <a:rPr lang="en-US" sz="1100" b="1" baseline="0">
                <a:solidFill>
                  <a:srgbClr xmlns:mc="http://schemas.openxmlformats.org/markup-compatibility/2006" xmlns:a14="http://schemas.microsoft.com/office/drawing/2010/main" val="000000" mc:Ignorable="a14" a14:legacySpreadsheetColorIndex="8"/>
                </a:solidFill>
                <a:latin typeface="Arial" panose="020B0604020202020204" pitchFamily="34" charset="0"/>
                <a:cs typeface="Arial" panose="020B0604020202020204" pitchFamily="34" charset="0"/>
              </a:rPr>
              <a:t> 361 967 </a:t>
            </a:r>
            <a:r>
              <a:rPr lang="en-US" sz="1100" b="0" baseline="0">
                <a:solidFill>
                  <a:srgbClr xmlns:mc="http://schemas.openxmlformats.org/markup-compatibility/2006" xmlns:a14="http://schemas.microsoft.com/office/drawing/2010/main" val="000000" mc:Ignorable="a14" a14:legacySpreadsheetColorIndex="8"/>
                </a:solidFill>
                <a:latin typeface="Arial" panose="020B0604020202020204" pitchFamily="34" charset="0"/>
                <a:cs typeface="Arial" panose="020B0604020202020204" pitchFamily="34" charset="0"/>
              </a:rPr>
              <a:t>or email: </a:t>
            </a:r>
            <a:r>
              <a:rPr lang="en-AU" sz="1100" u="sng">
                <a:solidFill>
                  <a:srgbClr val="056399"/>
                </a:solidFill>
                <a:effectLst/>
                <a:latin typeface="Arial" panose="020B0604020202020204" pitchFamily="34" charset="0"/>
                <a:ea typeface="+mn-ea"/>
                <a:cs typeface="Arial" panose="020B0604020202020204" pitchFamily="34" charset="0"/>
              </a:rPr>
              <a:t>energy.saver@environment.nsw.gov.au</a:t>
            </a:r>
            <a:endParaRPr lang="en-US">
              <a:solidFill>
                <a:srgbClr val="056399"/>
              </a:solidFill>
              <a:effectLst/>
              <a:latin typeface="Arial" panose="020B0604020202020204" pitchFamily="34" charset="0"/>
              <a:cs typeface="Arial" panose="020B0604020202020204" pitchFamily="34" charset="0"/>
            </a:endParaRPr>
          </a:p>
          <a:p>
            <a:r>
              <a:rPr lang="en-US" sz="1100" b="0" baseline="0">
                <a:solidFill>
                  <a:srgbClr xmlns:mc="http://schemas.openxmlformats.org/markup-compatibility/2006" xmlns:a14="http://schemas.microsoft.com/office/drawing/2010/main" val="000000" mc:Ignorable="a14" a14:legacySpreadsheetColorIndex="8"/>
                </a:solidFill>
                <a:latin typeface="Arial" panose="020B0604020202020204" pitchFamily="34" charset="0"/>
                <a:cs typeface="Arial" panose="020B0604020202020204" pitchFamily="34" charset="0"/>
              </a:rPr>
              <a:t>: </a:t>
            </a:r>
            <a:endParaRPr lang="en-US" sz="1100" b="0">
              <a:solidFill>
                <a:srgbClr xmlns:mc="http://schemas.openxmlformats.org/markup-compatibility/2006" xmlns:a14="http://schemas.microsoft.com/office/drawing/2010/main" val="000000" mc:Ignorable="a14" a14:legacySpreadsheetColorIndex="8"/>
              </a:solidFill>
              <a:latin typeface="Arial" panose="020B0604020202020204" pitchFamily="34" charset="0"/>
              <a:cs typeface="Arial" panose="020B0604020202020204" pitchFamily="34" charset="0"/>
            </a:endParaRPr>
          </a:p>
        </xdr:txBody>
      </xdr:sp>
    </xdr:grpSp>
    <xdr:clientData/>
  </xdr:twoCellAnchor>
</xdr:wsDr>
</file>

<file path=xl/drawings/drawing3.xml><?xml version="1.0" encoding="utf-8"?>
<xdr:wsDr xmlns:xdr="http://schemas.openxmlformats.org/drawingml/2006/spreadsheetDrawing" xmlns:a="http://schemas.openxmlformats.org/drawingml/2006/main">
  <xdr:twoCellAnchor editAs="absolute">
    <xdr:from>
      <xdr:col>21</xdr:col>
      <xdr:colOff>469900</xdr:colOff>
      <xdr:row>9</xdr:row>
      <xdr:rowOff>6350</xdr:rowOff>
    </xdr:from>
    <xdr:to>
      <xdr:col>27</xdr:col>
      <xdr:colOff>6350</xdr:colOff>
      <xdr:row>26</xdr:row>
      <xdr:rowOff>31750</xdr:rowOff>
    </xdr:to>
    <xdr:sp macro="" textlink="">
      <xdr:nvSpPr>
        <xdr:cNvPr id="98" name="BlockAtBudget" hidden="1"/>
        <xdr:cNvSpPr txBox="1"/>
      </xdr:nvSpPr>
      <xdr:spPr>
        <a:xfrm>
          <a:off x="10852150" y="1651000"/>
          <a:ext cx="3194050" cy="3181350"/>
        </a:xfrm>
        <a:prstGeom prst="rect">
          <a:avLst/>
        </a:prstGeom>
        <a:solidFill>
          <a:srgbClr val="E2173D"/>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400" b="0">
              <a:solidFill>
                <a:schemeClr val="bg1"/>
              </a:solidFill>
              <a:latin typeface="Arial" panose="020B0604020202020204" pitchFamily="34" charset="0"/>
              <a:cs typeface="Arial" panose="020B0604020202020204" pitchFamily="34" charset="0"/>
            </a:rPr>
            <a:t>Battery storage systems are capital intensive and provide benefits over a long lifetime.</a:t>
          </a:r>
        </a:p>
      </xdr:txBody>
    </xdr:sp>
    <xdr:clientData/>
  </xdr:twoCellAnchor>
  <xdr:twoCellAnchor editAs="oneCell">
    <xdr:from>
      <xdr:col>21</xdr:col>
      <xdr:colOff>469900</xdr:colOff>
      <xdr:row>9</xdr:row>
      <xdr:rowOff>6350</xdr:rowOff>
    </xdr:from>
    <xdr:to>
      <xdr:col>27</xdr:col>
      <xdr:colOff>6350</xdr:colOff>
      <xdr:row>26</xdr:row>
      <xdr:rowOff>25400</xdr:rowOff>
    </xdr:to>
    <xdr:sp macro="" textlink="">
      <xdr:nvSpPr>
        <xdr:cNvPr id="45" name="FinalResultBox" hidden="1"/>
        <xdr:cNvSpPr txBox="1"/>
      </xdr:nvSpPr>
      <xdr:spPr>
        <a:xfrm>
          <a:off x="10852150" y="1651000"/>
          <a:ext cx="3194050" cy="3175000"/>
        </a:xfrm>
        <a:prstGeom prst="rect">
          <a:avLst/>
        </a:prstGeom>
        <a:solidFill>
          <a:srgbClr val="00A9D8"/>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US" sz="1400" b="0">
            <a:solidFill>
              <a:schemeClr val="bg1"/>
            </a:solidFill>
            <a:latin typeface="Arial" panose="020B0604020202020204" pitchFamily="34" charset="0"/>
            <a:cs typeface="Arial" panose="020B0604020202020204" pitchFamily="34" charset="0"/>
          </a:endParaRPr>
        </a:p>
      </xdr:txBody>
    </xdr:sp>
    <xdr:clientData/>
  </xdr:twoCellAnchor>
  <xdr:twoCellAnchor editAs="absolute">
    <xdr:from>
      <xdr:col>21</xdr:col>
      <xdr:colOff>469900</xdr:colOff>
      <xdr:row>9</xdr:row>
      <xdr:rowOff>6350</xdr:rowOff>
    </xdr:from>
    <xdr:to>
      <xdr:col>27</xdr:col>
      <xdr:colOff>6350</xdr:colOff>
      <xdr:row>26</xdr:row>
      <xdr:rowOff>25400</xdr:rowOff>
    </xdr:to>
    <xdr:sp macro="" textlink="">
      <xdr:nvSpPr>
        <xdr:cNvPr id="104" name="BlockAtBatteryRoom" hidden="1"/>
        <xdr:cNvSpPr txBox="1"/>
      </xdr:nvSpPr>
      <xdr:spPr>
        <a:xfrm>
          <a:off x="10852150" y="1651000"/>
          <a:ext cx="3194050" cy="3175000"/>
        </a:xfrm>
        <a:prstGeom prst="rect">
          <a:avLst/>
        </a:prstGeom>
        <a:solidFill>
          <a:srgbClr val="E2173D"/>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400" b="0">
              <a:solidFill>
                <a:schemeClr val="bg1"/>
              </a:solidFill>
              <a:latin typeface="Arial" panose="020B0604020202020204" pitchFamily="34" charset="0"/>
              <a:cs typeface="Arial" panose="020B0604020202020204" pitchFamily="34" charset="0"/>
            </a:rPr>
            <a:t>A battery room is the best practice for mitigating the risks of battery storage. </a:t>
          </a:r>
          <a:br>
            <a:rPr lang="en-US" sz="1400" b="0">
              <a:solidFill>
                <a:schemeClr val="bg1"/>
              </a:solidFill>
              <a:latin typeface="Arial" panose="020B0604020202020204" pitchFamily="34" charset="0"/>
              <a:cs typeface="Arial" panose="020B0604020202020204" pitchFamily="34" charset="0"/>
            </a:rPr>
          </a:br>
          <a:r>
            <a:rPr lang="en-US" sz="1400" b="0">
              <a:solidFill>
                <a:schemeClr val="bg1"/>
              </a:solidFill>
              <a:latin typeface="Arial" panose="020B0604020202020204" pitchFamily="34" charset="0"/>
              <a:cs typeface="Arial" panose="020B0604020202020204" pitchFamily="34" charset="0"/>
            </a:rPr>
            <a:t/>
          </a:r>
          <a:br>
            <a:rPr lang="en-US" sz="1400" b="0">
              <a:solidFill>
                <a:schemeClr val="bg1"/>
              </a:solidFill>
              <a:latin typeface="Arial" panose="020B0604020202020204" pitchFamily="34" charset="0"/>
              <a:cs typeface="Arial" panose="020B0604020202020204" pitchFamily="34" charset="0"/>
            </a:rPr>
          </a:br>
          <a:r>
            <a:rPr lang="en-US" sz="1400" b="0">
              <a:solidFill>
                <a:schemeClr val="bg1"/>
              </a:solidFill>
              <a:latin typeface="Arial" panose="020B0604020202020204" pitchFamily="34" charset="0"/>
              <a:cs typeface="Arial" panose="020B0604020202020204" pitchFamily="34" charset="0"/>
            </a:rPr>
            <a:t>You will need to overcome this hurdle before you can proceed.</a:t>
          </a:r>
        </a:p>
      </xdr:txBody>
    </xdr:sp>
    <xdr:clientData/>
  </xdr:twoCellAnchor>
  <xdr:twoCellAnchor editAs="absolute">
    <xdr:from>
      <xdr:col>21</xdr:col>
      <xdr:colOff>469900</xdr:colOff>
      <xdr:row>9</xdr:row>
      <xdr:rowOff>6350</xdr:rowOff>
    </xdr:from>
    <xdr:to>
      <xdr:col>27</xdr:col>
      <xdr:colOff>6350</xdr:colOff>
      <xdr:row>26</xdr:row>
      <xdr:rowOff>25400</xdr:rowOff>
    </xdr:to>
    <xdr:sp macro="" textlink="">
      <xdr:nvSpPr>
        <xdr:cNvPr id="106" name="BlockAtOffGrid" hidden="1"/>
        <xdr:cNvSpPr txBox="1"/>
      </xdr:nvSpPr>
      <xdr:spPr>
        <a:xfrm>
          <a:off x="10852150" y="1651000"/>
          <a:ext cx="3194050" cy="3175000"/>
        </a:xfrm>
        <a:prstGeom prst="rect">
          <a:avLst/>
        </a:prstGeom>
        <a:solidFill>
          <a:srgbClr val="F7931D"/>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400" b="0">
              <a:solidFill>
                <a:schemeClr val="bg1"/>
              </a:solidFill>
              <a:latin typeface="Arial" panose="020B0604020202020204" pitchFamily="34" charset="0"/>
              <a:cs typeface="Arial" panose="020B0604020202020204" pitchFamily="34" charset="0"/>
            </a:rPr>
            <a:t>Off-grid power solutions require a detailed analysis. </a:t>
          </a:r>
          <a:br>
            <a:rPr lang="en-US" sz="1400" b="0">
              <a:solidFill>
                <a:schemeClr val="bg1"/>
              </a:solidFill>
              <a:latin typeface="Arial" panose="020B0604020202020204" pitchFamily="34" charset="0"/>
              <a:cs typeface="Arial" panose="020B0604020202020204" pitchFamily="34" charset="0"/>
            </a:rPr>
          </a:br>
          <a:r>
            <a:rPr lang="en-US" sz="1400" b="0">
              <a:solidFill>
                <a:schemeClr val="bg1"/>
              </a:solidFill>
              <a:latin typeface="Arial" panose="020B0604020202020204" pitchFamily="34" charset="0"/>
              <a:cs typeface="Arial" panose="020B0604020202020204" pitchFamily="34" charset="0"/>
            </a:rPr>
            <a:t/>
          </a:r>
          <a:br>
            <a:rPr lang="en-US" sz="1400" b="0">
              <a:solidFill>
                <a:schemeClr val="bg1"/>
              </a:solidFill>
              <a:latin typeface="Arial" panose="020B0604020202020204" pitchFamily="34" charset="0"/>
              <a:cs typeface="Arial" panose="020B0604020202020204" pitchFamily="34" charset="0"/>
            </a:rPr>
          </a:br>
          <a:r>
            <a:rPr lang="en-US" sz="1400" b="0">
              <a:solidFill>
                <a:schemeClr val="bg1"/>
              </a:solidFill>
              <a:latin typeface="Arial" panose="020B0604020202020204" pitchFamily="34" charset="0"/>
              <a:cs typeface="Arial" panose="020B0604020202020204" pitchFamily="34" charset="0"/>
            </a:rPr>
            <a:t>You will need to consult an engineering expert about this solution.</a:t>
          </a:r>
        </a:p>
      </xdr:txBody>
    </xdr:sp>
    <xdr:clientData/>
  </xdr:twoCellAnchor>
  <xdr:twoCellAnchor editAs="absolute">
    <xdr:from>
      <xdr:col>21</xdr:col>
      <xdr:colOff>469900</xdr:colOff>
      <xdr:row>9</xdr:row>
      <xdr:rowOff>6350</xdr:rowOff>
    </xdr:from>
    <xdr:to>
      <xdr:col>27</xdr:col>
      <xdr:colOff>6350</xdr:colOff>
      <xdr:row>26</xdr:row>
      <xdr:rowOff>25400</xdr:rowOff>
    </xdr:to>
    <xdr:sp macro="" textlink="">
      <xdr:nvSpPr>
        <xdr:cNvPr id="103" name="BlockAtElectrical" hidden="1"/>
        <xdr:cNvSpPr txBox="1"/>
      </xdr:nvSpPr>
      <xdr:spPr>
        <a:xfrm>
          <a:off x="10852150" y="1651000"/>
          <a:ext cx="3194050" cy="3175000"/>
        </a:xfrm>
        <a:prstGeom prst="rect">
          <a:avLst/>
        </a:prstGeom>
        <a:solidFill>
          <a:srgbClr val="E2173D"/>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400" b="0">
              <a:solidFill>
                <a:schemeClr val="bg1"/>
              </a:solidFill>
              <a:latin typeface="Arial" panose="020B0604020202020204" pitchFamily="34" charset="0"/>
              <a:cs typeface="Arial" panose="020B0604020202020204" pitchFamily="34" charset="0"/>
            </a:rPr>
            <a:t>Battery storage requires significant modification to a site's electrical infrastructure. </a:t>
          </a:r>
          <a:br>
            <a:rPr lang="en-US" sz="1400" b="0">
              <a:solidFill>
                <a:schemeClr val="bg1"/>
              </a:solidFill>
              <a:latin typeface="Arial" panose="020B0604020202020204" pitchFamily="34" charset="0"/>
              <a:cs typeface="Arial" panose="020B0604020202020204" pitchFamily="34" charset="0"/>
            </a:rPr>
          </a:br>
          <a:r>
            <a:rPr lang="en-US" sz="1400" b="0">
              <a:solidFill>
                <a:schemeClr val="bg1"/>
              </a:solidFill>
              <a:latin typeface="Arial" panose="020B0604020202020204" pitchFamily="34" charset="0"/>
              <a:cs typeface="Arial" panose="020B0604020202020204" pitchFamily="34" charset="0"/>
            </a:rPr>
            <a:t/>
          </a:r>
          <a:br>
            <a:rPr lang="en-US" sz="1400" b="0">
              <a:solidFill>
                <a:schemeClr val="bg1"/>
              </a:solidFill>
              <a:latin typeface="Arial" panose="020B0604020202020204" pitchFamily="34" charset="0"/>
              <a:cs typeface="Arial" panose="020B0604020202020204" pitchFamily="34" charset="0"/>
            </a:rPr>
          </a:br>
          <a:r>
            <a:rPr lang="en-US" sz="1400" b="0">
              <a:solidFill>
                <a:schemeClr val="bg1"/>
              </a:solidFill>
              <a:latin typeface="Arial" panose="020B0604020202020204" pitchFamily="34" charset="0"/>
              <a:cs typeface="Arial" panose="020B0604020202020204" pitchFamily="34" charset="0"/>
            </a:rPr>
            <a:t>You will need to overcome this hurdle before you can proceed.</a:t>
          </a:r>
        </a:p>
      </xdr:txBody>
    </xdr:sp>
    <xdr:clientData/>
  </xdr:twoCellAnchor>
  <xdr:twoCellAnchor editAs="absolute">
    <xdr:from>
      <xdr:col>21</xdr:col>
      <xdr:colOff>469900</xdr:colOff>
      <xdr:row>9</xdr:row>
      <xdr:rowOff>6350</xdr:rowOff>
    </xdr:from>
    <xdr:to>
      <xdr:col>27</xdr:col>
      <xdr:colOff>6350</xdr:colOff>
      <xdr:row>26</xdr:row>
      <xdr:rowOff>25400</xdr:rowOff>
    </xdr:to>
    <xdr:sp macro="" textlink="">
      <xdr:nvSpPr>
        <xdr:cNvPr id="105" name="BlockAtBackUp" hidden="1"/>
        <xdr:cNvSpPr txBox="1"/>
      </xdr:nvSpPr>
      <xdr:spPr>
        <a:xfrm>
          <a:off x="10852150" y="1651000"/>
          <a:ext cx="3194050" cy="3175000"/>
        </a:xfrm>
        <a:prstGeom prst="rect">
          <a:avLst/>
        </a:prstGeom>
        <a:solidFill>
          <a:srgbClr val="F7931D"/>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400" b="0">
              <a:solidFill>
                <a:schemeClr val="bg1"/>
              </a:solidFill>
              <a:latin typeface="Arial" panose="020B0604020202020204" pitchFamily="34" charset="0"/>
              <a:cs typeface="Arial" panose="020B0604020202020204" pitchFamily="34" charset="0"/>
            </a:rPr>
            <a:t>Back-up power solutions require a detailed analysis. </a:t>
          </a:r>
          <a:br>
            <a:rPr lang="en-US" sz="1400" b="0">
              <a:solidFill>
                <a:schemeClr val="bg1"/>
              </a:solidFill>
              <a:latin typeface="Arial" panose="020B0604020202020204" pitchFamily="34" charset="0"/>
              <a:cs typeface="Arial" panose="020B0604020202020204" pitchFamily="34" charset="0"/>
            </a:rPr>
          </a:br>
          <a:r>
            <a:rPr lang="en-US" sz="1400" b="0">
              <a:solidFill>
                <a:schemeClr val="bg1"/>
              </a:solidFill>
              <a:latin typeface="Arial" panose="020B0604020202020204" pitchFamily="34" charset="0"/>
              <a:cs typeface="Arial" panose="020B0604020202020204" pitchFamily="34" charset="0"/>
            </a:rPr>
            <a:t/>
          </a:r>
          <a:br>
            <a:rPr lang="en-US" sz="1400" b="0">
              <a:solidFill>
                <a:schemeClr val="bg1"/>
              </a:solidFill>
              <a:latin typeface="Arial" panose="020B0604020202020204" pitchFamily="34" charset="0"/>
              <a:cs typeface="Arial" panose="020B0604020202020204" pitchFamily="34" charset="0"/>
            </a:rPr>
          </a:br>
          <a:r>
            <a:rPr lang="en-US" sz="1400" b="0">
              <a:solidFill>
                <a:schemeClr val="bg1"/>
              </a:solidFill>
              <a:latin typeface="Arial" panose="020B0604020202020204" pitchFamily="34" charset="0"/>
              <a:cs typeface="Arial" panose="020B0604020202020204" pitchFamily="34" charset="0"/>
            </a:rPr>
            <a:t>You will need to consult an engineering expert about this solution.</a:t>
          </a:r>
        </a:p>
      </xdr:txBody>
    </xdr:sp>
    <xdr:clientData/>
  </xdr:twoCellAnchor>
  <xdr:twoCellAnchor editAs="oneCell">
    <xdr:from>
      <xdr:col>4</xdr:col>
      <xdr:colOff>336550</xdr:colOff>
      <xdr:row>8</xdr:row>
      <xdr:rowOff>63500</xdr:rowOff>
    </xdr:from>
    <xdr:to>
      <xdr:col>11</xdr:col>
      <xdr:colOff>387350</xdr:colOff>
      <xdr:row>11</xdr:row>
      <xdr:rowOff>0</xdr:rowOff>
    </xdr:to>
    <xdr:sp macro="" textlink="">
      <xdr:nvSpPr>
        <xdr:cNvPr id="3" name="ShapeQ1Label"/>
        <xdr:cNvSpPr txBox="1"/>
      </xdr:nvSpPr>
      <xdr:spPr>
        <a:xfrm>
          <a:off x="762000" y="1479550"/>
          <a:ext cx="4337050" cy="476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rgbClr xmlns:mc="http://schemas.openxmlformats.org/markup-compatibility/2006" xmlns:a14="http://schemas.microsoft.com/office/drawing/2010/main" val="000000" mc:Ignorable="a14" a14:legacySpreadsheetColorIndex="8"/>
              </a:solidFill>
              <a:latin typeface="Arial" panose="020B0604020202020204" pitchFamily="34" charset="0"/>
              <a:cs typeface="Arial" panose="020B0604020202020204" pitchFamily="34" charset="0"/>
            </a:rPr>
            <a:t>Q1. Battery systems typically range from $15,000 to $250,000.     </a:t>
          </a:r>
          <a:r>
            <a:rPr lang="en-US" sz="1100" b="1" baseline="0">
              <a:solidFill>
                <a:srgbClr xmlns:mc="http://schemas.openxmlformats.org/markup-compatibility/2006" xmlns:a14="http://schemas.microsoft.com/office/drawing/2010/main" val="000000" mc:Ignorable="a14" a14:legacySpreadsheetColorIndex="8"/>
              </a:solidFill>
              <a:latin typeface="Arial" panose="020B0604020202020204" pitchFamily="34" charset="0"/>
              <a:cs typeface="Arial" panose="020B0604020202020204" pitchFamily="34" charset="0"/>
            </a:rPr>
            <a:t>    </a:t>
          </a:r>
        </a:p>
        <a:p>
          <a:r>
            <a:rPr lang="en-US" sz="1100" b="1">
              <a:solidFill>
                <a:srgbClr xmlns:mc="http://schemas.openxmlformats.org/markup-compatibility/2006" xmlns:a14="http://schemas.microsoft.com/office/drawing/2010/main" val="000000" mc:Ignorable="a14" a14:legacySpreadsheetColorIndex="8"/>
              </a:solidFill>
              <a:latin typeface="Arial" panose="020B0604020202020204" pitchFamily="34" charset="0"/>
              <a:cs typeface="Arial" panose="020B0604020202020204" pitchFamily="34" charset="0"/>
            </a:rPr>
            <a:t>Do you have this budget?</a:t>
          </a:r>
        </a:p>
      </xdr:txBody>
    </xdr:sp>
    <xdr:clientData/>
  </xdr:twoCellAnchor>
  <xdr:twoCellAnchor editAs="oneCell">
    <xdr:from>
      <xdr:col>4</xdr:col>
      <xdr:colOff>254000</xdr:colOff>
      <xdr:row>1</xdr:row>
      <xdr:rowOff>95251</xdr:rowOff>
    </xdr:from>
    <xdr:to>
      <xdr:col>25</xdr:col>
      <xdr:colOff>552450</xdr:colOff>
      <xdr:row>5</xdr:row>
      <xdr:rowOff>171451</xdr:rowOff>
    </xdr:to>
    <xdr:sp macro="" textlink="">
      <xdr:nvSpPr>
        <xdr:cNvPr id="48" name="TextBox 47"/>
        <xdr:cNvSpPr txBox="1"/>
      </xdr:nvSpPr>
      <xdr:spPr>
        <a:xfrm>
          <a:off x="2533650" y="273051"/>
          <a:ext cx="13119100" cy="78105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lvl="1"/>
          <a:r>
            <a:rPr lang="en-US" sz="2800" b="1">
              <a:solidFill>
                <a:schemeClr val="tx1"/>
              </a:solidFill>
              <a:latin typeface="Arial" panose="020B0604020202020204" pitchFamily="34" charset="0"/>
              <a:cs typeface="Arial" panose="020B0604020202020204" pitchFamily="34" charset="0"/>
            </a:rPr>
            <a:t>		</a:t>
          </a:r>
          <a:r>
            <a:rPr lang="en-US" sz="2200" b="1">
              <a:solidFill>
                <a:schemeClr val="tx1"/>
              </a:solidFill>
              <a:latin typeface="Arial" panose="020B0604020202020204" pitchFamily="34" charset="0"/>
              <a:cs typeface="Arial" panose="020B0604020202020204" pitchFamily="34" charset="0"/>
            </a:rPr>
            <a:t>Battery storage for business: an investment decision tool</a:t>
          </a:r>
        </a:p>
      </xdr:txBody>
    </xdr:sp>
    <xdr:clientData/>
  </xdr:twoCellAnchor>
  <xdr:twoCellAnchor editAs="oneCell">
    <xdr:from>
      <xdr:col>4</xdr:col>
      <xdr:colOff>396690</xdr:colOff>
      <xdr:row>2</xdr:row>
      <xdr:rowOff>2241</xdr:rowOff>
    </xdr:from>
    <xdr:to>
      <xdr:col>6</xdr:col>
      <xdr:colOff>381599</xdr:colOff>
      <xdr:row>5</xdr:row>
      <xdr:rowOff>42203</xdr:rowOff>
    </xdr:to>
    <xdr:pic>
      <xdr:nvPicPr>
        <xdr:cNvPr id="5" name="Picture 4"/>
        <xdr:cNvPicPr>
          <a:picLocks noChangeAspect="1"/>
        </xdr:cNvPicPr>
      </xdr:nvPicPr>
      <xdr:blipFill>
        <a:blip xmlns:r="http://schemas.openxmlformats.org/officeDocument/2006/relationships" r:embed="rId1"/>
        <a:stretch>
          <a:fillRect/>
        </a:stretch>
      </xdr:blipFill>
      <xdr:spPr>
        <a:xfrm>
          <a:off x="2676340" y="357841"/>
          <a:ext cx="1223159" cy="567012"/>
        </a:xfrm>
        <a:prstGeom prst="rect">
          <a:avLst/>
        </a:prstGeom>
      </xdr:spPr>
    </xdr:pic>
    <xdr:clientData/>
  </xdr:twoCellAnchor>
  <xdr:twoCellAnchor editAs="oneCell">
    <xdr:from>
      <xdr:col>4</xdr:col>
      <xdr:colOff>224492</xdr:colOff>
      <xdr:row>36</xdr:row>
      <xdr:rowOff>125653</xdr:rowOff>
    </xdr:from>
    <xdr:to>
      <xdr:col>24</xdr:col>
      <xdr:colOff>529162</xdr:colOff>
      <xdr:row>36</xdr:row>
      <xdr:rowOff>136696</xdr:rowOff>
    </xdr:to>
    <xdr:cxnSp macro="">
      <xdr:nvCxnSpPr>
        <xdr:cNvPr id="70" name="Straight Connector 69"/>
        <xdr:cNvCxnSpPr/>
      </xdr:nvCxnSpPr>
      <xdr:spPr>
        <a:xfrm>
          <a:off x="224492" y="6767753"/>
          <a:ext cx="12515720" cy="11043"/>
        </a:xfrm>
        <a:prstGeom prst="line">
          <a:avLst/>
        </a:prstGeom>
      </xdr:spPr>
      <xdr:style>
        <a:lnRef idx="1">
          <a:schemeClr val="dk1"/>
        </a:lnRef>
        <a:fillRef idx="0">
          <a:schemeClr val="dk1"/>
        </a:fillRef>
        <a:effectRef idx="0">
          <a:schemeClr val="dk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4</xdr:col>
          <xdr:colOff>523875</xdr:colOff>
          <xdr:row>11</xdr:row>
          <xdr:rowOff>9525</xdr:rowOff>
        </xdr:from>
        <xdr:to>
          <xdr:col>11</xdr:col>
          <xdr:colOff>200025</xdr:colOff>
          <xdr:row>13</xdr:row>
          <xdr:rowOff>95250</xdr:rowOff>
        </xdr:to>
        <xdr:sp macro="" textlink="">
          <xdr:nvSpPr>
            <xdr:cNvPr id="1143" name="Q1ListBox" descr="Q1. Batttery systems typically range from $15,000 to $250,000. Do you have this budget?" hidden="1">
              <a:extLst>
                <a:ext uri="{63B3BB69-23CF-44E3-9099-C40C66FF867C}">
                  <a14:compatExt spid="_x0000_s114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4</xdr:col>
      <xdr:colOff>330200</xdr:colOff>
      <xdr:row>6</xdr:row>
      <xdr:rowOff>69850</xdr:rowOff>
    </xdr:from>
    <xdr:to>
      <xdr:col>10</xdr:col>
      <xdr:colOff>425450</xdr:colOff>
      <xdr:row>9</xdr:row>
      <xdr:rowOff>6350</xdr:rowOff>
    </xdr:to>
    <xdr:sp macro="" textlink="">
      <xdr:nvSpPr>
        <xdr:cNvPr id="78" name="ShapeQ1Label"/>
        <xdr:cNvSpPr txBox="1"/>
      </xdr:nvSpPr>
      <xdr:spPr>
        <a:xfrm>
          <a:off x="755650" y="1130300"/>
          <a:ext cx="3771900" cy="476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solidFill>
                <a:schemeClr val="tx1"/>
              </a:solidFill>
              <a:latin typeface="Arial" panose="020B0604020202020204" pitchFamily="34" charset="0"/>
              <a:cs typeface="Arial" panose="020B0604020202020204" pitchFamily="34" charset="0"/>
            </a:rPr>
            <a:t>STEP 1   Questionnaire</a:t>
          </a:r>
        </a:p>
      </xdr:txBody>
    </xdr:sp>
    <xdr:clientData/>
  </xdr:twoCellAnchor>
  <xdr:twoCellAnchor editAs="oneCell">
    <xdr:from>
      <xdr:col>4</xdr:col>
      <xdr:colOff>336550</xdr:colOff>
      <xdr:row>14</xdr:row>
      <xdr:rowOff>171450</xdr:rowOff>
    </xdr:from>
    <xdr:to>
      <xdr:col>11</xdr:col>
      <xdr:colOff>469900</xdr:colOff>
      <xdr:row>17</xdr:row>
      <xdr:rowOff>114300</xdr:rowOff>
    </xdr:to>
    <xdr:sp macro="" textlink="">
      <xdr:nvSpPr>
        <xdr:cNvPr id="80" name="ShapeQ2Label"/>
        <xdr:cNvSpPr txBox="1"/>
      </xdr:nvSpPr>
      <xdr:spPr>
        <a:xfrm>
          <a:off x="762000" y="2660650"/>
          <a:ext cx="4419600" cy="476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rgbClr xmlns:mc="http://schemas.openxmlformats.org/markup-compatibility/2006" xmlns:a14="http://schemas.microsoft.com/office/drawing/2010/main" val="C0C0C0" mc:Ignorable="a14" a14:legacySpreadsheetColorIndex="22"/>
              </a:solidFill>
              <a:latin typeface="Arial" panose="020B0604020202020204" pitchFamily="34" charset="0"/>
              <a:cs typeface="Arial" panose="020B0604020202020204" pitchFamily="34" charset="0"/>
            </a:rPr>
            <a:t>Q2. Do you own the property and/or have permission to modify the property's electrical infrastructure?</a:t>
          </a:r>
        </a:p>
      </xdr:txBody>
    </xdr:sp>
    <xdr:clientData/>
  </xdr:twoCellAnchor>
  <mc:AlternateContent xmlns:mc="http://schemas.openxmlformats.org/markup-compatibility/2006">
    <mc:Choice xmlns:a14="http://schemas.microsoft.com/office/drawing/2010/main" Requires="a14">
      <xdr:twoCellAnchor editAs="oneCell">
        <xdr:from>
          <xdr:col>4</xdr:col>
          <xdr:colOff>523875</xdr:colOff>
          <xdr:row>17</xdr:row>
          <xdr:rowOff>123825</xdr:rowOff>
        </xdr:from>
        <xdr:to>
          <xdr:col>11</xdr:col>
          <xdr:colOff>200025</xdr:colOff>
          <xdr:row>19</xdr:row>
          <xdr:rowOff>57150</xdr:rowOff>
        </xdr:to>
        <xdr:sp macro="" textlink="">
          <xdr:nvSpPr>
            <xdr:cNvPr id="1144" name="Q2ListBox" descr="Q1. Batttery systems typically range from $15,000 to $250,000. Do you have this budget?" hidden="1">
              <a:extLst>
                <a:ext uri="{63B3BB69-23CF-44E3-9099-C40C66FF867C}">
                  <a14:compatExt spid="_x0000_s114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4</xdr:col>
      <xdr:colOff>336550</xdr:colOff>
      <xdr:row>20</xdr:row>
      <xdr:rowOff>38100</xdr:rowOff>
    </xdr:from>
    <xdr:to>
      <xdr:col>11</xdr:col>
      <xdr:colOff>533400</xdr:colOff>
      <xdr:row>23</xdr:row>
      <xdr:rowOff>158750</xdr:rowOff>
    </xdr:to>
    <xdr:sp macro="" textlink="">
      <xdr:nvSpPr>
        <xdr:cNvPr id="82" name="ShapeQ3Label"/>
        <xdr:cNvSpPr txBox="1"/>
      </xdr:nvSpPr>
      <xdr:spPr>
        <a:xfrm>
          <a:off x="762000" y="3632200"/>
          <a:ext cx="4483100" cy="6604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rgbClr xmlns:mc="http://schemas.openxmlformats.org/markup-compatibility/2006" xmlns:a14="http://schemas.microsoft.com/office/drawing/2010/main" val="C0C0C0" mc:Ignorable="a14" a14:legacySpreadsheetColorIndex="22"/>
              </a:solidFill>
              <a:latin typeface="Arial" panose="020B0604020202020204" pitchFamily="34" charset="0"/>
              <a:cs typeface="Arial" panose="020B0604020202020204" pitchFamily="34" charset="0"/>
            </a:rPr>
            <a:t>Q3. Commercial installation requirements mean that a dedicated battery room will need to be constructed. Do you have the necessary space and/or permission to construct this room?</a:t>
          </a:r>
        </a:p>
      </xdr:txBody>
    </xdr:sp>
    <xdr:clientData/>
  </xdr:twoCellAnchor>
  <mc:AlternateContent xmlns:mc="http://schemas.openxmlformats.org/markup-compatibility/2006">
    <mc:Choice xmlns:a14="http://schemas.microsoft.com/office/drawing/2010/main" Requires="a14">
      <xdr:twoCellAnchor editAs="oneCell">
        <xdr:from>
          <xdr:col>4</xdr:col>
          <xdr:colOff>523875</xdr:colOff>
          <xdr:row>24</xdr:row>
          <xdr:rowOff>0</xdr:rowOff>
        </xdr:from>
        <xdr:to>
          <xdr:col>11</xdr:col>
          <xdr:colOff>200025</xdr:colOff>
          <xdr:row>27</xdr:row>
          <xdr:rowOff>0</xdr:rowOff>
        </xdr:to>
        <xdr:sp macro="" textlink="">
          <xdr:nvSpPr>
            <xdr:cNvPr id="1145" name="Q3ListBox" descr="Q1. Batttery systems typically range from $15,000 to $250,000. Do you have this budget?" hidden="1">
              <a:extLst>
                <a:ext uri="{63B3BB69-23CF-44E3-9099-C40C66FF867C}">
                  <a14:compatExt spid="_x0000_s114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12</xdr:col>
      <xdr:colOff>31750</xdr:colOff>
      <xdr:row>8</xdr:row>
      <xdr:rowOff>88900</xdr:rowOff>
    </xdr:from>
    <xdr:to>
      <xdr:col>19</xdr:col>
      <xdr:colOff>247650</xdr:colOff>
      <xdr:row>10</xdr:row>
      <xdr:rowOff>25400</xdr:rowOff>
    </xdr:to>
    <xdr:sp macro="" textlink="">
      <xdr:nvSpPr>
        <xdr:cNvPr id="84" name="ShapeQ4Label"/>
        <xdr:cNvSpPr txBox="1"/>
      </xdr:nvSpPr>
      <xdr:spPr>
        <a:xfrm>
          <a:off x="5353050" y="1504950"/>
          <a:ext cx="4483100" cy="304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rgbClr xmlns:mc="http://schemas.openxmlformats.org/markup-compatibility/2006" xmlns:a14="http://schemas.microsoft.com/office/drawing/2010/main" val="C0C0C0" mc:Ignorable="a14" a14:legacySpreadsheetColorIndex="22"/>
              </a:solidFill>
              <a:latin typeface="Arial" panose="020B0604020202020204" pitchFamily="34" charset="0"/>
              <a:cs typeface="Arial" panose="020B0604020202020204" pitchFamily="34" charset="0"/>
            </a:rPr>
            <a:t>Q4. Which</a:t>
          </a:r>
          <a:r>
            <a:rPr lang="en-US" sz="1100" b="1" baseline="0">
              <a:solidFill>
                <a:srgbClr xmlns:mc="http://schemas.openxmlformats.org/markup-compatibility/2006" xmlns:a14="http://schemas.microsoft.com/office/drawing/2010/main" val="C0C0C0" mc:Ignorable="a14" a14:legacySpreadsheetColorIndex="22"/>
              </a:solidFill>
              <a:latin typeface="Arial" panose="020B0604020202020204" pitchFamily="34" charset="0"/>
              <a:cs typeface="Arial" panose="020B0604020202020204" pitchFamily="34" charset="0"/>
            </a:rPr>
            <a:t> statement best reflects your power needs?</a:t>
          </a:r>
          <a:endParaRPr lang="en-US" sz="1100" b="1">
            <a:solidFill>
              <a:srgbClr xmlns:mc="http://schemas.openxmlformats.org/markup-compatibility/2006" xmlns:a14="http://schemas.microsoft.com/office/drawing/2010/main" val="C0C0C0" mc:Ignorable="a14" a14:legacySpreadsheetColorIndex="22"/>
            </a:solidFill>
            <a:latin typeface="Arial" panose="020B0604020202020204" pitchFamily="34" charset="0"/>
            <a:cs typeface="Arial" panose="020B0604020202020204" pitchFamily="34" charset="0"/>
          </a:endParaRPr>
        </a:p>
      </xdr:txBody>
    </xdr:sp>
    <xdr:clientData/>
  </xdr:twoCellAnchor>
  <mc:AlternateContent xmlns:mc="http://schemas.openxmlformats.org/markup-compatibility/2006">
    <mc:Choice xmlns:a14="http://schemas.microsoft.com/office/drawing/2010/main" Requires="a14">
      <xdr:twoCellAnchor editAs="oneCell">
        <xdr:from>
          <xdr:col>12</xdr:col>
          <xdr:colOff>142875</xdr:colOff>
          <xdr:row>11</xdr:row>
          <xdr:rowOff>9525</xdr:rowOff>
        </xdr:from>
        <xdr:to>
          <xdr:col>19</xdr:col>
          <xdr:colOff>371475</xdr:colOff>
          <xdr:row>14</xdr:row>
          <xdr:rowOff>0</xdr:rowOff>
        </xdr:to>
        <xdr:sp macro="" textlink="">
          <xdr:nvSpPr>
            <xdr:cNvPr id="1146" name="Q4ListBox" descr="Q1. Batttery systems typically range from $15,000 to $250,000. Do you have this budget?" hidden="1">
              <a:extLst>
                <a:ext uri="{63B3BB69-23CF-44E3-9099-C40C66FF867C}">
                  <a14:compatExt spid="_x0000_s114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12</xdr:col>
      <xdr:colOff>31750</xdr:colOff>
      <xdr:row>14</xdr:row>
      <xdr:rowOff>158750</xdr:rowOff>
    </xdr:from>
    <xdr:to>
      <xdr:col>19</xdr:col>
      <xdr:colOff>222250</xdr:colOff>
      <xdr:row>16</xdr:row>
      <xdr:rowOff>120650</xdr:rowOff>
    </xdr:to>
    <xdr:sp macro="" textlink="">
      <xdr:nvSpPr>
        <xdr:cNvPr id="86" name="ShapeQ5Label"/>
        <xdr:cNvSpPr txBox="1"/>
      </xdr:nvSpPr>
      <xdr:spPr>
        <a:xfrm>
          <a:off x="5353050" y="2647950"/>
          <a:ext cx="4457700" cy="317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rgbClr xmlns:mc="http://schemas.openxmlformats.org/markup-compatibility/2006" xmlns:a14="http://schemas.microsoft.com/office/drawing/2010/main" val="C0C0C0" mc:Ignorable="a14" a14:legacySpreadsheetColorIndex="22"/>
              </a:solidFill>
              <a:latin typeface="Arial" panose="020B0604020202020204" pitchFamily="34" charset="0"/>
              <a:cs typeface="Arial" panose="020B0604020202020204" pitchFamily="34" charset="0"/>
            </a:rPr>
            <a:t>Q5. Which</a:t>
          </a:r>
          <a:r>
            <a:rPr lang="en-US" sz="1100" b="1" baseline="0">
              <a:solidFill>
                <a:srgbClr xmlns:mc="http://schemas.openxmlformats.org/markup-compatibility/2006" xmlns:a14="http://schemas.microsoft.com/office/drawing/2010/main" val="C0C0C0" mc:Ignorable="a14" a14:legacySpreadsheetColorIndex="22"/>
              </a:solidFill>
              <a:latin typeface="Arial" panose="020B0604020202020204" pitchFamily="34" charset="0"/>
              <a:cs typeface="Arial" panose="020B0604020202020204" pitchFamily="34" charset="0"/>
            </a:rPr>
            <a:t> statement best reflects your power consumption? </a:t>
          </a:r>
          <a:endParaRPr lang="en-US" sz="1100" b="1">
            <a:solidFill>
              <a:srgbClr xmlns:mc="http://schemas.openxmlformats.org/markup-compatibility/2006" xmlns:a14="http://schemas.microsoft.com/office/drawing/2010/main" val="C0C0C0" mc:Ignorable="a14" a14:legacySpreadsheetColorIndex="22"/>
            </a:solidFill>
            <a:latin typeface="Arial" panose="020B0604020202020204" pitchFamily="34" charset="0"/>
            <a:cs typeface="Arial" panose="020B0604020202020204" pitchFamily="34" charset="0"/>
          </a:endParaRPr>
        </a:p>
      </xdr:txBody>
    </xdr:sp>
    <xdr:clientData/>
  </xdr:twoCellAnchor>
  <xdr:twoCellAnchor editAs="oneCell">
    <xdr:from>
      <xdr:col>12</xdr:col>
      <xdr:colOff>31750</xdr:colOff>
      <xdr:row>21</xdr:row>
      <xdr:rowOff>63500</xdr:rowOff>
    </xdr:from>
    <xdr:to>
      <xdr:col>19</xdr:col>
      <xdr:colOff>393700</xdr:colOff>
      <xdr:row>23</xdr:row>
      <xdr:rowOff>25400</xdr:rowOff>
    </xdr:to>
    <xdr:sp macro="" textlink="">
      <xdr:nvSpPr>
        <xdr:cNvPr id="88" name="ShapeQ6Label"/>
        <xdr:cNvSpPr txBox="1"/>
      </xdr:nvSpPr>
      <xdr:spPr>
        <a:xfrm>
          <a:off x="5353050" y="3841750"/>
          <a:ext cx="4629150" cy="317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rgbClr xmlns:mc="http://schemas.openxmlformats.org/markup-compatibility/2006" xmlns:a14="http://schemas.microsoft.com/office/drawing/2010/main" val="C0C0C0" mc:Ignorable="a14" a14:legacySpreadsheetColorIndex="22"/>
              </a:solidFill>
              <a:latin typeface="Arial" panose="020B0604020202020204" pitchFamily="34" charset="0"/>
              <a:cs typeface="Arial" panose="020B0604020202020204" pitchFamily="34" charset="0"/>
            </a:rPr>
            <a:t>Q6. What are your financial expectations for the battery system?</a:t>
          </a:r>
        </a:p>
      </xdr:txBody>
    </xdr:sp>
    <xdr:clientData/>
  </xdr:twoCellAnchor>
  <mc:AlternateContent xmlns:mc="http://schemas.openxmlformats.org/markup-compatibility/2006">
    <mc:Choice xmlns:a14="http://schemas.microsoft.com/office/drawing/2010/main" Requires="a14">
      <xdr:twoCellAnchor editAs="oneCell">
        <xdr:from>
          <xdr:col>12</xdr:col>
          <xdr:colOff>142875</xdr:colOff>
          <xdr:row>23</xdr:row>
          <xdr:rowOff>161925</xdr:rowOff>
        </xdr:from>
        <xdr:to>
          <xdr:col>19</xdr:col>
          <xdr:colOff>333375</xdr:colOff>
          <xdr:row>26</xdr:row>
          <xdr:rowOff>76200</xdr:rowOff>
        </xdr:to>
        <xdr:sp macro="" textlink="">
          <xdr:nvSpPr>
            <xdr:cNvPr id="1148" name="Q6ListBox" descr="Q1. Batttery systems typically range from $15,000 to $250,000. Do you have this budget?" hidden="1">
              <a:extLst>
                <a:ext uri="{63B3BB69-23CF-44E3-9099-C40C66FF867C}">
                  <a14:compatExt spid="_x0000_s114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13</xdr:col>
      <xdr:colOff>165100</xdr:colOff>
      <xdr:row>27</xdr:row>
      <xdr:rowOff>63500</xdr:rowOff>
    </xdr:from>
    <xdr:to>
      <xdr:col>19</xdr:col>
      <xdr:colOff>241300</xdr:colOff>
      <xdr:row>28</xdr:row>
      <xdr:rowOff>127000</xdr:rowOff>
    </xdr:to>
    <xdr:sp macro="" textlink="">
      <xdr:nvSpPr>
        <xdr:cNvPr id="90" name="ShapeQ7Label"/>
        <xdr:cNvSpPr txBox="1"/>
      </xdr:nvSpPr>
      <xdr:spPr>
        <a:xfrm>
          <a:off x="5670550" y="5048250"/>
          <a:ext cx="3733800"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b="1">
              <a:solidFill>
                <a:srgbClr xmlns:mc="http://schemas.openxmlformats.org/markup-compatibility/2006" xmlns:a14="http://schemas.microsoft.com/office/drawing/2010/main" val="C0C0C0" mc:Ignorable="a14" a14:legacySpreadsheetColorIndex="22"/>
              </a:solidFill>
              <a:latin typeface="Arial" panose="020B0604020202020204" pitchFamily="34" charset="0"/>
              <a:cs typeface="Arial" panose="020B0604020202020204" pitchFamily="34" charset="0"/>
            </a:rPr>
            <a:t>What is the simple payback duration that you deem acceptable?</a:t>
          </a:r>
        </a:p>
      </xdr:txBody>
    </xdr:sp>
    <xdr:clientData/>
  </xdr:twoCellAnchor>
  <mc:AlternateContent xmlns:mc="http://schemas.openxmlformats.org/markup-compatibility/2006">
    <mc:Choice xmlns:a14="http://schemas.microsoft.com/office/drawing/2010/main" Requires="a14">
      <xdr:twoCellAnchor editAs="oneCell">
        <xdr:from>
          <xdr:col>12</xdr:col>
          <xdr:colOff>142875</xdr:colOff>
          <xdr:row>17</xdr:row>
          <xdr:rowOff>47625</xdr:rowOff>
        </xdr:from>
        <xdr:to>
          <xdr:col>19</xdr:col>
          <xdr:colOff>295275</xdr:colOff>
          <xdr:row>19</xdr:row>
          <xdr:rowOff>161925</xdr:rowOff>
        </xdr:to>
        <xdr:sp macro="" textlink="">
          <xdr:nvSpPr>
            <xdr:cNvPr id="1149" name="Q5ListBox" descr="Q1. Batttery systems typically range from $15,000 to $250,000. Do you have this budget?" hidden="1">
              <a:extLst>
                <a:ext uri="{63B3BB69-23CF-44E3-9099-C40C66FF867C}">
                  <a14:compatExt spid="_x0000_s114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absolute">
    <xdr:from>
      <xdr:col>21</xdr:col>
      <xdr:colOff>450850</xdr:colOff>
      <xdr:row>27</xdr:row>
      <xdr:rowOff>152400</xdr:rowOff>
    </xdr:from>
    <xdr:to>
      <xdr:col>29</xdr:col>
      <xdr:colOff>241300</xdr:colOff>
      <xdr:row>33</xdr:row>
      <xdr:rowOff>120650</xdr:rowOff>
    </xdr:to>
    <xdr:sp macro="" textlink="">
      <xdr:nvSpPr>
        <xdr:cNvPr id="94" name="BatteryRoomLink" hidden="1"/>
        <xdr:cNvSpPr txBox="1"/>
      </xdr:nvSpPr>
      <xdr:spPr>
        <a:xfrm>
          <a:off x="10833100" y="4997450"/>
          <a:ext cx="4667250" cy="1066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a:solidFill>
                <a:srgbClr xmlns:mc="http://schemas.openxmlformats.org/markup-compatibility/2006" xmlns:a14="http://schemas.microsoft.com/office/drawing/2010/main" val="000000" mc:Ignorable="a14" a14:legacySpreadsheetColorIndex="8"/>
              </a:solidFill>
              <a:latin typeface="Arial" panose="020B0604020202020204" pitchFamily="34" charset="0"/>
              <a:cs typeface="Arial" panose="020B0604020202020204" pitchFamily="34" charset="0"/>
            </a:rPr>
            <a:t>For more information about a battery room:</a:t>
          </a:r>
        </a:p>
        <a:p>
          <a:r>
            <a:rPr lang="en-US" sz="1100" b="0">
              <a:solidFill>
                <a:srgbClr xmlns:mc="http://schemas.openxmlformats.org/markup-compatibility/2006" xmlns:a14="http://schemas.microsoft.com/office/drawing/2010/main" val="000000" mc:Ignorable="a14" a14:legacySpreadsheetColorIndex="8"/>
              </a:solidFill>
              <a:latin typeface="Arial" panose="020B0604020202020204" pitchFamily="34" charset="0"/>
              <a:cs typeface="Arial" panose="020B0604020202020204" pitchFamily="34" charset="0"/>
            </a:rPr>
            <a:t>- Refer to 'i am your battery storage guide' on the OEH website </a:t>
          </a:r>
        </a:p>
        <a:p>
          <a:r>
            <a:rPr lang="en-US" sz="1100" b="0">
              <a:solidFill>
                <a:srgbClr xmlns:mc="http://schemas.openxmlformats.org/markup-compatibility/2006" xmlns:a14="http://schemas.microsoft.com/office/drawing/2010/main" val="000000" mc:Ignorable="a14" a14:legacySpreadsheetColorIndex="8"/>
              </a:solidFill>
              <a:latin typeface="Arial" panose="020B0604020202020204" pitchFamily="34" charset="0"/>
              <a:cs typeface="Arial" panose="020B0604020202020204" pitchFamily="34" charset="0"/>
            </a:rPr>
            <a:t>- Visit the Clean Energy Council website to download guidelines: </a:t>
          </a:r>
        </a:p>
        <a:p>
          <a:r>
            <a:rPr lang="en-US" sz="1100" b="0" u="sng">
              <a:solidFill>
                <a:schemeClr val="accent1"/>
              </a:solidFill>
              <a:latin typeface="Arial" panose="020B0604020202020204" pitchFamily="34" charset="0"/>
              <a:cs typeface="Arial" panose="020B0604020202020204" pitchFamily="34" charset="0"/>
            </a:rPr>
            <a:t>http://</a:t>
          </a:r>
          <a:r>
            <a:rPr lang="en-US" sz="1100" b="0" u="sng" kern="200" baseline="0">
              <a:solidFill>
                <a:schemeClr val="accent1"/>
              </a:solidFill>
              <a:latin typeface="Arial" panose="020B0604020202020204" pitchFamily="34" charset="0"/>
              <a:cs typeface="Arial" panose="020B0604020202020204" pitchFamily="34" charset="0"/>
            </a:rPr>
            <a:t>www.solaraccreditation.com.au/installers/becoming-accredited/battery-storage-endorsement.html</a:t>
          </a:r>
        </a:p>
        <a:p>
          <a:r>
            <a:rPr lang="en-US" sz="1100" b="0">
              <a:solidFill>
                <a:srgbClr xmlns:mc="http://schemas.openxmlformats.org/markup-compatibility/2006" xmlns:a14="http://schemas.microsoft.com/office/drawing/2010/main" val="000000" mc:Ignorable="a14" a14:legacySpreadsheetColorIndex="8"/>
              </a:solidFill>
              <a:latin typeface="Arial" panose="020B0604020202020204" pitchFamily="34" charset="0"/>
              <a:cs typeface="Arial" panose="020B0604020202020204" pitchFamily="34" charset="0"/>
            </a:rPr>
            <a:t>   </a:t>
          </a:r>
        </a:p>
      </xdr:txBody>
    </xdr:sp>
    <xdr:clientData/>
  </xdr:twoCellAnchor>
  <mc:AlternateContent xmlns:mc="http://schemas.openxmlformats.org/markup-compatibility/2006">
    <mc:Choice xmlns:a14="http://schemas.microsoft.com/office/drawing/2010/main" Requires="a14">
      <xdr:twoCellAnchor>
        <xdr:from>
          <xdr:col>27</xdr:col>
          <xdr:colOff>581025</xdr:colOff>
          <xdr:row>31</xdr:row>
          <xdr:rowOff>9525</xdr:rowOff>
        </xdr:from>
        <xdr:to>
          <xdr:col>29</xdr:col>
          <xdr:colOff>314325</xdr:colOff>
          <xdr:row>32</xdr:row>
          <xdr:rowOff>66675</xdr:rowOff>
        </xdr:to>
        <xdr:sp macro="" textlink="">
          <xdr:nvSpPr>
            <xdr:cNvPr id="1152" name="OpenLink" descr="energy.saver@environment.nsw.gov.au" hidden="1">
              <a:extLst>
                <a:ext uri="{63B3BB69-23CF-44E3-9099-C40C66FF867C}">
                  <a14:compatExt spid="_x0000_s1152"/>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AU" sz="900" b="0" i="0" u="none" strike="noStrike" baseline="0">
                  <a:solidFill>
                    <a:srgbClr val="000000"/>
                  </a:solidFill>
                  <a:latin typeface="Arial"/>
                  <a:cs typeface="Arial"/>
                </a:rPr>
                <a:t>Open link</a:t>
              </a:r>
            </a:p>
          </xdr:txBody>
        </xdr:sp>
        <xdr:clientData fPrintsWithSheet="0"/>
      </xdr:twoCellAnchor>
    </mc:Choice>
    <mc:Fallback/>
  </mc:AlternateContent>
  <xdr:twoCellAnchor editAs="oneCell">
    <xdr:from>
      <xdr:col>15</xdr:col>
      <xdr:colOff>403225</xdr:colOff>
      <xdr:row>33</xdr:row>
      <xdr:rowOff>60950</xdr:rowOff>
    </xdr:from>
    <xdr:to>
      <xdr:col>22</xdr:col>
      <xdr:colOff>312025</xdr:colOff>
      <xdr:row>35</xdr:row>
      <xdr:rowOff>167850</xdr:rowOff>
    </xdr:to>
    <xdr:sp macro="[0]!NextStepButton_Click" textlink="">
      <xdr:nvSpPr>
        <xdr:cNvPr id="101" name="NextStepButton" hidden="1"/>
        <xdr:cNvSpPr txBox="1"/>
      </xdr:nvSpPr>
      <xdr:spPr>
        <a:xfrm>
          <a:off x="7127875" y="6150600"/>
          <a:ext cx="4176000" cy="475200"/>
        </a:xfrm>
        <a:prstGeom prst="rect">
          <a:avLst/>
        </a:prstGeom>
        <a:solidFill>
          <a:srgbClr val="00A9D8"/>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a:solidFill>
                <a:schemeClr val="bg1"/>
              </a:solidFill>
              <a:latin typeface="Arial" panose="020B0604020202020204" pitchFamily="34" charset="0"/>
              <a:cs typeface="Arial" panose="020B0604020202020204" pitchFamily="34" charset="0"/>
            </a:rPr>
            <a:t>NEXT</a:t>
          </a:r>
          <a:r>
            <a:rPr lang="en-US" sz="1100" b="1" baseline="0">
              <a:solidFill>
                <a:schemeClr val="bg1"/>
              </a:solidFill>
              <a:latin typeface="Arial" panose="020B0604020202020204" pitchFamily="34" charset="0"/>
              <a:cs typeface="Arial" panose="020B0604020202020204" pitchFamily="34" charset="0"/>
            </a:rPr>
            <a:t> STEP</a:t>
          </a:r>
          <a:endParaRPr lang="en-US" sz="1100" b="1">
            <a:solidFill>
              <a:schemeClr val="bg1"/>
            </a:solidFill>
            <a:latin typeface="Arial" panose="020B0604020202020204" pitchFamily="34" charset="0"/>
            <a:cs typeface="Arial" panose="020B0604020202020204" pitchFamily="34" charset="0"/>
          </a:endParaRPr>
        </a:p>
      </xdr:txBody>
    </xdr:sp>
    <xdr:clientData/>
  </xdr:twoCellAnchor>
  <xdr:twoCellAnchor editAs="absolute">
    <xdr:from>
      <xdr:col>15</xdr:col>
      <xdr:colOff>403225</xdr:colOff>
      <xdr:row>33</xdr:row>
      <xdr:rowOff>82650</xdr:rowOff>
    </xdr:from>
    <xdr:to>
      <xdr:col>22</xdr:col>
      <xdr:colOff>312025</xdr:colOff>
      <xdr:row>35</xdr:row>
      <xdr:rowOff>146150</xdr:rowOff>
    </xdr:to>
    <xdr:sp macro="[0]!ViewSummaryButton_Click" textlink="">
      <xdr:nvSpPr>
        <xdr:cNvPr id="102" name="ViewSummaryButton" hidden="1"/>
        <xdr:cNvSpPr txBox="1"/>
      </xdr:nvSpPr>
      <xdr:spPr>
        <a:xfrm>
          <a:off x="7127875" y="6172300"/>
          <a:ext cx="4176000" cy="431800"/>
        </a:xfrm>
        <a:prstGeom prst="rect">
          <a:avLst/>
        </a:prstGeom>
        <a:solidFill>
          <a:srgbClr val="E2173D"/>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0">
              <a:solidFill>
                <a:schemeClr val="bg1"/>
              </a:solidFill>
              <a:latin typeface="Arial" panose="020B0604020202020204" pitchFamily="34" charset="0"/>
              <a:cs typeface="Arial" panose="020B0604020202020204" pitchFamily="34" charset="0"/>
            </a:rPr>
            <a:t>VIEW SUMMARY</a:t>
          </a:r>
        </a:p>
      </xdr:txBody>
    </xdr:sp>
    <xdr:clientData/>
  </xdr:twoCellAnchor>
  <mc:AlternateContent xmlns:mc="http://schemas.openxmlformats.org/markup-compatibility/2006">
    <mc:Choice xmlns:a14="http://schemas.microsoft.com/office/drawing/2010/main" Requires="a14">
      <xdr:twoCellAnchor editAs="oneCell">
        <xdr:from>
          <xdr:col>13</xdr:col>
          <xdr:colOff>276225</xdr:colOff>
          <xdr:row>28</xdr:row>
          <xdr:rowOff>133350</xdr:rowOff>
        </xdr:from>
        <xdr:to>
          <xdr:col>19</xdr:col>
          <xdr:colOff>257175</xdr:colOff>
          <xdr:row>31</xdr:row>
          <xdr:rowOff>9525</xdr:rowOff>
        </xdr:to>
        <xdr:sp macro="" textlink="">
          <xdr:nvSpPr>
            <xdr:cNvPr id="1155" name="Q7ListBox" descr="Q1. Batttery systems typically range from $15,000 to $250,000. Do you have this budget?" hidden="1">
              <a:extLst>
                <a:ext uri="{63B3BB69-23CF-44E3-9099-C40C66FF867C}">
                  <a14:compatExt spid="_x0000_s115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21</xdr:col>
      <xdr:colOff>544512</xdr:colOff>
      <xdr:row>17</xdr:row>
      <xdr:rowOff>25400</xdr:rowOff>
    </xdr:from>
    <xdr:to>
      <xdr:col>26</xdr:col>
      <xdr:colOff>506412</xdr:colOff>
      <xdr:row>21</xdr:row>
      <xdr:rowOff>25400</xdr:rowOff>
    </xdr:to>
    <xdr:sp macro="" textlink="">
      <xdr:nvSpPr>
        <xdr:cNvPr id="109" name="FinalComment2" hidden="1"/>
        <xdr:cNvSpPr txBox="1"/>
      </xdr:nvSpPr>
      <xdr:spPr>
        <a:xfrm>
          <a:off x="10926762" y="3130550"/>
          <a:ext cx="3009900" cy="774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latin typeface="Arial" panose="020B0604020202020204" pitchFamily="34" charset="0"/>
              <a:cs typeface="Arial" panose="020B0604020202020204" pitchFamily="34" charset="0"/>
            </a:rPr>
            <a:t>Approximately 139% of the cost will be recovered by end of life.</a:t>
          </a:r>
        </a:p>
      </xdr:txBody>
    </xdr:sp>
    <xdr:clientData/>
  </xdr:twoCellAnchor>
  <xdr:twoCellAnchor editAs="oneCell">
    <xdr:from>
      <xdr:col>21</xdr:col>
      <xdr:colOff>528637</xdr:colOff>
      <xdr:row>12</xdr:row>
      <xdr:rowOff>171450</xdr:rowOff>
    </xdr:from>
    <xdr:to>
      <xdr:col>26</xdr:col>
      <xdr:colOff>522287</xdr:colOff>
      <xdr:row>16</xdr:row>
      <xdr:rowOff>158750</xdr:rowOff>
    </xdr:to>
    <xdr:sp macro="" textlink="">
      <xdr:nvSpPr>
        <xdr:cNvPr id="110" name="FinalComment1" hidden="1"/>
        <xdr:cNvSpPr txBox="1"/>
      </xdr:nvSpPr>
      <xdr:spPr>
        <a:xfrm>
          <a:off x="10910887" y="2355850"/>
          <a:ext cx="3041650" cy="7239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latin typeface="Arial" panose="020B0604020202020204" pitchFamily="34" charset="0"/>
              <a:cs typeface="Arial" panose="020B0604020202020204" pitchFamily="34" charset="0"/>
            </a:rPr>
            <a:t>Batteries may be feasible for you if payback is not critical.</a:t>
          </a:r>
        </a:p>
      </xdr:txBody>
    </xdr:sp>
    <xdr:clientData/>
  </xdr:twoCellAnchor>
  <xdr:twoCellAnchor editAs="absolute">
    <xdr:from>
      <xdr:col>21</xdr:col>
      <xdr:colOff>509587</xdr:colOff>
      <xdr:row>22</xdr:row>
      <xdr:rowOff>12700</xdr:rowOff>
    </xdr:from>
    <xdr:to>
      <xdr:col>26</xdr:col>
      <xdr:colOff>541337</xdr:colOff>
      <xdr:row>25</xdr:row>
      <xdr:rowOff>12700</xdr:rowOff>
    </xdr:to>
    <xdr:sp macro="" textlink="">
      <xdr:nvSpPr>
        <xdr:cNvPr id="111" name="FinalComment3" hidden="1"/>
        <xdr:cNvSpPr txBox="1"/>
      </xdr:nvSpPr>
      <xdr:spPr>
        <a:xfrm>
          <a:off x="10891837" y="4076700"/>
          <a:ext cx="3079750" cy="552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latin typeface="Arial" panose="020B0604020202020204" pitchFamily="34" charset="0"/>
              <a:cs typeface="Arial" panose="020B0604020202020204" pitchFamily="34" charset="0"/>
            </a:rPr>
            <a:t>You will need to decide if this is acceptable or not.</a:t>
          </a:r>
        </a:p>
      </xdr:txBody>
    </xdr:sp>
    <xdr:clientData/>
  </xdr:twoCellAnchor>
  <xdr:twoCellAnchor editAs="oneCell">
    <xdr:from>
      <xdr:col>4</xdr:col>
      <xdr:colOff>508000</xdr:colOff>
      <xdr:row>24</xdr:row>
      <xdr:rowOff>12700</xdr:rowOff>
    </xdr:from>
    <xdr:to>
      <xdr:col>11</xdr:col>
      <xdr:colOff>222250</xdr:colOff>
      <xdr:row>27</xdr:row>
      <xdr:rowOff>25400</xdr:rowOff>
    </xdr:to>
    <xdr:sp macro="" textlink="">
      <xdr:nvSpPr>
        <xdr:cNvPr id="53" name="Q3Grey"/>
        <xdr:cNvSpPr txBox="1"/>
      </xdr:nvSpPr>
      <xdr:spPr>
        <a:xfrm>
          <a:off x="508000" y="4445000"/>
          <a:ext cx="4000500" cy="565150"/>
        </a:xfrm>
        <a:prstGeom prst="rect">
          <a:avLst/>
        </a:prstGeom>
        <a:solidFill>
          <a:schemeClr val="bg1">
            <a:alpha val="5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lvl="1"/>
          <a:endParaRPr lang="en-US" sz="2200" b="1">
            <a:solidFill>
              <a:schemeClr val="tx1"/>
            </a:solidFill>
            <a:latin typeface="Arial" panose="020B0604020202020204" pitchFamily="34" charset="0"/>
            <a:cs typeface="Arial" panose="020B0604020202020204" pitchFamily="34" charset="0"/>
          </a:endParaRPr>
        </a:p>
      </xdr:txBody>
    </xdr:sp>
    <xdr:clientData/>
  </xdr:twoCellAnchor>
  <xdr:twoCellAnchor editAs="oneCell">
    <xdr:from>
      <xdr:col>12</xdr:col>
      <xdr:colOff>127000</xdr:colOff>
      <xdr:row>17</xdr:row>
      <xdr:rowOff>12700</xdr:rowOff>
    </xdr:from>
    <xdr:to>
      <xdr:col>19</xdr:col>
      <xdr:colOff>374650</xdr:colOff>
      <xdr:row>19</xdr:row>
      <xdr:rowOff>171450</xdr:rowOff>
    </xdr:to>
    <xdr:sp macro="" textlink="">
      <xdr:nvSpPr>
        <xdr:cNvPr id="55" name="Q5Grey"/>
        <xdr:cNvSpPr txBox="1"/>
      </xdr:nvSpPr>
      <xdr:spPr>
        <a:xfrm>
          <a:off x="5022850" y="3117850"/>
          <a:ext cx="4514850" cy="565150"/>
        </a:xfrm>
        <a:prstGeom prst="rect">
          <a:avLst/>
        </a:prstGeom>
        <a:solidFill>
          <a:schemeClr val="bg1">
            <a:alpha val="5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lvl="1"/>
          <a:endParaRPr lang="en-US" sz="2200" b="1">
            <a:solidFill>
              <a:schemeClr val="tx1"/>
            </a:solidFill>
            <a:latin typeface="Arial" panose="020B0604020202020204" pitchFamily="34" charset="0"/>
            <a:cs typeface="Arial" panose="020B0604020202020204" pitchFamily="34" charset="0"/>
          </a:endParaRPr>
        </a:p>
      </xdr:txBody>
    </xdr:sp>
    <xdr:clientData/>
  </xdr:twoCellAnchor>
  <xdr:twoCellAnchor editAs="oneCell">
    <xdr:from>
      <xdr:col>12</xdr:col>
      <xdr:colOff>114300</xdr:colOff>
      <xdr:row>10</xdr:row>
      <xdr:rowOff>158750</xdr:rowOff>
    </xdr:from>
    <xdr:to>
      <xdr:col>19</xdr:col>
      <xdr:colOff>400050</xdr:colOff>
      <xdr:row>14</xdr:row>
      <xdr:rowOff>25400</xdr:rowOff>
    </xdr:to>
    <xdr:sp macro="" textlink="">
      <xdr:nvSpPr>
        <xdr:cNvPr id="56" name="Q4Grey"/>
        <xdr:cNvSpPr txBox="1"/>
      </xdr:nvSpPr>
      <xdr:spPr>
        <a:xfrm>
          <a:off x="5010150" y="1987550"/>
          <a:ext cx="4552950" cy="590550"/>
        </a:xfrm>
        <a:prstGeom prst="rect">
          <a:avLst/>
        </a:prstGeom>
        <a:solidFill>
          <a:schemeClr val="bg1">
            <a:alpha val="5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lvl="1"/>
          <a:endParaRPr lang="en-US" sz="2200" b="1">
            <a:solidFill>
              <a:schemeClr val="tx1"/>
            </a:solidFill>
            <a:latin typeface="Arial" panose="020B0604020202020204" pitchFamily="34" charset="0"/>
            <a:cs typeface="Arial" panose="020B0604020202020204" pitchFamily="34" charset="0"/>
          </a:endParaRPr>
        </a:p>
      </xdr:txBody>
    </xdr:sp>
    <xdr:clientData/>
  </xdr:twoCellAnchor>
  <xdr:twoCellAnchor editAs="oneCell">
    <xdr:from>
      <xdr:col>12</xdr:col>
      <xdr:colOff>114300</xdr:colOff>
      <xdr:row>23</xdr:row>
      <xdr:rowOff>133350</xdr:rowOff>
    </xdr:from>
    <xdr:to>
      <xdr:col>19</xdr:col>
      <xdr:colOff>419100</xdr:colOff>
      <xdr:row>26</xdr:row>
      <xdr:rowOff>146050</xdr:rowOff>
    </xdr:to>
    <xdr:sp macro="" textlink="">
      <xdr:nvSpPr>
        <xdr:cNvPr id="57" name="Q6Grey"/>
        <xdr:cNvSpPr txBox="1"/>
      </xdr:nvSpPr>
      <xdr:spPr>
        <a:xfrm>
          <a:off x="5010150" y="4381500"/>
          <a:ext cx="4572000" cy="565150"/>
        </a:xfrm>
        <a:prstGeom prst="rect">
          <a:avLst/>
        </a:prstGeom>
        <a:solidFill>
          <a:schemeClr val="bg1">
            <a:alpha val="5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lvl="1"/>
          <a:endParaRPr lang="en-US" sz="2200" b="1">
            <a:solidFill>
              <a:schemeClr val="tx1"/>
            </a:solidFill>
            <a:latin typeface="Arial" panose="020B0604020202020204" pitchFamily="34" charset="0"/>
            <a:cs typeface="Arial" panose="020B0604020202020204" pitchFamily="34" charset="0"/>
          </a:endParaRPr>
        </a:p>
      </xdr:txBody>
    </xdr:sp>
    <xdr:clientData/>
  </xdr:twoCellAnchor>
  <xdr:twoCellAnchor editAs="oneCell">
    <xdr:from>
      <xdr:col>13</xdr:col>
      <xdr:colOff>254000</xdr:colOff>
      <xdr:row>28</xdr:row>
      <xdr:rowOff>95250</xdr:rowOff>
    </xdr:from>
    <xdr:to>
      <xdr:col>19</xdr:col>
      <xdr:colOff>292100</xdr:colOff>
      <xdr:row>31</xdr:row>
      <xdr:rowOff>6350</xdr:rowOff>
    </xdr:to>
    <xdr:sp macro="" textlink="">
      <xdr:nvSpPr>
        <xdr:cNvPr id="58" name="Q7Grey"/>
        <xdr:cNvSpPr txBox="1"/>
      </xdr:nvSpPr>
      <xdr:spPr>
        <a:xfrm>
          <a:off x="5759450" y="5264150"/>
          <a:ext cx="3695700" cy="463550"/>
        </a:xfrm>
        <a:prstGeom prst="rect">
          <a:avLst/>
        </a:prstGeom>
        <a:solidFill>
          <a:schemeClr val="bg1">
            <a:alpha val="5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lvl="1"/>
          <a:endParaRPr lang="en-US" sz="2200" b="1">
            <a:solidFill>
              <a:schemeClr val="tx1"/>
            </a:solidFill>
            <a:latin typeface="Arial" panose="020B0604020202020204" pitchFamily="34" charset="0"/>
            <a:cs typeface="Arial" panose="020B0604020202020204" pitchFamily="34" charset="0"/>
          </a:endParaRPr>
        </a:p>
      </xdr:txBody>
    </xdr:sp>
    <xdr:clientData/>
  </xdr:twoCellAnchor>
  <xdr:twoCellAnchor editAs="oneCell">
    <xdr:from>
      <xdr:col>4</xdr:col>
      <xdr:colOff>495300</xdr:colOff>
      <xdr:row>17</xdr:row>
      <xdr:rowOff>57150</xdr:rowOff>
    </xdr:from>
    <xdr:to>
      <xdr:col>11</xdr:col>
      <xdr:colOff>254000</xdr:colOff>
      <xdr:row>19</xdr:row>
      <xdr:rowOff>171450</xdr:rowOff>
    </xdr:to>
    <xdr:sp macro="" textlink="">
      <xdr:nvSpPr>
        <xdr:cNvPr id="59" name="Q2Grey"/>
        <xdr:cNvSpPr txBox="1"/>
      </xdr:nvSpPr>
      <xdr:spPr>
        <a:xfrm>
          <a:off x="495300" y="3162300"/>
          <a:ext cx="4044950" cy="520700"/>
        </a:xfrm>
        <a:prstGeom prst="rect">
          <a:avLst/>
        </a:prstGeom>
        <a:solidFill>
          <a:schemeClr val="bg1">
            <a:alpha val="5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lvl="1"/>
          <a:endParaRPr lang="en-US" sz="2200" b="1">
            <a:solidFill>
              <a:schemeClr val="tx1"/>
            </a:solidFill>
            <a:latin typeface="Arial" panose="020B0604020202020204" pitchFamily="34" charset="0"/>
            <a:cs typeface="Arial" panose="020B0604020202020204" pitchFamily="34" charset="0"/>
          </a:endParaRPr>
        </a:p>
      </xdr:txBody>
    </xdr:sp>
    <xdr:clientData/>
  </xdr:twoCellAnchor>
  <xdr:twoCellAnchor>
    <xdr:from>
      <xdr:col>4</xdr:col>
      <xdr:colOff>234950</xdr:colOff>
      <xdr:row>37</xdr:row>
      <xdr:rowOff>69850</xdr:rowOff>
    </xdr:from>
    <xdr:to>
      <xdr:col>22</xdr:col>
      <xdr:colOff>393700</xdr:colOff>
      <xdr:row>41</xdr:row>
      <xdr:rowOff>14472</xdr:rowOff>
    </xdr:to>
    <xdr:grpSp>
      <xdr:nvGrpSpPr>
        <xdr:cNvPr id="62" name="Group 61"/>
        <xdr:cNvGrpSpPr/>
      </xdr:nvGrpSpPr>
      <xdr:grpSpPr>
        <a:xfrm>
          <a:off x="234950" y="6896100"/>
          <a:ext cx="11150600" cy="681222"/>
          <a:chOff x="615950" y="7362190"/>
          <a:chExt cx="10627916" cy="655822"/>
        </a:xfrm>
      </xdr:grpSpPr>
      <xdr:pic>
        <xdr:nvPicPr>
          <xdr:cNvPr id="63" name="Picture 6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15950" y="7362190"/>
            <a:ext cx="1246230" cy="655822"/>
          </a:xfrm>
          <a:prstGeom prst="rect">
            <a:avLst/>
          </a:prstGeom>
        </xdr:spPr>
      </xdr:pic>
      <xdr:sp macro="" textlink="">
        <xdr:nvSpPr>
          <xdr:cNvPr id="64" name="ShapeQ3Label">
            <a:hlinkClick xmlns:r="http://schemas.openxmlformats.org/officeDocument/2006/relationships" r:id="rId3"/>
          </xdr:cNvPr>
          <xdr:cNvSpPr txBox="1"/>
        </xdr:nvSpPr>
        <xdr:spPr>
          <a:xfrm>
            <a:off x="2089150" y="7594600"/>
            <a:ext cx="9154716" cy="2730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US" sz="1100" b="0">
                <a:solidFill>
                  <a:srgbClr xmlns:mc="http://schemas.openxmlformats.org/markup-compatibility/2006" xmlns:a14="http://schemas.microsoft.com/office/drawing/2010/main" val="000000" mc:Ignorable="a14" a14:legacySpreadsheetColorIndex="8"/>
                </a:solidFill>
                <a:latin typeface="Arial" panose="020B0604020202020204" pitchFamily="34" charset="0"/>
                <a:cs typeface="Arial" panose="020B0604020202020204" pitchFamily="34" charset="0"/>
              </a:rPr>
              <a:t>For more information please contact the Energy Efficient Business Team on </a:t>
            </a:r>
            <a:r>
              <a:rPr lang="en-US" sz="1100" b="1">
                <a:solidFill>
                  <a:srgbClr xmlns:mc="http://schemas.openxmlformats.org/markup-compatibility/2006" xmlns:a14="http://schemas.microsoft.com/office/drawing/2010/main" val="000000" mc:Ignorable="a14" a14:legacySpreadsheetColorIndex="8"/>
                </a:solidFill>
                <a:latin typeface="Arial" panose="020B0604020202020204" pitchFamily="34" charset="0"/>
                <a:cs typeface="Arial" panose="020B0604020202020204" pitchFamily="34" charset="0"/>
              </a:rPr>
              <a:t>1300</a:t>
            </a:r>
            <a:r>
              <a:rPr lang="en-US" sz="1100" b="1" baseline="0">
                <a:solidFill>
                  <a:srgbClr xmlns:mc="http://schemas.openxmlformats.org/markup-compatibility/2006" xmlns:a14="http://schemas.microsoft.com/office/drawing/2010/main" val="000000" mc:Ignorable="a14" a14:legacySpreadsheetColorIndex="8"/>
                </a:solidFill>
                <a:latin typeface="Arial" panose="020B0604020202020204" pitchFamily="34" charset="0"/>
                <a:cs typeface="Arial" panose="020B0604020202020204" pitchFamily="34" charset="0"/>
              </a:rPr>
              <a:t> 361 967 </a:t>
            </a:r>
            <a:r>
              <a:rPr lang="en-US" sz="1100" b="0" baseline="0">
                <a:solidFill>
                  <a:srgbClr xmlns:mc="http://schemas.openxmlformats.org/markup-compatibility/2006" xmlns:a14="http://schemas.microsoft.com/office/drawing/2010/main" val="000000" mc:Ignorable="a14" a14:legacySpreadsheetColorIndex="8"/>
                </a:solidFill>
                <a:latin typeface="Arial" panose="020B0604020202020204" pitchFamily="34" charset="0"/>
                <a:cs typeface="Arial" panose="020B0604020202020204" pitchFamily="34" charset="0"/>
              </a:rPr>
              <a:t>or email: </a:t>
            </a:r>
            <a:r>
              <a:rPr lang="en-AU" sz="1100" u="sng">
                <a:solidFill>
                  <a:srgbClr val="056399"/>
                </a:solidFill>
                <a:effectLst/>
                <a:latin typeface="Arial" panose="020B0604020202020204" pitchFamily="34" charset="0"/>
                <a:ea typeface="+mn-ea"/>
                <a:cs typeface="Arial" panose="020B0604020202020204" pitchFamily="34" charset="0"/>
              </a:rPr>
              <a:t>energy.saver@environment.nsw.gov.au</a:t>
            </a:r>
            <a:endParaRPr lang="en-US">
              <a:solidFill>
                <a:srgbClr val="056399"/>
              </a:solidFill>
              <a:effectLst/>
              <a:latin typeface="Arial" panose="020B0604020202020204" pitchFamily="34" charset="0"/>
              <a:cs typeface="Arial" panose="020B0604020202020204" pitchFamily="34" charset="0"/>
            </a:endParaRPr>
          </a:p>
          <a:p>
            <a:r>
              <a:rPr lang="en-US" sz="1100" b="0" baseline="0">
                <a:solidFill>
                  <a:srgbClr xmlns:mc="http://schemas.openxmlformats.org/markup-compatibility/2006" xmlns:a14="http://schemas.microsoft.com/office/drawing/2010/main" val="000000" mc:Ignorable="a14" a14:legacySpreadsheetColorIndex="8"/>
                </a:solidFill>
                <a:latin typeface="Arial" panose="020B0604020202020204" pitchFamily="34" charset="0"/>
                <a:cs typeface="Arial" panose="020B0604020202020204" pitchFamily="34" charset="0"/>
              </a:rPr>
              <a:t>: </a:t>
            </a:r>
            <a:endParaRPr lang="en-US" sz="1100" b="0">
              <a:solidFill>
                <a:srgbClr xmlns:mc="http://schemas.openxmlformats.org/markup-compatibility/2006" xmlns:a14="http://schemas.microsoft.com/office/drawing/2010/main" val="000000" mc:Ignorable="a14" a14:legacySpreadsheetColorIndex="8"/>
              </a:solidFill>
              <a:latin typeface="Arial" panose="020B0604020202020204" pitchFamily="34" charset="0"/>
              <a:cs typeface="Arial" panose="020B0604020202020204" pitchFamily="34" charset="0"/>
            </a:endParaRPr>
          </a:p>
        </xdr:txBody>
      </xdr:sp>
    </xdr:grpSp>
    <xdr:clientData/>
  </xdr:twoCellAnchor>
  <xdr:twoCellAnchor editAs="oneCell">
    <xdr:from>
      <xdr:col>24</xdr:col>
      <xdr:colOff>0</xdr:colOff>
      <xdr:row>10</xdr:row>
      <xdr:rowOff>12700</xdr:rowOff>
    </xdr:from>
    <xdr:to>
      <xdr:col>24</xdr:col>
      <xdr:colOff>414000</xdr:colOff>
      <xdr:row>12</xdr:row>
      <xdr:rowOff>71100</xdr:rowOff>
    </xdr:to>
    <xdr:pic>
      <xdr:nvPicPr>
        <xdr:cNvPr id="46" name="ThumbDown" hidden="1"/>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2211050" y="1841500"/>
          <a:ext cx="414000" cy="41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10</xdr:row>
      <xdr:rowOff>44450</xdr:rowOff>
    </xdr:from>
    <xdr:to>
      <xdr:col>24</xdr:col>
      <xdr:colOff>414000</xdr:colOff>
      <xdr:row>12</xdr:row>
      <xdr:rowOff>102850</xdr:rowOff>
    </xdr:to>
    <xdr:pic>
      <xdr:nvPicPr>
        <xdr:cNvPr id="47" name="Exclaimation" hidden="1"/>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2211050" y="1873250"/>
          <a:ext cx="414000" cy="41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23</xdr:col>
      <xdr:colOff>584200</xdr:colOff>
      <xdr:row>9</xdr:row>
      <xdr:rowOff>171450</xdr:rowOff>
    </xdr:from>
    <xdr:to>
      <xdr:col>24</xdr:col>
      <xdr:colOff>388600</xdr:colOff>
      <xdr:row>12</xdr:row>
      <xdr:rowOff>45700</xdr:rowOff>
    </xdr:to>
    <xdr:pic>
      <xdr:nvPicPr>
        <xdr:cNvPr id="49" name="ThumbUp" hidden="1"/>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2185650" y="1816100"/>
          <a:ext cx="414000" cy="41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20</xdr:col>
      <xdr:colOff>64329</xdr:colOff>
      <xdr:row>10</xdr:row>
      <xdr:rowOff>48868</xdr:rowOff>
    </xdr:from>
    <xdr:to>
      <xdr:col>26</xdr:col>
      <xdr:colOff>181389</xdr:colOff>
      <xdr:row>38</xdr:row>
      <xdr:rowOff>148259</xdr:rowOff>
    </xdr:to>
    <xdr:sp macro="" textlink="">
      <xdr:nvSpPr>
        <xdr:cNvPr id="60" name="Rectangle 59"/>
        <xdr:cNvSpPr/>
      </xdr:nvSpPr>
      <xdr:spPr>
        <a:xfrm>
          <a:off x="13589829" y="1782418"/>
          <a:ext cx="3774660" cy="5255591"/>
        </a:xfrm>
        <a:prstGeom prst="rect">
          <a:avLst/>
        </a:prstGeom>
        <a:solidFill>
          <a:schemeClr val="bg1">
            <a:lumMod val="95000"/>
          </a:schemeClr>
        </a:solidFill>
        <a:ln>
          <a:solidFill>
            <a:schemeClr val="bg1">
              <a:lumMod val="9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wordArtVert" rtlCol="0" anchor="t"/>
        <a:lstStyle/>
        <a:p>
          <a:pPr algn="l"/>
          <a:endParaRPr lang="en-US" sz="1100"/>
        </a:p>
      </xdr:txBody>
    </xdr:sp>
    <xdr:clientData/>
  </xdr:twoCellAnchor>
  <xdr:twoCellAnchor editAs="oneCell">
    <xdr:from>
      <xdr:col>5</xdr:col>
      <xdr:colOff>317500</xdr:colOff>
      <xdr:row>37</xdr:row>
      <xdr:rowOff>152400</xdr:rowOff>
    </xdr:from>
    <xdr:to>
      <xdr:col>19</xdr:col>
      <xdr:colOff>425450</xdr:colOff>
      <xdr:row>40</xdr:row>
      <xdr:rowOff>31950</xdr:rowOff>
    </xdr:to>
    <xdr:sp macro="[0]!ViewSummaryFromCustom_Click" textlink="">
      <xdr:nvSpPr>
        <xdr:cNvPr id="128" name="NextStepButton"/>
        <xdr:cNvSpPr txBox="1"/>
      </xdr:nvSpPr>
      <xdr:spPr>
        <a:xfrm>
          <a:off x="742950" y="6489700"/>
          <a:ext cx="8642350" cy="432000"/>
        </a:xfrm>
        <a:prstGeom prst="rect">
          <a:avLst/>
        </a:prstGeom>
        <a:solidFill>
          <a:srgbClr val="00A9D8"/>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a:solidFill>
                <a:schemeClr val="bg1"/>
              </a:solidFill>
              <a:latin typeface="Arial" panose="020B0604020202020204" pitchFamily="34" charset="0"/>
              <a:cs typeface="Arial" panose="020B0604020202020204" pitchFamily="34" charset="0"/>
            </a:rPr>
            <a:t>VIEW</a:t>
          </a:r>
          <a:r>
            <a:rPr lang="en-US" sz="1100" b="1" baseline="0">
              <a:solidFill>
                <a:schemeClr val="bg1"/>
              </a:solidFill>
              <a:latin typeface="Arial" panose="020B0604020202020204" pitchFamily="34" charset="0"/>
              <a:cs typeface="Arial" panose="020B0604020202020204" pitchFamily="34" charset="0"/>
            </a:rPr>
            <a:t> SUMMARY</a:t>
          </a:r>
          <a:endParaRPr lang="en-US" sz="1100" b="1">
            <a:solidFill>
              <a:schemeClr val="bg1"/>
            </a:solidFill>
            <a:latin typeface="Arial" panose="020B0604020202020204" pitchFamily="34" charset="0"/>
            <a:cs typeface="Arial" panose="020B0604020202020204" pitchFamily="34" charset="0"/>
          </a:endParaRPr>
        </a:p>
      </xdr:txBody>
    </xdr:sp>
    <xdr:clientData/>
  </xdr:twoCellAnchor>
  <xdr:twoCellAnchor editAs="oneCell">
    <xdr:from>
      <xdr:col>16</xdr:col>
      <xdr:colOff>349250</xdr:colOff>
      <xdr:row>21</xdr:row>
      <xdr:rowOff>19050</xdr:rowOff>
    </xdr:from>
    <xdr:to>
      <xdr:col>19</xdr:col>
      <xdr:colOff>190500</xdr:colOff>
      <xdr:row>22</xdr:row>
      <xdr:rowOff>95250</xdr:rowOff>
    </xdr:to>
    <xdr:sp macro="" textlink="">
      <xdr:nvSpPr>
        <xdr:cNvPr id="127" name="InvestmentHeading" hidden="1"/>
        <xdr:cNvSpPr txBox="1"/>
      </xdr:nvSpPr>
      <xdr:spPr>
        <a:xfrm>
          <a:off x="11436350" y="3778250"/>
          <a:ext cx="1670050" cy="2603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000" b="1" u="sng">
              <a:solidFill>
                <a:schemeClr val="tx1"/>
              </a:solidFill>
              <a:latin typeface="Arial" panose="020B0604020202020204" pitchFamily="34" charset="0"/>
              <a:cs typeface="Arial" panose="020B0604020202020204" pitchFamily="34" charset="0"/>
            </a:rPr>
            <a:t>Duration details</a:t>
          </a:r>
        </a:p>
      </xdr:txBody>
    </xdr:sp>
    <xdr:clientData/>
  </xdr:twoCellAnchor>
  <xdr:twoCellAnchor editAs="oneCell">
    <xdr:from>
      <xdr:col>13</xdr:col>
      <xdr:colOff>539750</xdr:colOff>
      <xdr:row>21</xdr:row>
      <xdr:rowOff>19050</xdr:rowOff>
    </xdr:from>
    <xdr:to>
      <xdr:col>16</xdr:col>
      <xdr:colOff>381000</xdr:colOff>
      <xdr:row>22</xdr:row>
      <xdr:rowOff>95250</xdr:rowOff>
    </xdr:to>
    <xdr:sp macro="" textlink="">
      <xdr:nvSpPr>
        <xdr:cNvPr id="125" name="EfficiencyHeading" hidden="1"/>
        <xdr:cNvSpPr txBox="1"/>
      </xdr:nvSpPr>
      <xdr:spPr>
        <a:xfrm>
          <a:off x="9798050" y="3778250"/>
          <a:ext cx="1670050" cy="2603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000" b="1" u="sng">
              <a:solidFill>
                <a:schemeClr val="tx1"/>
              </a:solidFill>
              <a:latin typeface="Arial" panose="020B0604020202020204" pitchFamily="34" charset="0"/>
              <a:cs typeface="Arial" panose="020B0604020202020204" pitchFamily="34" charset="0"/>
            </a:rPr>
            <a:t>Effiiciency</a:t>
          </a:r>
          <a:r>
            <a:rPr lang="en-US" sz="1000" b="1" u="sng" baseline="0">
              <a:solidFill>
                <a:schemeClr val="tx1"/>
              </a:solidFill>
              <a:latin typeface="Arial" panose="020B0604020202020204" pitchFamily="34" charset="0"/>
              <a:cs typeface="Arial" panose="020B0604020202020204" pitchFamily="34" charset="0"/>
            </a:rPr>
            <a:t> details</a:t>
          </a:r>
          <a:endParaRPr lang="en-US" sz="1000" b="1" u="sng">
            <a:solidFill>
              <a:schemeClr val="tx1"/>
            </a:solidFill>
            <a:latin typeface="Arial" panose="020B0604020202020204" pitchFamily="34" charset="0"/>
            <a:cs typeface="Arial" panose="020B0604020202020204" pitchFamily="34" charset="0"/>
          </a:endParaRPr>
        </a:p>
      </xdr:txBody>
    </xdr:sp>
    <xdr:clientData/>
  </xdr:twoCellAnchor>
  <xdr:twoCellAnchor editAs="oneCell">
    <xdr:from>
      <xdr:col>10</xdr:col>
      <xdr:colOff>565150</xdr:colOff>
      <xdr:row>21</xdr:row>
      <xdr:rowOff>19050</xdr:rowOff>
    </xdr:from>
    <xdr:to>
      <xdr:col>13</xdr:col>
      <xdr:colOff>406400</xdr:colOff>
      <xdr:row>22</xdr:row>
      <xdr:rowOff>95250</xdr:rowOff>
    </xdr:to>
    <xdr:sp macro="" textlink="">
      <xdr:nvSpPr>
        <xdr:cNvPr id="124" name="EnergyHeading" hidden="1"/>
        <xdr:cNvSpPr txBox="1"/>
      </xdr:nvSpPr>
      <xdr:spPr>
        <a:xfrm>
          <a:off x="7994650" y="3778250"/>
          <a:ext cx="1670050" cy="2603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000" b="1" u="sng">
              <a:solidFill>
                <a:schemeClr val="tx1"/>
              </a:solidFill>
              <a:latin typeface="Arial" panose="020B0604020202020204" pitchFamily="34" charset="0"/>
              <a:cs typeface="Arial" panose="020B0604020202020204" pitchFamily="34" charset="0"/>
            </a:rPr>
            <a:t>Energy</a:t>
          </a:r>
          <a:r>
            <a:rPr lang="en-US" sz="1000" b="1" u="sng" baseline="0">
              <a:solidFill>
                <a:schemeClr val="tx1"/>
              </a:solidFill>
              <a:latin typeface="Arial" panose="020B0604020202020204" pitchFamily="34" charset="0"/>
              <a:cs typeface="Arial" panose="020B0604020202020204" pitchFamily="34" charset="0"/>
            </a:rPr>
            <a:t> Source Details</a:t>
          </a:r>
          <a:endParaRPr lang="en-US" sz="1000" b="1" u="sng">
            <a:solidFill>
              <a:schemeClr val="tx1"/>
            </a:solidFill>
            <a:latin typeface="Arial" panose="020B0604020202020204" pitchFamily="34" charset="0"/>
            <a:cs typeface="Arial" panose="020B0604020202020204" pitchFamily="34" charset="0"/>
          </a:endParaRPr>
        </a:p>
      </xdr:txBody>
    </xdr:sp>
    <xdr:clientData/>
  </xdr:twoCellAnchor>
  <xdr:twoCellAnchor editAs="oneCell">
    <xdr:from>
      <xdr:col>7</xdr:col>
      <xdr:colOff>552450</xdr:colOff>
      <xdr:row>21</xdr:row>
      <xdr:rowOff>19050</xdr:rowOff>
    </xdr:from>
    <xdr:to>
      <xdr:col>10</xdr:col>
      <xdr:colOff>393700</xdr:colOff>
      <xdr:row>22</xdr:row>
      <xdr:rowOff>95250</xdr:rowOff>
    </xdr:to>
    <xdr:sp macro="" textlink="">
      <xdr:nvSpPr>
        <xdr:cNvPr id="123" name="EnergyUserDescription" hidden="1"/>
        <xdr:cNvSpPr txBox="1"/>
      </xdr:nvSpPr>
      <xdr:spPr>
        <a:xfrm>
          <a:off x="6153150" y="3778250"/>
          <a:ext cx="1670050" cy="2603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000" b="1" u="sng">
              <a:solidFill>
                <a:schemeClr val="tx1"/>
              </a:solidFill>
              <a:latin typeface="Arial" panose="020B0604020202020204" pitchFamily="34" charset="0"/>
              <a:cs typeface="Arial" panose="020B0604020202020204" pitchFamily="34" charset="0"/>
            </a:rPr>
            <a:t>Large Energy User</a:t>
          </a:r>
        </a:p>
      </xdr:txBody>
    </xdr:sp>
    <xdr:clientData/>
  </xdr:twoCellAnchor>
  <xdr:twoCellAnchor editAs="oneCell">
    <xdr:from>
      <xdr:col>5</xdr:col>
      <xdr:colOff>330200</xdr:colOff>
      <xdr:row>21</xdr:row>
      <xdr:rowOff>25400</xdr:rowOff>
    </xdr:from>
    <xdr:to>
      <xdr:col>7</xdr:col>
      <xdr:colOff>222250</xdr:colOff>
      <xdr:row>22</xdr:row>
      <xdr:rowOff>101600</xdr:rowOff>
    </xdr:to>
    <xdr:sp macro="" textlink="">
      <xdr:nvSpPr>
        <xdr:cNvPr id="121" name="TOUHeading" hidden="1"/>
        <xdr:cNvSpPr txBox="1"/>
      </xdr:nvSpPr>
      <xdr:spPr>
        <a:xfrm>
          <a:off x="4711700" y="3784600"/>
          <a:ext cx="1111250" cy="2603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000" b="1" u="sng">
              <a:solidFill>
                <a:schemeClr val="tx1"/>
              </a:solidFill>
              <a:latin typeface="Arial" panose="020B0604020202020204" pitchFamily="34" charset="0"/>
              <a:cs typeface="Arial" panose="020B0604020202020204" pitchFamily="34" charset="0"/>
            </a:rPr>
            <a:t>Tariff Details</a:t>
          </a:r>
        </a:p>
      </xdr:txBody>
    </xdr:sp>
    <xdr:clientData/>
  </xdr:twoCellAnchor>
  <xdr:twoCellAnchor editAs="oneCell">
    <xdr:from>
      <xdr:col>16</xdr:col>
      <xdr:colOff>377682</xdr:colOff>
      <xdr:row>22</xdr:row>
      <xdr:rowOff>155385</xdr:rowOff>
    </xdr:from>
    <xdr:to>
      <xdr:col>19</xdr:col>
      <xdr:colOff>174769</xdr:colOff>
      <xdr:row>33</xdr:row>
      <xdr:rowOff>85916</xdr:rowOff>
    </xdr:to>
    <xdr:sp macro="" textlink="">
      <xdr:nvSpPr>
        <xdr:cNvPr id="120" name="InvestmentDescription" hidden="1"/>
        <xdr:cNvSpPr txBox="1"/>
      </xdr:nvSpPr>
      <xdr:spPr>
        <a:xfrm>
          <a:off x="11464782" y="4098735"/>
          <a:ext cx="1625887" cy="19561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b="0">
              <a:solidFill>
                <a:schemeClr val="tx1"/>
              </a:solidFill>
              <a:latin typeface="Arial" panose="020B0604020202020204" pitchFamily="34" charset="0"/>
              <a:cs typeface="Arial" panose="020B0604020202020204" pitchFamily="34" charset="0"/>
            </a:rPr>
            <a:t>Battery storage provides benefits over the entire lifetime of the system.</a:t>
          </a:r>
        </a:p>
        <a:p>
          <a:endParaRPr lang="en-US" sz="1000" b="0">
            <a:solidFill>
              <a:schemeClr val="tx1"/>
            </a:solidFill>
            <a:latin typeface="Arial" panose="020B0604020202020204" pitchFamily="34" charset="0"/>
            <a:cs typeface="Arial" panose="020B0604020202020204" pitchFamily="34" charset="0"/>
          </a:endParaRPr>
        </a:p>
        <a:p>
          <a:r>
            <a:rPr lang="en-US" sz="1000" b="0">
              <a:solidFill>
                <a:schemeClr val="tx1"/>
              </a:solidFill>
              <a:latin typeface="Arial" panose="020B0604020202020204" pitchFamily="34" charset="0"/>
              <a:cs typeface="Arial" panose="020B0604020202020204" pitchFamily="34" charset="0"/>
            </a:rPr>
            <a:t>Provided that the system is built to last, longer durations are more likely to pay back.</a:t>
          </a:r>
        </a:p>
        <a:p>
          <a:endParaRPr lang="en-US" sz="1000" b="0">
            <a:solidFill>
              <a:schemeClr val="tx1"/>
            </a:solidFill>
            <a:latin typeface="Arial" panose="020B0604020202020204" pitchFamily="34" charset="0"/>
            <a:cs typeface="Arial" panose="020B0604020202020204" pitchFamily="34" charset="0"/>
          </a:endParaRPr>
        </a:p>
        <a:p>
          <a:r>
            <a:rPr lang="en-US" sz="1000" b="0">
              <a:solidFill>
                <a:schemeClr val="tx1"/>
              </a:solidFill>
              <a:latin typeface="Arial" panose="020B0604020202020204" pitchFamily="34" charset="0"/>
              <a:cs typeface="Arial" panose="020B0604020202020204" pitchFamily="34" charset="0"/>
            </a:rPr>
            <a:t>The default value is the answer selected in the questionnaire.</a:t>
          </a:r>
        </a:p>
      </xdr:txBody>
    </xdr:sp>
    <xdr:clientData/>
  </xdr:twoCellAnchor>
  <xdr:twoCellAnchor>
    <xdr:from>
      <xdr:col>5</xdr:col>
      <xdr:colOff>311427</xdr:colOff>
      <xdr:row>42</xdr:row>
      <xdr:rowOff>47487</xdr:rowOff>
    </xdr:from>
    <xdr:to>
      <xdr:col>26</xdr:col>
      <xdr:colOff>209826</xdr:colOff>
      <xdr:row>45</xdr:row>
      <xdr:rowOff>66260</xdr:rowOff>
    </xdr:to>
    <xdr:sp macro="" textlink="">
      <xdr:nvSpPr>
        <xdr:cNvPr id="77" name="Rectangle 76"/>
        <xdr:cNvSpPr/>
      </xdr:nvSpPr>
      <xdr:spPr>
        <a:xfrm>
          <a:off x="736877" y="7305537"/>
          <a:ext cx="12699999" cy="571223"/>
        </a:xfrm>
        <a:prstGeom prst="rect">
          <a:avLst/>
        </a:prstGeom>
        <a:solidFill>
          <a:schemeClr val="bg1">
            <a:lumMod val="95000"/>
          </a:schemeClr>
        </a:solidFill>
        <a:ln>
          <a:solidFill>
            <a:schemeClr val="bg1">
              <a:lumMod val="9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horz" rtlCol="0" anchor="ctr"/>
        <a:lstStyle/>
        <a:p>
          <a:pPr algn="l"/>
          <a:r>
            <a:rPr lang="en-US" sz="1200">
              <a:solidFill>
                <a:schemeClr val="tx1"/>
              </a:solidFill>
              <a:latin typeface="Arial" panose="020B0604020202020204" pitchFamily="34" charset="0"/>
              <a:cs typeface="Arial" panose="020B0604020202020204" pitchFamily="34" charset="0"/>
            </a:rPr>
            <a:t>    Peak shaving may also be feasible, would you like to explore this option?</a:t>
          </a:r>
        </a:p>
      </xdr:txBody>
    </xdr:sp>
    <xdr:clientData/>
  </xdr:twoCellAnchor>
  <xdr:twoCellAnchor>
    <xdr:from>
      <xdr:col>5</xdr:col>
      <xdr:colOff>82827</xdr:colOff>
      <xdr:row>3</xdr:row>
      <xdr:rowOff>110433</xdr:rowOff>
    </xdr:from>
    <xdr:to>
      <xdr:col>26</xdr:col>
      <xdr:colOff>381277</xdr:colOff>
      <xdr:row>7</xdr:row>
      <xdr:rowOff>180283</xdr:rowOff>
    </xdr:to>
    <xdr:sp macro="" textlink="">
      <xdr:nvSpPr>
        <xdr:cNvPr id="6" name="TextBox 5"/>
        <xdr:cNvSpPr txBox="1"/>
      </xdr:nvSpPr>
      <xdr:spPr>
        <a:xfrm>
          <a:off x="690218" y="657085"/>
          <a:ext cx="13053668" cy="79872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lvl="1"/>
          <a:r>
            <a:rPr lang="en-US" sz="2800" b="1">
              <a:solidFill>
                <a:schemeClr val="tx1"/>
              </a:solidFill>
              <a:latin typeface="Arial" panose="020B0604020202020204" pitchFamily="34" charset="0"/>
              <a:cs typeface="Arial" panose="020B0604020202020204" pitchFamily="34" charset="0"/>
            </a:rPr>
            <a:t>		</a:t>
          </a:r>
          <a:r>
            <a:rPr lang="en-US" sz="2200" b="1">
              <a:solidFill>
                <a:schemeClr val="tx1"/>
              </a:solidFill>
              <a:latin typeface="Arial" panose="020B0604020202020204" pitchFamily="34" charset="0"/>
              <a:cs typeface="Arial" panose="020B0604020202020204" pitchFamily="34" charset="0"/>
            </a:rPr>
            <a:t>Battery storage for business: an investment decision tool</a:t>
          </a:r>
        </a:p>
      </xdr:txBody>
    </xdr:sp>
    <xdr:clientData/>
  </xdr:twoCellAnchor>
  <xdr:twoCellAnchor>
    <xdr:from>
      <xdr:col>7</xdr:col>
      <xdr:colOff>432076</xdr:colOff>
      <xdr:row>12</xdr:row>
      <xdr:rowOff>135282</xdr:rowOff>
    </xdr:from>
    <xdr:to>
      <xdr:col>7</xdr:col>
      <xdr:colOff>437598</xdr:colOff>
      <xdr:row>37</xdr:row>
      <xdr:rowOff>112247</xdr:rowOff>
    </xdr:to>
    <xdr:cxnSp macro="">
      <xdr:nvCxnSpPr>
        <xdr:cNvPr id="16" name="Straight Connector 15"/>
        <xdr:cNvCxnSpPr/>
      </xdr:nvCxnSpPr>
      <xdr:spPr>
        <a:xfrm flipH="1" flipV="1">
          <a:off x="6032776" y="2237132"/>
          <a:ext cx="5522" cy="4580715"/>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492539</xdr:colOff>
      <xdr:row>12</xdr:row>
      <xdr:rowOff>173382</xdr:rowOff>
    </xdr:from>
    <xdr:to>
      <xdr:col>10</xdr:col>
      <xdr:colOff>498061</xdr:colOff>
      <xdr:row>37</xdr:row>
      <xdr:rowOff>150347</xdr:rowOff>
    </xdr:to>
    <xdr:cxnSp macro="">
      <xdr:nvCxnSpPr>
        <xdr:cNvPr id="66" name="Straight Connector 65"/>
        <xdr:cNvCxnSpPr/>
      </xdr:nvCxnSpPr>
      <xdr:spPr>
        <a:xfrm flipH="1" flipV="1">
          <a:off x="5959061" y="1995556"/>
          <a:ext cx="5522" cy="453240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473765</xdr:colOff>
      <xdr:row>12</xdr:row>
      <xdr:rowOff>173382</xdr:rowOff>
    </xdr:from>
    <xdr:to>
      <xdr:col>13</xdr:col>
      <xdr:colOff>479287</xdr:colOff>
      <xdr:row>37</xdr:row>
      <xdr:rowOff>150347</xdr:rowOff>
    </xdr:to>
    <xdr:cxnSp macro="">
      <xdr:nvCxnSpPr>
        <xdr:cNvPr id="67" name="Straight Connector 66"/>
        <xdr:cNvCxnSpPr/>
      </xdr:nvCxnSpPr>
      <xdr:spPr>
        <a:xfrm flipH="1" flipV="1">
          <a:off x="7762461" y="1995556"/>
          <a:ext cx="5522" cy="453240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300382</xdr:colOff>
      <xdr:row>12</xdr:row>
      <xdr:rowOff>173382</xdr:rowOff>
    </xdr:from>
    <xdr:to>
      <xdr:col>16</xdr:col>
      <xdr:colOff>325782</xdr:colOff>
      <xdr:row>37</xdr:row>
      <xdr:rowOff>149087</xdr:rowOff>
    </xdr:to>
    <xdr:cxnSp macro="">
      <xdr:nvCxnSpPr>
        <xdr:cNvPr id="68" name="Straight Connector 67"/>
        <xdr:cNvCxnSpPr/>
      </xdr:nvCxnSpPr>
      <xdr:spPr>
        <a:xfrm flipH="1" flipV="1">
          <a:off x="9411252" y="1995556"/>
          <a:ext cx="25400" cy="45311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309218</xdr:colOff>
      <xdr:row>46</xdr:row>
      <xdr:rowOff>160131</xdr:rowOff>
    </xdr:from>
    <xdr:to>
      <xdr:col>26</xdr:col>
      <xdr:colOff>110435</xdr:colOff>
      <xdr:row>46</xdr:row>
      <xdr:rowOff>171174</xdr:rowOff>
    </xdr:to>
    <xdr:cxnSp macro="">
      <xdr:nvCxnSpPr>
        <xdr:cNvPr id="73" name="Straight Connector 72"/>
        <xdr:cNvCxnSpPr/>
      </xdr:nvCxnSpPr>
      <xdr:spPr>
        <a:xfrm>
          <a:off x="739914" y="8072783"/>
          <a:ext cx="12556434" cy="11043"/>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5</xdr:col>
      <xdr:colOff>292100</xdr:colOff>
      <xdr:row>4</xdr:row>
      <xdr:rowOff>31750</xdr:rowOff>
    </xdr:from>
    <xdr:to>
      <xdr:col>7</xdr:col>
      <xdr:colOff>284630</xdr:colOff>
      <xdr:row>7</xdr:row>
      <xdr:rowOff>65362</xdr:rowOff>
    </xdr:to>
    <xdr:pic>
      <xdr:nvPicPr>
        <xdr:cNvPr id="106" name="Picture 105"/>
        <xdr:cNvPicPr>
          <a:picLocks noChangeAspect="1"/>
        </xdr:cNvPicPr>
      </xdr:nvPicPr>
      <xdr:blipFill>
        <a:blip xmlns:r="http://schemas.openxmlformats.org/officeDocument/2006/relationships" r:embed="rId1"/>
        <a:stretch>
          <a:fillRect/>
        </a:stretch>
      </xdr:blipFill>
      <xdr:spPr>
        <a:xfrm>
          <a:off x="4845050" y="768350"/>
          <a:ext cx="1211729" cy="586062"/>
        </a:xfrm>
        <a:prstGeom prst="rect">
          <a:avLst/>
        </a:prstGeom>
      </xdr:spPr>
    </xdr:pic>
    <xdr:clientData/>
  </xdr:twoCellAnchor>
  <xdr:twoCellAnchor editAs="oneCell">
    <xdr:from>
      <xdr:col>5</xdr:col>
      <xdr:colOff>222250</xdr:colOff>
      <xdr:row>8</xdr:row>
      <xdr:rowOff>114300</xdr:rowOff>
    </xdr:from>
    <xdr:to>
      <xdr:col>11</xdr:col>
      <xdr:colOff>349250</xdr:colOff>
      <xdr:row>10</xdr:row>
      <xdr:rowOff>88900</xdr:rowOff>
    </xdr:to>
    <xdr:sp macro="" textlink="">
      <xdr:nvSpPr>
        <xdr:cNvPr id="105" name="Heading"/>
        <xdr:cNvSpPr txBox="1"/>
      </xdr:nvSpPr>
      <xdr:spPr>
        <a:xfrm>
          <a:off x="647700" y="1079500"/>
          <a:ext cx="3784600" cy="330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solidFill>
                <a:schemeClr val="tx1"/>
              </a:solidFill>
              <a:latin typeface="Arial" panose="020B0604020202020204" pitchFamily="34" charset="0"/>
              <a:cs typeface="Arial" panose="020B0604020202020204" pitchFamily="34" charset="0"/>
            </a:rPr>
            <a:t>STEP 2</a:t>
          </a:r>
          <a:r>
            <a:rPr lang="en-US" sz="1600" b="1" baseline="0">
              <a:solidFill>
                <a:schemeClr val="tx1"/>
              </a:solidFill>
              <a:latin typeface="Arial" panose="020B0604020202020204" pitchFamily="34" charset="0"/>
              <a:cs typeface="Arial" panose="020B0604020202020204" pitchFamily="34" charset="0"/>
            </a:rPr>
            <a:t>   Customise</a:t>
          </a:r>
          <a:endParaRPr lang="en-US" sz="1600" b="1">
            <a:solidFill>
              <a:schemeClr val="tx1"/>
            </a:solidFill>
            <a:latin typeface="Arial" panose="020B0604020202020204" pitchFamily="34" charset="0"/>
            <a:cs typeface="Arial" panose="020B0604020202020204" pitchFamily="34" charset="0"/>
          </a:endParaRPr>
        </a:p>
      </xdr:txBody>
    </xdr:sp>
    <xdr:clientData/>
  </xdr:twoCellAnchor>
  <xdr:twoCellAnchor editAs="oneCell">
    <xdr:from>
      <xdr:col>5</xdr:col>
      <xdr:colOff>241300</xdr:colOff>
      <xdr:row>10</xdr:row>
      <xdr:rowOff>88900</xdr:rowOff>
    </xdr:from>
    <xdr:to>
      <xdr:col>19</xdr:col>
      <xdr:colOff>6350</xdr:colOff>
      <xdr:row>13</xdr:row>
      <xdr:rowOff>57150</xdr:rowOff>
    </xdr:to>
    <xdr:sp macro="" textlink="">
      <xdr:nvSpPr>
        <xdr:cNvPr id="107" name="Heading"/>
        <xdr:cNvSpPr txBox="1"/>
      </xdr:nvSpPr>
      <xdr:spPr>
        <a:xfrm>
          <a:off x="666750" y="1409700"/>
          <a:ext cx="8299450" cy="501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0">
              <a:solidFill>
                <a:schemeClr val="tx1"/>
              </a:solidFill>
              <a:latin typeface="Arial" panose="020B0604020202020204" pitchFamily="34" charset="0"/>
              <a:cs typeface="Arial" panose="020B0604020202020204" pitchFamily="34" charset="0"/>
            </a:rPr>
            <a:t>Below you can choose to</a:t>
          </a:r>
          <a:r>
            <a:rPr lang="en-US" sz="1200" b="0" baseline="0">
              <a:solidFill>
                <a:schemeClr val="tx1"/>
              </a:solidFill>
              <a:latin typeface="Arial" panose="020B0604020202020204" pitchFamily="34" charset="0"/>
              <a:cs typeface="Arial" panose="020B0604020202020204" pitchFamily="34" charset="0"/>
            </a:rPr>
            <a:t> edit details to be more specific to your site, explore a peak shaving option or skip to view the summary page. </a:t>
          </a:r>
          <a:r>
            <a:rPr lang="en-US" sz="1200" b="1" baseline="0">
              <a:solidFill>
                <a:schemeClr val="tx1"/>
              </a:solidFill>
              <a:latin typeface="Arial" panose="020B0604020202020204" pitchFamily="34" charset="0"/>
              <a:cs typeface="Arial" panose="020B0604020202020204" pitchFamily="34" charset="0"/>
            </a:rPr>
            <a:t> </a:t>
          </a:r>
          <a:endParaRPr lang="en-US" sz="1200" b="1">
            <a:solidFill>
              <a:schemeClr val="tx1"/>
            </a:solidFill>
            <a:latin typeface="Arial" panose="020B0604020202020204" pitchFamily="34" charset="0"/>
            <a:cs typeface="Arial" panose="020B0604020202020204" pitchFamily="34" charset="0"/>
          </a:endParaRPr>
        </a:p>
      </xdr:txBody>
    </xdr:sp>
    <xdr:clientData/>
  </xdr:twoCellAnchor>
  <xdr:twoCellAnchor editAs="oneCell">
    <xdr:from>
      <xdr:col>5</xdr:col>
      <xdr:colOff>266700</xdr:colOff>
      <xdr:row>13</xdr:row>
      <xdr:rowOff>19050</xdr:rowOff>
    </xdr:from>
    <xdr:to>
      <xdr:col>7</xdr:col>
      <xdr:colOff>488950</xdr:colOff>
      <xdr:row>15</xdr:row>
      <xdr:rowOff>158750</xdr:rowOff>
    </xdr:to>
    <xdr:sp macro="" textlink="">
      <xdr:nvSpPr>
        <xdr:cNvPr id="108" name="Heading"/>
        <xdr:cNvSpPr txBox="1"/>
      </xdr:nvSpPr>
      <xdr:spPr>
        <a:xfrm>
          <a:off x="692150" y="1873250"/>
          <a:ext cx="1441450" cy="501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solidFill>
                <a:schemeClr val="tx1"/>
              </a:solidFill>
              <a:latin typeface="Arial" panose="020B0604020202020204" pitchFamily="34" charset="0"/>
              <a:cs typeface="Arial" panose="020B0604020202020204" pitchFamily="34" charset="0"/>
            </a:rPr>
            <a:t>Time of use tariff details</a:t>
          </a:r>
        </a:p>
      </xdr:txBody>
    </xdr:sp>
    <xdr:clientData/>
  </xdr:twoCellAnchor>
  <xdr:twoCellAnchor editAs="oneCell">
    <xdr:from>
      <xdr:col>7</xdr:col>
      <xdr:colOff>584200</xdr:colOff>
      <xdr:row>13</xdr:row>
      <xdr:rowOff>19050</xdr:rowOff>
    </xdr:from>
    <xdr:to>
      <xdr:col>10</xdr:col>
      <xdr:colOff>387350</xdr:colOff>
      <xdr:row>15</xdr:row>
      <xdr:rowOff>158750</xdr:rowOff>
    </xdr:to>
    <xdr:sp macro="" textlink="">
      <xdr:nvSpPr>
        <xdr:cNvPr id="109" name="Heading"/>
        <xdr:cNvSpPr txBox="1"/>
      </xdr:nvSpPr>
      <xdr:spPr>
        <a:xfrm>
          <a:off x="2228850" y="1873250"/>
          <a:ext cx="1631950" cy="501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solidFill>
                <a:schemeClr val="tx1"/>
              </a:solidFill>
              <a:latin typeface="Arial" panose="020B0604020202020204" pitchFamily="34" charset="0"/>
              <a:cs typeface="Arial" panose="020B0604020202020204" pitchFamily="34" charset="0"/>
            </a:rPr>
            <a:t>Energy tariff details</a:t>
          </a:r>
        </a:p>
      </xdr:txBody>
    </xdr:sp>
    <xdr:clientData/>
  </xdr:twoCellAnchor>
  <xdr:twoCellAnchor editAs="oneCell">
    <xdr:from>
      <xdr:col>11</xdr:col>
      <xdr:colOff>63500</xdr:colOff>
      <xdr:row>13</xdr:row>
      <xdr:rowOff>19050</xdr:rowOff>
    </xdr:from>
    <xdr:to>
      <xdr:col>13</xdr:col>
      <xdr:colOff>469900</xdr:colOff>
      <xdr:row>15</xdr:row>
      <xdr:rowOff>158750</xdr:rowOff>
    </xdr:to>
    <xdr:sp macro="" textlink="">
      <xdr:nvSpPr>
        <xdr:cNvPr id="110" name="Heading"/>
        <xdr:cNvSpPr txBox="1"/>
      </xdr:nvSpPr>
      <xdr:spPr>
        <a:xfrm>
          <a:off x="4146550" y="1873250"/>
          <a:ext cx="1625600" cy="501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solidFill>
                <a:schemeClr val="tx1"/>
              </a:solidFill>
              <a:latin typeface="Arial" panose="020B0604020202020204" pitchFamily="34" charset="0"/>
              <a:cs typeface="Arial" panose="020B0604020202020204" pitchFamily="34" charset="0"/>
            </a:rPr>
            <a:t>Energy</a:t>
          </a:r>
          <a:r>
            <a:rPr lang="en-US" sz="1200" b="1" baseline="0">
              <a:solidFill>
                <a:schemeClr val="tx1"/>
              </a:solidFill>
              <a:latin typeface="Arial" panose="020B0604020202020204" pitchFamily="34" charset="0"/>
              <a:cs typeface="Arial" panose="020B0604020202020204" pitchFamily="34" charset="0"/>
            </a:rPr>
            <a:t> source to charge</a:t>
          </a:r>
          <a:endParaRPr lang="en-US" sz="1200" b="1">
            <a:solidFill>
              <a:schemeClr val="tx1"/>
            </a:solidFill>
            <a:latin typeface="Arial" panose="020B0604020202020204" pitchFamily="34" charset="0"/>
            <a:cs typeface="Arial" panose="020B0604020202020204" pitchFamily="34" charset="0"/>
          </a:endParaRPr>
        </a:p>
      </xdr:txBody>
    </xdr:sp>
    <xdr:clientData/>
  </xdr:twoCellAnchor>
  <xdr:twoCellAnchor editAs="oneCell">
    <xdr:from>
      <xdr:col>13</xdr:col>
      <xdr:colOff>577850</xdr:colOff>
      <xdr:row>13</xdr:row>
      <xdr:rowOff>19050</xdr:rowOff>
    </xdr:from>
    <xdr:to>
      <xdr:col>16</xdr:col>
      <xdr:colOff>298450</xdr:colOff>
      <xdr:row>16</xdr:row>
      <xdr:rowOff>57150</xdr:rowOff>
    </xdr:to>
    <xdr:sp macro="" textlink="">
      <xdr:nvSpPr>
        <xdr:cNvPr id="111" name="Heading"/>
        <xdr:cNvSpPr txBox="1"/>
      </xdr:nvSpPr>
      <xdr:spPr>
        <a:xfrm>
          <a:off x="5880100" y="1873250"/>
          <a:ext cx="1549400" cy="584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solidFill>
                <a:schemeClr val="tx1"/>
              </a:solidFill>
              <a:latin typeface="Arial" panose="020B0604020202020204" pitchFamily="34" charset="0"/>
              <a:cs typeface="Arial" panose="020B0604020202020204" pitchFamily="34" charset="0"/>
            </a:rPr>
            <a:t>Storage</a:t>
          </a:r>
          <a:r>
            <a:rPr lang="en-US" sz="1200" b="1" baseline="0">
              <a:solidFill>
                <a:schemeClr val="tx1"/>
              </a:solidFill>
              <a:latin typeface="Arial" panose="020B0604020202020204" pitchFamily="34" charset="0"/>
              <a:cs typeface="Arial" panose="020B0604020202020204" pitchFamily="34" charset="0"/>
            </a:rPr>
            <a:t> efficiency</a:t>
          </a:r>
          <a:r>
            <a:rPr lang="en-US" sz="1100" b="1" baseline="0">
              <a:solidFill>
                <a:schemeClr val="dk1"/>
              </a:solidFill>
              <a:effectLst/>
              <a:latin typeface="Arial" panose="020B0604020202020204" pitchFamily="34" charset="0"/>
              <a:ea typeface="+mn-ea"/>
              <a:cs typeface="Arial" panose="020B0604020202020204" pitchFamily="34" charset="0"/>
            </a:rPr>
            <a:t/>
          </a:r>
          <a:br>
            <a:rPr lang="en-US" sz="1100" b="1" baseline="0">
              <a:solidFill>
                <a:schemeClr val="dk1"/>
              </a:solidFill>
              <a:effectLst/>
              <a:latin typeface="Arial" panose="020B0604020202020204" pitchFamily="34" charset="0"/>
              <a:ea typeface="+mn-ea"/>
              <a:cs typeface="Arial" panose="020B0604020202020204" pitchFamily="34" charset="0"/>
            </a:rPr>
          </a:br>
          <a:endParaRPr lang="en-US" sz="200" b="1" baseline="0">
            <a:solidFill>
              <a:schemeClr val="dk1"/>
            </a:solidFill>
            <a:effectLst/>
            <a:latin typeface="Arial" panose="020B0604020202020204" pitchFamily="34" charset="0"/>
            <a:ea typeface="+mn-ea"/>
            <a:cs typeface="Arial" panose="020B0604020202020204" pitchFamily="34" charset="0"/>
          </a:endParaRPr>
        </a:p>
        <a:p>
          <a:endParaRPr lang="en-US" sz="200" b="1" baseline="0">
            <a:solidFill>
              <a:schemeClr val="dk1"/>
            </a:solidFill>
            <a:effectLst/>
            <a:latin typeface="Arial" panose="020B0604020202020204" pitchFamily="34" charset="0"/>
            <a:ea typeface="+mn-ea"/>
            <a:cs typeface="Arial" panose="020B0604020202020204" pitchFamily="34" charset="0"/>
          </a:endParaRPr>
        </a:p>
        <a:p>
          <a:endParaRPr lang="en-US" sz="200" b="1" baseline="0">
            <a:solidFill>
              <a:schemeClr val="dk1"/>
            </a:solidFill>
            <a:effectLst/>
            <a:latin typeface="Arial" panose="020B0604020202020204" pitchFamily="34" charset="0"/>
            <a:ea typeface="+mn-ea"/>
            <a:cs typeface="Arial" panose="020B0604020202020204" pitchFamily="34" charset="0"/>
          </a:endParaRPr>
        </a:p>
        <a:p>
          <a:r>
            <a:rPr lang="en-US" sz="1100" b="0" baseline="0">
              <a:solidFill>
                <a:schemeClr val="dk1"/>
              </a:solidFill>
              <a:effectLst/>
              <a:latin typeface="Arial" panose="020B0604020202020204" pitchFamily="34" charset="0"/>
              <a:ea typeface="+mn-ea"/>
              <a:cs typeface="Arial" panose="020B0604020202020204" pitchFamily="34" charset="0"/>
            </a:rPr>
            <a:t>Round trip efficiency</a:t>
          </a:r>
          <a:endParaRPr lang="en-US" sz="1200" b="0">
            <a:solidFill>
              <a:schemeClr val="tx1"/>
            </a:solidFill>
            <a:latin typeface="Arial" panose="020B0604020202020204" pitchFamily="34" charset="0"/>
            <a:cs typeface="Arial" panose="020B0604020202020204" pitchFamily="34" charset="0"/>
          </a:endParaRPr>
        </a:p>
      </xdr:txBody>
    </xdr:sp>
    <xdr:clientData/>
  </xdr:twoCellAnchor>
  <xdr:twoCellAnchor editAs="oneCell">
    <xdr:from>
      <xdr:col>16</xdr:col>
      <xdr:colOff>457200</xdr:colOff>
      <xdr:row>13</xdr:row>
      <xdr:rowOff>19050</xdr:rowOff>
    </xdr:from>
    <xdr:to>
      <xdr:col>20</xdr:col>
      <xdr:colOff>6350</xdr:colOff>
      <xdr:row>17</xdr:row>
      <xdr:rowOff>107950</xdr:rowOff>
    </xdr:to>
    <xdr:sp macro="" textlink="">
      <xdr:nvSpPr>
        <xdr:cNvPr id="112" name="Heading"/>
        <xdr:cNvSpPr txBox="1"/>
      </xdr:nvSpPr>
      <xdr:spPr>
        <a:xfrm>
          <a:off x="7588250" y="1873250"/>
          <a:ext cx="1987550" cy="8191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ct val="100000"/>
            </a:lnSpc>
          </a:pPr>
          <a:r>
            <a:rPr lang="en-US" sz="1200" b="1">
              <a:solidFill>
                <a:schemeClr val="tx1"/>
              </a:solidFill>
              <a:latin typeface="Arial" panose="020B0604020202020204" pitchFamily="34" charset="0"/>
              <a:cs typeface="Arial" panose="020B0604020202020204" pitchFamily="34" charset="0"/>
            </a:rPr>
            <a:t>Investment</a:t>
          </a:r>
          <a:r>
            <a:rPr lang="en-US" sz="1200" b="1" baseline="0">
              <a:solidFill>
                <a:schemeClr val="tx1"/>
              </a:solidFill>
              <a:latin typeface="Arial" panose="020B0604020202020204" pitchFamily="34" charset="0"/>
              <a:cs typeface="Arial" panose="020B0604020202020204" pitchFamily="34" charset="0"/>
            </a:rPr>
            <a:t> duration</a:t>
          </a:r>
          <a:r>
            <a:rPr lang="en-US" sz="1100" b="1" baseline="0">
              <a:solidFill>
                <a:schemeClr val="tx1"/>
              </a:solidFill>
              <a:latin typeface="Arial" panose="020B0604020202020204" pitchFamily="34" charset="0"/>
              <a:cs typeface="Arial" panose="020B0604020202020204" pitchFamily="34" charset="0"/>
            </a:rPr>
            <a:t/>
          </a:r>
          <a:br>
            <a:rPr lang="en-US" sz="1100" b="1" baseline="0">
              <a:solidFill>
                <a:schemeClr val="tx1"/>
              </a:solidFill>
              <a:latin typeface="Arial" panose="020B0604020202020204" pitchFamily="34" charset="0"/>
              <a:cs typeface="Arial" panose="020B0604020202020204" pitchFamily="34" charset="0"/>
            </a:rPr>
          </a:br>
          <a:r>
            <a:rPr lang="en-US" sz="200" b="1" baseline="0">
              <a:solidFill>
                <a:schemeClr val="tx1"/>
              </a:solidFill>
              <a:latin typeface="Arial" panose="020B0604020202020204" pitchFamily="34" charset="0"/>
              <a:cs typeface="Arial" panose="020B0604020202020204" pitchFamily="34" charset="0"/>
            </a:rPr>
            <a:t/>
          </a:r>
          <a:br>
            <a:rPr lang="en-US" sz="200" b="1" baseline="0">
              <a:solidFill>
                <a:schemeClr val="tx1"/>
              </a:solidFill>
              <a:latin typeface="Arial" panose="020B0604020202020204" pitchFamily="34" charset="0"/>
              <a:cs typeface="Arial" panose="020B0604020202020204" pitchFamily="34" charset="0"/>
            </a:rPr>
          </a:br>
          <a:r>
            <a:rPr lang="en-US" sz="200" b="1" baseline="0">
              <a:solidFill>
                <a:schemeClr val="tx1"/>
              </a:solidFill>
              <a:latin typeface="Arial" panose="020B0604020202020204" pitchFamily="34" charset="0"/>
              <a:cs typeface="Arial" panose="020B0604020202020204" pitchFamily="34" charset="0"/>
            </a:rPr>
            <a:t/>
          </a:r>
          <a:br>
            <a:rPr lang="en-US" sz="200" b="1" baseline="0">
              <a:solidFill>
                <a:schemeClr val="tx1"/>
              </a:solidFill>
              <a:latin typeface="Arial" panose="020B0604020202020204" pitchFamily="34" charset="0"/>
              <a:cs typeface="Arial" panose="020B0604020202020204" pitchFamily="34" charset="0"/>
            </a:rPr>
          </a:br>
          <a:r>
            <a:rPr lang="en-US" sz="200" b="1" baseline="0">
              <a:solidFill>
                <a:schemeClr val="tx1"/>
              </a:solidFill>
              <a:latin typeface="Arial" panose="020B0604020202020204" pitchFamily="34" charset="0"/>
              <a:cs typeface="Arial" panose="020B0604020202020204" pitchFamily="34" charset="0"/>
            </a:rPr>
            <a:t/>
          </a:r>
          <a:br>
            <a:rPr lang="en-US" sz="200" b="1" baseline="0">
              <a:solidFill>
                <a:schemeClr val="tx1"/>
              </a:solidFill>
              <a:latin typeface="Arial" panose="020B0604020202020204" pitchFamily="34" charset="0"/>
              <a:cs typeface="Arial" panose="020B0604020202020204" pitchFamily="34" charset="0"/>
            </a:rPr>
          </a:br>
          <a:r>
            <a:rPr lang="en-US" sz="1050" b="0" baseline="0">
              <a:solidFill>
                <a:schemeClr val="tx1"/>
              </a:solidFill>
              <a:latin typeface="Arial" panose="020B0604020202020204" pitchFamily="34" charset="0"/>
              <a:cs typeface="Arial" panose="020B0604020202020204" pitchFamily="34" charset="0"/>
            </a:rPr>
            <a:t>What simple payback duration do you deem </a:t>
          </a:r>
          <a:r>
            <a:rPr lang="en-US" sz="1100" b="0" baseline="0">
              <a:solidFill>
                <a:schemeClr val="tx1"/>
              </a:solidFill>
              <a:latin typeface="Arial" panose="020B0604020202020204" pitchFamily="34" charset="0"/>
              <a:cs typeface="Arial" panose="020B0604020202020204" pitchFamily="34" charset="0"/>
            </a:rPr>
            <a:t>acceptable?</a:t>
          </a:r>
          <a:endParaRPr lang="en-US" sz="1200" b="1">
            <a:solidFill>
              <a:schemeClr val="tx1"/>
            </a:solidFill>
            <a:latin typeface="Arial" panose="020B0604020202020204" pitchFamily="34" charset="0"/>
            <a:cs typeface="Arial" panose="020B0604020202020204" pitchFamily="34" charset="0"/>
          </a:endParaRPr>
        </a:p>
      </xdr:txBody>
    </xdr:sp>
    <xdr:clientData/>
  </xdr:twoCellAnchor>
  <mc:AlternateContent xmlns:mc="http://schemas.openxmlformats.org/markup-compatibility/2006">
    <mc:Choice xmlns:a14="http://schemas.microsoft.com/office/drawing/2010/main" Requires="a14">
      <xdr:twoCellAnchor editAs="oneCell">
        <xdr:from>
          <xdr:col>14</xdr:col>
          <xdr:colOff>76200</xdr:colOff>
          <xdr:row>17</xdr:row>
          <xdr:rowOff>0</xdr:rowOff>
        </xdr:from>
        <xdr:to>
          <xdr:col>16</xdr:col>
          <xdr:colOff>142875</xdr:colOff>
          <xdr:row>18</xdr:row>
          <xdr:rowOff>66675</xdr:rowOff>
        </xdr:to>
        <xdr:sp macro="" textlink="">
          <xdr:nvSpPr>
            <xdr:cNvPr id="26737" name="StorageDropDown" hidden="1">
              <a:extLst>
                <a:ext uri="{63B3BB69-23CF-44E3-9099-C40C66FF867C}">
                  <a14:compatExt spid="_x0000_s2673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17</xdr:row>
          <xdr:rowOff>0</xdr:rowOff>
        </xdr:from>
        <xdr:to>
          <xdr:col>19</xdr:col>
          <xdr:colOff>66675</xdr:colOff>
          <xdr:row>18</xdr:row>
          <xdr:rowOff>66675</xdr:rowOff>
        </xdr:to>
        <xdr:sp macro="" textlink="">
          <xdr:nvSpPr>
            <xdr:cNvPr id="26739" name="InvestmentDropDown" hidden="1">
              <a:extLst>
                <a:ext uri="{63B3BB69-23CF-44E3-9099-C40C66FF867C}">
                  <a14:compatExt spid="_x0000_s2673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247650</xdr:colOff>
          <xdr:row>16</xdr:row>
          <xdr:rowOff>133350</xdr:rowOff>
        </xdr:from>
        <xdr:to>
          <xdr:col>7</xdr:col>
          <xdr:colOff>352425</xdr:colOff>
          <xdr:row>19</xdr:row>
          <xdr:rowOff>19050</xdr:rowOff>
        </xdr:to>
        <xdr:sp macro="" textlink="">
          <xdr:nvSpPr>
            <xdr:cNvPr id="26740" name="TOUListBox" hidden="1">
              <a:extLst>
                <a:ext uri="{63B3BB69-23CF-44E3-9099-C40C66FF867C}">
                  <a14:compatExt spid="_x0000_s2674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16</xdr:row>
          <xdr:rowOff>133350</xdr:rowOff>
        </xdr:from>
        <xdr:to>
          <xdr:col>10</xdr:col>
          <xdr:colOff>409575</xdr:colOff>
          <xdr:row>19</xdr:row>
          <xdr:rowOff>19050</xdr:rowOff>
        </xdr:to>
        <xdr:sp macro="" textlink="">
          <xdr:nvSpPr>
            <xdr:cNvPr id="26741" name="TariffListBox" hidden="1">
              <a:extLst>
                <a:ext uri="{63B3BB69-23CF-44E3-9099-C40C66FF867C}">
                  <a14:compatExt spid="_x0000_s2674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66675</xdr:colOff>
          <xdr:row>16</xdr:row>
          <xdr:rowOff>133350</xdr:rowOff>
        </xdr:from>
        <xdr:to>
          <xdr:col>13</xdr:col>
          <xdr:colOff>390525</xdr:colOff>
          <xdr:row>19</xdr:row>
          <xdr:rowOff>19050</xdr:rowOff>
        </xdr:to>
        <xdr:sp macro="" textlink="">
          <xdr:nvSpPr>
            <xdr:cNvPr id="26742" name="EnergySourceListBox" hidden="1">
              <a:extLst>
                <a:ext uri="{63B3BB69-23CF-44E3-9099-C40C66FF867C}">
                  <a14:compatExt spid="_x0000_s2674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409575</xdr:colOff>
          <xdr:row>24</xdr:row>
          <xdr:rowOff>85725</xdr:rowOff>
        </xdr:from>
        <xdr:to>
          <xdr:col>10</xdr:col>
          <xdr:colOff>123825</xdr:colOff>
          <xdr:row>25</xdr:row>
          <xdr:rowOff>142875</xdr:rowOff>
        </xdr:to>
        <xdr:sp macro="" textlink="">
          <xdr:nvSpPr>
            <xdr:cNvPr id="26744" name="SpinnerPeak" hidden="1">
              <a:extLst>
                <a:ext uri="{63B3BB69-23CF-44E3-9099-C40C66FF867C}">
                  <a14:compatExt spid="_x0000_s26744"/>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419100</xdr:colOff>
          <xdr:row>28</xdr:row>
          <xdr:rowOff>0</xdr:rowOff>
        </xdr:from>
        <xdr:to>
          <xdr:col>10</xdr:col>
          <xdr:colOff>142875</xdr:colOff>
          <xdr:row>29</xdr:row>
          <xdr:rowOff>66675</xdr:rowOff>
        </xdr:to>
        <xdr:sp macro="" textlink="">
          <xdr:nvSpPr>
            <xdr:cNvPr id="26750" name="SpinnerShoulder" hidden="1">
              <a:extLst>
                <a:ext uri="{63B3BB69-23CF-44E3-9099-C40C66FF867C}">
                  <a14:compatExt spid="_x0000_s2675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419100</xdr:colOff>
          <xdr:row>32</xdr:row>
          <xdr:rowOff>0</xdr:rowOff>
        </xdr:from>
        <xdr:to>
          <xdr:col>10</xdr:col>
          <xdr:colOff>142875</xdr:colOff>
          <xdr:row>33</xdr:row>
          <xdr:rowOff>66675</xdr:rowOff>
        </xdr:to>
        <xdr:sp macro="" textlink="">
          <xdr:nvSpPr>
            <xdr:cNvPr id="26751" name="SpinnerOffPeak" hidden="1">
              <a:extLst>
                <a:ext uri="{63B3BB69-23CF-44E3-9099-C40C66FF867C}">
                  <a14:compatExt spid="_x0000_s26751"/>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8</xdr:col>
      <xdr:colOff>292100</xdr:colOff>
      <xdr:row>22</xdr:row>
      <xdr:rowOff>177800</xdr:rowOff>
    </xdr:from>
    <xdr:to>
      <xdr:col>10</xdr:col>
      <xdr:colOff>139700</xdr:colOff>
      <xdr:row>24</xdr:row>
      <xdr:rowOff>31750</xdr:rowOff>
    </xdr:to>
    <xdr:sp macro="" textlink="">
      <xdr:nvSpPr>
        <xdr:cNvPr id="86" name="CustomPeakLabel" hidden="1"/>
        <xdr:cNvSpPr txBox="1"/>
      </xdr:nvSpPr>
      <xdr:spPr>
        <a:xfrm>
          <a:off x="6502400" y="4121150"/>
          <a:ext cx="1066800" cy="222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b="0">
              <a:solidFill>
                <a:schemeClr val="tx1"/>
              </a:solidFill>
              <a:latin typeface="Arial" panose="020B0604020202020204" pitchFamily="34" charset="0"/>
              <a:cs typeface="Arial" panose="020B0604020202020204" pitchFamily="34" charset="0"/>
            </a:rPr>
            <a:t>Peak</a:t>
          </a:r>
          <a:r>
            <a:rPr lang="en-US" sz="1000" b="0" baseline="0">
              <a:solidFill>
                <a:schemeClr val="tx1"/>
              </a:solidFill>
              <a:latin typeface="Arial" panose="020B0604020202020204" pitchFamily="34" charset="0"/>
              <a:cs typeface="Arial" panose="020B0604020202020204" pitchFamily="34" charset="0"/>
            </a:rPr>
            <a:t> ($/kWh)</a:t>
          </a:r>
          <a:endParaRPr lang="en-US" sz="1000" b="0">
            <a:solidFill>
              <a:schemeClr val="tx1"/>
            </a:solidFill>
            <a:latin typeface="Arial" panose="020B0604020202020204" pitchFamily="34" charset="0"/>
            <a:cs typeface="Arial" panose="020B0604020202020204" pitchFamily="34" charset="0"/>
          </a:endParaRPr>
        </a:p>
      </xdr:txBody>
    </xdr:sp>
    <xdr:clientData/>
  </xdr:twoCellAnchor>
  <xdr:twoCellAnchor editAs="oneCell">
    <xdr:from>
      <xdr:col>8</xdr:col>
      <xdr:colOff>247650</xdr:colOff>
      <xdr:row>26</xdr:row>
      <xdr:rowOff>101600</xdr:rowOff>
    </xdr:from>
    <xdr:to>
      <xdr:col>10</xdr:col>
      <xdr:colOff>393700</xdr:colOff>
      <xdr:row>27</xdr:row>
      <xdr:rowOff>139700</xdr:rowOff>
    </xdr:to>
    <xdr:sp macro="" textlink="">
      <xdr:nvSpPr>
        <xdr:cNvPr id="87" name="CustomShoulderLabel" hidden="1"/>
        <xdr:cNvSpPr txBox="1"/>
      </xdr:nvSpPr>
      <xdr:spPr>
        <a:xfrm>
          <a:off x="6457950" y="4781550"/>
          <a:ext cx="1365250" cy="222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b="0">
              <a:solidFill>
                <a:schemeClr val="tx1"/>
              </a:solidFill>
              <a:latin typeface="Arial" panose="020B0604020202020204" pitchFamily="34" charset="0"/>
              <a:cs typeface="Arial" panose="020B0604020202020204" pitchFamily="34" charset="0"/>
            </a:rPr>
            <a:t>Shoulder</a:t>
          </a:r>
          <a:r>
            <a:rPr lang="en-US" sz="1000" b="0" baseline="0">
              <a:solidFill>
                <a:schemeClr val="tx1"/>
              </a:solidFill>
              <a:latin typeface="Arial" panose="020B0604020202020204" pitchFamily="34" charset="0"/>
              <a:cs typeface="Arial" panose="020B0604020202020204" pitchFamily="34" charset="0"/>
            </a:rPr>
            <a:t> ($/kWh)</a:t>
          </a:r>
          <a:endParaRPr lang="en-US" sz="1000" b="0">
            <a:solidFill>
              <a:schemeClr val="tx1"/>
            </a:solidFill>
            <a:latin typeface="Arial" panose="020B0604020202020204" pitchFamily="34" charset="0"/>
            <a:cs typeface="Arial" panose="020B0604020202020204" pitchFamily="34" charset="0"/>
          </a:endParaRPr>
        </a:p>
      </xdr:txBody>
    </xdr:sp>
    <xdr:clientData/>
  </xdr:twoCellAnchor>
  <xdr:twoCellAnchor editAs="oneCell">
    <xdr:from>
      <xdr:col>8</xdr:col>
      <xdr:colOff>234950</xdr:colOff>
      <xdr:row>30</xdr:row>
      <xdr:rowOff>76200</xdr:rowOff>
    </xdr:from>
    <xdr:to>
      <xdr:col>10</xdr:col>
      <xdr:colOff>381000</xdr:colOff>
      <xdr:row>31</xdr:row>
      <xdr:rowOff>114300</xdr:rowOff>
    </xdr:to>
    <xdr:sp macro="" textlink="">
      <xdr:nvSpPr>
        <xdr:cNvPr id="88" name="CustomOffPeakLabel" hidden="1"/>
        <xdr:cNvSpPr txBox="1"/>
      </xdr:nvSpPr>
      <xdr:spPr>
        <a:xfrm>
          <a:off x="6445250" y="5492750"/>
          <a:ext cx="1365250" cy="222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b="0">
              <a:solidFill>
                <a:schemeClr val="tx1"/>
              </a:solidFill>
              <a:latin typeface="Arial" panose="020B0604020202020204" pitchFamily="34" charset="0"/>
              <a:cs typeface="Arial" panose="020B0604020202020204" pitchFamily="34" charset="0"/>
            </a:rPr>
            <a:t>Off-peak</a:t>
          </a:r>
          <a:r>
            <a:rPr lang="en-US" sz="1000" b="0" baseline="0">
              <a:solidFill>
                <a:schemeClr val="tx1"/>
              </a:solidFill>
              <a:latin typeface="Arial" panose="020B0604020202020204" pitchFamily="34" charset="0"/>
              <a:cs typeface="Arial" panose="020B0604020202020204" pitchFamily="34" charset="0"/>
            </a:rPr>
            <a:t> ($/kWh)</a:t>
          </a:r>
          <a:endParaRPr lang="en-US" sz="1000" b="0">
            <a:solidFill>
              <a:schemeClr val="tx1"/>
            </a:solidFill>
            <a:latin typeface="Arial" panose="020B0604020202020204" pitchFamily="34" charset="0"/>
            <a:cs typeface="Arial" panose="020B0604020202020204" pitchFamily="34" charset="0"/>
          </a:endParaRPr>
        </a:p>
      </xdr:txBody>
    </xdr:sp>
    <xdr:clientData/>
  </xdr:twoCellAnchor>
  <xdr:twoCellAnchor editAs="oneCell">
    <xdr:from>
      <xdr:col>5</xdr:col>
      <xdr:colOff>542925</xdr:colOff>
      <xdr:row>23</xdr:row>
      <xdr:rowOff>31750</xdr:rowOff>
    </xdr:from>
    <xdr:to>
      <xdr:col>6</xdr:col>
      <xdr:colOff>574675</xdr:colOff>
      <xdr:row>24</xdr:row>
      <xdr:rowOff>69850</xdr:rowOff>
    </xdr:to>
    <xdr:sp macro="" textlink="">
      <xdr:nvSpPr>
        <xdr:cNvPr id="89" name="TOUPeakLabel" hidden="1"/>
        <xdr:cNvSpPr txBox="1"/>
      </xdr:nvSpPr>
      <xdr:spPr>
        <a:xfrm>
          <a:off x="4924425" y="4159250"/>
          <a:ext cx="641350" cy="222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000" b="0">
              <a:solidFill>
                <a:schemeClr val="tx1"/>
              </a:solidFill>
              <a:latin typeface="Arial" panose="020B0604020202020204" pitchFamily="34" charset="0"/>
              <a:cs typeface="Arial" panose="020B0604020202020204" pitchFamily="34" charset="0"/>
            </a:rPr>
            <a:t>Peak</a:t>
          </a:r>
          <a:r>
            <a:rPr lang="en-US" sz="1000" b="0" baseline="0">
              <a:solidFill>
                <a:schemeClr val="tx1"/>
              </a:solidFill>
              <a:latin typeface="Arial" panose="020B0604020202020204" pitchFamily="34" charset="0"/>
              <a:cs typeface="Arial" panose="020B0604020202020204" pitchFamily="34" charset="0"/>
            </a:rPr>
            <a:t> </a:t>
          </a:r>
          <a:endParaRPr lang="en-US" sz="1000" b="0">
            <a:solidFill>
              <a:schemeClr val="tx1"/>
            </a:solidFill>
            <a:latin typeface="Arial" panose="020B0604020202020204" pitchFamily="34" charset="0"/>
            <a:cs typeface="Arial" panose="020B0604020202020204" pitchFamily="34" charset="0"/>
          </a:endParaRPr>
        </a:p>
      </xdr:txBody>
    </xdr:sp>
    <xdr:clientData/>
  </xdr:twoCellAnchor>
  <xdr:twoCellAnchor editAs="oneCell">
    <xdr:from>
      <xdr:col>5</xdr:col>
      <xdr:colOff>454025</xdr:colOff>
      <xdr:row>26</xdr:row>
      <xdr:rowOff>152400</xdr:rowOff>
    </xdr:from>
    <xdr:to>
      <xdr:col>7</xdr:col>
      <xdr:colOff>66675</xdr:colOff>
      <xdr:row>28</xdr:row>
      <xdr:rowOff>6350</xdr:rowOff>
    </xdr:to>
    <xdr:sp macro="" textlink="">
      <xdr:nvSpPr>
        <xdr:cNvPr id="90" name="TOUShoulderLabel" hidden="1"/>
        <xdr:cNvSpPr txBox="1"/>
      </xdr:nvSpPr>
      <xdr:spPr>
        <a:xfrm>
          <a:off x="4835525" y="4832350"/>
          <a:ext cx="831850" cy="222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000" b="0">
              <a:solidFill>
                <a:schemeClr val="tx1"/>
              </a:solidFill>
              <a:latin typeface="Arial" panose="020B0604020202020204" pitchFamily="34" charset="0"/>
              <a:cs typeface="Arial" panose="020B0604020202020204" pitchFamily="34" charset="0"/>
            </a:rPr>
            <a:t>Shoulder</a:t>
          </a:r>
          <a:r>
            <a:rPr lang="en-US" sz="1000" b="0" baseline="0">
              <a:solidFill>
                <a:schemeClr val="tx1"/>
              </a:solidFill>
              <a:latin typeface="Arial" panose="020B0604020202020204" pitchFamily="34" charset="0"/>
              <a:cs typeface="Arial" panose="020B0604020202020204" pitchFamily="34" charset="0"/>
            </a:rPr>
            <a:t> </a:t>
          </a:r>
          <a:endParaRPr lang="en-US" sz="1000" b="0">
            <a:solidFill>
              <a:schemeClr val="tx1"/>
            </a:solidFill>
            <a:latin typeface="Arial" panose="020B0604020202020204" pitchFamily="34" charset="0"/>
            <a:cs typeface="Arial" panose="020B0604020202020204" pitchFamily="34" charset="0"/>
          </a:endParaRPr>
        </a:p>
      </xdr:txBody>
    </xdr:sp>
    <xdr:clientData/>
  </xdr:twoCellAnchor>
  <xdr:twoCellAnchor editAs="oneCell">
    <xdr:from>
      <xdr:col>5</xdr:col>
      <xdr:colOff>463550</xdr:colOff>
      <xdr:row>30</xdr:row>
      <xdr:rowOff>88900</xdr:rowOff>
    </xdr:from>
    <xdr:to>
      <xdr:col>7</xdr:col>
      <xdr:colOff>44450</xdr:colOff>
      <xdr:row>31</xdr:row>
      <xdr:rowOff>127000</xdr:rowOff>
    </xdr:to>
    <xdr:sp macro="" textlink="">
      <xdr:nvSpPr>
        <xdr:cNvPr id="91" name="TOUOffPeakLabel" hidden="1"/>
        <xdr:cNvSpPr txBox="1"/>
      </xdr:nvSpPr>
      <xdr:spPr>
        <a:xfrm>
          <a:off x="4845050" y="5505450"/>
          <a:ext cx="800100" cy="222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000" b="0">
              <a:solidFill>
                <a:schemeClr val="tx1"/>
              </a:solidFill>
              <a:latin typeface="Arial" panose="020B0604020202020204" pitchFamily="34" charset="0"/>
              <a:cs typeface="Arial" panose="020B0604020202020204" pitchFamily="34" charset="0"/>
            </a:rPr>
            <a:t>Off-peak</a:t>
          </a:r>
          <a:r>
            <a:rPr lang="en-US" sz="1000" b="0" baseline="0">
              <a:solidFill>
                <a:schemeClr val="tx1"/>
              </a:solidFill>
              <a:latin typeface="Arial" panose="020B0604020202020204" pitchFamily="34" charset="0"/>
              <a:cs typeface="Arial" panose="020B0604020202020204" pitchFamily="34" charset="0"/>
            </a:rPr>
            <a:t> </a:t>
          </a:r>
          <a:endParaRPr lang="en-US" sz="1000" b="0">
            <a:solidFill>
              <a:schemeClr val="tx1"/>
            </a:solidFill>
            <a:latin typeface="Arial" panose="020B0604020202020204" pitchFamily="34" charset="0"/>
            <a:cs typeface="Arial" panose="020B0604020202020204" pitchFamily="34" charset="0"/>
          </a:endParaRPr>
        </a:p>
      </xdr:txBody>
    </xdr:sp>
    <xdr:clientData/>
  </xdr:twoCellAnchor>
  <xdr:twoCellAnchor editAs="oneCell">
    <xdr:from>
      <xdr:col>5</xdr:col>
      <xdr:colOff>336550</xdr:colOff>
      <xdr:row>24</xdr:row>
      <xdr:rowOff>57150</xdr:rowOff>
    </xdr:from>
    <xdr:to>
      <xdr:col>7</xdr:col>
      <xdr:colOff>247650</xdr:colOff>
      <xdr:row>26</xdr:row>
      <xdr:rowOff>152400</xdr:rowOff>
    </xdr:to>
    <xdr:sp macro="" textlink="">
      <xdr:nvSpPr>
        <xdr:cNvPr id="93" name="PeakTimeText" hidden="1"/>
        <xdr:cNvSpPr txBox="1"/>
      </xdr:nvSpPr>
      <xdr:spPr>
        <a:xfrm>
          <a:off x="4718050" y="4368800"/>
          <a:ext cx="1130300" cy="463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000" b="1">
              <a:solidFill>
                <a:schemeClr val="tx1"/>
              </a:solidFill>
              <a:latin typeface="Arial" panose="020B0604020202020204" pitchFamily="34" charset="0"/>
              <a:cs typeface="Arial" panose="020B0604020202020204" pitchFamily="34" charset="0"/>
            </a:rPr>
            <a:t>2-8pm (Weekdays)</a:t>
          </a:r>
        </a:p>
      </xdr:txBody>
    </xdr:sp>
    <xdr:clientData/>
  </xdr:twoCellAnchor>
  <xdr:twoCellAnchor editAs="oneCell">
    <xdr:from>
      <xdr:col>5</xdr:col>
      <xdr:colOff>441324</xdr:colOff>
      <xdr:row>27</xdr:row>
      <xdr:rowOff>177800</xdr:rowOff>
    </xdr:from>
    <xdr:to>
      <xdr:col>7</xdr:col>
      <xdr:colOff>69850</xdr:colOff>
      <xdr:row>30</xdr:row>
      <xdr:rowOff>63500</xdr:rowOff>
    </xdr:to>
    <xdr:sp macro="" textlink="">
      <xdr:nvSpPr>
        <xdr:cNvPr id="94" name="ShoulderTimeText" hidden="1"/>
        <xdr:cNvSpPr txBox="1"/>
      </xdr:nvSpPr>
      <xdr:spPr>
        <a:xfrm>
          <a:off x="866774" y="4673600"/>
          <a:ext cx="847726" cy="4381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000" b="1">
              <a:solidFill>
                <a:schemeClr val="tx1"/>
              </a:solidFill>
              <a:latin typeface="Arial" panose="020B0604020202020204" pitchFamily="34" charset="0"/>
              <a:cs typeface="Arial" panose="020B0604020202020204" pitchFamily="34" charset="0"/>
            </a:rPr>
            <a:t>9am-2pm , 8-10pm</a:t>
          </a:r>
          <a:endParaRPr lang="en-US" sz="1000" b="0">
            <a:solidFill>
              <a:schemeClr val="tx1"/>
            </a:solidFill>
            <a:latin typeface="Arial" panose="020B0604020202020204" pitchFamily="34" charset="0"/>
            <a:cs typeface="Arial" panose="020B0604020202020204" pitchFamily="34" charset="0"/>
          </a:endParaRPr>
        </a:p>
      </xdr:txBody>
    </xdr:sp>
    <xdr:clientData/>
  </xdr:twoCellAnchor>
  <xdr:twoCellAnchor editAs="oneCell">
    <xdr:from>
      <xdr:col>5</xdr:col>
      <xdr:colOff>330200</xdr:colOff>
      <xdr:row>31</xdr:row>
      <xdr:rowOff>114300</xdr:rowOff>
    </xdr:from>
    <xdr:to>
      <xdr:col>7</xdr:col>
      <xdr:colOff>254000</xdr:colOff>
      <xdr:row>33</xdr:row>
      <xdr:rowOff>133350</xdr:rowOff>
    </xdr:to>
    <xdr:sp macro="" textlink="">
      <xdr:nvSpPr>
        <xdr:cNvPr id="95" name="OffPeakTimeText" hidden="1"/>
        <xdr:cNvSpPr txBox="1"/>
      </xdr:nvSpPr>
      <xdr:spPr>
        <a:xfrm>
          <a:off x="4711700" y="5715000"/>
          <a:ext cx="1143000" cy="3873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000" b="1" baseline="0">
              <a:solidFill>
                <a:schemeClr val="tx1"/>
              </a:solidFill>
              <a:latin typeface="Arial" panose="020B0604020202020204" pitchFamily="34" charset="0"/>
              <a:cs typeface="Arial" panose="020B0604020202020204" pitchFamily="34" charset="0"/>
            </a:rPr>
            <a:t>10pm-9am</a:t>
          </a:r>
          <a:endParaRPr lang="en-US" sz="1000" b="1">
            <a:solidFill>
              <a:schemeClr val="tx1"/>
            </a:solidFill>
            <a:latin typeface="Arial" panose="020B0604020202020204" pitchFamily="34" charset="0"/>
            <a:cs typeface="Arial" panose="020B0604020202020204" pitchFamily="34" charset="0"/>
          </a:endParaRPr>
        </a:p>
      </xdr:txBody>
    </xdr:sp>
    <xdr:clientData/>
  </xdr:twoCellAnchor>
  <xdr:oneCellAnchor>
    <xdr:from>
      <xdr:col>3</xdr:col>
      <xdr:colOff>254000</xdr:colOff>
      <xdr:row>42</xdr:row>
      <xdr:rowOff>69850</xdr:rowOff>
    </xdr:from>
    <xdr:ext cx="184731" cy="264560"/>
    <xdr:sp macro="" textlink="">
      <xdr:nvSpPr>
        <xdr:cNvPr id="2" name="TextBox 1"/>
        <xdr:cNvSpPr txBox="1"/>
      </xdr:nvSpPr>
      <xdr:spPr>
        <a:xfrm>
          <a:off x="3594100" y="7696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twoCellAnchor>
    <xdr:from>
      <xdr:col>8</xdr:col>
      <xdr:colOff>219076</xdr:colOff>
      <xdr:row>31</xdr:row>
      <xdr:rowOff>177800</xdr:rowOff>
    </xdr:from>
    <xdr:to>
      <xdr:col>9</xdr:col>
      <xdr:colOff>327025</xdr:colOff>
      <xdr:row>33</xdr:row>
      <xdr:rowOff>59910</xdr:rowOff>
    </xdr:to>
    <xdr:sp macro="" textlink="">
      <xdr:nvSpPr>
        <xdr:cNvPr id="98" name="CustomOffPeakButton" hidden="1"/>
        <xdr:cNvSpPr/>
      </xdr:nvSpPr>
      <xdr:spPr>
        <a:xfrm>
          <a:off x="6429376" y="5778500"/>
          <a:ext cx="717549" cy="250410"/>
        </a:xfrm>
        <a:prstGeom prst="rect">
          <a:avLst/>
        </a:prstGeom>
        <a:solidFill>
          <a:schemeClr val="bg1">
            <a:lumMod val="95000"/>
          </a:schemeClr>
        </a:solidFill>
        <a:ln>
          <a:solidFill>
            <a:schemeClr val="bg1">
              <a:lumMod val="9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horz" rtlCol="0" anchor="ctr"/>
        <a:lstStyle/>
        <a:p>
          <a:pPr algn="ctr"/>
          <a:r>
            <a:rPr lang="en-US" sz="1000">
              <a:solidFill>
                <a:srgbClr xmlns:mc="http://schemas.openxmlformats.org/markup-compatibility/2006" xmlns:a14="http://schemas.microsoft.com/office/drawing/2010/main" val="808080" mc:Ignorable="a14" a14:legacySpreadsheetColorIndex="23"/>
              </a:solidFill>
              <a:latin typeface="Arial" panose="020B0604020202020204" pitchFamily="34" charset="0"/>
              <a:cs typeface="Arial" panose="020B0604020202020204" pitchFamily="34" charset="0"/>
            </a:rPr>
            <a:t>$0.1232</a:t>
          </a:r>
        </a:p>
      </xdr:txBody>
    </xdr:sp>
    <xdr:clientData/>
  </xdr:twoCellAnchor>
  <xdr:twoCellAnchor>
    <xdr:from>
      <xdr:col>8</xdr:col>
      <xdr:colOff>219076</xdr:colOff>
      <xdr:row>28</xdr:row>
      <xdr:rowOff>6350</xdr:rowOff>
    </xdr:from>
    <xdr:to>
      <xdr:col>9</xdr:col>
      <xdr:colOff>327025</xdr:colOff>
      <xdr:row>29</xdr:row>
      <xdr:rowOff>72610</xdr:rowOff>
    </xdr:to>
    <xdr:sp macro="" textlink="">
      <xdr:nvSpPr>
        <xdr:cNvPr id="99" name="CustomShoulderButton" hidden="1"/>
        <xdr:cNvSpPr/>
      </xdr:nvSpPr>
      <xdr:spPr>
        <a:xfrm>
          <a:off x="6429376" y="5054600"/>
          <a:ext cx="717549" cy="250410"/>
        </a:xfrm>
        <a:prstGeom prst="rect">
          <a:avLst/>
        </a:prstGeom>
        <a:solidFill>
          <a:schemeClr val="bg1">
            <a:lumMod val="95000"/>
          </a:schemeClr>
        </a:solidFill>
        <a:ln>
          <a:solidFill>
            <a:schemeClr val="bg1">
              <a:lumMod val="9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horz" rtlCol="0" anchor="ctr"/>
        <a:lstStyle/>
        <a:p>
          <a:pPr algn="ctr"/>
          <a:r>
            <a:rPr lang="en-US" sz="1000">
              <a:solidFill>
                <a:srgbClr xmlns:mc="http://schemas.openxmlformats.org/markup-compatibility/2006" xmlns:a14="http://schemas.microsoft.com/office/drawing/2010/main" val="808080" mc:Ignorable="a14" a14:legacySpreadsheetColorIndex="23"/>
              </a:solidFill>
              <a:latin typeface="Arial" panose="020B0604020202020204" pitchFamily="34" charset="0"/>
              <a:cs typeface="Arial" panose="020B0604020202020204" pitchFamily="34" charset="0"/>
            </a:rPr>
            <a:t>$0.209</a:t>
          </a:r>
        </a:p>
      </xdr:txBody>
    </xdr:sp>
    <xdr:clientData/>
  </xdr:twoCellAnchor>
  <xdr:twoCellAnchor>
    <xdr:from>
      <xdr:col>8</xdr:col>
      <xdr:colOff>219076</xdr:colOff>
      <xdr:row>24</xdr:row>
      <xdr:rowOff>95250</xdr:rowOff>
    </xdr:from>
    <xdr:to>
      <xdr:col>9</xdr:col>
      <xdr:colOff>327025</xdr:colOff>
      <xdr:row>25</xdr:row>
      <xdr:rowOff>161510</xdr:rowOff>
    </xdr:to>
    <xdr:sp macro="" textlink="">
      <xdr:nvSpPr>
        <xdr:cNvPr id="100" name="CustomPeakButton" hidden="1"/>
        <xdr:cNvSpPr/>
      </xdr:nvSpPr>
      <xdr:spPr>
        <a:xfrm>
          <a:off x="6429376" y="4406900"/>
          <a:ext cx="717549" cy="250410"/>
        </a:xfrm>
        <a:prstGeom prst="rect">
          <a:avLst/>
        </a:prstGeom>
        <a:solidFill>
          <a:schemeClr val="bg1">
            <a:lumMod val="95000"/>
          </a:schemeClr>
        </a:solidFill>
        <a:ln>
          <a:solidFill>
            <a:schemeClr val="bg1">
              <a:lumMod val="9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horz" rtlCol="0" anchor="ctr"/>
        <a:lstStyle/>
        <a:p>
          <a:pPr algn="ctr"/>
          <a:r>
            <a:rPr lang="en-US" sz="1000">
              <a:solidFill>
                <a:srgbClr xmlns:mc="http://schemas.openxmlformats.org/markup-compatibility/2006" xmlns:a14="http://schemas.microsoft.com/office/drawing/2010/main" val="808080" mc:Ignorable="a14" a14:legacySpreadsheetColorIndex="23"/>
              </a:solidFill>
              <a:latin typeface="Arial" panose="020B0604020202020204" pitchFamily="34" charset="0"/>
              <a:cs typeface="Arial" panose="020B0604020202020204" pitchFamily="34" charset="0"/>
            </a:rPr>
            <a:t>$0.286</a:t>
          </a:r>
        </a:p>
      </xdr:txBody>
    </xdr:sp>
    <xdr:clientData/>
  </xdr:twoCellAnchor>
  <xdr:twoCellAnchor editAs="oneCell">
    <xdr:from>
      <xdr:col>11</xdr:col>
      <xdr:colOff>528637</xdr:colOff>
      <xdr:row>27</xdr:row>
      <xdr:rowOff>177800</xdr:rowOff>
    </xdr:from>
    <xdr:to>
      <xdr:col>12</xdr:col>
      <xdr:colOff>387037</xdr:colOff>
      <xdr:row>28</xdr:row>
      <xdr:rowOff>173650</xdr:rowOff>
    </xdr:to>
    <xdr:sp macro="" textlink="">
      <xdr:nvSpPr>
        <xdr:cNvPr id="101" name="CyclesWeekday" hidden="1"/>
        <xdr:cNvSpPr txBox="1"/>
      </xdr:nvSpPr>
      <xdr:spPr>
        <a:xfrm>
          <a:off x="8567737" y="5041900"/>
          <a:ext cx="468000" cy="180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a:solidFill>
                <a:schemeClr val="tx1"/>
              </a:solidFill>
              <a:latin typeface="Arial" panose="020B0604020202020204" pitchFamily="34" charset="0"/>
              <a:cs typeface="Arial" panose="020B0604020202020204" pitchFamily="34" charset="0"/>
            </a:rPr>
            <a:t>5</a:t>
          </a:r>
        </a:p>
      </xdr:txBody>
    </xdr:sp>
    <xdr:clientData/>
  </xdr:twoCellAnchor>
  <xdr:twoCellAnchor editAs="oneCell">
    <xdr:from>
      <xdr:col>11</xdr:col>
      <xdr:colOff>528637</xdr:colOff>
      <xdr:row>30</xdr:row>
      <xdr:rowOff>69850</xdr:rowOff>
    </xdr:from>
    <xdr:to>
      <xdr:col>12</xdr:col>
      <xdr:colOff>387037</xdr:colOff>
      <xdr:row>31</xdr:row>
      <xdr:rowOff>65700</xdr:rowOff>
    </xdr:to>
    <xdr:sp macro="" textlink="">
      <xdr:nvSpPr>
        <xdr:cNvPr id="102" name="CyclesWeekend" hidden="1"/>
        <xdr:cNvSpPr txBox="1"/>
      </xdr:nvSpPr>
      <xdr:spPr>
        <a:xfrm>
          <a:off x="8567737" y="5486400"/>
          <a:ext cx="468000" cy="180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a:solidFill>
                <a:schemeClr val="tx1"/>
              </a:solidFill>
              <a:latin typeface="Arial" panose="020B0604020202020204" pitchFamily="34" charset="0"/>
              <a:cs typeface="Arial" panose="020B0604020202020204" pitchFamily="34" charset="0"/>
            </a:rPr>
            <a:t>2</a:t>
          </a:r>
          <a:endParaRPr lang="en-US" sz="1100" b="0">
            <a:solidFill>
              <a:schemeClr val="tx1"/>
            </a:solidFill>
            <a:latin typeface="Arial" panose="020B0604020202020204" pitchFamily="34" charset="0"/>
            <a:cs typeface="Arial" panose="020B0604020202020204" pitchFamily="34" charset="0"/>
          </a:endParaRPr>
        </a:p>
      </xdr:txBody>
    </xdr:sp>
    <xdr:clientData/>
  </xdr:twoCellAnchor>
  <xdr:twoCellAnchor editAs="oneCell">
    <xdr:from>
      <xdr:col>11</xdr:col>
      <xdr:colOff>528637</xdr:colOff>
      <xdr:row>32</xdr:row>
      <xdr:rowOff>139700</xdr:rowOff>
    </xdr:from>
    <xdr:to>
      <xdr:col>12</xdr:col>
      <xdr:colOff>387037</xdr:colOff>
      <xdr:row>33</xdr:row>
      <xdr:rowOff>135550</xdr:rowOff>
    </xdr:to>
    <xdr:sp macro="" textlink="">
      <xdr:nvSpPr>
        <xdr:cNvPr id="113" name="CyclesYear" hidden="1"/>
        <xdr:cNvSpPr txBox="1"/>
      </xdr:nvSpPr>
      <xdr:spPr>
        <a:xfrm>
          <a:off x="8567737" y="5924550"/>
          <a:ext cx="468000" cy="180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baseline="0">
              <a:solidFill>
                <a:schemeClr val="tx1"/>
              </a:solidFill>
              <a:latin typeface="Arial" panose="020B0604020202020204" pitchFamily="34" charset="0"/>
              <a:cs typeface="Arial" panose="020B0604020202020204" pitchFamily="34" charset="0"/>
            </a:rPr>
            <a:t>365</a:t>
          </a:r>
          <a:endParaRPr lang="en-US" sz="1100" b="1">
            <a:solidFill>
              <a:schemeClr val="tx1"/>
            </a:solidFill>
            <a:latin typeface="Arial" panose="020B0604020202020204" pitchFamily="34" charset="0"/>
            <a:cs typeface="Arial" panose="020B0604020202020204" pitchFamily="34" charset="0"/>
          </a:endParaRPr>
        </a:p>
      </xdr:txBody>
    </xdr:sp>
    <xdr:clientData/>
  </xdr:twoCellAnchor>
  <xdr:twoCellAnchor editAs="oneCell">
    <xdr:from>
      <xdr:col>10</xdr:col>
      <xdr:colOff>533400</xdr:colOff>
      <xdr:row>22</xdr:row>
      <xdr:rowOff>165100</xdr:rowOff>
    </xdr:from>
    <xdr:to>
      <xdr:col>13</xdr:col>
      <xdr:colOff>488950</xdr:colOff>
      <xdr:row>26</xdr:row>
      <xdr:rowOff>57150</xdr:rowOff>
    </xdr:to>
    <xdr:sp macro="" textlink="">
      <xdr:nvSpPr>
        <xdr:cNvPr id="114" name="EnergyDescription" hidden="1"/>
        <xdr:cNvSpPr txBox="1"/>
      </xdr:nvSpPr>
      <xdr:spPr>
        <a:xfrm>
          <a:off x="7962900" y="4108450"/>
          <a:ext cx="1784350" cy="628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b="0">
              <a:solidFill>
                <a:schemeClr val="tx1"/>
              </a:solidFill>
              <a:latin typeface="Arial" panose="020B0604020202020204" pitchFamily="34" charset="0"/>
              <a:cs typeface="Arial" panose="020B0604020202020204" pitchFamily="34" charset="0"/>
            </a:rPr>
            <a:t>Either solar power or off-peak grid power will be used to charge the battery.</a:t>
          </a:r>
        </a:p>
      </xdr:txBody>
    </xdr:sp>
    <xdr:clientData/>
  </xdr:twoCellAnchor>
  <xdr:twoCellAnchor editAs="oneCell">
    <xdr:from>
      <xdr:col>10</xdr:col>
      <xdr:colOff>504825</xdr:colOff>
      <xdr:row>26</xdr:row>
      <xdr:rowOff>88900</xdr:rowOff>
    </xdr:from>
    <xdr:to>
      <xdr:col>13</xdr:col>
      <xdr:colOff>508000</xdr:colOff>
      <xdr:row>27</xdr:row>
      <xdr:rowOff>127000</xdr:rowOff>
    </xdr:to>
    <xdr:sp macro="" textlink="">
      <xdr:nvSpPr>
        <xdr:cNvPr id="115" name="EnergyLabel1" hidden="1"/>
        <xdr:cNvSpPr txBox="1"/>
      </xdr:nvSpPr>
      <xdr:spPr>
        <a:xfrm>
          <a:off x="7934325" y="4768850"/>
          <a:ext cx="1831975" cy="222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000" b="0">
              <a:solidFill>
                <a:schemeClr val="tx1"/>
              </a:solidFill>
              <a:latin typeface="Arial" panose="020B0604020202020204" pitchFamily="34" charset="0"/>
              <a:cs typeface="Arial" panose="020B0604020202020204" pitchFamily="34" charset="0"/>
            </a:rPr>
            <a:t>Cycles per week - weekday:</a:t>
          </a:r>
        </a:p>
      </xdr:txBody>
    </xdr:sp>
    <xdr:clientData/>
  </xdr:twoCellAnchor>
  <xdr:twoCellAnchor editAs="oneCell">
    <xdr:from>
      <xdr:col>10</xdr:col>
      <xdr:colOff>504825</xdr:colOff>
      <xdr:row>29</xdr:row>
      <xdr:rowOff>6350</xdr:rowOff>
    </xdr:from>
    <xdr:to>
      <xdr:col>13</xdr:col>
      <xdr:colOff>508000</xdr:colOff>
      <xdr:row>30</xdr:row>
      <xdr:rowOff>44450</xdr:rowOff>
    </xdr:to>
    <xdr:sp macro="" textlink="">
      <xdr:nvSpPr>
        <xdr:cNvPr id="117" name="EnergyLabel2" hidden="1"/>
        <xdr:cNvSpPr txBox="1"/>
      </xdr:nvSpPr>
      <xdr:spPr>
        <a:xfrm>
          <a:off x="7934325" y="5238750"/>
          <a:ext cx="1831975" cy="222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000" b="0">
              <a:solidFill>
                <a:schemeClr val="tx1"/>
              </a:solidFill>
              <a:latin typeface="Arial" panose="020B0604020202020204" pitchFamily="34" charset="0"/>
              <a:cs typeface="Arial" panose="020B0604020202020204" pitchFamily="34" charset="0"/>
            </a:rPr>
            <a:t>Cycles per week - weekend:</a:t>
          </a:r>
        </a:p>
      </xdr:txBody>
    </xdr:sp>
    <xdr:clientData/>
  </xdr:twoCellAnchor>
  <xdr:twoCellAnchor editAs="oneCell">
    <xdr:from>
      <xdr:col>10</xdr:col>
      <xdr:colOff>504825</xdr:colOff>
      <xdr:row>31</xdr:row>
      <xdr:rowOff>76200</xdr:rowOff>
    </xdr:from>
    <xdr:to>
      <xdr:col>13</xdr:col>
      <xdr:colOff>508000</xdr:colOff>
      <xdr:row>32</xdr:row>
      <xdr:rowOff>114300</xdr:rowOff>
    </xdr:to>
    <xdr:sp macro="" textlink="">
      <xdr:nvSpPr>
        <xdr:cNvPr id="118" name="EnergyLabel3" hidden="1"/>
        <xdr:cNvSpPr txBox="1"/>
      </xdr:nvSpPr>
      <xdr:spPr>
        <a:xfrm>
          <a:off x="7934325" y="5676900"/>
          <a:ext cx="1831975" cy="222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000" b="0">
              <a:solidFill>
                <a:schemeClr val="tx1"/>
              </a:solidFill>
              <a:latin typeface="Arial" panose="020B0604020202020204" pitchFamily="34" charset="0"/>
              <a:cs typeface="Arial" panose="020B0604020202020204" pitchFamily="34" charset="0"/>
            </a:rPr>
            <a:t>Cycles per year:</a:t>
          </a:r>
        </a:p>
      </xdr:txBody>
    </xdr:sp>
    <xdr:clientData/>
  </xdr:twoCellAnchor>
  <xdr:twoCellAnchor editAs="oneCell">
    <xdr:from>
      <xdr:col>13</xdr:col>
      <xdr:colOff>491982</xdr:colOff>
      <xdr:row>22</xdr:row>
      <xdr:rowOff>155385</xdr:rowOff>
    </xdr:from>
    <xdr:to>
      <xdr:col>16</xdr:col>
      <xdr:colOff>285750</xdr:colOff>
      <xdr:row>33</xdr:row>
      <xdr:rowOff>85916</xdr:rowOff>
    </xdr:to>
    <xdr:sp macro="" textlink="">
      <xdr:nvSpPr>
        <xdr:cNvPr id="119" name="EfficiencyDescription" hidden="1"/>
        <xdr:cNvSpPr txBox="1"/>
      </xdr:nvSpPr>
      <xdr:spPr>
        <a:xfrm>
          <a:off x="9750282" y="4098735"/>
          <a:ext cx="1622568" cy="19561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b="0">
              <a:solidFill>
                <a:schemeClr val="tx1"/>
              </a:solidFill>
              <a:latin typeface="Arial" panose="020B0604020202020204" pitchFamily="34" charset="0"/>
              <a:cs typeface="Arial" panose="020B0604020202020204" pitchFamily="34" charset="0"/>
            </a:rPr>
            <a:t>Storage round trip efficiency refers to what proportion of energy is recovered after charging and discharging the battery.</a:t>
          </a:r>
        </a:p>
        <a:p>
          <a:endParaRPr lang="en-US" sz="1000" b="0">
            <a:solidFill>
              <a:schemeClr val="tx1"/>
            </a:solidFill>
            <a:latin typeface="Arial" panose="020B0604020202020204" pitchFamily="34" charset="0"/>
            <a:cs typeface="Arial" panose="020B0604020202020204" pitchFamily="34" charset="0"/>
          </a:endParaRPr>
        </a:p>
        <a:p>
          <a:r>
            <a:rPr lang="en-US" sz="1000" b="0">
              <a:solidFill>
                <a:schemeClr val="tx1"/>
              </a:solidFill>
              <a:latin typeface="Arial" panose="020B0604020202020204" pitchFamily="34" charset="0"/>
              <a:cs typeface="Arial" panose="020B0604020202020204" pitchFamily="34" charset="0"/>
            </a:rPr>
            <a:t>This value depends on battery chemistry, battery model and inverter. The default value is 85%.</a:t>
          </a:r>
        </a:p>
      </xdr:txBody>
    </xdr:sp>
    <xdr:clientData/>
  </xdr:twoCellAnchor>
  <mc:AlternateContent xmlns:mc="http://schemas.openxmlformats.org/markup-compatibility/2006">
    <mc:Choice xmlns:a14="http://schemas.microsoft.com/office/drawing/2010/main" Requires="a14">
      <xdr:twoCellAnchor>
        <xdr:from>
          <xdr:col>5</xdr:col>
          <xdr:colOff>352425</xdr:colOff>
          <xdr:row>21</xdr:row>
          <xdr:rowOff>28575</xdr:rowOff>
        </xdr:from>
        <xdr:to>
          <xdr:col>7</xdr:col>
          <xdr:colOff>200025</xdr:colOff>
          <xdr:row>22</xdr:row>
          <xdr:rowOff>76200</xdr:rowOff>
        </xdr:to>
        <xdr:sp macro="" textlink="">
          <xdr:nvSpPr>
            <xdr:cNvPr id="26753" name="Custom1Show" hidden="1">
              <a:extLst>
                <a:ext uri="{63B3BB69-23CF-44E3-9099-C40C66FF867C}">
                  <a14:compatExt spid="_x0000_s26753"/>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AU" sz="900" b="1" i="0" u="none" strike="noStrike" baseline="0">
                  <a:solidFill>
                    <a:srgbClr val="000000"/>
                  </a:solidFill>
                  <a:latin typeface="Arial"/>
                  <a:cs typeface="Arial"/>
                </a:rPr>
                <a:t>SHOW DETAILS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34</xdr:row>
          <xdr:rowOff>38100</xdr:rowOff>
        </xdr:from>
        <xdr:to>
          <xdr:col>7</xdr:col>
          <xdr:colOff>200025</xdr:colOff>
          <xdr:row>35</xdr:row>
          <xdr:rowOff>85725</xdr:rowOff>
        </xdr:to>
        <xdr:sp macro="" textlink="">
          <xdr:nvSpPr>
            <xdr:cNvPr id="26755" name="Custom1Hide" hidden="1">
              <a:extLst>
                <a:ext uri="{63B3BB69-23CF-44E3-9099-C40C66FF867C}">
                  <a14:compatExt spid="_x0000_s26755"/>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AU" sz="900" b="1" i="0" u="none" strike="noStrike" baseline="0">
                  <a:solidFill>
                    <a:srgbClr val="000000"/>
                  </a:solidFill>
                  <a:latin typeface="Arial"/>
                  <a:cs typeface="Arial"/>
                </a:rPr>
                <a:t>HIDE DETAILS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219075</xdr:colOff>
          <xdr:row>21</xdr:row>
          <xdr:rowOff>28575</xdr:rowOff>
        </xdr:from>
        <xdr:to>
          <xdr:col>10</xdr:col>
          <xdr:colOff>66675</xdr:colOff>
          <xdr:row>22</xdr:row>
          <xdr:rowOff>76200</xdr:rowOff>
        </xdr:to>
        <xdr:sp macro="" textlink="">
          <xdr:nvSpPr>
            <xdr:cNvPr id="26756" name="Custom2Show" hidden="1">
              <a:extLst>
                <a:ext uri="{63B3BB69-23CF-44E3-9099-C40C66FF867C}">
                  <a14:compatExt spid="_x0000_s26756"/>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AU" sz="900" b="1" i="0" u="none" strike="noStrike" baseline="0">
                  <a:solidFill>
                    <a:srgbClr val="000000"/>
                  </a:solidFill>
                  <a:latin typeface="Arial"/>
                  <a:cs typeface="Arial"/>
                </a:rPr>
                <a:t>SHOW DETAILS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219075</xdr:colOff>
          <xdr:row>34</xdr:row>
          <xdr:rowOff>38100</xdr:rowOff>
        </xdr:from>
        <xdr:to>
          <xdr:col>10</xdr:col>
          <xdr:colOff>66675</xdr:colOff>
          <xdr:row>35</xdr:row>
          <xdr:rowOff>85725</xdr:rowOff>
        </xdr:to>
        <xdr:sp macro="" textlink="">
          <xdr:nvSpPr>
            <xdr:cNvPr id="26757" name="Custom2Hide" hidden="1">
              <a:extLst>
                <a:ext uri="{63B3BB69-23CF-44E3-9099-C40C66FF867C}">
                  <a14:compatExt spid="_x0000_s26757"/>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AU" sz="900" b="1" i="0" u="none" strike="noStrike" baseline="0">
                  <a:solidFill>
                    <a:srgbClr val="000000"/>
                  </a:solidFill>
                  <a:latin typeface="Arial"/>
                  <a:cs typeface="Arial"/>
                </a:rPr>
                <a:t>HIDE DETAILS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11</xdr:col>
          <xdr:colOff>152400</xdr:colOff>
          <xdr:row>21</xdr:row>
          <xdr:rowOff>28575</xdr:rowOff>
        </xdr:from>
        <xdr:to>
          <xdr:col>13</xdr:col>
          <xdr:colOff>0</xdr:colOff>
          <xdr:row>22</xdr:row>
          <xdr:rowOff>76200</xdr:rowOff>
        </xdr:to>
        <xdr:sp macro="" textlink="">
          <xdr:nvSpPr>
            <xdr:cNvPr id="26758" name="Custom3Show" hidden="1">
              <a:extLst>
                <a:ext uri="{63B3BB69-23CF-44E3-9099-C40C66FF867C}">
                  <a14:compatExt spid="_x0000_s26758"/>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AU" sz="900" b="1" i="0" u="none" strike="noStrike" baseline="0">
                  <a:solidFill>
                    <a:srgbClr val="000000"/>
                  </a:solidFill>
                  <a:latin typeface="Arial"/>
                  <a:cs typeface="Arial"/>
                </a:rPr>
                <a:t>SHOW DETAILS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11</xdr:col>
          <xdr:colOff>152400</xdr:colOff>
          <xdr:row>34</xdr:row>
          <xdr:rowOff>38100</xdr:rowOff>
        </xdr:from>
        <xdr:to>
          <xdr:col>13</xdr:col>
          <xdr:colOff>0</xdr:colOff>
          <xdr:row>35</xdr:row>
          <xdr:rowOff>85725</xdr:rowOff>
        </xdr:to>
        <xdr:sp macro="" textlink="">
          <xdr:nvSpPr>
            <xdr:cNvPr id="26759" name="Custom3Hide" hidden="1">
              <a:extLst>
                <a:ext uri="{63B3BB69-23CF-44E3-9099-C40C66FF867C}">
                  <a14:compatExt spid="_x0000_s26759"/>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AU" sz="900" b="1" i="0" u="none" strike="noStrike" baseline="0">
                  <a:solidFill>
                    <a:srgbClr val="000000"/>
                  </a:solidFill>
                  <a:latin typeface="Arial"/>
                  <a:cs typeface="Arial"/>
                </a:rPr>
                <a:t>HIDE DETAILS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14</xdr:col>
          <xdr:colOff>171450</xdr:colOff>
          <xdr:row>21</xdr:row>
          <xdr:rowOff>28575</xdr:rowOff>
        </xdr:from>
        <xdr:to>
          <xdr:col>16</xdr:col>
          <xdr:colOff>19050</xdr:colOff>
          <xdr:row>22</xdr:row>
          <xdr:rowOff>76200</xdr:rowOff>
        </xdr:to>
        <xdr:sp macro="" textlink="">
          <xdr:nvSpPr>
            <xdr:cNvPr id="26760" name="Custom4Show" hidden="1">
              <a:extLst>
                <a:ext uri="{63B3BB69-23CF-44E3-9099-C40C66FF867C}">
                  <a14:compatExt spid="_x0000_s2676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AU" sz="900" b="1" i="0" u="none" strike="noStrike" baseline="0">
                  <a:solidFill>
                    <a:srgbClr val="000000"/>
                  </a:solidFill>
                  <a:latin typeface="Arial"/>
                  <a:cs typeface="Arial"/>
                </a:rPr>
                <a:t>SHOW DETAILS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14</xdr:col>
          <xdr:colOff>171450</xdr:colOff>
          <xdr:row>34</xdr:row>
          <xdr:rowOff>38100</xdr:rowOff>
        </xdr:from>
        <xdr:to>
          <xdr:col>16</xdr:col>
          <xdr:colOff>19050</xdr:colOff>
          <xdr:row>35</xdr:row>
          <xdr:rowOff>85725</xdr:rowOff>
        </xdr:to>
        <xdr:sp macro="" textlink="">
          <xdr:nvSpPr>
            <xdr:cNvPr id="26761" name="Custom4Hide" hidden="1">
              <a:extLst>
                <a:ext uri="{63B3BB69-23CF-44E3-9099-C40C66FF867C}">
                  <a14:compatExt spid="_x0000_s26761"/>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AU" sz="900" b="1" i="0" u="none" strike="noStrike" baseline="0">
                  <a:solidFill>
                    <a:srgbClr val="000000"/>
                  </a:solidFill>
                  <a:latin typeface="Arial"/>
                  <a:cs typeface="Arial"/>
                </a:rPr>
                <a:t>HIDE DETAILS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16</xdr:col>
          <xdr:colOff>561975</xdr:colOff>
          <xdr:row>21</xdr:row>
          <xdr:rowOff>28575</xdr:rowOff>
        </xdr:from>
        <xdr:to>
          <xdr:col>18</xdr:col>
          <xdr:colOff>409575</xdr:colOff>
          <xdr:row>22</xdr:row>
          <xdr:rowOff>76200</xdr:rowOff>
        </xdr:to>
        <xdr:sp macro="" textlink="">
          <xdr:nvSpPr>
            <xdr:cNvPr id="26762" name="Custom5Show" hidden="1">
              <a:extLst>
                <a:ext uri="{63B3BB69-23CF-44E3-9099-C40C66FF867C}">
                  <a14:compatExt spid="_x0000_s26762"/>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AU" sz="900" b="1" i="0" u="none" strike="noStrike" baseline="0">
                  <a:solidFill>
                    <a:srgbClr val="000000"/>
                  </a:solidFill>
                  <a:latin typeface="Arial"/>
                  <a:cs typeface="Arial"/>
                </a:rPr>
                <a:t>SHOW DETAILS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16</xdr:col>
          <xdr:colOff>561975</xdr:colOff>
          <xdr:row>34</xdr:row>
          <xdr:rowOff>38100</xdr:rowOff>
        </xdr:from>
        <xdr:to>
          <xdr:col>18</xdr:col>
          <xdr:colOff>409575</xdr:colOff>
          <xdr:row>35</xdr:row>
          <xdr:rowOff>85725</xdr:rowOff>
        </xdr:to>
        <xdr:sp macro="" textlink="">
          <xdr:nvSpPr>
            <xdr:cNvPr id="26763" name="Custom5Hide" hidden="1">
              <a:extLst>
                <a:ext uri="{63B3BB69-23CF-44E3-9099-C40C66FF867C}">
                  <a14:compatExt spid="_x0000_s26763"/>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AU" sz="900" b="1" i="0" u="none" strike="noStrike" baseline="0">
                  <a:solidFill>
                    <a:srgbClr val="000000"/>
                  </a:solidFill>
                  <a:latin typeface="Arial"/>
                  <a:cs typeface="Arial"/>
                </a:rPr>
                <a:t>HIDE DETAILS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21</xdr:col>
          <xdr:colOff>123825</xdr:colOff>
          <xdr:row>42</xdr:row>
          <xdr:rowOff>114300</xdr:rowOff>
        </xdr:from>
        <xdr:to>
          <xdr:col>25</xdr:col>
          <xdr:colOff>238125</xdr:colOff>
          <xdr:row>45</xdr:row>
          <xdr:rowOff>0</xdr:rowOff>
        </xdr:to>
        <xdr:sp macro="" textlink="">
          <xdr:nvSpPr>
            <xdr:cNvPr id="26764" name="PeakShavingButton" hidden="1">
              <a:extLst>
                <a:ext uri="{63B3BB69-23CF-44E3-9099-C40C66FF867C}">
                  <a14:compatExt spid="_x0000_s26764"/>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AU" sz="1100" b="1" i="0" u="none" strike="noStrike" baseline="0">
                  <a:solidFill>
                    <a:srgbClr val="000000"/>
                  </a:solidFill>
                  <a:latin typeface="Arial"/>
                  <a:cs typeface="Arial"/>
                </a:rPr>
                <a:t>PEAK SHAVING</a:t>
              </a:r>
            </a:p>
          </xdr:txBody>
        </xdr:sp>
        <xdr:clientData fPrintsWithSheet="0"/>
      </xdr:twoCellAnchor>
    </mc:Choice>
    <mc:Fallback/>
  </mc:AlternateContent>
  <xdr:twoCellAnchor editAs="oneCell">
    <xdr:from>
      <xdr:col>20</xdr:col>
      <xdr:colOff>355600</xdr:colOff>
      <xdr:row>11</xdr:row>
      <xdr:rowOff>63500</xdr:rowOff>
    </xdr:from>
    <xdr:to>
      <xdr:col>25</xdr:col>
      <xdr:colOff>514350</xdr:colOff>
      <xdr:row>18</xdr:row>
      <xdr:rowOff>101600</xdr:rowOff>
    </xdr:to>
    <xdr:sp macro="" textlink="">
      <xdr:nvSpPr>
        <xdr:cNvPr id="130" name="FinalResultBoxCustom"/>
        <xdr:cNvSpPr txBox="1"/>
      </xdr:nvSpPr>
      <xdr:spPr>
        <a:xfrm>
          <a:off x="9925050" y="1612900"/>
          <a:ext cx="3206750" cy="1327150"/>
        </a:xfrm>
        <a:prstGeom prst="rect">
          <a:avLst/>
        </a:prstGeom>
        <a:solidFill>
          <a:srgbClr val="00A9D8"/>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US" sz="1400" b="0">
            <a:solidFill>
              <a:schemeClr val="bg1"/>
            </a:solidFill>
            <a:latin typeface="Arial" panose="020B0604020202020204" pitchFamily="34" charset="0"/>
            <a:cs typeface="Arial" panose="020B0604020202020204" pitchFamily="34" charset="0"/>
          </a:endParaRPr>
        </a:p>
      </xdr:txBody>
    </xdr:sp>
    <xdr:clientData/>
  </xdr:twoCellAnchor>
  <xdr:twoCellAnchor editAs="oneCell">
    <xdr:from>
      <xdr:col>20</xdr:col>
      <xdr:colOff>403225</xdr:colOff>
      <xdr:row>22</xdr:row>
      <xdr:rowOff>25400</xdr:rowOff>
    </xdr:from>
    <xdr:to>
      <xdr:col>25</xdr:col>
      <xdr:colOff>365125</xdr:colOff>
      <xdr:row>23</xdr:row>
      <xdr:rowOff>120650</xdr:rowOff>
    </xdr:to>
    <xdr:sp macro="" textlink="">
      <xdr:nvSpPr>
        <xdr:cNvPr id="131" name="OutputLabel2"/>
        <xdr:cNvSpPr txBox="1"/>
      </xdr:nvSpPr>
      <xdr:spPr>
        <a:xfrm>
          <a:off x="9972675" y="3600450"/>
          <a:ext cx="3009900" cy="2794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200" b="0">
              <a:solidFill>
                <a:schemeClr val="tx1"/>
              </a:solidFill>
              <a:latin typeface="Arial" panose="020B0604020202020204" pitchFamily="34" charset="0"/>
              <a:cs typeface="Arial" panose="020B0604020202020204" pitchFamily="34" charset="0"/>
            </a:rPr>
            <a:t>Break even point</a:t>
          </a:r>
        </a:p>
      </xdr:txBody>
    </xdr:sp>
    <xdr:clientData/>
  </xdr:twoCellAnchor>
  <xdr:twoCellAnchor editAs="oneCell">
    <xdr:from>
      <xdr:col>20</xdr:col>
      <xdr:colOff>406400</xdr:colOff>
      <xdr:row>14</xdr:row>
      <xdr:rowOff>171450</xdr:rowOff>
    </xdr:from>
    <xdr:to>
      <xdr:col>25</xdr:col>
      <xdr:colOff>400050</xdr:colOff>
      <xdr:row>18</xdr:row>
      <xdr:rowOff>158750</xdr:rowOff>
    </xdr:to>
    <xdr:sp macro="" textlink="">
      <xdr:nvSpPr>
        <xdr:cNvPr id="132" name="OutputLabel1"/>
        <xdr:cNvSpPr txBox="1"/>
      </xdr:nvSpPr>
      <xdr:spPr>
        <a:xfrm>
          <a:off x="9975850" y="2273300"/>
          <a:ext cx="3041650" cy="7239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latin typeface="Arial" panose="020B0604020202020204" pitchFamily="34" charset="0"/>
              <a:cs typeface="Arial" panose="020B0604020202020204" pitchFamily="34" charset="0"/>
            </a:rPr>
            <a:t>Batteries appear feasible!</a:t>
          </a:r>
        </a:p>
      </xdr:txBody>
    </xdr:sp>
    <xdr:clientData/>
  </xdr:twoCellAnchor>
  <xdr:twoCellAnchor editAs="oneCell">
    <xdr:from>
      <xdr:col>20</xdr:col>
      <xdr:colOff>523875</xdr:colOff>
      <xdr:row>28</xdr:row>
      <xdr:rowOff>12700</xdr:rowOff>
    </xdr:from>
    <xdr:to>
      <xdr:col>25</xdr:col>
      <xdr:colOff>215901</xdr:colOff>
      <xdr:row>30</xdr:row>
      <xdr:rowOff>101600</xdr:rowOff>
    </xdr:to>
    <xdr:sp macro="" textlink="">
      <xdr:nvSpPr>
        <xdr:cNvPr id="133" name="OutputLabel3"/>
        <xdr:cNvSpPr txBox="1"/>
      </xdr:nvSpPr>
      <xdr:spPr>
        <a:xfrm>
          <a:off x="10093325" y="4692650"/>
          <a:ext cx="2740026" cy="457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200" b="0">
              <a:solidFill>
                <a:schemeClr val="tx1"/>
              </a:solidFill>
              <a:latin typeface="Arial" panose="020B0604020202020204" pitchFamily="34" charset="0"/>
              <a:cs typeface="Arial" panose="020B0604020202020204" pitchFamily="34" charset="0"/>
            </a:rPr>
            <a:t>The proportion of system's cost recovered after 15 Years</a:t>
          </a:r>
        </a:p>
      </xdr:txBody>
    </xdr:sp>
    <xdr:clientData/>
  </xdr:twoCellAnchor>
  <xdr:twoCellAnchor editAs="oneCell">
    <xdr:from>
      <xdr:col>20</xdr:col>
      <xdr:colOff>439592</xdr:colOff>
      <xdr:row>34</xdr:row>
      <xdr:rowOff>177800</xdr:rowOff>
    </xdr:from>
    <xdr:to>
      <xdr:col>25</xdr:col>
      <xdr:colOff>300185</xdr:colOff>
      <xdr:row>37</xdr:row>
      <xdr:rowOff>82550</xdr:rowOff>
    </xdr:to>
    <xdr:sp macro="" textlink="">
      <xdr:nvSpPr>
        <xdr:cNvPr id="134" name="OutputLabel4"/>
        <xdr:cNvSpPr txBox="1"/>
      </xdr:nvSpPr>
      <xdr:spPr>
        <a:xfrm>
          <a:off x="10009042" y="5962650"/>
          <a:ext cx="2908593" cy="457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200" b="0">
              <a:solidFill>
                <a:schemeClr val="tx1"/>
              </a:solidFill>
              <a:latin typeface="Arial" panose="020B0604020202020204" pitchFamily="34" charset="0"/>
              <a:cs typeface="Arial" panose="020B0604020202020204" pitchFamily="34" charset="0"/>
            </a:rPr>
            <a:t>The number of times the system's cost is recovered over its possible lifetime</a:t>
          </a:r>
        </a:p>
      </xdr:txBody>
    </xdr:sp>
    <xdr:clientData/>
  </xdr:twoCellAnchor>
  <xdr:twoCellAnchor editAs="oneCell">
    <xdr:from>
      <xdr:col>20</xdr:col>
      <xdr:colOff>377825</xdr:colOff>
      <xdr:row>20</xdr:row>
      <xdr:rowOff>6350</xdr:rowOff>
    </xdr:from>
    <xdr:to>
      <xdr:col>25</xdr:col>
      <xdr:colOff>339725</xdr:colOff>
      <xdr:row>22</xdr:row>
      <xdr:rowOff>25400</xdr:rowOff>
    </xdr:to>
    <xdr:sp macro="" textlink="">
      <xdr:nvSpPr>
        <xdr:cNvPr id="135" name="OutputNumberLabel1"/>
        <xdr:cNvSpPr txBox="1"/>
      </xdr:nvSpPr>
      <xdr:spPr>
        <a:xfrm>
          <a:off x="9947275" y="3213100"/>
          <a:ext cx="3009900" cy="3873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2000" b="0">
              <a:solidFill>
                <a:schemeClr val="tx1"/>
              </a:solidFill>
              <a:latin typeface="Arial" panose="020B0604020202020204" pitchFamily="34" charset="0"/>
              <a:cs typeface="Arial" panose="020B0604020202020204" pitchFamily="34" charset="0"/>
            </a:rPr>
            <a:t>11.4 years</a:t>
          </a:r>
        </a:p>
      </xdr:txBody>
    </xdr:sp>
    <xdr:clientData/>
  </xdr:twoCellAnchor>
  <xdr:twoCellAnchor editAs="oneCell">
    <xdr:from>
      <xdr:col>20</xdr:col>
      <xdr:colOff>377825</xdr:colOff>
      <xdr:row>26</xdr:row>
      <xdr:rowOff>12700</xdr:rowOff>
    </xdr:from>
    <xdr:to>
      <xdr:col>25</xdr:col>
      <xdr:colOff>339725</xdr:colOff>
      <xdr:row>28</xdr:row>
      <xdr:rowOff>31750</xdr:rowOff>
    </xdr:to>
    <xdr:sp macro="" textlink="">
      <xdr:nvSpPr>
        <xdr:cNvPr id="136" name="OutputNumberLabel2"/>
        <xdr:cNvSpPr txBox="1"/>
      </xdr:nvSpPr>
      <xdr:spPr>
        <a:xfrm>
          <a:off x="9947275" y="4324350"/>
          <a:ext cx="3009900" cy="3873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2000" b="0">
              <a:solidFill>
                <a:schemeClr val="tx1"/>
              </a:solidFill>
              <a:latin typeface="Arial" panose="020B0604020202020204" pitchFamily="34" charset="0"/>
              <a:cs typeface="Arial" panose="020B0604020202020204" pitchFamily="34" charset="0"/>
            </a:rPr>
            <a:t>139%</a:t>
          </a:r>
        </a:p>
      </xdr:txBody>
    </xdr:sp>
    <xdr:clientData/>
  </xdr:twoCellAnchor>
  <xdr:twoCellAnchor editAs="oneCell">
    <xdr:from>
      <xdr:col>20</xdr:col>
      <xdr:colOff>377825</xdr:colOff>
      <xdr:row>32</xdr:row>
      <xdr:rowOff>107950</xdr:rowOff>
    </xdr:from>
    <xdr:to>
      <xdr:col>25</xdr:col>
      <xdr:colOff>339725</xdr:colOff>
      <xdr:row>34</xdr:row>
      <xdr:rowOff>127000</xdr:rowOff>
    </xdr:to>
    <xdr:sp macro="" textlink="">
      <xdr:nvSpPr>
        <xdr:cNvPr id="137" name="OutputNumberLabel3"/>
        <xdr:cNvSpPr txBox="1"/>
      </xdr:nvSpPr>
      <xdr:spPr>
        <a:xfrm>
          <a:off x="9947275" y="5524500"/>
          <a:ext cx="3009900" cy="3873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2000" b="0">
              <a:solidFill>
                <a:schemeClr val="tx1"/>
              </a:solidFill>
              <a:latin typeface="Arial" panose="020B0604020202020204" pitchFamily="34" charset="0"/>
              <a:cs typeface="Arial" panose="020B0604020202020204" pitchFamily="34" charset="0"/>
            </a:rPr>
            <a:t>1.4</a:t>
          </a:r>
        </a:p>
      </xdr:txBody>
    </xdr:sp>
    <xdr:clientData/>
  </xdr:twoCellAnchor>
  <xdr:twoCellAnchor>
    <xdr:from>
      <xdr:col>5</xdr:col>
      <xdr:colOff>323850</xdr:colOff>
      <xdr:row>47</xdr:row>
      <xdr:rowOff>139700</xdr:rowOff>
    </xdr:from>
    <xdr:to>
      <xdr:col>23</xdr:col>
      <xdr:colOff>501650</xdr:colOff>
      <xdr:row>51</xdr:row>
      <xdr:rowOff>84322</xdr:rowOff>
    </xdr:to>
    <xdr:grpSp>
      <xdr:nvGrpSpPr>
        <xdr:cNvPr id="85" name="Group 84"/>
        <xdr:cNvGrpSpPr/>
      </xdr:nvGrpSpPr>
      <xdr:grpSpPr>
        <a:xfrm>
          <a:off x="323850" y="8318500"/>
          <a:ext cx="11150600" cy="681222"/>
          <a:chOff x="615950" y="7362190"/>
          <a:chExt cx="10627916" cy="655822"/>
        </a:xfrm>
      </xdr:grpSpPr>
      <xdr:pic>
        <xdr:nvPicPr>
          <xdr:cNvPr id="92" name="Picture 9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15950" y="7362190"/>
            <a:ext cx="1246230" cy="655822"/>
          </a:xfrm>
          <a:prstGeom prst="rect">
            <a:avLst/>
          </a:prstGeom>
        </xdr:spPr>
      </xdr:pic>
      <xdr:sp macro="" textlink="">
        <xdr:nvSpPr>
          <xdr:cNvPr id="96" name="ShapeQ3Label">
            <a:hlinkClick xmlns:r="http://schemas.openxmlformats.org/officeDocument/2006/relationships" r:id="rId3"/>
          </xdr:cNvPr>
          <xdr:cNvSpPr txBox="1"/>
        </xdr:nvSpPr>
        <xdr:spPr>
          <a:xfrm>
            <a:off x="2089150" y="7594600"/>
            <a:ext cx="9154716" cy="2730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US" sz="1100" b="0">
                <a:solidFill>
                  <a:srgbClr xmlns:mc="http://schemas.openxmlformats.org/markup-compatibility/2006" xmlns:a14="http://schemas.microsoft.com/office/drawing/2010/main" val="000000" mc:Ignorable="a14" a14:legacySpreadsheetColorIndex="8"/>
                </a:solidFill>
                <a:latin typeface="Arial" panose="020B0604020202020204" pitchFamily="34" charset="0"/>
                <a:cs typeface="Arial" panose="020B0604020202020204" pitchFamily="34" charset="0"/>
              </a:rPr>
              <a:t>For more information please contact the Energy Efficient Business Team on </a:t>
            </a:r>
            <a:r>
              <a:rPr lang="en-US" sz="1100" b="1">
                <a:solidFill>
                  <a:srgbClr xmlns:mc="http://schemas.openxmlformats.org/markup-compatibility/2006" xmlns:a14="http://schemas.microsoft.com/office/drawing/2010/main" val="000000" mc:Ignorable="a14" a14:legacySpreadsheetColorIndex="8"/>
                </a:solidFill>
                <a:latin typeface="Arial" panose="020B0604020202020204" pitchFamily="34" charset="0"/>
                <a:cs typeface="Arial" panose="020B0604020202020204" pitchFamily="34" charset="0"/>
              </a:rPr>
              <a:t>1300</a:t>
            </a:r>
            <a:r>
              <a:rPr lang="en-US" sz="1100" b="1" baseline="0">
                <a:solidFill>
                  <a:srgbClr xmlns:mc="http://schemas.openxmlformats.org/markup-compatibility/2006" xmlns:a14="http://schemas.microsoft.com/office/drawing/2010/main" val="000000" mc:Ignorable="a14" a14:legacySpreadsheetColorIndex="8"/>
                </a:solidFill>
                <a:latin typeface="Arial" panose="020B0604020202020204" pitchFamily="34" charset="0"/>
                <a:cs typeface="Arial" panose="020B0604020202020204" pitchFamily="34" charset="0"/>
              </a:rPr>
              <a:t> 361 967 </a:t>
            </a:r>
            <a:r>
              <a:rPr lang="en-US" sz="1100" b="0" baseline="0">
                <a:solidFill>
                  <a:srgbClr xmlns:mc="http://schemas.openxmlformats.org/markup-compatibility/2006" xmlns:a14="http://schemas.microsoft.com/office/drawing/2010/main" val="000000" mc:Ignorable="a14" a14:legacySpreadsheetColorIndex="8"/>
                </a:solidFill>
                <a:latin typeface="Arial" panose="020B0604020202020204" pitchFamily="34" charset="0"/>
                <a:cs typeface="Arial" panose="020B0604020202020204" pitchFamily="34" charset="0"/>
              </a:rPr>
              <a:t>or email: </a:t>
            </a:r>
            <a:r>
              <a:rPr lang="en-AU" sz="1100" u="sng">
                <a:solidFill>
                  <a:srgbClr val="056399"/>
                </a:solidFill>
                <a:effectLst/>
                <a:latin typeface="Arial" panose="020B0604020202020204" pitchFamily="34" charset="0"/>
                <a:ea typeface="+mn-ea"/>
                <a:cs typeface="Arial" panose="020B0604020202020204" pitchFamily="34" charset="0"/>
              </a:rPr>
              <a:t>energy.saver@environment.nsw.gov.au</a:t>
            </a:r>
            <a:endParaRPr lang="en-US">
              <a:solidFill>
                <a:srgbClr val="056399"/>
              </a:solidFill>
              <a:effectLst/>
              <a:latin typeface="Arial" panose="020B0604020202020204" pitchFamily="34" charset="0"/>
              <a:cs typeface="Arial" panose="020B0604020202020204" pitchFamily="34" charset="0"/>
            </a:endParaRPr>
          </a:p>
          <a:p>
            <a:r>
              <a:rPr lang="en-US" sz="1100" b="0" baseline="0">
                <a:solidFill>
                  <a:srgbClr xmlns:mc="http://schemas.openxmlformats.org/markup-compatibility/2006" xmlns:a14="http://schemas.microsoft.com/office/drawing/2010/main" val="000000" mc:Ignorable="a14" a14:legacySpreadsheetColorIndex="8"/>
                </a:solidFill>
                <a:latin typeface="Arial" panose="020B0604020202020204" pitchFamily="34" charset="0"/>
                <a:cs typeface="Arial" panose="020B0604020202020204" pitchFamily="34" charset="0"/>
              </a:rPr>
              <a:t>: </a:t>
            </a:r>
            <a:endParaRPr lang="en-US" sz="1100" b="0">
              <a:solidFill>
                <a:srgbClr xmlns:mc="http://schemas.openxmlformats.org/markup-compatibility/2006" xmlns:a14="http://schemas.microsoft.com/office/drawing/2010/main" val="000000" mc:Ignorable="a14" a14:legacySpreadsheetColorIndex="8"/>
              </a:solidFill>
              <a:latin typeface="Arial" panose="020B0604020202020204" pitchFamily="34" charset="0"/>
              <a:cs typeface="Arial" panose="020B0604020202020204" pitchFamily="34" charset="0"/>
            </a:endParaRPr>
          </a:p>
        </xdr:txBody>
      </xdr:sp>
    </xdr:grpSp>
    <xdr:clientData/>
  </xdr:twoCellAnchor>
  <xdr:twoCellAnchor editAs="oneCell">
    <xdr:from>
      <xdr:col>22</xdr:col>
      <xdr:colOff>482600</xdr:colOff>
      <xdr:row>11</xdr:row>
      <xdr:rowOff>146050</xdr:rowOff>
    </xdr:from>
    <xdr:to>
      <xdr:col>23</xdr:col>
      <xdr:colOff>287000</xdr:colOff>
      <xdr:row>14</xdr:row>
      <xdr:rowOff>7600</xdr:rowOff>
    </xdr:to>
    <xdr:pic>
      <xdr:nvPicPr>
        <xdr:cNvPr id="78" name="ThumbDownCustom" hidden="1"/>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0845800" y="1695450"/>
          <a:ext cx="414000" cy="41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482600</xdr:colOff>
      <xdr:row>11</xdr:row>
      <xdr:rowOff>133350</xdr:rowOff>
    </xdr:from>
    <xdr:to>
      <xdr:col>23</xdr:col>
      <xdr:colOff>287000</xdr:colOff>
      <xdr:row>13</xdr:row>
      <xdr:rowOff>179050</xdr:rowOff>
    </xdr:to>
    <xdr:pic>
      <xdr:nvPicPr>
        <xdr:cNvPr id="79" name="ThumbUpCustom"/>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0845800" y="1682750"/>
          <a:ext cx="414000" cy="41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2</xdr:col>
      <xdr:colOff>24574</xdr:colOff>
      <xdr:row>47</xdr:row>
      <xdr:rowOff>411645</xdr:rowOff>
    </xdr:from>
    <xdr:to>
      <xdr:col>4</xdr:col>
      <xdr:colOff>5346700</xdr:colOff>
      <xdr:row>48</xdr:row>
      <xdr:rowOff>154331</xdr:rowOff>
    </xdr:to>
    <xdr:sp macro="" textlink="">
      <xdr:nvSpPr>
        <xdr:cNvPr id="5" name="Rectangle 4"/>
        <xdr:cNvSpPr/>
      </xdr:nvSpPr>
      <xdr:spPr>
        <a:xfrm>
          <a:off x="742124" y="6158395"/>
          <a:ext cx="13691426" cy="434836"/>
        </a:xfrm>
        <a:prstGeom prst="rect">
          <a:avLst/>
        </a:prstGeom>
        <a:solidFill>
          <a:schemeClr val="bg1">
            <a:lumMod val="95000"/>
          </a:schemeClr>
        </a:solidFill>
        <a:ln>
          <a:solidFill>
            <a:schemeClr val="bg1">
              <a:lumMod val="9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wordArtVert" rtlCol="0" anchor="t"/>
        <a:lstStyle/>
        <a:p>
          <a:pPr algn="l"/>
          <a:endParaRPr lang="en-US" sz="1100"/>
        </a:p>
      </xdr:txBody>
    </xdr:sp>
    <xdr:clientData/>
  </xdr:twoCellAnchor>
  <xdr:twoCellAnchor editAs="oneCell">
    <xdr:from>
      <xdr:col>4</xdr:col>
      <xdr:colOff>374650</xdr:colOff>
      <xdr:row>47</xdr:row>
      <xdr:rowOff>501650</xdr:rowOff>
    </xdr:from>
    <xdr:to>
      <xdr:col>4</xdr:col>
      <xdr:colOff>2514600</xdr:colOff>
      <xdr:row>48</xdr:row>
      <xdr:rowOff>95250</xdr:rowOff>
    </xdr:to>
    <xdr:sp macro="[0]!Summary.StartOver_Click" textlink="">
      <xdr:nvSpPr>
        <xdr:cNvPr id="70" name="StartOver"/>
        <xdr:cNvSpPr txBox="1"/>
      </xdr:nvSpPr>
      <xdr:spPr>
        <a:xfrm>
          <a:off x="9461500" y="6248400"/>
          <a:ext cx="2139950" cy="285750"/>
        </a:xfrm>
        <a:prstGeom prst="rect">
          <a:avLst/>
        </a:prstGeom>
        <a:solidFill>
          <a:schemeClr val="tx1">
            <a:lumMod val="65000"/>
            <a:lumOff val="3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a:solidFill>
                <a:schemeClr val="bg1"/>
              </a:solidFill>
              <a:latin typeface="Arial" panose="020B0604020202020204" pitchFamily="34" charset="0"/>
              <a:cs typeface="Arial" panose="020B0604020202020204" pitchFamily="34" charset="0"/>
            </a:rPr>
            <a:t>START</a:t>
          </a:r>
          <a:r>
            <a:rPr lang="en-US" sz="1100" b="1" baseline="0">
              <a:solidFill>
                <a:schemeClr val="bg1"/>
              </a:solidFill>
              <a:latin typeface="Arial" panose="020B0604020202020204" pitchFamily="34" charset="0"/>
              <a:cs typeface="Arial" panose="020B0604020202020204" pitchFamily="34" charset="0"/>
            </a:rPr>
            <a:t> OVER</a:t>
          </a:r>
          <a:endParaRPr lang="en-US" sz="1100" b="1">
            <a:solidFill>
              <a:schemeClr val="bg1"/>
            </a:solidFill>
            <a:latin typeface="Arial" panose="020B0604020202020204" pitchFamily="34" charset="0"/>
            <a:cs typeface="Arial" panose="020B0604020202020204" pitchFamily="34" charset="0"/>
          </a:endParaRPr>
        </a:p>
      </xdr:txBody>
    </xdr:sp>
    <xdr:clientData/>
  </xdr:twoCellAnchor>
  <mc:AlternateContent xmlns:mc="http://schemas.openxmlformats.org/markup-compatibility/2006">
    <mc:Choice xmlns:a14="http://schemas.microsoft.com/office/drawing/2010/main" Requires="a14">
      <xdr:twoCellAnchor>
        <xdr:from>
          <xdr:col>3</xdr:col>
          <xdr:colOff>666750</xdr:colOff>
          <xdr:row>47</xdr:row>
          <xdr:rowOff>19050</xdr:rowOff>
        </xdr:from>
        <xdr:to>
          <xdr:col>3</xdr:col>
          <xdr:colOff>2838450</xdr:colOff>
          <xdr:row>47</xdr:row>
          <xdr:rowOff>276225</xdr:rowOff>
        </xdr:to>
        <xdr:sp macro="" textlink="">
          <xdr:nvSpPr>
            <xdr:cNvPr id="95271" name="HideSummary" hidden="1">
              <a:extLst>
                <a:ext uri="{63B3BB69-23CF-44E3-9099-C40C66FF867C}">
                  <a14:compatExt spid="_x0000_s95271"/>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AU" sz="1000" b="1" i="0" u="none" strike="noStrike" baseline="0">
                  <a:solidFill>
                    <a:srgbClr val="000000"/>
                  </a:solidFill>
                  <a:latin typeface="Arial"/>
                  <a:cs typeface="Arial"/>
                </a:rPr>
                <a:t>HIDE DETAILS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666750</xdr:colOff>
          <xdr:row>47</xdr:row>
          <xdr:rowOff>19050</xdr:rowOff>
        </xdr:from>
        <xdr:to>
          <xdr:col>3</xdr:col>
          <xdr:colOff>2838450</xdr:colOff>
          <xdr:row>47</xdr:row>
          <xdr:rowOff>276225</xdr:rowOff>
        </xdr:to>
        <xdr:sp macro="" textlink="">
          <xdr:nvSpPr>
            <xdr:cNvPr id="95270" name="ShowSummary" hidden="1">
              <a:extLst>
                <a:ext uri="{63B3BB69-23CF-44E3-9099-C40C66FF867C}">
                  <a14:compatExt spid="_x0000_s9527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AU" sz="1000" b="1" i="0" u="none" strike="noStrike" baseline="0">
                  <a:solidFill>
                    <a:srgbClr val="000000"/>
                  </a:solidFill>
                  <a:latin typeface="Arial"/>
                  <a:cs typeface="Arial"/>
                </a:rPr>
                <a:t>SHOW DETAILS</a:t>
              </a:r>
            </a:p>
          </xdr:txBody>
        </xdr:sp>
        <xdr:clientData fPrintsWithSheet="0"/>
      </xdr:twoCellAnchor>
    </mc:Choice>
    <mc:Fallback/>
  </mc:AlternateContent>
  <xdr:twoCellAnchor editAs="oneCell">
    <xdr:from>
      <xdr:col>1</xdr:col>
      <xdr:colOff>171450</xdr:colOff>
      <xdr:row>4</xdr:row>
      <xdr:rowOff>69850</xdr:rowOff>
    </xdr:from>
    <xdr:to>
      <xdr:col>4</xdr:col>
      <xdr:colOff>4635500</xdr:colOff>
      <xdr:row>6</xdr:row>
      <xdr:rowOff>88900</xdr:rowOff>
    </xdr:to>
    <xdr:sp macro="" textlink="">
      <xdr:nvSpPr>
        <xdr:cNvPr id="60" name="SummaryText2"/>
        <xdr:cNvSpPr txBox="1"/>
      </xdr:nvSpPr>
      <xdr:spPr>
        <a:xfrm>
          <a:off x="692150" y="1765300"/>
          <a:ext cx="13379450" cy="3873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200" b="0">
              <a:solidFill>
                <a:schemeClr val="tx1"/>
              </a:solidFill>
              <a:latin typeface="Arial" panose="020B0604020202020204" pitchFamily="34" charset="0"/>
              <a:cs typeface="Arial" panose="020B0604020202020204" pitchFamily="34" charset="0"/>
            </a:rPr>
            <a:t>Click 'show details' to view. Use this information when talking to a supplier or engineering consultant about sizing and costing an appropriate battery storage solution.</a:t>
          </a:r>
        </a:p>
      </xdr:txBody>
    </xdr:sp>
    <xdr:clientData/>
  </xdr:twoCellAnchor>
  <xdr:twoCellAnchor>
    <xdr:from>
      <xdr:col>2</xdr:col>
      <xdr:colOff>20431</xdr:colOff>
      <xdr:row>16</xdr:row>
      <xdr:rowOff>150468</xdr:rowOff>
    </xdr:from>
    <xdr:to>
      <xdr:col>4</xdr:col>
      <xdr:colOff>4977020</xdr:colOff>
      <xdr:row>24</xdr:row>
      <xdr:rowOff>21534</xdr:rowOff>
    </xdr:to>
    <xdr:sp macro="" textlink="">
      <xdr:nvSpPr>
        <xdr:cNvPr id="2" name="PeakOutputCommentBox"/>
        <xdr:cNvSpPr/>
      </xdr:nvSpPr>
      <xdr:spPr>
        <a:xfrm>
          <a:off x="737981" y="4055718"/>
          <a:ext cx="13325889" cy="1344266"/>
        </a:xfrm>
        <a:prstGeom prst="rect">
          <a:avLst/>
        </a:prstGeom>
        <a:solidFill>
          <a:schemeClr val="bg1">
            <a:lumMod val="95000"/>
          </a:schemeClr>
        </a:solidFill>
        <a:ln>
          <a:solidFill>
            <a:schemeClr val="bg1">
              <a:lumMod val="9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horz" rtlCol="0" anchor="t"/>
        <a:lstStyle/>
        <a:p>
          <a:pPr algn="l"/>
          <a:r>
            <a:rPr lang="en-US" sz="1100" b="1">
              <a:solidFill>
                <a:schemeClr val="tx1"/>
              </a:solidFill>
              <a:latin typeface="Arial" panose="020B0604020202020204" pitchFamily="34" charset="0"/>
              <a:cs typeface="Arial" panose="020B0604020202020204" pitchFamily="34" charset="0"/>
            </a:rPr>
            <a:t>Peak</a:t>
          </a:r>
          <a:r>
            <a:rPr lang="en-US" sz="1100" b="1" baseline="0">
              <a:solidFill>
                <a:schemeClr val="tx1"/>
              </a:solidFill>
              <a:latin typeface="Arial" panose="020B0604020202020204" pitchFamily="34" charset="0"/>
              <a:cs typeface="Arial" panose="020B0604020202020204" pitchFamily="34" charset="0"/>
            </a:rPr>
            <a:t> shaving summary</a:t>
          </a:r>
          <a:endParaRPr lang="en-US" sz="1100" b="1">
            <a:solidFill>
              <a:schemeClr val="tx1"/>
            </a:solidFill>
            <a:latin typeface="Arial" panose="020B0604020202020204" pitchFamily="34" charset="0"/>
            <a:cs typeface="Arial" panose="020B0604020202020204" pitchFamily="34" charset="0"/>
          </a:endParaRPr>
        </a:p>
      </xdr:txBody>
    </xdr:sp>
    <xdr:clientData/>
  </xdr:twoCellAnchor>
  <xdr:twoCellAnchor editAs="oneCell">
    <xdr:from>
      <xdr:col>2</xdr:col>
      <xdr:colOff>5522</xdr:colOff>
      <xdr:row>6</xdr:row>
      <xdr:rowOff>88349</xdr:rowOff>
    </xdr:from>
    <xdr:to>
      <xdr:col>4</xdr:col>
      <xdr:colOff>4978400</xdr:colOff>
      <xdr:row>13</xdr:row>
      <xdr:rowOff>143565</xdr:rowOff>
    </xdr:to>
    <xdr:sp macro="" textlink="">
      <xdr:nvSpPr>
        <xdr:cNvPr id="3" name="TariffOutputCommentBox"/>
        <xdr:cNvSpPr/>
      </xdr:nvSpPr>
      <xdr:spPr>
        <a:xfrm>
          <a:off x="202372" y="2152099"/>
          <a:ext cx="13691428" cy="1344266"/>
        </a:xfrm>
        <a:prstGeom prst="rect">
          <a:avLst/>
        </a:prstGeom>
        <a:solidFill>
          <a:schemeClr val="bg1">
            <a:lumMod val="95000"/>
          </a:schemeClr>
        </a:solidFill>
        <a:ln>
          <a:solidFill>
            <a:schemeClr val="bg1">
              <a:lumMod val="9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horz" rtlCol="0" anchor="t"/>
        <a:lstStyle/>
        <a:p>
          <a:pPr algn="l"/>
          <a:r>
            <a:rPr lang="en-US" sz="1100" b="1">
              <a:solidFill>
                <a:schemeClr val="tx1"/>
              </a:solidFill>
              <a:latin typeface="Arial" panose="020B0604020202020204" pitchFamily="34" charset="0"/>
              <a:cs typeface="Arial" panose="020B0604020202020204" pitchFamily="34" charset="0"/>
            </a:rPr>
            <a:t>Tariff</a:t>
          </a:r>
          <a:r>
            <a:rPr lang="en-US" sz="1100" b="1" baseline="0">
              <a:solidFill>
                <a:schemeClr val="tx1"/>
              </a:solidFill>
              <a:latin typeface="Arial" panose="020B0604020202020204" pitchFamily="34" charset="0"/>
              <a:cs typeface="Arial" panose="020B0604020202020204" pitchFamily="34" charset="0"/>
            </a:rPr>
            <a:t> optimisation summary</a:t>
          </a:r>
          <a:endParaRPr lang="en-US" sz="1100" b="1">
            <a:solidFill>
              <a:schemeClr val="tx1"/>
            </a:solidFill>
            <a:latin typeface="Arial" panose="020B0604020202020204" pitchFamily="34" charset="0"/>
            <a:cs typeface="Arial" panose="020B0604020202020204" pitchFamily="34" charset="0"/>
          </a:endParaRPr>
        </a:p>
      </xdr:txBody>
    </xdr:sp>
    <xdr:clientData/>
  </xdr:twoCellAnchor>
  <xdr:twoCellAnchor>
    <xdr:from>
      <xdr:col>1</xdr:col>
      <xdr:colOff>0</xdr:colOff>
      <xdr:row>1</xdr:row>
      <xdr:rowOff>0</xdr:rowOff>
    </xdr:from>
    <xdr:to>
      <xdr:col>4</xdr:col>
      <xdr:colOff>5168625</xdr:colOff>
      <xdr:row>2</xdr:row>
      <xdr:rowOff>213415</xdr:rowOff>
    </xdr:to>
    <xdr:sp macro="" textlink="">
      <xdr:nvSpPr>
        <xdr:cNvPr id="7" name="TextBox 6"/>
        <xdr:cNvSpPr txBox="1"/>
      </xdr:nvSpPr>
      <xdr:spPr>
        <a:xfrm>
          <a:off x="746760" y="182880"/>
          <a:ext cx="2989305" cy="365815"/>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lvl="1"/>
          <a:r>
            <a:rPr lang="en-US" sz="2800" b="1">
              <a:solidFill>
                <a:schemeClr val="tx1"/>
              </a:solidFill>
              <a:latin typeface="Arial" panose="020B0604020202020204" pitchFamily="34" charset="0"/>
              <a:cs typeface="Arial" panose="020B0604020202020204" pitchFamily="34" charset="0"/>
            </a:rPr>
            <a:t>		</a:t>
          </a:r>
          <a:r>
            <a:rPr lang="en-US" sz="2200" b="1">
              <a:solidFill>
                <a:schemeClr val="tx1"/>
              </a:solidFill>
              <a:latin typeface="Arial" panose="020B0604020202020204" pitchFamily="34" charset="0"/>
              <a:cs typeface="Arial" panose="020B0604020202020204" pitchFamily="34" charset="0"/>
            </a:rPr>
            <a:t>Battery storage for business: an investment decision tool</a:t>
          </a:r>
        </a:p>
      </xdr:txBody>
    </xdr:sp>
    <xdr:clientData/>
  </xdr:twoCellAnchor>
  <xdr:oneCellAnchor>
    <xdr:from>
      <xdr:col>2</xdr:col>
      <xdr:colOff>22362</xdr:colOff>
      <xdr:row>1</xdr:row>
      <xdr:rowOff>109885</xdr:rowOff>
    </xdr:from>
    <xdr:ext cx="1207312" cy="571429"/>
    <xdr:pic>
      <xdr:nvPicPr>
        <xdr:cNvPr id="10" name="Picture 9"/>
        <xdr:cNvPicPr>
          <a:picLocks noChangeAspect="1"/>
        </xdr:cNvPicPr>
      </xdr:nvPicPr>
      <xdr:blipFill>
        <a:blip xmlns:r="http://schemas.openxmlformats.org/officeDocument/2006/relationships" r:embed="rId1"/>
        <a:stretch>
          <a:fillRect/>
        </a:stretch>
      </xdr:blipFill>
      <xdr:spPr>
        <a:xfrm>
          <a:off x="739912" y="294035"/>
          <a:ext cx="1207312" cy="571429"/>
        </a:xfrm>
        <a:prstGeom prst="rect">
          <a:avLst/>
        </a:prstGeom>
      </xdr:spPr>
    </xdr:pic>
    <xdr:clientData/>
  </xdr:oneCellAnchor>
  <xdr:twoCellAnchor>
    <xdr:from>
      <xdr:col>2</xdr:col>
      <xdr:colOff>25400</xdr:colOff>
      <xdr:row>48</xdr:row>
      <xdr:rowOff>177800</xdr:rowOff>
    </xdr:from>
    <xdr:to>
      <xdr:col>5</xdr:col>
      <xdr:colOff>0</xdr:colOff>
      <xdr:row>49</xdr:row>
      <xdr:rowOff>6350</xdr:rowOff>
    </xdr:to>
    <xdr:cxnSp macro="">
      <xdr:nvCxnSpPr>
        <xdr:cNvPr id="22" name="Straight Connector 21"/>
        <xdr:cNvCxnSpPr/>
      </xdr:nvCxnSpPr>
      <xdr:spPr>
        <a:xfrm flipV="1">
          <a:off x="742950" y="6616700"/>
          <a:ext cx="13716000" cy="1270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11043</xdr:colOff>
      <xdr:row>27</xdr:row>
      <xdr:rowOff>49694</xdr:rowOff>
    </xdr:from>
    <xdr:to>
      <xdr:col>4</xdr:col>
      <xdr:colOff>4986131</xdr:colOff>
      <xdr:row>27</xdr:row>
      <xdr:rowOff>66260</xdr:rowOff>
    </xdr:to>
    <xdr:cxnSp macro="">
      <xdr:nvCxnSpPr>
        <xdr:cNvPr id="30" name="Straight Connector 29"/>
        <xdr:cNvCxnSpPr/>
      </xdr:nvCxnSpPr>
      <xdr:spPr>
        <a:xfrm>
          <a:off x="1504563" y="4987454"/>
          <a:ext cx="2231888" cy="16566"/>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33131</xdr:colOff>
      <xdr:row>25</xdr:row>
      <xdr:rowOff>88348</xdr:rowOff>
    </xdr:from>
    <xdr:to>
      <xdr:col>4</xdr:col>
      <xdr:colOff>5327650</xdr:colOff>
      <xdr:row>25</xdr:row>
      <xdr:rowOff>107950</xdr:rowOff>
    </xdr:to>
    <xdr:cxnSp macro="">
      <xdr:nvCxnSpPr>
        <xdr:cNvPr id="32" name="Straight Connector 31"/>
        <xdr:cNvCxnSpPr/>
      </xdr:nvCxnSpPr>
      <xdr:spPr>
        <a:xfrm>
          <a:off x="750681" y="5650948"/>
          <a:ext cx="13663819" cy="19602"/>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44174</xdr:colOff>
      <xdr:row>40</xdr:row>
      <xdr:rowOff>115956</xdr:rowOff>
    </xdr:from>
    <xdr:to>
      <xdr:col>5</xdr:col>
      <xdr:colOff>27610</xdr:colOff>
      <xdr:row>40</xdr:row>
      <xdr:rowOff>132522</xdr:rowOff>
    </xdr:to>
    <xdr:cxnSp macro="">
      <xdr:nvCxnSpPr>
        <xdr:cNvPr id="34" name="Straight Connector 33"/>
        <xdr:cNvCxnSpPr/>
      </xdr:nvCxnSpPr>
      <xdr:spPr>
        <a:xfrm>
          <a:off x="1537694" y="7431156"/>
          <a:ext cx="2223716" cy="16566"/>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25400</xdr:colOff>
      <xdr:row>47</xdr:row>
      <xdr:rowOff>381000</xdr:rowOff>
    </xdr:from>
    <xdr:to>
      <xdr:col>4</xdr:col>
      <xdr:colOff>5353050</xdr:colOff>
      <xdr:row>47</xdr:row>
      <xdr:rowOff>393700</xdr:rowOff>
    </xdr:to>
    <xdr:cxnSp macro="">
      <xdr:nvCxnSpPr>
        <xdr:cNvPr id="35" name="Straight Connector 34"/>
        <xdr:cNvCxnSpPr/>
      </xdr:nvCxnSpPr>
      <xdr:spPr>
        <a:xfrm flipV="1">
          <a:off x="742950" y="6127750"/>
          <a:ext cx="13696950" cy="1270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2</xdr:col>
      <xdr:colOff>711200</xdr:colOff>
      <xdr:row>10</xdr:row>
      <xdr:rowOff>120650</xdr:rowOff>
    </xdr:from>
    <xdr:to>
      <xdr:col>2</xdr:col>
      <xdr:colOff>3721100</xdr:colOff>
      <xdr:row>12</xdr:row>
      <xdr:rowOff>31750</xdr:rowOff>
    </xdr:to>
    <xdr:sp macro="" textlink="">
      <xdr:nvSpPr>
        <xdr:cNvPr id="45" name="SummaryLabel1"/>
        <xdr:cNvSpPr txBox="1"/>
      </xdr:nvSpPr>
      <xdr:spPr>
        <a:xfrm>
          <a:off x="1428750" y="2921000"/>
          <a:ext cx="3009900" cy="2794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200" b="0">
              <a:solidFill>
                <a:schemeClr val="tx1"/>
              </a:solidFill>
              <a:latin typeface="Arial" panose="020B0604020202020204" pitchFamily="34" charset="0"/>
              <a:cs typeface="Arial" panose="020B0604020202020204" pitchFamily="34" charset="0"/>
            </a:rPr>
            <a:t>Break even point</a:t>
          </a:r>
        </a:p>
      </xdr:txBody>
    </xdr:sp>
    <xdr:clientData/>
  </xdr:twoCellAnchor>
  <xdr:twoCellAnchor editAs="oneCell">
    <xdr:from>
      <xdr:col>2</xdr:col>
      <xdr:colOff>685800</xdr:colOff>
      <xdr:row>8</xdr:row>
      <xdr:rowOff>101600</xdr:rowOff>
    </xdr:from>
    <xdr:to>
      <xdr:col>2</xdr:col>
      <xdr:colOff>3695700</xdr:colOff>
      <xdr:row>10</xdr:row>
      <xdr:rowOff>120650</xdr:rowOff>
    </xdr:to>
    <xdr:sp macro="" textlink="">
      <xdr:nvSpPr>
        <xdr:cNvPr id="46" name="SummaryValue1"/>
        <xdr:cNvSpPr txBox="1"/>
      </xdr:nvSpPr>
      <xdr:spPr>
        <a:xfrm>
          <a:off x="1403350" y="2533650"/>
          <a:ext cx="3009900" cy="3873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2000" b="1">
              <a:solidFill>
                <a:schemeClr val="tx1"/>
              </a:solidFill>
              <a:latin typeface="Arial" panose="020B0604020202020204" pitchFamily="34" charset="0"/>
              <a:cs typeface="Arial" panose="020B0604020202020204" pitchFamily="34" charset="0"/>
            </a:rPr>
            <a:t>11.4 years</a:t>
          </a:r>
        </a:p>
      </xdr:txBody>
    </xdr:sp>
    <xdr:clientData/>
  </xdr:twoCellAnchor>
  <xdr:twoCellAnchor editAs="oneCell">
    <xdr:from>
      <xdr:col>3</xdr:col>
      <xdr:colOff>450850</xdr:colOff>
      <xdr:row>10</xdr:row>
      <xdr:rowOff>120650</xdr:rowOff>
    </xdr:from>
    <xdr:to>
      <xdr:col>3</xdr:col>
      <xdr:colOff>3486150</xdr:colOff>
      <xdr:row>13</xdr:row>
      <xdr:rowOff>19050</xdr:rowOff>
    </xdr:to>
    <xdr:sp macro="" textlink="">
      <xdr:nvSpPr>
        <xdr:cNvPr id="47" name="SummaryLabel2"/>
        <xdr:cNvSpPr txBox="1"/>
      </xdr:nvSpPr>
      <xdr:spPr>
        <a:xfrm>
          <a:off x="5632450" y="2921000"/>
          <a:ext cx="3035300" cy="450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200" b="0">
              <a:solidFill>
                <a:schemeClr val="tx1"/>
              </a:solidFill>
              <a:latin typeface="Arial" panose="020B0604020202020204" pitchFamily="34" charset="0"/>
              <a:cs typeface="Arial" panose="020B0604020202020204" pitchFamily="34" charset="0"/>
            </a:rPr>
            <a:t>The proportion of system's cost recovered after 15 Years</a:t>
          </a:r>
        </a:p>
      </xdr:txBody>
    </xdr:sp>
    <xdr:clientData/>
  </xdr:twoCellAnchor>
  <xdr:twoCellAnchor editAs="oneCell">
    <xdr:from>
      <xdr:col>3</xdr:col>
      <xdr:colOff>425450</xdr:colOff>
      <xdr:row>8</xdr:row>
      <xdr:rowOff>101600</xdr:rowOff>
    </xdr:from>
    <xdr:to>
      <xdr:col>3</xdr:col>
      <xdr:colOff>3435350</xdr:colOff>
      <xdr:row>10</xdr:row>
      <xdr:rowOff>120650</xdr:rowOff>
    </xdr:to>
    <xdr:sp macro="" textlink="">
      <xdr:nvSpPr>
        <xdr:cNvPr id="48" name="SummaryValue2"/>
        <xdr:cNvSpPr txBox="1"/>
      </xdr:nvSpPr>
      <xdr:spPr>
        <a:xfrm>
          <a:off x="5607050" y="2533650"/>
          <a:ext cx="3009900" cy="3873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2000" b="1">
              <a:solidFill>
                <a:schemeClr val="tx1"/>
              </a:solidFill>
              <a:latin typeface="Arial" panose="020B0604020202020204" pitchFamily="34" charset="0"/>
              <a:cs typeface="Arial" panose="020B0604020202020204" pitchFamily="34" charset="0"/>
            </a:rPr>
            <a:t>139%</a:t>
          </a:r>
        </a:p>
      </xdr:txBody>
    </xdr:sp>
    <xdr:clientData/>
  </xdr:twoCellAnchor>
  <xdr:twoCellAnchor editAs="oneCell">
    <xdr:from>
      <xdr:col>4</xdr:col>
      <xdr:colOff>749300</xdr:colOff>
      <xdr:row>10</xdr:row>
      <xdr:rowOff>120650</xdr:rowOff>
    </xdr:from>
    <xdr:to>
      <xdr:col>4</xdr:col>
      <xdr:colOff>3765550</xdr:colOff>
      <xdr:row>13</xdr:row>
      <xdr:rowOff>31750</xdr:rowOff>
    </xdr:to>
    <xdr:sp macro="" textlink="">
      <xdr:nvSpPr>
        <xdr:cNvPr id="49" name="SummaryLabel3"/>
        <xdr:cNvSpPr txBox="1"/>
      </xdr:nvSpPr>
      <xdr:spPr>
        <a:xfrm>
          <a:off x="9836150" y="2921000"/>
          <a:ext cx="3016250" cy="463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200" b="0">
              <a:solidFill>
                <a:schemeClr val="tx1"/>
              </a:solidFill>
              <a:latin typeface="Arial" panose="020B0604020202020204" pitchFamily="34" charset="0"/>
              <a:cs typeface="Arial" panose="020B0604020202020204" pitchFamily="34" charset="0"/>
            </a:rPr>
            <a:t>The number of times the system's cost is recovered over its possible lifetime</a:t>
          </a:r>
        </a:p>
      </xdr:txBody>
    </xdr:sp>
    <xdr:clientData/>
  </xdr:twoCellAnchor>
  <xdr:twoCellAnchor editAs="oneCell">
    <xdr:from>
      <xdr:col>4</xdr:col>
      <xdr:colOff>723900</xdr:colOff>
      <xdr:row>8</xdr:row>
      <xdr:rowOff>101600</xdr:rowOff>
    </xdr:from>
    <xdr:to>
      <xdr:col>4</xdr:col>
      <xdr:colOff>3733800</xdr:colOff>
      <xdr:row>10</xdr:row>
      <xdr:rowOff>120650</xdr:rowOff>
    </xdr:to>
    <xdr:sp macro="" textlink="">
      <xdr:nvSpPr>
        <xdr:cNvPr id="50" name="SummaryValue3"/>
        <xdr:cNvSpPr txBox="1"/>
      </xdr:nvSpPr>
      <xdr:spPr>
        <a:xfrm>
          <a:off x="9810750" y="2533650"/>
          <a:ext cx="3009900" cy="3873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2000" b="1">
              <a:solidFill>
                <a:schemeClr val="tx1"/>
              </a:solidFill>
              <a:latin typeface="Arial" panose="020B0604020202020204" pitchFamily="34" charset="0"/>
              <a:cs typeface="Arial" panose="020B0604020202020204" pitchFamily="34" charset="0"/>
            </a:rPr>
            <a:t>1.4</a:t>
          </a:r>
        </a:p>
      </xdr:txBody>
    </xdr:sp>
    <xdr:clientData/>
  </xdr:twoCellAnchor>
  <xdr:twoCellAnchor editAs="oneCell">
    <xdr:from>
      <xdr:col>2</xdr:col>
      <xdr:colOff>717550</xdr:colOff>
      <xdr:row>21</xdr:row>
      <xdr:rowOff>38100</xdr:rowOff>
    </xdr:from>
    <xdr:to>
      <xdr:col>2</xdr:col>
      <xdr:colOff>3727450</xdr:colOff>
      <xdr:row>22</xdr:row>
      <xdr:rowOff>133350</xdr:rowOff>
    </xdr:to>
    <xdr:sp macro="" textlink="">
      <xdr:nvSpPr>
        <xdr:cNvPr id="51" name="PeakSummaryLabel1"/>
        <xdr:cNvSpPr txBox="1"/>
      </xdr:nvSpPr>
      <xdr:spPr>
        <a:xfrm>
          <a:off x="1435100" y="4864100"/>
          <a:ext cx="3009900" cy="2794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200" b="0">
              <a:solidFill>
                <a:schemeClr val="tx1"/>
              </a:solidFill>
              <a:latin typeface="Arial" panose="020B0604020202020204" pitchFamily="34" charset="0"/>
              <a:cs typeface="Arial" panose="020B0604020202020204" pitchFamily="34" charset="0"/>
            </a:rPr>
            <a:t>Break even point</a:t>
          </a:r>
        </a:p>
      </xdr:txBody>
    </xdr:sp>
    <xdr:clientData/>
  </xdr:twoCellAnchor>
  <xdr:twoCellAnchor editAs="oneCell">
    <xdr:from>
      <xdr:col>2</xdr:col>
      <xdr:colOff>692150</xdr:colOff>
      <xdr:row>19</xdr:row>
      <xdr:rowOff>19050</xdr:rowOff>
    </xdr:from>
    <xdr:to>
      <xdr:col>2</xdr:col>
      <xdr:colOff>3702050</xdr:colOff>
      <xdr:row>21</xdr:row>
      <xdr:rowOff>38100</xdr:rowOff>
    </xdr:to>
    <xdr:sp macro="" textlink="">
      <xdr:nvSpPr>
        <xdr:cNvPr id="52" name="PeakSummaryValue1"/>
        <xdr:cNvSpPr txBox="1"/>
      </xdr:nvSpPr>
      <xdr:spPr>
        <a:xfrm>
          <a:off x="1409700" y="4476750"/>
          <a:ext cx="3009900" cy="3873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2000" b="1">
              <a:solidFill>
                <a:schemeClr val="tx1"/>
              </a:solidFill>
              <a:latin typeface="Arial" panose="020B0604020202020204" pitchFamily="34" charset="0"/>
              <a:cs typeface="Arial" panose="020B0604020202020204" pitchFamily="34" charset="0"/>
            </a:rPr>
            <a:t>7.7 Years</a:t>
          </a:r>
        </a:p>
      </xdr:txBody>
    </xdr:sp>
    <xdr:clientData/>
  </xdr:twoCellAnchor>
  <xdr:twoCellAnchor editAs="oneCell">
    <xdr:from>
      <xdr:col>3</xdr:col>
      <xdr:colOff>457200</xdr:colOff>
      <xdr:row>21</xdr:row>
      <xdr:rowOff>38100</xdr:rowOff>
    </xdr:from>
    <xdr:to>
      <xdr:col>3</xdr:col>
      <xdr:colOff>3467100</xdr:colOff>
      <xdr:row>24</xdr:row>
      <xdr:rowOff>12700</xdr:rowOff>
    </xdr:to>
    <xdr:sp macro="" textlink="">
      <xdr:nvSpPr>
        <xdr:cNvPr id="53" name="PeakSummaryLabel2"/>
        <xdr:cNvSpPr txBox="1"/>
      </xdr:nvSpPr>
      <xdr:spPr>
        <a:xfrm>
          <a:off x="5638800" y="4864100"/>
          <a:ext cx="3009900" cy="5270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200" b="0">
              <a:solidFill>
                <a:schemeClr val="tx1"/>
              </a:solidFill>
              <a:latin typeface="Arial" panose="020B0604020202020204" pitchFamily="34" charset="0"/>
              <a:cs typeface="Arial" panose="020B0604020202020204" pitchFamily="34" charset="0"/>
            </a:rPr>
            <a:t>The proportion of system's cost recovered after 15 Years</a:t>
          </a:r>
        </a:p>
      </xdr:txBody>
    </xdr:sp>
    <xdr:clientData/>
  </xdr:twoCellAnchor>
  <xdr:twoCellAnchor editAs="oneCell">
    <xdr:from>
      <xdr:col>3</xdr:col>
      <xdr:colOff>431800</xdr:colOff>
      <xdr:row>19</xdr:row>
      <xdr:rowOff>19050</xdr:rowOff>
    </xdr:from>
    <xdr:to>
      <xdr:col>3</xdr:col>
      <xdr:colOff>3441700</xdr:colOff>
      <xdr:row>21</xdr:row>
      <xdr:rowOff>38100</xdr:rowOff>
    </xdr:to>
    <xdr:sp macro="" textlink="">
      <xdr:nvSpPr>
        <xdr:cNvPr id="54" name="PeakSummaryValue2"/>
        <xdr:cNvSpPr txBox="1"/>
      </xdr:nvSpPr>
      <xdr:spPr>
        <a:xfrm>
          <a:off x="5613400" y="4476750"/>
          <a:ext cx="3009900" cy="3873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2000" b="1">
              <a:solidFill>
                <a:schemeClr val="tx1"/>
              </a:solidFill>
              <a:latin typeface="Arial" panose="020B0604020202020204" pitchFamily="34" charset="0"/>
              <a:cs typeface="Arial" panose="020B0604020202020204" pitchFamily="34" charset="0"/>
            </a:rPr>
            <a:t>215%</a:t>
          </a:r>
        </a:p>
      </xdr:txBody>
    </xdr:sp>
    <xdr:clientData/>
  </xdr:twoCellAnchor>
  <xdr:twoCellAnchor editAs="oneCell">
    <xdr:from>
      <xdr:col>4</xdr:col>
      <xdr:colOff>755650</xdr:colOff>
      <xdr:row>21</xdr:row>
      <xdr:rowOff>38100</xdr:rowOff>
    </xdr:from>
    <xdr:to>
      <xdr:col>4</xdr:col>
      <xdr:colOff>3816350</xdr:colOff>
      <xdr:row>23</xdr:row>
      <xdr:rowOff>177800</xdr:rowOff>
    </xdr:to>
    <xdr:sp macro="" textlink="">
      <xdr:nvSpPr>
        <xdr:cNvPr id="55" name="PeakSummaryLabel3"/>
        <xdr:cNvSpPr txBox="1"/>
      </xdr:nvSpPr>
      <xdr:spPr>
        <a:xfrm>
          <a:off x="10191750" y="4864100"/>
          <a:ext cx="3060700" cy="508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200" b="0">
              <a:solidFill>
                <a:schemeClr val="tx1"/>
              </a:solidFill>
              <a:latin typeface="Arial" panose="020B0604020202020204" pitchFamily="34" charset="0"/>
              <a:cs typeface="Arial" panose="020B0604020202020204" pitchFamily="34" charset="0"/>
            </a:rPr>
            <a:t>The number of times the system's cost is recovered over its possible lifetime</a:t>
          </a:r>
        </a:p>
      </xdr:txBody>
    </xdr:sp>
    <xdr:clientData/>
  </xdr:twoCellAnchor>
  <xdr:twoCellAnchor editAs="oneCell">
    <xdr:from>
      <xdr:col>4</xdr:col>
      <xdr:colOff>730250</xdr:colOff>
      <xdr:row>19</xdr:row>
      <xdr:rowOff>19050</xdr:rowOff>
    </xdr:from>
    <xdr:to>
      <xdr:col>4</xdr:col>
      <xdr:colOff>3740150</xdr:colOff>
      <xdr:row>21</xdr:row>
      <xdr:rowOff>38100</xdr:rowOff>
    </xdr:to>
    <xdr:sp macro="" textlink="">
      <xdr:nvSpPr>
        <xdr:cNvPr id="56" name="PeakSummaryValue3"/>
        <xdr:cNvSpPr txBox="1"/>
      </xdr:nvSpPr>
      <xdr:spPr>
        <a:xfrm>
          <a:off x="10166350" y="4476750"/>
          <a:ext cx="3009900" cy="3873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2000" b="1">
              <a:solidFill>
                <a:schemeClr val="tx1"/>
              </a:solidFill>
              <a:latin typeface="Arial" panose="020B0604020202020204" pitchFamily="34" charset="0"/>
              <a:cs typeface="Arial" panose="020B0604020202020204" pitchFamily="34" charset="0"/>
            </a:rPr>
            <a:t>2.2</a:t>
          </a:r>
        </a:p>
      </xdr:txBody>
    </xdr:sp>
    <xdr:clientData/>
  </xdr:twoCellAnchor>
  <xdr:twoCellAnchor editAs="oneCell">
    <xdr:from>
      <xdr:col>1</xdr:col>
      <xdr:colOff>184150</xdr:colOff>
      <xdr:row>15</xdr:row>
      <xdr:rowOff>0</xdr:rowOff>
    </xdr:from>
    <xdr:to>
      <xdr:col>4</xdr:col>
      <xdr:colOff>882650</xdr:colOff>
      <xdr:row>17</xdr:row>
      <xdr:rowOff>19050</xdr:rowOff>
    </xdr:to>
    <xdr:sp macro="" textlink="">
      <xdr:nvSpPr>
        <xdr:cNvPr id="57" name="PeakSummaryText1"/>
        <xdr:cNvSpPr txBox="1"/>
      </xdr:nvSpPr>
      <xdr:spPr>
        <a:xfrm>
          <a:off x="704850" y="3721100"/>
          <a:ext cx="9613900" cy="3873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400" b="1">
              <a:solidFill>
                <a:schemeClr val="tx1"/>
              </a:solidFill>
              <a:latin typeface="Arial" panose="020B0604020202020204" pitchFamily="34" charset="0"/>
              <a:cs typeface="Arial" panose="020B0604020202020204" pitchFamily="34" charset="0"/>
            </a:rPr>
            <a:t>Peak shaving using battery storage appears to be feasible for your business.</a:t>
          </a:r>
        </a:p>
      </xdr:txBody>
    </xdr:sp>
    <xdr:clientData/>
  </xdr:twoCellAnchor>
  <xdr:twoCellAnchor editAs="oneCell">
    <xdr:from>
      <xdr:col>1</xdr:col>
      <xdr:colOff>190500</xdr:colOff>
      <xdr:row>2</xdr:row>
      <xdr:rowOff>698500</xdr:rowOff>
    </xdr:from>
    <xdr:to>
      <xdr:col>4</xdr:col>
      <xdr:colOff>965200</xdr:colOff>
      <xdr:row>4</xdr:row>
      <xdr:rowOff>158750</xdr:rowOff>
    </xdr:to>
    <xdr:sp macro="" textlink="">
      <xdr:nvSpPr>
        <xdr:cNvPr id="58" name="SummaryText1"/>
        <xdr:cNvSpPr txBox="1"/>
      </xdr:nvSpPr>
      <xdr:spPr>
        <a:xfrm>
          <a:off x="711200" y="1466850"/>
          <a:ext cx="9690100" cy="3873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400" b="1">
              <a:solidFill>
                <a:schemeClr val="tx1"/>
              </a:solidFill>
              <a:latin typeface="Arial" panose="020B0604020202020204" pitchFamily="34" charset="0"/>
              <a:cs typeface="Arial" panose="020B0604020202020204" pitchFamily="34" charset="0"/>
            </a:rPr>
            <a:t>Battery storage and tariff optimisation appears to be feasible for your business</a:t>
          </a:r>
        </a:p>
      </xdr:txBody>
    </xdr:sp>
    <xdr:clientData/>
  </xdr:twoCellAnchor>
  <xdr:twoCellAnchor editAs="oneCell">
    <xdr:from>
      <xdr:col>1</xdr:col>
      <xdr:colOff>177800</xdr:colOff>
      <xdr:row>2</xdr:row>
      <xdr:rowOff>355600</xdr:rowOff>
    </xdr:from>
    <xdr:to>
      <xdr:col>2</xdr:col>
      <xdr:colOff>3765550</xdr:colOff>
      <xdr:row>2</xdr:row>
      <xdr:rowOff>698500</xdr:rowOff>
    </xdr:to>
    <xdr:sp macro="" textlink="">
      <xdr:nvSpPr>
        <xdr:cNvPr id="61" name="Heading"/>
        <xdr:cNvSpPr txBox="1"/>
      </xdr:nvSpPr>
      <xdr:spPr>
        <a:xfrm>
          <a:off x="698500" y="1123950"/>
          <a:ext cx="3784600" cy="3429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solidFill>
                <a:schemeClr val="tx1"/>
              </a:solidFill>
              <a:latin typeface="Arial" panose="020B0604020202020204" pitchFamily="34" charset="0"/>
              <a:cs typeface="Arial" panose="020B0604020202020204" pitchFamily="34" charset="0"/>
            </a:rPr>
            <a:t>STEP 3</a:t>
          </a:r>
          <a:r>
            <a:rPr lang="en-US" sz="1600" b="1" baseline="0">
              <a:solidFill>
                <a:schemeClr val="tx1"/>
              </a:solidFill>
              <a:latin typeface="Arial" panose="020B0604020202020204" pitchFamily="34" charset="0"/>
              <a:cs typeface="Arial" panose="020B0604020202020204" pitchFamily="34" charset="0"/>
            </a:rPr>
            <a:t>   Summary</a:t>
          </a:r>
          <a:endParaRPr lang="en-US" sz="1600" b="1">
            <a:solidFill>
              <a:schemeClr val="tx1"/>
            </a:solidFill>
            <a:latin typeface="Arial" panose="020B0604020202020204" pitchFamily="34" charset="0"/>
            <a:cs typeface="Arial" panose="020B0604020202020204" pitchFamily="34" charset="0"/>
          </a:endParaRPr>
        </a:p>
      </xdr:txBody>
    </xdr:sp>
    <xdr:clientData/>
  </xdr:twoCellAnchor>
  <xdr:twoCellAnchor editAs="oneCell">
    <xdr:from>
      <xdr:col>2</xdr:col>
      <xdr:colOff>1530350</xdr:colOff>
      <xdr:row>47</xdr:row>
      <xdr:rowOff>501650</xdr:rowOff>
    </xdr:from>
    <xdr:to>
      <xdr:col>2</xdr:col>
      <xdr:colOff>3670300</xdr:colOff>
      <xdr:row>48</xdr:row>
      <xdr:rowOff>95250</xdr:rowOff>
    </xdr:to>
    <xdr:sp macro="[0]!PrintSummary_Click" textlink="">
      <xdr:nvSpPr>
        <xdr:cNvPr id="65" name="PrintSummary"/>
        <xdr:cNvSpPr txBox="1"/>
      </xdr:nvSpPr>
      <xdr:spPr>
        <a:xfrm>
          <a:off x="2247900" y="6248400"/>
          <a:ext cx="2139950" cy="285750"/>
        </a:xfrm>
        <a:prstGeom prst="rect">
          <a:avLst/>
        </a:prstGeom>
        <a:solidFill>
          <a:srgbClr val="00A9D8"/>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a:solidFill>
                <a:schemeClr val="bg1"/>
              </a:solidFill>
              <a:latin typeface="Arial" panose="020B0604020202020204" pitchFamily="34" charset="0"/>
              <a:cs typeface="Arial" panose="020B0604020202020204" pitchFamily="34" charset="0"/>
            </a:rPr>
            <a:t>PRINT</a:t>
          </a:r>
        </a:p>
      </xdr:txBody>
    </xdr:sp>
    <xdr:clientData/>
  </xdr:twoCellAnchor>
  <xdr:twoCellAnchor editAs="oneCell">
    <xdr:from>
      <xdr:col>2</xdr:col>
      <xdr:colOff>3892550</xdr:colOff>
      <xdr:row>47</xdr:row>
      <xdr:rowOff>501650</xdr:rowOff>
    </xdr:from>
    <xdr:to>
      <xdr:col>3</xdr:col>
      <xdr:colOff>1568450</xdr:colOff>
      <xdr:row>48</xdr:row>
      <xdr:rowOff>95250</xdr:rowOff>
    </xdr:to>
    <xdr:sp macro="[0]!Customise_Click" textlink="">
      <xdr:nvSpPr>
        <xdr:cNvPr id="66" name="Customise"/>
        <xdr:cNvSpPr txBox="1"/>
      </xdr:nvSpPr>
      <xdr:spPr>
        <a:xfrm>
          <a:off x="4610100" y="6248400"/>
          <a:ext cx="2139950" cy="285750"/>
        </a:xfrm>
        <a:prstGeom prst="rect">
          <a:avLst/>
        </a:prstGeom>
        <a:solidFill>
          <a:srgbClr val="00A9D8"/>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a:solidFill>
                <a:schemeClr val="bg1"/>
              </a:solidFill>
              <a:latin typeface="Arial" panose="020B0604020202020204" pitchFamily="34" charset="0"/>
              <a:cs typeface="Arial" panose="020B0604020202020204" pitchFamily="34" charset="0"/>
            </a:rPr>
            <a:t>GO BACK</a:t>
          </a:r>
        </a:p>
      </xdr:txBody>
    </xdr:sp>
    <xdr:clientData/>
  </xdr:twoCellAnchor>
  <xdr:twoCellAnchor editAs="oneCell">
    <xdr:from>
      <xdr:col>3</xdr:col>
      <xdr:colOff>1841500</xdr:colOff>
      <xdr:row>47</xdr:row>
      <xdr:rowOff>501650</xdr:rowOff>
    </xdr:from>
    <xdr:to>
      <xdr:col>3</xdr:col>
      <xdr:colOff>3981450</xdr:colOff>
      <xdr:row>48</xdr:row>
      <xdr:rowOff>95250</xdr:rowOff>
    </xdr:to>
    <xdr:sp macro="[0]!ShowGraph_Click" textlink="">
      <xdr:nvSpPr>
        <xdr:cNvPr id="69" name="ShowGraph" hidden="1"/>
        <xdr:cNvSpPr txBox="1"/>
      </xdr:nvSpPr>
      <xdr:spPr>
        <a:xfrm>
          <a:off x="7023100" y="6248400"/>
          <a:ext cx="2139950" cy="285750"/>
        </a:xfrm>
        <a:prstGeom prst="rect">
          <a:avLst/>
        </a:prstGeom>
        <a:solidFill>
          <a:srgbClr val="00A9D8"/>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a:solidFill>
                <a:schemeClr val="bg1"/>
              </a:solidFill>
              <a:latin typeface="Arial" panose="020B0604020202020204" pitchFamily="34" charset="0"/>
              <a:cs typeface="Arial" panose="020B0604020202020204" pitchFamily="34" charset="0"/>
            </a:rPr>
            <a:t>SHOW</a:t>
          </a:r>
          <a:r>
            <a:rPr lang="en-US" sz="1100" b="1" baseline="0">
              <a:solidFill>
                <a:schemeClr val="bg1"/>
              </a:solidFill>
              <a:latin typeface="Arial" panose="020B0604020202020204" pitchFamily="34" charset="0"/>
              <a:cs typeface="Arial" panose="020B0604020202020204" pitchFamily="34" charset="0"/>
            </a:rPr>
            <a:t> GRAPH</a:t>
          </a:r>
          <a:endParaRPr lang="en-US" sz="1100" b="1">
            <a:solidFill>
              <a:schemeClr val="bg1"/>
            </a:solidFill>
            <a:latin typeface="Arial" panose="020B0604020202020204" pitchFamily="34" charset="0"/>
            <a:cs typeface="Arial" panose="020B0604020202020204" pitchFamily="34" charset="0"/>
          </a:endParaRPr>
        </a:p>
      </xdr:txBody>
    </xdr:sp>
    <xdr:clientData/>
  </xdr:twoCellAnchor>
  <xdr:twoCellAnchor editAs="oneCell">
    <xdr:from>
      <xdr:col>2</xdr:col>
      <xdr:colOff>5522</xdr:colOff>
      <xdr:row>8</xdr:row>
      <xdr:rowOff>19051</xdr:rowOff>
    </xdr:from>
    <xdr:to>
      <xdr:col>4</xdr:col>
      <xdr:colOff>4609272</xdr:colOff>
      <xdr:row>13</xdr:row>
      <xdr:rowOff>114301</xdr:rowOff>
    </xdr:to>
    <xdr:sp macro="" textlink="">
      <xdr:nvSpPr>
        <xdr:cNvPr id="76" name="ErrorOutputComment" hidden="1"/>
        <xdr:cNvSpPr/>
      </xdr:nvSpPr>
      <xdr:spPr>
        <a:xfrm>
          <a:off x="723072" y="2451101"/>
          <a:ext cx="13322300" cy="1016000"/>
        </a:xfrm>
        <a:prstGeom prst="rect">
          <a:avLst/>
        </a:prstGeom>
        <a:noFill/>
        <a:ln>
          <a:solidFill>
            <a:schemeClr val="bg1">
              <a:lumMod val="9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horz" rtlCol="0" anchor="t"/>
        <a:lstStyle/>
        <a:p>
          <a:pPr algn="l"/>
          <a:r>
            <a:rPr lang="en-US" sz="1100">
              <a:solidFill>
                <a:schemeClr val="tx1"/>
              </a:solidFill>
              <a:latin typeface="Arial" panose="020B0604020202020204" pitchFamily="34" charset="0"/>
              <a:cs typeface="Arial" panose="020B0604020202020204" pitchFamily="34" charset="0"/>
            </a:rPr>
            <a:t> -  The business is prepared for capital expenditure
 -  The business is allowed to modify its electrical infrastructure
 -  A battery room may be a show-stopper for the business. For more details refer to the OEH document  'i am you battery storage guide', or visit the Clean Energy Council website for installation guidelines.
 -  The business requires off-grid capability. Detailed site analysis is required for requirements to be accurate
 -  
</a:t>
          </a:r>
        </a:p>
      </xdr:txBody>
    </xdr:sp>
    <xdr:clientData/>
  </xdr:twoCellAnchor>
  <xdr:twoCellAnchor editAs="oneCell">
    <xdr:from>
      <xdr:col>2</xdr:col>
      <xdr:colOff>18222</xdr:colOff>
      <xdr:row>19</xdr:row>
      <xdr:rowOff>57151</xdr:rowOff>
    </xdr:from>
    <xdr:to>
      <xdr:col>4</xdr:col>
      <xdr:colOff>4621972</xdr:colOff>
      <xdr:row>24</xdr:row>
      <xdr:rowOff>31750</xdr:rowOff>
    </xdr:to>
    <xdr:sp macro="" textlink="">
      <xdr:nvSpPr>
        <xdr:cNvPr id="77" name="PeakErrorOutputComment" hidden="1"/>
        <xdr:cNvSpPr/>
      </xdr:nvSpPr>
      <xdr:spPr>
        <a:xfrm>
          <a:off x="735772" y="4514851"/>
          <a:ext cx="13322300" cy="895349"/>
        </a:xfrm>
        <a:prstGeom prst="rect">
          <a:avLst/>
        </a:prstGeom>
        <a:noFill/>
        <a:ln>
          <a:solidFill>
            <a:schemeClr val="bg1">
              <a:lumMod val="9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horz" rtlCol="0" anchor="t"/>
        <a:lstStyle/>
        <a:p>
          <a:pPr algn="l"/>
          <a:r>
            <a:rPr lang="en-US" sz="1100">
              <a:solidFill>
                <a:schemeClr val="tx1"/>
              </a:solidFill>
              <a:latin typeface="Arial" panose="020B0604020202020204" pitchFamily="34" charset="0"/>
              <a:cs typeface="Arial" panose="020B0604020202020204" pitchFamily="34" charset="0"/>
            </a:rPr>
            <a:t> -  Capacity charges apply to the business
 -  Peak usage could occur at any time
</a:t>
          </a:r>
        </a:p>
      </xdr:txBody>
    </xdr:sp>
    <xdr:clientData/>
  </xdr:twoCellAnchor>
  <xdr:twoCellAnchor>
    <xdr:from>
      <xdr:col>2</xdr:col>
      <xdr:colOff>50800</xdr:colOff>
      <xdr:row>50</xdr:row>
      <xdr:rowOff>12700</xdr:rowOff>
    </xdr:from>
    <xdr:to>
      <xdr:col>4</xdr:col>
      <xdr:colOff>2482850</xdr:colOff>
      <xdr:row>53</xdr:row>
      <xdr:rowOff>141472</xdr:rowOff>
    </xdr:to>
    <xdr:grpSp>
      <xdr:nvGrpSpPr>
        <xdr:cNvPr id="68" name="Group 67"/>
        <xdr:cNvGrpSpPr/>
      </xdr:nvGrpSpPr>
      <xdr:grpSpPr>
        <a:xfrm>
          <a:off x="247650" y="6819900"/>
          <a:ext cx="11150600" cy="681222"/>
          <a:chOff x="615950" y="7362190"/>
          <a:chExt cx="10627916" cy="655822"/>
        </a:xfrm>
      </xdr:grpSpPr>
      <xdr:pic>
        <xdr:nvPicPr>
          <xdr:cNvPr id="71" name="Picture 70"/>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15950" y="7362190"/>
            <a:ext cx="1246230" cy="655822"/>
          </a:xfrm>
          <a:prstGeom prst="rect">
            <a:avLst/>
          </a:prstGeom>
        </xdr:spPr>
      </xdr:pic>
      <xdr:sp macro="" textlink="">
        <xdr:nvSpPr>
          <xdr:cNvPr id="72" name="ShapeQ3Label">
            <a:hlinkClick xmlns:r="http://schemas.openxmlformats.org/officeDocument/2006/relationships" r:id="rId3"/>
          </xdr:cNvPr>
          <xdr:cNvSpPr txBox="1"/>
        </xdr:nvSpPr>
        <xdr:spPr>
          <a:xfrm>
            <a:off x="2089150" y="7594600"/>
            <a:ext cx="9154716" cy="2730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US" sz="1100" b="0">
                <a:solidFill>
                  <a:srgbClr xmlns:mc="http://schemas.openxmlformats.org/markup-compatibility/2006" xmlns:a14="http://schemas.microsoft.com/office/drawing/2010/main" val="000000" mc:Ignorable="a14" a14:legacySpreadsheetColorIndex="8"/>
                </a:solidFill>
                <a:latin typeface="Arial" panose="020B0604020202020204" pitchFamily="34" charset="0"/>
                <a:cs typeface="Arial" panose="020B0604020202020204" pitchFamily="34" charset="0"/>
              </a:rPr>
              <a:t>For more information please contact the Energy Efficient Business Team on </a:t>
            </a:r>
            <a:r>
              <a:rPr lang="en-US" sz="1100" b="1">
                <a:solidFill>
                  <a:srgbClr xmlns:mc="http://schemas.openxmlformats.org/markup-compatibility/2006" xmlns:a14="http://schemas.microsoft.com/office/drawing/2010/main" val="000000" mc:Ignorable="a14" a14:legacySpreadsheetColorIndex="8"/>
                </a:solidFill>
                <a:latin typeface="Arial" panose="020B0604020202020204" pitchFamily="34" charset="0"/>
                <a:cs typeface="Arial" panose="020B0604020202020204" pitchFamily="34" charset="0"/>
              </a:rPr>
              <a:t>1300</a:t>
            </a:r>
            <a:r>
              <a:rPr lang="en-US" sz="1100" b="1" baseline="0">
                <a:solidFill>
                  <a:srgbClr xmlns:mc="http://schemas.openxmlformats.org/markup-compatibility/2006" xmlns:a14="http://schemas.microsoft.com/office/drawing/2010/main" val="000000" mc:Ignorable="a14" a14:legacySpreadsheetColorIndex="8"/>
                </a:solidFill>
                <a:latin typeface="Arial" panose="020B0604020202020204" pitchFamily="34" charset="0"/>
                <a:cs typeface="Arial" panose="020B0604020202020204" pitchFamily="34" charset="0"/>
              </a:rPr>
              <a:t> 361 967 </a:t>
            </a:r>
            <a:r>
              <a:rPr lang="en-US" sz="1100" b="0" baseline="0">
                <a:solidFill>
                  <a:srgbClr xmlns:mc="http://schemas.openxmlformats.org/markup-compatibility/2006" xmlns:a14="http://schemas.microsoft.com/office/drawing/2010/main" val="000000" mc:Ignorable="a14" a14:legacySpreadsheetColorIndex="8"/>
                </a:solidFill>
                <a:latin typeface="Arial" panose="020B0604020202020204" pitchFamily="34" charset="0"/>
                <a:cs typeface="Arial" panose="020B0604020202020204" pitchFamily="34" charset="0"/>
              </a:rPr>
              <a:t>or email: </a:t>
            </a:r>
            <a:r>
              <a:rPr lang="en-AU" sz="1100" u="sng">
                <a:solidFill>
                  <a:srgbClr val="056399"/>
                </a:solidFill>
                <a:effectLst/>
                <a:latin typeface="Arial" panose="020B0604020202020204" pitchFamily="34" charset="0"/>
                <a:ea typeface="+mn-ea"/>
                <a:cs typeface="Arial" panose="020B0604020202020204" pitchFamily="34" charset="0"/>
              </a:rPr>
              <a:t>energy.saver@environment.nsw.gov.au</a:t>
            </a:r>
            <a:endParaRPr lang="en-US">
              <a:solidFill>
                <a:srgbClr val="056399"/>
              </a:solidFill>
              <a:effectLst/>
              <a:latin typeface="Arial" panose="020B0604020202020204" pitchFamily="34" charset="0"/>
              <a:cs typeface="Arial" panose="020B0604020202020204" pitchFamily="34" charset="0"/>
            </a:endParaRPr>
          </a:p>
          <a:p>
            <a:r>
              <a:rPr lang="en-US" sz="1100" b="0" baseline="0">
                <a:solidFill>
                  <a:srgbClr xmlns:mc="http://schemas.openxmlformats.org/markup-compatibility/2006" xmlns:a14="http://schemas.microsoft.com/office/drawing/2010/main" val="000000" mc:Ignorable="a14" a14:legacySpreadsheetColorIndex="8"/>
                </a:solidFill>
                <a:latin typeface="Arial" panose="020B0604020202020204" pitchFamily="34" charset="0"/>
                <a:cs typeface="Arial" panose="020B0604020202020204" pitchFamily="34" charset="0"/>
              </a:rPr>
              <a:t>: </a:t>
            </a:r>
            <a:endParaRPr lang="en-US" sz="1100" b="0">
              <a:solidFill>
                <a:srgbClr xmlns:mc="http://schemas.openxmlformats.org/markup-compatibility/2006" xmlns:a14="http://schemas.microsoft.com/office/drawing/2010/main" val="000000" mc:Ignorable="a14" a14:legacySpreadsheetColorIndex="8"/>
              </a:solidFill>
              <a:latin typeface="Arial" panose="020B0604020202020204" pitchFamily="34" charset="0"/>
              <a:cs typeface="Arial" panose="020B0604020202020204" pitchFamily="34" charset="0"/>
            </a:endParaRPr>
          </a:p>
        </xdr:txBody>
      </xdr:sp>
    </xdr:grpSp>
    <xdr:clientData/>
  </xdr:twoCellAnchor>
</xdr:wsDr>
</file>

<file path=xl/drawings/drawing6.xml><?xml version="1.0" encoding="utf-8"?>
<xdr:wsDr xmlns:xdr="http://schemas.openxmlformats.org/drawingml/2006/spreadsheetDrawing" xmlns:a="http://schemas.openxmlformats.org/drawingml/2006/main">
  <xdr:twoCellAnchor editAs="oneCell">
    <xdr:from>
      <xdr:col>19</xdr:col>
      <xdr:colOff>494056</xdr:colOff>
      <xdr:row>8</xdr:row>
      <xdr:rowOff>116232</xdr:rowOff>
    </xdr:from>
    <xdr:to>
      <xdr:col>25</xdr:col>
      <xdr:colOff>63085</xdr:colOff>
      <xdr:row>19</xdr:row>
      <xdr:rowOff>50800</xdr:rowOff>
    </xdr:to>
    <xdr:sp macro="" textlink="">
      <xdr:nvSpPr>
        <xdr:cNvPr id="92" name="BlockAtTariff" hidden="1"/>
        <xdr:cNvSpPr txBox="1"/>
      </xdr:nvSpPr>
      <xdr:spPr>
        <a:xfrm>
          <a:off x="12101856" y="1589432"/>
          <a:ext cx="3226629" cy="1985618"/>
        </a:xfrm>
        <a:prstGeom prst="rect">
          <a:avLst/>
        </a:prstGeom>
        <a:solidFill>
          <a:srgbClr val="E2173D"/>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0">
              <a:solidFill>
                <a:schemeClr val="bg1"/>
              </a:solidFill>
              <a:latin typeface="Arial" panose="020B0604020202020204" pitchFamily="34" charset="0"/>
              <a:cs typeface="Arial" panose="020B0604020202020204" pitchFamily="34" charset="0"/>
            </a:rPr>
            <a:t>Peak shaving only applies to businesses that pay peak capacity charges!</a:t>
          </a:r>
        </a:p>
      </xdr:txBody>
    </xdr:sp>
    <xdr:clientData/>
  </xdr:twoCellAnchor>
  <xdr:twoCellAnchor editAs="oneCell">
    <xdr:from>
      <xdr:col>11</xdr:col>
      <xdr:colOff>604744</xdr:colOff>
      <xdr:row>30</xdr:row>
      <xdr:rowOff>171450</xdr:rowOff>
    </xdr:from>
    <xdr:to>
      <xdr:col>18</xdr:col>
      <xdr:colOff>555064</xdr:colOff>
      <xdr:row>33</xdr:row>
      <xdr:rowOff>51001</xdr:rowOff>
    </xdr:to>
    <xdr:sp macro="[0]!ViewSummaryFromCustom_Click" textlink="">
      <xdr:nvSpPr>
        <xdr:cNvPr id="77" name="ViewSummaryButton" hidden="1"/>
        <xdr:cNvSpPr txBox="1"/>
      </xdr:nvSpPr>
      <xdr:spPr>
        <a:xfrm>
          <a:off x="7335744" y="5721350"/>
          <a:ext cx="4217520" cy="432001"/>
        </a:xfrm>
        <a:prstGeom prst="rect">
          <a:avLst/>
        </a:prstGeom>
        <a:solidFill>
          <a:srgbClr val="00A9D8"/>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a:solidFill>
                <a:schemeClr val="bg1"/>
              </a:solidFill>
              <a:latin typeface="Arial" panose="020B0604020202020204" pitchFamily="34" charset="0"/>
              <a:cs typeface="Arial" panose="020B0604020202020204" pitchFamily="34" charset="0"/>
            </a:rPr>
            <a:t>VIEW</a:t>
          </a:r>
          <a:r>
            <a:rPr lang="en-US" sz="1100" b="1" baseline="0">
              <a:solidFill>
                <a:schemeClr val="bg1"/>
              </a:solidFill>
              <a:latin typeface="Arial" panose="020B0604020202020204" pitchFamily="34" charset="0"/>
              <a:cs typeface="Arial" panose="020B0604020202020204" pitchFamily="34" charset="0"/>
            </a:rPr>
            <a:t> SUMMARY</a:t>
          </a:r>
          <a:endParaRPr lang="en-US" sz="1100" b="1">
            <a:solidFill>
              <a:schemeClr val="bg1"/>
            </a:solidFill>
            <a:latin typeface="Arial" panose="020B0604020202020204" pitchFamily="34" charset="0"/>
            <a:cs typeface="Arial" panose="020B0604020202020204" pitchFamily="34" charset="0"/>
          </a:endParaRPr>
        </a:p>
      </xdr:txBody>
    </xdr:sp>
    <xdr:clientData/>
  </xdr:twoCellAnchor>
  <mc:AlternateContent xmlns:mc="http://schemas.openxmlformats.org/markup-compatibility/2006">
    <mc:Choice xmlns:a14="http://schemas.microsoft.com/office/drawing/2010/main" Requires="a14">
      <xdr:twoCellAnchor editAs="oneCell">
        <xdr:from>
          <xdr:col>4</xdr:col>
          <xdr:colOff>295275</xdr:colOff>
          <xdr:row>14</xdr:row>
          <xdr:rowOff>152400</xdr:rowOff>
        </xdr:from>
        <xdr:to>
          <xdr:col>11</xdr:col>
          <xdr:colOff>9525</xdr:colOff>
          <xdr:row>16</xdr:row>
          <xdr:rowOff>200025</xdr:rowOff>
        </xdr:to>
        <xdr:sp macro="" textlink="">
          <xdr:nvSpPr>
            <xdr:cNvPr id="72816" name="Q1PeakListBox" descr="Q1. Batttery systems typically range from $15,000 to $250,000. Do you have this budget?" hidden="1">
              <a:extLst>
                <a:ext uri="{63B3BB69-23CF-44E3-9099-C40C66FF867C}">
                  <a14:compatExt spid="_x0000_s7281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4</xdr:col>
      <xdr:colOff>215900</xdr:colOff>
      <xdr:row>13</xdr:row>
      <xdr:rowOff>6350</xdr:rowOff>
    </xdr:from>
    <xdr:to>
      <xdr:col>11</xdr:col>
      <xdr:colOff>279400</xdr:colOff>
      <xdr:row>14</xdr:row>
      <xdr:rowOff>114300</xdr:rowOff>
    </xdr:to>
    <xdr:sp macro="" textlink="">
      <xdr:nvSpPr>
        <xdr:cNvPr id="64" name="PeakQ1Label"/>
        <xdr:cNvSpPr txBox="1"/>
      </xdr:nvSpPr>
      <xdr:spPr>
        <a:xfrm>
          <a:off x="2679700" y="2387600"/>
          <a:ext cx="4330700" cy="2921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rgbClr xmlns:mc="http://schemas.openxmlformats.org/markup-compatibility/2006" xmlns:a14="http://schemas.microsoft.com/office/drawing/2010/main" val="000000" mc:Ignorable="a14" a14:legacySpreadsheetColorIndex="8"/>
              </a:solidFill>
              <a:latin typeface="Arial" panose="020B0604020202020204" pitchFamily="34" charset="0"/>
              <a:cs typeface="Arial" panose="020B0604020202020204" pitchFamily="34" charset="0"/>
            </a:rPr>
            <a:t>Q1. Which</a:t>
          </a:r>
          <a:r>
            <a:rPr lang="en-US" sz="1100" b="1" baseline="0">
              <a:solidFill>
                <a:srgbClr xmlns:mc="http://schemas.openxmlformats.org/markup-compatibility/2006" xmlns:a14="http://schemas.microsoft.com/office/drawing/2010/main" val="000000" mc:Ignorable="a14" a14:legacySpreadsheetColorIndex="8"/>
              </a:solidFill>
              <a:latin typeface="Arial" panose="020B0604020202020204" pitchFamily="34" charset="0"/>
              <a:cs typeface="Arial" panose="020B0604020202020204" pitchFamily="34" charset="0"/>
            </a:rPr>
            <a:t> capacity charge tariff situation applies to you?</a:t>
          </a:r>
          <a:endParaRPr lang="en-US" sz="1100" b="1">
            <a:solidFill>
              <a:srgbClr xmlns:mc="http://schemas.openxmlformats.org/markup-compatibility/2006" xmlns:a14="http://schemas.microsoft.com/office/drawing/2010/main" val="000000" mc:Ignorable="a14" a14:legacySpreadsheetColorIndex="8"/>
            </a:solidFill>
            <a:latin typeface="Arial" panose="020B0604020202020204" pitchFamily="34" charset="0"/>
            <a:cs typeface="Arial" panose="020B0604020202020204" pitchFamily="34" charset="0"/>
          </a:endParaRPr>
        </a:p>
      </xdr:txBody>
    </xdr:sp>
    <xdr:clientData/>
  </xdr:twoCellAnchor>
  <xdr:twoCellAnchor>
    <xdr:from>
      <xdr:col>4</xdr:col>
      <xdr:colOff>88900</xdr:colOff>
      <xdr:row>2</xdr:row>
      <xdr:rowOff>107951</xdr:rowOff>
    </xdr:from>
    <xdr:to>
      <xdr:col>25</xdr:col>
      <xdr:colOff>387350</xdr:colOff>
      <xdr:row>6</xdr:row>
      <xdr:rowOff>177801</xdr:rowOff>
    </xdr:to>
    <xdr:sp macro="" textlink="">
      <xdr:nvSpPr>
        <xdr:cNvPr id="42" name="TextBox 41"/>
        <xdr:cNvSpPr txBox="1"/>
      </xdr:nvSpPr>
      <xdr:spPr>
        <a:xfrm>
          <a:off x="698500" y="292101"/>
          <a:ext cx="13100050" cy="80645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lvl="1"/>
          <a:r>
            <a:rPr lang="en-US" sz="2800" b="1">
              <a:solidFill>
                <a:schemeClr val="tx1"/>
              </a:solidFill>
              <a:latin typeface="Arial" panose="020B0604020202020204" pitchFamily="34" charset="0"/>
              <a:cs typeface="Arial" panose="020B0604020202020204" pitchFamily="34" charset="0"/>
            </a:rPr>
            <a:t>		</a:t>
          </a:r>
          <a:r>
            <a:rPr lang="en-US" sz="2200" b="1">
              <a:solidFill>
                <a:schemeClr val="tx1"/>
              </a:solidFill>
              <a:latin typeface="Arial" panose="020B0604020202020204" pitchFamily="34" charset="0"/>
              <a:cs typeface="Arial" panose="020B0604020202020204" pitchFamily="34" charset="0"/>
            </a:rPr>
            <a:t>Battery storage for business: an investment decision tool</a:t>
          </a:r>
        </a:p>
      </xdr:txBody>
    </xdr:sp>
    <xdr:clientData/>
  </xdr:twoCellAnchor>
  <xdr:oneCellAnchor>
    <xdr:from>
      <xdr:col>24</xdr:col>
      <xdr:colOff>259521</xdr:colOff>
      <xdr:row>29</xdr:row>
      <xdr:rowOff>104913</xdr:rowOff>
    </xdr:from>
    <xdr:ext cx="184731" cy="264560"/>
    <xdr:sp macro="" textlink="">
      <xdr:nvSpPr>
        <xdr:cNvPr id="52" name="TextBox 51"/>
        <xdr:cNvSpPr txBox="1"/>
      </xdr:nvSpPr>
      <xdr:spPr>
        <a:xfrm>
          <a:off x="13061121" y="528651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twoCellAnchor editAs="oneCell">
    <xdr:from>
      <xdr:col>4</xdr:col>
      <xdr:colOff>231590</xdr:colOff>
      <xdr:row>3</xdr:row>
      <xdr:rowOff>14941</xdr:rowOff>
    </xdr:from>
    <xdr:to>
      <xdr:col>6</xdr:col>
      <xdr:colOff>224119</xdr:colOff>
      <xdr:row>6</xdr:row>
      <xdr:rowOff>48553</xdr:rowOff>
    </xdr:to>
    <xdr:pic>
      <xdr:nvPicPr>
        <xdr:cNvPr id="65" name="Picture 64"/>
        <xdr:cNvPicPr>
          <a:picLocks noChangeAspect="1"/>
        </xdr:cNvPicPr>
      </xdr:nvPicPr>
      <xdr:blipFill>
        <a:blip xmlns:r="http://schemas.openxmlformats.org/officeDocument/2006/relationships" r:embed="rId1"/>
        <a:stretch>
          <a:fillRect/>
        </a:stretch>
      </xdr:blipFill>
      <xdr:spPr>
        <a:xfrm>
          <a:off x="841190" y="383241"/>
          <a:ext cx="1211729" cy="586062"/>
        </a:xfrm>
        <a:prstGeom prst="rect">
          <a:avLst/>
        </a:prstGeom>
      </xdr:spPr>
    </xdr:pic>
    <xdr:clientData/>
  </xdr:twoCellAnchor>
  <xdr:twoCellAnchor>
    <xdr:from>
      <xdr:col>4</xdr:col>
      <xdr:colOff>215657</xdr:colOff>
      <xdr:row>37</xdr:row>
      <xdr:rowOff>77062</xdr:rowOff>
    </xdr:from>
    <xdr:to>
      <xdr:col>25</xdr:col>
      <xdr:colOff>381000</xdr:colOff>
      <xdr:row>37</xdr:row>
      <xdr:rowOff>95250</xdr:rowOff>
    </xdr:to>
    <xdr:cxnSp macro="">
      <xdr:nvCxnSpPr>
        <xdr:cNvPr id="67" name="Straight Connector 66"/>
        <xdr:cNvCxnSpPr/>
      </xdr:nvCxnSpPr>
      <xdr:spPr>
        <a:xfrm>
          <a:off x="825257" y="6795362"/>
          <a:ext cx="12966943" cy="18188"/>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4</xdr:col>
      <xdr:colOff>177800</xdr:colOff>
      <xdr:row>7</xdr:row>
      <xdr:rowOff>114300</xdr:rowOff>
    </xdr:from>
    <xdr:to>
      <xdr:col>10</xdr:col>
      <xdr:colOff>292100</xdr:colOff>
      <xdr:row>9</xdr:row>
      <xdr:rowOff>158750</xdr:rowOff>
    </xdr:to>
    <xdr:sp macro="" textlink="">
      <xdr:nvSpPr>
        <xdr:cNvPr id="66" name="ShapeQ1Label"/>
        <xdr:cNvSpPr txBox="1"/>
      </xdr:nvSpPr>
      <xdr:spPr>
        <a:xfrm>
          <a:off x="2641600" y="1219200"/>
          <a:ext cx="3771900" cy="412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solidFill>
                <a:schemeClr val="tx1"/>
              </a:solidFill>
              <a:latin typeface="Arial" panose="020B0604020202020204" pitchFamily="34" charset="0"/>
              <a:cs typeface="Arial" panose="020B0604020202020204" pitchFamily="34" charset="0"/>
            </a:rPr>
            <a:t>Peak shaving</a:t>
          </a:r>
        </a:p>
      </xdr:txBody>
    </xdr:sp>
    <xdr:clientData/>
  </xdr:twoCellAnchor>
  <xdr:twoCellAnchor editAs="oneCell">
    <xdr:from>
      <xdr:col>4</xdr:col>
      <xdr:colOff>177800</xdr:colOff>
      <xdr:row>9</xdr:row>
      <xdr:rowOff>107950</xdr:rowOff>
    </xdr:from>
    <xdr:to>
      <xdr:col>16</xdr:col>
      <xdr:colOff>146050</xdr:colOff>
      <xdr:row>12</xdr:row>
      <xdr:rowOff>95250</xdr:rowOff>
    </xdr:to>
    <xdr:sp macro="" textlink="">
      <xdr:nvSpPr>
        <xdr:cNvPr id="69" name="ShapeQ1Label"/>
        <xdr:cNvSpPr txBox="1"/>
      </xdr:nvSpPr>
      <xdr:spPr>
        <a:xfrm>
          <a:off x="2641600" y="1581150"/>
          <a:ext cx="7283450" cy="5270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solidFill>
                <a:schemeClr val="tx1"/>
              </a:solidFill>
              <a:latin typeface="Arial" panose="020B0604020202020204" pitchFamily="34" charset="0"/>
              <a:cs typeface="Arial" panose="020B0604020202020204" pitchFamily="34" charset="0"/>
            </a:rPr>
            <a:t>This is when a battery system supplies electrical energy when usage is above a set threshold. See the OEH battery storage guide for more details.</a:t>
          </a:r>
        </a:p>
      </xdr:txBody>
    </xdr:sp>
    <xdr:clientData/>
  </xdr:twoCellAnchor>
  <mc:AlternateContent xmlns:mc="http://schemas.openxmlformats.org/markup-compatibility/2006">
    <mc:Choice xmlns:a14="http://schemas.microsoft.com/office/drawing/2010/main" Requires="a14">
      <xdr:twoCellAnchor editAs="oneCell">
        <xdr:from>
          <xdr:col>4</xdr:col>
          <xdr:colOff>295275</xdr:colOff>
          <xdr:row>20</xdr:row>
          <xdr:rowOff>28575</xdr:rowOff>
        </xdr:from>
        <xdr:to>
          <xdr:col>11</xdr:col>
          <xdr:colOff>123825</xdr:colOff>
          <xdr:row>23</xdr:row>
          <xdr:rowOff>38100</xdr:rowOff>
        </xdr:to>
        <xdr:sp macro="" textlink="">
          <xdr:nvSpPr>
            <xdr:cNvPr id="72818" name="Q2PeakListBox" descr="Q1. Batttery systems typically range from $15,000 to $250,000. Do you have this budget?" hidden="1">
              <a:extLst>
                <a:ext uri="{63B3BB69-23CF-44E3-9099-C40C66FF867C}">
                  <a14:compatExt spid="_x0000_s7281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4</xdr:col>
      <xdr:colOff>215900</xdr:colOff>
      <xdr:row>17</xdr:row>
      <xdr:rowOff>57150</xdr:rowOff>
    </xdr:from>
    <xdr:to>
      <xdr:col>11</xdr:col>
      <xdr:colOff>279400</xdr:colOff>
      <xdr:row>19</xdr:row>
      <xdr:rowOff>158750</xdr:rowOff>
    </xdr:to>
    <xdr:sp macro="" textlink="">
      <xdr:nvSpPr>
        <xdr:cNvPr id="71" name="PeakQ2Label"/>
        <xdr:cNvSpPr txBox="1"/>
      </xdr:nvSpPr>
      <xdr:spPr>
        <a:xfrm>
          <a:off x="2679700" y="3213100"/>
          <a:ext cx="4330700" cy="4699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rgbClr xmlns:mc="http://schemas.openxmlformats.org/markup-compatibility/2006" xmlns:a14="http://schemas.microsoft.com/office/drawing/2010/main" val="C0C0C0" mc:Ignorable="a14" a14:legacySpreadsheetColorIndex="22"/>
              </a:solidFill>
              <a:latin typeface="Arial" panose="020B0604020202020204" pitchFamily="34" charset="0"/>
              <a:cs typeface="Arial" panose="020B0604020202020204" pitchFamily="34" charset="0"/>
            </a:rPr>
            <a:t>Q2. What do</a:t>
          </a:r>
          <a:r>
            <a:rPr lang="en-US" sz="1100" b="1" baseline="0">
              <a:solidFill>
                <a:srgbClr xmlns:mc="http://schemas.openxmlformats.org/markup-compatibility/2006" xmlns:a14="http://schemas.microsoft.com/office/drawing/2010/main" val="C0C0C0" mc:Ignorable="a14" a14:legacySpreadsheetColorIndex="22"/>
              </a:solidFill>
              <a:latin typeface="Arial" panose="020B0604020202020204" pitchFamily="34" charset="0"/>
              <a:cs typeface="Arial" panose="020B0604020202020204" pitchFamily="34" charset="0"/>
            </a:rPr>
            <a:t> you know about when your peak capacity usage occurs?</a:t>
          </a:r>
          <a:endParaRPr lang="en-US" sz="1100" b="1">
            <a:solidFill>
              <a:srgbClr xmlns:mc="http://schemas.openxmlformats.org/markup-compatibility/2006" xmlns:a14="http://schemas.microsoft.com/office/drawing/2010/main" val="C0C0C0" mc:Ignorable="a14" a14:legacySpreadsheetColorIndex="22"/>
            </a:solidFill>
            <a:latin typeface="Arial" panose="020B0604020202020204" pitchFamily="34" charset="0"/>
            <a:cs typeface="Arial" panose="020B0604020202020204" pitchFamily="34" charset="0"/>
          </a:endParaRPr>
        </a:p>
      </xdr:txBody>
    </xdr:sp>
    <xdr:clientData/>
  </xdr:twoCellAnchor>
  <mc:AlternateContent xmlns:mc="http://schemas.openxmlformats.org/markup-compatibility/2006">
    <mc:Choice xmlns:a14="http://schemas.microsoft.com/office/drawing/2010/main" Requires="a14">
      <xdr:twoCellAnchor editAs="oneCell">
        <xdr:from>
          <xdr:col>4</xdr:col>
          <xdr:colOff>295275</xdr:colOff>
          <xdr:row>26</xdr:row>
          <xdr:rowOff>66675</xdr:rowOff>
        </xdr:from>
        <xdr:to>
          <xdr:col>11</xdr:col>
          <xdr:colOff>85725</xdr:colOff>
          <xdr:row>29</xdr:row>
          <xdr:rowOff>57150</xdr:rowOff>
        </xdr:to>
        <xdr:sp macro="" textlink="">
          <xdr:nvSpPr>
            <xdr:cNvPr id="72819" name="Q3PeakListBox" descr="Q1. Batttery systems typically range from $15,000 to $250,000. Do you have this budget?" hidden="1">
              <a:extLst>
                <a:ext uri="{63B3BB69-23CF-44E3-9099-C40C66FF867C}">
                  <a14:compatExt spid="_x0000_s7281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4</xdr:col>
      <xdr:colOff>215900</xdr:colOff>
      <xdr:row>23</xdr:row>
      <xdr:rowOff>95250</xdr:rowOff>
    </xdr:from>
    <xdr:to>
      <xdr:col>11</xdr:col>
      <xdr:colOff>279400</xdr:colOff>
      <xdr:row>26</xdr:row>
      <xdr:rowOff>12700</xdr:rowOff>
    </xdr:to>
    <xdr:sp macro="" textlink="">
      <xdr:nvSpPr>
        <xdr:cNvPr id="72" name="PeakQ3Label"/>
        <xdr:cNvSpPr txBox="1"/>
      </xdr:nvSpPr>
      <xdr:spPr>
        <a:xfrm>
          <a:off x="2679700" y="4356100"/>
          <a:ext cx="4330700" cy="4699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rgbClr xmlns:mc="http://schemas.openxmlformats.org/markup-compatibility/2006" xmlns:a14="http://schemas.microsoft.com/office/drawing/2010/main" val="C0C0C0" mc:Ignorable="a14" a14:legacySpreadsheetColorIndex="22"/>
              </a:solidFill>
              <a:latin typeface="Arial" panose="020B0604020202020204" pitchFamily="34" charset="0"/>
              <a:cs typeface="Arial" panose="020B0604020202020204" pitchFamily="34" charset="0"/>
            </a:rPr>
            <a:t>Q3.</a:t>
          </a:r>
          <a:r>
            <a:rPr lang="en-US" sz="1100" b="1" baseline="0">
              <a:solidFill>
                <a:srgbClr xmlns:mc="http://schemas.openxmlformats.org/markup-compatibility/2006" xmlns:a14="http://schemas.microsoft.com/office/drawing/2010/main" val="C0C0C0" mc:Ignorable="a14" a14:legacySpreadsheetColorIndex="22"/>
              </a:solidFill>
              <a:latin typeface="Arial" panose="020B0604020202020204" pitchFamily="34" charset="0"/>
              <a:cs typeface="Arial" panose="020B0604020202020204" pitchFamily="34" charset="0"/>
            </a:rPr>
            <a:t> What do you know about the size of your peak capacity usage?</a:t>
          </a:r>
          <a:endParaRPr lang="en-US" sz="1100" b="1">
            <a:solidFill>
              <a:srgbClr xmlns:mc="http://schemas.openxmlformats.org/markup-compatibility/2006" xmlns:a14="http://schemas.microsoft.com/office/drawing/2010/main" val="C0C0C0" mc:Ignorable="a14" a14:legacySpreadsheetColorIndex="22"/>
            </a:solidFill>
            <a:latin typeface="Arial" panose="020B0604020202020204" pitchFamily="34" charset="0"/>
            <a:cs typeface="Arial" panose="020B0604020202020204" pitchFamily="34" charset="0"/>
          </a:endParaRPr>
        </a:p>
      </xdr:txBody>
    </xdr:sp>
    <xdr:clientData/>
  </xdr:twoCellAnchor>
  <mc:AlternateContent xmlns:mc="http://schemas.openxmlformats.org/markup-compatibility/2006">
    <mc:Choice xmlns:a14="http://schemas.microsoft.com/office/drawing/2010/main" Requires="a14">
      <xdr:twoCellAnchor editAs="oneCell">
        <xdr:from>
          <xdr:col>11</xdr:col>
          <xdr:colOff>600075</xdr:colOff>
          <xdr:row>15</xdr:row>
          <xdr:rowOff>95250</xdr:rowOff>
        </xdr:from>
        <xdr:to>
          <xdr:col>18</xdr:col>
          <xdr:colOff>333375</xdr:colOff>
          <xdr:row>19</xdr:row>
          <xdr:rowOff>28575</xdr:rowOff>
        </xdr:to>
        <xdr:sp macro="" textlink="">
          <xdr:nvSpPr>
            <xdr:cNvPr id="72820" name="Q4PeakListBox" descr="Q1. Batttery systems typically range from $15,000 to $250,000. Do you have this budget?" hidden="1">
              <a:extLst>
                <a:ext uri="{63B3BB69-23CF-44E3-9099-C40C66FF867C}">
                  <a14:compatExt spid="_x0000_s7282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11</xdr:col>
      <xdr:colOff>520700</xdr:colOff>
      <xdr:row>13</xdr:row>
      <xdr:rowOff>19050</xdr:rowOff>
    </xdr:from>
    <xdr:to>
      <xdr:col>18</xdr:col>
      <xdr:colOff>584200</xdr:colOff>
      <xdr:row>15</xdr:row>
      <xdr:rowOff>120650</xdr:rowOff>
    </xdr:to>
    <xdr:sp macro="" textlink="">
      <xdr:nvSpPr>
        <xdr:cNvPr id="74" name="PeakQ4Label"/>
        <xdr:cNvSpPr txBox="1"/>
      </xdr:nvSpPr>
      <xdr:spPr>
        <a:xfrm>
          <a:off x="7251700" y="2400300"/>
          <a:ext cx="4330700" cy="4699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rgbClr xmlns:mc="http://schemas.openxmlformats.org/markup-compatibility/2006" xmlns:a14="http://schemas.microsoft.com/office/drawing/2010/main" val="C0C0C0" mc:Ignorable="a14" a14:legacySpreadsheetColorIndex="22"/>
              </a:solidFill>
              <a:latin typeface="Arial" panose="020B0604020202020204" pitchFamily="34" charset="0"/>
              <a:cs typeface="Arial" panose="020B0604020202020204" pitchFamily="34" charset="0"/>
            </a:rPr>
            <a:t>Q4. </a:t>
          </a:r>
          <a:r>
            <a:rPr lang="en-US" sz="1100" b="1" baseline="0">
              <a:solidFill>
                <a:srgbClr xmlns:mc="http://schemas.openxmlformats.org/markup-compatibility/2006" xmlns:a14="http://schemas.microsoft.com/office/drawing/2010/main" val="C0C0C0" mc:Ignorable="a14" a14:legacySpreadsheetColorIndex="22"/>
              </a:solidFill>
              <a:latin typeface="Arial" panose="020B0604020202020204" pitchFamily="34" charset="0"/>
              <a:cs typeface="Arial" panose="020B0604020202020204" pitchFamily="34" charset="0"/>
            </a:rPr>
            <a:t>How long do you expect usage to be at peak levels?</a:t>
          </a:r>
          <a:endParaRPr lang="en-US" sz="1100" b="1">
            <a:solidFill>
              <a:srgbClr xmlns:mc="http://schemas.openxmlformats.org/markup-compatibility/2006" xmlns:a14="http://schemas.microsoft.com/office/drawing/2010/main" val="C0C0C0" mc:Ignorable="a14" a14:legacySpreadsheetColorIndex="22"/>
            </a:solidFill>
            <a:latin typeface="Arial" panose="020B0604020202020204" pitchFamily="34" charset="0"/>
            <a:cs typeface="Arial" panose="020B0604020202020204" pitchFamily="34" charset="0"/>
          </a:endParaRPr>
        </a:p>
      </xdr:txBody>
    </xdr:sp>
    <xdr:clientData/>
  </xdr:twoCellAnchor>
  <mc:AlternateContent xmlns:mc="http://schemas.openxmlformats.org/markup-compatibility/2006">
    <mc:Choice xmlns:a14="http://schemas.microsoft.com/office/drawing/2010/main" Requires="a14">
      <xdr:twoCellAnchor editAs="oneCell">
        <xdr:from>
          <xdr:col>11</xdr:col>
          <xdr:colOff>600075</xdr:colOff>
          <xdr:row>23</xdr:row>
          <xdr:rowOff>47625</xdr:rowOff>
        </xdr:from>
        <xdr:to>
          <xdr:col>18</xdr:col>
          <xdr:colOff>390525</xdr:colOff>
          <xdr:row>26</xdr:row>
          <xdr:rowOff>152400</xdr:rowOff>
        </xdr:to>
        <xdr:sp macro="" textlink="">
          <xdr:nvSpPr>
            <xdr:cNvPr id="72821" name="Q5PeakListBox" descr="Q1. Batttery systems typically range from $15,000 to $250,000. Do you have this budget?" hidden="1">
              <a:extLst>
                <a:ext uri="{63B3BB69-23CF-44E3-9099-C40C66FF867C}">
                  <a14:compatExt spid="_x0000_s7282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11</xdr:col>
      <xdr:colOff>520700</xdr:colOff>
      <xdr:row>20</xdr:row>
      <xdr:rowOff>152400</xdr:rowOff>
    </xdr:from>
    <xdr:to>
      <xdr:col>18</xdr:col>
      <xdr:colOff>584200</xdr:colOff>
      <xdr:row>23</xdr:row>
      <xdr:rowOff>69850</xdr:rowOff>
    </xdr:to>
    <xdr:sp macro="" textlink="">
      <xdr:nvSpPr>
        <xdr:cNvPr id="76" name="PeakQ5Label"/>
        <xdr:cNvSpPr txBox="1"/>
      </xdr:nvSpPr>
      <xdr:spPr>
        <a:xfrm>
          <a:off x="7251700" y="3860800"/>
          <a:ext cx="4330700" cy="4699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rgbClr xmlns:mc="http://schemas.openxmlformats.org/markup-compatibility/2006" xmlns:a14="http://schemas.microsoft.com/office/drawing/2010/main" val="C0C0C0" mc:Ignorable="a14" a14:legacySpreadsheetColorIndex="22"/>
              </a:solidFill>
              <a:latin typeface="Arial" panose="020B0604020202020204" pitchFamily="34" charset="0"/>
              <a:cs typeface="Arial" panose="020B0604020202020204" pitchFamily="34" charset="0"/>
            </a:rPr>
            <a:t>Q5. Which electricity network</a:t>
          </a:r>
          <a:r>
            <a:rPr lang="en-US" sz="1100" b="1" baseline="0">
              <a:solidFill>
                <a:srgbClr xmlns:mc="http://schemas.openxmlformats.org/markup-compatibility/2006" xmlns:a14="http://schemas.microsoft.com/office/drawing/2010/main" val="C0C0C0" mc:Ignorable="a14" a14:legacySpreadsheetColorIndex="22"/>
              </a:solidFill>
              <a:latin typeface="Arial" panose="020B0604020202020204" pitchFamily="34" charset="0"/>
              <a:cs typeface="Arial" panose="020B0604020202020204" pitchFamily="34" charset="0"/>
            </a:rPr>
            <a:t> provider supplies your power?</a:t>
          </a:r>
          <a:endParaRPr lang="en-US" sz="1100" b="1">
            <a:solidFill>
              <a:srgbClr xmlns:mc="http://schemas.openxmlformats.org/markup-compatibility/2006" xmlns:a14="http://schemas.microsoft.com/office/drawing/2010/main" val="C0C0C0" mc:Ignorable="a14" a14:legacySpreadsheetColorIndex="22"/>
            </a:solidFill>
            <a:latin typeface="Arial" panose="020B0604020202020204" pitchFamily="34" charset="0"/>
            <a:cs typeface="Arial" panose="020B0604020202020204" pitchFamily="34" charset="0"/>
          </a:endParaRPr>
        </a:p>
      </xdr:txBody>
    </xdr:sp>
    <xdr:clientData/>
  </xdr:twoCellAnchor>
  <xdr:twoCellAnchor>
    <xdr:from>
      <xdr:col>19</xdr:col>
      <xdr:colOff>222250</xdr:colOff>
      <xdr:row>7</xdr:row>
      <xdr:rowOff>127000</xdr:rowOff>
    </xdr:from>
    <xdr:to>
      <xdr:col>25</xdr:col>
      <xdr:colOff>339310</xdr:colOff>
      <xdr:row>36</xdr:row>
      <xdr:rowOff>16841</xdr:rowOff>
    </xdr:to>
    <xdr:sp macro="" textlink="">
      <xdr:nvSpPr>
        <xdr:cNvPr id="83" name="GreyBox" hidden="1"/>
        <xdr:cNvSpPr/>
      </xdr:nvSpPr>
      <xdr:spPr>
        <a:xfrm>
          <a:off x="11830050" y="1416050"/>
          <a:ext cx="3774660" cy="5255591"/>
        </a:xfrm>
        <a:prstGeom prst="rect">
          <a:avLst/>
        </a:prstGeom>
        <a:solidFill>
          <a:schemeClr val="bg1">
            <a:lumMod val="95000"/>
          </a:schemeClr>
        </a:solidFill>
        <a:ln>
          <a:solidFill>
            <a:schemeClr val="bg1">
              <a:lumMod val="9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wordArtVert" rtlCol="0" anchor="t"/>
        <a:lstStyle/>
        <a:p>
          <a:pPr algn="l"/>
          <a:endParaRPr lang="en-US" sz="1100"/>
        </a:p>
      </xdr:txBody>
    </xdr:sp>
    <xdr:clientData/>
  </xdr:twoCellAnchor>
  <xdr:twoCellAnchor editAs="oneCell">
    <xdr:from>
      <xdr:col>19</xdr:col>
      <xdr:colOff>503995</xdr:colOff>
      <xdr:row>8</xdr:row>
      <xdr:rowOff>116232</xdr:rowOff>
    </xdr:from>
    <xdr:to>
      <xdr:col>25</xdr:col>
      <xdr:colOff>53145</xdr:colOff>
      <xdr:row>15</xdr:row>
      <xdr:rowOff>167032</xdr:rowOff>
    </xdr:to>
    <xdr:sp macro="" textlink="">
      <xdr:nvSpPr>
        <xdr:cNvPr id="84" name="FinalResultBox" hidden="1"/>
        <xdr:cNvSpPr txBox="1"/>
      </xdr:nvSpPr>
      <xdr:spPr>
        <a:xfrm>
          <a:off x="12111795" y="1589432"/>
          <a:ext cx="3206750" cy="1327150"/>
        </a:xfrm>
        <a:prstGeom prst="rect">
          <a:avLst/>
        </a:prstGeom>
        <a:solidFill>
          <a:srgbClr val="00A9D8"/>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US" sz="1400" b="0">
            <a:solidFill>
              <a:schemeClr val="bg1"/>
            </a:solidFill>
            <a:latin typeface="Arial" panose="020B0604020202020204" pitchFamily="34" charset="0"/>
            <a:cs typeface="Arial" panose="020B0604020202020204" pitchFamily="34" charset="0"/>
          </a:endParaRPr>
        </a:p>
      </xdr:txBody>
    </xdr:sp>
    <xdr:clientData/>
  </xdr:twoCellAnchor>
  <xdr:twoCellAnchor editAs="oneCell">
    <xdr:from>
      <xdr:col>19</xdr:col>
      <xdr:colOff>604008</xdr:colOff>
      <xdr:row>19</xdr:row>
      <xdr:rowOff>52732</xdr:rowOff>
    </xdr:from>
    <xdr:to>
      <xdr:col>24</xdr:col>
      <xdr:colOff>565908</xdr:colOff>
      <xdr:row>20</xdr:row>
      <xdr:rowOff>147982</xdr:rowOff>
    </xdr:to>
    <xdr:sp macro="" textlink="">
      <xdr:nvSpPr>
        <xdr:cNvPr id="85" name="FinalComment2" hidden="1"/>
        <xdr:cNvSpPr txBox="1"/>
      </xdr:nvSpPr>
      <xdr:spPr>
        <a:xfrm>
          <a:off x="12211808" y="3576982"/>
          <a:ext cx="3009900" cy="2794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200" b="0">
              <a:solidFill>
                <a:schemeClr val="tx1"/>
              </a:solidFill>
              <a:latin typeface="Arial" panose="020B0604020202020204" pitchFamily="34" charset="0"/>
              <a:cs typeface="Arial" panose="020B0604020202020204" pitchFamily="34" charset="0"/>
            </a:rPr>
            <a:t>Break even point</a:t>
          </a:r>
        </a:p>
      </xdr:txBody>
    </xdr:sp>
    <xdr:clientData/>
  </xdr:twoCellAnchor>
  <xdr:twoCellAnchor editAs="oneCell">
    <xdr:from>
      <xdr:col>19</xdr:col>
      <xdr:colOff>588133</xdr:colOff>
      <xdr:row>12</xdr:row>
      <xdr:rowOff>52732</xdr:rowOff>
    </xdr:from>
    <xdr:to>
      <xdr:col>24</xdr:col>
      <xdr:colOff>581783</xdr:colOff>
      <xdr:row>16</xdr:row>
      <xdr:rowOff>40032</xdr:rowOff>
    </xdr:to>
    <xdr:sp macro="" textlink="">
      <xdr:nvSpPr>
        <xdr:cNvPr id="86" name="FinalComment1" hidden="1"/>
        <xdr:cNvSpPr txBox="1"/>
      </xdr:nvSpPr>
      <xdr:spPr>
        <a:xfrm>
          <a:off x="12195933" y="2249832"/>
          <a:ext cx="3041650" cy="7239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latin typeface="Arial" panose="020B0604020202020204" pitchFamily="34" charset="0"/>
              <a:cs typeface="Arial" panose="020B0604020202020204" pitchFamily="34" charset="0"/>
            </a:rPr>
            <a:t>Batteries appear feasible!</a:t>
          </a:r>
        </a:p>
      </xdr:txBody>
    </xdr:sp>
    <xdr:clientData/>
  </xdr:twoCellAnchor>
  <xdr:twoCellAnchor editAs="oneCell">
    <xdr:from>
      <xdr:col>20</xdr:col>
      <xdr:colOff>129345</xdr:colOff>
      <xdr:row>25</xdr:row>
      <xdr:rowOff>40032</xdr:rowOff>
    </xdr:from>
    <xdr:to>
      <xdr:col>24</xdr:col>
      <xdr:colOff>430971</xdr:colOff>
      <xdr:row>27</xdr:row>
      <xdr:rowOff>128932</xdr:rowOff>
    </xdr:to>
    <xdr:sp macro="" textlink="">
      <xdr:nvSpPr>
        <xdr:cNvPr id="87" name="FinalComment3" hidden="1"/>
        <xdr:cNvSpPr txBox="1"/>
      </xdr:nvSpPr>
      <xdr:spPr>
        <a:xfrm>
          <a:off x="12346745" y="4669182"/>
          <a:ext cx="2740026" cy="457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200" b="0">
              <a:solidFill>
                <a:schemeClr val="tx1"/>
              </a:solidFill>
              <a:latin typeface="Arial" panose="020B0604020202020204" pitchFamily="34" charset="0"/>
              <a:cs typeface="Arial" panose="020B0604020202020204" pitchFamily="34" charset="0"/>
            </a:rPr>
            <a:t>The proportion of system's cost recovered after 15 Years</a:t>
          </a:r>
        </a:p>
      </xdr:txBody>
    </xdr:sp>
    <xdr:clientData/>
  </xdr:twoCellAnchor>
  <xdr:twoCellAnchor editAs="oneCell">
    <xdr:from>
      <xdr:col>20</xdr:col>
      <xdr:colOff>45062</xdr:colOff>
      <xdr:row>32</xdr:row>
      <xdr:rowOff>8282</xdr:rowOff>
    </xdr:from>
    <xdr:to>
      <xdr:col>24</xdr:col>
      <xdr:colOff>515255</xdr:colOff>
      <xdr:row>34</xdr:row>
      <xdr:rowOff>97182</xdr:rowOff>
    </xdr:to>
    <xdr:sp macro="" textlink="">
      <xdr:nvSpPr>
        <xdr:cNvPr id="88" name="FinalComment4" hidden="1"/>
        <xdr:cNvSpPr txBox="1"/>
      </xdr:nvSpPr>
      <xdr:spPr>
        <a:xfrm>
          <a:off x="12262462" y="5926482"/>
          <a:ext cx="2908593" cy="457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200" b="0">
              <a:solidFill>
                <a:schemeClr val="tx1"/>
              </a:solidFill>
              <a:latin typeface="Arial" panose="020B0604020202020204" pitchFamily="34" charset="0"/>
              <a:cs typeface="Arial" panose="020B0604020202020204" pitchFamily="34" charset="0"/>
            </a:rPr>
            <a:t>The number of times the system's cost is recovered over its possible lifetime</a:t>
          </a:r>
        </a:p>
      </xdr:txBody>
    </xdr:sp>
    <xdr:clientData/>
  </xdr:twoCellAnchor>
  <xdr:twoCellAnchor editAs="oneCell">
    <xdr:from>
      <xdr:col>19</xdr:col>
      <xdr:colOff>604008</xdr:colOff>
      <xdr:row>17</xdr:row>
      <xdr:rowOff>33682</xdr:rowOff>
    </xdr:from>
    <xdr:to>
      <xdr:col>24</xdr:col>
      <xdr:colOff>565908</xdr:colOff>
      <xdr:row>19</xdr:row>
      <xdr:rowOff>52732</xdr:rowOff>
    </xdr:to>
    <xdr:sp macro="" textlink="">
      <xdr:nvSpPr>
        <xdr:cNvPr id="89" name="FinalValue2" hidden="1"/>
        <xdr:cNvSpPr txBox="1"/>
      </xdr:nvSpPr>
      <xdr:spPr>
        <a:xfrm>
          <a:off x="12211808" y="3189632"/>
          <a:ext cx="3009900" cy="3873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2000" b="0">
              <a:solidFill>
                <a:schemeClr val="tx1"/>
              </a:solidFill>
              <a:latin typeface="Arial" panose="020B0604020202020204" pitchFamily="34" charset="0"/>
              <a:cs typeface="Arial" panose="020B0604020202020204" pitchFamily="34" charset="0"/>
            </a:rPr>
            <a:t>7.7 Years</a:t>
          </a:r>
        </a:p>
      </xdr:txBody>
    </xdr:sp>
    <xdr:clientData/>
  </xdr:twoCellAnchor>
  <xdr:twoCellAnchor editAs="oneCell">
    <xdr:from>
      <xdr:col>19</xdr:col>
      <xdr:colOff>604008</xdr:colOff>
      <xdr:row>23</xdr:row>
      <xdr:rowOff>27332</xdr:rowOff>
    </xdr:from>
    <xdr:to>
      <xdr:col>24</xdr:col>
      <xdr:colOff>565908</xdr:colOff>
      <xdr:row>25</xdr:row>
      <xdr:rowOff>46382</xdr:rowOff>
    </xdr:to>
    <xdr:sp macro="" textlink="">
      <xdr:nvSpPr>
        <xdr:cNvPr id="90" name="FinalValue3" hidden="1"/>
        <xdr:cNvSpPr txBox="1"/>
      </xdr:nvSpPr>
      <xdr:spPr>
        <a:xfrm>
          <a:off x="12211808" y="4288182"/>
          <a:ext cx="3009900" cy="3873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2000" b="0">
              <a:solidFill>
                <a:schemeClr val="tx1"/>
              </a:solidFill>
              <a:latin typeface="Arial" panose="020B0604020202020204" pitchFamily="34" charset="0"/>
              <a:cs typeface="Arial" panose="020B0604020202020204" pitchFamily="34" charset="0"/>
            </a:rPr>
            <a:t>215%</a:t>
          </a:r>
        </a:p>
      </xdr:txBody>
    </xdr:sp>
    <xdr:clientData/>
  </xdr:twoCellAnchor>
  <xdr:twoCellAnchor editAs="oneCell">
    <xdr:from>
      <xdr:col>19</xdr:col>
      <xdr:colOff>604008</xdr:colOff>
      <xdr:row>29</xdr:row>
      <xdr:rowOff>122582</xdr:rowOff>
    </xdr:from>
    <xdr:to>
      <xdr:col>24</xdr:col>
      <xdr:colOff>565908</xdr:colOff>
      <xdr:row>31</xdr:row>
      <xdr:rowOff>141632</xdr:rowOff>
    </xdr:to>
    <xdr:sp macro="" textlink="">
      <xdr:nvSpPr>
        <xdr:cNvPr id="91" name="FinalValue4" hidden="1"/>
        <xdr:cNvSpPr txBox="1"/>
      </xdr:nvSpPr>
      <xdr:spPr>
        <a:xfrm>
          <a:off x="12211808" y="5488332"/>
          <a:ext cx="3009900" cy="3873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2000" b="0">
              <a:solidFill>
                <a:schemeClr val="tx1"/>
              </a:solidFill>
              <a:latin typeface="Arial" panose="020B0604020202020204" pitchFamily="34" charset="0"/>
              <a:cs typeface="Arial" panose="020B0604020202020204" pitchFamily="34" charset="0"/>
            </a:rPr>
            <a:t>2.2</a:t>
          </a:r>
        </a:p>
      </xdr:txBody>
    </xdr:sp>
    <xdr:clientData/>
  </xdr:twoCellAnchor>
  <xdr:twoCellAnchor editAs="oneCell">
    <xdr:from>
      <xdr:col>19</xdr:col>
      <xdr:colOff>475006</xdr:colOff>
      <xdr:row>8</xdr:row>
      <xdr:rowOff>128932</xdr:rowOff>
    </xdr:from>
    <xdr:to>
      <xdr:col>25</xdr:col>
      <xdr:colOff>44035</xdr:colOff>
      <xdr:row>19</xdr:row>
      <xdr:rowOff>63500</xdr:rowOff>
    </xdr:to>
    <xdr:sp macro="" textlink="">
      <xdr:nvSpPr>
        <xdr:cNvPr id="93" name="BlockAtControl" hidden="1"/>
        <xdr:cNvSpPr txBox="1"/>
      </xdr:nvSpPr>
      <xdr:spPr>
        <a:xfrm>
          <a:off x="12082806" y="1602132"/>
          <a:ext cx="3226629" cy="1985618"/>
        </a:xfrm>
        <a:prstGeom prst="rect">
          <a:avLst/>
        </a:prstGeom>
        <a:solidFill>
          <a:srgbClr val="E2173D"/>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0">
              <a:solidFill>
                <a:schemeClr val="bg1"/>
              </a:solidFill>
              <a:latin typeface="Arial" panose="020B0604020202020204" pitchFamily="34" charset="0"/>
              <a:cs typeface="Arial" panose="020B0604020202020204" pitchFamily="34" charset="0"/>
            </a:rPr>
            <a:t>Peak shaving will be too difficult to achieve without more information or control.</a:t>
          </a:r>
        </a:p>
        <a:p>
          <a:pPr algn="ctr"/>
          <a:endParaRPr lang="en-US" sz="1200" b="0">
            <a:solidFill>
              <a:schemeClr val="bg1"/>
            </a:solidFill>
            <a:latin typeface="Arial" panose="020B0604020202020204" pitchFamily="34" charset="0"/>
            <a:cs typeface="Arial" panose="020B0604020202020204" pitchFamily="34" charset="0"/>
          </a:endParaRPr>
        </a:p>
      </xdr:txBody>
    </xdr:sp>
    <xdr:clientData/>
  </xdr:twoCellAnchor>
  <xdr:twoCellAnchor editAs="oneCell">
    <xdr:from>
      <xdr:col>4</xdr:col>
      <xdr:colOff>247650</xdr:colOff>
      <xdr:row>20</xdr:row>
      <xdr:rowOff>12700</xdr:rowOff>
    </xdr:from>
    <xdr:to>
      <xdr:col>11</xdr:col>
      <xdr:colOff>165100</xdr:colOff>
      <xdr:row>23</xdr:row>
      <xdr:rowOff>44450</xdr:rowOff>
    </xdr:to>
    <xdr:sp macro="" textlink="">
      <xdr:nvSpPr>
        <xdr:cNvPr id="43" name="Q2PeakGrey"/>
        <xdr:cNvSpPr txBox="1"/>
      </xdr:nvSpPr>
      <xdr:spPr>
        <a:xfrm>
          <a:off x="247650" y="3352800"/>
          <a:ext cx="4184650" cy="584200"/>
        </a:xfrm>
        <a:prstGeom prst="rect">
          <a:avLst/>
        </a:prstGeom>
        <a:solidFill>
          <a:schemeClr val="bg1">
            <a:alpha val="5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lvl="1"/>
          <a:endParaRPr lang="en-US" sz="2200" b="1">
            <a:solidFill>
              <a:schemeClr val="tx1"/>
            </a:solidFill>
            <a:latin typeface="Arial" panose="020B0604020202020204" pitchFamily="34" charset="0"/>
            <a:cs typeface="Arial" panose="020B0604020202020204" pitchFamily="34" charset="0"/>
          </a:endParaRPr>
        </a:p>
      </xdr:txBody>
    </xdr:sp>
    <xdr:clientData/>
  </xdr:twoCellAnchor>
  <xdr:twoCellAnchor editAs="oneCell">
    <xdr:from>
      <xdr:col>4</xdr:col>
      <xdr:colOff>254000</xdr:colOff>
      <xdr:row>26</xdr:row>
      <xdr:rowOff>50800</xdr:rowOff>
    </xdr:from>
    <xdr:to>
      <xdr:col>11</xdr:col>
      <xdr:colOff>171450</xdr:colOff>
      <xdr:row>29</xdr:row>
      <xdr:rowOff>82550</xdr:rowOff>
    </xdr:to>
    <xdr:sp macro="" textlink="">
      <xdr:nvSpPr>
        <xdr:cNvPr id="44" name="Q3PeakGrey"/>
        <xdr:cNvSpPr txBox="1"/>
      </xdr:nvSpPr>
      <xdr:spPr>
        <a:xfrm>
          <a:off x="254000" y="4495800"/>
          <a:ext cx="4184650" cy="584200"/>
        </a:xfrm>
        <a:prstGeom prst="rect">
          <a:avLst/>
        </a:prstGeom>
        <a:solidFill>
          <a:schemeClr val="bg1">
            <a:alpha val="5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lvl="1"/>
          <a:endParaRPr lang="en-US" sz="2200" b="1">
            <a:solidFill>
              <a:schemeClr val="tx1"/>
            </a:solidFill>
            <a:latin typeface="Arial" panose="020B0604020202020204" pitchFamily="34" charset="0"/>
            <a:cs typeface="Arial" panose="020B0604020202020204" pitchFamily="34" charset="0"/>
          </a:endParaRPr>
        </a:p>
      </xdr:txBody>
    </xdr:sp>
    <xdr:clientData/>
  </xdr:twoCellAnchor>
  <xdr:twoCellAnchor editAs="oneCell">
    <xdr:from>
      <xdr:col>11</xdr:col>
      <xdr:colOff>552450</xdr:colOff>
      <xdr:row>15</xdr:row>
      <xdr:rowOff>76200</xdr:rowOff>
    </xdr:from>
    <xdr:to>
      <xdr:col>18</xdr:col>
      <xdr:colOff>393700</xdr:colOff>
      <xdr:row>19</xdr:row>
      <xdr:rowOff>82550</xdr:rowOff>
    </xdr:to>
    <xdr:sp macro="" textlink="">
      <xdr:nvSpPr>
        <xdr:cNvPr id="45" name="Q4PeakGrey"/>
        <xdr:cNvSpPr txBox="1"/>
      </xdr:nvSpPr>
      <xdr:spPr>
        <a:xfrm>
          <a:off x="4819650" y="2457450"/>
          <a:ext cx="4108450" cy="781050"/>
        </a:xfrm>
        <a:prstGeom prst="rect">
          <a:avLst/>
        </a:prstGeom>
        <a:solidFill>
          <a:schemeClr val="bg1">
            <a:alpha val="5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lvl="1"/>
          <a:endParaRPr lang="en-US" sz="2200" b="1">
            <a:solidFill>
              <a:schemeClr val="tx1"/>
            </a:solidFill>
            <a:latin typeface="Arial" panose="020B0604020202020204" pitchFamily="34" charset="0"/>
            <a:cs typeface="Arial" panose="020B0604020202020204" pitchFamily="34" charset="0"/>
          </a:endParaRPr>
        </a:p>
      </xdr:txBody>
    </xdr:sp>
    <xdr:clientData/>
  </xdr:twoCellAnchor>
  <xdr:twoCellAnchor editAs="oneCell">
    <xdr:from>
      <xdr:col>11</xdr:col>
      <xdr:colOff>552450</xdr:colOff>
      <xdr:row>23</xdr:row>
      <xdr:rowOff>6350</xdr:rowOff>
    </xdr:from>
    <xdr:to>
      <xdr:col>18</xdr:col>
      <xdr:colOff>393700</xdr:colOff>
      <xdr:row>27</xdr:row>
      <xdr:rowOff>50800</xdr:rowOff>
    </xdr:to>
    <xdr:sp macro="" textlink="">
      <xdr:nvSpPr>
        <xdr:cNvPr id="46" name="Q5PeakGrey"/>
        <xdr:cNvSpPr txBox="1"/>
      </xdr:nvSpPr>
      <xdr:spPr>
        <a:xfrm>
          <a:off x="4819650" y="3898900"/>
          <a:ext cx="4108450" cy="781050"/>
        </a:xfrm>
        <a:prstGeom prst="rect">
          <a:avLst/>
        </a:prstGeom>
        <a:solidFill>
          <a:schemeClr val="bg1">
            <a:alpha val="5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lvl="1"/>
          <a:endParaRPr lang="en-US" sz="2200" b="1">
            <a:solidFill>
              <a:schemeClr val="tx1"/>
            </a:solidFill>
            <a:latin typeface="Arial" panose="020B0604020202020204" pitchFamily="34" charset="0"/>
            <a:cs typeface="Arial" panose="020B0604020202020204" pitchFamily="34" charset="0"/>
          </a:endParaRPr>
        </a:p>
      </xdr:txBody>
    </xdr:sp>
    <xdr:clientData/>
  </xdr:twoCellAnchor>
  <xdr:twoCellAnchor>
    <xdr:from>
      <xdr:col>4</xdr:col>
      <xdr:colOff>222250</xdr:colOff>
      <xdr:row>38</xdr:row>
      <xdr:rowOff>31750</xdr:rowOff>
    </xdr:from>
    <xdr:to>
      <xdr:col>22</xdr:col>
      <xdr:colOff>400050</xdr:colOff>
      <xdr:row>41</xdr:row>
      <xdr:rowOff>160522</xdr:rowOff>
    </xdr:to>
    <xdr:grpSp>
      <xdr:nvGrpSpPr>
        <xdr:cNvPr id="47" name="Group 46"/>
        <xdr:cNvGrpSpPr/>
      </xdr:nvGrpSpPr>
      <xdr:grpSpPr>
        <a:xfrm>
          <a:off x="222250" y="6686550"/>
          <a:ext cx="11150600" cy="681222"/>
          <a:chOff x="615950" y="7362190"/>
          <a:chExt cx="10627916" cy="655822"/>
        </a:xfrm>
      </xdr:grpSpPr>
      <xdr:pic>
        <xdr:nvPicPr>
          <xdr:cNvPr id="48" name="Picture 47"/>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15950" y="7362190"/>
            <a:ext cx="1246230" cy="655822"/>
          </a:xfrm>
          <a:prstGeom prst="rect">
            <a:avLst/>
          </a:prstGeom>
        </xdr:spPr>
      </xdr:pic>
      <xdr:sp macro="" textlink="">
        <xdr:nvSpPr>
          <xdr:cNvPr id="49" name="ShapeQ3Label">
            <a:hlinkClick xmlns:r="http://schemas.openxmlformats.org/officeDocument/2006/relationships" r:id="rId3"/>
          </xdr:cNvPr>
          <xdr:cNvSpPr txBox="1"/>
        </xdr:nvSpPr>
        <xdr:spPr>
          <a:xfrm>
            <a:off x="2089150" y="7594600"/>
            <a:ext cx="9154716" cy="2730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US" sz="1100" b="0">
                <a:solidFill>
                  <a:srgbClr xmlns:mc="http://schemas.openxmlformats.org/markup-compatibility/2006" xmlns:a14="http://schemas.microsoft.com/office/drawing/2010/main" val="000000" mc:Ignorable="a14" a14:legacySpreadsheetColorIndex="8"/>
                </a:solidFill>
                <a:latin typeface="Arial" panose="020B0604020202020204" pitchFamily="34" charset="0"/>
                <a:cs typeface="Arial" panose="020B0604020202020204" pitchFamily="34" charset="0"/>
              </a:rPr>
              <a:t>For more information please contact the Energy Efficient Business Team on </a:t>
            </a:r>
            <a:r>
              <a:rPr lang="en-US" sz="1100" b="1">
                <a:solidFill>
                  <a:srgbClr xmlns:mc="http://schemas.openxmlformats.org/markup-compatibility/2006" xmlns:a14="http://schemas.microsoft.com/office/drawing/2010/main" val="000000" mc:Ignorable="a14" a14:legacySpreadsheetColorIndex="8"/>
                </a:solidFill>
                <a:latin typeface="Arial" panose="020B0604020202020204" pitchFamily="34" charset="0"/>
                <a:cs typeface="Arial" panose="020B0604020202020204" pitchFamily="34" charset="0"/>
              </a:rPr>
              <a:t>1300</a:t>
            </a:r>
            <a:r>
              <a:rPr lang="en-US" sz="1100" b="1" baseline="0">
                <a:solidFill>
                  <a:srgbClr xmlns:mc="http://schemas.openxmlformats.org/markup-compatibility/2006" xmlns:a14="http://schemas.microsoft.com/office/drawing/2010/main" val="000000" mc:Ignorable="a14" a14:legacySpreadsheetColorIndex="8"/>
                </a:solidFill>
                <a:latin typeface="Arial" panose="020B0604020202020204" pitchFamily="34" charset="0"/>
                <a:cs typeface="Arial" panose="020B0604020202020204" pitchFamily="34" charset="0"/>
              </a:rPr>
              <a:t> 361 967 </a:t>
            </a:r>
            <a:r>
              <a:rPr lang="en-US" sz="1100" b="0" baseline="0">
                <a:solidFill>
                  <a:srgbClr xmlns:mc="http://schemas.openxmlformats.org/markup-compatibility/2006" xmlns:a14="http://schemas.microsoft.com/office/drawing/2010/main" val="000000" mc:Ignorable="a14" a14:legacySpreadsheetColorIndex="8"/>
                </a:solidFill>
                <a:latin typeface="Arial" panose="020B0604020202020204" pitchFamily="34" charset="0"/>
                <a:cs typeface="Arial" panose="020B0604020202020204" pitchFamily="34" charset="0"/>
              </a:rPr>
              <a:t>or email: </a:t>
            </a:r>
            <a:r>
              <a:rPr lang="en-AU" sz="1100" u="sng">
                <a:solidFill>
                  <a:srgbClr val="056399"/>
                </a:solidFill>
                <a:effectLst/>
                <a:latin typeface="Arial" panose="020B0604020202020204" pitchFamily="34" charset="0"/>
                <a:ea typeface="+mn-ea"/>
                <a:cs typeface="Arial" panose="020B0604020202020204" pitchFamily="34" charset="0"/>
              </a:rPr>
              <a:t>energy.saver@environment.nsw.gov.au</a:t>
            </a:r>
            <a:endParaRPr lang="en-US">
              <a:solidFill>
                <a:srgbClr val="056399"/>
              </a:solidFill>
              <a:effectLst/>
              <a:latin typeface="Arial" panose="020B0604020202020204" pitchFamily="34" charset="0"/>
              <a:cs typeface="Arial" panose="020B0604020202020204" pitchFamily="34" charset="0"/>
            </a:endParaRPr>
          </a:p>
          <a:p>
            <a:r>
              <a:rPr lang="en-US" sz="1100" b="0" baseline="0">
                <a:solidFill>
                  <a:srgbClr xmlns:mc="http://schemas.openxmlformats.org/markup-compatibility/2006" xmlns:a14="http://schemas.microsoft.com/office/drawing/2010/main" val="000000" mc:Ignorable="a14" a14:legacySpreadsheetColorIndex="8"/>
                </a:solidFill>
                <a:latin typeface="Arial" panose="020B0604020202020204" pitchFamily="34" charset="0"/>
                <a:cs typeface="Arial" panose="020B0604020202020204" pitchFamily="34" charset="0"/>
              </a:rPr>
              <a:t>: </a:t>
            </a:r>
            <a:endParaRPr lang="en-US" sz="1100" b="0">
              <a:solidFill>
                <a:srgbClr xmlns:mc="http://schemas.openxmlformats.org/markup-compatibility/2006" xmlns:a14="http://schemas.microsoft.com/office/drawing/2010/main" val="000000" mc:Ignorable="a14" a14:legacySpreadsheetColorIndex="8"/>
              </a:solidFill>
              <a:latin typeface="Arial" panose="020B0604020202020204" pitchFamily="34" charset="0"/>
              <a:cs typeface="Arial" panose="020B0604020202020204" pitchFamily="34" charset="0"/>
            </a:endParaRPr>
          </a:p>
        </xdr:txBody>
      </xdr:sp>
    </xdr:grpSp>
    <xdr:clientData/>
  </xdr:twoCellAnchor>
  <xdr:twoCellAnchor editAs="oneCell">
    <xdr:from>
      <xdr:col>21</xdr:col>
      <xdr:colOff>596900</xdr:colOff>
      <xdr:row>9</xdr:row>
      <xdr:rowOff>88900</xdr:rowOff>
    </xdr:from>
    <xdr:to>
      <xdr:col>22</xdr:col>
      <xdr:colOff>401300</xdr:colOff>
      <xdr:row>11</xdr:row>
      <xdr:rowOff>147300</xdr:rowOff>
    </xdr:to>
    <xdr:pic>
      <xdr:nvPicPr>
        <xdr:cNvPr id="39" name="ThumbDown" hidden="1"/>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0960100" y="1377950"/>
          <a:ext cx="414000" cy="41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9</xdr:row>
      <xdr:rowOff>69850</xdr:rowOff>
    </xdr:from>
    <xdr:to>
      <xdr:col>22</xdr:col>
      <xdr:colOff>414000</xdr:colOff>
      <xdr:row>11</xdr:row>
      <xdr:rowOff>128250</xdr:rowOff>
    </xdr:to>
    <xdr:pic>
      <xdr:nvPicPr>
        <xdr:cNvPr id="40" name="ThumbUp" hidden="1"/>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0972800" y="1358900"/>
          <a:ext cx="414000" cy="41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561975</xdr:colOff>
          <xdr:row>54</xdr:row>
          <xdr:rowOff>152400</xdr:rowOff>
        </xdr:from>
        <xdr:to>
          <xdr:col>6</xdr:col>
          <xdr:colOff>295275</xdr:colOff>
          <xdr:row>56</xdr:row>
          <xdr:rowOff>47625</xdr:rowOff>
        </xdr:to>
        <xdr:sp macro="" textlink="">
          <xdr:nvSpPr>
            <xdr:cNvPr id="139305" name="SpinnerDemand" hidden="1">
              <a:extLst>
                <a:ext uri="{63B3BB69-23CF-44E3-9099-C40C66FF867C}">
                  <a14:compatExt spid="_x0000_s139305"/>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333375</xdr:colOff>
          <xdr:row>18</xdr:row>
          <xdr:rowOff>123825</xdr:rowOff>
        </xdr:from>
        <xdr:to>
          <xdr:col>6</xdr:col>
          <xdr:colOff>409575</xdr:colOff>
          <xdr:row>20</xdr:row>
          <xdr:rowOff>0</xdr:rowOff>
        </xdr:to>
        <xdr:sp macro="" textlink="">
          <xdr:nvSpPr>
            <xdr:cNvPr id="139302" name="BatteryPriceDropDown" hidden="1">
              <a:extLst>
                <a:ext uri="{63B3BB69-23CF-44E3-9099-C40C66FF867C}">
                  <a14:compatExt spid="_x0000_s13930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333375</xdr:colOff>
          <xdr:row>26</xdr:row>
          <xdr:rowOff>161925</xdr:rowOff>
        </xdr:from>
        <xdr:to>
          <xdr:col>6</xdr:col>
          <xdr:colOff>409575</xdr:colOff>
          <xdr:row>28</xdr:row>
          <xdr:rowOff>38100</xdr:rowOff>
        </xdr:to>
        <xdr:sp macro="" textlink="">
          <xdr:nvSpPr>
            <xdr:cNvPr id="139303" name="InflationDropDown" hidden="1">
              <a:extLst>
                <a:ext uri="{63B3BB69-23CF-44E3-9099-C40C66FF867C}">
                  <a14:compatExt spid="_x0000_s13930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4</xdr:col>
      <xdr:colOff>0</xdr:colOff>
      <xdr:row>3</xdr:row>
      <xdr:rowOff>31750</xdr:rowOff>
    </xdr:from>
    <xdr:to>
      <xdr:col>26</xdr:col>
      <xdr:colOff>175869</xdr:colOff>
      <xdr:row>7</xdr:row>
      <xdr:rowOff>101600</xdr:rowOff>
    </xdr:to>
    <xdr:sp macro="" textlink="">
      <xdr:nvSpPr>
        <xdr:cNvPr id="44" name="TextBox 43"/>
        <xdr:cNvSpPr txBox="1"/>
      </xdr:nvSpPr>
      <xdr:spPr>
        <a:xfrm>
          <a:off x="2927350" y="571500"/>
          <a:ext cx="13587069" cy="80645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lvl="1"/>
          <a:r>
            <a:rPr lang="en-US" sz="2800" b="1">
              <a:solidFill>
                <a:schemeClr val="tx1"/>
              </a:solidFill>
              <a:latin typeface="Arial" panose="020B0604020202020204" pitchFamily="34" charset="0"/>
              <a:cs typeface="Arial" panose="020B0604020202020204" pitchFamily="34" charset="0"/>
            </a:rPr>
            <a:t>		</a:t>
          </a:r>
          <a:r>
            <a:rPr lang="en-US" sz="2200" b="1">
              <a:solidFill>
                <a:schemeClr val="tx1"/>
              </a:solidFill>
              <a:latin typeface="Arial" panose="020B0604020202020204" pitchFamily="34" charset="0"/>
              <a:cs typeface="Arial" panose="020B0604020202020204" pitchFamily="34" charset="0"/>
            </a:rPr>
            <a:t>Battery storage for business: an investment decision tool</a:t>
          </a:r>
        </a:p>
      </xdr:txBody>
    </xdr:sp>
    <xdr:clientData/>
  </xdr:twoCellAnchor>
  <xdr:twoCellAnchor editAs="oneCell">
    <xdr:from>
      <xdr:col>20</xdr:col>
      <xdr:colOff>115403</xdr:colOff>
      <xdr:row>14</xdr:row>
      <xdr:rowOff>134563</xdr:rowOff>
    </xdr:from>
    <xdr:to>
      <xdr:col>26</xdr:col>
      <xdr:colOff>232464</xdr:colOff>
      <xdr:row>35</xdr:row>
      <xdr:rowOff>40696</xdr:rowOff>
    </xdr:to>
    <xdr:sp macro="" textlink="">
      <xdr:nvSpPr>
        <xdr:cNvPr id="45" name="Rectangle 44"/>
        <xdr:cNvSpPr/>
      </xdr:nvSpPr>
      <xdr:spPr>
        <a:xfrm>
          <a:off x="12796353" y="2699963"/>
          <a:ext cx="3774661" cy="3773283"/>
        </a:xfrm>
        <a:prstGeom prst="rect">
          <a:avLst/>
        </a:prstGeom>
        <a:solidFill>
          <a:schemeClr val="bg1">
            <a:lumMod val="95000"/>
          </a:schemeClr>
        </a:solidFill>
        <a:ln>
          <a:solidFill>
            <a:schemeClr val="bg1">
              <a:lumMod val="9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horz" rtlCol="0" anchor="t"/>
        <a:lstStyle/>
        <a:p>
          <a:pPr algn="l"/>
          <a:r>
            <a:rPr lang="en-US" sz="1100" b="1" u="sng">
              <a:solidFill>
                <a:schemeClr val="tx1"/>
              </a:solidFill>
            </a:rPr>
            <a:t>Tariff</a:t>
          </a:r>
          <a:r>
            <a:rPr lang="en-US" sz="1100" b="1" u="sng" baseline="0">
              <a:solidFill>
                <a:schemeClr val="tx1"/>
              </a:solidFill>
            </a:rPr>
            <a:t> optimisation summary</a:t>
          </a:r>
          <a:endParaRPr lang="en-US" sz="1100" b="1" u="sng">
            <a:solidFill>
              <a:schemeClr val="tx1"/>
            </a:solidFill>
          </a:endParaRPr>
        </a:p>
      </xdr:txBody>
    </xdr:sp>
    <xdr:clientData/>
  </xdr:twoCellAnchor>
  <xdr:twoCellAnchor editAs="oneCell">
    <xdr:from>
      <xdr:col>20</xdr:col>
      <xdr:colOff>447675</xdr:colOff>
      <xdr:row>28</xdr:row>
      <xdr:rowOff>88900</xdr:rowOff>
    </xdr:from>
    <xdr:to>
      <xdr:col>25</xdr:col>
      <xdr:colOff>409575</xdr:colOff>
      <xdr:row>30</xdr:row>
      <xdr:rowOff>107950</xdr:rowOff>
    </xdr:to>
    <xdr:sp macro="" textlink="">
      <xdr:nvSpPr>
        <xdr:cNvPr id="46" name="AdvancedSummaryValue3"/>
        <xdr:cNvSpPr txBox="1"/>
      </xdr:nvSpPr>
      <xdr:spPr>
        <a:xfrm>
          <a:off x="13128625" y="5232400"/>
          <a:ext cx="3009900" cy="3873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2000" b="0">
              <a:solidFill>
                <a:schemeClr val="tx1"/>
              </a:solidFill>
              <a:latin typeface="Arial" panose="020B0604020202020204" pitchFamily="34" charset="0"/>
              <a:cs typeface="Arial" panose="020B0604020202020204" pitchFamily="34" charset="0"/>
            </a:rPr>
            <a:t>1.4</a:t>
          </a:r>
        </a:p>
      </xdr:txBody>
    </xdr:sp>
    <xdr:clientData/>
  </xdr:twoCellAnchor>
  <xdr:twoCellAnchor editAs="oneCell">
    <xdr:from>
      <xdr:col>4</xdr:col>
      <xdr:colOff>146050</xdr:colOff>
      <xdr:row>7</xdr:row>
      <xdr:rowOff>165100</xdr:rowOff>
    </xdr:from>
    <xdr:to>
      <xdr:col>19</xdr:col>
      <xdr:colOff>514350</xdr:colOff>
      <xdr:row>13</xdr:row>
      <xdr:rowOff>69850</xdr:rowOff>
    </xdr:to>
    <xdr:sp macro="" textlink="">
      <xdr:nvSpPr>
        <xdr:cNvPr id="47" name="Heading"/>
        <xdr:cNvSpPr txBox="1"/>
      </xdr:nvSpPr>
      <xdr:spPr>
        <a:xfrm>
          <a:off x="3073400" y="1441450"/>
          <a:ext cx="9512300" cy="1009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solidFill>
                <a:schemeClr val="tx1"/>
              </a:solidFill>
              <a:latin typeface="Arial" panose="020B0604020202020204" pitchFamily="34" charset="0"/>
              <a:cs typeface="Arial" panose="020B0604020202020204" pitchFamily="34" charset="0"/>
            </a:rPr>
            <a:t>Advanced Customisation</a:t>
          </a:r>
          <a:endParaRPr lang="en-US" sz="200" b="1" baseline="0">
            <a:solidFill>
              <a:schemeClr val="dk1"/>
            </a:solidFill>
            <a:effectLst/>
            <a:latin typeface="Arial" panose="020B0604020202020204" pitchFamily="34" charset="0"/>
            <a:ea typeface="+mn-ea"/>
            <a:cs typeface="Arial" panose="020B0604020202020204" pitchFamily="34" charset="0"/>
          </a:endParaRPr>
        </a:p>
        <a:p>
          <a:endParaRPr lang="en-US" sz="200" b="1" baseline="0">
            <a:solidFill>
              <a:schemeClr val="dk1"/>
            </a:solidFill>
            <a:effectLst/>
            <a:latin typeface="Arial" panose="020B0604020202020204" pitchFamily="34" charset="0"/>
            <a:ea typeface="+mn-ea"/>
            <a:cs typeface="Arial" panose="020B0604020202020204" pitchFamily="34" charset="0"/>
          </a:endParaRPr>
        </a:p>
        <a:p>
          <a:endParaRPr lang="en-US" sz="200" b="1" baseline="0">
            <a:solidFill>
              <a:schemeClr val="dk1"/>
            </a:solidFill>
            <a:effectLst/>
            <a:latin typeface="Arial" panose="020B0604020202020204" pitchFamily="34" charset="0"/>
            <a:ea typeface="+mn-ea"/>
            <a:cs typeface="Arial" panose="020B0604020202020204"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100" b="0" baseline="0">
              <a:solidFill>
                <a:schemeClr val="dk1"/>
              </a:solidFill>
              <a:effectLst/>
              <a:latin typeface="Arial" panose="020B0604020202020204" pitchFamily="34" charset="0"/>
              <a:ea typeface="+mn-ea"/>
              <a:cs typeface="Arial" panose="020B0604020202020204" pitchFamily="34" charset="0"/>
            </a:rPr>
            <a:t>This section is for advanced users and allows the user to customise battery storage prices and electricity price inflation at different payback durations.</a:t>
          </a:r>
          <a:endParaRPr lang="en-US">
            <a:effectLst/>
          </a:endParaRPr>
        </a:p>
        <a:p>
          <a:pPr marL="0" marR="0" indent="0" defTabSz="914400" eaLnBrk="1" fontAlgn="auto" latinLnBrk="0" hangingPunct="1">
            <a:lnSpc>
              <a:spcPct val="100000"/>
            </a:lnSpc>
            <a:spcBef>
              <a:spcPts val="0"/>
            </a:spcBef>
            <a:spcAft>
              <a:spcPts val="0"/>
            </a:spcAft>
            <a:buClrTx/>
            <a:buSzTx/>
            <a:buFontTx/>
            <a:buNone/>
            <a:tabLst/>
            <a:defRPr/>
          </a:pPr>
          <a:endParaRPr lang="en-US" sz="200" b="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200" b="0" baseline="0">
              <a:solidFill>
                <a:schemeClr val="dk1"/>
              </a:solidFill>
              <a:effectLst/>
              <a:latin typeface="Arial" panose="020B0604020202020204" pitchFamily="34" charset="0"/>
              <a:ea typeface="+mn-ea"/>
              <a:cs typeface="Arial" panose="020B0604020202020204" pitchFamily="34" charset="0"/>
            </a:rPr>
            <a:t/>
          </a:r>
          <a:br>
            <a:rPr lang="en-US" sz="200" b="0" baseline="0">
              <a:solidFill>
                <a:schemeClr val="dk1"/>
              </a:solidFill>
              <a:effectLst/>
              <a:latin typeface="Arial" panose="020B0604020202020204" pitchFamily="34" charset="0"/>
              <a:ea typeface="+mn-ea"/>
              <a:cs typeface="Arial" panose="020B0604020202020204" pitchFamily="34" charset="0"/>
            </a:rPr>
          </a:br>
          <a:r>
            <a:rPr lang="en-US" sz="1100" b="0" baseline="0">
              <a:solidFill>
                <a:schemeClr val="dk1"/>
              </a:solidFill>
              <a:effectLst/>
              <a:latin typeface="Arial" panose="020B0604020202020204" pitchFamily="34" charset="0"/>
              <a:ea typeface="+mn-ea"/>
              <a:cs typeface="Arial" panose="020B0604020202020204" pitchFamily="34" charset="0"/>
            </a:rPr>
            <a:t>It is recommended to attend the battery storage course to make the best use of this section.  </a:t>
          </a:r>
          <a:endParaRPr lang="en-US" sz="1200" b="0">
            <a:solidFill>
              <a:schemeClr val="tx1"/>
            </a:solidFill>
            <a:latin typeface="Arial" panose="020B0604020202020204" pitchFamily="34" charset="0"/>
            <a:cs typeface="Arial" panose="020B0604020202020204" pitchFamily="34" charset="0"/>
          </a:endParaRPr>
        </a:p>
      </xdr:txBody>
    </xdr:sp>
    <xdr:clientData/>
  </xdr:twoCellAnchor>
  <xdr:twoCellAnchor editAs="oneCell">
    <xdr:from>
      <xdr:col>4</xdr:col>
      <xdr:colOff>209273</xdr:colOff>
      <xdr:row>3</xdr:row>
      <xdr:rowOff>135285</xdr:rowOff>
    </xdr:from>
    <xdr:to>
      <xdr:col>6</xdr:col>
      <xdr:colOff>201803</xdr:colOff>
      <xdr:row>6</xdr:row>
      <xdr:rowOff>168896</xdr:rowOff>
    </xdr:to>
    <xdr:pic>
      <xdr:nvPicPr>
        <xdr:cNvPr id="48" name="Picture 47"/>
        <xdr:cNvPicPr>
          <a:picLocks noChangeAspect="1"/>
        </xdr:cNvPicPr>
      </xdr:nvPicPr>
      <xdr:blipFill>
        <a:blip xmlns:r="http://schemas.openxmlformats.org/officeDocument/2006/relationships" r:embed="rId1"/>
        <a:stretch>
          <a:fillRect/>
        </a:stretch>
      </xdr:blipFill>
      <xdr:spPr>
        <a:xfrm>
          <a:off x="3136623" y="675035"/>
          <a:ext cx="1211730" cy="586061"/>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7</xdr:col>
          <xdr:colOff>132798</xdr:colOff>
          <xdr:row>13</xdr:row>
          <xdr:rowOff>128820</xdr:rowOff>
        </xdr:from>
        <xdr:to>
          <xdr:col>18</xdr:col>
          <xdr:colOff>533676</xdr:colOff>
          <xdr:row>42</xdr:row>
          <xdr:rowOff>74889</xdr:rowOff>
        </xdr:to>
        <xdr:pic>
          <xdr:nvPicPr>
            <xdr:cNvPr id="49" name="Picture 48"/>
            <xdr:cNvPicPr>
              <a:picLocks noChangeAspect="1" noChangeArrowheads="1"/>
              <a:extLst>
                <a:ext uri="{84589F7E-364E-4C9E-8A38-B11213B215E9}">
                  <a14:cameraTool cellRange="getChart" spid="_x0000_s139396"/>
                </a:ext>
              </a:extLst>
            </xdr:cNvPicPr>
          </xdr:nvPicPr>
          <xdr:blipFill>
            <a:blip xmlns:r="http://schemas.openxmlformats.org/officeDocument/2006/relationships" r:embed="rId2"/>
            <a:srcRect/>
            <a:stretch>
              <a:fillRect/>
            </a:stretch>
          </xdr:blipFill>
          <xdr:spPr bwMode="auto">
            <a:xfrm>
              <a:off x="4888948" y="2510070"/>
              <a:ext cx="7106478" cy="5286419"/>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128768</xdr:colOff>
          <xdr:row>46</xdr:row>
          <xdr:rowOff>6350</xdr:rowOff>
        </xdr:from>
        <xdr:to>
          <xdr:col>18</xdr:col>
          <xdr:colOff>534064</xdr:colOff>
          <xdr:row>74</xdr:row>
          <xdr:rowOff>143489</xdr:rowOff>
        </xdr:to>
        <xdr:pic>
          <xdr:nvPicPr>
            <xdr:cNvPr id="50" name="DemandGraph"/>
            <xdr:cNvPicPr>
              <a:picLocks noChangeAspect="1" noChangeArrowheads="1"/>
              <a:extLst>
                <a:ext uri="{84589F7E-364E-4C9E-8A38-B11213B215E9}">
                  <a14:cameraTool cellRange="getChart2" spid="_x0000_s139397"/>
                </a:ext>
              </a:extLst>
            </xdr:cNvPicPr>
          </xdr:nvPicPr>
          <xdr:blipFill>
            <a:blip xmlns:r="http://schemas.openxmlformats.org/officeDocument/2006/relationships" r:embed="rId2"/>
            <a:srcRect/>
            <a:stretch>
              <a:fillRect/>
            </a:stretch>
          </xdr:blipFill>
          <xdr:spPr bwMode="auto">
            <a:xfrm>
              <a:off x="4605518" y="7924800"/>
              <a:ext cx="7110896" cy="5293339"/>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20</xdr:col>
      <xdr:colOff>77027</xdr:colOff>
      <xdr:row>46</xdr:row>
      <xdr:rowOff>50800</xdr:rowOff>
    </xdr:from>
    <xdr:to>
      <xdr:col>26</xdr:col>
      <xdr:colOff>194088</xdr:colOff>
      <xdr:row>67</xdr:row>
      <xdr:rowOff>56324</xdr:rowOff>
    </xdr:to>
    <xdr:sp macro="" textlink="">
      <xdr:nvSpPr>
        <xdr:cNvPr id="51" name="DemandGreyBox"/>
        <xdr:cNvSpPr/>
      </xdr:nvSpPr>
      <xdr:spPr>
        <a:xfrm>
          <a:off x="12757977" y="8509000"/>
          <a:ext cx="3774661" cy="3872674"/>
        </a:xfrm>
        <a:prstGeom prst="rect">
          <a:avLst/>
        </a:prstGeom>
        <a:solidFill>
          <a:schemeClr val="bg1">
            <a:lumMod val="95000"/>
          </a:schemeClr>
        </a:solidFill>
        <a:ln>
          <a:solidFill>
            <a:schemeClr val="bg1">
              <a:lumMod val="9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horz"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n-US" sz="1100" b="1" u="sng">
              <a:solidFill>
                <a:schemeClr val="tx1"/>
              </a:solidFill>
              <a:effectLst/>
              <a:latin typeface="+mn-lt"/>
              <a:ea typeface="+mn-ea"/>
              <a:cs typeface="+mn-cs"/>
            </a:rPr>
            <a:t>Peak shaving </a:t>
          </a:r>
          <a:r>
            <a:rPr lang="en-US" sz="1100" b="1" u="sng" baseline="0">
              <a:solidFill>
                <a:schemeClr val="tx1"/>
              </a:solidFill>
              <a:effectLst/>
              <a:latin typeface="+mn-lt"/>
              <a:ea typeface="+mn-ea"/>
              <a:cs typeface="+mn-cs"/>
            </a:rPr>
            <a:t>summary</a:t>
          </a:r>
          <a:endParaRPr lang="en-US">
            <a:solidFill>
              <a:schemeClr val="tx1"/>
            </a:solidFill>
            <a:effectLst/>
          </a:endParaRPr>
        </a:p>
        <a:p>
          <a:pPr algn="l"/>
          <a:endParaRPr lang="en-US" sz="1100">
            <a:solidFill>
              <a:schemeClr val="tx1"/>
            </a:solidFill>
          </a:endParaRPr>
        </a:p>
      </xdr:txBody>
    </xdr:sp>
    <xdr:clientData/>
  </xdr:twoCellAnchor>
  <xdr:twoCellAnchor editAs="oneCell">
    <xdr:from>
      <xdr:col>20</xdr:col>
      <xdr:colOff>485775</xdr:colOff>
      <xdr:row>18</xdr:row>
      <xdr:rowOff>171450</xdr:rowOff>
    </xdr:from>
    <xdr:to>
      <xdr:col>25</xdr:col>
      <xdr:colOff>447675</xdr:colOff>
      <xdr:row>20</xdr:row>
      <xdr:rowOff>82550</xdr:rowOff>
    </xdr:to>
    <xdr:sp macro="" textlink="">
      <xdr:nvSpPr>
        <xdr:cNvPr id="52" name="AdvancedSummaryLabel1"/>
        <xdr:cNvSpPr txBox="1"/>
      </xdr:nvSpPr>
      <xdr:spPr>
        <a:xfrm>
          <a:off x="13166725" y="3473450"/>
          <a:ext cx="3009900" cy="2794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200" b="0">
              <a:solidFill>
                <a:schemeClr val="tx1"/>
              </a:solidFill>
              <a:latin typeface="Arial" panose="020B0604020202020204" pitchFamily="34" charset="0"/>
              <a:cs typeface="Arial" panose="020B0604020202020204" pitchFamily="34" charset="0"/>
            </a:rPr>
            <a:t>Break even point</a:t>
          </a:r>
        </a:p>
      </xdr:txBody>
    </xdr:sp>
    <xdr:clientData/>
  </xdr:twoCellAnchor>
  <xdr:twoCellAnchor editAs="oneCell">
    <xdr:from>
      <xdr:col>20</xdr:col>
      <xdr:colOff>582612</xdr:colOff>
      <xdr:row>24</xdr:row>
      <xdr:rowOff>19050</xdr:rowOff>
    </xdr:from>
    <xdr:to>
      <xdr:col>25</xdr:col>
      <xdr:colOff>274638</xdr:colOff>
      <xdr:row>26</xdr:row>
      <xdr:rowOff>107950</xdr:rowOff>
    </xdr:to>
    <xdr:sp macro="" textlink="">
      <xdr:nvSpPr>
        <xdr:cNvPr id="53" name="AdvancedSummaryLabel2"/>
        <xdr:cNvSpPr txBox="1"/>
      </xdr:nvSpPr>
      <xdr:spPr>
        <a:xfrm>
          <a:off x="13263562" y="4425950"/>
          <a:ext cx="2740026" cy="457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200" b="0">
              <a:solidFill>
                <a:schemeClr val="tx1"/>
              </a:solidFill>
              <a:latin typeface="Arial" panose="020B0604020202020204" pitchFamily="34" charset="0"/>
              <a:cs typeface="Arial" panose="020B0604020202020204" pitchFamily="34" charset="0"/>
            </a:rPr>
            <a:t>The proportion of system's cost recovered after 15 Years</a:t>
          </a:r>
        </a:p>
      </xdr:txBody>
    </xdr:sp>
    <xdr:clientData/>
  </xdr:twoCellAnchor>
  <xdr:twoCellAnchor editAs="oneCell">
    <xdr:from>
      <xdr:col>20</xdr:col>
      <xdr:colOff>498329</xdr:colOff>
      <xdr:row>30</xdr:row>
      <xdr:rowOff>146050</xdr:rowOff>
    </xdr:from>
    <xdr:to>
      <xdr:col>25</xdr:col>
      <xdr:colOff>358922</xdr:colOff>
      <xdr:row>33</xdr:row>
      <xdr:rowOff>50800</xdr:rowOff>
    </xdr:to>
    <xdr:sp macro="" textlink="">
      <xdr:nvSpPr>
        <xdr:cNvPr id="54" name="AdvancedSummaryLabel3"/>
        <xdr:cNvSpPr txBox="1"/>
      </xdr:nvSpPr>
      <xdr:spPr>
        <a:xfrm>
          <a:off x="13179279" y="5657850"/>
          <a:ext cx="2908593" cy="457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200" b="0">
              <a:solidFill>
                <a:schemeClr val="tx1"/>
              </a:solidFill>
              <a:latin typeface="Arial" panose="020B0604020202020204" pitchFamily="34" charset="0"/>
              <a:cs typeface="Arial" panose="020B0604020202020204" pitchFamily="34" charset="0"/>
            </a:rPr>
            <a:t>The number of times the system's cost is recovered over its possible lifetime</a:t>
          </a:r>
        </a:p>
      </xdr:txBody>
    </xdr:sp>
    <xdr:clientData/>
  </xdr:twoCellAnchor>
  <xdr:twoCellAnchor editAs="oneCell">
    <xdr:from>
      <xdr:col>20</xdr:col>
      <xdr:colOff>485775</xdr:colOff>
      <xdr:row>16</xdr:row>
      <xdr:rowOff>152400</xdr:rowOff>
    </xdr:from>
    <xdr:to>
      <xdr:col>25</xdr:col>
      <xdr:colOff>447675</xdr:colOff>
      <xdr:row>18</xdr:row>
      <xdr:rowOff>171450</xdr:rowOff>
    </xdr:to>
    <xdr:sp macro="" textlink="">
      <xdr:nvSpPr>
        <xdr:cNvPr id="55" name="AdvancedSummaryValue1"/>
        <xdr:cNvSpPr txBox="1"/>
      </xdr:nvSpPr>
      <xdr:spPr>
        <a:xfrm>
          <a:off x="13166725" y="3086100"/>
          <a:ext cx="3009900" cy="3873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2000" b="0">
              <a:solidFill>
                <a:schemeClr val="tx1"/>
              </a:solidFill>
              <a:latin typeface="Arial" panose="020B0604020202020204" pitchFamily="34" charset="0"/>
              <a:cs typeface="Arial" panose="020B0604020202020204" pitchFamily="34" charset="0"/>
            </a:rPr>
            <a:t>11.4 years</a:t>
          </a:r>
        </a:p>
      </xdr:txBody>
    </xdr:sp>
    <xdr:clientData/>
  </xdr:twoCellAnchor>
  <xdr:twoCellAnchor editAs="oneCell">
    <xdr:from>
      <xdr:col>20</xdr:col>
      <xdr:colOff>447675</xdr:colOff>
      <xdr:row>22</xdr:row>
      <xdr:rowOff>19050</xdr:rowOff>
    </xdr:from>
    <xdr:to>
      <xdr:col>25</xdr:col>
      <xdr:colOff>409575</xdr:colOff>
      <xdr:row>24</xdr:row>
      <xdr:rowOff>38100</xdr:rowOff>
    </xdr:to>
    <xdr:sp macro="" textlink="">
      <xdr:nvSpPr>
        <xdr:cNvPr id="56" name="AdvancedSummaryValue2"/>
        <xdr:cNvSpPr txBox="1"/>
      </xdr:nvSpPr>
      <xdr:spPr>
        <a:xfrm>
          <a:off x="13128625" y="4057650"/>
          <a:ext cx="3009900" cy="3873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2000" b="0">
              <a:solidFill>
                <a:schemeClr val="tx1"/>
              </a:solidFill>
              <a:latin typeface="Arial" panose="020B0604020202020204" pitchFamily="34" charset="0"/>
              <a:cs typeface="Arial" panose="020B0604020202020204" pitchFamily="34" charset="0"/>
            </a:rPr>
            <a:t>139%</a:t>
          </a:r>
        </a:p>
      </xdr:txBody>
    </xdr:sp>
    <xdr:clientData/>
  </xdr:twoCellAnchor>
  <xdr:twoCellAnchor editAs="oneCell">
    <xdr:from>
      <xdr:col>4</xdr:col>
      <xdr:colOff>222250</xdr:colOff>
      <xdr:row>14</xdr:row>
      <xdr:rowOff>139700</xdr:rowOff>
    </xdr:from>
    <xdr:to>
      <xdr:col>6</xdr:col>
      <xdr:colOff>552450</xdr:colOff>
      <xdr:row>17</xdr:row>
      <xdr:rowOff>177800</xdr:rowOff>
    </xdr:to>
    <xdr:sp macro="" textlink="">
      <xdr:nvSpPr>
        <xdr:cNvPr id="57" name="Heading"/>
        <xdr:cNvSpPr txBox="1"/>
      </xdr:nvSpPr>
      <xdr:spPr>
        <a:xfrm>
          <a:off x="3149600" y="2705100"/>
          <a:ext cx="1549400" cy="590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solidFill>
                <a:schemeClr val="tx1"/>
              </a:solidFill>
              <a:latin typeface="Arial" panose="020B0604020202020204" pitchFamily="34" charset="0"/>
              <a:cs typeface="Arial" panose="020B0604020202020204" pitchFamily="34" charset="0"/>
            </a:rPr>
            <a:t>Battery price</a:t>
          </a:r>
          <a:r>
            <a:rPr lang="en-US" sz="1100" b="1" baseline="0">
              <a:solidFill>
                <a:schemeClr val="dk1"/>
              </a:solidFill>
              <a:effectLst/>
              <a:latin typeface="Arial" panose="020B0604020202020204" pitchFamily="34" charset="0"/>
              <a:ea typeface="+mn-ea"/>
              <a:cs typeface="Arial" panose="020B0604020202020204" pitchFamily="34" charset="0"/>
            </a:rPr>
            <a:t/>
          </a:r>
          <a:br>
            <a:rPr lang="en-US" sz="1100" b="1" baseline="0">
              <a:solidFill>
                <a:schemeClr val="dk1"/>
              </a:solidFill>
              <a:effectLst/>
              <a:latin typeface="Arial" panose="020B0604020202020204" pitchFamily="34" charset="0"/>
              <a:ea typeface="+mn-ea"/>
              <a:cs typeface="Arial" panose="020B0604020202020204" pitchFamily="34" charset="0"/>
            </a:rPr>
          </a:br>
          <a:endParaRPr lang="en-US" sz="200" b="1" baseline="0">
            <a:solidFill>
              <a:schemeClr val="dk1"/>
            </a:solidFill>
            <a:effectLst/>
            <a:latin typeface="Arial" panose="020B0604020202020204" pitchFamily="34" charset="0"/>
            <a:ea typeface="+mn-ea"/>
            <a:cs typeface="Arial" panose="020B0604020202020204" pitchFamily="34" charset="0"/>
          </a:endParaRPr>
        </a:p>
        <a:p>
          <a:endParaRPr lang="en-US" sz="200" b="1" baseline="0">
            <a:solidFill>
              <a:schemeClr val="dk1"/>
            </a:solidFill>
            <a:effectLst/>
            <a:latin typeface="Arial" panose="020B0604020202020204" pitchFamily="34" charset="0"/>
            <a:ea typeface="+mn-ea"/>
            <a:cs typeface="Arial" panose="020B0604020202020204" pitchFamily="34" charset="0"/>
          </a:endParaRPr>
        </a:p>
        <a:p>
          <a:endParaRPr lang="en-US" sz="200" b="1" baseline="0">
            <a:solidFill>
              <a:schemeClr val="dk1"/>
            </a:solidFill>
            <a:effectLst/>
            <a:latin typeface="Arial" panose="020B0604020202020204" pitchFamily="34" charset="0"/>
            <a:ea typeface="+mn-ea"/>
            <a:cs typeface="Arial" panose="020B0604020202020204" pitchFamily="34" charset="0"/>
          </a:endParaRPr>
        </a:p>
        <a:p>
          <a:r>
            <a:rPr lang="en-US" sz="1100" b="0" baseline="0">
              <a:solidFill>
                <a:schemeClr val="dk1"/>
              </a:solidFill>
              <a:effectLst/>
              <a:latin typeface="Arial" panose="020B0604020202020204" pitchFamily="34" charset="0"/>
              <a:ea typeface="+mn-ea"/>
              <a:cs typeface="Arial" panose="020B0604020202020204" pitchFamily="34" charset="0"/>
            </a:rPr>
            <a:t>Storage cost per kWh</a:t>
          </a:r>
          <a:endParaRPr lang="en-US" sz="1200" b="0">
            <a:solidFill>
              <a:schemeClr val="tx1"/>
            </a:solidFill>
            <a:latin typeface="Arial" panose="020B0604020202020204" pitchFamily="34" charset="0"/>
            <a:cs typeface="Arial" panose="020B0604020202020204" pitchFamily="34" charset="0"/>
          </a:endParaRPr>
        </a:p>
      </xdr:txBody>
    </xdr:sp>
    <xdr:clientData/>
  </xdr:twoCellAnchor>
  <xdr:twoCellAnchor editAs="oneCell">
    <xdr:from>
      <xdr:col>4</xdr:col>
      <xdr:colOff>209550</xdr:colOff>
      <xdr:row>22</xdr:row>
      <xdr:rowOff>171450</xdr:rowOff>
    </xdr:from>
    <xdr:to>
      <xdr:col>7</xdr:col>
      <xdr:colOff>368300</xdr:colOff>
      <xdr:row>26</xdr:row>
      <xdr:rowOff>120650</xdr:rowOff>
    </xdr:to>
    <xdr:sp macro="" textlink="">
      <xdr:nvSpPr>
        <xdr:cNvPr id="58" name="Heading"/>
        <xdr:cNvSpPr txBox="1"/>
      </xdr:nvSpPr>
      <xdr:spPr>
        <a:xfrm>
          <a:off x="3136900" y="4210050"/>
          <a:ext cx="1987550" cy="685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ct val="100000"/>
            </a:lnSpc>
          </a:pPr>
          <a:r>
            <a:rPr lang="en-US" sz="1200" b="1">
              <a:solidFill>
                <a:schemeClr val="tx1"/>
              </a:solidFill>
              <a:latin typeface="Arial" panose="020B0604020202020204" pitchFamily="34" charset="0"/>
              <a:cs typeface="Arial" panose="020B0604020202020204" pitchFamily="34" charset="0"/>
            </a:rPr>
            <a:t>Electricity inflation</a:t>
          </a:r>
          <a:r>
            <a:rPr lang="en-US" sz="200" b="1" baseline="0">
              <a:solidFill>
                <a:schemeClr val="tx1"/>
              </a:solidFill>
              <a:latin typeface="Arial" panose="020B0604020202020204" pitchFamily="34" charset="0"/>
              <a:cs typeface="Arial" panose="020B0604020202020204" pitchFamily="34" charset="0"/>
            </a:rPr>
            <a:t/>
          </a:r>
          <a:br>
            <a:rPr lang="en-US" sz="200" b="1" baseline="0">
              <a:solidFill>
                <a:schemeClr val="tx1"/>
              </a:solidFill>
              <a:latin typeface="Arial" panose="020B0604020202020204" pitchFamily="34" charset="0"/>
              <a:cs typeface="Arial" panose="020B0604020202020204" pitchFamily="34" charset="0"/>
            </a:rPr>
          </a:br>
          <a:r>
            <a:rPr lang="en-US" sz="200" b="1" baseline="0">
              <a:solidFill>
                <a:schemeClr val="tx1"/>
              </a:solidFill>
              <a:latin typeface="Arial" panose="020B0604020202020204" pitchFamily="34" charset="0"/>
              <a:cs typeface="Arial" panose="020B0604020202020204" pitchFamily="34" charset="0"/>
            </a:rPr>
            <a:t/>
          </a:r>
          <a:br>
            <a:rPr lang="en-US" sz="200" b="1" baseline="0">
              <a:solidFill>
                <a:schemeClr val="tx1"/>
              </a:solidFill>
              <a:latin typeface="Arial" panose="020B0604020202020204" pitchFamily="34" charset="0"/>
              <a:cs typeface="Arial" panose="020B0604020202020204" pitchFamily="34" charset="0"/>
            </a:rPr>
          </a:br>
          <a:r>
            <a:rPr lang="en-US" sz="200" b="1" baseline="0">
              <a:solidFill>
                <a:schemeClr val="tx1"/>
              </a:solidFill>
              <a:latin typeface="Arial" panose="020B0604020202020204" pitchFamily="34" charset="0"/>
              <a:cs typeface="Arial" panose="020B0604020202020204" pitchFamily="34" charset="0"/>
            </a:rPr>
            <a:t/>
          </a:r>
          <a:br>
            <a:rPr lang="en-US" sz="200" b="1" baseline="0">
              <a:solidFill>
                <a:schemeClr val="tx1"/>
              </a:solidFill>
              <a:latin typeface="Arial" panose="020B0604020202020204" pitchFamily="34" charset="0"/>
              <a:cs typeface="Arial" panose="020B0604020202020204" pitchFamily="34" charset="0"/>
            </a:rPr>
          </a:br>
          <a:r>
            <a:rPr lang="en-US" sz="1050" b="0" baseline="0">
              <a:solidFill>
                <a:schemeClr val="tx1"/>
              </a:solidFill>
              <a:latin typeface="Arial" panose="020B0604020202020204" pitchFamily="34" charset="0"/>
              <a:cs typeface="Arial" panose="020B0604020202020204" pitchFamily="34" charset="0"/>
            </a:rPr>
            <a:t>Increase per annum</a:t>
          </a:r>
          <a:endParaRPr lang="en-US" sz="1200" b="1">
            <a:solidFill>
              <a:schemeClr val="tx1"/>
            </a:solidFill>
            <a:latin typeface="Arial" panose="020B0604020202020204" pitchFamily="34" charset="0"/>
            <a:cs typeface="Arial" panose="020B0604020202020204" pitchFamily="34" charset="0"/>
          </a:endParaRPr>
        </a:p>
      </xdr:txBody>
    </xdr:sp>
    <xdr:clientData/>
  </xdr:twoCellAnchor>
  <xdr:twoCellAnchor editAs="oneCell">
    <xdr:from>
      <xdr:col>20</xdr:col>
      <xdr:colOff>82550</xdr:colOff>
      <xdr:row>6</xdr:row>
      <xdr:rowOff>107950</xdr:rowOff>
    </xdr:from>
    <xdr:to>
      <xdr:col>23</xdr:col>
      <xdr:colOff>393700</xdr:colOff>
      <xdr:row>8</xdr:row>
      <xdr:rowOff>25400</xdr:rowOff>
    </xdr:to>
    <xdr:sp macro="[0]!ViewSummaryFromCustom_Click" textlink="">
      <xdr:nvSpPr>
        <xdr:cNvPr id="61" name="StartOver"/>
        <xdr:cNvSpPr txBox="1"/>
      </xdr:nvSpPr>
      <xdr:spPr>
        <a:xfrm>
          <a:off x="12763500" y="1200150"/>
          <a:ext cx="2139950" cy="285750"/>
        </a:xfrm>
        <a:prstGeom prst="rect">
          <a:avLst/>
        </a:prstGeom>
        <a:solidFill>
          <a:schemeClr val="tx1">
            <a:lumMod val="65000"/>
            <a:lumOff val="3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a:solidFill>
                <a:schemeClr val="bg1"/>
              </a:solidFill>
              <a:latin typeface="Arial" panose="020B0604020202020204" pitchFamily="34" charset="0"/>
              <a:cs typeface="Arial" panose="020B0604020202020204" pitchFamily="34" charset="0"/>
            </a:rPr>
            <a:t>GO BACK</a:t>
          </a:r>
        </a:p>
      </xdr:txBody>
    </xdr:sp>
    <xdr:clientData/>
  </xdr:twoCellAnchor>
  <xdr:twoCellAnchor editAs="oneCell">
    <xdr:from>
      <xdr:col>20</xdr:col>
      <xdr:colOff>101600</xdr:colOff>
      <xdr:row>9</xdr:row>
      <xdr:rowOff>12700</xdr:rowOff>
    </xdr:from>
    <xdr:to>
      <xdr:col>23</xdr:col>
      <xdr:colOff>412750</xdr:colOff>
      <xdr:row>10</xdr:row>
      <xdr:rowOff>114300</xdr:rowOff>
    </xdr:to>
    <xdr:sp macro="[0]!PrintAdvanced_Click" textlink="">
      <xdr:nvSpPr>
        <xdr:cNvPr id="62" name="ShowGraph"/>
        <xdr:cNvSpPr txBox="1"/>
      </xdr:nvSpPr>
      <xdr:spPr>
        <a:xfrm>
          <a:off x="12782550" y="1657350"/>
          <a:ext cx="2139950" cy="285750"/>
        </a:xfrm>
        <a:prstGeom prst="rect">
          <a:avLst/>
        </a:prstGeom>
        <a:solidFill>
          <a:srgbClr val="00A9D8"/>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a:solidFill>
                <a:schemeClr val="bg1"/>
              </a:solidFill>
              <a:latin typeface="Arial" panose="020B0604020202020204" pitchFamily="34" charset="0"/>
              <a:cs typeface="Arial" panose="020B0604020202020204" pitchFamily="34" charset="0"/>
            </a:rPr>
            <a:t>PRINT</a:t>
          </a:r>
        </a:p>
      </xdr:txBody>
    </xdr:sp>
    <xdr:clientData/>
  </xdr:twoCellAnchor>
  <xdr:twoCellAnchor editAs="oneCell">
    <xdr:from>
      <xdr:col>20</xdr:col>
      <xdr:colOff>488950</xdr:colOff>
      <xdr:row>59</xdr:row>
      <xdr:rowOff>95250</xdr:rowOff>
    </xdr:from>
    <xdr:to>
      <xdr:col>25</xdr:col>
      <xdr:colOff>450850</xdr:colOff>
      <xdr:row>61</xdr:row>
      <xdr:rowOff>114300</xdr:rowOff>
    </xdr:to>
    <xdr:sp macro="" textlink="">
      <xdr:nvSpPr>
        <xdr:cNvPr id="63" name="AdvancedPeakSummaryValue3"/>
        <xdr:cNvSpPr txBox="1"/>
      </xdr:nvSpPr>
      <xdr:spPr>
        <a:xfrm>
          <a:off x="13169900" y="10947400"/>
          <a:ext cx="3009900" cy="3873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2000" b="0">
              <a:solidFill>
                <a:schemeClr val="tx1"/>
              </a:solidFill>
              <a:latin typeface="Arial" panose="020B0604020202020204" pitchFamily="34" charset="0"/>
              <a:cs typeface="Arial" panose="020B0604020202020204" pitchFamily="34" charset="0"/>
            </a:rPr>
            <a:t>2.2</a:t>
          </a:r>
        </a:p>
      </xdr:txBody>
    </xdr:sp>
    <xdr:clientData/>
  </xdr:twoCellAnchor>
  <xdr:twoCellAnchor editAs="oneCell">
    <xdr:from>
      <xdr:col>20</xdr:col>
      <xdr:colOff>508000</xdr:colOff>
      <xdr:row>50</xdr:row>
      <xdr:rowOff>76200</xdr:rowOff>
    </xdr:from>
    <xdr:to>
      <xdr:col>25</xdr:col>
      <xdr:colOff>469900</xdr:colOff>
      <xdr:row>51</xdr:row>
      <xdr:rowOff>171450</xdr:rowOff>
    </xdr:to>
    <xdr:sp macro="" textlink="">
      <xdr:nvSpPr>
        <xdr:cNvPr id="64" name="AdvancedPeakSummaryLabel1"/>
        <xdr:cNvSpPr txBox="1"/>
      </xdr:nvSpPr>
      <xdr:spPr>
        <a:xfrm>
          <a:off x="13188950" y="9271000"/>
          <a:ext cx="3009900" cy="2794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200" b="0">
              <a:solidFill>
                <a:schemeClr val="tx1"/>
              </a:solidFill>
              <a:latin typeface="Arial" panose="020B0604020202020204" pitchFamily="34" charset="0"/>
              <a:cs typeface="Arial" panose="020B0604020202020204" pitchFamily="34" charset="0"/>
            </a:rPr>
            <a:t>Break even point</a:t>
          </a:r>
        </a:p>
      </xdr:txBody>
    </xdr:sp>
    <xdr:clientData/>
  </xdr:twoCellAnchor>
  <xdr:twoCellAnchor editAs="oneCell">
    <xdr:from>
      <xdr:col>21</xdr:col>
      <xdr:colOff>14287</xdr:colOff>
      <xdr:row>55</xdr:row>
      <xdr:rowOff>76200</xdr:rowOff>
    </xdr:from>
    <xdr:to>
      <xdr:col>25</xdr:col>
      <xdr:colOff>315913</xdr:colOff>
      <xdr:row>57</xdr:row>
      <xdr:rowOff>165100</xdr:rowOff>
    </xdr:to>
    <xdr:sp macro="" textlink="">
      <xdr:nvSpPr>
        <xdr:cNvPr id="65" name="AdvancedPeakSummaryLabel2"/>
        <xdr:cNvSpPr txBox="1"/>
      </xdr:nvSpPr>
      <xdr:spPr>
        <a:xfrm>
          <a:off x="13304837" y="10191750"/>
          <a:ext cx="2740026" cy="457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200" b="0">
              <a:solidFill>
                <a:schemeClr val="tx1"/>
              </a:solidFill>
              <a:latin typeface="Arial" panose="020B0604020202020204" pitchFamily="34" charset="0"/>
              <a:cs typeface="Arial" panose="020B0604020202020204" pitchFamily="34" charset="0"/>
            </a:rPr>
            <a:t>The proportion of system's cost recovered after 15 Years</a:t>
          </a:r>
        </a:p>
      </xdr:txBody>
    </xdr:sp>
    <xdr:clientData/>
  </xdr:twoCellAnchor>
  <xdr:twoCellAnchor editAs="oneCell">
    <xdr:from>
      <xdr:col>20</xdr:col>
      <xdr:colOff>539604</xdr:colOff>
      <xdr:row>61</xdr:row>
      <xdr:rowOff>152400</xdr:rowOff>
    </xdr:from>
    <xdr:to>
      <xdr:col>25</xdr:col>
      <xdr:colOff>400197</xdr:colOff>
      <xdr:row>64</xdr:row>
      <xdr:rowOff>57150</xdr:rowOff>
    </xdr:to>
    <xdr:sp macro="" textlink="">
      <xdr:nvSpPr>
        <xdr:cNvPr id="66" name="AdvancedPeakSummaryLabel3"/>
        <xdr:cNvSpPr txBox="1"/>
      </xdr:nvSpPr>
      <xdr:spPr>
        <a:xfrm>
          <a:off x="13220554" y="11372850"/>
          <a:ext cx="2908593" cy="457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200" b="0">
              <a:solidFill>
                <a:schemeClr val="tx1"/>
              </a:solidFill>
              <a:latin typeface="Arial" panose="020B0604020202020204" pitchFamily="34" charset="0"/>
              <a:cs typeface="Arial" panose="020B0604020202020204" pitchFamily="34" charset="0"/>
            </a:rPr>
            <a:t>The number of times the system's cost is recovered over its possible lifetime</a:t>
          </a:r>
        </a:p>
      </xdr:txBody>
    </xdr:sp>
    <xdr:clientData/>
  </xdr:twoCellAnchor>
  <xdr:twoCellAnchor editAs="oneCell">
    <xdr:from>
      <xdr:col>20</xdr:col>
      <xdr:colOff>508000</xdr:colOff>
      <xdr:row>48</xdr:row>
      <xdr:rowOff>57150</xdr:rowOff>
    </xdr:from>
    <xdr:to>
      <xdr:col>25</xdr:col>
      <xdr:colOff>469900</xdr:colOff>
      <xdr:row>50</xdr:row>
      <xdr:rowOff>76200</xdr:rowOff>
    </xdr:to>
    <xdr:sp macro="" textlink="">
      <xdr:nvSpPr>
        <xdr:cNvPr id="67" name="AdvancedPeakSummaryValue1"/>
        <xdr:cNvSpPr txBox="1"/>
      </xdr:nvSpPr>
      <xdr:spPr>
        <a:xfrm>
          <a:off x="13188950" y="8883650"/>
          <a:ext cx="3009900" cy="3873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2000" b="0">
              <a:solidFill>
                <a:schemeClr val="tx1"/>
              </a:solidFill>
              <a:latin typeface="Arial" panose="020B0604020202020204" pitchFamily="34" charset="0"/>
              <a:cs typeface="Arial" panose="020B0604020202020204" pitchFamily="34" charset="0"/>
            </a:rPr>
            <a:t>7.7 Years</a:t>
          </a:r>
        </a:p>
      </xdr:txBody>
    </xdr:sp>
    <xdr:clientData/>
  </xdr:twoCellAnchor>
  <xdr:twoCellAnchor editAs="oneCell">
    <xdr:from>
      <xdr:col>20</xdr:col>
      <xdr:colOff>488950</xdr:colOff>
      <xdr:row>53</xdr:row>
      <xdr:rowOff>76200</xdr:rowOff>
    </xdr:from>
    <xdr:to>
      <xdr:col>25</xdr:col>
      <xdr:colOff>450850</xdr:colOff>
      <xdr:row>55</xdr:row>
      <xdr:rowOff>95250</xdr:rowOff>
    </xdr:to>
    <xdr:sp macro="" textlink="">
      <xdr:nvSpPr>
        <xdr:cNvPr id="68" name="AdvancedPeakSummaryValue2"/>
        <xdr:cNvSpPr txBox="1"/>
      </xdr:nvSpPr>
      <xdr:spPr>
        <a:xfrm>
          <a:off x="13169900" y="9823450"/>
          <a:ext cx="3009900" cy="3873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2000" b="0">
              <a:solidFill>
                <a:schemeClr val="tx1"/>
              </a:solidFill>
              <a:latin typeface="Arial" panose="020B0604020202020204" pitchFamily="34" charset="0"/>
              <a:cs typeface="Arial" panose="020B0604020202020204" pitchFamily="34" charset="0"/>
            </a:rPr>
            <a:t>215%</a:t>
          </a:r>
        </a:p>
      </xdr:txBody>
    </xdr:sp>
    <xdr:clientData/>
  </xdr:twoCellAnchor>
  <xdr:twoCellAnchor editAs="oneCell">
    <xdr:from>
      <xdr:col>4</xdr:col>
      <xdr:colOff>146050</xdr:colOff>
      <xdr:row>45</xdr:row>
      <xdr:rowOff>171450</xdr:rowOff>
    </xdr:from>
    <xdr:to>
      <xdr:col>6</xdr:col>
      <xdr:colOff>539750</xdr:colOff>
      <xdr:row>47</xdr:row>
      <xdr:rowOff>95250</xdr:rowOff>
    </xdr:to>
    <xdr:sp macro="" textlink="">
      <xdr:nvSpPr>
        <xdr:cNvPr id="69" name="DemandChargeLabel"/>
        <xdr:cNvSpPr txBox="1"/>
      </xdr:nvSpPr>
      <xdr:spPr>
        <a:xfrm>
          <a:off x="3073400" y="8445500"/>
          <a:ext cx="1612900" cy="2921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solidFill>
                <a:schemeClr val="tx1"/>
              </a:solidFill>
              <a:latin typeface="Arial" panose="020B0604020202020204" pitchFamily="34" charset="0"/>
              <a:cs typeface="Arial" panose="020B0604020202020204" pitchFamily="34" charset="0"/>
            </a:rPr>
            <a:t>Energy tariff details</a:t>
          </a:r>
        </a:p>
      </xdr:txBody>
    </xdr:sp>
    <xdr:clientData/>
  </xdr:twoCellAnchor>
  <xdr:twoCellAnchor editAs="oneCell">
    <xdr:from>
      <xdr:col>4</xdr:col>
      <xdr:colOff>361950</xdr:colOff>
      <xdr:row>51</xdr:row>
      <xdr:rowOff>107950</xdr:rowOff>
    </xdr:from>
    <xdr:to>
      <xdr:col>6</xdr:col>
      <xdr:colOff>222250</xdr:colOff>
      <xdr:row>54</xdr:row>
      <xdr:rowOff>88900</xdr:rowOff>
    </xdr:to>
    <xdr:sp macro="" textlink="">
      <xdr:nvSpPr>
        <xdr:cNvPr id="72" name="CostLabel"/>
        <xdr:cNvSpPr txBox="1"/>
      </xdr:nvSpPr>
      <xdr:spPr>
        <a:xfrm>
          <a:off x="3289300" y="9486900"/>
          <a:ext cx="1079500" cy="5334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b="1">
              <a:solidFill>
                <a:schemeClr val="tx1"/>
              </a:solidFill>
              <a:latin typeface="Arial" panose="020B0604020202020204" pitchFamily="34" charset="0"/>
              <a:cs typeface="Arial" panose="020B0604020202020204" pitchFamily="34" charset="0"/>
            </a:rPr>
            <a:t>Demand tariff</a:t>
          </a:r>
        </a:p>
        <a:p>
          <a:endParaRPr lang="en-US" sz="1000" b="1">
            <a:solidFill>
              <a:schemeClr val="tx1"/>
            </a:solidFill>
            <a:latin typeface="Arial" panose="020B0604020202020204" pitchFamily="34" charset="0"/>
            <a:cs typeface="Arial" panose="020B0604020202020204" pitchFamily="34" charset="0"/>
          </a:endParaRPr>
        </a:p>
        <a:p>
          <a:r>
            <a:rPr lang="en-US" sz="1000" b="0">
              <a:solidFill>
                <a:schemeClr val="tx1"/>
              </a:solidFill>
              <a:latin typeface="Arial" panose="020B0604020202020204" pitchFamily="34" charset="0"/>
              <a:cs typeface="Arial" panose="020B0604020202020204" pitchFamily="34" charset="0"/>
            </a:rPr>
            <a:t>$</a:t>
          </a:r>
          <a:r>
            <a:rPr lang="en-US" sz="1000" b="0" baseline="0">
              <a:solidFill>
                <a:schemeClr val="tx1"/>
              </a:solidFill>
              <a:latin typeface="Arial" panose="020B0604020202020204" pitchFamily="34" charset="0"/>
              <a:cs typeface="Arial" panose="020B0604020202020204" pitchFamily="34" charset="0"/>
            </a:rPr>
            <a:t> / kVA / month</a:t>
          </a:r>
          <a:endParaRPr lang="en-US" sz="1000" b="0">
            <a:solidFill>
              <a:schemeClr val="tx1"/>
            </a:solidFill>
            <a:latin typeface="Arial" panose="020B0604020202020204" pitchFamily="34" charset="0"/>
            <a:cs typeface="Arial" panose="020B0604020202020204" pitchFamily="34" charset="0"/>
          </a:endParaRPr>
        </a:p>
      </xdr:txBody>
    </xdr:sp>
    <xdr:clientData/>
  </xdr:twoCellAnchor>
  <xdr:twoCellAnchor>
    <xdr:from>
      <xdr:col>4</xdr:col>
      <xdr:colOff>365126</xdr:colOff>
      <xdr:row>54</xdr:row>
      <xdr:rowOff>177800</xdr:rowOff>
    </xdr:from>
    <xdr:to>
      <xdr:col>5</xdr:col>
      <xdr:colOff>473075</xdr:colOff>
      <xdr:row>56</xdr:row>
      <xdr:rowOff>59910</xdr:rowOff>
    </xdr:to>
    <xdr:sp macro="" textlink="">
      <xdr:nvSpPr>
        <xdr:cNvPr id="73" name="DemandChargeCustom"/>
        <xdr:cNvSpPr/>
      </xdr:nvSpPr>
      <xdr:spPr>
        <a:xfrm>
          <a:off x="3292476" y="10109200"/>
          <a:ext cx="717549" cy="250410"/>
        </a:xfrm>
        <a:prstGeom prst="rect">
          <a:avLst/>
        </a:prstGeom>
        <a:solidFill>
          <a:schemeClr val="bg1">
            <a:lumMod val="95000"/>
          </a:schemeClr>
        </a:solidFill>
        <a:ln>
          <a:solidFill>
            <a:schemeClr val="bg1">
              <a:lumMod val="9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horz" rtlCol="0" anchor="ctr"/>
        <a:lstStyle/>
        <a:p>
          <a:pPr algn="ctr"/>
          <a:r>
            <a:rPr lang="en-US" sz="1000">
              <a:solidFill>
                <a:srgbClr xmlns:mc="http://schemas.openxmlformats.org/markup-compatibility/2006" xmlns:a14="http://schemas.microsoft.com/office/drawing/2010/main" val="808080" mc:Ignorable="a14" a14:legacySpreadsheetColorIndex="23"/>
              </a:solidFill>
              <a:latin typeface="Arial" panose="020B0604020202020204" pitchFamily="34" charset="0"/>
              <a:cs typeface="Arial" panose="020B0604020202020204" pitchFamily="34" charset="0"/>
            </a:rPr>
            <a:t>$11.33</a:t>
          </a:r>
        </a:p>
      </xdr:txBody>
    </xdr:sp>
    <xdr:clientData/>
  </xdr:twoCellAnchor>
  <mc:AlternateContent xmlns:mc="http://schemas.openxmlformats.org/markup-compatibility/2006">
    <mc:Choice xmlns:a14="http://schemas.microsoft.com/office/drawing/2010/main" Requires="a14">
      <xdr:twoCellAnchor editAs="oneCell">
        <xdr:from>
          <xdr:col>4</xdr:col>
          <xdr:colOff>200025</xdr:colOff>
          <xdr:row>48</xdr:row>
          <xdr:rowOff>9525</xdr:rowOff>
        </xdr:from>
        <xdr:to>
          <xdr:col>6</xdr:col>
          <xdr:colOff>561975</xdr:colOff>
          <xdr:row>50</xdr:row>
          <xdr:rowOff>76200</xdr:rowOff>
        </xdr:to>
        <xdr:sp macro="" textlink="">
          <xdr:nvSpPr>
            <xdr:cNvPr id="139304" name="DemandListBox" hidden="1">
              <a:extLst>
                <a:ext uri="{63B3BB69-23CF-44E3-9099-C40C66FF867C}">
                  <a14:compatExt spid="_x0000_s13930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oneCellAnchor>
        <xdr:from>
          <xdr:col>4</xdr:col>
          <xdr:colOff>58286</xdr:colOff>
          <xdr:row>14</xdr:row>
          <xdr:rowOff>70158</xdr:rowOff>
        </xdr:from>
        <xdr:ext cx="11054522" cy="6743392"/>
        <xdr:pic>
          <xdr:nvPicPr>
            <xdr:cNvPr id="2" name="Picture 1"/>
            <xdr:cNvPicPr>
              <a:picLocks noChangeAspect="1" noChangeArrowheads="1"/>
              <a:extLst>
                <a:ext uri="{84589F7E-364E-4C9E-8A38-B11213B215E9}">
                  <a14:cameraTool cellRange="getChart" spid="_x0000_s119213"/>
                </a:ext>
              </a:extLst>
            </xdr:cNvPicPr>
          </xdr:nvPicPr>
          <xdr:blipFill>
            <a:blip xmlns:r="http://schemas.openxmlformats.org/officeDocument/2006/relationships" r:embed="rId1"/>
            <a:srcRect/>
            <a:stretch>
              <a:fillRect/>
            </a:stretch>
          </xdr:blipFill>
          <xdr:spPr bwMode="auto">
            <a:xfrm>
              <a:off x="1893436" y="3010208"/>
              <a:ext cx="11054522" cy="6743392"/>
            </a:xfrm>
            <a:prstGeom prst="rect">
              <a:avLst/>
            </a:prstGeom>
            <a:noFill/>
            <a:extLst>
              <a:ext uri="{909E8E84-426E-40DD-AFC4-6F175D3DCCD1}">
                <a14:hiddenFill>
                  <a:solidFill>
                    <a:srgbClr val="FFFFFF"/>
                  </a:solidFill>
                </a14:hiddenFill>
              </a:ext>
            </a:extLst>
          </xdr:spPr>
        </xdr:pic>
        <xdr:clientData/>
      </xdr:oneCellAnchor>
    </mc:Choice>
    <mc:Fallback/>
  </mc:AlternateContent>
  <mc:AlternateContent xmlns:mc="http://schemas.openxmlformats.org/markup-compatibility/2006">
    <mc:Choice xmlns:a14="http://schemas.microsoft.com/office/drawing/2010/main" Requires="a14">
      <xdr:oneCellAnchor>
        <xdr:from>
          <xdr:col>4</xdr:col>
          <xdr:colOff>60529</xdr:colOff>
          <xdr:row>58</xdr:row>
          <xdr:rowOff>47148</xdr:rowOff>
        </xdr:from>
        <xdr:ext cx="11065565" cy="6880702"/>
        <xdr:pic>
          <xdr:nvPicPr>
            <xdr:cNvPr id="3" name="Picture 2"/>
            <xdr:cNvPicPr>
              <a:picLocks noChangeAspect="1" noChangeArrowheads="1"/>
              <a:extLst>
                <a:ext uri="{84589F7E-364E-4C9E-8A38-B11213B215E9}">
                  <a14:cameraTool cellRange="getChart2" spid="_x0000_s119214"/>
                </a:ext>
              </a:extLst>
            </xdr:cNvPicPr>
          </xdr:nvPicPr>
          <xdr:blipFill>
            <a:blip xmlns:r="http://schemas.openxmlformats.org/officeDocument/2006/relationships" r:embed="rId1"/>
            <a:srcRect/>
            <a:stretch>
              <a:fillRect/>
            </a:stretch>
          </xdr:blipFill>
          <xdr:spPr bwMode="auto">
            <a:xfrm>
              <a:off x="562179" y="11902598"/>
              <a:ext cx="11065565" cy="6880702"/>
            </a:xfrm>
            <a:prstGeom prst="rect">
              <a:avLst/>
            </a:prstGeom>
            <a:noFill/>
            <a:extLst>
              <a:ext uri="{909E8E84-426E-40DD-AFC4-6F175D3DCCD1}">
                <a14:hiddenFill>
                  <a:solidFill>
                    <a:srgbClr val="FFFFFF"/>
                  </a:solidFill>
                </a14:hiddenFill>
              </a:ext>
            </a:extLst>
          </xdr:spPr>
        </xdr:pic>
        <xdr:clientData/>
      </xdr:oneCellAnchor>
    </mc:Choice>
    <mc:Fallback/>
  </mc:AlternateContent>
</xdr:wsDr>
</file>

<file path=xl/drawings/drawing9.xml><?xml version="1.0" encoding="utf-8"?>
<xdr:wsDr xmlns:xdr="http://schemas.openxmlformats.org/drawingml/2006/spreadsheetDrawing" xmlns:a="http://schemas.openxmlformats.org/drawingml/2006/main">
  <xdr:twoCellAnchor>
    <xdr:from>
      <xdr:col>3</xdr:col>
      <xdr:colOff>108324</xdr:colOff>
      <xdr:row>1</xdr:row>
      <xdr:rowOff>59633</xdr:rowOff>
    </xdr:from>
    <xdr:to>
      <xdr:col>3</xdr:col>
      <xdr:colOff>11011647</xdr:colOff>
      <xdr:row>3</xdr:row>
      <xdr:rowOff>14941</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67237</xdr:colOff>
      <xdr:row>1</xdr:row>
      <xdr:rowOff>37351</xdr:rowOff>
    </xdr:from>
    <xdr:to>
      <xdr:col>21</xdr:col>
      <xdr:colOff>500529</xdr:colOff>
      <xdr:row>2</xdr:row>
      <xdr:rowOff>3018118</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13339</xdr:colOff>
      <xdr:row>1</xdr:row>
      <xdr:rowOff>79960</xdr:rowOff>
    </xdr:from>
    <xdr:to>
      <xdr:col>5</xdr:col>
      <xdr:colOff>10866044</xdr:colOff>
      <xdr:row>2</xdr:row>
      <xdr:rowOff>2973426</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www.environment.nsw.gov.au/business/battery-storage-training.htm" TargetMode="External"/><Relationship Id="rId1" Type="http://schemas.openxmlformats.org/officeDocument/2006/relationships/hyperlink" Target="http://www.environment.nsw.gov.au/business/battery-storage.htm"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trlProp" Target="../ctrlProps/ctrlProp1.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6.xml"/><Relationship Id="rId3" Type="http://schemas.openxmlformats.org/officeDocument/2006/relationships/vmlDrawing" Target="../drawings/vmlDrawing2.vml"/><Relationship Id="rId7" Type="http://schemas.openxmlformats.org/officeDocument/2006/relationships/ctrlProp" Target="../ctrlProps/ctrlProp5.xml"/><Relationship Id="rId2" Type="http://schemas.openxmlformats.org/officeDocument/2006/relationships/drawing" Target="../drawings/drawing3.xml"/><Relationship Id="rId1" Type="http://schemas.openxmlformats.org/officeDocument/2006/relationships/printerSettings" Target="../printerSettings/printerSettings3.bin"/><Relationship Id="rId6" Type="http://schemas.openxmlformats.org/officeDocument/2006/relationships/ctrlProp" Target="../ctrlProps/ctrlProp4.xml"/><Relationship Id="rId11" Type="http://schemas.openxmlformats.org/officeDocument/2006/relationships/ctrlProp" Target="../ctrlProps/ctrlProp9.xml"/><Relationship Id="rId5" Type="http://schemas.openxmlformats.org/officeDocument/2006/relationships/ctrlProp" Target="../ctrlProps/ctrlProp3.xml"/><Relationship Id="rId10" Type="http://schemas.openxmlformats.org/officeDocument/2006/relationships/ctrlProp" Target="../ctrlProps/ctrlProp8.xml"/><Relationship Id="rId4" Type="http://schemas.openxmlformats.org/officeDocument/2006/relationships/ctrlProp" Target="../ctrlProps/ctrlProp2.xml"/><Relationship Id="rId9" Type="http://schemas.openxmlformats.org/officeDocument/2006/relationships/ctrlProp" Target="../ctrlProps/ctrlProp7.xml"/></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14.xml"/><Relationship Id="rId13" Type="http://schemas.openxmlformats.org/officeDocument/2006/relationships/ctrlProp" Target="../ctrlProps/ctrlProp19.xml"/><Relationship Id="rId18" Type="http://schemas.openxmlformats.org/officeDocument/2006/relationships/ctrlProp" Target="../ctrlProps/ctrlProp24.xml"/><Relationship Id="rId3" Type="http://schemas.openxmlformats.org/officeDocument/2006/relationships/vmlDrawing" Target="../drawings/vmlDrawing3.vml"/><Relationship Id="rId21" Type="http://schemas.openxmlformats.org/officeDocument/2006/relationships/ctrlProp" Target="../ctrlProps/ctrlProp27.xml"/><Relationship Id="rId7" Type="http://schemas.openxmlformats.org/officeDocument/2006/relationships/ctrlProp" Target="../ctrlProps/ctrlProp13.xml"/><Relationship Id="rId12" Type="http://schemas.openxmlformats.org/officeDocument/2006/relationships/ctrlProp" Target="../ctrlProps/ctrlProp18.xml"/><Relationship Id="rId17" Type="http://schemas.openxmlformats.org/officeDocument/2006/relationships/ctrlProp" Target="../ctrlProps/ctrlProp23.xml"/><Relationship Id="rId2" Type="http://schemas.openxmlformats.org/officeDocument/2006/relationships/drawing" Target="../drawings/drawing4.xml"/><Relationship Id="rId16" Type="http://schemas.openxmlformats.org/officeDocument/2006/relationships/ctrlProp" Target="../ctrlProps/ctrlProp22.xml"/><Relationship Id="rId20" Type="http://schemas.openxmlformats.org/officeDocument/2006/relationships/ctrlProp" Target="../ctrlProps/ctrlProp26.xml"/><Relationship Id="rId1" Type="http://schemas.openxmlformats.org/officeDocument/2006/relationships/printerSettings" Target="../printerSettings/printerSettings4.bin"/><Relationship Id="rId6" Type="http://schemas.openxmlformats.org/officeDocument/2006/relationships/ctrlProp" Target="../ctrlProps/ctrlProp12.xml"/><Relationship Id="rId11" Type="http://schemas.openxmlformats.org/officeDocument/2006/relationships/ctrlProp" Target="../ctrlProps/ctrlProp17.xml"/><Relationship Id="rId5" Type="http://schemas.openxmlformats.org/officeDocument/2006/relationships/ctrlProp" Target="../ctrlProps/ctrlProp11.xml"/><Relationship Id="rId15" Type="http://schemas.openxmlformats.org/officeDocument/2006/relationships/ctrlProp" Target="../ctrlProps/ctrlProp21.xml"/><Relationship Id="rId10" Type="http://schemas.openxmlformats.org/officeDocument/2006/relationships/ctrlProp" Target="../ctrlProps/ctrlProp16.xml"/><Relationship Id="rId19" Type="http://schemas.openxmlformats.org/officeDocument/2006/relationships/ctrlProp" Target="../ctrlProps/ctrlProp25.xml"/><Relationship Id="rId4" Type="http://schemas.openxmlformats.org/officeDocument/2006/relationships/ctrlProp" Target="../ctrlProps/ctrlProp10.xml"/><Relationship Id="rId9" Type="http://schemas.openxmlformats.org/officeDocument/2006/relationships/ctrlProp" Target="../ctrlProps/ctrlProp15.xml"/><Relationship Id="rId14" Type="http://schemas.openxmlformats.org/officeDocument/2006/relationships/ctrlProp" Target="../ctrlProps/ctrlProp20.xml"/><Relationship Id="rId22" Type="http://schemas.openxmlformats.org/officeDocument/2006/relationships/ctrlProp" Target="../ctrlProps/ctrlProp28.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5.bin"/><Relationship Id="rId5" Type="http://schemas.openxmlformats.org/officeDocument/2006/relationships/ctrlProp" Target="../ctrlProps/ctrlProp30.xml"/><Relationship Id="rId4" Type="http://schemas.openxmlformats.org/officeDocument/2006/relationships/ctrlProp" Target="../ctrlProps/ctrlProp29.xml"/></Relationships>
</file>

<file path=xl/worksheets/_rels/sheet6.xml.rels><?xml version="1.0" encoding="UTF-8" standalone="yes"?>
<Relationships xmlns="http://schemas.openxmlformats.org/package/2006/relationships"><Relationship Id="rId8" Type="http://schemas.openxmlformats.org/officeDocument/2006/relationships/ctrlProp" Target="../ctrlProps/ctrlProp35.xml"/><Relationship Id="rId3" Type="http://schemas.openxmlformats.org/officeDocument/2006/relationships/vmlDrawing" Target="../drawings/vmlDrawing5.vml"/><Relationship Id="rId7" Type="http://schemas.openxmlformats.org/officeDocument/2006/relationships/ctrlProp" Target="../ctrlProps/ctrlProp34.xml"/><Relationship Id="rId2" Type="http://schemas.openxmlformats.org/officeDocument/2006/relationships/drawing" Target="../drawings/drawing6.xml"/><Relationship Id="rId1" Type="http://schemas.openxmlformats.org/officeDocument/2006/relationships/printerSettings" Target="../printerSettings/printerSettings6.bin"/><Relationship Id="rId6" Type="http://schemas.openxmlformats.org/officeDocument/2006/relationships/ctrlProp" Target="../ctrlProps/ctrlProp33.xml"/><Relationship Id="rId5" Type="http://schemas.openxmlformats.org/officeDocument/2006/relationships/ctrlProp" Target="../ctrlProps/ctrlProp32.xml"/><Relationship Id="rId4" Type="http://schemas.openxmlformats.org/officeDocument/2006/relationships/ctrlProp" Target="../ctrlProps/ctrlProp31.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7" Type="http://schemas.openxmlformats.org/officeDocument/2006/relationships/ctrlProp" Target="../ctrlProps/ctrlProp39.xml"/><Relationship Id="rId2" Type="http://schemas.openxmlformats.org/officeDocument/2006/relationships/drawing" Target="../drawings/drawing7.xml"/><Relationship Id="rId1" Type="http://schemas.openxmlformats.org/officeDocument/2006/relationships/printerSettings" Target="../printerSettings/printerSettings7.bin"/><Relationship Id="rId6" Type="http://schemas.openxmlformats.org/officeDocument/2006/relationships/ctrlProp" Target="../ctrlProps/ctrlProp38.xml"/><Relationship Id="rId5" Type="http://schemas.openxmlformats.org/officeDocument/2006/relationships/ctrlProp" Target="../ctrlProps/ctrlProp37.xml"/><Relationship Id="rId4" Type="http://schemas.openxmlformats.org/officeDocument/2006/relationships/ctrlProp" Target="../ctrlProps/ctrlProp36.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B1:R42"/>
  <sheetViews>
    <sheetView showGridLines="0" showRowColHeaders="0" tabSelected="1" topLeftCell="A5" zoomScaleNormal="100" workbookViewId="0">
      <selection activeCell="B22" sqref="B22:R41"/>
    </sheetView>
  </sheetViews>
  <sheetFormatPr defaultColWidth="8.85546875" defaultRowHeight="14.25" x14ac:dyDescent="0.2"/>
  <cols>
    <col min="1" max="16384" width="8.85546875" style="145"/>
  </cols>
  <sheetData>
    <row r="1" spans="2:18" hidden="1" x14ac:dyDescent="0.2"/>
    <row r="10" spans="2:18" ht="18" x14ac:dyDescent="0.25">
      <c r="B10" s="144" t="s">
        <v>914</v>
      </c>
    </row>
    <row r="11" spans="2:18" ht="18" x14ac:dyDescent="0.25">
      <c r="B11" s="144"/>
    </row>
    <row r="12" spans="2:18" x14ac:dyDescent="0.2">
      <c r="B12" s="169" t="s">
        <v>972</v>
      </c>
      <c r="C12" s="170"/>
      <c r="D12" s="170"/>
      <c r="E12" s="170"/>
      <c r="F12" s="170"/>
      <c r="G12" s="170"/>
      <c r="H12" s="170"/>
      <c r="I12" s="170"/>
      <c r="J12" s="170"/>
      <c r="K12" s="170"/>
      <c r="L12" s="170"/>
      <c r="M12" s="170"/>
      <c r="N12" s="170"/>
      <c r="O12" s="170"/>
      <c r="P12" s="170"/>
      <c r="Q12" s="170"/>
    </row>
    <row r="13" spans="2:18" ht="7.5" customHeight="1" x14ac:dyDescent="0.2">
      <c r="B13" s="165"/>
      <c r="C13" s="166"/>
      <c r="D13" s="166"/>
      <c r="E13" s="166"/>
      <c r="F13" s="166"/>
      <c r="G13" s="166"/>
      <c r="H13" s="166"/>
      <c r="I13" s="166"/>
      <c r="J13" s="166"/>
      <c r="K13" s="166"/>
      <c r="L13" s="166"/>
      <c r="M13" s="166"/>
      <c r="N13" s="166"/>
      <c r="O13" s="166"/>
      <c r="P13" s="166"/>
      <c r="Q13" s="166"/>
    </row>
    <row r="14" spans="2:18" ht="15" x14ac:dyDescent="0.25">
      <c r="B14" s="171" t="s">
        <v>971</v>
      </c>
      <c r="C14" s="172"/>
      <c r="D14" s="172"/>
      <c r="E14" s="172"/>
      <c r="F14" s="172"/>
      <c r="G14" s="172"/>
      <c r="H14" s="172"/>
      <c r="I14" s="172"/>
      <c r="J14" s="172"/>
      <c r="K14" s="172"/>
      <c r="L14" s="172"/>
      <c r="M14" s="172"/>
      <c r="N14" s="172"/>
      <c r="O14" s="172"/>
      <c r="P14" s="172"/>
      <c r="Q14" s="172"/>
    </row>
    <row r="15" spans="2:18" ht="7.5" customHeight="1" x14ac:dyDescent="0.2">
      <c r="B15" s="173" t="s">
        <v>973</v>
      </c>
      <c r="C15" s="174"/>
      <c r="D15" s="174"/>
      <c r="E15" s="174"/>
      <c r="F15" s="174"/>
      <c r="G15" s="174"/>
      <c r="H15" s="174"/>
      <c r="I15" s="174"/>
      <c r="J15" s="174"/>
      <c r="K15" s="174"/>
      <c r="L15" s="174"/>
      <c r="M15" s="174"/>
      <c r="N15" s="174"/>
      <c r="O15" s="174"/>
      <c r="P15" s="174"/>
      <c r="Q15" s="174"/>
      <c r="R15" s="174"/>
    </row>
    <row r="16" spans="2:18" x14ac:dyDescent="0.2">
      <c r="B16" s="173"/>
      <c r="C16" s="174"/>
      <c r="D16" s="174"/>
      <c r="E16" s="174"/>
      <c r="F16" s="174"/>
      <c r="G16" s="174"/>
      <c r="H16" s="174"/>
      <c r="I16" s="174"/>
      <c r="J16" s="174"/>
      <c r="K16" s="174"/>
      <c r="L16" s="174"/>
      <c r="M16" s="174"/>
      <c r="N16" s="174"/>
      <c r="O16" s="174"/>
      <c r="P16" s="174"/>
      <c r="Q16" s="174"/>
      <c r="R16" s="174"/>
    </row>
    <row r="17" spans="2:18" x14ac:dyDescent="0.2">
      <c r="B17" s="174"/>
      <c r="C17" s="174"/>
      <c r="D17" s="174"/>
      <c r="E17" s="174"/>
      <c r="F17" s="174"/>
      <c r="G17" s="174"/>
      <c r="H17" s="174"/>
      <c r="I17" s="174"/>
      <c r="J17" s="174"/>
      <c r="K17" s="174"/>
      <c r="L17" s="174"/>
      <c r="M17" s="174"/>
      <c r="N17" s="174"/>
      <c r="O17" s="174"/>
      <c r="P17" s="174"/>
      <c r="Q17" s="174"/>
      <c r="R17" s="174"/>
    </row>
    <row r="18" spans="2:18" x14ac:dyDescent="0.2">
      <c r="B18" s="164"/>
      <c r="C18" s="164"/>
      <c r="D18" s="164"/>
      <c r="E18" s="164"/>
      <c r="F18" s="164"/>
      <c r="G18" s="164"/>
      <c r="H18" s="164"/>
      <c r="I18" s="164"/>
      <c r="J18" s="164"/>
      <c r="K18" s="164"/>
      <c r="L18" s="164"/>
      <c r="M18" s="164"/>
      <c r="N18" s="164"/>
      <c r="O18" s="164"/>
      <c r="P18" s="164"/>
      <c r="Q18" s="164"/>
      <c r="R18" s="164"/>
    </row>
    <row r="19" spans="2:18" ht="6.75" customHeight="1" x14ac:dyDescent="0.25">
      <c r="B19" s="146"/>
      <c r="C19" s="146"/>
      <c r="D19" s="146"/>
      <c r="E19" s="146"/>
      <c r="F19" s="146"/>
      <c r="G19" s="146"/>
      <c r="H19" s="146"/>
      <c r="I19" s="146"/>
      <c r="J19" s="146"/>
      <c r="K19" s="146"/>
      <c r="L19" s="146"/>
      <c r="M19" s="146"/>
      <c r="N19" s="146"/>
      <c r="O19" s="146"/>
      <c r="P19" s="146"/>
      <c r="Q19" s="146"/>
      <c r="R19" s="146"/>
    </row>
    <row r="20" spans="2:18" ht="18" x14ac:dyDescent="0.25">
      <c r="B20" s="144" t="s">
        <v>915</v>
      </c>
      <c r="C20" s="146"/>
      <c r="D20" s="146"/>
      <c r="E20" s="146"/>
      <c r="F20" s="146"/>
      <c r="G20" s="146"/>
      <c r="H20" s="146"/>
      <c r="I20" s="146"/>
      <c r="J20" s="146"/>
      <c r="K20" s="146"/>
      <c r="L20" s="146"/>
      <c r="M20" s="146"/>
      <c r="N20" s="146"/>
      <c r="O20" s="146"/>
      <c r="P20" s="146"/>
      <c r="Q20" s="146"/>
      <c r="R20" s="146"/>
    </row>
    <row r="21" spans="2:18" ht="9" customHeight="1" x14ac:dyDescent="0.25">
      <c r="B21" s="146"/>
      <c r="C21" s="146"/>
      <c r="D21" s="146"/>
      <c r="E21" s="146"/>
      <c r="F21" s="146"/>
      <c r="G21" s="146"/>
      <c r="H21" s="146"/>
      <c r="I21" s="146"/>
      <c r="J21" s="146"/>
      <c r="K21" s="146"/>
      <c r="L21" s="146"/>
      <c r="M21" s="146"/>
      <c r="N21" s="146"/>
      <c r="O21" s="146"/>
      <c r="P21" s="146"/>
      <c r="Q21" s="146"/>
      <c r="R21" s="146"/>
    </row>
    <row r="22" spans="2:18" x14ac:dyDescent="0.2">
      <c r="B22" s="167" t="s">
        <v>970</v>
      </c>
      <c r="C22" s="168"/>
      <c r="D22" s="168"/>
      <c r="E22" s="168"/>
      <c r="F22" s="168"/>
      <c r="G22" s="168"/>
      <c r="H22" s="168"/>
      <c r="I22" s="168"/>
      <c r="J22" s="168"/>
      <c r="K22" s="168"/>
      <c r="L22" s="168"/>
      <c r="M22" s="168"/>
      <c r="N22" s="168"/>
      <c r="O22" s="168"/>
      <c r="P22" s="168"/>
      <c r="Q22" s="168"/>
      <c r="R22" s="168"/>
    </row>
    <row r="23" spans="2:18" x14ac:dyDescent="0.2">
      <c r="B23" s="168"/>
      <c r="C23" s="168"/>
      <c r="D23" s="168"/>
      <c r="E23" s="168"/>
      <c r="F23" s="168"/>
      <c r="G23" s="168"/>
      <c r="H23" s="168"/>
      <c r="I23" s="168"/>
      <c r="J23" s="168"/>
      <c r="K23" s="168"/>
      <c r="L23" s="168"/>
      <c r="M23" s="168"/>
      <c r="N23" s="168"/>
      <c r="O23" s="168"/>
      <c r="P23" s="168"/>
      <c r="Q23" s="168"/>
      <c r="R23" s="168"/>
    </row>
    <row r="24" spans="2:18" x14ac:dyDescent="0.2">
      <c r="B24" s="168"/>
      <c r="C24" s="168"/>
      <c r="D24" s="168"/>
      <c r="E24" s="168"/>
      <c r="F24" s="168"/>
      <c r="G24" s="168"/>
      <c r="H24" s="168"/>
      <c r="I24" s="168"/>
      <c r="J24" s="168"/>
      <c r="K24" s="168"/>
      <c r="L24" s="168"/>
      <c r="M24" s="168"/>
      <c r="N24" s="168"/>
      <c r="O24" s="168"/>
      <c r="P24" s="168"/>
      <c r="Q24" s="168"/>
      <c r="R24" s="168"/>
    </row>
    <row r="25" spans="2:18" x14ac:dyDescent="0.2">
      <c r="B25" s="168"/>
      <c r="C25" s="168"/>
      <c r="D25" s="168"/>
      <c r="E25" s="168"/>
      <c r="F25" s="168"/>
      <c r="G25" s="168"/>
      <c r="H25" s="168"/>
      <c r="I25" s="168"/>
      <c r="J25" s="168"/>
      <c r="K25" s="168"/>
      <c r="L25" s="168"/>
      <c r="M25" s="168"/>
      <c r="N25" s="168"/>
      <c r="O25" s="168"/>
      <c r="P25" s="168"/>
      <c r="Q25" s="168"/>
      <c r="R25" s="168"/>
    </row>
    <row r="26" spans="2:18" x14ac:dyDescent="0.2">
      <c r="B26" s="168"/>
      <c r="C26" s="168"/>
      <c r="D26" s="168"/>
      <c r="E26" s="168"/>
      <c r="F26" s="168"/>
      <c r="G26" s="168"/>
      <c r="H26" s="168"/>
      <c r="I26" s="168"/>
      <c r="J26" s="168"/>
      <c r="K26" s="168"/>
      <c r="L26" s="168"/>
      <c r="M26" s="168"/>
      <c r="N26" s="168"/>
      <c r="O26" s="168"/>
      <c r="P26" s="168"/>
      <c r="Q26" s="168"/>
      <c r="R26" s="168"/>
    </row>
    <row r="27" spans="2:18" x14ac:dyDescent="0.2">
      <c r="B27" s="168"/>
      <c r="C27" s="168"/>
      <c r="D27" s="168"/>
      <c r="E27" s="168"/>
      <c r="F27" s="168"/>
      <c r="G27" s="168"/>
      <c r="H27" s="168"/>
      <c r="I27" s="168"/>
      <c r="J27" s="168"/>
      <c r="K27" s="168"/>
      <c r="L27" s="168"/>
      <c r="M27" s="168"/>
      <c r="N27" s="168"/>
      <c r="O27" s="168"/>
      <c r="P27" s="168"/>
      <c r="Q27" s="168"/>
      <c r="R27" s="168"/>
    </row>
    <row r="28" spans="2:18" x14ac:dyDescent="0.2">
      <c r="B28" s="168"/>
      <c r="C28" s="168"/>
      <c r="D28" s="168"/>
      <c r="E28" s="168"/>
      <c r="F28" s="168"/>
      <c r="G28" s="168"/>
      <c r="H28" s="168"/>
      <c r="I28" s="168"/>
      <c r="J28" s="168"/>
      <c r="K28" s="168"/>
      <c r="L28" s="168"/>
      <c r="M28" s="168"/>
      <c r="N28" s="168"/>
      <c r="O28" s="168"/>
      <c r="P28" s="168"/>
      <c r="Q28" s="168"/>
      <c r="R28" s="168"/>
    </row>
    <row r="29" spans="2:18" x14ac:dyDescent="0.2">
      <c r="B29" s="168"/>
      <c r="C29" s="168"/>
      <c r="D29" s="168"/>
      <c r="E29" s="168"/>
      <c r="F29" s="168"/>
      <c r="G29" s="168"/>
      <c r="H29" s="168"/>
      <c r="I29" s="168"/>
      <c r="J29" s="168"/>
      <c r="K29" s="168"/>
      <c r="L29" s="168"/>
      <c r="M29" s="168"/>
      <c r="N29" s="168"/>
      <c r="O29" s="168"/>
      <c r="P29" s="168"/>
      <c r="Q29" s="168"/>
      <c r="R29" s="168"/>
    </row>
    <row r="30" spans="2:18" x14ac:dyDescent="0.2">
      <c r="B30" s="168"/>
      <c r="C30" s="168"/>
      <c r="D30" s="168"/>
      <c r="E30" s="168"/>
      <c r="F30" s="168"/>
      <c r="G30" s="168"/>
      <c r="H30" s="168"/>
      <c r="I30" s="168"/>
      <c r="J30" s="168"/>
      <c r="K30" s="168"/>
      <c r="L30" s="168"/>
      <c r="M30" s="168"/>
      <c r="N30" s="168"/>
      <c r="O30" s="168"/>
      <c r="P30" s="168"/>
      <c r="Q30" s="168"/>
      <c r="R30" s="168"/>
    </row>
    <row r="31" spans="2:18" x14ac:dyDescent="0.2">
      <c r="B31" s="168"/>
      <c r="C31" s="168"/>
      <c r="D31" s="168"/>
      <c r="E31" s="168"/>
      <c r="F31" s="168"/>
      <c r="G31" s="168"/>
      <c r="H31" s="168"/>
      <c r="I31" s="168"/>
      <c r="J31" s="168"/>
      <c r="K31" s="168"/>
      <c r="L31" s="168"/>
      <c r="M31" s="168"/>
      <c r="N31" s="168"/>
      <c r="O31" s="168"/>
      <c r="P31" s="168"/>
      <c r="Q31" s="168"/>
      <c r="R31" s="168"/>
    </row>
    <row r="32" spans="2:18" x14ac:dyDescent="0.2">
      <c r="B32" s="168"/>
      <c r="C32" s="168"/>
      <c r="D32" s="168"/>
      <c r="E32" s="168"/>
      <c r="F32" s="168"/>
      <c r="G32" s="168"/>
      <c r="H32" s="168"/>
      <c r="I32" s="168"/>
      <c r="J32" s="168"/>
      <c r="K32" s="168"/>
      <c r="L32" s="168"/>
      <c r="M32" s="168"/>
      <c r="N32" s="168"/>
      <c r="O32" s="168"/>
      <c r="P32" s="168"/>
      <c r="Q32" s="168"/>
      <c r="R32" s="168"/>
    </row>
    <row r="33" spans="2:18" x14ac:dyDescent="0.2">
      <c r="B33" s="168"/>
      <c r="C33" s="168"/>
      <c r="D33" s="168"/>
      <c r="E33" s="168"/>
      <c r="F33" s="168"/>
      <c r="G33" s="168"/>
      <c r="H33" s="168"/>
      <c r="I33" s="168"/>
      <c r="J33" s="168"/>
      <c r="K33" s="168"/>
      <c r="L33" s="168"/>
      <c r="M33" s="168"/>
      <c r="N33" s="168"/>
      <c r="O33" s="168"/>
      <c r="P33" s="168"/>
      <c r="Q33" s="168"/>
      <c r="R33" s="168"/>
    </row>
    <row r="34" spans="2:18" x14ac:dyDescent="0.2">
      <c r="B34" s="168"/>
      <c r="C34" s="168"/>
      <c r="D34" s="168"/>
      <c r="E34" s="168"/>
      <c r="F34" s="168"/>
      <c r="G34" s="168"/>
      <c r="H34" s="168"/>
      <c r="I34" s="168"/>
      <c r="J34" s="168"/>
      <c r="K34" s="168"/>
      <c r="L34" s="168"/>
      <c r="M34" s="168"/>
      <c r="N34" s="168"/>
      <c r="O34" s="168"/>
      <c r="P34" s="168"/>
      <c r="Q34" s="168"/>
      <c r="R34" s="168"/>
    </row>
    <row r="35" spans="2:18" x14ac:dyDescent="0.2">
      <c r="B35" s="168"/>
      <c r="C35" s="168"/>
      <c r="D35" s="168"/>
      <c r="E35" s="168"/>
      <c r="F35" s="168"/>
      <c r="G35" s="168"/>
      <c r="H35" s="168"/>
      <c r="I35" s="168"/>
      <c r="J35" s="168"/>
      <c r="K35" s="168"/>
      <c r="L35" s="168"/>
      <c r="M35" s="168"/>
      <c r="N35" s="168"/>
      <c r="O35" s="168"/>
      <c r="P35" s="168"/>
      <c r="Q35" s="168"/>
      <c r="R35" s="168"/>
    </row>
    <row r="36" spans="2:18" x14ac:dyDescent="0.2">
      <c r="B36" s="168"/>
      <c r="C36" s="168"/>
      <c r="D36" s="168"/>
      <c r="E36" s="168"/>
      <c r="F36" s="168"/>
      <c r="G36" s="168"/>
      <c r="H36" s="168"/>
      <c r="I36" s="168"/>
      <c r="J36" s="168"/>
      <c r="K36" s="168"/>
      <c r="L36" s="168"/>
      <c r="M36" s="168"/>
      <c r="N36" s="168"/>
      <c r="O36" s="168"/>
      <c r="P36" s="168"/>
      <c r="Q36" s="168"/>
      <c r="R36" s="168"/>
    </row>
    <row r="37" spans="2:18" x14ac:dyDescent="0.2">
      <c r="B37" s="168"/>
      <c r="C37" s="168"/>
      <c r="D37" s="168"/>
      <c r="E37" s="168"/>
      <c r="F37" s="168"/>
      <c r="G37" s="168"/>
      <c r="H37" s="168"/>
      <c r="I37" s="168"/>
      <c r="J37" s="168"/>
      <c r="K37" s="168"/>
      <c r="L37" s="168"/>
      <c r="M37" s="168"/>
      <c r="N37" s="168"/>
      <c r="O37" s="168"/>
      <c r="P37" s="168"/>
      <c r="Q37" s="168"/>
      <c r="R37" s="168"/>
    </row>
    <row r="38" spans="2:18" x14ac:dyDescent="0.2">
      <c r="B38" s="168"/>
      <c r="C38" s="168"/>
      <c r="D38" s="168"/>
      <c r="E38" s="168"/>
      <c r="F38" s="168"/>
      <c r="G38" s="168"/>
      <c r="H38" s="168"/>
      <c r="I38" s="168"/>
      <c r="J38" s="168"/>
      <c r="K38" s="168"/>
      <c r="L38" s="168"/>
      <c r="M38" s="168"/>
      <c r="N38" s="168"/>
      <c r="O38" s="168"/>
      <c r="P38" s="168"/>
      <c r="Q38" s="168"/>
      <c r="R38" s="168"/>
    </row>
    <row r="39" spans="2:18" x14ac:dyDescent="0.2">
      <c r="B39" s="168"/>
      <c r="C39" s="168"/>
      <c r="D39" s="168"/>
      <c r="E39" s="168"/>
      <c r="F39" s="168"/>
      <c r="G39" s="168"/>
      <c r="H39" s="168"/>
      <c r="I39" s="168"/>
      <c r="J39" s="168"/>
      <c r="K39" s="168"/>
      <c r="L39" s="168"/>
      <c r="M39" s="168"/>
      <c r="N39" s="168"/>
      <c r="O39" s="168"/>
      <c r="P39" s="168"/>
      <c r="Q39" s="168"/>
      <c r="R39" s="168"/>
    </row>
    <row r="40" spans="2:18" x14ac:dyDescent="0.2">
      <c r="B40" s="168"/>
      <c r="C40" s="168"/>
      <c r="D40" s="168"/>
      <c r="E40" s="168"/>
      <c r="F40" s="168"/>
      <c r="G40" s="168"/>
      <c r="H40" s="168"/>
      <c r="I40" s="168"/>
      <c r="J40" s="168"/>
      <c r="K40" s="168"/>
      <c r="L40" s="168"/>
      <c r="M40" s="168"/>
      <c r="N40" s="168"/>
      <c r="O40" s="168"/>
      <c r="P40" s="168"/>
      <c r="Q40" s="168"/>
      <c r="R40" s="168"/>
    </row>
    <row r="41" spans="2:18" x14ac:dyDescent="0.2">
      <c r="B41" s="168"/>
      <c r="C41" s="168"/>
      <c r="D41" s="168"/>
      <c r="E41" s="168"/>
      <c r="F41" s="168"/>
      <c r="G41" s="168"/>
      <c r="H41" s="168"/>
      <c r="I41" s="168"/>
      <c r="J41" s="168"/>
      <c r="K41" s="168"/>
      <c r="L41" s="168"/>
      <c r="M41" s="168"/>
      <c r="N41" s="168"/>
      <c r="O41" s="168"/>
      <c r="P41" s="168"/>
      <c r="Q41" s="168"/>
      <c r="R41" s="168"/>
    </row>
    <row r="42" spans="2:18" ht="18" x14ac:dyDescent="0.25">
      <c r="B42" s="147"/>
      <c r="C42" s="147"/>
      <c r="D42" s="147"/>
      <c r="E42" s="147"/>
      <c r="F42" s="147"/>
      <c r="G42" s="147"/>
      <c r="H42" s="147"/>
      <c r="I42" s="147"/>
      <c r="J42" s="147"/>
      <c r="K42" s="147"/>
      <c r="L42" s="147"/>
      <c r="M42" s="147"/>
      <c r="N42" s="147"/>
      <c r="O42" s="147"/>
      <c r="P42" s="147"/>
      <c r="Q42" s="147"/>
      <c r="R42" s="147"/>
    </row>
  </sheetData>
  <mergeCells count="4">
    <mergeCell ref="B22:R41"/>
    <mergeCell ref="B12:Q12"/>
    <mergeCell ref="B14:Q14"/>
    <mergeCell ref="B15:R17"/>
  </mergeCells>
  <hyperlinks>
    <hyperlink ref="B12:Q12" r:id="rId1" display="It is recommended that the i am your battery storage guide is used as a reference to this tool."/>
    <hyperlink ref="B15:R17" r:id="rId2" display="On completion of this feasiblity assessment we recommend that users attend the Office and Environment and Heritage battery storage training course to assist in the development of a request for price estimate from the supply and installation market. "/>
  </hyperlinks>
  <pageMargins left="0.25" right="0.25" top="0.75" bottom="0.75" header="0.3" footer="0.3"/>
  <pageSetup paperSize="9" scale="46" orientation="landscape"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D1:F5"/>
  <sheetViews>
    <sheetView zoomScale="70" zoomScaleNormal="70" zoomScalePageLayoutView="85" workbookViewId="0">
      <selection activeCell="D4" sqref="D4:D5"/>
    </sheetView>
  </sheetViews>
  <sheetFormatPr defaultColWidth="8.85546875" defaultRowHeight="14.25" x14ac:dyDescent="0.2"/>
  <cols>
    <col min="1" max="3" width="8.85546875" style="142"/>
    <col min="4" max="4" width="158.140625" style="142" customWidth="1"/>
    <col min="5" max="5" width="23.42578125" style="142" bestFit="1" customWidth="1"/>
    <col min="6" max="6" width="158.42578125" style="142" customWidth="1"/>
    <col min="7" max="7" width="15.42578125" style="142" bestFit="1" customWidth="1"/>
    <col min="8" max="8" width="8.85546875" style="142"/>
    <col min="9" max="9" width="23.42578125" style="142" bestFit="1" customWidth="1"/>
    <col min="10" max="10" width="16.42578125" style="142" bestFit="1" customWidth="1"/>
    <col min="11" max="11" width="7.140625" style="142" bestFit="1" customWidth="1"/>
    <col min="12" max="20" width="8.85546875" style="142"/>
    <col min="21" max="21" width="23.42578125" style="142" customWidth="1"/>
    <col min="22" max="22" width="17.85546875" style="142" customWidth="1"/>
    <col min="23" max="23" width="15.42578125" style="142" customWidth="1"/>
    <col min="24" max="16384" width="8.85546875" style="142"/>
  </cols>
  <sheetData>
    <row r="1" spans="4:6" x14ac:dyDescent="0.2">
      <c r="F1" s="163"/>
    </row>
    <row r="2" spans="4:6" ht="409.5" customHeight="1" x14ac:dyDescent="0.2">
      <c r="D2" s="256"/>
      <c r="F2" s="256"/>
    </row>
    <row r="3" spans="4:6" ht="246" customHeight="1" x14ac:dyDescent="0.2">
      <c r="D3" s="256"/>
      <c r="F3" s="256"/>
    </row>
    <row r="4" spans="4:6" ht="409.5" customHeight="1" x14ac:dyDescent="0.2">
      <c r="D4" s="256"/>
    </row>
    <row r="5" spans="4:6" ht="295.5" customHeight="1" x14ac:dyDescent="0.2">
      <c r="D5" s="256"/>
    </row>
  </sheetData>
  <mergeCells count="3">
    <mergeCell ref="D4:D5"/>
    <mergeCell ref="D2:D3"/>
    <mergeCell ref="F2:F3"/>
  </mergeCells>
  <pageMargins left="0.7" right="0.7" top="0.75" bottom="0.75" header="0.3" footer="0.3"/>
  <pageSetup paperSize="9" orientation="portrait" horizontalDpi="4294967292" verticalDpi="4294967292"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B3:H72"/>
  <sheetViews>
    <sheetView topLeftCell="B16" workbookViewId="0">
      <selection activeCell="E41" sqref="E41"/>
    </sheetView>
  </sheetViews>
  <sheetFormatPr defaultRowHeight="15" x14ac:dyDescent="0.25"/>
  <cols>
    <col min="2" max="2" width="13.42578125" customWidth="1"/>
    <col min="3" max="3" width="113.140625" customWidth="1"/>
    <col min="4" max="5" width="15.42578125" customWidth="1"/>
    <col min="6" max="6" width="11.140625" customWidth="1"/>
    <col min="7" max="7" width="111.85546875" customWidth="1"/>
  </cols>
  <sheetData>
    <row r="3" spans="2:7" x14ac:dyDescent="0.25">
      <c r="B3" s="184" t="s">
        <v>129</v>
      </c>
      <c r="C3" s="185"/>
      <c r="D3" s="54"/>
      <c r="E3" s="54"/>
      <c r="F3" s="25"/>
      <c r="G3" s="25"/>
    </row>
    <row r="4" spans="2:7" x14ac:dyDescent="0.25">
      <c r="B4" s="25" t="s">
        <v>114</v>
      </c>
      <c r="C4" s="52" t="s">
        <v>889</v>
      </c>
      <c r="D4" s="52"/>
      <c r="E4" s="52"/>
      <c r="F4" s="25"/>
      <c r="G4" s="25"/>
    </row>
    <row r="5" spans="2:7" x14ac:dyDescent="0.25">
      <c r="B5" s="25"/>
      <c r="C5" s="52" t="s">
        <v>128</v>
      </c>
      <c r="D5" s="69">
        <f>ROUND('Arbitrage Payback Engine'!U10, 2)</f>
        <v>0.11</v>
      </c>
      <c r="E5" s="52"/>
      <c r="F5" s="25"/>
      <c r="G5" s="25" t="str">
        <f>$C$38&amp;C5&amp;D5&amp;E5&amp;F5</f>
        <v xml:space="preserve"> - The levelised cost of the battery storage system at the payback year nominated is $0.11</v>
      </c>
    </row>
    <row r="6" spans="2:7" x14ac:dyDescent="0.25">
      <c r="B6" s="25"/>
      <c r="C6" s="52" t="s">
        <v>127</v>
      </c>
      <c r="D6" s="70">
        <f>ROUND(D7/('Arbitrage Payback Engine'!AK8+1), 2)</f>
        <v>0.15</v>
      </c>
      <c r="E6" s="52"/>
      <c r="F6" s="25"/>
      <c r="G6" s="25" t="str">
        <f>$C$38&amp;C6&amp;D6&amp;E6&amp;F6</f>
        <v xml:space="preserve"> - The levelised cost of the battery storage system at 15 years is $0.15</v>
      </c>
    </row>
    <row r="7" spans="2:7" x14ac:dyDescent="0.25">
      <c r="B7" s="25"/>
      <c r="C7" s="52" t="s">
        <v>126</v>
      </c>
      <c r="D7" s="69">
        <f>ROUND('Input Sheet'!J31, 2)</f>
        <v>0.38</v>
      </c>
      <c r="E7" s="52"/>
      <c r="F7" s="25"/>
      <c r="G7" s="25" t="str">
        <f>$C$38&amp;C7&amp;D7&amp;E7&amp;F7</f>
        <v xml:space="preserve"> - The average tariff benefit earned by cycling a battery is $0.38</v>
      </c>
    </row>
    <row r="8" spans="2:7" x14ac:dyDescent="0.25">
      <c r="B8" s="37"/>
      <c r="C8" s="52" t="s">
        <v>889</v>
      </c>
      <c r="D8" s="42"/>
      <c r="E8" s="37"/>
      <c r="F8" s="68"/>
      <c r="G8" s="37"/>
    </row>
    <row r="9" spans="2:7" x14ac:dyDescent="0.25">
      <c r="C9" s="57" t="s">
        <v>6</v>
      </c>
      <c r="D9" s="67"/>
      <c r="E9" s="37"/>
    </row>
    <row r="10" spans="2:7" x14ac:dyDescent="0.25">
      <c r="C10" s="66" t="str">
        <f>'Input Sheet'!H36</f>
        <v>after 25 Years</v>
      </c>
      <c r="D10" s="7">
        <f>'Input Sheet'!J36</f>
        <v>4.1877334385878067</v>
      </c>
    </row>
    <row r="11" spans="2:7" x14ac:dyDescent="0.25">
      <c r="C11" s="66" t="str">
        <f>'Input Sheet'!H37</f>
        <v>ROI over Expected Lifetime (15 Years)</v>
      </c>
      <c r="D11" s="7">
        <f>'Input Sheet'!J37</f>
        <v>1.5238890821189341</v>
      </c>
    </row>
    <row r="12" spans="2:7" x14ac:dyDescent="0.25">
      <c r="C12" s="66" t="str">
        <f>'Input Sheet'!H38</f>
        <v>Break Even Point</v>
      </c>
      <c r="D12" s="7" t="str">
        <f>'Input Sheet'!J38</f>
        <v>6.7 years</v>
      </c>
    </row>
    <row r="13" spans="2:7" x14ac:dyDescent="0.25">
      <c r="C13" s="65" t="str">
        <f>IF(D10&gt;0, C15, C16)</f>
        <v>Battery storage is financially feasible because the system could potentially pay for itself with 419% profit at the payback year</v>
      </c>
      <c r="D13" s="64"/>
    </row>
    <row r="15" spans="2:7" x14ac:dyDescent="0.25">
      <c r="B15" s="31" t="s">
        <v>125</v>
      </c>
      <c r="C15" s="25" t="str">
        <f>"Battery storage is financially feasible because the system could potentially pay for itself with "&amp;ROUND(D10*100, 0)&amp;"% profit at the payback year"</f>
        <v>Battery storage is financially feasible because the system could potentially pay for itself with 419% profit at the payback year</v>
      </c>
    </row>
    <row r="16" spans="2:7" x14ac:dyDescent="0.25">
      <c r="B16" s="25" t="s">
        <v>124</v>
      </c>
      <c r="C16" s="25" t="str">
        <f>"Battery storage is not financially feasible because the system is yet to pay for "&amp;ROUND(D10*100, 0)&amp; "% of the total system cost by the payback year"</f>
        <v>Battery storage is not financially feasible because the system is yet to pay for 419% of the total system cost by the payback year</v>
      </c>
    </row>
    <row r="17" spans="2:3" x14ac:dyDescent="0.25">
      <c r="B17" s="63"/>
      <c r="C17" s="25"/>
    </row>
    <row r="18" spans="2:3" x14ac:dyDescent="0.25">
      <c r="C18" s="62" t="str">
        <f>C13</f>
        <v>Battery storage is financially feasible because the system could potentially pay for itself with 419% profit at the payback year</v>
      </c>
    </row>
    <row r="19" spans="2:3" x14ac:dyDescent="0.25">
      <c r="C19" s="61" t="str">
        <f>C8&amp;IF(D10&lt;0,"The return on investment after "&amp;'Arbitrage Payback Engine'!W10&amp;" Years is "&amp;ROUND(D10*100, 0) &amp;"%","The return on investment after "&amp;'Arbitrage Payback Engine'!W10&amp;" Years is "&amp;ROUND(D10*100, 0) &amp;"%")</f>
        <v xml:space="preserve"> - The return on investment after 25 Years is 419%</v>
      </c>
    </row>
    <row r="20" spans="2:3" x14ac:dyDescent="0.25">
      <c r="C20" s="61" t="str">
        <f>C8&amp;IF(D11&lt;0,"The return on investment at the expected lifetime of 15 Years is "&amp;ROUND(D11*100, 0) &amp;"%","The return on investment at the possible lifetime of 15 Years is "&amp;ROUND(D11*100, 0) &amp;"%")</f>
        <v xml:space="preserve"> - The return on investment at the possible lifetime of 15 Years is 152%</v>
      </c>
    </row>
    <row r="21" spans="2:3" x14ac:dyDescent="0.25">
      <c r="C21" s="61" t="str">
        <f>C8&amp;"This system is expected to break even after "&amp;D12</f>
        <v xml:space="preserve"> - This system is expected to break even after 6.7 years</v>
      </c>
    </row>
    <row r="23" spans="2:3" x14ac:dyDescent="0.25">
      <c r="C23" s="25" t="s">
        <v>123</v>
      </c>
    </row>
    <row r="24" spans="2:3" ht="15.75" thickBot="1" x14ac:dyDescent="0.3"/>
    <row r="25" spans="2:3" ht="15.75" thickTop="1" x14ac:dyDescent="0.25">
      <c r="B25" s="60" t="s">
        <v>882</v>
      </c>
      <c r="C25" s="59"/>
    </row>
    <row r="26" spans="2:3" x14ac:dyDescent="0.25">
      <c r="B26" s="13" t="s">
        <v>40</v>
      </c>
      <c r="C26" s="58" t="str">
        <f>'Input Sheet'!I17</f>
        <v>2-8pm (Weekdays)</v>
      </c>
    </row>
    <row r="27" spans="2:3" x14ac:dyDescent="0.25">
      <c r="B27" s="13" t="s">
        <v>39</v>
      </c>
      <c r="C27" s="58" t="str">
        <f>'Input Sheet'!I18</f>
        <v>9am-2pm , 8-10pm</v>
      </c>
    </row>
    <row r="28" spans="2:3" x14ac:dyDescent="0.25">
      <c r="B28" s="13" t="s">
        <v>38</v>
      </c>
      <c r="C28" s="58" t="str">
        <f>'Input Sheet'!I19</f>
        <v>10pm-9am</v>
      </c>
    </row>
    <row r="29" spans="2:3" x14ac:dyDescent="0.25">
      <c r="B29" s="57" t="s">
        <v>883</v>
      </c>
      <c r="C29" s="56"/>
    </row>
    <row r="30" spans="2:3" x14ac:dyDescent="0.25">
      <c r="B30" s="13" t="s">
        <v>40</v>
      </c>
      <c r="C30" s="19">
        <f>'Profit per cycles Model'!C29</f>
        <v>0.5</v>
      </c>
    </row>
    <row r="31" spans="2:3" x14ac:dyDescent="0.25">
      <c r="B31" s="13" t="s">
        <v>39</v>
      </c>
      <c r="C31" s="19">
        <f>'Profit per cycles Model'!D29</f>
        <v>0.28000000000000003</v>
      </c>
    </row>
    <row r="32" spans="2:3" x14ac:dyDescent="0.25">
      <c r="B32" s="13" t="s">
        <v>38</v>
      </c>
      <c r="C32" s="19">
        <f>'Profit per cycles Model'!E29</f>
        <v>0.1</v>
      </c>
    </row>
    <row r="33" spans="2:8" x14ac:dyDescent="0.25">
      <c r="B33" s="13" t="s">
        <v>119</v>
      </c>
      <c r="C33" s="19" t="e">
        <f>'Peak Models'!Q10</f>
        <v>#N/A</v>
      </c>
    </row>
    <row r="37" spans="2:8" x14ac:dyDescent="0.25">
      <c r="B37" s="55" t="s">
        <v>884</v>
      </c>
      <c r="C37" s="54"/>
      <c r="D37" s="54"/>
      <c r="E37" s="54"/>
      <c r="F37" s="25"/>
      <c r="G37" s="25"/>
    </row>
    <row r="38" spans="2:8" x14ac:dyDescent="0.25">
      <c r="B38" s="25" t="s">
        <v>114</v>
      </c>
      <c r="C38" s="52" t="s">
        <v>889</v>
      </c>
      <c r="D38" s="52"/>
      <c r="E38" s="52"/>
      <c r="F38" s="25"/>
      <c r="G38" s="25"/>
    </row>
    <row r="39" spans="2:8" x14ac:dyDescent="0.25">
      <c r="B39" s="25"/>
      <c r="C39" s="25" t="s">
        <v>876</v>
      </c>
      <c r="D39" s="25"/>
      <c r="E39" s="25"/>
      <c r="F39" s="31"/>
      <c r="G39" s="25" t="str">
        <f t="shared" ref="G39:G46" si="0">$C$38&amp;C39&amp;D39&amp;E39&amp;F39</f>
        <v xml:space="preserve"> - The battery is always fully charged and discharged in the usable range each cycle</v>
      </c>
    </row>
    <row r="40" spans="2:8" x14ac:dyDescent="0.25">
      <c r="B40" s="25"/>
      <c r="C40" s="25" t="s">
        <v>877</v>
      </c>
      <c r="D40" s="25" t="str">
        <f>IF(AlternativeModelCustom = "Default", 'Battery Pricing Model'!C15, AlternativeModelCustom)</f>
        <v>$1000 per kWh</v>
      </c>
      <c r="E40" s="25" t="s">
        <v>966</v>
      </c>
      <c r="F40" s="31"/>
      <c r="G40" s="25" t="str">
        <f>$C$38&amp;C40&amp;D40&amp;E40&amp;F40</f>
        <v xml:space="preserve"> - The average cost of battery storage of $1000 per kWh represents the installed cost of the entire system per usable kWh</v>
      </c>
    </row>
    <row r="41" spans="2:8" x14ac:dyDescent="0.25">
      <c r="B41" s="25"/>
      <c r="C41" s="25" t="s">
        <v>964</v>
      </c>
      <c r="D41" s="25"/>
      <c r="E41" s="25"/>
      <c r="F41" s="25"/>
      <c r="G41" s="25" t="str">
        <f t="shared" si="0"/>
        <v xml:space="preserve"> - If solar charging is selected it is assumed that there is always enough solar power to fill the battery completely every day </v>
      </c>
    </row>
    <row r="42" spans="2:8" x14ac:dyDescent="0.25">
      <c r="B42" s="25"/>
      <c r="C42" s="25" t="s">
        <v>881</v>
      </c>
      <c r="D42" s="25">
        <f>'Solar Pricing Model'!H6</f>
        <v>15</v>
      </c>
      <c r="E42" s="25" t="s">
        <v>116</v>
      </c>
      <c r="F42" s="53">
        <f>TRUNC('Solar Pricing Model'!H11, 3)</f>
        <v>5.1999999999999998E-2</v>
      </c>
      <c r="G42" s="25" t="str">
        <f t="shared" si="0"/>
        <v xml:space="preserve"> - The cost of solar power is the capital costs averaged over 15 years, which is equal to a kWh rate of $0.052</v>
      </c>
    </row>
    <row r="43" spans="2:8" x14ac:dyDescent="0.25">
      <c r="B43" s="25"/>
      <c r="C43" s="25" t="s">
        <v>878</v>
      </c>
      <c r="D43" s="25"/>
      <c r="E43" s="25"/>
      <c r="F43" s="31"/>
      <c r="G43" s="25" t="str">
        <f t="shared" si="0"/>
        <v xml:space="preserve"> - A solar to peak cycle occurs every weekday when there is a peak period in the evening</v>
      </c>
    </row>
    <row r="44" spans="2:8" x14ac:dyDescent="0.25">
      <c r="B44" s="25"/>
      <c r="C44" s="25" t="s">
        <v>879</v>
      </c>
      <c r="D44" s="25"/>
      <c r="E44" s="25"/>
      <c r="F44" s="25"/>
      <c r="G44" s="25" t="str">
        <f t="shared" si="0"/>
        <v xml:space="preserve"> - An off peak to peak cycle occurs every weekday when there is a peak period in the morning</v>
      </c>
    </row>
    <row r="45" spans="2:8" x14ac:dyDescent="0.25">
      <c r="B45" s="25"/>
      <c r="C45" s="25" t="s">
        <v>880</v>
      </c>
      <c r="D45" s="25"/>
      <c r="E45" s="25"/>
      <c r="F45" s="25"/>
      <c r="G45" s="25" t="str">
        <f t="shared" si="0"/>
        <v xml:space="preserve"> - If the weekend has a shoulder rate then a solar to shoulder cycle will occur</v>
      </c>
    </row>
    <row r="46" spans="2:8" x14ac:dyDescent="0.25">
      <c r="B46" s="25"/>
      <c r="C46" s="25" t="s">
        <v>965</v>
      </c>
      <c r="D46" s="25"/>
      <c r="E46" s="25"/>
      <c r="F46" s="31"/>
      <c r="G46" s="25" t="str">
        <f t="shared" si="0"/>
        <v xml:space="preserve"> - No degradation of performance over the battery lifetime has been modelled. Consider modifying the average cost per kWh instead</v>
      </c>
    </row>
    <row r="47" spans="2:8" ht="30" x14ac:dyDescent="0.25">
      <c r="B47" s="51" t="s">
        <v>111</v>
      </c>
      <c r="C47" s="50" t="str">
        <f>CHAR(10)</f>
        <v xml:space="preserve">
</v>
      </c>
      <c r="D47" s="50"/>
      <c r="E47" s="50"/>
      <c r="F47" s="25"/>
      <c r="G47" s="50" t="str">
        <f>CHAR(10)</f>
        <v xml:space="preserve">
</v>
      </c>
      <c r="H47" s="25"/>
    </row>
    <row r="48" spans="2:8" ht="15.6" customHeight="1" x14ac:dyDescent="0.25">
      <c r="G48" s="50" t="str">
        <f>G39</f>
        <v xml:space="preserve"> - The battery is always fully charged and discharged in the usable range each cycle</v>
      </c>
      <c r="H48" s="25"/>
    </row>
    <row r="49" spans="2:8" ht="15.6" customHeight="1" x14ac:dyDescent="0.25">
      <c r="G49" s="50" t="str">
        <f>G48&amp;$G$47&amp;G40</f>
        <v xml:space="preserve"> - The battery is always fully charged and discharged in the usable range each cycle
 - The average cost of battery storage of $1000 per kWh represents the installed cost of the entire system per usable kWh</v>
      </c>
      <c r="H49" s="25"/>
    </row>
    <row r="50" spans="2:8" ht="15.6" customHeight="1" x14ac:dyDescent="0.25">
      <c r="G50" s="50" t="str">
        <f t="shared" ref="G50:G56" si="1">G49&amp;$G$47&amp;G41</f>
        <v xml:space="preserve"> - The battery is always fully charged and discharged in the usable range each cycle
 - The average cost of battery storage of $1000 per kWh represents the installed cost of the entire system per usable kWh
 - If solar charging is selected it is assumed that there is always enough solar power to fill the battery completely every day </v>
      </c>
      <c r="H50" s="25"/>
    </row>
    <row r="51" spans="2:8" ht="15.6" customHeight="1" x14ac:dyDescent="0.25">
      <c r="G51" s="50" t="str">
        <f t="shared" si="1"/>
        <v xml:space="preserve"> - The battery is always fully charged and discharged in the usable range each cycle
 - The average cost of battery storage of $1000 per kWh represents the installed cost of the entire system per usable kWh
 - If solar charging is selected it is assumed that there is always enough solar power to fill the battery completely every day 
 - The cost of solar power is the capital costs averaged over 15 years, which is equal to a kWh rate of $0.052</v>
      </c>
      <c r="H51" s="25"/>
    </row>
    <row r="52" spans="2:8" ht="15.6" customHeight="1" x14ac:dyDescent="0.25">
      <c r="G52" s="50" t="str">
        <f t="shared" si="1"/>
        <v xml:space="preserve"> - The battery is always fully charged and discharged in the usable range each cycle
 - The average cost of battery storage of $1000 per kWh represents the installed cost of the entire system per usable kWh
 - If solar charging is selected it is assumed that there is always enough solar power to fill the battery completely every day 
 - The cost of solar power is the capital costs averaged over 15 years, which is equal to a kWh rate of $0.052
 - A solar to peak cycle occurs every weekday when there is a peak period in the evening</v>
      </c>
      <c r="H52" s="25"/>
    </row>
    <row r="53" spans="2:8" ht="15.6" customHeight="1" x14ac:dyDescent="0.25">
      <c r="G53" s="50" t="str">
        <f t="shared" si="1"/>
        <v xml:space="preserve"> - The battery is always fully charged and discharged in the usable range each cycle
 - The average cost of battery storage of $1000 per kWh represents the installed cost of the entire system per usable kWh
 - If solar charging is selected it is assumed that there is always enough solar power to fill the battery completely every day 
 - The cost of solar power is the capital costs averaged over 15 years, which is equal to a kWh rate of $0.052
 - A solar to peak cycle occurs every weekday when there is a peak period in the evening
 - An off peak to peak cycle occurs every weekday when there is a peak period in the morning</v>
      </c>
      <c r="H53" s="25"/>
    </row>
    <row r="54" spans="2:8" ht="15.6" customHeight="1" x14ac:dyDescent="0.25">
      <c r="G54" s="50" t="str">
        <f t="shared" si="1"/>
        <v xml:space="preserve"> - The battery is always fully charged and discharged in the usable range each cycle
 - The average cost of battery storage of $1000 per kWh represents the installed cost of the entire system per usable kWh
 - If solar charging is selected it is assumed that there is always enough solar power to fill the battery completely every day 
 - The cost of solar power is the capital costs averaged over 15 years, which is equal to a kWh rate of $0.052
 - A solar to peak cycle occurs every weekday when there is a peak period in the evening
 - An off peak to peak cycle occurs every weekday when there is a peak period in the morning
 - If the weekend has a shoulder rate then a solar to shoulder cycle will occur</v>
      </c>
      <c r="H54" s="25"/>
    </row>
    <row r="55" spans="2:8" ht="15.6" customHeight="1" x14ac:dyDescent="0.25">
      <c r="G55" s="50" t="str">
        <f t="shared" si="1"/>
        <v xml:space="preserve"> - The battery is always fully charged and discharged in the usable range each cycle
 - The average cost of battery storage of $1000 per kWh represents the installed cost of the entire system per usable kWh
 - If solar charging is selected it is assumed that there is always enough solar power to fill the battery completely every day 
 - The cost of solar power is the capital costs averaged over 15 years, which is equal to a kWh rate of $0.052
 - A solar to peak cycle occurs every weekday when there is a peak period in the evening
 - An off peak to peak cycle occurs every weekday when there is a peak period in the morning
 - If the weekend has a shoulder rate then a solar to shoulder cycle will occur
 - No degradation of performance over the battery lifetime has been modelled. Consider modifying the average cost per kWh instead</v>
      </c>
      <c r="H55" s="25"/>
    </row>
    <row r="56" spans="2:8" ht="15.6" customHeight="1" x14ac:dyDescent="0.25">
      <c r="G56" s="50" t="str">
        <f t="shared" si="1"/>
        <v xml:space="preserve"> - The battery is always fully charged and discharged in the usable range each cycle
 - The average cost of battery storage of $1000 per kWh represents the installed cost of the entire system per usable kWh
 - If solar charging is selected it is assumed that there is always enough solar power to fill the battery completely every day 
 - The cost of solar power is the capital costs averaged over 15 years, which is equal to a kWh rate of $0.052
 - A solar to peak cycle occurs every weekday when there is a peak period in the evening
 - An off peak to peak cycle occurs every weekday when there is a peak period in the morning
 - If the weekend has a shoulder rate then a solar to shoulder cycle will occur
 - No degradation of performance over the battery lifetime has been modelled. Consider modifying the average cost per kWh instead
</v>
      </c>
      <c r="H56" s="25"/>
    </row>
    <row r="57" spans="2:8" ht="189.6" customHeight="1" x14ac:dyDescent="0.25">
      <c r="F57" s="49" t="s">
        <v>110</v>
      </c>
      <c r="G57" s="48" t="str">
        <f>G56</f>
        <v xml:space="preserve"> - The battery is always fully charged and discharged in the usable range each cycle
 - The average cost of battery storage of $1000 per kWh represents the installed cost of the entire system per usable kWh
 - If solar charging is selected it is assumed that there is always enough solar power to fill the battery completely every day 
 - The cost of solar power is the capital costs averaged over 15 years, which is equal to a kWh rate of $0.052
 - A solar to peak cycle occurs every weekday when there is a peak period in the evening
 - An off peak to peak cycle occurs every weekday when there is a peak period in the morning
 - If the weekend has a shoulder rate then a solar to shoulder cycle will occur
 - No degradation of performance over the battery lifetime has been modelled. Consider modifying the average cost per kWh instead
</v>
      </c>
      <c r="H57" s="25"/>
    </row>
    <row r="59" spans="2:8" x14ac:dyDescent="0.25">
      <c r="C59" t="s">
        <v>115</v>
      </c>
    </row>
    <row r="61" spans="2:8" x14ac:dyDescent="0.25">
      <c r="B61" s="25" t="s">
        <v>114</v>
      </c>
      <c r="C61" s="52" t="s">
        <v>889</v>
      </c>
      <c r="D61" s="52"/>
      <c r="E61" s="52"/>
      <c r="F61" s="25"/>
      <c r="G61" s="25"/>
      <c r="H61" s="25"/>
    </row>
    <row r="62" spans="2:8" x14ac:dyDescent="0.25">
      <c r="B62" s="25"/>
      <c r="C62" s="25" t="str">
        <f>IF(EnergyPriceCustom='Profit per cycles Model'!B27,"Energy prices are based on standard tariffs", "Custom energy prices have been entered")</f>
        <v>Energy prices are based on standard tariffs</v>
      </c>
      <c r="D62" s="25"/>
      <c r="E62" s="25"/>
      <c r="F62" s="25"/>
      <c r="G62" s="25" t="str">
        <f>$C$61&amp;C62&amp;D62&amp;E62&amp;F62</f>
        <v xml:space="preserve"> - Energy prices are based on standard tariffs</v>
      </c>
      <c r="H62" s="25"/>
    </row>
    <row r="63" spans="2:8" x14ac:dyDescent="0.25">
      <c r="B63" s="25"/>
      <c r="C63" s="25" t="str">
        <f>IF(RoundTripEfficiency="Default","The round trip efficiency of the battery is the default of "&amp;DefaultEfficiency, "Custom battery round trip efficiency of "&amp;'Profit per cycles Model'!E78&amp;" has been entered by the user")</f>
        <v>The round trip efficiency of the battery is the default of 0.85</v>
      </c>
      <c r="D63" s="25"/>
      <c r="E63" s="25"/>
      <c r="F63" s="25"/>
      <c r="G63" s="25" t="str">
        <f>$C$61&amp;C63&amp;D63&amp;E63&amp;F63</f>
        <v xml:space="preserve"> - The round trip efficiency of the battery is the default of 0.85</v>
      </c>
      <c r="H63" s="25"/>
    </row>
    <row r="64" spans="2:8" x14ac:dyDescent="0.25">
      <c r="B64" s="25"/>
      <c r="C64" s="25" t="s">
        <v>113</v>
      </c>
      <c r="D64" s="25">
        <f>'Arbitrage Payback Engine'!X10</f>
        <v>25</v>
      </c>
      <c r="E64" s="25" t="s">
        <v>112</v>
      </c>
      <c r="F64" s="25"/>
      <c r="G64" s="25" t="str">
        <f>$C$61&amp;C64&amp;D64&amp;E64&amp;F64</f>
        <v xml:space="preserve"> - The payback year nominated by the user is 25 years</v>
      </c>
      <c r="H64" s="25"/>
    </row>
    <row r="65" spans="2:8" x14ac:dyDescent="0.25">
      <c r="B65" s="25"/>
      <c r="C65" s="25" t="str">
        <f>IF(AlternativeModelCustom="Default", "The standard average costs of battery storage "&amp;D40&amp;" has been used in these calculations", "A custom value of " &amp;D40&amp;" has been nominated by the user and used in these calculations")</f>
        <v>The standard average costs of battery storage $1000 per kWh has been used in these calculations</v>
      </c>
      <c r="D65" s="25"/>
      <c r="E65" s="25"/>
      <c r="F65" s="25"/>
      <c r="G65" s="25" t="str">
        <f>$C$61&amp;C65&amp;D65&amp;E65&amp;F65</f>
        <v xml:space="preserve"> - The standard average costs of battery storage $1000 per kWh has been used in these calculations</v>
      </c>
      <c r="H65" s="25"/>
    </row>
    <row r="66" spans="2:8" x14ac:dyDescent="0.25">
      <c r="B66" s="25"/>
      <c r="C66" s="25" t="str">
        <f>IF(InflationIndex="Default", "A default inflation of 2.5% per annum has been applied to the cost of electricity", "A custom inflation value of " &amp;InflationIndex&amp;" has been nominated by the user and used in these calculations")</f>
        <v>A default inflation of 2.5% per annum has been applied to the cost of electricity</v>
      </c>
      <c r="D66" s="25"/>
      <c r="E66" s="25"/>
      <c r="F66" s="25"/>
      <c r="G66" s="25" t="str">
        <f>$C$61&amp;C66&amp;D66&amp;E66&amp;F66</f>
        <v xml:space="preserve"> - A default inflation of 2.5% per annum has been applied to the cost of electricity</v>
      </c>
      <c r="H66" s="25"/>
    </row>
    <row r="67" spans="2:8" ht="30" x14ac:dyDescent="0.25">
      <c r="B67" s="51" t="s">
        <v>111</v>
      </c>
      <c r="C67" s="50" t="str">
        <f>CHAR(10)</f>
        <v xml:space="preserve">
</v>
      </c>
      <c r="D67" s="50"/>
      <c r="E67" s="50"/>
      <c r="F67" s="25"/>
      <c r="G67" s="50" t="str">
        <f>CHAR(10)</f>
        <v xml:space="preserve">
</v>
      </c>
      <c r="H67" s="25"/>
    </row>
    <row r="68" spans="2:8" ht="15.6" customHeight="1" x14ac:dyDescent="0.25">
      <c r="G68" s="50" t="str">
        <f>G62</f>
        <v xml:space="preserve"> - Energy prices are based on standard tariffs</v>
      </c>
      <c r="H68" s="25"/>
    </row>
    <row r="69" spans="2:8" ht="15.6" customHeight="1" x14ac:dyDescent="0.25">
      <c r="G69" s="50" t="str">
        <f>G68&amp;$G$67&amp;G64</f>
        <v xml:space="preserve"> - Energy prices are based on standard tariffs
 - The payback year nominated by the user is 25 years</v>
      </c>
      <c r="H69" s="25"/>
    </row>
    <row r="70" spans="2:8" ht="15.6" customHeight="1" x14ac:dyDescent="0.25">
      <c r="G70" s="50" t="str">
        <f>G69&amp;$G$67&amp;G65</f>
        <v xml:space="preserve"> - Energy prices are based on standard tariffs
 - The payback year nominated by the user is 25 years
 - The standard average costs of battery storage $1000 per kWh has been used in these calculations</v>
      </c>
      <c r="H70" s="25"/>
    </row>
    <row r="71" spans="2:8" ht="15.6" customHeight="1" x14ac:dyDescent="0.25">
      <c r="G71" s="50" t="str">
        <f>G70&amp;$G$67&amp;G66</f>
        <v xml:space="preserve"> - Energy prices are based on standard tariffs
 - The payback year nominated by the user is 25 years
 - The standard average costs of battery storage $1000 per kWh has been used in these calculations
 - A default inflation of 2.5% per annum has been applied to the cost of electricity</v>
      </c>
      <c r="H71" s="25"/>
    </row>
    <row r="72" spans="2:8" ht="111.6" customHeight="1" x14ac:dyDescent="0.25">
      <c r="F72" s="49" t="s">
        <v>110</v>
      </c>
      <c r="G72" s="48" t="str">
        <f>C59&amp;$G$67&amp;G71</f>
        <v>User entered customisations of the model are as follows:
 - Energy prices are based on standard tariffs
 - The payback year nominated by the user is 25 years
 - The standard average costs of battery storage $1000 per kWh has been used in these calculations
 - A default inflation of 2.5% per annum has been applied to the cost of electricity</v>
      </c>
      <c r="H72" s="25"/>
    </row>
  </sheetData>
  <mergeCells count="1">
    <mergeCell ref="B3:C3"/>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B1:AJ1065"/>
  <sheetViews>
    <sheetView topLeftCell="J1" workbookViewId="0">
      <selection activeCell="V14" sqref="V14"/>
    </sheetView>
  </sheetViews>
  <sheetFormatPr defaultRowHeight="15" x14ac:dyDescent="0.25"/>
  <cols>
    <col min="3" max="5" width="13.42578125" customWidth="1"/>
    <col min="7" max="7" width="13.42578125" customWidth="1"/>
    <col min="11" max="11" width="21.85546875" customWidth="1"/>
    <col min="12" max="15" width="22.85546875" customWidth="1"/>
    <col min="16" max="16" width="19.42578125" customWidth="1"/>
    <col min="18" max="18" width="10.42578125" customWidth="1"/>
    <col min="26" max="26" width="9.140625" customWidth="1"/>
    <col min="27" max="27" width="14.42578125" customWidth="1"/>
    <col min="28" max="28" width="11.42578125" bestFit="1" customWidth="1"/>
    <col min="29" max="30" width="11.42578125" customWidth="1"/>
    <col min="31" max="32" width="14.42578125" customWidth="1"/>
    <col min="33" max="33" width="4.42578125" customWidth="1"/>
    <col min="34" max="34" width="17.42578125" bestFit="1" customWidth="1"/>
    <col min="35" max="35" width="16.85546875" customWidth="1"/>
    <col min="36" max="36" width="32.140625" bestFit="1" customWidth="1"/>
  </cols>
  <sheetData>
    <row r="1" spans="2:36" x14ac:dyDescent="0.25">
      <c r="Z1" s="45"/>
      <c r="AA1" s="45"/>
      <c r="AB1" s="45"/>
      <c r="AC1" s="45"/>
      <c r="AD1" s="45"/>
      <c r="AE1" s="45"/>
      <c r="AF1" s="45"/>
      <c r="AG1" s="45"/>
      <c r="AH1" s="45"/>
      <c r="AI1" s="45"/>
      <c r="AJ1" s="45"/>
    </row>
    <row r="2" spans="2:36" x14ac:dyDescent="0.25">
      <c r="Z2" s="37"/>
      <c r="AA2" s="25" t="s">
        <v>108</v>
      </c>
      <c r="AB2" s="25">
        <v>1000</v>
      </c>
      <c r="AC2" s="37"/>
      <c r="AD2" s="47" t="s">
        <v>107</v>
      </c>
      <c r="AE2" s="46" t="s">
        <v>106</v>
      </c>
      <c r="AF2" s="46" t="s">
        <v>105</v>
      </c>
      <c r="AG2" s="37"/>
      <c r="AH2" s="37"/>
      <c r="AI2" s="37"/>
      <c r="AJ2" s="37"/>
    </row>
    <row r="3" spans="2:36" x14ac:dyDescent="0.25">
      <c r="K3" s="8" t="s">
        <v>148</v>
      </c>
      <c r="L3" s="8">
        <v>3000</v>
      </c>
      <c r="Z3" s="37"/>
      <c r="AA3" s="25" t="s">
        <v>104</v>
      </c>
      <c r="AB3" s="25">
        <v>0</v>
      </c>
      <c r="AC3" s="37"/>
      <c r="AD3" s="25" t="s">
        <v>103</v>
      </c>
      <c r="AE3" s="40">
        <f>AVERAGE(T10, 0)</f>
        <v>7.5</v>
      </c>
      <c r="AF3" s="25">
        <f>AVERAGE(T10, 0)</f>
        <v>7.5</v>
      </c>
      <c r="AG3" s="37"/>
      <c r="AH3" s="37"/>
      <c r="AI3" s="37"/>
      <c r="AJ3" s="37"/>
    </row>
    <row r="4" spans="2:36" x14ac:dyDescent="0.25">
      <c r="K4" s="8" t="s">
        <v>147</v>
      </c>
      <c r="L4" s="8">
        <f>L3/(VLOOKUP(BatteryFactor,'Peak Models'!$L$25:$M$29,2,FALSE))</f>
        <v>2000</v>
      </c>
      <c r="Z4" s="37"/>
      <c r="AA4" s="25" t="s">
        <v>102</v>
      </c>
      <c r="AB4" s="25">
        <f>'Arbitrage Payback Engine'!$E$1063</f>
        <v>28.872757156553895</v>
      </c>
      <c r="AC4" s="37"/>
      <c r="AD4" s="25" t="s">
        <v>101</v>
      </c>
      <c r="AE4" s="28" t="e">
        <f>IF(AH8&gt;0, AVERAGE(AA10,AB10), -1)</f>
        <v>#N/A</v>
      </c>
      <c r="AF4" s="28" t="e">
        <f>IF(AH8&lt;0, AVERAGE(AA10,AB10), -1)</f>
        <v>#N/A</v>
      </c>
      <c r="AG4" s="37"/>
      <c r="AH4" s="37"/>
      <c r="AI4" s="37"/>
      <c r="AJ4" s="37"/>
    </row>
    <row r="5" spans="2:36" ht="15.75" thickBot="1" x14ac:dyDescent="0.3">
      <c r="E5" s="8" t="s">
        <v>100</v>
      </c>
      <c r="K5" s="8" t="s">
        <v>146</v>
      </c>
      <c r="L5" s="8" t="str">
        <f>IF((L4/(VLOOKUP(EventsPerYear, 'Peak Models'!$L$16:$M$22, 2, FALSE)&gt;20)), "&gt; 20 years", L4/VLOOKUP(EventsPerYear, 'Peak Models'!$L$16:$M$22, 2, FALSE))</f>
        <v>&gt; 20 years</v>
      </c>
      <c r="O5" s="39" t="s">
        <v>75</v>
      </c>
      <c r="P5" s="44" t="e">
        <f>IF(MIN($P$10:$P$1063)=999,-1,INDEX($B$10:$B$1063,MATCH(MIN($P$10:$P$1063),$P$10:$P$1063, FALSE)))</f>
        <v>#N/A</v>
      </c>
      <c r="Z5" s="37"/>
      <c r="AB5" s="37"/>
      <c r="AC5" s="37"/>
      <c r="AD5" s="37"/>
      <c r="AE5" s="37"/>
      <c r="AF5" s="37"/>
      <c r="AG5" s="37"/>
      <c r="AH5" s="37"/>
      <c r="AI5" s="37"/>
      <c r="AJ5" s="37"/>
    </row>
    <row r="6" spans="2:36" ht="16.5" customHeight="1" thickTop="1" thickBot="1" x14ac:dyDescent="0.3">
      <c r="E6" s="43" t="str">
        <f>VLOOKUP(AlternativeModelCustom,'Battery Pricing Model'!C18:D29, 2, FALSE)</f>
        <v>None</v>
      </c>
      <c r="Z6" s="188" t="s">
        <v>98</v>
      </c>
      <c r="AA6" s="188"/>
      <c r="AB6" s="188"/>
      <c r="AC6" s="181" t="s">
        <v>97</v>
      </c>
      <c r="AD6" s="182"/>
      <c r="AE6" s="182"/>
      <c r="AF6" s="183"/>
      <c r="AG6" s="37"/>
      <c r="AH6" s="181" t="s">
        <v>6</v>
      </c>
      <c r="AI6" s="182"/>
      <c r="AJ6" s="183"/>
    </row>
    <row r="7" spans="2:36" ht="16.5" thickTop="1" thickBot="1" x14ac:dyDescent="0.3">
      <c r="Z7" s="187"/>
      <c r="AA7" s="187"/>
      <c r="AB7" s="187"/>
      <c r="AC7" s="8" t="s">
        <v>68</v>
      </c>
      <c r="AD7" s="8" t="s">
        <v>96</v>
      </c>
      <c r="AE7" s="8" t="s">
        <v>95</v>
      </c>
      <c r="AF7" s="8" t="s">
        <v>94</v>
      </c>
      <c r="AG7" s="37"/>
      <c r="AH7" s="8" t="str">
        <f>"ROI after "&amp;TRUNC(T10,0)&amp;" Years"</f>
        <v>ROI after 15 Years</v>
      </c>
      <c r="AI7" s="8" t="s">
        <v>93</v>
      </c>
      <c r="AJ7" s="8" t="str">
        <f>"ROI over Expected Lifetime ("&amp;TRUNC(V10,0)&amp;" Years)"</f>
        <v>ROI over Expected Lifetime (15 Years)</v>
      </c>
    </row>
    <row r="8" spans="2:36" ht="16.5" thickTop="1" thickBot="1" x14ac:dyDescent="0.3">
      <c r="K8" s="47" t="s">
        <v>145</v>
      </c>
      <c r="L8" s="73" t="s">
        <v>144</v>
      </c>
      <c r="M8" s="73" t="s">
        <v>143</v>
      </c>
      <c r="N8" s="73" t="s">
        <v>142</v>
      </c>
      <c r="O8" s="73" t="s">
        <v>141</v>
      </c>
      <c r="P8" s="73"/>
      <c r="R8" s="181" t="s">
        <v>88</v>
      </c>
      <c r="S8" s="182"/>
      <c r="T8" s="182"/>
      <c r="U8" s="182"/>
      <c r="V8" s="183"/>
      <c r="Z8" s="187"/>
      <c r="AA8" s="187"/>
      <c r="AB8" s="187"/>
      <c r="AC8" s="29">
        <v>0</v>
      </c>
      <c r="AD8" s="25">
        <v>0</v>
      </c>
      <c r="AE8" s="25">
        <v>0</v>
      </c>
      <c r="AF8" s="25">
        <v>0</v>
      </c>
      <c r="AH8" s="31" t="e">
        <f>INDEX($AH$10:$AH$1063,MATCH(T10,$B$10:$B$1063, 1))</f>
        <v>#N/A</v>
      </c>
      <c r="AI8" s="40" t="e">
        <f>IF(P5&gt;0, ROUND(P5, 1) &amp; " Years","&gt; 20 Years")</f>
        <v>#N/A</v>
      </c>
      <c r="AJ8" s="31" t="e">
        <f>INDEX($AH$10:$AH$1063,MATCH(V10,B10:B1063,1))</f>
        <v>#N/A</v>
      </c>
    </row>
    <row r="9" spans="2:36" ht="15.75" thickTop="1" x14ac:dyDescent="0.25">
      <c r="B9" s="72" t="s">
        <v>85</v>
      </c>
      <c r="C9" s="72" t="s">
        <v>140</v>
      </c>
      <c r="D9" s="72" t="s">
        <v>139</v>
      </c>
      <c r="E9" s="72" t="s">
        <v>138</v>
      </c>
      <c r="F9" s="72" t="s">
        <v>137</v>
      </c>
      <c r="G9" s="72" t="s">
        <v>136</v>
      </c>
      <c r="H9" s="72" t="s">
        <v>135</v>
      </c>
      <c r="I9" s="72" t="s">
        <v>134</v>
      </c>
      <c r="J9" s="72" t="s">
        <v>133</v>
      </c>
      <c r="K9" s="72" t="s">
        <v>132</v>
      </c>
      <c r="L9" s="72" t="s">
        <v>130</v>
      </c>
      <c r="M9" s="72" t="s">
        <v>131</v>
      </c>
      <c r="N9" s="72" t="s">
        <v>106</v>
      </c>
      <c r="O9" s="72" t="s">
        <v>106</v>
      </c>
      <c r="P9" s="72" t="s">
        <v>78</v>
      </c>
      <c r="R9" s="25" t="s">
        <v>73</v>
      </c>
      <c r="S9" s="25" t="s">
        <v>72</v>
      </c>
      <c r="T9" s="25" t="s">
        <v>71</v>
      </c>
      <c r="U9" s="39" t="s">
        <v>70</v>
      </c>
      <c r="V9" s="38" t="s">
        <v>69</v>
      </c>
      <c r="X9" s="25" t="s">
        <v>76</v>
      </c>
      <c r="Z9" s="36" t="s">
        <v>68</v>
      </c>
      <c r="AA9" s="8" t="s">
        <v>130</v>
      </c>
      <c r="AB9" s="8" t="s">
        <v>66</v>
      </c>
      <c r="AC9" s="29">
        <f>AC10</f>
        <v>0.94876660341555974</v>
      </c>
      <c r="AD9" s="28">
        <v>0</v>
      </c>
      <c r="AE9" s="28">
        <v>0</v>
      </c>
      <c r="AF9" s="28">
        <v>0</v>
      </c>
      <c r="AG9" t="s">
        <v>64</v>
      </c>
      <c r="AH9" s="8" t="s">
        <v>65</v>
      </c>
      <c r="AI9" t="s">
        <v>64</v>
      </c>
      <c r="AJ9" t="s">
        <v>64</v>
      </c>
    </row>
    <row r="10" spans="2:36" x14ac:dyDescent="0.25">
      <c r="B10" s="33">
        <f>'Arbitrage Payback Engine'!E10</f>
        <v>2.7393507738665935E-2</v>
      </c>
      <c r="C10" s="33">
        <f t="shared" ref="C10:C73" si="0">IF(OR($E$6="None", $E$6=0), D10, E10)</f>
        <v>1000</v>
      </c>
      <c r="D10" s="33">
        <f>'Battery Pricing Model'!$C$17</f>
        <v>1000</v>
      </c>
      <c r="E10" s="33">
        <f t="shared" ref="E10:E73" si="1">IF(OR($E$6="None", $E$6=0), 999, $D10*(E$6))</f>
        <v>999</v>
      </c>
      <c r="F10" s="33" t="str">
        <f>'Peak Models'!$B$4</f>
        <v>Default</v>
      </c>
      <c r="G10" s="33" t="e">
        <f>'Peak Models'!$Q$7</f>
        <v>#VALUE!</v>
      </c>
      <c r="H10" s="33">
        <f>'Peak Models'!$P$16</f>
        <v>1.5</v>
      </c>
      <c r="I10" s="33">
        <v>12</v>
      </c>
      <c r="J10" s="33" t="e">
        <f>'Peak Models'!$P$13</f>
        <v>#N/A</v>
      </c>
      <c r="K10" s="28" t="e">
        <f>C10*G10/(H10*B10)</f>
        <v>#VALUE!</v>
      </c>
      <c r="L10" s="28" t="e">
        <f>INDEX('Peak Models'!$P$34:$P$64, MATCH(TRUNC(B10, 0), 'Peak Models'!$O$34:$O$64, 0))</f>
        <v>#N/A</v>
      </c>
      <c r="M10" s="28">
        <f>'Peak Models'!$P$15*INDEX('Peak Models'!$Q$34:$Q$64, MATCH(TRUNC(B10, 0),'Peak Models'!$O$34:$O$64, 0))/'Profit per cycles Model'!$E$78</f>
        <v>4.7058823529411766</v>
      </c>
      <c r="N10" s="28" t="e">
        <f t="shared" ref="N10:N73" si="2">L10-M10</f>
        <v>#N/A</v>
      </c>
      <c r="O10" s="71" t="e">
        <f>AVERAGE($N$10:N10)</f>
        <v>#N/A</v>
      </c>
      <c r="P10" s="28" t="e">
        <f t="shared" ref="P10:P73" si="3">IF(O10-K10&lt;0, 999, O10-K10)</f>
        <v>#N/A</v>
      </c>
      <c r="R10" s="28" t="e">
        <f t="shared" ref="R10:R73" si="4">IF(ISNA(INDEX($K$10:$K$1063,MATCH(T10,$B$10:$B$1063,1))),-1,INDEX($K$10:$K$1063,MATCH(T10,$B$10:$B$1063,1)))</f>
        <v>#VALUE!</v>
      </c>
      <c r="S10" s="25"/>
      <c r="T10" s="25">
        <f t="shared" ref="T10:T73" si="5">IF( AND(U10&gt;0, V10&gt;0), IF(U10&lt;V10, U10, V10),  IF(U10&gt;0, U10, IF(V10&gt;0, V10, -1)) )</f>
        <v>15</v>
      </c>
      <c r="U10" s="33">
        <f>IF(PaybackCustom&gt;0, IF(PaybackCustom&lt;&gt;"Default", PaybackCustom, IF(PaybackStatus&lt;&gt;"",INDEX('Arbitrage Payback Engine'!$Y$2:$Y$6,MATCH(PaybackStatus,'Arbitrage Payback Engine'!$X$2:$X$6,FALSE)),-1)))</f>
        <v>25</v>
      </c>
      <c r="V10" s="32">
        <f>IF(ISNUMBER($L$5), $L$5, 15)</f>
        <v>15</v>
      </c>
      <c r="X10" s="29">
        <f>1</f>
        <v>1</v>
      </c>
      <c r="Z10" s="30">
        <f t="shared" ref="Z10:Z73" si="6">B10</f>
        <v>2.7393507738665935E-2</v>
      </c>
      <c r="AA10" s="28" t="e">
        <f t="shared" ref="AA10:AA73" si="7">N10</f>
        <v>#N/A</v>
      </c>
      <c r="AB10" s="28" t="e">
        <f t="shared" ref="AB10:AB73" si="8">R10</f>
        <v>#VALUE!</v>
      </c>
      <c r="AC10" s="29">
        <f t="shared" ref="AC10:AC73" si="9">$AB$2*(Z10-$AB$3)/($AB$4-$AB$3)</f>
        <v>0.94876660341555974</v>
      </c>
      <c r="AD10" s="28" t="e">
        <f t="shared" ref="AD10:AD73" si="10">MIN(AB10, AA10)</f>
        <v>#VALUE!</v>
      </c>
      <c r="AE10" s="28" t="e">
        <f t="shared" ref="AE10:AE73" si="11">IF(AND(Z10&lt;T10, AA10&gt;AB10), AA10-AB10, 0)</f>
        <v>#N/A</v>
      </c>
      <c r="AF10" s="28" t="e">
        <f t="shared" ref="AF10:AF73" si="12">IF(AND(Z10&lt;T10, AB10&gt;AA10), AB10-AA10, 0)</f>
        <v>#VALUE!</v>
      </c>
      <c r="AH10" s="31" t="e">
        <f>(O10-K10)/K10</f>
        <v>#N/A</v>
      </c>
      <c r="AI10" s="25"/>
      <c r="AJ10" s="31"/>
    </row>
    <row r="11" spans="2:36" x14ac:dyDescent="0.25">
      <c r="B11" s="33">
        <f>'Arbitrage Payback Engine'!E11</f>
        <v>5.478701547733187E-2</v>
      </c>
      <c r="C11" s="33">
        <f t="shared" si="0"/>
        <v>1000</v>
      </c>
      <c r="D11" s="33">
        <f>'Battery Pricing Model'!$C$17</f>
        <v>1000</v>
      </c>
      <c r="E11" s="33">
        <f t="shared" si="1"/>
        <v>999</v>
      </c>
      <c r="F11" s="33" t="str">
        <f>'Peak Models'!$B$4</f>
        <v>Default</v>
      </c>
      <c r="G11" s="33" t="e">
        <f>'Peak Models'!$Q$7</f>
        <v>#VALUE!</v>
      </c>
      <c r="H11" s="33">
        <f>'Peak Models'!$P$16</f>
        <v>1.5</v>
      </c>
      <c r="I11" s="33">
        <v>12</v>
      </c>
      <c r="J11" s="33" t="e">
        <f>'Peak Models'!$P$13</f>
        <v>#N/A</v>
      </c>
      <c r="K11" s="28" t="e">
        <f t="shared" ref="K11:K73" si="13">C11*G11/(H11*B11)</f>
        <v>#VALUE!</v>
      </c>
      <c r="L11" s="28" t="e">
        <f>INDEX('Peak Models'!$P$34:$P$64, MATCH(TRUNC(B11, 0), 'Peak Models'!$O$34:$O$64, 0))</f>
        <v>#N/A</v>
      </c>
      <c r="M11" s="28">
        <f>'Peak Models'!$P$15*INDEX('Peak Models'!$Q$34:$Q$64, MATCH(TRUNC(B11, 0),'Peak Models'!$O$34:$O$64, 0))/'Profit per cycles Model'!$E$78</f>
        <v>4.7058823529411766</v>
      </c>
      <c r="N11" s="28" t="e">
        <f t="shared" si="2"/>
        <v>#N/A</v>
      </c>
      <c r="O11" s="71" t="e">
        <f>AVERAGE($N$10:N11)</f>
        <v>#N/A</v>
      </c>
      <c r="P11" s="28" t="e">
        <f t="shared" si="3"/>
        <v>#N/A</v>
      </c>
      <c r="R11" s="28" t="e">
        <f t="shared" si="4"/>
        <v>#VALUE!</v>
      </c>
      <c r="S11" s="25"/>
      <c r="T11" s="25">
        <f t="shared" si="5"/>
        <v>15</v>
      </c>
      <c r="U11" s="33">
        <f>IF(PaybackCustom&gt;0, IF(PaybackCustom&lt;&gt;"Default", PaybackCustom, IF(PaybackStatus&lt;&gt;"",INDEX('Arbitrage Payback Engine'!$Y$2:$Y$6,MATCH(PaybackStatus,'Arbitrage Payback Engine'!$X$2:$X$6,FALSE)),-1)))</f>
        <v>25</v>
      </c>
      <c r="V11" s="32">
        <f t="shared" ref="V11:V74" si="14">IF(ISNUMBER($L$5), $L$5, 15)</f>
        <v>15</v>
      </c>
      <c r="X11" s="29">
        <f t="shared" ref="X11:X74" si="15">X10+1</f>
        <v>2</v>
      </c>
      <c r="Z11" s="30">
        <f t="shared" si="6"/>
        <v>5.478701547733187E-2</v>
      </c>
      <c r="AA11" s="28" t="e">
        <f t="shared" si="7"/>
        <v>#N/A</v>
      </c>
      <c r="AB11" s="28" t="e">
        <f t="shared" si="8"/>
        <v>#VALUE!</v>
      </c>
      <c r="AC11" s="29">
        <f t="shared" si="9"/>
        <v>1.8975332068311195</v>
      </c>
      <c r="AD11" s="28" t="e">
        <f t="shared" si="10"/>
        <v>#VALUE!</v>
      </c>
      <c r="AE11" s="28" t="e">
        <f t="shared" si="11"/>
        <v>#N/A</v>
      </c>
      <c r="AF11" s="28" t="e">
        <f t="shared" si="12"/>
        <v>#VALUE!</v>
      </c>
      <c r="AH11" s="31" t="e">
        <f t="shared" ref="AH11:AH73" si="16">(O11-K11)/K11</f>
        <v>#N/A</v>
      </c>
      <c r="AI11" s="25"/>
      <c r="AJ11" s="31"/>
    </row>
    <row r="12" spans="2:36" x14ac:dyDescent="0.25">
      <c r="B12" s="33">
        <f>'Arbitrage Payback Engine'!E12</f>
        <v>8.2180523215997808E-2</v>
      </c>
      <c r="C12" s="33">
        <f t="shared" si="0"/>
        <v>1000</v>
      </c>
      <c r="D12" s="33">
        <f>'Battery Pricing Model'!$C$17</f>
        <v>1000</v>
      </c>
      <c r="E12" s="33">
        <f t="shared" si="1"/>
        <v>999</v>
      </c>
      <c r="F12" s="33" t="str">
        <f>'Peak Models'!$B$4</f>
        <v>Default</v>
      </c>
      <c r="G12" s="33" t="e">
        <f>'Peak Models'!$Q$7</f>
        <v>#VALUE!</v>
      </c>
      <c r="H12" s="33">
        <f>'Peak Models'!$P$16</f>
        <v>1.5</v>
      </c>
      <c r="I12" s="33">
        <v>12</v>
      </c>
      <c r="J12" s="33" t="e">
        <f>'Peak Models'!$P$13</f>
        <v>#N/A</v>
      </c>
      <c r="K12" s="28" t="e">
        <f t="shared" si="13"/>
        <v>#VALUE!</v>
      </c>
      <c r="L12" s="28" t="e">
        <f>INDEX('Peak Models'!$P$34:$P$64, MATCH(TRUNC(B12, 0), 'Peak Models'!$O$34:$O$64, 0))</f>
        <v>#N/A</v>
      </c>
      <c r="M12" s="28">
        <f>'Peak Models'!$P$15*INDEX('Peak Models'!$Q$34:$Q$64, MATCH(TRUNC(B12, 0),'Peak Models'!$O$34:$O$64, 0))/'Profit per cycles Model'!$E$78</f>
        <v>4.7058823529411766</v>
      </c>
      <c r="N12" s="28" t="e">
        <f t="shared" si="2"/>
        <v>#N/A</v>
      </c>
      <c r="O12" s="71" t="e">
        <f>AVERAGE($N$10:N12)</f>
        <v>#N/A</v>
      </c>
      <c r="P12" s="28" t="e">
        <f t="shared" si="3"/>
        <v>#N/A</v>
      </c>
      <c r="R12" s="28" t="e">
        <f t="shared" si="4"/>
        <v>#VALUE!</v>
      </c>
      <c r="S12" s="25"/>
      <c r="T12" s="25">
        <f t="shared" si="5"/>
        <v>15</v>
      </c>
      <c r="U12" s="33">
        <f>IF(PaybackCustom&gt;0, IF(PaybackCustom&lt;&gt;"Default", PaybackCustom, IF(PaybackStatus&lt;&gt;"",INDEX('Arbitrage Payback Engine'!$Y$2:$Y$6,MATCH(PaybackStatus,'Arbitrage Payback Engine'!$X$2:$X$6,FALSE)),-1)))</f>
        <v>25</v>
      </c>
      <c r="V12" s="32">
        <f t="shared" si="14"/>
        <v>15</v>
      </c>
      <c r="X12" s="29">
        <f t="shared" si="15"/>
        <v>3</v>
      </c>
      <c r="Z12" s="30">
        <f t="shared" si="6"/>
        <v>8.2180523215997808E-2</v>
      </c>
      <c r="AA12" s="28" t="e">
        <f t="shared" si="7"/>
        <v>#N/A</v>
      </c>
      <c r="AB12" s="28" t="e">
        <f t="shared" si="8"/>
        <v>#VALUE!</v>
      </c>
      <c r="AC12" s="29">
        <f t="shared" si="9"/>
        <v>2.8462998102466797</v>
      </c>
      <c r="AD12" s="28" t="e">
        <f t="shared" si="10"/>
        <v>#VALUE!</v>
      </c>
      <c r="AE12" s="28" t="e">
        <f t="shared" si="11"/>
        <v>#N/A</v>
      </c>
      <c r="AF12" s="28" t="e">
        <f t="shared" si="12"/>
        <v>#VALUE!</v>
      </c>
      <c r="AH12" s="31" t="e">
        <f t="shared" si="16"/>
        <v>#N/A</v>
      </c>
      <c r="AI12" s="25"/>
      <c r="AJ12" s="31"/>
    </row>
    <row r="13" spans="2:36" x14ac:dyDescent="0.25">
      <c r="B13" s="33">
        <f>'Arbitrage Payback Engine'!E13</f>
        <v>0.10957403095466374</v>
      </c>
      <c r="C13" s="33">
        <f t="shared" si="0"/>
        <v>1000</v>
      </c>
      <c r="D13" s="33">
        <f>'Battery Pricing Model'!$C$17</f>
        <v>1000</v>
      </c>
      <c r="E13" s="33">
        <f t="shared" si="1"/>
        <v>999</v>
      </c>
      <c r="F13" s="33" t="str">
        <f>'Peak Models'!$B$4</f>
        <v>Default</v>
      </c>
      <c r="G13" s="33" t="e">
        <f>'Peak Models'!$Q$7</f>
        <v>#VALUE!</v>
      </c>
      <c r="H13" s="33">
        <f>'Peak Models'!$P$16</f>
        <v>1.5</v>
      </c>
      <c r="I13" s="33">
        <v>12</v>
      </c>
      <c r="J13" s="33" t="e">
        <f>'Peak Models'!$P$13</f>
        <v>#N/A</v>
      </c>
      <c r="K13" s="28" t="e">
        <f t="shared" si="13"/>
        <v>#VALUE!</v>
      </c>
      <c r="L13" s="28" t="e">
        <f>INDEX('Peak Models'!$P$34:$P$64, MATCH(TRUNC(B13, 0), 'Peak Models'!$O$34:$O$64, 0))</f>
        <v>#N/A</v>
      </c>
      <c r="M13" s="28">
        <f>'Peak Models'!$P$15*INDEX('Peak Models'!$Q$34:$Q$64, MATCH(TRUNC(B13, 0),'Peak Models'!$O$34:$O$64, 0))/'Profit per cycles Model'!$E$78</f>
        <v>4.7058823529411766</v>
      </c>
      <c r="N13" s="28" t="e">
        <f t="shared" si="2"/>
        <v>#N/A</v>
      </c>
      <c r="O13" s="71" t="e">
        <f>AVERAGE($N$10:N13)</f>
        <v>#N/A</v>
      </c>
      <c r="P13" s="28" t="e">
        <f t="shared" si="3"/>
        <v>#N/A</v>
      </c>
      <c r="R13" s="28" t="e">
        <f t="shared" si="4"/>
        <v>#VALUE!</v>
      </c>
      <c r="S13" s="25"/>
      <c r="T13" s="25">
        <f t="shared" si="5"/>
        <v>15</v>
      </c>
      <c r="U13" s="33">
        <f>IF(PaybackCustom&gt;0, IF(PaybackCustom&lt;&gt;"Default", PaybackCustom, IF(PaybackStatus&lt;&gt;"",INDEX('Arbitrage Payback Engine'!$Y$2:$Y$6,MATCH(PaybackStatus,'Arbitrage Payback Engine'!$X$2:$X$6,FALSE)),-1)))</f>
        <v>25</v>
      </c>
      <c r="V13" s="32">
        <f t="shared" si="14"/>
        <v>15</v>
      </c>
      <c r="X13" s="29">
        <f t="shared" si="15"/>
        <v>4</v>
      </c>
      <c r="Z13" s="30">
        <f t="shared" si="6"/>
        <v>0.10957403095466374</v>
      </c>
      <c r="AA13" s="28" t="e">
        <f t="shared" si="7"/>
        <v>#N/A</v>
      </c>
      <c r="AB13" s="28" t="e">
        <f t="shared" si="8"/>
        <v>#VALUE!</v>
      </c>
      <c r="AC13" s="29">
        <f t="shared" si="9"/>
        <v>3.795066413662239</v>
      </c>
      <c r="AD13" s="28" t="e">
        <f t="shared" si="10"/>
        <v>#VALUE!</v>
      </c>
      <c r="AE13" s="28" t="e">
        <f t="shared" si="11"/>
        <v>#N/A</v>
      </c>
      <c r="AF13" s="28" t="e">
        <f t="shared" si="12"/>
        <v>#VALUE!</v>
      </c>
      <c r="AH13" s="31" t="e">
        <f t="shared" si="16"/>
        <v>#N/A</v>
      </c>
      <c r="AI13" s="25"/>
      <c r="AJ13" s="31"/>
    </row>
    <row r="14" spans="2:36" x14ac:dyDescent="0.25">
      <c r="B14" s="33">
        <f>'Arbitrage Payback Engine'!E14</f>
        <v>0.13696753869332967</v>
      </c>
      <c r="C14" s="33">
        <f t="shared" si="0"/>
        <v>1000</v>
      </c>
      <c r="D14" s="33">
        <f>'Battery Pricing Model'!$C$17</f>
        <v>1000</v>
      </c>
      <c r="E14" s="33">
        <f t="shared" si="1"/>
        <v>999</v>
      </c>
      <c r="F14" s="33" t="str">
        <f>'Peak Models'!$B$4</f>
        <v>Default</v>
      </c>
      <c r="G14" s="33" t="e">
        <f>'Peak Models'!$Q$7</f>
        <v>#VALUE!</v>
      </c>
      <c r="H14" s="33">
        <f>'Peak Models'!$P$16</f>
        <v>1.5</v>
      </c>
      <c r="I14" s="33">
        <v>12</v>
      </c>
      <c r="J14" s="33" t="e">
        <f>'Peak Models'!$P$13</f>
        <v>#N/A</v>
      </c>
      <c r="K14" s="28" t="e">
        <f t="shared" si="13"/>
        <v>#VALUE!</v>
      </c>
      <c r="L14" s="28" t="e">
        <f>INDEX('Peak Models'!$P$34:$P$64, MATCH(TRUNC(B14, 0), 'Peak Models'!$O$34:$O$64, 0))</f>
        <v>#N/A</v>
      </c>
      <c r="M14" s="28">
        <f>'Peak Models'!$P$15*INDEX('Peak Models'!$Q$34:$Q$64, MATCH(TRUNC(B14, 0),'Peak Models'!$O$34:$O$64, 0))/'Profit per cycles Model'!$E$78</f>
        <v>4.7058823529411766</v>
      </c>
      <c r="N14" s="28" t="e">
        <f t="shared" si="2"/>
        <v>#N/A</v>
      </c>
      <c r="O14" s="71" t="e">
        <f>AVERAGE($N$10:N14)</f>
        <v>#N/A</v>
      </c>
      <c r="P14" s="28" t="e">
        <f t="shared" si="3"/>
        <v>#N/A</v>
      </c>
      <c r="R14" s="28" t="e">
        <f t="shared" si="4"/>
        <v>#VALUE!</v>
      </c>
      <c r="S14" s="25"/>
      <c r="T14" s="25">
        <f t="shared" si="5"/>
        <v>15</v>
      </c>
      <c r="U14" s="33">
        <f>IF(PaybackCustom&gt;0, IF(PaybackCustom&lt;&gt;"Default", PaybackCustom, IF(PaybackStatus&lt;&gt;"",INDEX('Arbitrage Payback Engine'!$Y$2:$Y$6,MATCH(PaybackStatus,'Arbitrage Payback Engine'!$X$2:$X$6,FALSE)),-1)))</f>
        <v>25</v>
      </c>
      <c r="V14" s="32">
        <f t="shared" si="14"/>
        <v>15</v>
      </c>
      <c r="X14" s="29">
        <f t="shared" si="15"/>
        <v>5</v>
      </c>
      <c r="Z14" s="30">
        <f t="shared" si="6"/>
        <v>0.13696753869332967</v>
      </c>
      <c r="AA14" s="28" t="e">
        <f t="shared" si="7"/>
        <v>#N/A</v>
      </c>
      <c r="AB14" s="28" t="e">
        <f t="shared" si="8"/>
        <v>#VALUE!</v>
      </c>
      <c r="AC14" s="29">
        <f t="shared" si="9"/>
        <v>4.7438330170777983</v>
      </c>
      <c r="AD14" s="28" t="e">
        <f t="shared" si="10"/>
        <v>#VALUE!</v>
      </c>
      <c r="AE14" s="28" t="e">
        <f t="shared" si="11"/>
        <v>#N/A</v>
      </c>
      <c r="AF14" s="28" t="e">
        <f t="shared" si="12"/>
        <v>#VALUE!</v>
      </c>
      <c r="AH14" s="31" t="e">
        <f t="shared" si="16"/>
        <v>#N/A</v>
      </c>
      <c r="AI14" s="25"/>
      <c r="AJ14" s="31"/>
    </row>
    <row r="15" spans="2:36" x14ac:dyDescent="0.25">
      <c r="B15" s="33">
        <f>'Arbitrage Payback Engine'!E15</f>
        <v>0.16436104643199562</v>
      </c>
      <c r="C15" s="33">
        <f t="shared" si="0"/>
        <v>1000</v>
      </c>
      <c r="D15" s="33">
        <f>'Battery Pricing Model'!$C$17</f>
        <v>1000</v>
      </c>
      <c r="E15" s="33">
        <f t="shared" si="1"/>
        <v>999</v>
      </c>
      <c r="F15" s="33" t="str">
        <f>'Peak Models'!$B$4</f>
        <v>Default</v>
      </c>
      <c r="G15" s="33" t="e">
        <f>'Peak Models'!$Q$7</f>
        <v>#VALUE!</v>
      </c>
      <c r="H15" s="33">
        <f>'Peak Models'!$P$16</f>
        <v>1.5</v>
      </c>
      <c r="I15" s="33">
        <v>12</v>
      </c>
      <c r="J15" s="33" t="e">
        <f>'Peak Models'!$P$13</f>
        <v>#N/A</v>
      </c>
      <c r="K15" s="28" t="e">
        <f t="shared" si="13"/>
        <v>#VALUE!</v>
      </c>
      <c r="L15" s="28" t="e">
        <f>INDEX('Peak Models'!$P$34:$P$64, MATCH(TRUNC(B15, 0), 'Peak Models'!$O$34:$O$64, 0))</f>
        <v>#N/A</v>
      </c>
      <c r="M15" s="28">
        <f>'Peak Models'!$P$15*INDEX('Peak Models'!$Q$34:$Q$64, MATCH(TRUNC(B15, 0),'Peak Models'!$O$34:$O$64, 0))/'Profit per cycles Model'!$E$78</f>
        <v>4.7058823529411766</v>
      </c>
      <c r="N15" s="28" t="e">
        <f t="shared" si="2"/>
        <v>#N/A</v>
      </c>
      <c r="O15" s="71" t="e">
        <f>AVERAGE($N$10:N15)</f>
        <v>#N/A</v>
      </c>
      <c r="P15" s="28" t="e">
        <f t="shared" si="3"/>
        <v>#N/A</v>
      </c>
      <c r="R15" s="28" t="e">
        <f t="shared" si="4"/>
        <v>#VALUE!</v>
      </c>
      <c r="S15" s="25"/>
      <c r="T15" s="25">
        <f t="shared" si="5"/>
        <v>15</v>
      </c>
      <c r="U15" s="33">
        <f>IF(PaybackCustom&gt;0, IF(PaybackCustom&lt;&gt;"Default", PaybackCustom, IF(PaybackStatus&lt;&gt;"",INDEX('Arbitrage Payback Engine'!$Y$2:$Y$6,MATCH(PaybackStatus,'Arbitrage Payback Engine'!$X$2:$X$6,FALSE)),-1)))</f>
        <v>25</v>
      </c>
      <c r="V15" s="32">
        <f t="shared" si="14"/>
        <v>15</v>
      </c>
      <c r="X15" s="29">
        <f t="shared" si="15"/>
        <v>6</v>
      </c>
      <c r="Z15" s="30">
        <f t="shared" si="6"/>
        <v>0.16436104643199562</v>
      </c>
      <c r="AA15" s="28" t="e">
        <f t="shared" si="7"/>
        <v>#N/A</v>
      </c>
      <c r="AB15" s="28" t="e">
        <f t="shared" si="8"/>
        <v>#VALUE!</v>
      </c>
      <c r="AC15" s="29">
        <f t="shared" si="9"/>
        <v>5.6925996204933593</v>
      </c>
      <c r="AD15" s="28" t="e">
        <f t="shared" si="10"/>
        <v>#VALUE!</v>
      </c>
      <c r="AE15" s="28" t="e">
        <f t="shared" si="11"/>
        <v>#N/A</v>
      </c>
      <c r="AF15" s="28" t="e">
        <f t="shared" si="12"/>
        <v>#VALUE!</v>
      </c>
      <c r="AH15" s="31" t="e">
        <f t="shared" si="16"/>
        <v>#N/A</v>
      </c>
      <c r="AI15" s="25"/>
      <c r="AJ15" s="31"/>
    </row>
    <row r="16" spans="2:36" x14ac:dyDescent="0.25">
      <c r="B16" s="33">
        <f>'Arbitrage Payback Engine'!E16</f>
        <v>0.19175455417066153</v>
      </c>
      <c r="C16" s="33">
        <f t="shared" si="0"/>
        <v>1000</v>
      </c>
      <c r="D16" s="33">
        <f>'Battery Pricing Model'!$C$17</f>
        <v>1000</v>
      </c>
      <c r="E16" s="33">
        <f t="shared" si="1"/>
        <v>999</v>
      </c>
      <c r="F16" s="33" t="str">
        <f>'Peak Models'!$B$4</f>
        <v>Default</v>
      </c>
      <c r="G16" s="33" t="e">
        <f>'Peak Models'!$Q$7</f>
        <v>#VALUE!</v>
      </c>
      <c r="H16" s="33">
        <f>'Peak Models'!$P$16</f>
        <v>1.5</v>
      </c>
      <c r="I16" s="33">
        <v>12</v>
      </c>
      <c r="J16" s="33" t="e">
        <f>'Peak Models'!$P$13</f>
        <v>#N/A</v>
      </c>
      <c r="K16" s="28" t="e">
        <f t="shared" si="13"/>
        <v>#VALUE!</v>
      </c>
      <c r="L16" s="28" t="e">
        <f>INDEX('Peak Models'!$P$34:$P$64, MATCH(TRUNC(B16, 0), 'Peak Models'!$O$34:$O$64, 0))</f>
        <v>#N/A</v>
      </c>
      <c r="M16" s="28">
        <f>'Peak Models'!$P$15*INDEX('Peak Models'!$Q$34:$Q$64, MATCH(TRUNC(B16, 0),'Peak Models'!$O$34:$O$64, 0))/'Profit per cycles Model'!$E$78</f>
        <v>4.7058823529411766</v>
      </c>
      <c r="N16" s="28" t="e">
        <f t="shared" si="2"/>
        <v>#N/A</v>
      </c>
      <c r="O16" s="71" t="e">
        <f>AVERAGE($N$10:N16)</f>
        <v>#N/A</v>
      </c>
      <c r="P16" s="28" t="e">
        <f t="shared" si="3"/>
        <v>#N/A</v>
      </c>
      <c r="R16" s="28" t="e">
        <f t="shared" si="4"/>
        <v>#VALUE!</v>
      </c>
      <c r="S16" s="25"/>
      <c r="T16" s="25">
        <f t="shared" si="5"/>
        <v>15</v>
      </c>
      <c r="U16" s="33">
        <f>IF(PaybackCustom&gt;0, IF(PaybackCustom&lt;&gt;"Default", PaybackCustom, IF(PaybackStatus&lt;&gt;"",INDEX('Arbitrage Payback Engine'!$Y$2:$Y$6,MATCH(PaybackStatus,'Arbitrage Payback Engine'!$X$2:$X$6,FALSE)),-1)))</f>
        <v>25</v>
      </c>
      <c r="V16" s="32">
        <f t="shared" si="14"/>
        <v>15</v>
      </c>
      <c r="X16" s="29">
        <f t="shared" si="15"/>
        <v>7</v>
      </c>
      <c r="Z16" s="30">
        <f t="shared" si="6"/>
        <v>0.19175455417066153</v>
      </c>
      <c r="AA16" s="28" t="e">
        <f t="shared" si="7"/>
        <v>#N/A</v>
      </c>
      <c r="AB16" s="28" t="e">
        <f t="shared" si="8"/>
        <v>#VALUE!</v>
      </c>
      <c r="AC16" s="29">
        <f t="shared" si="9"/>
        <v>6.6413662239089177</v>
      </c>
      <c r="AD16" s="28" t="e">
        <f t="shared" si="10"/>
        <v>#VALUE!</v>
      </c>
      <c r="AE16" s="28" t="e">
        <f t="shared" si="11"/>
        <v>#N/A</v>
      </c>
      <c r="AF16" s="28" t="e">
        <f t="shared" si="12"/>
        <v>#VALUE!</v>
      </c>
      <c r="AH16" s="31" t="e">
        <f t="shared" si="16"/>
        <v>#N/A</v>
      </c>
      <c r="AI16" s="25"/>
      <c r="AJ16" s="31"/>
    </row>
    <row r="17" spans="2:36" x14ac:dyDescent="0.25">
      <c r="B17" s="33">
        <f>'Arbitrage Payback Engine'!E17</f>
        <v>0.21914806190932748</v>
      </c>
      <c r="C17" s="33">
        <f t="shared" si="0"/>
        <v>1000</v>
      </c>
      <c r="D17" s="33">
        <f>'Battery Pricing Model'!$C$17</f>
        <v>1000</v>
      </c>
      <c r="E17" s="33">
        <f t="shared" si="1"/>
        <v>999</v>
      </c>
      <c r="F17" s="33" t="str">
        <f>'Peak Models'!$B$4</f>
        <v>Default</v>
      </c>
      <c r="G17" s="33" t="e">
        <f>'Peak Models'!$Q$7</f>
        <v>#VALUE!</v>
      </c>
      <c r="H17" s="33">
        <f>'Peak Models'!$P$16</f>
        <v>1.5</v>
      </c>
      <c r="I17" s="33">
        <v>12</v>
      </c>
      <c r="J17" s="33" t="e">
        <f>'Peak Models'!$P$13</f>
        <v>#N/A</v>
      </c>
      <c r="K17" s="28" t="e">
        <f t="shared" si="13"/>
        <v>#VALUE!</v>
      </c>
      <c r="L17" s="28" t="e">
        <f>INDEX('Peak Models'!$P$34:$P$64, MATCH(TRUNC(B17, 0), 'Peak Models'!$O$34:$O$64, 0))</f>
        <v>#N/A</v>
      </c>
      <c r="M17" s="28">
        <f>'Peak Models'!$P$15*INDEX('Peak Models'!$Q$34:$Q$64, MATCH(TRUNC(B17, 0),'Peak Models'!$O$34:$O$64, 0))/'Profit per cycles Model'!$E$78</f>
        <v>4.7058823529411766</v>
      </c>
      <c r="N17" s="28" t="e">
        <f t="shared" si="2"/>
        <v>#N/A</v>
      </c>
      <c r="O17" s="71" t="e">
        <f>AVERAGE($N$10:N17)</f>
        <v>#N/A</v>
      </c>
      <c r="P17" s="28" t="e">
        <f t="shared" si="3"/>
        <v>#N/A</v>
      </c>
      <c r="R17" s="28" t="e">
        <f t="shared" si="4"/>
        <v>#VALUE!</v>
      </c>
      <c r="S17" s="25"/>
      <c r="T17" s="25">
        <f t="shared" si="5"/>
        <v>15</v>
      </c>
      <c r="U17" s="33">
        <f>IF(PaybackCustom&gt;0, IF(PaybackCustom&lt;&gt;"Default", PaybackCustom, IF(PaybackStatus&lt;&gt;"",INDEX('Arbitrage Payback Engine'!$Y$2:$Y$6,MATCH(PaybackStatus,'Arbitrage Payback Engine'!$X$2:$X$6,FALSE)),-1)))</f>
        <v>25</v>
      </c>
      <c r="V17" s="32">
        <f t="shared" si="14"/>
        <v>15</v>
      </c>
      <c r="X17" s="29">
        <f t="shared" si="15"/>
        <v>8</v>
      </c>
      <c r="Z17" s="30">
        <f t="shared" si="6"/>
        <v>0.21914806190932748</v>
      </c>
      <c r="AA17" s="28" t="e">
        <f t="shared" si="7"/>
        <v>#N/A</v>
      </c>
      <c r="AB17" s="28" t="e">
        <f t="shared" si="8"/>
        <v>#VALUE!</v>
      </c>
      <c r="AC17" s="29">
        <f t="shared" si="9"/>
        <v>7.5901328273244779</v>
      </c>
      <c r="AD17" s="28" t="e">
        <f t="shared" si="10"/>
        <v>#VALUE!</v>
      </c>
      <c r="AE17" s="28" t="e">
        <f t="shared" si="11"/>
        <v>#N/A</v>
      </c>
      <c r="AF17" s="28" t="e">
        <f t="shared" si="12"/>
        <v>#VALUE!</v>
      </c>
      <c r="AH17" s="31" t="e">
        <f t="shared" si="16"/>
        <v>#N/A</v>
      </c>
      <c r="AI17" s="25"/>
      <c r="AJ17" s="31"/>
    </row>
    <row r="18" spans="2:36" x14ac:dyDescent="0.25">
      <c r="B18" s="33">
        <f>'Arbitrage Payback Engine'!E18</f>
        <v>0.24654156964799342</v>
      </c>
      <c r="C18" s="33">
        <f t="shared" si="0"/>
        <v>1000</v>
      </c>
      <c r="D18" s="33">
        <f>'Battery Pricing Model'!$C$17</f>
        <v>1000</v>
      </c>
      <c r="E18" s="33">
        <f t="shared" si="1"/>
        <v>999</v>
      </c>
      <c r="F18" s="33" t="str">
        <f>'Peak Models'!$B$4</f>
        <v>Default</v>
      </c>
      <c r="G18" s="33" t="e">
        <f>'Peak Models'!$Q$7</f>
        <v>#VALUE!</v>
      </c>
      <c r="H18" s="33">
        <f>'Peak Models'!$P$16</f>
        <v>1.5</v>
      </c>
      <c r="I18" s="33">
        <v>12</v>
      </c>
      <c r="J18" s="33" t="e">
        <f>'Peak Models'!$P$13</f>
        <v>#N/A</v>
      </c>
      <c r="K18" s="28" t="e">
        <f t="shared" si="13"/>
        <v>#VALUE!</v>
      </c>
      <c r="L18" s="28" t="e">
        <f>INDEX('Peak Models'!$P$34:$P$64, MATCH(TRUNC(B18, 0), 'Peak Models'!$O$34:$O$64, 0))</f>
        <v>#N/A</v>
      </c>
      <c r="M18" s="28">
        <f>'Peak Models'!$P$15*INDEX('Peak Models'!$Q$34:$Q$64, MATCH(TRUNC(B18, 0),'Peak Models'!$O$34:$O$64, 0))/'Profit per cycles Model'!$E$78</f>
        <v>4.7058823529411766</v>
      </c>
      <c r="N18" s="28" t="e">
        <f t="shared" si="2"/>
        <v>#N/A</v>
      </c>
      <c r="O18" s="71" t="e">
        <f>AVERAGE($N$10:N18)</f>
        <v>#N/A</v>
      </c>
      <c r="P18" s="28" t="e">
        <f t="shared" si="3"/>
        <v>#N/A</v>
      </c>
      <c r="R18" s="28" t="e">
        <f t="shared" si="4"/>
        <v>#VALUE!</v>
      </c>
      <c r="S18" s="25"/>
      <c r="T18" s="25">
        <f t="shared" si="5"/>
        <v>15</v>
      </c>
      <c r="U18" s="33">
        <f>IF(PaybackCustom&gt;0, IF(PaybackCustom&lt;&gt;"Default", PaybackCustom, IF(PaybackStatus&lt;&gt;"",INDEX('Arbitrage Payback Engine'!$Y$2:$Y$6,MATCH(PaybackStatus,'Arbitrage Payback Engine'!$X$2:$X$6,FALSE)),-1)))</f>
        <v>25</v>
      </c>
      <c r="V18" s="32">
        <f t="shared" si="14"/>
        <v>15</v>
      </c>
      <c r="X18" s="29">
        <f t="shared" si="15"/>
        <v>9</v>
      </c>
      <c r="Z18" s="30">
        <f t="shared" si="6"/>
        <v>0.24654156964799342</v>
      </c>
      <c r="AA18" s="28" t="e">
        <f t="shared" si="7"/>
        <v>#N/A</v>
      </c>
      <c r="AB18" s="28" t="e">
        <f t="shared" si="8"/>
        <v>#VALUE!</v>
      </c>
      <c r="AC18" s="29">
        <f t="shared" si="9"/>
        <v>8.5388994307400381</v>
      </c>
      <c r="AD18" s="28" t="e">
        <f t="shared" si="10"/>
        <v>#VALUE!</v>
      </c>
      <c r="AE18" s="28" t="e">
        <f t="shared" si="11"/>
        <v>#N/A</v>
      </c>
      <c r="AF18" s="28" t="e">
        <f t="shared" si="12"/>
        <v>#VALUE!</v>
      </c>
      <c r="AH18" s="31" t="e">
        <f t="shared" si="16"/>
        <v>#N/A</v>
      </c>
      <c r="AI18" s="25"/>
      <c r="AJ18" s="31"/>
    </row>
    <row r="19" spans="2:36" x14ac:dyDescent="0.25">
      <c r="B19" s="33">
        <f>'Arbitrage Payback Engine'!E19</f>
        <v>0.27393507738665934</v>
      </c>
      <c r="C19" s="33">
        <f t="shared" si="0"/>
        <v>1000</v>
      </c>
      <c r="D19" s="33">
        <f>'Battery Pricing Model'!$C$17</f>
        <v>1000</v>
      </c>
      <c r="E19" s="33">
        <f t="shared" si="1"/>
        <v>999</v>
      </c>
      <c r="F19" s="33" t="str">
        <f>'Peak Models'!$B$4</f>
        <v>Default</v>
      </c>
      <c r="G19" s="33" t="e">
        <f>'Peak Models'!$Q$7</f>
        <v>#VALUE!</v>
      </c>
      <c r="H19" s="33">
        <f>'Peak Models'!$P$16</f>
        <v>1.5</v>
      </c>
      <c r="I19" s="33">
        <v>12</v>
      </c>
      <c r="J19" s="33" t="e">
        <f>'Peak Models'!$P$13</f>
        <v>#N/A</v>
      </c>
      <c r="K19" s="28" t="e">
        <f t="shared" si="13"/>
        <v>#VALUE!</v>
      </c>
      <c r="L19" s="28" t="e">
        <f>INDEX('Peak Models'!$P$34:$P$64, MATCH(TRUNC(B19, 0), 'Peak Models'!$O$34:$O$64, 0))</f>
        <v>#N/A</v>
      </c>
      <c r="M19" s="28">
        <f>'Peak Models'!$P$15*INDEX('Peak Models'!$Q$34:$Q$64, MATCH(TRUNC(B19, 0),'Peak Models'!$O$34:$O$64, 0))/'Profit per cycles Model'!$E$78</f>
        <v>4.7058823529411766</v>
      </c>
      <c r="N19" s="28" t="e">
        <f t="shared" si="2"/>
        <v>#N/A</v>
      </c>
      <c r="O19" s="71" t="e">
        <f>AVERAGE($N$10:N19)</f>
        <v>#N/A</v>
      </c>
      <c r="P19" s="28" t="e">
        <f t="shared" si="3"/>
        <v>#N/A</v>
      </c>
      <c r="R19" s="28" t="e">
        <f t="shared" si="4"/>
        <v>#VALUE!</v>
      </c>
      <c r="S19" s="25"/>
      <c r="T19" s="25">
        <f t="shared" si="5"/>
        <v>15</v>
      </c>
      <c r="U19" s="33">
        <f>IF(PaybackCustom&gt;0, IF(PaybackCustom&lt;&gt;"Default", PaybackCustom, IF(PaybackStatus&lt;&gt;"",INDEX('Arbitrage Payback Engine'!$Y$2:$Y$6,MATCH(PaybackStatus,'Arbitrage Payback Engine'!$X$2:$X$6,FALSE)),-1)))</f>
        <v>25</v>
      </c>
      <c r="V19" s="32">
        <f t="shared" si="14"/>
        <v>15</v>
      </c>
      <c r="X19" s="29">
        <f t="shared" si="15"/>
        <v>10</v>
      </c>
      <c r="Z19" s="30">
        <f t="shared" si="6"/>
        <v>0.27393507738665934</v>
      </c>
      <c r="AA19" s="28" t="e">
        <f t="shared" si="7"/>
        <v>#N/A</v>
      </c>
      <c r="AB19" s="28" t="e">
        <f t="shared" si="8"/>
        <v>#VALUE!</v>
      </c>
      <c r="AC19" s="29">
        <f t="shared" si="9"/>
        <v>9.4876660341555965</v>
      </c>
      <c r="AD19" s="28" t="e">
        <f t="shared" si="10"/>
        <v>#VALUE!</v>
      </c>
      <c r="AE19" s="28" t="e">
        <f t="shared" si="11"/>
        <v>#N/A</v>
      </c>
      <c r="AF19" s="28" t="e">
        <f t="shared" si="12"/>
        <v>#VALUE!</v>
      </c>
      <c r="AH19" s="31" t="e">
        <f t="shared" si="16"/>
        <v>#N/A</v>
      </c>
      <c r="AI19" s="25"/>
      <c r="AJ19" s="31"/>
    </row>
    <row r="20" spans="2:36" x14ac:dyDescent="0.25">
      <c r="B20" s="33">
        <f>'Arbitrage Payback Engine'!E20</f>
        <v>0.30132858512532529</v>
      </c>
      <c r="C20" s="33">
        <f t="shared" si="0"/>
        <v>1000</v>
      </c>
      <c r="D20" s="33">
        <f>'Battery Pricing Model'!$C$17</f>
        <v>1000</v>
      </c>
      <c r="E20" s="33">
        <f t="shared" si="1"/>
        <v>999</v>
      </c>
      <c r="F20" s="33" t="str">
        <f>'Peak Models'!$B$4</f>
        <v>Default</v>
      </c>
      <c r="G20" s="33" t="e">
        <f>'Peak Models'!$Q$7</f>
        <v>#VALUE!</v>
      </c>
      <c r="H20" s="33">
        <f>'Peak Models'!$P$16</f>
        <v>1.5</v>
      </c>
      <c r="I20" s="33">
        <v>12</v>
      </c>
      <c r="J20" s="33" t="e">
        <f>'Peak Models'!$P$13</f>
        <v>#N/A</v>
      </c>
      <c r="K20" s="28" t="e">
        <f t="shared" si="13"/>
        <v>#VALUE!</v>
      </c>
      <c r="L20" s="28" t="e">
        <f>INDEX('Peak Models'!$P$34:$P$64, MATCH(TRUNC(B20, 0), 'Peak Models'!$O$34:$O$64, 0))</f>
        <v>#N/A</v>
      </c>
      <c r="M20" s="28">
        <f>'Peak Models'!$P$15*INDEX('Peak Models'!$Q$34:$Q$64, MATCH(TRUNC(B20, 0),'Peak Models'!$O$34:$O$64, 0))/'Profit per cycles Model'!$E$78</f>
        <v>4.7058823529411766</v>
      </c>
      <c r="N20" s="28" t="e">
        <f t="shared" si="2"/>
        <v>#N/A</v>
      </c>
      <c r="O20" s="71" t="e">
        <f>AVERAGE($N$10:N20)</f>
        <v>#N/A</v>
      </c>
      <c r="P20" s="28" t="e">
        <f t="shared" si="3"/>
        <v>#N/A</v>
      </c>
      <c r="R20" s="28" t="e">
        <f t="shared" si="4"/>
        <v>#VALUE!</v>
      </c>
      <c r="S20" s="25"/>
      <c r="T20" s="25">
        <f t="shared" si="5"/>
        <v>15</v>
      </c>
      <c r="U20" s="33">
        <f>IF(PaybackCustom&gt;0, IF(PaybackCustom&lt;&gt;"Default", PaybackCustom, IF(PaybackStatus&lt;&gt;"",INDEX('Arbitrage Payback Engine'!$Y$2:$Y$6,MATCH(PaybackStatus,'Arbitrage Payback Engine'!$X$2:$X$6,FALSE)),-1)))</f>
        <v>25</v>
      </c>
      <c r="V20" s="32">
        <f t="shared" si="14"/>
        <v>15</v>
      </c>
      <c r="X20" s="29">
        <f t="shared" si="15"/>
        <v>11</v>
      </c>
      <c r="Z20" s="30">
        <f t="shared" si="6"/>
        <v>0.30132858512532529</v>
      </c>
      <c r="AA20" s="28" t="e">
        <f t="shared" si="7"/>
        <v>#N/A</v>
      </c>
      <c r="AB20" s="28" t="e">
        <f t="shared" si="8"/>
        <v>#VALUE!</v>
      </c>
      <c r="AC20" s="29">
        <f t="shared" si="9"/>
        <v>10.436432637571157</v>
      </c>
      <c r="AD20" s="28" t="e">
        <f t="shared" si="10"/>
        <v>#VALUE!</v>
      </c>
      <c r="AE20" s="28" t="e">
        <f t="shared" si="11"/>
        <v>#N/A</v>
      </c>
      <c r="AF20" s="28" t="e">
        <f t="shared" si="12"/>
        <v>#VALUE!</v>
      </c>
      <c r="AH20" s="31" t="e">
        <f t="shared" si="16"/>
        <v>#N/A</v>
      </c>
      <c r="AI20" s="25"/>
      <c r="AJ20" s="31"/>
    </row>
    <row r="21" spans="2:36" x14ac:dyDescent="0.25">
      <c r="B21" s="33">
        <f>'Arbitrage Payback Engine'!E21</f>
        <v>0.32872209286399123</v>
      </c>
      <c r="C21" s="33">
        <f t="shared" si="0"/>
        <v>1000</v>
      </c>
      <c r="D21" s="33">
        <f>'Battery Pricing Model'!$C$17</f>
        <v>1000</v>
      </c>
      <c r="E21" s="33">
        <f t="shared" si="1"/>
        <v>999</v>
      </c>
      <c r="F21" s="33" t="str">
        <f>'Peak Models'!$B$4</f>
        <v>Default</v>
      </c>
      <c r="G21" s="33" t="e">
        <f>'Peak Models'!$Q$7</f>
        <v>#VALUE!</v>
      </c>
      <c r="H21" s="33">
        <f>'Peak Models'!$P$16</f>
        <v>1.5</v>
      </c>
      <c r="I21" s="33">
        <v>12</v>
      </c>
      <c r="J21" s="33" t="e">
        <f>'Peak Models'!$P$13</f>
        <v>#N/A</v>
      </c>
      <c r="K21" s="28" t="e">
        <f t="shared" si="13"/>
        <v>#VALUE!</v>
      </c>
      <c r="L21" s="28" t="e">
        <f>INDEX('Peak Models'!$P$34:$P$64, MATCH(TRUNC(B21, 0), 'Peak Models'!$O$34:$O$64, 0))</f>
        <v>#N/A</v>
      </c>
      <c r="M21" s="28">
        <f>'Peak Models'!$P$15*INDEX('Peak Models'!$Q$34:$Q$64, MATCH(TRUNC(B21, 0),'Peak Models'!$O$34:$O$64, 0))/'Profit per cycles Model'!$E$78</f>
        <v>4.7058823529411766</v>
      </c>
      <c r="N21" s="28" t="e">
        <f t="shared" si="2"/>
        <v>#N/A</v>
      </c>
      <c r="O21" s="71" t="e">
        <f>AVERAGE($N$10:N21)</f>
        <v>#N/A</v>
      </c>
      <c r="P21" s="28" t="e">
        <f t="shared" si="3"/>
        <v>#N/A</v>
      </c>
      <c r="R21" s="28" t="e">
        <f t="shared" si="4"/>
        <v>#VALUE!</v>
      </c>
      <c r="S21" s="25"/>
      <c r="T21" s="25">
        <f t="shared" si="5"/>
        <v>15</v>
      </c>
      <c r="U21" s="33">
        <f>IF(PaybackCustom&gt;0, IF(PaybackCustom&lt;&gt;"Default", PaybackCustom, IF(PaybackStatus&lt;&gt;"",INDEX('Arbitrage Payback Engine'!$Y$2:$Y$6,MATCH(PaybackStatus,'Arbitrage Payback Engine'!$X$2:$X$6,FALSE)),-1)))</f>
        <v>25</v>
      </c>
      <c r="V21" s="32">
        <f t="shared" si="14"/>
        <v>15</v>
      </c>
      <c r="X21" s="29">
        <f t="shared" si="15"/>
        <v>12</v>
      </c>
      <c r="Z21" s="30">
        <f t="shared" si="6"/>
        <v>0.32872209286399123</v>
      </c>
      <c r="AA21" s="28" t="e">
        <f t="shared" si="7"/>
        <v>#N/A</v>
      </c>
      <c r="AB21" s="28" t="e">
        <f t="shared" si="8"/>
        <v>#VALUE!</v>
      </c>
      <c r="AC21" s="29">
        <f t="shared" si="9"/>
        <v>11.385199240986719</v>
      </c>
      <c r="AD21" s="28" t="e">
        <f t="shared" si="10"/>
        <v>#VALUE!</v>
      </c>
      <c r="AE21" s="28" t="e">
        <f t="shared" si="11"/>
        <v>#N/A</v>
      </c>
      <c r="AF21" s="28" t="e">
        <f t="shared" si="12"/>
        <v>#VALUE!</v>
      </c>
      <c r="AH21" s="31" t="e">
        <f t="shared" si="16"/>
        <v>#N/A</v>
      </c>
      <c r="AI21" s="25"/>
      <c r="AJ21" s="31"/>
    </row>
    <row r="22" spans="2:36" x14ac:dyDescent="0.25">
      <c r="B22" s="33">
        <f>'Arbitrage Payback Engine'!E22</f>
        <v>0.35611560060265718</v>
      </c>
      <c r="C22" s="33">
        <f t="shared" si="0"/>
        <v>1000</v>
      </c>
      <c r="D22" s="33">
        <f>'Battery Pricing Model'!$C$17</f>
        <v>1000</v>
      </c>
      <c r="E22" s="33">
        <f t="shared" si="1"/>
        <v>999</v>
      </c>
      <c r="F22" s="33" t="str">
        <f>'Peak Models'!$B$4</f>
        <v>Default</v>
      </c>
      <c r="G22" s="33" t="e">
        <f>'Peak Models'!$Q$7</f>
        <v>#VALUE!</v>
      </c>
      <c r="H22" s="33">
        <f>'Peak Models'!$P$16</f>
        <v>1.5</v>
      </c>
      <c r="I22" s="33">
        <v>12</v>
      </c>
      <c r="J22" s="33" t="e">
        <f>'Peak Models'!$P$13</f>
        <v>#N/A</v>
      </c>
      <c r="K22" s="28" t="e">
        <f t="shared" si="13"/>
        <v>#VALUE!</v>
      </c>
      <c r="L22" s="28" t="e">
        <f>INDEX('Peak Models'!$P$34:$P$64, MATCH(TRUNC(B22, 0), 'Peak Models'!$O$34:$O$64, 0))</f>
        <v>#N/A</v>
      </c>
      <c r="M22" s="28">
        <f>'Peak Models'!$P$15*INDEX('Peak Models'!$Q$34:$Q$64, MATCH(TRUNC(B22, 0),'Peak Models'!$O$34:$O$64, 0))/'Profit per cycles Model'!$E$78</f>
        <v>4.7058823529411766</v>
      </c>
      <c r="N22" s="28" t="e">
        <f t="shared" si="2"/>
        <v>#N/A</v>
      </c>
      <c r="O22" s="71" t="e">
        <f>AVERAGE($N$10:N22)</f>
        <v>#N/A</v>
      </c>
      <c r="P22" s="28" t="e">
        <f t="shared" si="3"/>
        <v>#N/A</v>
      </c>
      <c r="R22" s="28" t="e">
        <f t="shared" si="4"/>
        <v>#VALUE!</v>
      </c>
      <c r="S22" s="25"/>
      <c r="T22" s="25">
        <f t="shared" si="5"/>
        <v>15</v>
      </c>
      <c r="U22" s="33">
        <f>IF(PaybackCustom&gt;0, IF(PaybackCustom&lt;&gt;"Default", PaybackCustom, IF(PaybackStatus&lt;&gt;"",INDEX('Arbitrage Payback Engine'!$Y$2:$Y$6,MATCH(PaybackStatus,'Arbitrage Payback Engine'!$X$2:$X$6,FALSE)),-1)))</f>
        <v>25</v>
      </c>
      <c r="V22" s="32">
        <f t="shared" si="14"/>
        <v>15</v>
      </c>
      <c r="X22" s="29">
        <f t="shared" si="15"/>
        <v>13</v>
      </c>
      <c r="Z22" s="30">
        <f t="shared" si="6"/>
        <v>0.35611560060265718</v>
      </c>
      <c r="AA22" s="28" t="e">
        <f t="shared" si="7"/>
        <v>#N/A</v>
      </c>
      <c r="AB22" s="28" t="e">
        <f t="shared" si="8"/>
        <v>#VALUE!</v>
      </c>
      <c r="AC22" s="29">
        <f t="shared" si="9"/>
        <v>12.333965844402279</v>
      </c>
      <c r="AD22" s="28" t="e">
        <f t="shared" si="10"/>
        <v>#VALUE!</v>
      </c>
      <c r="AE22" s="28" t="e">
        <f t="shared" si="11"/>
        <v>#N/A</v>
      </c>
      <c r="AF22" s="28" t="e">
        <f t="shared" si="12"/>
        <v>#VALUE!</v>
      </c>
      <c r="AH22" s="31" t="e">
        <f t="shared" si="16"/>
        <v>#N/A</v>
      </c>
      <c r="AI22" s="25"/>
      <c r="AJ22" s="31"/>
    </row>
    <row r="23" spans="2:36" x14ac:dyDescent="0.25">
      <c r="B23" s="33">
        <f>'Arbitrage Payback Engine'!E23</f>
        <v>0.38350910834132307</v>
      </c>
      <c r="C23" s="33">
        <f t="shared" si="0"/>
        <v>1000</v>
      </c>
      <c r="D23" s="33">
        <f>'Battery Pricing Model'!$C$17</f>
        <v>1000</v>
      </c>
      <c r="E23" s="33">
        <f t="shared" si="1"/>
        <v>999</v>
      </c>
      <c r="F23" s="33" t="str">
        <f>'Peak Models'!$B$4</f>
        <v>Default</v>
      </c>
      <c r="G23" s="33" t="e">
        <f>'Peak Models'!$Q$7</f>
        <v>#VALUE!</v>
      </c>
      <c r="H23" s="33">
        <f>'Peak Models'!$P$16</f>
        <v>1.5</v>
      </c>
      <c r="I23" s="33">
        <v>12</v>
      </c>
      <c r="J23" s="33" t="e">
        <f>'Peak Models'!$P$13</f>
        <v>#N/A</v>
      </c>
      <c r="K23" s="28" t="e">
        <f t="shared" si="13"/>
        <v>#VALUE!</v>
      </c>
      <c r="L23" s="28" t="e">
        <f>INDEX('Peak Models'!$P$34:$P$64, MATCH(TRUNC(B23, 0), 'Peak Models'!$O$34:$O$64, 0))</f>
        <v>#N/A</v>
      </c>
      <c r="M23" s="28">
        <f>'Peak Models'!$P$15*INDEX('Peak Models'!$Q$34:$Q$64, MATCH(TRUNC(B23, 0),'Peak Models'!$O$34:$O$64, 0))/'Profit per cycles Model'!$E$78</f>
        <v>4.7058823529411766</v>
      </c>
      <c r="N23" s="28" t="e">
        <f t="shared" si="2"/>
        <v>#N/A</v>
      </c>
      <c r="O23" s="71" t="e">
        <f>AVERAGE($N$10:N23)</f>
        <v>#N/A</v>
      </c>
      <c r="P23" s="28" t="e">
        <f t="shared" si="3"/>
        <v>#N/A</v>
      </c>
      <c r="R23" s="28" t="e">
        <f t="shared" si="4"/>
        <v>#VALUE!</v>
      </c>
      <c r="S23" s="25"/>
      <c r="T23" s="25">
        <f t="shared" si="5"/>
        <v>15</v>
      </c>
      <c r="U23" s="33">
        <f>IF(PaybackCustom&gt;0, IF(PaybackCustom&lt;&gt;"Default", PaybackCustom, IF(PaybackStatus&lt;&gt;"",INDEX('Arbitrage Payback Engine'!$Y$2:$Y$6,MATCH(PaybackStatus,'Arbitrage Payback Engine'!$X$2:$X$6,FALSE)),-1)))</f>
        <v>25</v>
      </c>
      <c r="V23" s="32">
        <f t="shared" si="14"/>
        <v>15</v>
      </c>
      <c r="X23" s="29">
        <f t="shared" si="15"/>
        <v>14</v>
      </c>
      <c r="Z23" s="30">
        <f t="shared" si="6"/>
        <v>0.38350910834132307</v>
      </c>
      <c r="AA23" s="28" t="e">
        <f t="shared" si="7"/>
        <v>#N/A</v>
      </c>
      <c r="AB23" s="28" t="e">
        <f t="shared" si="8"/>
        <v>#VALUE!</v>
      </c>
      <c r="AC23" s="29">
        <f t="shared" si="9"/>
        <v>13.282732447817835</v>
      </c>
      <c r="AD23" s="28" t="e">
        <f t="shared" si="10"/>
        <v>#VALUE!</v>
      </c>
      <c r="AE23" s="28" t="e">
        <f t="shared" si="11"/>
        <v>#N/A</v>
      </c>
      <c r="AF23" s="28" t="e">
        <f t="shared" si="12"/>
        <v>#VALUE!</v>
      </c>
      <c r="AH23" s="31" t="e">
        <f t="shared" si="16"/>
        <v>#N/A</v>
      </c>
      <c r="AI23" s="25"/>
      <c r="AJ23" s="31"/>
    </row>
    <row r="24" spans="2:36" x14ac:dyDescent="0.25">
      <c r="B24" s="33">
        <f>'Arbitrage Payback Engine'!E24</f>
        <v>0.41090261607998901</v>
      </c>
      <c r="C24" s="33">
        <f t="shared" si="0"/>
        <v>1000</v>
      </c>
      <c r="D24" s="33">
        <f>'Battery Pricing Model'!$C$17</f>
        <v>1000</v>
      </c>
      <c r="E24" s="33">
        <f t="shared" si="1"/>
        <v>999</v>
      </c>
      <c r="F24" s="33" t="str">
        <f>'Peak Models'!$B$4</f>
        <v>Default</v>
      </c>
      <c r="G24" s="33" t="e">
        <f>'Peak Models'!$Q$7</f>
        <v>#VALUE!</v>
      </c>
      <c r="H24" s="33">
        <f>'Peak Models'!$P$16</f>
        <v>1.5</v>
      </c>
      <c r="I24" s="33">
        <v>12</v>
      </c>
      <c r="J24" s="33" t="e">
        <f>'Peak Models'!$P$13</f>
        <v>#N/A</v>
      </c>
      <c r="K24" s="28" t="e">
        <f t="shared" si="13"/>
        <v>#VALUE!</v>
      </c>
      <c r="L24" s="28" t="e">
        <f>INDEX('Peak Models'!$P$34:$P$64, MATCH(TRUNC(B24, 0), 'Peak Models'!$O$34:$O$64, 0))</f>
        <v>#N/A</v>
      </c>
      <c r="M24" s="28">
        <f>'Peak Models'!$P$15*INDEX('Peak Models'!$Q$34:$Q$64, MATCH(TRUNC(B24, 0),'Peak Models'!$O$34:$O$64, 0))/'Profit per cycles Model'!$E$78</f>
        <v>4.7058823529411766</v>
      </c>
      <c r="N24" s="28" t="e">
        <f t="shared" si="2"/>
        <v>#N/A</v>
      </c>
      <c r="O24" s="71" t="e">
        <f>AVERAGE($N$10:N24)</f>
        <v>#N/A</v>
      </c>
      <c r="P24" s="28" t="e">
        <f t="shared" si="3"/>
        <v>#N/A</v>
      </c>
      <c r="R24" s="28" t="e">
        <f t="shared" si="4"/>
        <v>#VALUE!</v>
      </c>
      <c r="S24" s="25"/>
      <c r="T24" s="25">
        <f t="shared" si="5"/>
        <v>15</v>
      </c>
      <c r="U24" s="33">
        <f>IF(PaybackCustom&gt;0, IF(PaybackCustom&lt;&gt;"Default", PaybackCustom, IF(PaybackStatus&lt;&gt;"",INDEX('Arbitrage Payback Engine'!$Y$2:$Y$6,MATCH(PaybackStatus,'Arbitrage Payback Engine'!$X$2:$X$6,FALSE)),-1)))</f>
        <v>25</v>
      </c>
      <c r="V24" s="32">
        <f t="shared" si="14"/>
        <v>15</v>
      </c>
      <c r="X24" s="29">
        <f t="shared" si="15"/>
        <v>15</v>
      </c>
      <c r="Z24" s="30">
        <f t="shared" si="6"/>
        <v>0.41090261607998901</v>
      </c>
      <c r="AA24" s="28" t="e">
        <f t="shared" si="7"/>
        <v>#N/A</v>
      </c>
      <c r="AB24" s="28" t="e">
        <f t="shared" si="8"/>
        <v>#VALUE!</v>
      </c>
      <c r="AC24" s="29">
        <f t="shared" si="9"/>
        <v>14.231499051233396</v>
      </c>
      <c r="AD24" s="28" t="e">
        <f t="shared" si="10"/>
        <v>#VALUE!</v>
      </c>
      <c r="AE24" s="28" t="e">
        <f t="shared" si="11"/>
        <v>#N/A</v>
      </c>
      <c r="AF24" s="28" t="e">
        <f t="shared" si="12"/>
        <v>#VALUE!</v>
      </c>
      <c r="AH24" s="31" t="e">
        <f t="shared" si="16"/>
        <v>#N/A</v>
      </c>
      <c r="AI24" s="25"/>
      <c r="AJ24" s="31"/>
    </row>
    <row r="25" spans="2:36" x14ac:dyDescent="0.25">
      <c r="B25" s="33">
        <f>'Arbitrage Payback Engine'!E25</f>
        <v>0.43829612381865496</v>
      </c>
      <c r="C25" s="33">
        <f t="shared" si="0"/>
        <v>1000</v>
      </c>
      <c r="D25" s="33">
        <f>'Battery Pricing Model'!$C$17</f>
        <v>1000</v>
      </c>
      <c r="E25" s="33">
        <f t="shared" si="1"/>
        <v>999</v>
      </c>
      <c r="F25" s="33" t="str">
        <f>'Peak Models'!$B$4</f>
        <v>Default</v>
      </c>
      <c r="G25" s="33" t="e">
        <f>'Peak Models'!$Q$7</f>
        <v>#VALUE!</v>
      </c>
      <c r="H25" s="33">
        <f>'Peak Models'!$P$16</f>
        <v>1.5</v>
      </c>
      <c r="I25" s="33">
        <v>12</v>
      </c>
      <c r="J25" s="33" t="e">
        <f>'Peak Models'!$P$13</f>
        <v>#N/A</v>
      </c>
      <c r="K25" s="28" t="e">
        <f t="shared" si="13"/>
        <v>#VALUE!</v>
      </c>
      <c r="L25" s="28" t="e">
        <f>INDEX('Peak Models'!$P$34:$P$64, MATCH(TRUNC(B25, 0), 'Peak Models'!$O$34:$O$64, 0))</f>
        <v>#N/A</v>
      </c>
      <c r="M25" s="28">
        <f>'Peak Models'!$P$15*INDEX('Peak Models'!$Q$34:$Q$64, MATCH(TRUNC(B25, 0),'Peak Models'!$O$34:$O$64, 0))/'Profit per cycles Model'!$E$78</f>
        <v>4.7058823529411766</v>
      </c>
      <c r="N25" s="28" t="e">
        <f t="shared" si="2"/>
        <v>#N/A</v>
      </c>
      <c r="O25" s="71" t="e">
        <f>AVERAGE($N$10:N25)</f>
        <v>#N/A</v>
      </c>
      <c r="P25" s="28" t="e">
        <f t="shared" si="3"/>
        <v>#N/A</v>
      </c>
      <c r="R25" s="28" t="e">
        <f t="shared" si="4"/>
        <v>#VALUE!</v>
      </c>
      <c r="S25" s="25"/>
      <c r="T25" s="25">
        <f t="shared" si="5"/>
        <v>15</v>
      </c>
      <c r="U25" s="33">
        <f>IF(PaybackCustom&gt;0, IF(PaybackCustom&lt;&gt;"Default", PaybackCustom, IF(PaybackStatus&lt;&gt;"",INDEX('Arbitrage Payback Engine'!$Y$2:$Y$6,MATCH(PaybackStatus,'Arbitrage Payback Engine'!$X$2:$X$6,FALSE)),-1)))</f>
        <v>25</v>
      </c>
      <c r="V25" s="32">
        <f t="shared" si="14"/>
        <v>15</v>
      </c>
      <c r="X25" s="29">
        <f t="shared" si="15"/>
        <v>16</v>
      </c>
      <c r="Z25" s="30">
        <f t="shared" si="6"/>
        <v>0.43829612381865496</v>
      </c>
      <c r="AA25" s="28" t="e">
        <f t="shared" si="7"/>
        <v>#N/A</v>
      </c>
      <c r="AB25" s="28" t="e">
        <f t="shared" si="8"/>
        <v>#VALUE!</v>
      </c>
      <c r="AC25" s="29">
        <f t="shared" si="9"/>
        <v>15.180265654648956</v>
      </c>
      <c r="AD25" s="28" t="e">
        <f t="shared" si="10"/>
        <v>#VALUE!</v>
      </c>
      <c r="AE25" s="28" t="e">
        <f t="shared" si="11"/>
        <v>#N/A</v>
      </c>
      <c r="AF25" s="28" t="e">
        <f t="shared" si="12"/>
        <v>#VALUE!</v>
      </c>
      <c r="AH25" s="31" t="e">
        <f t="shared" si="16"/>
        <v>#N/A</v>
      </c>
      <c r="AI25" s="25"/>
      <c r="AJ25" s="31"/>
    </row>
    <row r="26" spans="2:36" x14ac:dyDescent="0.25">
      <c r="B26" s="33">
        <f>'Arbitrage Payback Engine'!E26</f>
        <v>0.4656896315573209</v>
      </c>
      <c r="C26" s="33">
        <f t="shared" si="0"/>
        <v>1000</v>
      </c>
      <c r="D26" s="33">
        <f>'Battery Pricing Model'!$C$17</f>
        <v>1000</v>
      </c>
      <c r="E26" s="33">
        <f t="shared" si="1"/>
        <v>999</v>
      </c>
      <c r="F26" s="33" t="str">
        <f>'Peak Models'!$B$4</f>
        <v>Default</v>
      </c>
      <c r="G26" s="33" t="e">
        <f>'Peak Models'!$Q$7</f>
        <v>#VALUE!</v>
      </c>
      <c r="H26" s="33">
        <f>'Peak Models'!$P$16</f>
        <v>1.5</v>
      </c>
      <c r="I26" s="33">
        <v>12</v>
      </c>
      <c r="J26" s="33" t="e">
        <f>'Peak Models'!$P$13</f>
        <v>#N/A</v>
      </c>
      <c r="K26" s="28" t="e">
        <f t="shared" si="13"/>
        <v>#VALUE!</v>
      </c>
      <c r="L26" s="28" t="e">
        <f>INDEX('Peak Models'!$P$34:$P$64, MATCH(TRUNC(B26, 0), 'Peak Models'!$O$34:$O$64, 0))</f>
        <v>#N/A</v>
      </c>
      <c r="M26" s="28">
        <f>'Peak Models'!$P$15*INDEX('Peak Models'!$Q$34:$Q$64, MATCH(TRUNC(B26, 0),'Peak Models'!$O$34:$O$64, 0))/'Profit per cycles Model'!$E$78</f>
        <v>4.7058823529411766</v>
      </c>
      <c r="N26" s="28" t="e">
        <f t="shared" si="2"/>
        <v>#N/A</v>
      </c>
      <c r="O26" s="71" t="e">
        <f>AVERAGE($N$10:N26)</f>
        <v>#N/A</v>
      </c>
      <c r="P26" s="28" t="e">
        <f t="shared" si="3"/>
        <v>#N/A</v>
      </c>
      <c r="R26" s="28" t="e">
        <f t="shared" si="4"/>
        <v>#VALUE!</v>
      </c>
      <c r="S26" s="25"/>
      <c r="T26" s="25">
        <f t="shared" si="5"/>
        <v>15</v>
      </c>
      <c r="U26" s="33">
        <f>IF(PaybackCustom&gt;0, IF(PaybackCustom&lt;&gt;"Default", PaybackCustom, IF(PaybackStatus&lt;&gt;"",INDEX('Arbitrage Payback Engine'!$Y$2:$Y$6,MATCH(PaybackStatus,'Arbitrage Payback Engine'!$X$2:$X$6,FALSE)),-1)))</f>
        <v>25</v>
      </c>
      <c r="V26" s="32">
        <f t="shared" si="14"/>
        <v>15</v>
      </c>
      <c r="X26" s="29">
        <f t="shared" si="15"/>
        <v>17</v>
      </c>
      <c r="Z26" s="30">
        <f t="shared" si="6"/>
        <v>0.4656896315573209</v>
      </c>
      <c r="AA26" s="28" t="e">
        <f t="shared" si="7"/>
        <v>#N/A</v>
      </c>
      <c r="AB26" s="28" t="e">
        <f t="shared" si="8"/>
        <v>#VALUE!</v>
      </c>
      <c r="AC26" s="29">
        <f t="shared" si="9"/>
        <v>16.129032258064516</v>
      </c>
      <c r="AD26" s="28" t="e">
        <f t="shared" si="10"/>
        <v>#VALUE!</v>
      </c>
      <c r="AE26" s="28" t="e">
        <f t="shared" si="11"/>
        <v>#N/A</v>
      </c>
      <c r="AF26" s="28" t="e">
        <f t="shared" si="12"/>
        <v>#VALUE!</v>
      </c>
      <c r="AH26" s="31" t="e">
        <f t="shared" si="16"/>
        <v>#N/A</v>
      </c>
      <c r="AI26" s="25"/>
      <c r="AJ26" s="31"/>
    </row>
    <row r="27" spans="2:36" x14ac:dyDescent="0.25">
      <c r="B27" s="33">
        <f>'Arbitrage Payback Engine'!E27</f>
        <v>0.49308313929598685</v>
      </c>
      <c r="C27" s="33">
        <f t="shared" si="0"/>
        <v>1000</v>
      </c>
      <c r="D27" s="33">
        <f>'Battery Pricing Model'!$C$17</f>
        <v>1000</v>
      </c>
      <c r="E27" s="33">
        <f t="shared" si="1"/>
        <v>999</v>
      </c>
      <c r="F27" s="33" t="str">
        <f>'Peak Models'!$B$4</f>
        <v>Default</v>
      </c>
      <c r="G27" s="33" t="e">
        <f>'Peak Models'!$Q$7</f>
        <v>#VALUE!</v>
      </c>
      <c r="H27" s="33">
        <f>'Peak Models'!$P$16</f>
        <v>1.5</v>
      </c>
      <c r="I27" s="33">
        <v>12</v>
      </c>
      <c r="J27" s="33" t="e">
        <f>'Peak Models'!$P$13</f>
        <v>#N/A</v>
      </c>
      <c r="K27" s="28" t="e">
        <f t="shared" si="13"/>
        <v>#VALUE!</v>
      </c>
      <c r="L27" s="28" t="e">
        <f>INDEX('Peak Models'!$P$34:$P$64, MATCH(TRUNC(B27, 0), 'Peak Models'!$O$34:$O$64, 0))</f>
        <v>#N/A</v>
      </c>
      <c r="M27" s="28">
        <f>'Peak Models'!$P$15*INDEX('Peak Models'!$Q$34:$Q$64, MATCH(TRUNC(B27, 0),'Peak Models'!$O$34:$O$64, 0))/'Profit per cycles Model'!$E$78</f>
        <v>4.7058823529411766</v>
      </c>
      <c r="N27" s="28" t="e">
        <f t="shared" si="2"/>
        <v>#N/A</v>
      </c>
      <c r="O27" s="71" t="e">
        <f>AVERAGE($N$10:N27)</f>
        <v>#N/A</v>
      </c>
      <c r="P27" s="28" t="e">
        <f t="shared" si="3"/>
        <v>#N/A</v>
      </c>
      <c r="R27" s="28" t="e">
        <f t="shared" si="4"/>
        <v>#VALUE!</v>
      </c>
      <c r="S27" s="25"/>
      <c r="T27" s="25">
        <f t="shared" si="5"/>
        <v>15</v>
      </c>
      <c r="U27" s="33">
        <f>IF(PaybackCustom&gt;0, IF(PaybackCustom&lt;&gt;"Default", PaybackCustom, IF(PaybackStatus&lt;&gt;"",INDEX('Arbitrage Payback Engine'!$Y$2:$Y$6,MATCH(PaybackStatus,'Arbitrage Payback Engine'!$X$2:$X$6,FALSE)),-1)))</f>
        <v>25</v>
      </c>
      <c r="V27" s="32">
        <f t="shared" si="14"/>
        <v>15</v>
      </c>
      <c r="X27" s="29">
        <f t="shared" si="15"/>
        <v>18</v>
      </c>
      <c r="Z27" s="30">
        <f t="shared" si="6"/>
        <v>0.49308313929598685</v>
      </c>
      <c r="AA27" s="28" t="e">
        <f t="shared" si="7"/>
        <v>#N/A</v>
      </c>
      <c r="AB27" s="28" t="e">
        <f t="shared" si="8"/>
        <v>#VALUE!</v>
      </c>
      <c r="AC27" s="29">
        <f t="shared" si="9"/>
        <v>17.077798861480076</v>
      </c>
      <c r="AD27" s="28" t="e">
        <f t="shared" si="10"/>
        <v>#VALUE!</v>
      </c>
      <c r="AE27" s="28" t="e">
        <f t="shared" si="11"/>
        <v>#N/A</v>
      </c>
      <c r="AF27" s="28" t="e">
        <f t="shared" si="12"/>
        <v>#VALUE!</v>
      </c>
      <c r="AH27" s="31" t="e">
        <f t="shared" si="16"/>
        <v>#N/A</v>
      </c>
      <c r="AI27" s="25"/>
      <c r="AJ27" s="31"/>
    </row>
    <row r="28" spans="2:36" x14ac:dyDescent="0.25">
      <c r="B28" s="33">
        <f>'Arbitrage Payback Engine'!E28</f>
        <v>0.5204766470346528</v>
      </c>
      <c r="C28" s="33">
        <f t="shared" si="0"/>
        <v>1000</v>
      </c>
      <c r="D28" s="33">
        <f>'Battery Pricing Model'!$C$17</f>
        <v>1000</v>
      </c>
      <c r="E28" s="33">
        <f t="shared" si="1"/>
        <v>999</v>
      </c>
      <c r="F28" s="33" t="str">
        <f>'Peak Models'!$B$4</f>
        <v>Default</v>
      </c>
      <c r="G28" s="33" t="e">
        <f>'Peak Models'!$Q$7</f>
        <v>#VALUE!</v>
      </c>
      <c r="H28" s="33">
        <f>'Peak Models'!$P$16</f>
        <v>1.5</v>
      </c>
      <c r="I28" s="33">
        <v>12</v>
      </c>
      <c r="J28" s="33" t="e">
        <f>'Peak Models'!$P$13</f>
        <v>#N/A</v>
      </c>
      <c r="K28" s="28" t="e">
        <f t="shared" si="13"/>
        <v>#VALUE!</v>
      </c>
      <c r="L28" s="28" t="e">
        <f>INDEX('Peak Models'!$P$34:$P$64, MATCH(TRUNC(B28, 0), 'Peak Models'!$O$34:$O$64, 0))</f>
        <v>#N/A</v>
      </c>
      <c r="M28" s="28">
        <f>'Peak Models'!$P$15*INDEX('Peak Models'!$Q$34:$Q$64, MATCH(TRUNC(B28, 0),'Peak Models'!$O$34:$O$64, 0))/'Profit per cycles Model'!$E$78</f>
        <v>4.7058823529411766</v>
      </c>
      <c r="N28" s="28" t="e">
        <f t="shared" si="2"/>
        <v>#N/A</v>
      </c>
      <c r="O28" s="71" t="e">
        <f>AVERAGE($N$10:N28)</f>
        <v>#N/A</v>
      </c>
      <c r="P28" s="28" t="e">
        <f t="shared" si="3"/>
        <v>#N/A</v>
      </c>
      <c r="R28" s="28" t="e">
        <f t="shared" si="4"/>
        <v>#VALUE!</v>
      </c>
      <c r="S28" s="25"/>
      <c r="T28" s="25">
        <f t="shared" si="5"/>
        <v>15</v>
      </c>
      <c r="U28" s="33">
        <f>IF(PaybackCustom&gt;0, IF(PaybackCustom&lt;&gt;"Default", PaybackCustom, IF(PaybackStatus&lt;&gt;"",INDEX('Arbitrage Payback Engine'!$Y$2:$Y$6,MATCH(PaybackStatus,'Arbitrage Payback Engine'!$X$2:$X$6,FALSE)),-1)))</f>
        <v>25</v>
      </c>
      <c r="V28" s="32">
        <f t="shared" si="14"/>
        <v>15</v>
      </c>
      <c r="X28" s="29">
        <f t="shared" si="15"/>
        <v>19</v>
      </c>
      <c r="Z28" s="30">
        <f t="shared" si="6"/>
        <v>0.5204766470346528</v>
      </c>
      <c r="AA28" s="28" t="e">
        <f t="shared" si="7"/>
        <v>#N/A</v>
      </c>
      <c r="AB28" s="28" t="e">
        <f t="shared" si="8"/>
        <v>#VALUE!</v>
      </c>
      <c r="AC28" s="29">
        <f t="shared" si="9"/>
        <v>18.02656546489564</v>
      </c>
      <c r="AD28" s="28" t="e">
        <f t="shared" si="10"/>
        <v>#VALUE!</v>
      </c>
      <c r="AE28" s="28" t="e">
        <f t="shared" si="11"/>
        <v>#N/A</v>
      </c>
      <c r="AF28" s="28" t="e">
        <f t="shared" si="12"/>
        <v>#VALUE!</v>
      </c>
      <c r="AH28" s="31" t="e">
        <f t="shared" si="16"/>
        <v>#N/A</v>
      </c>
      <c r="AI28" s="25"/>
      <c r="AJ28" s="31"/>
    </row>
    <row r="29" spans="2:36" x14ac:dyDescent="0.25">
      <c r="B29" s="33">
        <f>'Arbitrage Payback Engine'!E29</f>
        <v>0.54787015477331868</v>
      </c>
      <c r="C29" s="33">
        <f t="shared" si="0"/>
        <v>1000</v>
      </c>
      <c r="D29" s="33">
        <f>'Battery Pricing Model'!$C$17</f>
        <v>1000</v>
      </c>
      <c r="E29" s="33">
        <f t="shared" si="1"/>
        <v>999</v>
      </c>
      <c r="F29" s="33" t="str">
        <f>'Peak Models'!$B$4</f>
        <v>Default</v>
      </c>
      <c r="G29" s="33" t="e">
        <f>'Peak Models'!$Q$7</f>
        <v>#VALUE!</v>
      </c>
      <c r="H29" s="33">
        <f>'Peak Models'!$P$16</f>
        <v>1.5</v>
      </c>
      <c r="I29" s="33">
        <v>12</v>
      </c>
      <c r="J29" s="33" t="e">
        <f>'Peak Models'!$P$13</f>
        <v>#N/A</v>
      </c>
      <c r="K29" s="28" t="e">
        <f t="shared" si="13"/>
        <v>#VALUE!</v>
      </c>
      <c r="L29" s="28" t="e">
        <f>INDEX('Peak Models'!$P$34:$P$64, MATCH(TRUNC(B29, 0), 'Peak Models'!$O$34:$O$64, 0))</f>
        <v>#N/A</v>
      </c>
      <c r="M29" s="28">
        <f>'Peak Models'!$P$15*INDEX('Peak Models'!$Q$34:$Q$64, MATCH(TRUNC(B29, 0),'Peak Models'!$O$34:$O$64, 0))/'Profit per cycles Model'!$E$78</f>
        <v>4.7058823529411766</v>
      </c>
      <c r="N29" s="28" t="e">
        <f t="shared" si="2"/>
        <v>#N/A</v>
      </c>
      <c r="O29" s="71" t="e">
        <f>AVERAGE($N$10:N29)</f>
        <v>#N/A</v>
      </c>
      <c r="P29" s="28" t="e">
        <f t="shared" si="3"/>
        <v>#N/A</v>
      </c>
      <c r="R29" s="28" t="e">
        <f t="shared" si="4"/>
        <v>#VALUE!</v>
      </c>
      <c r="S29" s="25"/>
      <c r="T29" s="25">
        <f t="shared" si="5"/>
        <v>15</v>
      </c>
      <c r="U29" s="33">
        <f>IF(PaybackCustom&gt;0, IF(PaybackCustom&lt;&gt;"Default", PaybackCustom, IF(PaybackStatus&lt;&gt;"",INDEX('Arbitrage Payback Engine'!$Y$2:$Y$6,MATCH(PaybackStatus,'Arbitrage Payback Engine'!$X$2:$X$6,FALSE)),-1)))</f>
        <v>25</v>
      </c>
      <c r="V29" s="32">
        <f t="shared" si="14"/>
        <v>15</v>
      </c>
      <c r="X29" s="29">
        <f t="shared" si="15"/>
        <v>20</v>
      </c>
      <c r="Z29" s="30">
        <f t="shared" si="6"/>
        <v>0.54787015477331868</v>
      </c>
      <c r="AA29" s="28" t="e">
        <f t="shared" si="7"/>
        <v>#N/A</v>
      </c>
      <c r="AB29" s="28" t="e">
        <f t="shared" si="8"/>
        <v>#VALUE!</v>
      </c>
      <c r="AC29" s="29">
        <f t="shared" si="9"/>
        <v>18.975332068311193</v>
      </c>
      <c r="AD29" s="28" t="e">
        <f t="shared" si="10"/>
        <v>#VALUE!</v>
      </c>
      <c r="AE29" s="28" t="e">
        <f t="shared" si="11"/>
        <v>#N/A</v>
      </c>
      <c r="AF29" s="28" t="e">
        <f t="shared" si="12"/>
        <v>#VALUE!</v>
      </c>
      <c r="AH29" s="31" t="e">
        <f t="shared" si="16"/>
        <v>#N/A</v>
      </c>
      <c r="AI29" s="25"/>
      <c r="AJ29" s="31"/>
    </row>
    <row r="30" spans="2:36" x14ac:dyDescent="0.25">
      <c r="B30" s="33">
        <f>'Arbitrage Payback Engine'!E30</f>
        <v>0.57526366251198469</v>
      </c>
      <c r="C30" s="33">
        <f t="shared" si="0"/>
        <v>1000</v>
      </c>
      <c r="D30" s="33">
        <f>'Battery Pricing Model'!$C$17</f>
        <v>1000</v>
      </c>
      <c r="E30" s="33">
        <f t="shared" si="1"/>
        <v>999</v>
      </c>
      <c r="F30" s="33" t="str">
        <f>'Peak Models'!$B$4</f>
        <v>Default</v>
      </c>
      <c r="G30" s="33" t="e">
        <f>'Peak Models'!$Q$7</f>
        <v>#VALUE!</v>
      </c>
      <c r="H30" s="33">
        <f>'Peak Models'!$P$16</f>
        <v>1.5</v>
      </c>
      <c r="I30" s="33">
        <v>12</v>
      </c>
      <c r="J30" s="33" t="e">
        <f>'Peak Models'!$P$13</f>
        <v>#N/A</v>
      </c>
      <c r="K30" s="28" t="e">
        <f t="shared" si="13"/>
        <v>#VALUE!</v>
      </c>
      <c r="L30" s="28" t="e">
        <f>INDEX('Peak Models'!$P$34:$P$64, MATCH(TRUNC(B30, 0), 'Peak Models'!$O$34:$O$64, 0))</f>
        <v>#N/A</v>
      </c>
      <c r="M30" s="28">
        <f>'Peak Models'!$P$15*INDEX('Peak Models'!$Q$34:$Q$64, MATCH(TRUNC(B30, 0),'Peak Models'!$O$34:$O$64, 0))/'Profit per cycles Model'!$E$78</f>
        <v>4.7058823529411766</v>
      </c>
      <c r="N30" s="28" t="e">
        <f t="shared" si="2"/>
        <v>#N/A</v>
      </c>
      <c r="O30" s="71" t="e">
        <f>AVERAGE($N$10:N30)</f>
        <v>#N/A</v>
      </c>
      <c r="P30" s="28" t="e">
        <f t="shared" si="3"/>
        <v>#N/A</v>
      </c>
      <c r="R30" s="28" t="e">
        <f t="shared" si="4"/>
        <v>#VALUE!</v>
      </c>
      <c r="S30" s="25"/>
      <c r="T30" s="25">
        <f t="shared" si="5"/>
        <v>15</v>
      </c>
      <c r="U30" s="33">
        <f>IF(PaybackCustom&gt;0, IF(PaybackCustom&lt;&gt;"Default", PaybackCustom, IF(PaybackStatus&lt;&gt;"",INDEX('Arbitrage Payback Engine'!$Y$2:$Y$6,MATCH(PaybackStatus,'Arbitrage Payback Engine'!$X$2:$X$6,FALSE)),-1)))</f>
        <v>25</v>
      </c>
      <c r="V30" s="32">
        <f t="shared" si="14"/>
        <v>15</v>
      </c>
      <c r="X30" s="29">
        <f t="shared" si="15"/>
        <v>21</v>
      </c>
      <c r="Z30" s="30">
        <f t="shared" si="6"/>
        <v>0.57526366251198469</v>
      </c>
      <c r="AA30" s="28" t="e">
        <f t="shared" si="7"/>
        <v>#N/A</v>
      </c>
      <c r="AB30" s="28" t="e">
        <f t="shared" si="8"/>
        <v>#VALUE!</v>
      </c>
      <c r="AC30" s="29">
        <f t="shared" si="9"/>
        <v>19.924098671726757</v>
      </c>
      <c r="AD30" s="28" t="e">
        <f t="shared" si="10"/>
        <v>#VALUE!</v>
      </c>
      <c r="AE30" s="28" t="e">
        <f t="shared" si="11"/>
        <v>#N/A</v>
      </c>
      <c r="AF30" s="28" t="e">
        <f t="shared" si="12"/>
        <v>#VALUE!</v>
      </c>
      <c r="AH30" s="31" t="e">
        <f t="shared" si="16"/>
        <v>#N/A</v>
      </c>
      <c r="AI30" s="25"/>
      <c r="AJ30" s="31"/>
    </row>
    <row r="31" spans="2:36" x14ac:dyDescent="0.25">
      <c r="B31" s="33">
        <f>'Arbitrage Payback Engine'!E31</f>
        <v>0.60265717025065058</v>
      </c>
      <c r="C31" s="33">
        <f t="shared" si="0"/>
        <v>1000</v>
      </c>
      <c r="D31" s="33">
        <f>'Battery Pricing Model'!$C$17</f>
        <v>1000</v>
      </c>
      <c r="E31" s="33">
        <f t="shared" si="1"/>
        <v>999</v>
      </c>
      <c r="F31" s="33" t="str">
        <f>'Peak Models'!$B$4</f>
        <v>Default</v>
      </c>
      <c r="G31" s="33" t="e">
        <f>'Peak Models'!$Q$7</f>
        <v>#VALUE!</v>
      </c>
      <c r="H31" s="33">
        <f>'Peak Models'!$P$16</f>
        <v>1.5</v>
      </c>
      <c r="I31" s="33">
        <v>12</v>
      </c>
      <c r="J31" s="33" t="e">
        <f>'Peak Models'!$P$13</f>
        <v>#N/A</v>
      </c>
      <c r="K31" s="28" t="e">
        <f t="shared" si="13"/>
        <v>#VALUE!</v>
      </c>
      <c r="L31" s="28" t="e">
        <f>INDEX('Peak Models'!$P$34:$P$64, MATCH(TRUNC(B31, 0), 'Peak Models'!$O$34:$O$64, 0))</f>
        <v>#N/A</v>
      </c>
      <c r="M31" s="28">
        <f>'Peak Models'!$P$15*INDEX('Peak Models'!$Q$34:$Q$64, MATCH(TRUNC(B31, 0),'Peak Models'!$O$34:$O$64, 0))/'Profit per cycles Model'!$E$78</f>
        <v>4.7058823529411766</v>
      </c>
      <c r="N31" s="28" t="e">
        <f t="shared" si="2"/>
        <v>#N/A</v>
      </c>
      <c r="O31" s="71" t="e">
        <f>AVERAGE($N$10:N31)</f>
        <v>#N/A</v>
      </c>
      <c r="P31" s="28" t="e">
        <f t="shared" si="3"/>
        <v>#N/A</v>
      </c>
      <c r="R31" s="28" t="e">
        <f t="shared" si="4"/>
        <v>#VALUE!</v>
      </c>
      <c r="S31" s="25"/>
      <c r="T31" s="25">
        <f t="shared" si="5"/>
        <v>15</v>
      </c>
      <c r="U31" s="33">
        <f>IF(PaybackCustom&gt;0, IF(PaybackCustom&lt;&gt;"Default", PaybackCustom, IF(PaybackStatus&lt;&gt;"",INDEX('Arbitrage Payback Engine'!$Y$2:$Y$6,MATCH(PaybackStatus,'Arbitrage Payback Engine'!$X$2:$X$6,FALSE)),-1)))</f>
        <v>25</v>
      </c>
      <c r="V31" s="32">
        <f t="shared" si="14"/>
        <v>15</v>
      </c>
      <c r="X31" s="29">
        <f t="shared" si="15"/>
        <v>22</v>
      </c>
      <c r="Z31" s="30">
        <f t="shared" si="6"/>
        <v>0.60265717025065058</v>
      </c>
      <c r="AA31" s="28" t="e">
        <f t="shared" si="7"/>
        <v>#N/A</v>
      </c>
      <c r="AB31" s="28" t="e">
        <f t="shared" si="8"/>
        <v>#VALUE!</v>
      </c>
      <c r="AC31" s="29">
        <f t="shared" si="9"/>
        <v>20.872865275142313</v>
      </c>
      <c r="AD31" s="28" t="e">
        <f t="shared" si="10"/>
        <v>#VALUE!</v>
      </c>
      <c r="AE31" s="28" t="e">
        <f t="shared" si="11"/>
        <v>#N/A</v>
      </c>
      <c r="AF31" s="28" t="e">
        <f t="shared" si="12"/>
        <v>#VALUE!</v>
      </c>
      <c r="AH31" s="31" t="e">
        <f t="shared" si="16"/>
        <v>#N/A</v>
      </c>
      <c r="AI31" s="25"/>
      <c r="AJ31" s="31"/>
    </row>
    <row r="32" spans="2:36" x14ac:dyDescent="0.25">
      <c r="B32" s="33">
        <f>'Arbitrage Payback Engine'!E32</f>
        <v>0.63005067798931647</v>
      </c>
      <c r="C32" s="33">
        <f t="shared" si="0"/>
        <v>1000</v>
      </c>
      <c r="D32" s="33">
        <f>'Battery Pricing Model'!$C$17</f>
        <v>1000</v>
      </c>
      <c r="E32" s="33">
        <f t="shared" si="1"/>
        <v>999</v>
      </c>
      <c r="F32" s="33" t="str">
        <f>'Peak Models'!$B$4</f>
        <v>Default</v>
      </c>
      <c r="G32" s="33" t="e">
        <f>'Peak Models'!$Q$7</f>
        <v>#VALUE!</v>
      </c>
      <c r="H32" s="33">
        <f>'Peak Models'!$P$16</f>
        <v>1.5</v>
      </c>
      <c r="I32" s="33">
        <v>12</v>
      </c>
      <c r="J32" s="33" t="e">
        <f>'Peak Models'!$P$13</f>
        <v>#N/A</v>
      </c>
      <c r="K32" s="28" t="e">
        <f t="shared" si="13"/>
        <v>#VALUE!</v>
      </c>
      <c r="L32" s="28" t="e">
        <f>INDEX('Peak Models'!$P$34:$P$64, MATCH(TRUNC(B32, 0), 'Peak Models'!$O$34:$O$64, 0))</f>
        <v>#N/A</v>
      </c>
      <c r="M32" s="28">
        <f>'Peak Models'!$P$15*INDEX('Peak Models'!$Q$34:$Q$64, MATCH(TRUNC(B32, 0),'Peak Models'!$O$34:$O$64, 0))/'Profit per cycles Model'!$E$78</f>
        <v>4.7058823529411766</v>
      </c>
      <c r="N32" s="28" t="e">
        <f t="shared" si="2"/>
        <v>#N/A</v>
      </c>
      <c r="O32" s="71" t="e">
        <f>AVERAGE($N$10:N32)</f>
        <v>#N/A</v>
      </c>
      <c r="P32" s="28" t="e">
        <f t="shared" si="3"/>
        <v>#N/A</v>
      </c>
      <c r="R32" s="28" t="e">
        <f t="shared" si="4"/>
        <v>#VALUE!</v>
      </c>
      <c r="S32" s="25"/>
      <c r="T32" s="25">
        <f t="shared" si="5"/>
        <v>15</v>
      </c>
      <c r="U32" s="33">
        <f>IF(PaybackCustom&gt;0, IF(PaybackCustom&lt;&gt;"Default", PaybackCustom, IF(PaybackStatus&lt;&gt;"",INDEX('Arbitrage Payback Engine'!$Y$2:$Y$6,MATCH(PaybackStatus,'Arbitrage Payback Engine'!$X$2:$X$6,FALSE)),-1)))</f>
        <v>25</v>
      </c>
      <c r="V32" s="32">
        <f t="shared" si="14"/>
        <v>15</v>
      </c>
      <c r="X32" s="29">
        <f t="shared" si="15"/>
        <v>23</v>
      </c>
      <c r="Z32" s="30">
        <f t="shared" si="6"/>
        <v>0.63005067798931647</v>
      </c>
      <c r="AA32" s="28" t="e">
        <f t="shared" si="7"/>
        <v>#N/A</v>
      </c>
      <c r="AB32" s="28" t="e">
        <f t="shared" si="8"/>
        <v>#VALUE!</v>
      </c>
      <c r="AC32" s="29">
        <f t="shared" si="9"/>
        <v>21.821631878557874</v>
      </c>
      <c r="AD32" s="28" t="e">
        <f t="shared" si="10"/>
        <v>#VALUE!</v>
      </c>
      <c r="AE32" s="28" t="e">
        <f t="shared" si="11"/>
        <v>#N/A</v>
      </c>
      <c r="AF32" s="28" t="e">
        <f t="shared" si="12"/>
        <v>#VALUE!</v>
      </c>
      <c r="AH32" s="31" t="e">
        <f t="shared" si="16"/>
        <v>#N/A</v>
      </c>
      <c r="AI32" s="25"/>
      <c r="AJ32" s="31"/>
    </row>
    <row r="33" spans="2:36" x14ac:dyDescent="0.25">
      <c r="B33" s="33">
        <f>'Arbitrage Payback Engine'!E33</f>
        <v>0.65744418572798247</v>
      </c>
      <c r="C33" s="33">
        <f t="shared" si="0"/>
        <v>1000</v>
      </c>
      <c r="D33" s="33">
        <f>'Battery Pricing Model'!$C$17</f>
        <v>1000</v>
      </c>
      <c r="E33" s="33">
        <f t="shared" si="1"/>
        <v>999</v>
      </c>
      <c r="F33" s="33" t="str">
        <f>'Peak Models'!$B$4</f>
        <v>Default</v>
      </c>
      <c r="G33" s="33" t="e">
        <f>'Peak Models'!$Q$7</f>
        <v>#VALUE!</v>
      </c>
      <c r="H33" s="33">
        <f>'Peak Models'!$P$16</f>
        <v>1.5</v>
      </c>
      <c r="I33" s="33">
        <v>12</v>
      </c>
      <c r="J33" s="33" t="e">
        <f>'Peak Models'!$P$13</f>
        <v>#N/A</v>
      </c>
      <c r="K33" s="28" t="e">
        <f t="shared" si="13"/>
        <v>#VALUE!</v>
      </c>
      <c r="L33" s="28" t="e">
        <f>INDEX('Peak Models'!$P$34:$P$64, MATCH(TRUNC(B33, 0), 'Peak Models'!$O$34:$O$64, 0))</f>
        <v>#N/A</v>
      </c>
      <c r="M33" s="28">
        <f>'Peak Models'!$P$15*INDEX('Peak Models'!$Q$34:$Q$64, MATCH(TRUNC(B33, 0),'Peak Models'!$O$34:$O$64, 0))/'Profit per cycles Model'!$E$78</f>
        <v>4.7058823529411766</v>
      </c>
      <c r="N33" s="28" t="e">
        <f t="shared" si="2"/>
        <v>#N/A</v>
      </c>
      <c r="O33" s="71" t="e">
        <f>AVERAGE($N$10:N33)</f>
        <v>#N/A</v>
      </c>
      <c r="P33" s="28" t="e">
        <f t="shared" si="3"/>
        <v>#N/A</v>
      </c>
      <c r="R33" s="28" t="e">
        <f t="shared" si="4"/>
        <v>#VALUE!</v>
      </c>
      <c r="S33" s="25"/>
      <c r="T33" s="25">
        <f t="shared" si="5"/>
        <v>15</v>
      </c>
      <c r="U33" s="33">
        <f>IF(PaybackCustom&gt;0, IF(PaybackCustom&lt;&gt;"Default", PaybackCustom, IF(PaybackStatus&lt;&gt;"",INDEX('Arbitrage Payback Engine'!$Y$2:$Y$6,MATCH(PaybackStatus,'Arbitrage Payback Engine'!$X$2:$X$6,FALSE)),-1)))</f>
        <v>25</v>
      </c>
      <c r="V33" s="32">
        <f t="shared" si="14"/>
        <v>15</v>
      </c>
      <c r="X33" s="29">
        <f t="shared" si="15"/>
        <v>24</v>
      </c>
      <c r="Z33" s="30">
        <f t="shared" si="6"/>
        <v>0.65744418572798247</v>
      </c>
      <c r="AA33" s="28" t="e">
        <f t="shared" si="7"/>
        <v>#N/A</v>
      </c>
      <c r="AB33" s="28" t="e">
        <f t="shared" si="8"/>
        <v>#VALUE!</v>
      </c>
      <c r="AC33" s="29">
        <f t="shared" si="9"/>
        <v>22.770398481973437</v>
      </c>
      <c r="AD33" s="28" t="e">
        <f t="shared" si="10"/>
        <v>#VALUE!</v>
      </c>
      <c r="AE33" s="28" t="e">
        <f t="shared" si="11"/>
        <v>#N/A</v>
      </c>
      <c r="AF33" s="28" t="e">
        <f t="shared" si="12"/>
        <v>#VALUE!</v>
      </c>
      <c r="AH33" s="31" t="e">
        <f t="shared" si="16"/>
        <v>#N/A</v>
      </c>
      <c r="AI33" s="25"/>
      <c r="AJ33" s="31"/>
    </row>
    <row r="34" spans="2:36" x14ac:dyDescent="0.25">
      <c r="B34" s="33">
        <f>'Arbitrage Payback Engine'!E34</f>
        <v>0.68483769346664836</v>
      </c>
      <c r="C34" s="33">
        <f t="shared" si="0"/>
        <v>1000</v>
      </c>
      <c r="D34" s="33">
        <f>'Battery Pricing Model'!$C$17</f>
        <v>1000</v>
      </c>
      <c r="E34" s="33">
        <f t="shared" si="1"/>
        <v>999</v>
      </c>
      <c r="F34" s="33" t="str">
        <f>'Peak Models'!$B$4</f>
        <v>Default</v>
      </c>
      <c r="G34" s="33" t="e">
        <f>'Peak Models'!$Q$7</f>
        <v>#VALUE!</v>
      </c>
      <c r="H34" s="33">
        <f>'Peak Models'!$P$16</f>
        <v>1.5</v>
      </c>
      <c r="I34" s="33">
        <v>12</v>
      </c>
      <c r="J34" s="33" t="e">
        <f>'Peak Models'!$P$13</f>
        <v>#N/A</v>
      </c>
      <c r="K34" s="28" t="e">
        <f t="shared" si="13"/>
        <v>#VALUE!</v>
      </c>
      <c r="L34" s="28" t="e">
        <f>INDEX('Peak Models'!$P$34:$P$64, MATCH(TRUNC(B34, 0), 'Peak Models'!$O$34:$O$64, 0))</f>
        <v>#N/A</v>
      </c>
      <c r="M34" s="28">
        <f>'Peak Models'!$P$15*INDEX('Peak Models'!$Q$34:$Q$64, MATCH(TRUNC(B34, 0),'Peak Models'!$O$34:$O$64, 0))/'Profit per cycles Model'!$E$78</f>
        <v>4.7058823529411766</v>
      </c>
      <c r="N34" s="28" t="e">
        <f t="shared" si="2"/>
        <v>#N/A</v>
      </c>
      <c r="O34" s="71" t="e">
        <f>AVERAGE($N$10:N34)</f>
        <v>#N/A</v>
      </c>
      <c r="P34" s="28" t="e">
        <f t="shared" si="3"/>
        <v>#N/A</v>
      </c>
      <c r="R34" s="28" t="e">
        <f t="shared" si="4"/>
        <v>#VALUE!</v>
      </c>
      <c r="S34" s="25"/>
      <c r="T34" s="25">
        <f t="shared" si="5"/>
        <v>15</v>
      </c>
      <c r="U34" s="33">
        <f>IF(PaybackCustom&gt;0, IF(PaybackCustom&lt;&gt;"Default", PaybackCustom, IF(PaybackStatus&lt;&gt;"",INDEX('Arbitrage Payback Engine'!$Y$2:$Y$6,MATCH(PaybackStatus,'Arbitrage Payback Engine'!$X$2:$X$6,FALSE)),-1)))</f>
        <v>25</v>
      </c>
      <c r="V34" s="32">
        <f t="shared" si="14"/>
        <v>15</v>
      </c>
      <c r="X34" s="29">
        <f t="shared" si="15"/>
        <v>25</v>
      </c>
      <c r="Z34" s="30">
        <f t="shared" si="6"/>
        <v>0.68483769346664836</v>
      </c>
      <c r="AA34" s="28" t="e">
        <f t="shared" si="7"/>
        <v>#N/A</v>
      </c>
      <c r="AB34" s="28" t="e">
        <f t="shared" si="8"/>
        <v>#VALUE!</v>
      </c>
      <c r="AC34" s="29">
        <f t="shared" si="9"/>
        <v>23.719165085388994</v>
      </c>
      <c r="AD34" s="28" t="e">
        <f t="shared" si="10"/>
        <v>#VALUE!</v>
      </c>
      <c r="AE34" s="28" t="e">
        <f t="shared" si="11"/>
        <v>#N/A</v>
      </c>
      <c r="AF34" s="28" t="e">
        <f t="shared" si="12"/>
        <v>#VALUE!</v>
      </c>
      <c r="AH34" s="31" t="e">
        <f t="shared" si="16"/>
        <v>#N/A</v>
      </c>
      <c r="AI34" s="25"/>
      <c r="AJ34" s="31"/>
    </row>
    <row r="35" spans="2:36" x14ac:dyDescent="0.25">
      <c r="B35" s="33">
        <f>'Arbitrage Payback Engine'!E35</f>
        <v>0.71223120120531436</v>
      </c>
      <c r="C35" s="33">
        <f t="shared" si="0"/>
        <v>1000</v>
      </c>
      <c r="D35" s="33">
        <f>'Battery Pricing Model'!$C$17</f>
        <v>1000</v>
      </c>
      <c r="E35" s="33">
        <f t="shared" si="1"/>
        <v>999</v>
      </c>
      <c r="F35" s="33" t="str">
        <f>'Peak Models'!$B$4</f>
        <v>Default</v>
      </c>
      <c r="G35" s="33" t="e">
        <f>'Peak Models'!$Q$7</f>
        <v>#VALUE!</v>
      </c>
      <c r="H35" s="33">
        <f>'Peak Models'!$P$16</f>
        <v>1.5</v>
      </c>
      <c r="I35" s="33">
        <v>12</v>
      </c>
      <c r="J35" s="33" t="e">
        <f>'Peak Models'!$P$13</f>
        <v>#N/A</v>
      </c>
      <c r="K35" s="28" t="e">
        <f t="shared" si="13"/>
        <v>#VALUE!</v>
      </c>
      <c r="L35" s="28" t="e">
        <f>INDEX('Peak Models'!$P$34:$P$64, MATCH(TRUNC(B35, 0), 'Peak Models'!$O$34:$O$64, 0))</f>
        <v>#N/A</v>
      </c>
      <c r="M35" s="28">
        <f>'Peak Models'!$P$15*INDEX('Peak Models'!$Q$34:$Q$64, MATCH(TRUNC(B35, 0),'Peak Models'!$O$34:$O$64, 0))/'Profit per cycles Model'!$E$78</f>
        <v>4.7058823529411766</v>
      </c>
      <c r="N35" s="28" t="e">
        <f t="shared" si="2"/>
        <v>#N/A</v>
      </c>
      <c r="O35" s="71" t="e">
        <f>AVERAGE($N$10:N35)</f>
        <v>#N/A</v>
      </c>
      <c r="P35" s="28" t="e">
        <f t="shared" si="3"/>
        <v>#N/A</v>
      </c>
      <c r="R35" s="28" t="e">
        <f t="shared" si="4"/>
        <v>#VALUE!</v>
      </c>
      <c r="S35" s="25"/>
      <c r="T35" s="25">
        <f t="shared" si="5"/>
        <v>15</v>
      </c>
      <c r="U35" s="33">
        <f>IF(PaybackCustom&gt;0, IF(PaybackCustom&lt;&gt;"Default", PaybackCustom, IF(PaybackStatus&lt;&gt;"",INDEX('Arbitrage Payback Engine'!$Y$2:$Y$6,MATCH(PaybackStatus,'Arbitrage Payback Engine'!$X$2:$X$6,FALSE)),-1)))</f>
        <v>25</v>
      </c>
      <c r="V35" s="32">
        <f t="shared" si="14"/>
        <v>15</v>
      </c>
      <c r="X35" s="29">
        <f t="shared" si="15"/>
        <v>26</v>
      </c>
      <c r="Z35" s="30">
        <f t="shared" si="6"/>
        <v>0.71223120120531436</v>
      </c>
      <c r="AA35" s="28" t="e">
        <f t="shared" si="7"/>
        <v>#N/A</v>
      </c>
      <c r="AB35" s="28" t="e">
        <f t="shared" si="8"/>
        <v>#VALUE!</v>
      </c>
      <c r="AC35" s="29">
        <f t="shared" si="9"/>
        <v>24.667931688804558</v>
      </c>
      <c r="AD35" s="28" t="e">
        <f t="shared" si="10"/>
        <v>#VALUE!</v>
      </c>
      <c r="AE35" s="28" t="e">
        <f t="shared" si="11"/>
        <v>#N/A</v>
      </c>
      <c r="AF35" s="28" t="e">
        <f t="shared" si="12"/>
        <v>#VALUE!</v>
      </c>
      <c r="AH35" s="31" t="e">
        <f t="shared" si="16"/>
        <v>#N/A</v>
      </c>
      <c r="AI35" s="25"/>
      <c r="AJ35" s="31"/>
    </row>
    <row r="36" spans="2:36" x14ac:dyDescent="0.25">
      <c r="B36" s="33">
        <f>'Arbitrage Payback Engine'!E36</f>
        <v>0.73962470894398025</v>
      </c>
      <c r="C36" s="33">
        <f t="shared" si="0"/>
        <v>1000</v>
      </c>
      <c r="D36" s="33">
        <f>'Battery Pricing Model'!$C$17</f>
        <v>1000</v>
      </c>
      <c r="E36" s="33">
        <f t="shared" si="1"/>
        <v>999</v>
      </c>
      <c r="F36" s="33" t="str">
        <f>'Peak Models'!$B$4</f>
        <v>Default</v>
      </c>
      <c r="G36" s="33" t="e">
        <f>'Peak Models'!$Q$7</f>
        <v>#VALUE!</v>
      </c>
      <c r="H36" s="33">
        <f>'Peak Models'!$P$16</f>
        <v>1.5</v>
      </c>
      <c r="I36" s="33">
        <v>12</v>
      </c>
      <c r="J36" s="33" t="e">
        <f>'Peak Models'!$P$13</f>
        <v>#N/A</v>
      </c>
      <c r="K36" s="28" t="e">
        <f t="shared" si="13"/>
        <v>#VALUE!</v>
      </c>
      <c r="L36" s="28" t="e">
        <f>INDEX('Peak Models'!$P$34:$P$64, MATCH(TRUNC(B36, 0), 'Peak Models'!$O$34:$O$64, 0))</f>
        <v>#N/A</v>
      </c>
      <c r="M36" s="28">
        <f>'Peak Models'!$P$15*INDEX('Peak Models'!$Q$34:$Q$64, MATCH(TRUNC(B36, 0),'Peak Models'!$O$34:$O$64, 0))/'Profit per cycles Model'!$E$78</f>
        <v>4.7058823529411766</v>
      </c>
      <c r="N36" s="28" t="e">
        <f t="shared" si="2"/>
        <v>#N/A</v>
      </c>
      <c r="O36" s="71" t="e">
        <f>AVERAGE($N$10:N36)</f>
        <v>#N/A</v>
      </c>
      <c r="P36" s="28" t="e">
        <f t="shared" si="3"/>
        <v>#N/A</v>
      </c>
      <c r="R36" s="28" t="e">
        <f t="shared" si="4"/>
        <v>#VALUE!</v>
      </c>
      <c r="S36" s="25"/>
      <c r="T36" s="25">
        <f t="shared" si="5"/>
        <v>15</v>
      </c>
      <c r="U36" s="33">
        <f>IF(PaybackCustom&gt;0, IF(PaybackCustom&lt;&gt;"Default", PaybackCustom, IF(PaybackStatus&lt;&gt;"",INDEX('Arbitrage Payback Engine'!$Y$2:$Y$6,MATCH(PaybackStatus,'Arbitrage Payback Engine'!$X$2:$X$6,FALSE)),-1)))</f>
        <v>25</v>
      </c>
      <c r="V36" s="32">
        <f t="shared" si="14"/>
        <v>15</v>
      </c>
      <c r="X36" s="29">
        <f t="shared" si="15"/>
        <v>27</v>
      </c>
      <c r="Z36" s="30">
        <f t="shared" si="6"/>
        <v>0.73962470894398025</v>
      </c>
      <c r="AA36" s="28" t="e">
        <f t="shared" si="7"/>
        <v>#N/A</v>
      </c>
      <c r="AB36" s="28" t="e">
        <f t="shared" si="8"/>
        <v>#VALUE!</v>
      </c>
      <c r="AC36" s="29">
        <f t="shared" si="9"/>
        <v>25.616698292220114</v>
      </c>
      <c r="AD36" s="28" t="e">
        <f t="shared" si="10"/>
        <v>#VALUE!</v>
      </c>
      <c r="AE36" s="28" t="e">
        <f t="shared" si="11"/>
        <v>#N/A</v>
      </c>
      <c r="AF36" s="28" t="e">
        <f t="shared" si="12"/>
        <v>#VALUE!</v>
      </c>
      <c r="AH36" s="31" t="e">
        <f t="shared" si="16"/>
        <v>#N/A</v>
      </c>
      <c r="AI36" s="25"/>
      <c r="AJ36" s="31"/>
    </row>
    <row r="37" spans="2:36" x14ac:dyDescent="0.25">
      <c r="B37" s="33">
        <f>'Arbitrage Payback Engine'!E37</f>
        <v>0.76701821668264614</v>
      </c>
      <c r="C37" s="33">
        <f t="shared" si="0"/>
        <v>1000</v>
      </c>
      <c r="D37" s="33">
        <f>'Battery Pricing Model'!$C$17</f>
        <v>1000</v>
      </c>
      <c r="E37" s="33">
        <f t="shared" si="1"/>
        <v>999</v>
      </c>
      <c r="F37" s="33" t="str">
        <f>'Peak Models'!$B$4</f>
        <v>Default</v>
      </c>
      <c r="G37" s="33" t="e">
        <f>'Peak Models'!$Q$7</f>
        <v>#VALUE!</v>
      </c>
      <c r="H37" s="33">
        <f>'Peak Models'!$P$16</f>
        <v>1.5</v>
      </c>
      <c r="I37" s="33">
        <v>12</v>
      </c>
      <c r="J37" s="33" t="e">
        <f>'Peak Models'!$P$13</f>
        <v>#N/A</v>
      </c>
      <c r="K37" s="28" t="e">
        <f t="shared" si="13"/>
        <v>#VALUE!</v>
      </c>
      <c r="L37" s="28" t="e">
        <f>INDEX('Peak Models'!$P$34:$P$64, MATCH(TRUNC(B37, 0), 'Peak Models'!$O$34:$O$64, 0))</f>
        <v>#N/A</v>
      </c>
      <c r="M37" s="28">
        <f>'Peak Models'!$P$15*INDEX('Peak Models'!$Q$34:$Q$64, MATCH(TRUNC(B37, 0),'Peak Models'!$O$34:$O$64, 0))/'Profit per cycles Model'!$E$78</f>
        <v>4.7058823529411766</v>
      </c>
      <c r="N37" s="28" t="e">
        <f t="shared" si="2"/>
        <v>#N/A</v>
      </c>
      <c r="O37" s="71" t="e">
        <f>AVERAGE($N$10:N37)</f>
        <v>#N/A</v>
      </c>
      <c r="P37" s="28" t="e">
        <f t="shared" si="3"/>
        <v>#N/A</v>
      </c>
      <c r="R37" s="28" t="e">
        <f t="shared" si="4"/>
        <v>#VALUE!</v>
      </c>
      <c r="S37" s="25"/>
      <c r="T37" s="25">
        <f t="shared" si="5"/>
        <v>15</v>
      </c>
      <c r="U37" s="33">
        <f>IF(PaybackCustom&gt;0, IF(PaybackCustom&lt;&gt;"Default", PaybackCustom, IF(PaybackStatus&lt;&gt;"",INDEX('Arbitrage Payback Engine'!$Y$2:$Y$6,MATCH(PaybackStatus,'Arbitrage Payback Engine'!$X$2:$X$6,FALSE)),-1)))</f>
        <v>25</v>
      </c>
      <c r="V37" s="32">
        <f t="shared" si="14"/>
        <v>15</v>
      </c>
      <c r="X37" s="29">
        <f t="shared" si="15"/>
        <v>28</v>
      </c>
      <c r="Z37" s="30">
        <f t="shared" si="6"/>
        <v>0.76701821668264614</v>
      </c>
      <c r="AA37" s="28" t="e">
        <f t="shared" si="7"/>
        <v>#N/A</v>
      </c>
      <c r="AB37" s="28" t="e">
        <f t="shared" si="8"/>
        <v>#VALUE!</v>
      </c>
      <c r="AC37" s="29">
        <f t="shared" si="9"/>
        <v>26.565464895635671</v>
      </c>
      <c r="AD37" s="28" t="e">
        <f t="shared" si="10"/>
        <v>#VALUE!</v>
      </c>
      <c r="AE37" s="28" t="e">
        <f t="shared" si="11"/>
        <v>#N/A</v>
      </c>
      <c r="AF37" s="28" t="e">
        <f t="shared" si="12"/>
        <v>#VALUE!</v>
      </c>
      <c r="AH37" s="31" t="e">
        <f t="shared" si="16"/>
        <v>#N/A</v>
      </c>
      <c r="AI37" s="25"/>
      <c r="AJ37" s="31"/>
    </row>
    <row r="38" spans="2:36" x14ac:dyDescent="0.25">
      <c r="B38" s="33">
        <f>'Arbitrage Payback Engine'!E38</f>
        <v>0.79441172442131214</v>
      </c>
      <c r="C38" s="33">
        <f t="shared" si="0"/>
        <v>1000</v>
      </c>
      <c r="D38" s="33">
        <f>'Battery Pricing Model'!$C$17</f>
        <v>1000</v>
      </c>
      <c r="E38" s="33">
        <f t="shared" si="1"/>
        <v>999</v>
      </c>
      <c r="F38" s="33" t="str">
        <f>'Peak Models'!$B$4</f>
        <v>Default</v>
      </c>
      <c r="G38" s="33" t="e">
        <f>'Peak Models'!$Q$7</f>
        <v>#VALUE!</v>
      </c>
      <c r="H38" s="33">
        <f>'Peak Models'!$P$16</f>
        <v>1.5</v>
      </c>
      <c r="I38" s="33">
        <v>12</v>
      </c>
      <c r="J38" s="33" t="e">
        <f>'Peak Models'!$P$13</f>
        <v>#N/A</v>
      </c>
      <c r="K38" s="28" t="e">
        <f t="shared" si="13"/>
        <v>#VALUE!</v>
      </c>
      <c r="L38" s="28" t="e">
        <f>INDEX('Peak Models'!$P$34:$P$64, MATCH(TRUNC(B38, 0), 'Peak Models'!$O$34:$O$64, 0))</f>
        <v>#N/A</v>
      </c>
      <c r="M38" s="28">
        <f>'Peak Models'!$P$15*INDEX('Peak Models'!$Q$34:$Q$64, MATCH(TRUNC(B38, 0),'Peak Models'!$O$34:$O$64, 0))/'Profit per cycles Model'!$E$78</f>
        <v>4.7058823529411766</v>
      </c>
      <c r="N38" s="28" t="e">
        <f t="shared" si="2"/>
        <v>#N/A</v>
      </c>
      <c r="O38" s="71" t="e">
        <f>AVERAGE($N$10:N38)</f>
        <v>#N/A</v>
      </c>
      <c r="P38" s="28" t="e">
        <f t="shared" si="3"/>
        <v>#N/A</v>
      </c>
      <c r="R38" s="28" t="e">
        <f t="shared" si="4"/>
        <v>#VALUE!</v>
      </c>
      <c r="S38" s="25"/>
      <c r="T38" s="25">
        <f t="shared" si="5"/>
        <v>15</v>
      </c>
      <c r="U38" s="33">
        <f>IF(PaybackCustom&gt;0, IF(PaybackCustom&lt;&gt;"Default", PaybackCustom, IF(PaybackStatus&lt;&gt;"",INDEX('Arbitrage Payback Engine'!$Y$2:$Y$6,MATCH(PaybackStatus,'Arbitrage Payback Engine'!$X$2:$X$6,FALSE)),-1)))</f>
        <v>25</v>
      </c>
      <c r="V38" s="32">
        <f t="shared" si="14"/>
        <v>15</v>
      </c>
      <c r="X38" s="29">
        <f t="shared" si="15"/>
        <v>29</v>
      </c>
      <c r="Z38" s="30">
        <f t="shared" si="6"/>
        <v>0.79441172442131214</v>
      </c>
      <c r="AA38" s="28" t="e">
        <f t="shared" si="7"/>
        <v>#N/A</v>
      </c>
      <c r="AB38" s="28" t="e">
        <f t="shared" si="8"/>
        <v>#VALUE!</v>
      </c>
      <c r="AC38" s="29">
        <f t="shared" si="9"/>
        <v>27.514231499051235</v>
      </c>
      <c r="AD38" s="28" t="e">
        <f t="shared" si="10"/>
        <v>#VALUE!</v>
      </c>
      <c r="AE38" s="28" t="e">
        <f t="shared" si="11"/>
        <v>#N/A</v>
      </c>
      <c r="AF38" s="28" t="e">
        <f t="shared" si="12"/>
        <v>#VALUE!</v>
      </c>
      <c r="AH38" s="31" t="e">
        <f t="shared" si="16"/>
        <v>#N/A</v>
      </c>
      <c r="AI38" s="25"/>
      <c r="AJ38" s="31"/>
    </row>
    <row r="39" spans="2:36" x14ac:dyDescent="0.25">
      <c r="B39" s="33">
        <f>'Arbitrage Payback Engine'!E39</f>
        <v>0.82180523215997803</v>
      </c>
      <c r="C39" s="33">
        <f t="shared" si="0"/>
        <v>1000</v>
      </c>
      <c r="D39" s="33">
        <f>'Battery Pricing Model'!$C$17</f>
        <v>1000</v>
      </c>
      <c r="E39" s="33">
        <f t="shared" si="1"/>
        <v>999</v>
      </c>
      <c r="F39" s="33" t="str">
        <f>'Peak Models'!$B$4</f>
        <v>Default</v>
      </c>
      <c r="G39" s="33" t="e">
        <f>'Peak Models'!$Q$7</f>
        <v>#VALUE!</v>
      </c>
      <c r="H39" s="33">
        <f>'Peak Models'!$P$16</f>
        <v>1.5</v>
      </c>
      <c r="I39" s="33">
        <v>12</v>
      </c>
      <c r="J39" s="33" t="e">
        <f>'Peak Models'!$P$13</f>
        <v>#N/A</v>
      </c>
      <c r="K39" s="28" t="e">
        <f t="shared" si="13"/>
        <v>#VALUE!</v>
      </c>
      <c r="L39" s="28" t="e">
        <f>INDEX('Peak Models'!$P$34:$P$64, MATCH(TRUNC(B39, 0), 'Peak Models'!$O$34:$O$64, 0))</f>
        <v>#N/A</v>
      </c>
      <c r="M39" s="28">
        <f>'Peak Models'!$P$15*INDEX('Peak Models'!$Q$34:$Q$64, MATCH(TRUNC(B39, 0),'Peak Models'!$O$34:$O$64, 0))/'Profit per cycles Model'!$E$78</f>
        <v>4.7058823529411766</v>
      </c>
      <c r="N39" s="28" t="e">
        <f t="shared" si="2"/>
        <v>#N/A</v>
      </c>
      <c r="O39" s="71" t="e">
        <f>AVERAGE($N$10:N39)</f>
        <v>#N/A</v>
      </c>
      <c r="P39" s="28" t="e">
        <f t="shared" si="3"/>
        <v>#N/A</v>
      </c>
      <c r="R39" s="28" t="e">
        <f t="shared" si="4"/>
        <v>#VALUE!</v>
      </c>
      <c r="S39" s="25"/>
      <c r="T39" s="25">
        <f t="shared" si="5"/>
        <v>15</v>
      </c>
      <c r="U39" s="33">
        <f>IF(PaybackCustom&gt;0, IF(PaybackCustom&lt;&gt;"Default", PaybackCustom, IF(PaybackStatus&lt;&gt;"",INDEX('Arbitrage Payback Engine'!$Y$2:$Y$6,MATCH(PaybackStatus,'Arbitrage Payback Engine'!$X$2:$X$6,FALSE)),-1)))</f>
        <v>25</v>
      </c>
      <c r="V39" s="32">
        <f t="shared" si="14"/>
        <v>15</v>
      </c>
      <c r="X39" s="29">
        <f t="shared" si="15"/>
        <v>30</v>
      </c>
      <c r="Z39" s="30">
        <f t="shared" si="6"/>
        <v>0.82180523215997803</v>
      </c>
      <c r="AA39" s="28" t="e">
        <f t="shared" si="7"/>
        <v>#N/A</v>
      </c>
      <c r="AB39" s="28" t="e">
        <f t="shared" si="8"/>
        <v>#VALUE!</v>
      </c>
      <c r="AC39" s="29">
        <f t="shared" si="9"/>
        <v>28.462998102466791</v>
      </c>
      <c r="AD39" s="28" t="e">
        <f t="shared" si="10"/>
        <v>#VALUE!</v>
      </c>
      <c r="AE39" s="28" t="e">
        <f t="shared" si="11"/>
        <v>#N/A</v>
      </c>
      <c r="AF39" s="28" t="e">
        <f t="shared" si="12"/>
        <v>#VALUE!</v>
      </c>
      <c r="AH39" s="31" t="e">
        <f t="shared" si="16"/>
        <v>#N/A</v>
      </c>
      <c r="AI39" s="25"/>
      <c r="AJ39" s="31"/>
    </row>
    <row r="40" spans="2:36" x14ac:dyDescent="0.25">
      <c r="B40" s="33">
        <f>'Arbitrage Payback Engine'!E40</f>
        <v>0.84919873989864403</v>
      </c>
      <c r="C40" s="33">
        <f t="shared" si="0"/>
        <v>1000</v>
      </c>
      <c r="D40" s="33">
        <f>'Battery Pricing Model'!$C$17</f>
        <v>1000</v>
      </c>
      <c r="E40" s="33">
        <f t="shared" si="1"/>
        <v>999</v>
      </c>
      <c r="F40" s="33" t="str">
        <f>'Peak Models'!$B$4</f>
        <v>Default</v>
      </c>
      <c r="G40" s="33" t="e">
        <f>'Peak Models'!$Q$7</f>
        <v>#VALUE!</v>
      </c>
      <c r="H40" s="33">
        <f>'Peak Models'!$P$16</f>
        <v>1.5</v>
      </c>
      <c r="I40" s="33">
        <v>12</v>
      </c>
      <c r="J40" s="33" t="e">
        <f>'Peak Models'!$P$13</f>
        <v>#N/A</v>
      </c>
      <c r="K40" s="28" t="e">
        <f t="shared" si="13"/>
        <v>#VALUE!</v>
      </c>
      <c r="L40" s="28" t="e">
        <f>INDEX('Peak Models'!$P$34:$P$64, MATCH(TRUNC(B40, 0), 'Peak Models'!$O$34:$O$64, 0))</f>
        <v>#N/A</v>
      </c>
      <c r="M40" s="28">
        <f>'Peak Models'!$P$15*INDEX('Peak Models'!$Q$34:$Q$64, MATCH(TRUNC(B40, 0),'Peak Models'!$O$34:$O$64, 0))/'Profit per cycles Model'!$E$78</f>
        <v>4.7058823529411766</v>
      </c>
      <c r="N40" s="28" t="e">
        <f t="shared" si="2"/>
        <v>#N/A</v>
      </c>
      <c r="O40" s="71" t="e">
        <f>AVERAGE($N$10:N40)</f>
        <v>#N/A</v>
      </c>
      <c r="P40" s="28" t="e">
        <f t="shared" si="3"/>
        <v>#N/A</v>
      </c>
      <c r="R40" s="28" t="e">
        <f t="shared" si="4"/>
        <v>#VALUE!</v>
      </c>
      <c r="S40" s="25"/>
      <c r="T40" s="25">
        <f t="shared" si="5"/>
        <v>15</v>
      </c>
      <c r="U40" s="33">
        <f>IF(PaybackCustom&gt;0, IF(PaybackCustom&lt;&gt;"Default", PaybackCustom, IF(PaybackStatus&lt;&gt;"",INDEX('Arbitrage Payback Engine'!$Y$2:$Y$6,MATCH(PaybackStatus,'Arbitrage Payback Engine'!$X$2:$X$6,FALSE)),-1)))</f>
        <v>25</v>
      </c>
      <c r="V40" s="32">
        <f t="shared" si="14"/>
        <v>15</v>
      </c>
      <c r="X40" s="29">
        <f t="shared" si="15"/>
        <v>31</v>
      </c>
      <c r="Z40" s="30">
        <f t="shared" si="6"/>
        <v>0.84919873989864403</v>
      </c>
      <c r="AA40" s="28" t="e">
        <f t="shared" si="7"/>
        <v>#N/A</v>
      </c>
      <c r="AB40" s="28" t="e">
        <f t="shared" si="8"/>
        <v>#VALUE!</v>
      </c>
      <c r="AC40" s="29">
        <f t="shared" si="9"/>
        <v>29.411764705882355</v>
      </c>
      <c r="AD40" s="28" t="e">
        <f t="shared" si="10"/>
        <v>#VALUE!</v>
      </c>
      <c r="AE40" s="28" t="e">
        <f t="shared" si="11"/>
        <v>#N/A</v>
      </c>
      <c r="AF40" s="28" t="e">
        <f t="shared" si="12"/>
        <v>#VALUE!</v>
      </c>
      <c r="AH40" s="31" t="e">
        <f t="shared" si="16"/>
        <v>#N/A</v>
      </c>
      <c r="AI40" s="25"/>
      <c r="AJ40" s="31"/>
    </row>
    <row r="41" spans="2:36" x14ac:dyDescent="0.25">
      <c r="B41" s="33">
        <f>'Arbitrage Payback Engine'!E41</f>
        <v>0.87659224763730992</v>
      </c>
      <c r="C41" s="33">
        <f t="shared" si="0"/>
        <v>1000</v>
      </c>
      <c r="D41" s="33">
        <f>'Battery Pricing Model'!$C$17</f>
        <v>1000</v>
      </c>
      <c r="E41" s="33">
        <f t="shared" si="1"/>
        <v>999</v>
      </c>
      <c r="F41" s="33" t="str">
        <f>'Peak Models'!$B$4</f>
        <v>Default</v>
      </c>
      <c r="G41" s="33" t="e">
        <f>'Peak Models'!$Q$7</f>
        <v>#VALUE!</v>
      </c>
      <c r="H41" s="33">
        <f>'Peak Models'!$P$16</f>
        <v>1.5</v>
      </c>
      <c r="I41" s="33">
        <v>12</v>
      </c>
      <c r="J41" s="33" t="e">
        <f>'Peak Models'!$P$13</f>
        <v>#N/A</v>
      </c>
      <c r="K41" s="28" t="e">
        <f t="shared" si="13"/>
        <v>#VALUE!</v>
      </c>
      <c r="L41" s="28" t="e">
        <f>INDEX('Peak Models'!$P$34:$P$64, MATCH(TRUNC(B41, 0), 'Peak Models'!$O$34:$O$64, 0))</f>
        <v>#N/A</v>
      </c>
      <c r="M41" s="28">
        <f>'Peak Models'!$P$15*INDEX('Peak Models'!$Q$34:$Q$64, MATCH(TRUNC(B41, 0),'Peak Models'!$O$34:$O$64, 0))/'Profit per cycles Model'!$E$78</f>
        <v>4.7058823529411766</v>
      </c>
      <c r="N41" s="28" t="e">
        <f t="shared" si="2"/>
        <v>#N/A</v>
      </c>
      <c r="O41" s="71" t="e">
        <f>AVERAGE($N$10:N41)</f>
        <v>#N/A</v>
      </c>
      <c r="P41" s="28" t="e">
        <f t="shared" si="3"/>
        <v>#N/A</v>
      </c>
      <c r="R41" s="28" t="e">
        <f t="shared" si="4"/>
        <v>#VALUE!</v>
      </c>
      <c r="S41" s="25"/>
      <c r="T41" s="25">
        <f t="shared" si="5"/>
        <v>15</v>
      </c>
      <c r="U41" s="33">
        <f>IF(PaybackCustom&gt;0, IF(PaybackCustom&lt;&gt;"Default", PaybackCustom, IF(PaybackStatus&lt;&gt;"",INDEX('Arbitrage Payback Engine'!$Y$2:$Y$6,MATCH(PaybackStatus,'Arbitrage Payback Engine'!$X$2:$X$6,FALSE)),-1)))</f>
        <v>25</v>
      </c>
      <c r="V41" s="32">
        <f t="shared" si="14"/>
        <v>15</v>
      </c>
      <c r="X41" s="29">
        <f t="shared" si="15"/>
        <v>32</v>
      </c>
      <c r="Z41" s="30">
        <f t="shared" si="6"/>
        <v>0.87659224763730992</v>
      </c>
      <c r="AA41" s="28" t="e">
        <f t="shared" si="7"/>
        <v>#N/A</v>
      </c>
      <c r="AB41" s="28" t="e">
        <f t="shared" si="8"/>
        <v>#VALUE!</v>
      </c>
      <c r="AC41" s="29">
        <f t="shared" si="9"/>
        <v>30.360531309297912</v>
      </c>
      <c r="AD41" s="28" t="e">
        <f t="shared" si="10"/>
        <v>#VALUE!</v>
      </c>
      <c r="AE41" s="28" t="e">
        <f t="shared" si="11"/>
        <v>#N/A</v>
      </c>
      <c r="AF41" s="28" t="e">
        <f t="shared" si="12"/>
        <v>#VALUE!</v>
      </c>
      <c r="AH41" s="31" t="e">
        <f t="shared" si="16"/>
        <v>#N/A</v>
      </c>
      <c r="AI41" s="25"/>
      <c r="AJ41" s="31"/>
    </row>
    <row r="42" spans="2:36" x14ac:dyDescent="0.25">
      <c r="B42" s="33">
        <f>'Arbitrage Payback Engine'!E42</f>
        <v>0.90398575537597592</v>
      </c>
      <c r="C42" s="33">
        <f t="shared" si="0"/>
        <v>1000</v>
      </c>
      <c r="D42" s="33">
        <f>'Battery Pricing Model'!$C$17</f>
        <v>1000</v>
      </c>
      <c r="E42" s="33">
        <f t="shared" si="1"/>
        <v>999</v>
      </c>
      <c r="F42" s="33" t="str">
        <f>'Peak Models'!$B$4</f>
        <v>Default</v>
      </c>
      <c r="G42" s="33" t="e">
        <f>'Peak Models'!$Q$7</f>
        <v>#VALUE!</v>
      </c>
      <c r="H42" s="33">
        <f>'Peak Models'!$P$16</f>
        <v>1.5</v>
      </c>
      <c r="I42" s="33">
        <v>12</v>
      </c>
      <c r="J42" s="33" t="e">
        <f>'Peak Models'!$P$13</f>
        <v>#N/A</v>
      </c>
      <c r="K42" s="28" t="e">
        <f t="shared" si="13"/>
        <v>#VALUE!</v>
      </c>
      <c r="L42" s="28" t="e">
        <f>INDEX('Peak Models'!$P$34:$P$64, MATCH(TRUNC(B42, 0), 'Peak Models'!$O$34:$O$64, 0))</f>
        <v>#N/A</v>
      </c>
      <c r="M42" s="28">
        <f>'Peak Models'!$P$15*INDEX('Peak Models'!$Q$34:$Q$64, MATCH(TRUNC(B42, 0),'Peak Models'!$O$34:$O$64, 0))/'Profit per cycles Model'!$E$78</f>
        <v>4.7058823529411766</v>
      </c>
      <c r="N42" s="28" t="e">
        <f t="shared" si="2"/>
        <v>#N/A</v>
      </c>
      <c r="O42" s="71" t="e">
        <f>AVERAGE($N$10:N42)</f>
        <v>#N/A</v>
      </c>
      <c r="P42" s="28" t="e">
        <f t="shared" si="3"/>
        <v>#N/A</v>
      </c>
      <c r="R42" s="28" t="e">
        <f t="shared" si="4"/>
        <v>#VALUE!</v>
      </c>
      <c r="S42" s="25"/>
      <c r="T42" s="25">
        <f t="shared" si="5"/>
        <v>15</v>
      </c>
      <c r="U42" s="33">
        <f>IF(PaybackCustom&gt;0, IF(PaybackCustom&lt;&gt;"Default", PaybackCustom, IF(PaybackStatus&lt;&gt;"",INDEX('Arbitrage Payback Engine'!$Y$2:$Y$6,MATCH(PaybackStatus,'Arbitrage Payback Engine'!$X$2:$X$6,FALSE)),-1)))</f>
        <v>25</v>
      </c>
      <c r="V42" s="32">
        <f t="shared" si="14"/>
        <v>15</v>
      </c>
      <c r="X42" s="29">
        <f t="shared" si="15"/>
        <v>33</v>
      </c>
      <c r="Z42" s="30">
        <f t="shared" si="6"/>
        <v>0.90398575537597592</v>
      </c>
      <c r="AA42" s="28" t="e">
        <f t="shared" si="7"/>
        <v>#N/A</v>
      </c>
      <c r="AB42" s="28" t="e">
        <f t="shared" si="8"/>
        <v>#VALUE!</v>
      </c>
      <c r="AC42" s="29">
        <f t="shared" si="9"/>
        <v>31.309297912713475</v>
      </c>
      <c r="AD42" s="28" t="e">
        <f t="shared" si="10"/>
        <v>#VALUE!</v>
      </c>
      <c r="AE42" s="28" t="e">
        <f t="shared" si="11"/>
        <v>#N/A</v>
      </c>
      <c r="AF42" s="28" t="e">
        <f t="shared" si="12"/>
        <v>#VALUE!</v>
      </c>
      <c r="AH42" s="31" t="e">
        <f t="shared" si="16"/>
        <v>#N/A</v>
      </c>
      <c r="AI42" s="25"/>
      <c r="AJ42" s="31"/>
    </row>
    <row r="43" spans="2:36" x14ac:dyDescent="0.25">
      <c r="B43" s="33">
        <f>'Arbitrage Payback Engine'!E43</f>
        <v>0.93137926311464181</v>
      </c>
      <c r="C43" s="33">
        <f t="shared" si="0"/>
        <v>1000</v>
      </c>
      <c r="D43" s="33">
        <f>'Battery Pricing Model'!$C$17</f>
        <v>1000</v>
      </c>
      <c r="E43" s="33">
        <f t="shared" si="1"/>
        <v>999</v>
      </c>
      <c r="F43" s="33" t="str">
        <f>'Peak Models'!$B$4</f>
        <v>Default</v>
      </c>
      <c r="G43" s="33" t="e">
        <f>'Peak Models'!$Q$7</f>
        <v>#VALUE!</v>
      </c>
      <c r="H43" s="33">
        <f>'Peak Models'!$P$16</f>
        <v>1.5</v>
      </c>
      <c r="I43" s="33">
        <v>12</v>
      </c>
      <c r="J43" s="33" t="e">
        <f>'Peak Models'!$P$13</f>
        <v>#N/A</v>
      </c>
      <c r="K43" s="28" t="e">
        <f t="shared" si="13"/>
        <v>#VALUE!</v>
      </c>
      <c r="L43" s="28" t="e">
        <f>INDEX('Peak Models'!$P$34:$P$64, MATCH(TRUNC(B43, 0), 'Peak Models'!$O$34:$O$64, 0))</f>
        <v>#N/A</v>
      </c>
      <c r="M43" s="28">
        <f>'Peak Models'!$P$15*INDEX('Peak Models'!$Q$34:$Q$64, MATCH(TRUNC(B43, 0),'Peak Models'!$O$34:$O$64, 0))/'Profit per cycles Model'!$E$78</f>
        <v>4.7058823529411766</v>
      </c>
      <c r="N43" s="28" t="e">
        <f t="shared" si="2"/>
        <v>#N/A</v>
      </c>
      <c r="O43" s="71" t="e">
        <f>AVERAGE($N$10:N43)</f>
        <v>#N/A</v>
      </c>
      <c r="P43" s="28" t="e">
        <f t="shared" si="3"/>
        <v>#N/A</v>
      </c>
      <c r="R43" s="28" t="e">
        <f t="shared" si="4"/>
        <v>#VALUE!</v>
      </c>
      <c r="S43" s="25"/>
      <c r="T43" s="25">
        <f t="shared" si="5"/>
        <v>15</v>
      </c>
      <c r="U43" s="33">
        <f>IF(PaybackCustom&gt;0, IF(PaybackCustom&lt;&gt;"Default", PaybackCustom, IF(PaybackStatus&lt;&gt;"",INDEX('Arbitrage Payback Engine'!$Y$2:$Y$6,MATCH(PaybackStatus,'Arbitrage Payback Engine'!$X$2:$X$6,FALSE)),-1)))</f>
        <v>25</v>
      </c>
      <c r="V43" s="32">
        <f t="shared" si="14"/>
        <v>15</v>
      </c>
      <c r="X43" s="29">
        <f t="shared" si="15"/>
        <v>34</v>
      </c>
      <c r="Z43" s="30">
        <f t="shared" si="6"/>
        <v>0.93137926311464181</v>
      </c>
      <c r="AA43" s="28" t="e">
        <f t="shared" si="7"/>
        <v>#N/A</v>
      </c>
      <c r="AB43" s="28" t="e">
        <f t="shared" si="8"/>
        <v>#VALUE!</v>
      </c>
      <c r="AC43" s="29">
        <f t="shared" si="9"/>
        <v>32.258064516129032</v>
      </c>
      <c r="AD43" s="28" t="e">
        <f t="shared" si="10"/>
        <v>#VALUE!</v>
      </c>
      <c r="AE43" s="28" t="e">
        <f t="shared" si="11"/>
        <v>#N/A</v>
      </c>
      <c r="AF43" s="28" t="e">
        <f t="shared" si="12"/>
        <v>#VALUE!</v>
      </c>
      <c r="AH43" s="31" t="e">
        <f t="shared" si="16"/>
        <v>#N/A</v>
      </c>
      <c r="AI43" s="25"/>
      <c r="AJ43" s="31"/>
    </row>
    <row r="44" spans="2:36" x14ac:dyDescent="0.25">
      <c r="B44" s="33">
        <f>'Arbitrage Payback Engine'!E44</f>
        <v>0.9587727708533077</v>
      </c>
      <c r="C44" s="33">
        <f t="shared" si="0"/>
        <v>1000</v>
      </c>
      <c r="D44" s="33">
        <f>'Battery Pricing Model'!$C$17</f>
        <v>1000</v>
      </c>
      <c r="E44" s="33">
        <f t="shared" si="1"/>
        <v>999</v>
      </c>
      <c r="F44" s="33" t="str">
        <f>'Peak Models'!$B$4</f>
        <v>Default</v>
      </c>
      <c r="G44" s="33" t="e">
        <f>'Peak Models'!$Q$7</f>
        <v>#VALUE!</v>
      </c>
      <c r="H44" s="33">
        <f>'Peak Models'!$P$16</f>
        <v>1.5</v>
      </c>
      <c r="I44" s="33">
        <v>12</v>
      </c>
      <c r="J44" s="33" t="e">
        <f>'Peak Models'!$P$13</f>
        <v>#N/A</v>
      </c>
      <c r="K44" s="28" t="e">
        <f t="shared" si="13"/>
        <v>#VALUE!</v>
      </c>
      <c r="L44" s="28" t="e">
        <f>INDEX('Peak Models'!$P$34:$P$64, MATCH(TRUNC(B44, 0), 'Peak Models'!$O$34:$O$64, 0))</f>
        <v>#N/A</v>
      </c>
      <c r="M44" s="28">
        <f>'Peak Models'!$P$15*INDEX('Peak Models'!$Q$34:$Q$64, MATCH(TRUNC(B44, 0),'Peak Models'!$O$34:$O$64, 0))/'Profit per cycles Model'!$E$78</f>
        <v>4.7058823529411766</v>
      </c>
      <c r="N44" s="28" t="e">
        <f t="shared" si="2"/>
        <v>#N/A</v>
      </c>
      <c r="O44" s="71" t="e">
        <f>AVERAGE($N$10:N44)</f>
        <v>#N/A</v>
      </c>
      <c r="P44" s="28" t="e">
        <f t="shared" si="3"/>
        <v>#N/A</v>
      </c>
      <c r="R44" s="28" t="e">
        <f t="shared" si="4"/>
        <v>#VALUE!</v>
      </c>
      <c r="S44" s="25"/>
      <c r="T44" s="25">
        <f t="shared" si="5"/>
        <v>15</v>
      </c>
      <c r="U44" s="33">
        <f>IF(PaybackCustom&gt;0, IF(PaybackCustom&lt;&gt;"Default", PaybackCustom, IF(PaybackStatus&lt;&gt;"",INDEX('Arbitrage Payback Engine'!$Y$2:$Y$6,MATCH(PaybackStatus,'Arbitrage Payback Engine'!$X$2:$X$6,FALSE)),-1)))</f>
        <v>25</v>
      </c>
      <c r="V44" s="32">
        <f t="shared" si="14"/>
        <v>15</v>
      </c>
      <c r="X44" s="29">
        <f t="shared" si="15"/>
        <v>35</v>
      </c>
      <c r="Z44" s="30">
        <f t="shared" si="6"/>
        <v>0.9587727708533077</v>
      </c>
      <c r="AA44" s="28" t="e">
        <f t="shared" si="7"/>
        <v>#N/A</v>
      </c>
      <c r="AB44" s="28" t="e">
        <f t="shared" si="8"/>
        <v>#VALUE!</v>
      </c>
      <c r="AC44" s="29">
        <f t="shared" si="9"/>
        <v>33.206831119544596</v>
      </c>
      <c r="AD44" s="28" t="e">
        <f t="shared" si="10"/>
        <v>#VALUE!</v>
      </c>
      <c r="AE44" s="28" t="e">
        <f t="shared" si="11"/>
        <v>#N/A</v>
      </c>
      <c r="AF44" s="28" t="e">
        <f t="shared" si="12"/>
        <v>#VALUE!</v>
      </c>
      <c r="AH44" s="31" t="e">
        <f t="shared" si="16"/>
        <v>#N/A</v>
      </c>
      <c r="AI44" s="25"/>
      <c r="AJ44" s="31"/>
    </row>
    <row r="45" spans="2:36" x14ac:dyDescent="0.25">
      <c r="B45" s="33">
        <f>'Arbitrage Payback Engine'!E45</f>
        <v>0.9861662785919737</v>
      </c>
      <c r="C45" s="33">
        <f t="shared" si="0"/>
        <v>1000</v>
      </c>
      <c r="D45" s="33">
        <f>'Battery Pricing Model'!$C$17</f>
        <v>1000</v>
      </c>
      <c r="E45" s="33">
        <f t="shared" si="1"/>
        <v>999</v>
      </c>
      <c r="F45" s="33" t="str">
        <f>'Peak Models'!$B$4</f>
        <v>Default</v>
      </c>
      <c r="G45" s="33" t="e">
        <f>'Peak Models'!$Q$7</f>
        <v>#VALUE!</v>
      </c>
      <c r="H45" s="33">
        <f>'Peak Models'!$P$16</f>
        <v>1.5</v>
      </c>
      <c r="I45" s="33">
        <v>12</v>
      </c>
      <c r="J45" s="33" t="e">
        <f>'Peak Models'!$P$13</f>
        <v>#N/A</v>
      </c>
      <c r="K45" s="28" t="e">
        <f t="shared" si="13"/>
        <v>#VALUE!</v>
      </c>
      <c r="L45" s="28" t="e">
        <f>INDEX('Peak Models'!$P$34:$P$64, MATCH(TRUNC(B45, 0), 'Peak Models'!$O$34:$O$64, 0))</f>
        <v>#N/A</v>
      </c>
      <c r="M45" s="28">
        <f>'Peak Models'!$P$15*INDEX('Peak Models'!$Q$34:$Q$64, MATCH(TRUNC(B45, 0),'Peak Models'!$O$34:$O$64, 0))/'Profit per cycles Model'!$E$78</f>
        <v>4.7058823529411766</v>
      </c>
      <c r="N45" s="28" t="e">
        <f t="shared" si="2"/>
        <v>#N/A</v>
      </c>
      <c r="O45" s="71" t="e">
        <f>AVERAGE($N$10:N45)</f>
        <v>#N/A</v>
      </c>
      <c r="P45" s="28" t="e">
        <f t="shared" si="3"/>
        <v>#N/A</v>
      </c>
      <c r="R45" s="28" t="e">
        <f t="shared" si="4"/>
        <v>#VALUE!</v>
      </c>
      <c r="S45" s="25"/>
      <c r="T45" s="25">
        <f t="shared" si="5"/>
        <v>15</v>
      </c>
      <c r="U45" s="33">
        <f>IF(PaybackCustom&gt;0, IF(PaybackCustom&lt;&gt;"Default", PaybackCustom, IF(PaybackStatus&lt;&gt;"",INDEX('Arbitrage Payback Engine'!$Y$2:$Y$6,MATCH(PaybackStatus,'Arbitrage Payback Engine'!$X$2:$X$6,FALSE)),-1)))</f>
        <v>25</v>
      </c>
      <c r="V45" s="32">
        <f t="shared" si="14"/>
        <v>15</v>
      </c>
      <c r="X45" s="29">
        <f t="shared" si="15"/>
        <v>36</v>
      </c>
      <c r="Z45" s="30">
        <f t="shared" si="6"/>
        <v>0.9861662785919737</v>
      </c>
      <c r="AA45" s="28" t="e">
        <f t="shared" si="7"/>
        <v>#N/A</v>
      </c>
      <c r="AB45" s="28" t="e">
        <f t="shared" si="8"/>
        <v>#VALUE!</v>
      </c>
      <c r="AC45" s="29">
        <f t="shared" si="9"/>
        <v>34.155597722960152</v>
      </c>
      <c r="AD45" s="28" t="e">
        <f t="shared" si="10"/>
        <v>#VALUE!</v>
      </c>
      <c r="AE45" s="28" t="e">
        <f t="shared" si="11"/>
        <v>#N/A</v>
      </c>
      <c r="AF45" s="28" t="e">
        <f t="shared" si="12"/>
        <v>#VALUE!</v>
      </c>
      <c r="AH45" s="31" t="e">
        <f t="shared" si="16"/>
        <v>#N/A</v>
      </c>
      <c r="AI45" s="25"/>
      <c r="AJ45" s="31"/>
    </row>
    <row r="46" spans="2:36" x14ac:dyDescent="0.25">
      <c r="B46" s="33">
        <f>'Arbitrage Payback Engine'!E46</f>
        <v>1.0135597863306396</v>
      </c>
      <c r="C46" s="33">
        <f t="shared" si="0"/>
        <v>1000</v>
      </c>
      <c r="D46" s="33">
        <f>'Battery Pricing Model'!$C$17</f>
        <v>1000</v>
      </c>
      <c r="E46" s="33">
        <f t="shared" si="1"/>
        <v>999</v>
      </c>
      <c r="F46" s="33" t="str">
        <f>'Peak Models'!$B$4</f>
        <v>Default</v>
      </c>
      <c r="G46" s="33" t="e">
        <f>'Peak Models'!$Q$7</f>
        <v>#VALUE!</v>
      </c>
      <c r="H46" s="33">
        <f>'Peak Models'!$P$16</f>
        <v>1.5</v>
      </c>
      <c r="I46" s="33">
        <v>12</v>
      </c>
      <c r="J46" s="33" t="e">
        <f>'Peak Models'!$P$13</f>
        <v>#N/A</v>
      </c>
      <c r="K46" s="28" t="e">
        <f t="shared" si="13"/>
        <v>#VALUE!</v>
      </c>
      <c r="L46" s="28" t="e">
        <f>INDEX('Peak Models'!$P$34:$P$64, MATCH(TRUNC(B46, 0), 'Peak Models'!$O$34:$O$64, 0))</f>
        <v>#N/A</v>
      </c>
      <c r="M46" s="28">
        <f>'Peak Models'!$P$15*INDEX('Peak Models'!$Q$34:$Q$64, MATCH(TRUNC(B46, 0),'Peak Models'!$O$34:$O$64, 0))/'Profit per cycles Model'!$E$78</f>
        <v>4.8235294117647056</v>
      </c>
      <c r="N46" s="28" t="e">
        <f t="shared" si="2"/>
        <v>#N/A</v>
      </c>
      <c r="O46" s="71" t="e">
        <f>AVERAGE($N$10:N46)</f>
        <v>#N/A</v>
      </c>
      <c r="P46" s="28" t="e">
        <f t="shared" si="3"/>
        <v>#N/A</v>
      </c>
      <c r="R46" s="28" t="e">
        <f t="shared" si="4"/>
        <v>#VALUE!</v>
      </c>
      <c r="S46" s="25"/>
      <c r="T46" s="25">
        <f t="shared" si="5"/>
        <v>15</v>
      </c>
      <c r="U46" s="33">
        <f>IF(PaybackCustom&gt;0, IF(PaybackCustom&lt;&gt;"Default", PaybackCustom, IF(PaybackStatus&lt;&gt;"",INDEX('Arbitrage Payback Engine'!$Y$2:$Y$6,MATCH(PaybackStatus,'Arbitrage Payback Engine'!$X$2:$X$6,FALSE)),-1)))</f>
        <v>25</v>
      </c>
      <c r="V46" s="32">
        <f t="shared" si="14"/>
        <v>15</v>
      </c>
      <c r="X46" s="29">
        <f t="shared" si="15"/>
        <v>37</v>
      </c>
      <c r="Z46" s="30">
        <f t="shared" si="6"/>
        <v>1.0135597863306396</v>
      </c>
      <c r="AA46" s="28" t="e">
        <f t="shared" si="7"/>
        <v>#N/A</v>
      </c>
      <c r="AB46" s="28" t="e">
        <f t="shared" si="8"/>
        <v>#VALUE!</v>
      </c>
      <c r="AC46" s="29">
        <f t="shared" si="9"/>
        <v>35.104364326375709</v>
      </c>
      <c r="AD46" s="28" t="e">
        <f t="shared" si="10"/>
        <v>#VALUE!</v>
      </c>
      <c r="AE46" s="28" t="e">
        <f t="shared" si="11"/>
        <v>#N/A</v>
      </c>
      <c r="AF46" s="28" t="e">
        <f t="shared" si="12"/>
        <v>#VALUE!</v>
      </c>
      <c r="AH46" s="31" t="e">
        <f t="shared" si="16"/>
        <v>#N/A</v>
      </c>
      <c r="AI46" s="25"/>
      <c r="AJ46" s="31"/>
    </row>
    <row r="47" spans="2:36" x14ac:dyDescent="0.25">
      <c r="B47" s="33">
        <f>'Arbitrage Payback Engine'!E47</f>
        <v>1.0409532940693056</v>
      </c>
      <c r="C47" s="33">
        <f t="shared" si="0"/>
        <v>1000</v>
      </c>
      <c r="D47" s="33">
        <f>'Battery Pricing Model'!$C$17</f>
        <v>1000</v>
      </c>
      <c r="E47" s="33">
        <f t="shared" si="1"/>
        <v>999</v>
      </c>
      <c r="F47" s="33" t="str">
        <f>'Peak Models'!$B$4</f>
        <v>Default</v>
      </c>
      <c r="G47" s="33" t="e">
        <f>'Peak Models'!$Q$7</f>
        <v>#VALUE!</v>
      </c>
      <c r="H47" s="33">
        <f>'Peak Models'!$P$16</f>
        <v>1.5</v>
      </c>
      <c r="I47" s="33">
        <v>12</v>
      </c>
      <c r="J47" s="33" t="e">
        <f>'Peak Models'!$P$13</f>
        <v>#N/A</v>
      </c>
      <c r="K47" s="28" t="e">
        <f t="shared" si="13"/>
        <v>#VALUE!</v>
      </c>
      <c r="L47" s="28" t="e">
        <f>INDEX('Peak Models'!$P$34:$P$64, MATCH(TRUNC(B47, 0), 'Peak Models'!$O$34:$O$64, 0))</f>
        <v>#N/A</v>
      </c>
      <c r="M47" s="28">
        <f>'Peak Models'!$P$15*INDEX('Peak Models'!$Q$34:$Q$64, MATCH(TRUNC(B47, 0),'Peak Models'!$O$34:$O$64, 0))/'Profit per cycles Model'!$E$78</f>
        <v>4.8235294117647056</v>
      </c>
      <c r="N47" s="28" t="e">
        <f t="shared" si="2"/>
        <v>#N/A</v>
      </c>
      <c r="O47" s="71" t="e">
        <f>AVERAGE($N$10:N47)</f>
        <v>#N/A</v>
      </c>
      <c r="P47" s="28" t="e">
        <f t="shared" si="3"/>
        <v>#N/A</v>
      </c>
      <c r="R47" s="28" t="e">
        <f t="shared" si="4"/>
        <v>#VALUE!</v>
      </c>
      <c r="S47" s="25"/>
      <c r="T47" s="25">
        <f t="shared" si="5"/>
        <v>15</v>
      </c>
      <c r="U47" s="33">
        <f>IF(PaybackCustom&gt;0, IF(PaybackCustom&lt;&gt;"Default", PaybackCustom, IF(PaybackStatus&lt;&gt;"",INDEX('Arbitrage Payback Engine'!$Y$2:$Y$6,MATCH(PaybackStatus,'Arbitrage Payback Engine'!$X$2:$X$6,FALSE)),-1)))</f>
        <v>25</v>
      </c>
      <c r="V47" s="32">
        <f t="shared" si="14"/>
        <v>15</v>
      </c>
      <c r="X47" s="29">
        <f t="shared" si="15"/>
        <v>38</v>
      </c>
      <c r="Z47" s="30">
        <f t="shared" si="6"/>
        <v>1.0409532940693056</v>
      </c>
      <c r="AA47" s="28" t="e">
        <f t="shared" si="7"/>
        <v>#N/A</v>
      </c>
      <c r="AB47" s="28" t="e">
        <f t="shared" si="8"/>
        <v>#VALUE!</v>
      </c>
      <c r="AC47" s="29">
        <f t="shared" si="9"/>
        <v>36.05313092979128</v>
      </c>
      <c r="AD47" s="28" t="e">
        <f t="shared" si="10"/>
        <v>#VALUE!</v>
      </c>
      <c r="AE47" s="28" t="e">
        <f t="shared" si="11"/>
        <v>#N/A</v>
      </c>
      <c r="AF47" s="28" t="e">
        <f t="shared" si="12"/>
        <v>#VALUE!</v>
      </c>
      <c r="AH47" s="31" t="e">
        <f t="shared" si="16"/>
        <v>#N/A</v>
      </c>
      <c r="AI47" s="25"/>
      <c r="AJ47" s="31"/>
    </row>
    <row r="48" spans="2:36" x14ac:dyDescent="0.25">
      <c r="B48" s="33">
        <f>'Arbitrage Payback Engine'!E48</f>
        <v>1.0683468018079714</v>
      </c>
      <c r="C48" s="33">
        <f t="shared" si="0"/>
        <v>1000</v>
      </c>
      <c r="D48" s="33">
        <f>'Battery Pricing Model'!$C$17</f>
        <v>1000</v>
      </c>
      <c r="E48" s="33">
        <f t="shared" si="1"/>
        <v>999</v>
      </c>
      <c r="F48" s="33" t="str">
        <f>'Peak Models'!$B$4</f>
        <v>Default</v>
      </c>
      <c r="G48" s="33" t="e">
        <f>'Peak Models'!$Q$7</f>
        <v>#VALUE!</v>
      </c>
      <c r="H48" s="33">
        <f>'Peak Models'!$P$16</f>
        <v>1.5</v>
      </c>
      <c r="I48" s="33">
        <v>12</v>
      </c>
      <c r="J48" s="33" t="e">
        <f>'Peak Models'!$P$13</f>
        <v>#N/A</v>
      </c>
      <c r="K48" s="28" t="e">
        <f t="shared" si="13"/>
        <v>#VALUE!</v>
      </c>
      <c r="L48" s="28" t="e">
        <f>INDEX('Peak Models'!$P$34:$P$64, MATCH(TRUNC(B48, 0), 'Peak Models'!$O$34:$O$64, 0))</f>
        <v>#N/A</v>
      </c>
      <c r="M48" s="28">
        <f>'Peak Models'!$P$15*INDEX('Peak Models'!$Q$34:$Q$64, MATCH(TRUNC(B48, 0),'Peak Models'!$O$34:$O$64, 0))/'Profit per cycles Model'!$E$78</f>
        <v>4.8235294117647056</v>
      </c>
      <c r="N48" s="28" t="e">
        <f t="shared" si="2"/>
        <v>#N/A</v>
      </c>
      <c r="O48" s="71" t="e">
        <f>AVERAGE($N$10:N48)</f>
        <v>#N/A</v>
      </c>
      <c r="P48" s="28" t="e">
        <f t="shared" si="3"/>
        <v>#N/A</v>
      </c>
      <c r="R48" s="28" t="e">
        <f t="shared" si="4"/>
        <v>#VALUE!</v>
      </c>
      <c r="S48" s="25"/>
      <c r="T48" s="25">
        <f t="shared" si="5"/>
        <v>15</v>
      </c>
      <c r="U48" s="33">
        <f>IF(PaybackCustom&gt;0, IF(PaybackCustom&lt;&gt;"Default", PaybackCustom, IF(PaybackStatus&lt;&gt;"",INDEX('Arbitrage Payback Engine'!$Y$2:$Y$6,MATCH(PaybackStatus,'Arbitrage Payback Engine'!$X$2:$X$6,FALSE)),-1)))</f>
        <v>25</v>
      </c>
      <c r="V48" s="32">
        <f t="shared" si="14"/>
        <v>15</v>
      </c>
      <c r="X48" s="29">
        <f t="shared" si="15"/>
        <v>39</v>
      </c>
      <c r="Z48" s="30">
        <f t="shared" si="6"/>
        <v>1.0683468018079714</v>
      </c>
      <c r="AA48" s="28" t="e">
        <f t="shared" si="7"/>
        <v>#N/A</v>
      </c>
      <c r="AB48" s="28" t="e">
        <f t="shared" si="8"/>
        <v>#VALUE!</v>
      </c>
      <c r="AC48" s="29">
        <f t="shared" si="9"/>
        <v>37.001897533206829</v>
      </c>
      <c r="AD48" s="28" t="e">
        <f t="shared" si="10"/>
        <v>#VALUE!</v>
      </c>
      <c r="AE48" s="28" t="e">
        <f t="shared" si="11"/>
        <v>#N/A</v>
      </c>
      <c r="AF48" s="28" t="e">
        <f t="shared" si="12"/>
        <v>#VALUE!</v>
      </c>
      <c r="AH48" s="31" t="e">
        <f t="shared" si="16"/>
        <v>#N/A</v>
      </c>
      <c r="AI48" s="25"/>
      <c r="AJ48" s="31"/>
    </row>
    <row r="49" spans="2:36" x14ac:dyDescent="0.25">
      <c r="B49" s="33">
        <f>'Arbitrage Payback Engine'!E49</f>
        <v>1.0957403095466374</v>
      </c>
      <c r="C49" s="33">
        <f t="shared" si="0"/>
        <v>1000</v>
      </c>
      <c r="D49" s="33">
        <f>'Battery Pricing Model'!$C$17</f>
        <v>1000</v>
      </c>
      <c r="E49" s="33">
        <f t="shared" si="1"/>
        <v>999</v>
      </c>
      <c r="F49" s="33" t="str">
        <f>'Peak Models'!$B$4</f>
        <v>Default</v>
      </c>
      <c r="G49" s="33" t="e">
        <f>'Peak Models'!$Q$7</f>
        <v>#VALUE!</v>
      </c>
      <c r="H49" s="33">
        <f>'Peak Models'!$P$16</f>
        <v>1.5</v>
      </c>
      <c r="I49" s="33">
        <v>12</v>
      </c>
      <c r="J49" s="33" t="e">
        <f>'Peak Models'!$P$13</f>
        <v>#N/A</v>
      </c>
      <c r="K49" s="28" t="e">
        <f t="shared" si="13"/>
        <v>#VALUE!</v>
      </c>
      <c r="L49" s="28" t="e">
        <f>INDEX('Peak Models'!$P$34:$P$64, MATCH(TRUNC(B49, 0), 'Peak Models'!$O$34:$O$64, 0))</f>
        <v>#N/A</v>
      </c>
      <c r="M49" s="28">
        <f>'Peak Models'!$P$15*INDEX('Peak Models'!$Q$34:$Q$64, MATCH(TRUNC(B49, 0),'Peak Models'!$O$34:$O$64, 0))/'Profit per cycles Model'!$E$78</f>
        <v>4.8235294117647056</v>
      </c>
      <c r="N49" s="28" t="e">
        <f t="shared" si="2"/>
        <v>#N/A</v>
      </c>
      <c r="O49" s="71" t="e">
        <f>AVERAGE($N$10:N49)</f>
        <v>#N/A</v>
      </c>
      <c r="P49" s="28" t="e">
        <f t="shared" si="3"/>
        <v>#N/A</v>
      </c>
      <c r="R49" s="28" t="e">
        <f t="shared" si="4"/>
        <v>#VALUE!</v>
      </c>
      <c r="S49" s="25"/>
      <c r="T49" s="25">
        <f t="shared" si="5"/>
        <v>15</v>
      </c>
      <c r="U49" s="33">
        <f>IF(PaybackCustom&gt;0, IF(PaybackCustom&lt;&gt;"Default", PaybackCustom, IF(PaybackStatus&lt;&gt;"",INDEX('Arbitrage Payback Engine'!$Y$2:$Y$6,MATCH(PaybackStatus,'Arbitrage Payback Engine'!$X$2:$X$6,FALSE)),-1)))</f>
        <v>25</v>
      </c>
      <c r="V49" s="32">
        <f t="shared" si="14"/>
        <v>15</v>
      </c>
      <c r="X49" s="29">
        <f t="shared" si="15"/>
        <v>40</v>
      </c>
      <c r="Z49" s="30">
        <f t="shared" si="6"/>
        <v>1.0957403095466374</v>
      </c>
      <c r="AA49" s="28" t="e">
        <f t="shared" si="7"/>
        <v>#N/A</v>
      </c>
      <c r="AB49" s="28" t="e">
        <f t="shared" si="8"/>
        <v>#VALUE!</v>
      </c>
      <c r="AC49" s="29">
        <f t="shared" si="9"/>
        <v>37.950664136622386</v>
      </c>
      <c r="AD49" s="28" t="e">
        <f t="shared" si="10"/>
        <v>#VALUE!</v>
      </c>
      <c r="AE49" s="28" t="e">
        <f t="shared" si="11"/>
        <v>#N/A</v>
      </c>
      <c r="AF49" s="28" t="e">
        <f t="shared" si="12"/>
        <v>#VALUE!</v>
      </c>
      <c r="AH49" s="31" t="e">
        <f t="shared" si="16"/>
        <v>#N/A</v>
      </c>
      <c r="AI49" s="25"/>
      <c r="AJ49" s="31"/>
    </row>
    <row r="50" spans="2:36" x14ac:dyDescent="0.25">
      <c r="B50" s="33">
        <f>'Arbitrage Payback Engine'!E50</f>
        <v>1.1231338172853034</v>
      </c>
      <c r="C50" s="33">
        <f t="shared" si="0"/>
        <v>1000</v>
      </c>
      <c r="D50" s="33">
        <f>'Battery Pricing Model'!$C$17</f>
        <v>1000</v>
      </c>
      <c r="E50" s="33">
        <f t="shared" si="1"/>
        <v>999</v>
      </c>
      <c r="F50" s="33" t="str">
        <f>'Peak Models'!$B$4</f>
        <v>Default</v>
      </c>
      <c r="G50" s="33" t="e">
        <f>'Peak Models'!$Q$7</f>
        <v>#VALUE!</v>
      </c>
      <c r="H50" s="33">
        <f>'Peak Models'!$P$16</f>
        <v>1.5</v>
      </c>
      <c r="I50" s="33">
        <v>12</v>
      </c>
      <c r="J50" s="33" t="e">
        <f>'Peak Models'!$P$13</f>
        <v>#N/A</v>
      </c>
      <c r="K50" s="28" t="e">
        <f t="shared" si="13"/>
        <v>#VALUE!</v>
      </c>
      <c r="L50" s="28" t="e">
        <f>INDEX('Peak Models'!$P$34:$P$64, MATCH(TRUNC(B50, 0), 'Peak Models'!$O$34:$O$64, 0))</f>
        <v>#N/A</v>
      </c>
      <c r="M50" s="28">
        <f>'Peak Models'!$P$15*INDEX('Peak Models'!$Q$34:$Q$64, MATCH(TRUNC(B50, 0),'Peak Models'!$O$34:$O$64, 0))/'Profit per cycles Model'!$E$78</f>
        <v>4.8235294117647056</v>
      </c>
      <c r="N50" s="28" t="e">
        <f t="shared" si="2"/>
        <v>#N/A</v>
      </c>
      <c r="O50" s="71" t="e">
        <f>AVERAGE($N$10:N50)</f>
        <v>#N/A</v>
      </c>
      <c r="P50" s="28" t="e">
        <f t="shared" si="3"/>
        <v>#N/A</v>
      </c>
      <c r="R50" s="28" t="e">
        <f t="shared" si="4"/>
        <v>#VALUE!</v>
      </c>
      <c r="S50" s="25"/>
      <c r="T50" s="25">
        <f t="shared" si="5"/>
        <v>15</v>
      </c>
      <c r="U50" s="33">
        <f>IF(PaybackCustom&gt;0, IF(PaybackCustom&lt;&gt;"Default", PaybackCustom, IF(PaybackStatus&lt;&gt;"",INDEX('Arbitrage Payback Engine'!$Y$2:$Y$6,MATCH(PaybackStatus,'Arbitrage Payback Engine'!$X$2:$X$6,FALSE)),-1)))</f>
        <v>25</v>
      </c>
      <c r="V50" s="32">
        <f t="shared" si="14"/>
        <v>15</v>
      </c>
      <c r="X50" s="29">
        <f t="shared" si="15"/>
        <v>41</v>
      </c>
      <c r="Z50" s="30">
        <f t="shared" si="6"/>
        <v>1.1231338172853034</v>
      </c>
      <c r="AA50" s="28" t="e">
        <f t="shared" si="7"/>
        <v>#N/A</v>
      </c>
      <c r="AB50" s="28" t="e">
        <f t="shared" si="8"/>
        <v>#VALUE!</v>
      </c>
      <c r="AC50" s="29">
        <f t="shared" si="9"/>
        <v>38.89943074003795</v>
      </c>
      <c r="AD50" s="28" t="e">
        <f t="shared" si="10"/>
        <v>#VALUE!</v>
      </c>
      <c r="AE50" s="28" t="e">
        <f t="shared" si="11"/>
        <v>#N/A</v>
      </c>
      <c r="AF50" s="28" t="e">
        <f t="shared" si="12"/>
        <v>#VALUE!</v>
      </c>
      <c r="AH50" s="31" t="e">
        <f t="shared" si="16"/>
        <v>#N/A</v>
      </c>
      <c r="AI50" s="25"/>
      <c r="AJ50" s="31"/>
    </row>
    <row r="51" spans="2:36" x14ac:dyDescent="0.25">
      <c r="B51" s="33">
        <f>'Arbitrage Payback Engine'!E51</f>
        <v>1.1505273250239694</v>
      </c>
      <c r="C51" s="33">
        <f t="shared" si="0"/>
        <v>1000</v>
      </c>
      <c r="D51" s="33">
        <f>'Battery Pricing Model'!$C$17</f>
        <v>1000</v>
      </c>
      <c r="E51" s="33">
        <f t="shared" si="1"/>
        <v>999</v>
      </c>
      <c r="F51" s="33" t="str">
        <f>'Peak Models'!$B$4</f>
        <v>Default</v>
      </c>
      <c r="G51" s="33" t="e">
        <f>'Peak Models'!$Q$7</f>
        <v>#VALUE!</v>
      </c>
      <c r="H51" s="33">
        <f>'Peak Models'!$P$16</f>
        <v>1.5</v>
      </c>
      <c r="I51" s="33">
        <v>12</v>
      </c>
      <c r="J51" s="33" t="e">
        <f>'Peak Models'!$P$13</f>
        <v>#N/A</v>
      </c>
      <c r="K51" s="28" t="e">
        <f t="shared" si="13"/>
        <v>#VALUE!</v>
      </c>
      <c r="L51" s="28" t="e">
        <f>INDEX('Peak Models'!$P$34:$P$64, MATCH(TRUNC(B51, 0), 'Peak Models'!$O$34:$O$64, 0))</f>
        <v>#N/A</v>
      </c>
      <c r="M51" s="28">
        <f>'Peak Models'!$P$15*INDEX('Peak Models'!$Q$34:$Q$64, MATCH(TRUNC(B51, 0),'Peak Models'!$O$34:$O$64, 0))/'Profit per cycles Model'!$E$78</f>
        <v>4.8235294117647056</v>
      </c>
      <c r="N51" s="28" t="e">
        <f t="shared" si="2"/>
        <v>#N/A</v>
      </c>
      <c r="O51" s="71" t="e">
        <f>AVERAGE($N$10:N51)</f>
        <v>#N/A</v>
      </c>
      <c r="P51" s="28" t="e">
        <f t="shared" si="3"/>
        <v>#N/A</v>
      </c>
      <c r="R51" s="28" t="e">
        <f t="shared" si="4"/>
        <v>#VALUE!</v>
      </c>
      <c r="S51" s="25"/>
      <c r="T51" s="25">
        <f t="shared" si="5"/>
        <v>15</v>
      </c>
      <c r="U51" s="33">
        <f>IF(PaybackCustom&gt;0, IF(PaybackCustom&lt;&gt;"Default", PaybackCustom, IF(PaybackStatus&lt;&gt;"",INDEX('Arbitrage Payback Engine'!$Y$2:$Y$6,MATCH(PaybackStatus,'Arbitrage Payback Engine'!$X$2:$X$6,FALSE)),-1)))</f>
        <v>25</v>
      </c>
      <c r="V51" s="32">
        <f t="shared" si="14"/>
        <v>15</v>
      </c>
      <c r="X51" s="29">
        <f t="shared" si="15"/>
        <v>42</v>
      </c>
      <c r="Z51" s="30">
        <f t="shared" si="6"/>
        <v>1.1505273250239694</v>
      </c>
      <c r="AA51" s="28" t="e">
        <f t="shared" si="7"/>
        <v>#N/A</v>
      </c>
      <c r="AB51" s="28" t="e">
        <f t="shared" si="8"/>
        <v>#VALUE!</v>
      </c>
      <c r="AC51" s="29">
        <f t="shared" si="9"/>
        <v>39.848197343453513</v>
      </c>
      <c r="AD51" s="28" t="e">
        <f t="shared" si="10"/>
        <v>#VALUE!</v>
      </c>
      <c r="AE51" s="28" t="e">
        <f t="shared" si="11"/>
        <v>#N/A</v>
      </c>
      <c r="AF51" s="28" t="e">
        <f t="shared" si="12"/>
        <v>#VALUE!</v>
      </c>
      <c r="AH51" s="31" t="e">
        <f t="shared" si="16"/>
        <v>#N/A</v>
      </c>
      <c r="AI51" s="25"/>
      <c r="AJ51" s="31"/>
    </row>
    <row r="52" spans="2:36" x14ac:dyDescent="0.25">
      <c r="B52" s="33">
        <f>'Arbitrage Payback Engine'!E52</f>
        <v>1.1779208327626352</v>
      </c>
      <c r="C52" s="33">
        <f t="shared" si="0"/>
        <v>1000</v>
      </c>
      <c r="D52" s="33">
        <f>'Battery Pricing Model'!$C$17</f>
        <v>1000</v>
      </c>
      <c r="E52" s="33">
        <f t="shared" si="1"/>
        <v>999</v>
      </c>
      <c r="F52" s="33" t="str">
        <f>'Peak Models'!$B$4</f>
        <v>Default</v>
      </c>
      <c r="G52" s="33" t="e">
        <f>'Peak Models'!$Q$7</f>
        <v>#VALUE!</v>
      </c>
      <c r="H52" s="33">
        <f>'Peak Models'!$P$16</f>
        <v>1.5</v>
      </c>
      <c r="I52" s="33">
        <v>12</v>
      </c>
      <c r="J52" s="33" t="e">
        <f>'Peak Models'!$P$13</f>
        <v>#N/A</v>
      </c>
      <c r="K52" s="28" t="e">
        <f t="shared" si="13"/>
        <v>#VALUE!</v>
      </c>
      <c r="L52" s="28" t="e">
        <f>INDEX('Peak Models'!$P$34:$P$64, MATCH(TRUNC(B52, 0), 'Peak Models'!$O$34:$O$64, 0))</f>
        <v>#N/A</v>
      </c>
      <c r="M52" s="28">
        <f>'Peak Models'!$P$15*INDEX('Peak Models'!$Q$34:$Q$64, MATCH(TRUNC(B52, 0),'Peak Models'!$O$34:$O$64, 0))/'Profit per cycles Model'!$E$78</f>
        <v>4.8235294117647056</v>
      </c>
      <c r="N52" s="28" t="e">
        <f t="shared" si="2"/>
        <v>#N/A</v>
      </c>
      <c r="O52" s="71" t="e">
        <f>AVERAGE($N$10:N52)</f>
        <v>#N/A</v>
      </c>
      <c r="P52" s="28" t="e">
        <f t="shared" si="3"/>
        <v>#N/A</v>
      </c>
      <c r="R52" s="28" t="e">
        <f t="shared" si="4"/>
        <v>#VALUE!</v>
      </c>
      <c r="S52" s="25"/>
      <c r="T52" s="25">
        <f t="shared" si="5"/>
        <v>15</v>
      </c>
      <c r="U52" s="33">
        <f>IF(PaybackCustom&gt;0, IF(PaybackCustom&lt;&gt;"Default", PaybackCustom, IF(PaybackStatus&lt;&gt;"",INDEX('Arbitrage Payback Engine'!$Y$2:$Y$6,MATCH(PaybackStatus,'Arbitrage Payback Engine'!$X$2:$X$6,FALSE)),-1)))</f>
        <v>25</v>
      </c>
      <c r="V52" s="32">
        <f t="shared" si="14"/>
        <v>15</v>
      </c>
      <c r="X52" s="29">
        <f t="shared" si="15"/>
        <v>43</v>
      </c>
      <c r="Z52" s="30">
        <f t="shared" si="6"/>
        <v>1.1779208327626352</v>
      </c>
      <c r="AA52" s="28" t="e">
        <f t="shared" si="7"/>
        <v>#N/A</v>
      </c>
      <c r="AB52" s="28" t="e">
        <f t="shared" si="8"/>
        <v>#VALUE!</v>
      </c>
      <c r="AC52" s="29">
        <f t="shared" si="9"/>
        <v>40.79696394686907</v>
      </c>
      <c r="AD52" s="28" t="e">
        <f t="shared" si="10"/>
        <v>#VALUE!</v>
      </c>
      <c r="AE52" s="28" t="e">
        <f t="shared" si="11"/>
        <v>#N/A</v>
      </c>
      <c r="AF52" s="28" t="e">
        <f t="shared" si="12"/>
        <v>#VALUE!</v>
      </c>
      <c r="AH52" s="31" t="e">
        <f t="shared" si="16"/>
        <v>#N/A</v>
      </c>
      <c r="AI52" s="25"/>
      <c r="AJ52" s="31"/>
    </row>
    <row r="53" spans="2:36" x14ac:dyDescent="0.25">
      <c r="B53" s="33">
        <f>'Arbitrage Payback Engine'!E53</f>
        <v>1.2053143405013012</v>
      </c>
      <c r="C53" s="33">
        <f t="shared" si="0"/>
        <v>1000</v>
      </c>
      <c r="D53" s="33">
        <f>'Battery Pricing Model'!$C$17</f>
        <v>1000</v>
      </c>
      <c r="E53" s="33">
        <f t="shared" si="1"/>
        <v>999</v>
      </c>
      <c r="F53" s="33" t="str">
        <f>'Peak Models'!$B$4</f>
        <v>Default</v>
      </c>
      <c r="G53" s="33" t="e">
        <f>'Peak Models'!$Q$7</f>
        <v>#VALUE!</v>
      </c>
      <c r="H53" s="33">
        <f>'Peak Models'!$P$16</f>
        <v>1.5</v>
      </c>
      <c r="I53" s="33">
        <v>12</v>
      </c>
      <c r="J53" s="33" t="e">
        <f>'Peak Models'!$P$13</f>
        <v>#N/A</v>
      </c>
      <c r="K53" s="28" t="e">
        <f t="shared" si="13"/>
        <v>#VALUE!</v>
      </c>
      <c r="L53" s="28" t="e">
        <f>INDEX('Peak Models'!$P$34:$P$64, MATCH(TRUNC(B53, 0), 'Peak Models'!$O$34:$O$64, 0))</f>
        <v>#N/A</v>
      </c>
      <c r="M53" s="28">
        <f>'Peak Models'!$P$15*INDEX('Peak Models'!$Q$34:$Q$64, MATCH(TRUNC(B53, 0),'Peak Models'!$O$34:$O$64, 0))/'Profit per cycles Model'!$E$78</f>
        <v>4.8235294117647056</v>
      </c>
      <c r="N53" s="28" t="e">
        <f t="shared" si="2"/>
        <v>#N/A</v>
      </c>
      <c r="O53" s="71" t="e">
        <f>AVERAGE($N$10:N53)</f>
        <v>#N/A</v>
      </c>
      <c r="P53" s="28" t="e">
        <f t="shared" si="3"/>
        <v>#N/A</v>
      </c>
      <c r="R53" s="28" t="e">
        <f t="shared" si="4"/>
        <v>#VALUE!</v>
      </c>
      <c r="S53" s="25"/>
      <c r="T53" s="25">
        <f t="shared" si="5"/>
        <v>15</v>
      </c>
      <c r="U53" s="33">
        <f>IF(PaybackCustom&gt;0, IF(PaybackCustom&lt;&gt;"Default", PaybackCustom, IF(PaybackStatus&lt;&gt;"",INDEX('Arbitrage Payback Engine'!$Y$2:$Y$6,MATCH(PaybackStatus,'Arbitrage Payback Engine'!$X$2:$X$6,FALSE)),-1)))</f>
        <v>25</v>
      </c>
      <c r="V53" s="32">
        <f t="shared" si="14"/>
        <v>15</v>
      </c>
      <c r="X53" s="29">
        <f t="shared" si="15"/>
        <v>44</v>
      </c>
      <c r="Z53" s="30">
        <f t="shared" si="6"/>
        <v>1.2053143405013012</v>
      </c>
      <c r="AA53" s="28" t="e">
        <f t="shared" si="7"/>
        <v>#N/A</v>
      </c>
      <c r="AB53" s="28" t="e">
        <f t="shared" si="8"/>
        <v>#VALUE!</v>
      </c>
      <c r="AC53" s="29">
        <f t="shared" si="9"/>
        <v>41.745730550284627</v>
      </c>
      <c r="AD53" s="28" t="e">
        <f t="shared" si="10"/>
        <v>#VALUE!</v>
      </c>
      <c r="AE53" s="28" t="e">
        <f t="shared" si="11"/>
        <v>#N/A</v>
      </c>
      <c r="AF53" s="28" t="e">
        <f t="shared" si="12"/>
        <v>#VALUE!</v>
      </c>
      <c r="AH53" s="31" t="e">
        <f t="shared" si="16"/>
        <v>#N/A</v>
      </c>
      <c r="AI53" s="25"/>
      <c r="AJ53" s="31"/>
    </row>
    <row r="54" spans="2:36" x14ac:dyDescent="0.25">
      <c r="B54" s="33">
        <f>'Arbitrage Payback Engine'!E54</f>
        <v>1.2327078482399672</v>
      </c>
      <c r="C54" s="33">
        <f t="shared" si="0"/>
        <v>1000</v>
      </c>
      <c r="D54" s="33">
        <f>'Battery Pricing Model'!$C$17</f>
        <v>1000</v>
      </c>
      <c r="E54" s="33">
        <f t="shared" si="1"/>
        <v>999</v>
      </c>
      <c r="F54" s="33" t="str">
        <f>'Peak Models'!$B$4</f>
        <v>Default</v>
      </c>
      <c r="G54" s="33" t="e">
        <f>'Peak Models'!$Q$7</f>
        <v>#VALUE!</v>
      </c>
      <c r="H54" s="33">
        <f>'Peak Models'!$P$16</f>
        <v>1.5</v>
      </c>
      <c r="I54" s="33">
        <v>12</v>
      </c>
      <c r="J54" s="33" t="e">
        <f>'Peak Models'!$P$13</f>
        <v>#N/A</v>
      </c>
      <c r="K54" s="28" t="e">
        <f t="shared" si="13"/>
        <v>#VALUE!</v>
      </c>
      <c r="L54" s="28" t="e">
        <f>INDEX('Peak Models'!$P$34:$P$64, MATCH(TRUNC(B54, 0), 'Peak Models'!$O$34:$O$64, 0))</f>
        <v>#N/A</v>
      </c>
      <c r="M54" s="28">
        <f>'Peak Models'!$P$15*INDEX('Peak Models'!$Q$34:$Q$64, MATCH(TRUNC(B54, 0),'Peak Models'!$O$34:$O$64, 0))/'Profit per cycles Model'!$E$78</f>
        <v>4.8235294117647056</v>
      </c>
      <c r="N54" s="28" t="e">
        <f t="shared" si="2"/>
        <v>#N/A</v>
      </c>
      <c r="O54" s="71" t="e">
        <f>AVERAGE($N$10:N54)</f>
        <v>#N/A</v>
      </c>
      <c r="P54" s="28" t="e">
        <f t="shared" si="3"/>
        <v>#N/A</v>
      </c>
      <c r="R54" s="28" t="e">
        <f t="shared" si="4"/>
        <v>#VALUE!</v>
      </c>
      <c r="S54" s="25"/>
      <c r="T54" s="25">
        <f t="shared" si="5"/>
        <v>15</v>
      </c>
      <c r="U54" s="33">
        <f>IF(PaybackCustom&gt;0, IF(PaybackCustom&lt;&gt;"Default", PaybackCustom, IF(PaybackStatus&lt;&gt;"",INDEX('Arbitrage Payback Engine'!$Y$2:$Y$6,MATCH(PaybackStatus,'Arbitrage Payback Engine'!$X$2:$X$6,FALSE)),-1)))</f>
        <v>25</v>
      </c>
      <c r="V54" s="32">
        <f t="shared" si="14"/>
        <v>15</v>
      </c>
      <c r="X54" s="29">
        <f t="shared" si="15"/>
        <v>45</v>
      </c>
      <c r="Z54" s="30">
        <f t="shared" si="6"/>
        <v>1.2327078482399672</v>
      </c>
      <c r="AA54" s="28" t="e">
        <f t="shared" si="7"/>
        <v>#N/A</v>
      </c>
      <c r="AB54" s="28" t="e">
        <f t="shared" si="8"/>
        <v>#VALUE!</v>
      </c>
      <c r="AC54" s="29">
        <f t="shared" si="9"/>
        <v>42.694497153700198</v>
      </c>
      <c r="AD54" s="28" t="e">
        <f t="shared" si="10"/>
        <v>#VALUE!</v>
      </c>
      <c r="AE54" s="28" t="e">
        <f t="shared" si="11"/>
        <v>#N/A</v>
      </c>
      <c r="AF54" s="28" t="e">
        <f t="shared" si="12"/>
        <v>#VALUE!</v>
      </c>
      <c r="AH54" s="31" t="e">
        <f t="shared" si="16"/>
        <v>#N/A</v>
      </c>
      <c r="AI54" s="25"/>
      <c r="AJ54" s="31"/>
    </row>
    <row r="55" spans="2:36" x14ac:dyDescent="0.25">
      <c r="B55" s="33">
        <f>'Arbitrage Payback Engine'!E55</f>
        <v>1.2601013559786329</v>
      </c>
      <c r="C55" s="33">
        <f t="shared" si="0"/>
        <v>1000</v>
      </c>
      <c r="D55" s="33">
        <f>'Battery Pricing Model'!$C$17</f>
        <v>1000</v>
      </c>
      <c r="E55" s="33">
        <f t="shared" si="1"/>
        <v>999</v>
      </c>
      <c r="F55" s="33" t="str">
        <f>'Peak Models'!$B$4</f>
        <v>Default</v>
      </c>
      <c r="G55" s="33" t="e">
        <f>'Peak Models'!$Q$7</f>
        <v>#VALUE!</v>
      </c>
      <c r="H55" s="33">
        <f>'Peak Models'!$P$16</f>
        <v>1.5</v>
      </c>
      <c r="I55" s="33">
        <v>12</v>
      </c>
      <c r="J55" s="33" t="e">
        <f>'Peak Models'!$P$13</f>
        <v>#N/A</v>
      </c>
      <c r="K55" s="28" t="e">
        <f t="shared" si="13"/>
        <v>#VALUE!</v>
      </c>
      <c r="L55" s="28" t="e">
        <f>INDEX('Peak Models'!$P$34:$P$64, MATCH(TRUNC(B55, 0), 'Peak Models'!$O$34:$O$64, 0))</f>
        <v>#N/A</v>
      </c>
      <c r="M55" s="28">
        <f>'Peak Models'!$P$15*INDEX('Peak Models'!$Q$34:$Q$64, MATCH(TRUNC(B55, 0),'Peak Models'!$O$34:$O$64, 0))/'Profit per cycles Model'!$E$78</f>
        <v>4.8235294117647056</v>
      </c>
      <c r="N55" s="28" t="e">
        <f t="shared" si="2"/>
        <v>#N/A</v>
      </c>
      <c r="O55" s="71" t="e">
        <f>AVERAGE($N$10:N55)</f>
        <v>#N/A</v>
      </c>
      <c r="P55" s="28" t="e">
        <f t="shared" si="3"/>
        <v>#N/A</v>
      </c>
      <c r="R55" s="28" t="e">
        <f t="shared" si="4"/>
        <v>#VALUE!</v>
      </c>
      <c r="S55" s="25"/>
      <c r="T55" s="25">
        <f t="shared" si="5"/>
        <v>15</v>
      </c>
      <c r="U55" s="33">
        <f>IF(PaybackCustom&gt;0, IF(PaybackCustom&lt;&gt;"Default", PaybackCustom, IF(PaybackStatus&lt;&gt;"",INDEX('Arbitrage Payback Engine'!$Y$2:$Y$6,MATCH(PaybackStatus,'Arbitrage Payback Engine'!$X$2:$X$6,FALSE)),-1)))</f>
        <v>25</v>
      </c>
      <c r="V55" s="32">
        <f t="shared" si="14"/>
        <v>15</v>
      </c>
      <c r="X55" s="29">
        <f t="shared" si="15"/>
        <v>46</v>
      </c>
      <c r="Z55" s="30">
        <f t="shared" si="6"/>
        <v>1.2601013559786329</v>
      </c>
      <c r="AA55" s="28" t="e">
        <f t="shared" si="7"/>
        <v>#N/A</v>
      </c>
      <c r="AB55" s="28" t="e">
        <f t="shared" si="8"/>
        <v>#VALUE!</v>
      </c>
      <c r="AC55" s="29">
        <f t="shared" si="9"/>
        <v>43.643263757115747</v>
      </c>
      <c r="AD55" s="28" t="e">
        <f t="shared" si="10"/>
        <v>#VALUE!</v>
      </c>
      <c r="AE55" s="28" t="e">
        <f t="shared" si="11"/>
        <v>#N/A</v>
      </c>
      <c r="AF55" s="28" t="e">
        <f t="shared" si="12"/>
        <v>#VALUE!</v>
      </c>
      <c r="AH55" s="31" t="e">
        <f t="shared" si="16"/>
        <v>#N/A</v>
      </c>
      <c r="AI55" s="25"/>
      <c r="AJ55" s="31"/>
    </row>
    <row r="56" spans="2:36" x14ac:dyDescent="0.25">
      <c r="B56" s="33">
        <f>'Arbitrage Payback Engine'!E56</f>
        <v>1.2874948637172989</v>
      </c>
      <c r="C56" s="33">
        <f t="shared" si="0"/>
        <v>1000</v>
      </c>
      <c r="D56" s="33">
        <f>'Battery Pricing Model'!$C$17</f>
        <v>1000</v>
      </c>
      <c r="E56" s="33">
        <f t="shared" si="1"/>
        <v>999</v>
      </c>
      <c r="F56" s="33" t="str">
        <f>'Peak Models'!$B$4</f>
        <v>Default</v>
      </c>
      <c r="G56" s="33" t="e">
        <f>'Peak Models'!$Q$7</f>
        <v>#VALUE!</v>
      </c>
      <c r="H56" s="33">
        <f>'Peak Models'!$P$16</f>
        <v>1.5</v>
      </c>
      <c r="I56" s="33">
        <v>12</v>
      </c>
      <c r="J56" s="33" t="e">
        <f>'Peak Models'!$P$13</f>
        <v>#N/A</v>
      </c>
      <c r="K56" s="28" t="e">
        <f t="shared" si="13"/>
        <v>#VALUE!</v>
      </c>
      <c r="L56" s="28" t="e">
        <f>INDEX('Peak Models'!$P$34:$P$64, MATCH(TRUNC(B56, 0), 'Peak Models'!$O$34:$O$64, 0))</f>
        <v>#N/A</v>
      </c>
      <c r="M56" s="28">
        <f>'Peak Models'!$P$15*INDEX('Peak Models'!$Q$34:$Q$64, MATCH(TRUNC(B56, 0),'Peak Models'!$O$34:$O$64, 0))/'Profit per cycles Model'!$E$78</f>
        <v>4.8235294117647056</v>
      </c>
      <c r="N56" s="28" t="e">
        <f t="shared" si="2"/>
        <v>#N/A</v>
      </c>
      <c r="O56" s="71" t="e">
        <f>AVERAGE($N$10:N56)</f>
        <v>#N/A</v>
      </c>
      <c r="P56" s="28" t="e">
        <f t="shared" si="3"/>
        <v>#N/A</v>
      </c>
      <c r="R56" s="28" t="e">
        <f t="shared" si="4"/>
        <v>#VALUE!</v>
      </c>
      <c r="S56" s="25"/>
      <c r="T56" s="25">
        <f t="shared" si="5"/>
        <v>15</v>
      </c>
      <c r="U56" s="33">
        <f>IF(PaybackCustom&gt;0, IF(PaybackCustom&lt;&gt;"Default", PaybackCustom, IF(PaybackStatus&lt;&gt;"",INDEX('Arbitrage Payback Engine'!$Y$2:$Y$6,MATCH(PaybackStatus,'Arbitrage Payback Engine'!$X$2:$X$6,FALSE)),-1)))</f>
        <v>25</v>
      </c>
      <c r="V56" s="32">
        <f t="shared" si="14"/>
        <v>15</v>
      </c>
      <c r="X56" s="29">
        <f t="shared" si="15"/>
        <v>47</v>
      </c>
      <c r="Z56" s="30">
        <f t="shared" si="6"/>
        <v>1.2874948637172989</v>
      </c>
      <c r="AA56" s="28" t="e">
        <f t="shared" si="7"/>
        <v>#N/A</v>
      </c>
      <c r="AB56" s="28" t="e">
        <f t="shared" si="8"/>
        <v>#VALUE!</v>
      </c>
      <c r="AC56" s="29">
        <f t="shared" si="9"/>
        <v>44.592030360531311</v>
      </c>
      <c r="AD56" s="28" t="e">
        <f t="shared" si="10"/>
        <v>#VALUE!</v>
      </c>
      <c r="AE56" s="28" t="e">
        <f t="shared" si="11"/>
        <v>#N/A</v>
      </c>
      <c r="AF56" s="28" t="e">
        <f t="shared" si="12"/>
        <v>#VALUE!</v>
      </c>
      <c r="AH56" s="31" t="e">
        <f t="shared" si="16"/>
        <v>#N/A</v>
      </c>
      <c r="AI56" s="25"/>
      <c r="AJ56" s="31"/>
    </row>
    <row r="57" spans="2:36" x14ac:dyDescent="0.25">
      <c r="B57" s="33">
        <f>'Arbitrage Payback Engine'!E57</f>
        <v>1.3148883714559649</v>
      </c>
      <c r="C57" s="33">
        <f t="shared" si="0"/>
        <v>1000</v>
      </c>
      <c r="D57" s="33">
        <f>'Battery Pricing Model'!$C$17</f>
        <v>1000</v>
      </c>
      <c r="E57" s="33">
        <f t="shared" si="1"/>
        <v>999</v>
      </c>
      <c r="F57" s="33" t="str">
        <f>'Peak Models'!$B$4</f>
        <v>Default</v>
      </c>
      <c r="G57" s="33" t="e">
        <f>'Peak Models'!$Q$7</f>
        <v>#VALUE!</v>
      </c>
      <c r="H57" s="33">
        <f>'Peak Models'!$P$16</f>
        <v>1.5</v>
      </c>
      <c r="I57" s="33">
        <v>12</v>
      </c>
      <c r="J57" s="33" t="e">
        <f>'Peak Models'!$P$13</f>
        <v>#N/A</v>
      </c>
      <c r="K57" s="28" t="e">
        <f t="shared" si="13"/>
        <v>#VALUE!</v>
      </c>
      <c r="L57" s="28" t="e">
        <f>INDEX('Peak Models'!$P$34:$P$64, MATCH(TRUNC(B57, 0), 'Peak Models'!$O$34:$O$64, 0))</f>
        <v>#N/A</v>
      </c>
      <c r="M57" s="28">
        <f>'Peak Models'!$P$15*INDEX('Peak Models'!$Q$34:$Q$64, MATCH(TRUNC(B57, 0),'Peak Models'!$O$34:$O$64, 0))/'Profit per cycles Model'!$E$78</f>
        <v>4.8235294117647056</v>
      </c>
      <c r="N57" s="28" t="e">
        <f t="shared" si="2"/>
        <v>#N/A</v>
      </c>
      <c r="O57" s="71" t="e">
        <f>AVERAGE($N$10:N57)</f>
        <v>#N/A</v>
      </c>
      <c r="P57" s="28" t="e">
        <f t="shared" si="3"/>
        <v>#N/A</v>
      </c>
      <c r="R57" s="28" t="e">
        <f t="shared" si="4"/>
        <v>#VALUE!</v>
      </c>
      <c r="S57" s="25"/>
      <c r="T57" s="25">
        <f t="shared" si="5"/>
        <v>15</v>
      </c>
      <c r="U57" s="33">
        <f>IF(PaybackCustom&gt;0, IF(PaybackCustom&lt;&gt;"Default", PaybackCustom, IF(PaybackStatus&lt;&gt;"",INDEX('Arbitrage Payback Engine'!$Y$2:$Y$6,MATCH(PaybackStatus,'Arbitrage Payback Engine'!$X$2:$X$6,FALSE)),-1)))</f>
        <v>25</v>
      </c>
      <c r="V57" s="32">
        <f t="shared" si="14"/>
        <v>15</v>
      </c>
      <c r="X57" s="29">
        <f t="shared" si="15"/>
        <v>48</v>
      </c>
      <c r="Z57" s="30">
        <f t="shared" si="6"/>
        <v>1.3148883714559649</v>
      </c>
      <c r="AA57" s="28" t="e">
        <f t="shared" si="7"/>
        <v>#N/A</v>
      </c>
      <c r="AB57" s="28" t="e">
        <f t="shared" si="8"/>
        <v>#VALUE!</v>
      </c>
      <c r="AC57" s="29">
        <f t="shared" si="9"/>
        <v>45.540796963946875</v>
      </c>
      <c r="AD57" s="28" t="e">
        <f t="shared" si="10"/>
        <v>#VALUE!</v>
      </c>
      <c r="AE57" s="28" t="e">
        <f t="shared" si="11"/>
        <v>#N/A</v>
      </c>
      <c r="AF57" s="28" t="e">
        <f t="shared" si="12"/>
        <v>#VALUE!</v>
      </c>
      <c r="AH57" s="31" t="e">
        <f t="shared" si="16"/>
        <v>#N/A</v>
      </c>
      <c r="AI57" s="25"/>
      <c r="AJ57" s="31"/>
    </row>
    <row r="58" spans="2:36" x14ac:dyDescent="0.25">
      <c r="B58" s="33">
        <f>'Arbitrage Payback Engine'!E58</f>
        <v>1.3422818791946309</v>
      </c>
      <c r="C58" s="33">
        <f t="shared" si="0"/>
        <v>1000</v>
      </c>
      <c r="D58" s="33">
        <f>'Battery Pricing Model'!$C$17</f>
        <v>1000</v>
      </c>
      <c r="E58" s="33">
        <f t="shared" si="1"/>
        <v>999</v>
      </c>
      <c r="F58" s="33" t="str">
        <f>'Peak Models'!$B$4</f>
        <v>Default</v>
      </c>
      <c r="G58" s="33" t="e">
        <f>'Peak Models'!$Q$7</f>
        <v>#VALUE!</v>
      </c>
      <c r="H58" s="33">
        <f>'Peak Models'!$P$16</f>
        <v>1.5</v>
      </c>
      <c r="I58" s="33">
        <v>12</v>
      </c>
      <c r="J58" s="33" t="e">
        <f>'Peak Models'!$P$13</f>
        <v>#N/A</v>
      </c>
      <c r="K58" s="28" t="e">
        <f t="shared" si="13"/>
        <v>#VALUE!</v>
      </c>
      <c r="L58" s="28" t="e">
        <f>INDEX('Peak Models'!$P$34:$P$64, MATCH(TRUNC(B58, 0), 'Peak Models'!$O$34:$O$64, 0))</f>
        <v>#N/A</v>
      </c>
      <c r="M58" s="28">
        <f>'Peak Models'!$P$15*INDEX('Peak Models'!$Q$34:$Q$64, MATCH(TRUNC(B58, 0),'Peak Models'!$O$34:$O$64, 0))/'Profit per cycles Model'!$E$78</f>
        <v>4.8235294117647056</v>
      </c>
      <c r="N58" s="28" t="e">
        <f t="shared" si="2"/>
        <v>#N/A</v>
      </c>
      <c r="O58" s="71" t="e">
        <f>AVERAGE($N$10:N58)</f>
        <v>#N/A</v>
      </c>
      <c r="P58" s="28" t="e">
        <f t="shared" si="3"/>
        <v>#N/A</v>
      </c>
      <c r="R58" s="28" t="e">
        <f t="shared" si="4"/>
        <v>#VALUE!</v>
      </c>
      <c r="S58" s="25"/>
      <c r="T58" s="25">
        <f t="shared" si="5"/>
        <v>15</v>
      </c>
      <c r="U58" s="33">
        <f>IF(PaybackCustom&gt;0, IF(PaybackCustom&lt;&gt;"Default", PaybackCustom, IF(PaybackStatus&lt;&gt;"",INDEX('Arbitrage Payback Engine'!$Y$2:$Y$6,MATCH(PaybackStatus,'Arbitrage Payback Engine'!$X$2:$X$6,FALSE)),-1)))</f>
        <v>25</v>
      </c>
      <c r="V58" s="32">
        <f t="shared" si="14"/>
        <v>15</v>
      </c>
      <c r="X58" s="29">
        <f t="shared" si="15"/>
        <v>49</v>
      </c>
      <c r="Z58" s="30">
        <f t="shared" si="6"/>
        <v>1.3422818791946309</v>
      </c>
      <c r="AA58" s="28" t="e">
        <f t="shared" si="7"/>
        <v>#N/A</v>
      </c>
      <c r="AB58" s="28" t="e">
        <f t="shared" si="8"/>
        <v>#VALUE!</v>
      </c>
      <c r="AC58" s="29">
        <f t="shared" si="9"/>
        <v>46.489563567362431</v>
      </c>
      <c r="AD58" s="28" t="e">
        <f t="shared" si="10"/>
        <v>#VALUE!</v>
      </c>
      <c r="AE58" s="28" t="e">
        <f t="shared" si="11"/>
        <v>#N/A</v>
      </c>
      <c r="AF58" s="28" t="e">
        <f t="shared" si="12"/>
        <v>#VALUE!</v>
      </c>
      <c r="AH58" s="31" t="e">
        <f t="shared" si="16"/>
        <v>#N/A</v>
      </c>
      <c r="AI58" s="25"/>
      <c r="AJ58" s="31"/>
    </row>
    <row r="59" spans="2:36" x14ac:dyDescent="0.25">
      <c r="B59" s="33">
        <f>'Arbitrage Payback Engine'!E59</f>
        <v>1.3696753869332967</v>
      </c>
      <c r="C59" s="33">
        <f t="shared" si="0"/>
        <v>1000</v>
      </c>
      <c r="D59" s="33">
        <f>'Battery Pricing Model'!$C$17</f>
        <v>1000</v>
      </c>
      <c r="E59" s="33">
        <f t="shared" si="1"/>
        <v>999</v>
      </c>
      <c r="F59" s="33" t="str">
        <f>'Peak Models'!$B$4</f>
        <v>Default</v>
      </c>
      <c r="G59" s="33" t="e">
        <f>'Peak Models'!$Q$7</f>
        <v>#VALUE!</v>
      </c>
      <c r="H59" s="33">
        <f>'Peak Models'!$P$16</f>
        <v>1.5</v>
      </c>
      <c r="I59" s="33">
        <v>12</v>
      </c>
      <c r="J59" s="33" t="e">
        <f>'Peak Models'!$P$13</f>
        <v>#N/A</v>
      </c>
      <c r="K59" s="28" t="e">
        <f t="shared" si="13"/>
        <v>#VALUE!</v>
      </c>
      <c r="L59" s="28" t="e">
        <f>INDEX('Peak Models'!$P$34:$P$64, MATCH(TRUNC(B59, 0), 'Peak Models'!$O$34:$O$64, 0))</f>
        <v>#N/A</v>
      </c>
      <c r="M59" s="28">
        <f>'Peak Models'!$P$15*INDEX('Peak Models'!$Q$34:$Q$64, MATCH(TRUNC(B59, 0),'Peak Models'!$O$34:$O$64, 0))/'Profit per cycles Model'!$E$78</f>
        <v>4.8235294117647056</v>
      </c>
      <c r="N59" s="28" t="e">
        <f t="shared" si="2"/>
        <v>#N/A</v>
      </c>
      <c r="O59" s="71" t="e">
        <f>AVERAGE($N$10:N59)</f>
        <v>#N/A</v>
      </c>
      <c r="P59" s="28" t="e">
        <f t="shared" si="3"/>
        <v>#N/A</v>
      </c>
      <c r="R59" s="28" t="e">
        <f t="shared" si="4"/>
        <v>#VALUE!</v>
      </c>
      <c r="S59" s="25"/>
      <c r="T59" s="25">
        <f t="shared" si="5"/>
        <v>15</v>
      </c>
      <c r="U59" s="33">
        <f>IF(PaybackCustom&gt;0, IF(PaybackCustom&lt;&gt;"Default", PaybackCustom, IF(PaybackStatus&lt;&gt;"",INDEX('Arbitrage Payback Engine'!$Y$2:$Y$6,MATCH(PaybackStatus,'Arbitrage Payback Engine'!$X$2:$X$6,FALSE)),-1)))</f>
        <v>25</v>
      </c>
      <c r="V59" s="32">
        <f t="shared" si="14"/>
        <v>15</v>
      </c>
      <c r="X59" s="29">
        <f t="shared" si="15"/>
        <v>50</v>
      </c>
      <c r="Z59" s="30">
        <f t="shared" si="6"/>
        <v>1.3696753869332967</v>
      </c>
      <c r="AA59" s="28" t="e">
        <f t="shared" si="7"/>
        <v>#N/A</v>
      </c>
      <c r="AB59" s="28" t="e">
        <f t="shared" si="8"/>
        <v>#VALUE!</v>
      </c>
      <c r="AC59" s="29">
        <f t="shared" si="9"/>
        <v>47.438330170777988</v>
      </c>
      <c r="AD59" s="28" t="e">
        <f t="shared" si="10"/>
        <v>#VALUE!</v>
      </c>
      <c r="AE59" s="28" t="e">
        <f t="shared" si="11"/>
        <v>#N/A</v>
      </c>
      <c r="AF59" s="28" t="e">
        <f t="shared" si="12"/>
        <v>#VALUE!</v>
      </c>
      <c r="AH59" s="31" t="e">
        <f t="shared" si="16"/>
        <v>#N/A</v>
      </c>
      <c r="AI59" s="25"/>
      <c r="AJ59" s="31"/>
    </row>
    <row r="60" spans="2:36" x14ac:dyDescent="0.25">
      <c r="B60" s="33">
        <f>'Arbitrage Payback Engine'!E60</f>
        <v>1.3970688946719627</v>
      </c>
      <c r="C60" s="33">
        <f t="shared" si="0"/>
        <v>1000</v>
      </c>
      <c r="D60" s="33">
        <f>'Battery Pricing Model'!$C$17</f>
        <v>1000</v>
      </c>
      <c r="E60" s="33">
        <f t="shared" si="1"/>
        <v>999</v>
      </c>
      <c r="F60" s="33" t="str">
        <f>'Peak Models'!$B$4</f>
        <v>Default</v>
      </c>
      <c r="G60" s="33" t="e">
        <f>'Peak Models'!$Q$7</f>
        <v>#VALUE!</v>
      </c>
      <c r="H60" s="33">
        <f>'Peak Models'!$P$16</f>
        <v>1.5</v>
      </c>
      <c r="I60" s="33">
        <v>12</v>
      </c>
      <c r="J60" s="33" t="e">
        <f>'Peak Models'!$P$13</f>
        <v>#N/A</v>
      </c>
      <c r="K60" s="28" t="e">
        <f t="shared" si="13"/>
        <v>#VALUE!</v>
      </c>
      <c r="L60" s="28" t="e">
        <f>INDEX('Peak Models'!$P$34:$P$64, MATCH(TRUNC(B60, 0), 'Peak Models'!$O$34:$O$64, 0))</f>
        <v>#N/A</v>
      </c>
      <c r="M60" s="28">
        <f>'Peak Models'!$P$15*INDEX('Peak Models'!$Q$34:$Q$64, MATCH(TRUNC(B60, 0),'Peak Models'!$O$34:$O$64, 0))/'Profit per cycles Model'!$E$78</f>
        <v>4.8235294117647056</v>
      </c>
      <c r="N60" s="28" t="e">
        <f t="shared" si="2"/>
        <v>#N/A</v>
      </c>
      <c r="O60" s="71" t="e">
        <f>AVERAGE($N$10:N60)</f>
        <v>#N/A</v>
      </c>
      <c r="P60" s="28" t="e">
        <f t="shared" si="3"/>
        <v>#N/A</v>
      </c>
      <c r="R60" s="28" t="e">
        <f t="shared" si="4"/>
        <v>#VALUE!</v>
      </c>
      <c r="S60" s="25"/>
      <c r="T60" s="25">
        <f t="shared" si="5"/>
        <v>15</v>
      </c>
      <c r="U60" s="33">
        <f>IF(PaybackCustom&gt;0, IF(PaybackCustom&lt;&gt;"Default", PaybackCustom, IF(PaybackStatus&lt;&gt;"",INDEX('Arbitrage Payback Engine'!$Y$2:$Y$6,MATCH(PaybackStatus,'Arbitrage Payback Engine'!$X$2:$X$6,FALSE)),-1)))</f>
        <v>25</v>
      </c>
      <c r="V60" s="32">
        <f t="shared" si="14"/>
        <v>15</v>
      </c>
      <c r="X60" s="29">
        <f t="shared" si="15"/>
        <v>51</v>
      </c>
      <c r="Z60" s="30">
        <f t="shared" si="6"/>
        <v>1.3970688946719627</v>
      </c>
      <c r="AA60" s="28" t="e">
        <f t="shared" si="7"/>
        <v>#N/A</v>
      </c>
      <c r="AB60" s="28" t="e">
        <f t="shared" si="8"/>
        <v>#VALUE!</v>
      </c>
      <c r="AC60" s="29">
        <f t="shared" si="9"/>
        <v>48.387096774193544</v>
      </c>
      <c r="AD60" s="28" t="e">
        <f t="shared" si="10"/>
        <v>#VALUE!</v>
      </c>
      <c r="AE60" s="28" t="e">
        <f t="shared" si="11"/>
        <v>#N/A</v>
      </c>
      <c r="AF60" s="28" t="e">
        <f t="shared" si="12"/>
        <v>#VALUE!</v>
      </c>
      <c r="AH60" s="31" t="e">
        <f t="shared" si="16"/>
        <v>#N/A</v>
      </c>
      <c r="AI60" s="25"/>
      <c r="AJ60" s="31"/>
    </row>
    <row r="61" spans="2:36" x14ac:dyDescent="0.25">
      <c r="B61" s="33">
        <f>'Arbitrage Payback Engine'!E61</f>
        <v>1.4244624024106287</v>
      </c>
      <c r="C61" s="33">
        <f t="shared" si="0"/>
        <v>1000</v>
      </c>
      <c r="D61" s="33">
        <f>'Battery Pricing Model'!$C$17</f>
        <v>1000</v>
      </c>
      <c r="E61" s="33">
        <f t="shared" si="1"/>
        <v>999</v>
      </c>
      <c r="F61" s="33" t="str">
        <f>'Peak Models'!$B$4</f>
        <v>Default</v>
      </c>
      <c r="G61" s="33" t="e">
        <f>'Peak Models'!$Q$7</f>
        <v>#VALUE!</v>
      </c>
      <c r="H61" s="33">
        <f>'Peak Models'!$P$16</f>
        <v>1.5</v>
      </c>
      <c r="I61" s="33">
        <v>12</v>
      </c>
      <c r="J61" s="33" t="e">
        <f>'Peak Models'!$P$13</f>
        <v>#N/A</v>
      </c>
      <c r="K61" s="28" t="e">
        <f t="shared" si="13"/>
        <v>#VALUE!</v>
      </c>
      <c r="L61" s="28" t="e">
        <f>INDEX('Peak Models'!$P$34:$P$64, MATCH(TRUNC(B61, 0), 'Peak Models'!$O$34:$O$64, 0))</f>
        <v>#N/A</v>
      </c>
      <c r="M61" s="28">
        <f>'Peak Models'!$P$15*INDEX('Peak Models'!$Q$34:$Q$64, MATCH(TRUNC(B61, 0),'Peak Models'!$O$34:$O$64, 0))/'Profit per cycles Model'!$E$78</f>
        <v>4.8235294117647056</v>
      </c>
      <c r="N61" s="28" t="e">
        <f t="shared" si="2"/>
        <v>#N/A</v>
      </c>
      <c r="O61" s="71" t="e">
        <f>AVERAGE($N$10:N61)</f>
        <v>#N/A</v>
      </c>
      <c r="P61" s="28" t="e">
        <f t="shared" si="3"/>
        <v>#N/A</v>
      </c>
      <c r="R61" s="28" t="e">
        <f t="shared" si="4"/>
        <v>#VALUE!</v>
      </c>
      <c r="S61" s="25"/>
      <c r="T61" s="25">
        <f t="shared" si="5"/>
        <v>15</v>
      </c>
      <c r="U61" s="33">
        <f>IF(PaybackCustom&gt;0, IF(PaybackCustom&lt;&gt;"Default", PaybackCustom, IF(PaybackStatus&lt;&gt;"",INDEX('Arbitrage Payback Engine'!$Y$2:$Y$6,MATCH(PaybackStatus,'Arbitrage Payback Engine'!$X$2:$X$6,FALSE)),-1)))</f>
        <v>25</v>
      </c>
      <c r="V61" s="32">
        <f t="shared" si="14"/>
        <v>15</v>
      </c>
      <c r="X61" s="29">
        <f t="shared" si="15"/>
        <v>52</v>
      </c>
      <c r="Z61" s="30">
        <f t="shared" si="6"/>
        <v>1.4244624024106287</v>
      </c>
      <c r="AA61" s="28" t="e">
        <f t="shared" si="7"/>
        <v>#N/A</v>
      </c>
      <c r="AB61" s="28" t="e">
        <f t="shared" si="8"/>
        <v>#VALUE!</v>
      </c>
      <c r="AC61" s="29">
        <f t="shared" si="9"/>
        <v>49.335863377609115</v>
      </c>
      <c r="AD61" s="28" t="e">
        <f t="shared" si="10"/>
        <v>#VALUE!</v>
      </c>
      <c r="AE61" s="28" t="e">
        <f t="shared" si="11"/>
        <v>#N/A</v>
      </c>
      <c r="AF61" s="28" t="e">
        <f t="shared" si="12"/>
        <v>#VALUE!</v>
      </c>
      <c r="AH61" s="31" t="e">
        <f t="shared" si="16"/>
        <v>#N/A</v>
      </c>
      <c r="AI61" s="25"/>
      <c r="AJ61" s="31"/>
    </row>
    <row r="62" spans="2:36" x14ac:dyDescent="0.25">
      <c r="B62" s="33">
        <f>'Arbitrage Payback Engine'!E62</f>
        <v>1.4518559101492945</v>
      </c>
      <c r="C62" s="33">
        <f t="shared" si="0"/>
        <v>1000</v>
      </c>
      <c r="D62" s="33">
        <f>'Battery Pricing Model'!$C$17</f>
        <v>1000</v>
      </c>
      <c r="E62" s="33">
        <f t="shared" si="1"/>
        <v>999</v>
      </c>
      <c r="F62" s="33" t="str">
        <f>'Peak Models'!$B$4</f>
        <v>Default</v>
      </c>
      <c r="G62" s="33" t="e">
        <f>'Peak Models'!$Q$7</f>
        <v>#VALUE!</v>
      </c>
      <c r="H62" s="33">
        <f>'Peak Models'!$P$16</f>
        <v>1.5</v>
      </c>
      <c r="I62" s="33">
        <v>12</v>
      </c>
      <c r="J62" s="33" t="e">
        <f>'Peak Models'!$P$13</f>
        <v>#N/A</v>
      </c>
      <c r="K62" s="28" t="e">
        <f t="shared" si="13"/>
        <v>#VALUE!</v>
      </c>
      <c r="L62" s="28" t="e">
        <f>INDEX('Peak Models'!$P$34:$P$64, MATCH(TRUNC(B62, 0), 'Peak Models'!$O$34:$O$64, 0))</f>
        <v>#N/A</v>
      </c>
      <c r="M62" s="28">
        <f>'Peak Models'!$P$15*INDEX('Peak Models'!$Q$34:$Q$64, MATCH(TRUNC(B62, 0),'Peak Models'!$O$34:$O$64, 0))/'Profit per cycles Model'!$E$78</f>
        <v>4.8235294117647056</v>
      </c>
      <c r="N62" s="28" t="e">
        <f t="shared" si="2"/>
        <v>#N/A</v>
      </c>
      <c r="O62" s="71" t="e">
        <f>AVERAGE($N$10:N62)</f>
        <v>#N/A</v>
      </c>
      <c r="P62" s="28" t="e">
        <f t="shared" si="3"/>
        <v>#N/A</v>
      </c>
      <c r="R62" s="28" t="e">
        <f t="shared" si="4"/>
        <v>#VALUE!</v>
      </c>
      <c r="S62" s="25"/>
      <c r="T62" s="25">
        <f t="shared" si="5"/>
        <v>15</v>
      </c>
      <c r="U62" s="33">
        <f>IF(PaybackCustom&gt;0, IF(PaybackCustom&lt;&gt;"Default", PaybackCustom, IF(PaybackStatus&lt;&gt;"",INDEX('Arbitrage Payback Engine'!$Y$2:$Y$6,MATCH(PaybackStatus,'Arbitrage Payback Engine'!$X$2:$X$6,FALSE)),-1)))</f>
        <v>25</v>
      </c>
      <c r="V62" s="32">
        <f t="shared" si="14"/>
        <v>15</v>
      </c>
      <c r="X62" s="29">
        <f t="shared" si="15"/>
        <v>53</v>
      </c>
      <c r="Z62" s="30">
        <f t="shared" si="6"/>
        <v>1.4518559101492945</v>
      </c>
      <c r="AA62" s="28" t="e">
        <f t="shared" si="7"/>
        <v>#N/A</v>
      </c>
      <c r="AB62" s="28" t="e">
        <f t="shared" si="8"/>
        <v>#VALUE!</v>
      </c>
      <c r="AC62" s="29">
        <f t="shared" si="9"/>
        <v>50.284629981024665</v>
      </c>
      <c r="AD62" s="28" t="e">
        <f t="shared" si="10"/>
        <v>#VALUE!</v>
      </c>
      <c r="AE62" s="28" t="e">
        <f t="shared" si="11"/>
        <v>#N/A</v>
      </c>
      <c r="AF62" s="28" t="e">
        <f t="shared" si="12"/>
        <v>#VALUE!</v>
      </c>
      <c r="AH62" s="31" t="e">
        <f t="shared" si="16"/>
        <v>#N/A</v>
      </c>
      <c r="AI62" s="25"/>
      <c r="AJ62" s="31"/>
    </row>
    <row r="63" spans="2:36" x14ac:dyDescent="0.25">
      <c r="B63" s="33">
        <f>'Arbitrage Payback Engine'!E63</f>
        <v>1.4792494178879605</v>
      </c>
      <c r="C63" s="33">
        <f t="shared" si="0"/>
        <v>1000</v>
      </c>
      <c r="D63" s="33">
        <f>'Battery Pricing Model'!$C$17</f>
        <v>1000</v>
      </c>
      <c r="E63" s="33">
        <f t="shared" si="1"/>
        <v>999</v>
      </c>
      <c r="F63" s="33" t="str">
        <f>'Peak Models'!$B$4</f>
        <v>Default</v>
      </c>
      <c r="G63" s="33" t="e">
        <f>'Peak Models'!$Q$7</f>
        <v>#VALUE!</v>
      </c>
      <c r="H63" s="33">
        <f>'Peak Models'!$P$16</f>
        <v>1.5</v>
      </c>
      <c r="I63" s="33">
        <v>12</v>
      </c>
      <c r="J63" s="33" t="e">
        <f>'Peak Models'!$P$13</f>
        <v>#N/A</v>
      </c>
      <c r="K63" s="28" t="e">
        <f t="shared" si="13"/>
        <v>#VALUE!</v>
      </c>
      <c r="L63" s="28" t="e">
        <f>INDEX('Peak Models'!$P$34:$P$64, MATCH(TRUNC(B63, 0), 'Peak Models'!$O$34:$O$64, 0))</f>
        <v>#N/A</v>
      </c>
      <c r="M63" s="28">
        <f>'Peak Models'!$P$15*INDEX('Peak Models'!$Q$34:$Q$64, MATCH(TRUNC(B63, 0),'Peak Models'!$O$34:$O$64, 0))/'Profit per cycles Model'!$E$78</f>
        <v>4.8235294117647056</v>
      </c>
      <c r="N63" s="28" t="e">
        <f t="shared" si="2"/>
        <v>#N/A</v>
      </c>
      <c r="O63" s="71" t="e">
        <f>AVERAGE($N$10:N63)</f>
        <v>#N/A</v>
      </c>
      <c r="P63" s="28" t="e">
        <f t="shared" si="3"/>
        <v>#N/A</v>
      </c>
      <c r="R63" s="28" t="e">
        <f t="shared" si="4"/>
        <v>#VALUE!</v>
      </c>
      <c r="S63" s="25"/>
      <c r="T63" s="25">
        <f t="shared" si="5"/>
        <v>15</v>
      </c>
      <c r="U63" s="33">
        <f>IF(PaybackCustom&gt;0, IF(PaybackCustom&lt;&gt;"Default", PaybackCustom, IF(PaybackStatus&lt;&gt;"",INDEX('Arbitrage Payback Engine'!$Y$2:$Y$6,MATCH(PaybackStatus,'Arbitrage Payback Engine'!$X$2:$X$6,FALSE)),-1)))</f>
        <v>25</v>
      </c>
      <c r="V63" s="32">
        <f t="shared" si="14"/>
        <v>15</v>
      </c>
      <c r="X63" s="29">
        <f t="shared" si="15"/>
        <v>54</v>
      </c>
      <c r="Z63" s="30">
        <f t="shared" si="6"/>
        <v>1.4792494178879605</v>
      </c>
      <c r="AA63" s="28" t="e">
        <f t="shared" si="7"/>
        <v>#N/A</v>
      </c>
      <c r="AB63" s="28" t="e">
        <f t="shared" si="8"/>
        <v>#VALUE!</v>
      </c>
      <c r="AC63" s="29">
        <f t="shared" si="9"/>
        <v>51.233396584440229</v>
      </c>
      <c r="AD63" s="28" t="e">
        <f t="shared" si="10"/>
        <v>#VALUE!</v>
      </c>
      <c r="AE63" s="28" t="e">
        <f t="shared" si="11"/>
        <v>#N/A</v>
      </c>
      <c r="AF63" s="28" t="e">
        <f t="shared" si="12"/>
        <v>#VALUE!</v>
      </c>
      <c r="AH63" s="31" t="e">
        <f t="shared" si="16"/>
        <v>#N/A</v>
      </c>
      <c r="AI63" s="25"/>
      <c r="AJ63" s="31"/>
    </row>
    <row r="64" spans="2:36" x14ac:dyDescent="0.25">
      <c r="B64" s="33">
        <f>'Arbitrage Payback Engine'!E64</f>
        <v>1.5066429256266265</v>
      </c>
      <c r="C64" s="33">
        <f t="shared" si="0"/>
        <v>1000</v>
      </c>
      <c r="D64" s="33">
        <f>'Battery Pricing Model'!$C$17</f>
        <v>1000</v>
      </c>
      <c r="E64" s="33">
        <f t="shared" si="1"/>
        <v>999</v>
      </c>
      <c r="F64" s="33" t="str">
        <f>'Peak Models'!$B$4</f>
        <v>Default</v>
      </c>
      <c r="G64" s="33" t="e">
        <f>'Peak Models'!$Q$7</f>
        <v>#VALUE!</v>
      </c>
      <c r="H64" s="33">
        <f>'Peak Models'!$P$16</f>
        <v>1.5</v>
      </c>
      <c r="I64" s="33">
        <v>12</v>
      </c>
      <c r="J64" s="33" t="e">
        <f>'Peak Models'!$P$13</f>
        <v>#N/A</v>
      </c>
      <c r="K64" s="28" t="e">
        <f t="shared" si="13"/>
        <v>#VALUE!</v>
      </c>
      <c r="L64" s="28" t="e">
        <f>INDEX('Peak Models'!$P$34:$P$64, MATCH(TRUNC(B64, 0), 'Peak Models'!$O$34:$O$64, 0))</f>
        <v>#N/A</v>
      </c>
      <c r="M64" s="28">
        <f>'Peak Models'!$P$15*INDEX('Peak Models'!$Q$34:$Q$64, MATCH(TRUNC(B64, 0),'Peak Models'!$O$34:$O$64, 0))/'Profit per cycles Model'!$E$78</f>
        <v>4.8235294117647056</v>
      </c>
      <c r="N64" s="28" t="e">
        <f t="shared" si="2"/>
        <v>#N/A</v>
      </c>
      <c r="O64" s="71" t="e">
        <f>AVERAGE($N$10:N64)</f>
        <v>#N/A</v>
      </c>
      <c r="P64" s="28" t="e">
        <f t="shared" si="3"/>
        <v>#N/A</v>
      </c>
      <c r="R64" s="28" t="e">
        <f t="shared" si="4"/>
        <v>#VALUE!</v>
      </c>
      <c r="S64" s="25"/>
      <c r="T64" s="25">
        <f t="shared" si="5"/>
        <v>15</v>
      </c>
      <c r="U64" s="33">
        <f>IF(PaybackCustom&gt;0, IF(PaybackCustom&lt;&gt;"Default", PaybackCustom, IF(PaybackStatus&lt;&gt;"",INDEX('Arbitrage Payback Engine'!$Y$2:$Y$6,MATCH(PaybackStatus,'Arbitrage Payback Engine'!$X$2:$X$6,FALSE)),-1)))</f>
        <v>25</v>
      </c>
      <c r="V64" s="32">
        <f t="shared" si="14"/>
        <v>15</v>
      </c>
      <c r="X64" s="29">
        <f t="shared" si="15"/>
        <v>55</v>
      </c>
      <c r="Z64" s="30">
        <f t="shared" si="6"/>
        <v>1.5066429256266265</v>
      </c>
      <c r="AA64" s="28" t="e">
        <f t="shared" si="7"/>
        <v>#N/A</v>
      </c>
      <c r="AB64" s="28" t="e">
        <f t="shared" si="8"/>
        <v>#VALUE!</v>
      </c>
      <c r="AC64" s="29">
        <f t="shared" si="9"/>
        <v>52.182163187855792</v>
      </c>
      <c r="AD64" s="28" t="e">
        <f t="shared" si="10"/>
        <v>#VALUE!</v>
      </c>
      <c r="AE64" s="28" t="e">
        <f t="shared" si="11"/>
        <v>#N/A</v>
      </c>
      <c r="AF64" s="28" t="e">
        <f t="shared" si="12"/>
        <v>#VALUE!</v>
      </c>
      <c r="AH64" s="31" t="e">
        <f t="shared" si="16"/>
        <v>#N/A</v>
      </c>
      <c r="AI64" s="25"/>
      <c r="AJ64" s="31"/>
    </row>
    <row r="65" spans="2:36" x14ac:dyDescent="0.25">
      <c r="B65" s="33">
        <f>'Arbitrage Payback Engine'!E65</f>
        <v>1.5340364333652923</v>
      </c>
      <c r="C65" s="33">
        <f t="shared" si="0"/>
        <v>1000</v>
      </c>
      <c r="D65" s="33">
        <f>'Battery Pricing Model'!$C$17</f>
        <v>1000</v>
      </c>
      <c r="E65" s="33">
        <f t="shared" si="1"/>
        <v>999</v>
      </c>
      <c r="F65" s="33" t="str">
        <f>'Peak Models'!$B$4</f>
        <v>Default</v>
      </c>
      <c r="G65" s="33" t="e">
        <f>'Peak Models'!$Q$7</f>
        <v>#VALUE!</v>
      </c>
      <c r="H65" s="33">
        <f>'Peak Models'!$P$16</f>
        <v>1.5</v>
      </c>
      <c r="I65" s="33">
        <v>12</v>
      </c>
      <c r="J65" s="33" t="e">
        <f>'Peak Models'!$P$13</f>
        <v>#N/A</v>
      </c>
      <c r="K65" s="28" t="e">
        <f t="shared" si="13"/>
        <v>#VALUE!</v>
      </c>
      <c r="L65" s="28" t="e">
        <f>INDEX('Peak Models'!$P$34:$P$64, MATCH(TRUNC(B65, 0), 'Peak Models'!$O$34:$O$64, 0))</f>
        <v>#N/A</v>
      </c>
      <c r="M65" s="28">
        <f>'Peak Models'!$P$15*INDEX('Peak Models'!$Q$34:$Q$64, MATCH(TRUNC(B65, 0),'Peak Models'!$O$34:$O$64, 0))/'Profit per cycles Model'!$E$78</f>
        <v>4.8235294117647056</v>
      </c>
      <c r="N65" s="28" t="e">
        <f t="shared" si="2"/>
        <v>#N/A</v>
      </c>
      <c r="O65" s="71" t="e">
        <f>AVERAGE($N$10:N65)</f>
        <v>#N/A</v>
      </c>
      <c r="P65" s="28" t="e">
        <f t="shared" si="3"/>
        <v>#N/A</v>
      </c>
      <c r="R65" s="28" t="e">
        <f t="shared" si="4"/>
        <v>#VALUE!</v>
      </c>
      <c r="S65" s="25"/>
      <c r="T65" s="25">
        <f t="shared" si="5"/>
        <v>15</v>
      </c>
      <c r="U65" s="33">
        <f>IF(PaybackCustom&gt;0, IF(PaybackCustom&lt;&gt;"Default", PaybackCustom, IF(PaybackStatus&lt;&gt;"",INDEX('Arbitrage Payback Engine'!$Y$2:$Y$6,MATCH(PaybackStatus,'Arbitrage Payback Engine'!$X$2:$X$6,FALSE)),-1)))</f>
        <v>25</v>
      </c>
      <c r="V65" s="32">
        <f t="shared" si="14"/>
        <v>15</v>
      </c>
      <c r="X65" s="29">
        <f t="shared" si="15"/>
        <v>56</v>
      </c>
      <c r="Z65" s="30">
        <f t="shared" si="6"/>
        <v>1.5340364333652923</v>
      </c>
      <c r="AA65" s="28" t="e">
        <f t="shared" si="7"/>
        <v>#N/A</v>
      </c>
      <c r="AB65" s="28" t="e">
        <f t="shared" si="8"/>
        <v>#VALUE!</v>
      </c>
      <c r="AC65" s="29">
        <f t="shared" si="9"/>
        <v>53.130929791271342</v>
      </c>
      <c r="AD65" s="28" t="e">
        <f t="shared" si="10"/>
        <v>#VALUE!</v>
      </c>
      <c r="AE65" s="28" t="e">
        <f t="shared" si="11"/>
        <v>#N/A</v>
      </c>
      <c r="AF65" s="28" t="e">
        <f t="shared" si="12"/>
        <v>#VALUE!</v>
      </c>
      <c r="AH65" s="31" t="e">
        <f t="shared" si="16"/>
        <v>#N/A</v>
      </c>
      <c r="AI65" s="25"/>
      <c r="AJ65" s="31"/>
    </row>
    <row r="66" spans="2:36" x14ac:dyDescent="0.25">
      <c r="B66" s="33">
        <f>'Arbitrage Payback Engine'!E66</f>
        <v>1.5614299411039583</v>
      </c>
      <c r="C66" s="33">
        <f t="shared" si="0"/>
        <v>1000</v>
      </c>
      <c r="D66" s="33">
        <f>'Battery Pricing Model'!$C$17</f>
        <v>1000</v>
      </c>
      <c r="E66" s="33">
        <f t="shared" si="1"/>
        <v>999</v>
      </c>
      <c r="F66" s="33" t="str">
        <f>'Peak Models'!$B$4</f>
        <v>Default</v>
      </c>
      <c r="G66" s="33" t="e">
        <f>'Peak Models'!$Q$7</f>
        <v>#VALUE!</v>
      </c>
      <c r="H66" s="33">
        <f>'Peak Models'!$P$16</f>
        <v>1.5</v>
      </c>
      <c r="I66" s="33">
        <v>12</v>
      </c>
      <c r="J66" s="33" t="e">
        <f>'Peak Models'!$P$13</f>
        <v>#N/A</v>
      </c>
      <c r="K66" s="28" t="e">
        <f t="shared" si="13"/>
        <v>#VALUE!</v>
      </c>
      <c r="L66" s="28" t="e">
        <f>INDEX('Peak Models'!$P$34:$P$64, MATCH(TRUNC(B66, 0), 'Peak Models'!$O$34:$O$64, 0))</f>
        <v>#N/A</v>
      </c>
      <c r="M66" s="28">
        <f>'Peak Models'!$P$15*INDEX('Peak Models'!$Q$34:$Q$64, MATCH(TRUNC(B66, 0),'Peak Models'!$O$34:$O$64, 0))/'Profit per cycles Model'!$E$78</f>
        <v>4.8235294117647056</v>
      </c>
      <c r="N66" s="28" t="e">
        <f t="shared" si="2"/>
        <v>#N/A</v>
      </c>
      <c r="O66" s="71" t="e">
        <f>AVERAGE($N$10:N66)</f>
        <v>#N/A</v>
      </c>
      <c r="P66" s="28" t="e">
        <f t="shared" si="3"/>
        <v>#N/A</v>
      </c>
      <c r="R66" s="28" t="e">
        <f t="shared" si="4"/>
        <v>#VALUE!</v>
      </c>
      <c r="S66" s="25"/>
      <c r="T66" s="25">
        <f t="shared" si="5"/>
        <v>15</v>
      </c>
      <c r="U66" s="33">
        <f>IF(PaybackCustom&gt;0, IF(PaybackCustom&lt;&gt;"Default", PaybackCustom, IF(PaybackStatus&lt;&gt;"",INDEX('Arbitrage Payback Engine'!$Y$2:$Y$6,MATCH(PaybackStatus,'Arbitrage Payback Engine'!$X$2:$X$6,FALSE)),-1)))</f>
        <v>25</v>
      </c>
      <c r="V66" s="32">
        <f t="shared" si="14"/>
        <v>15</v>
      </c>
      <c r="X66" s="29">
        <f t="shared" si="15"/>
        <v>57</v>
      </c>
      <c r="Z66" s="30">
        <f t="shared" si="6"/>
        <v>1.5614299411039583</v>
      </c>
      <c r="AA66" s="28" t="e">
        <f t="shared" si="7"/>
        <v>#N/A</v>
      </c>
      <c r="AB66" s="28" t="e">
        <f t="shared" si="8"/>
        <v>#VALUE!</v>
      </c>
      <c r="AC66" s="29">
        <f t="shared" si="9"/>
        <v>54.079696394686906</v>
      </c>
      <c r="AD66" s="28" t="e">
        <f t="shared" si="10"/>
        <v>#VALUE!</v>
      </c>
      <c r="AE66" s="28" t="e">
        <f t="shared" si="11"/>
        <v>#N/A</v>
      </c>
      <c r="AF66" s="28" t="e">
        <f t="shared" si="12"/>
        <v>#VALUE!</v>
      </c>
      <c r="AH66" s="31" t="e">
        <f t="shared" si="16"/>
        <v>#N/A</v>
      </c>
      <c r="AI66" s="25"/>
      <c r="AJ66" s="31"/>
    </row>
    <row r="67" spans="2:36" x14ac:dyDescent="0.25">
      <c r="B67" s="33">
        <f>'Arbitrage Payback Engine'!E67</f>
        <v>1.5888234488426243</v>
      </c>
      <c r="C67" s="33">
        <f t="shared" si="0"/>
        <v>1000</v>
      </c>
      <c r="D67" s="33">
        <f>'Battery Pricing Model'!$C$17</f>
        <v>1000</v>
      </c>
      <c r="E67" s="33">
        <f t="shared" si="1"/>
        <v>999</v>
      </c>
      <c r="F67" s="33" t="str">
        <f>'Peak Models'!$B$4</f>
        <v>Default</v>
      </c>
      <c r="G67" s="33" t="e">
        <f>'Peak Models'!$Q$7</f>
        <v>#VALUE!</v>
      </c>
      <c r="H67" s="33">
        <f>'Peak Models'!$P$16</f>
        <v>1.5</v>
      </c>
      <c r="I67" s="33">
        <v>12</v>
      </c>
      <c r="J67" s="33" t="e">
        <f>'Peak Models'!$P$13</f>
        <v>#N/A</v>
      </c>
      <c r="K67" s="28" t="e">
        <f t="shared" si="13"/>
        <v>#VALUE!</v>
      </c>
      <c r="L67" s="28" t="e">
        <f>INDEX('Peak Models'!$P$34:$P$64, MATCH(TRUNC(B67, 0), 'Peak Models'!$O$34:$O$64, 0))</f>
        <v>#N/A</v>
      </c>
      <c r="M67" s="28">
        <f>'Peak Models'!$P$15*INDEX('Peak Models'!$Q$34:$Q$64, MATCH(TRUNC(B67, 0),'Peak Models'!$O$34:$O$64, 0))/'Profit per cycles Model'!$E$78</f>
        <v>4.8235294117647056</v>
      </c>
      <c r="N67" s="28" t="e">
        <f t="shared" si="2"/>
        <v>#N/A</v>
      </c>
      <c r="O67" s="71" t="e">
        <f>AVERAGE($N$10:N67)</f>
        <v>#N/A</v>
      </c>
      <c r="P67" s="28" t="e">
        <f t="shared" si="3"/>
        <v>#N/A</v>
      </c>
      <c r="R67" s="28" t="e">
        <f t="shared" si="4"/>
        <v>#VALUE!</v>
      </c>
      <c r="S67" s="25"/>
      <c r="T67" s="25">
        <f t="shared" si="5"/>
        <v>15</v>
      </c>
      <c r="U67" s="33">
        <f>IF(PaybackCustom&gt;0, IF(PaybackCustom&lt;&gt;"Default", PaybackCustom, IF(PaybackStatus&lt;&gt;"",INDEX('Arbitrage Payback Engine'!$Y$2:$Y$6,MATCH(PaybackStatus,'Arbitrage Payback Engine'!$X$2:$X$6,FALSE)),-1)))</f>
        <v>25</v>
      </c>
      <c r="V67" s="32">
        <f t="shared" si="14"/>
        <v>15</v>
      </c>
      <c r="X67" s="29">
        <f t="shared" si="15"/>
        <v>58</v>
      </c>
      <c r="Z67" s="30">
        <f t="shared" si="6"/>
        <v>1.5888234488426243</v>
      </c>
      <c r="AA67" s="28" t="e">
        <f t="shared" si="7"/>
        <v>#N/A</v>
      </c>
      <c r="AB67" s="28" t="e">
        <f t="shared" si="8"/>
        <v>#VALUE!</v>
      </c>
      <c r="AC67" s="29">
        <f t="shared" si="9"/>
        <v>55.028462998102469</v>
      </c>
      <c r="AD67" s="28" t="e">
        <f t="shared" si="10"/>
        <v>#VALUE!</v>
      </c>
      <c r="AE67" s="28" t="e">
        <f t="shared" si="11"/>
        <v>#N/A</v>
      </c>
      <c r="AF67" s="28" t="e">
        <f t="shared" si="12"/>
        <v>#VALUE!</v>
      </c>
      <c r="AH67" s="31" t="e">
        <f t="shared" si="16"/>
        <v>#N/A</v>
      </c>
      <c r="AI67" s="25"/>
      <c r="AJ67" s="31"/>
    </row>
    <row r="68" spans="2:36" x14ac:dyDescent="0.25">
      <c r="B68" s="33">
        <f>'Arbitrage Payback Engine'!E68</f>
        <v>1.6162169565812903</v>
      </c>
      <c r="C68" s="33">
        <f t="shared" si="0"/>
        <v>1000</v>
      </c>
      <c r="D68" s="33">
        <f>'Battery Pricing Model'!$C$17</f>
        <v>1000</v>
      </c>
      <c r="E68" s="33">
        <f t="shared" si="1"/>
        <v>999</v>
      </c>
      <c r="F68" s="33" t="str">
        <f>'Peak Models'!$B$4</f>
        <v>Default</v>
      </c>
      <c r="G68" s="33" t="e">
        <f>'Peak Models'!$Q$7</f>
        <v>#VALUE!</v>
      </c>
      <c r="H68" s="33">
        <f>'Peak Models'!$P$16</f>
        <v>1.5</v>
      </c>
      <c r="I68" s="33">
        <v>12</v>
      </c>
      <c r="J68" s="33" t="e">
        <f>'Peak Models'!$P$13</f>
        <v>#N/A</v>
      </c>
      <c r="K68" s="28" t="e">
        <f t="shared" si="13"/>
        <v>#VALUE!</v>
      </c>
      <c r="L68" s="28" t="e">
        <f>INDEX('Peak Models'!$P$34:$P$64, MATCH(TRUNC(B68, 0), 'Peak Models'!$O$34:$O$64, 0))</f>
        <v>#N/A</v>
      </c>
      <c r="M68" s="28">
        <f>'Peak Models'!$P$15*INDEX('Peak Models'!$Q$34:$Q$64, MATCH(TRUNC(B68, 0),'Peak Models'!$O$34:$O$64, 0))/'Profit per cycles Model'!$E$78</f>
        <v>4.8235294117647056</v>
      </c>
      <c r="N68" s="28" t="e">
        <f t="shared" si="2"/>
        <v>#N/A</v>
      </c>
      <c r="O68" s="71" t="e">
        <f>AVERAGE($N$10:N68)</f>
        <v>#N/A</v>
      </c>
      <c r="P68" s="28" t="e">
        <f t="shared" si="3"/>
        <v>#N/A</v>
      </c>
      <c r="R68" s="28" t="e">
        <f t="shared" si="4"/>
        <v>#VALUE!</v>
      </c>
      <c r="S68" s="25"/>
      <c r="T68" s="25">
        <f t="shared" si="5"/>
        <v>15</v>
      </c>
      <c r="U68" s="33">
        <f>IF(PaybackCustom&gt;0, IF(PaybackCustom&lt;&gt;"Default", PaybackCustom, IF(PaybackStatus&lt;&gt;"",INDEX('Arbitrage Payback Engine'!$Y$2:$Y$6,MATCH(PaybackStatus,'Arbitrage Payback Engine'!$X$2:$X$6,FALSE)),-1)))</f>
        <v>25</v>
      </c>
      <c r="V68" s="32">
        <f t="shared" si="14"/>
        <v>15</v>
      </c>
      <c r="X68" s="29">
        <f t="shared" si="15"/>
        <v>59</v>
      </c>
      <c r="Z68" s="30">
        <f t="shared" si="6"/>
        <v>1.6162169565812903</v>
      </c>
      <c r="AA68" s="28" t="e">
        <f t="shared" si="7"/>
        <v>#N/A</v>
      </c>
      <c r="AB68" s="28" t="e">
        <f t="shared" si="8"/>
        <v>#VALUE!</v>
      </c>
      <c r="AC68" s="29">
        <f t="shared" si="9"/>
        <v>55.977229601518033</v>
      </c>
      <c r="AD68" s="28" t="e">
        <f t="shared" si="10"/>
        <v>#VALUE!</v>
      </c>
      <c r="AE68" s="28" t="e">
        <f t="shared" si="11"/>
        <v>#N/A</v>
      </c>
      <c r="AF68" s="28" t="e">
        <f t="shared" si="12"/>
        <v>#VALUE!</v>
      </c>
      <c r="AH68" s="31" t="e">
        <f t="shared" si="16"/>
        <v>#N/A</v>
      </c>
      <c r="AI68" s="25"/>
      <c r="AJ68" s="31"/>
    </row>
    <row r="69" spans="2:36" x14ac:dyDescent="0.25">
      <c r="B69" s="33">
        <f>'Arbitrage Payback Engine'!E69</f>
        <v>1.6436104643199561</v>
      </c>
      <c r="C69" s="33">
        <f t="shared" si="0"/>
        <v>1000</v>
      </c>
      <c r="D69" s="33">
        <f>'Battery Pricing Model'!$C$17</f>
        <v>1000</v>
      </c>
      <c r="E69" s="33">
        <f t="shared" si="1"/>
        <v>999</v>
      </c>
      <c r="F69" s="33" t="str">
        <f>'Peak Models'!$B$4</f>
        <v>Default</v>
      </c>
      <c r="G69" s="33" t="e">
        <f>'Peak Models'!$Q$7</f>
        <v>#VALUE!</v>
      </c>
      <c r="H69" s="33">
        <f>'Peak Models'!$P$16</f>
        <v>1.5</v>
      </c>
      <c r="I69" s="33">
        <v>12</v>
      </c>
      <c r="J69" s="33" t="e">
        <f>'Peak Models'!$P$13</f>
        <v>#N/A</v>
      </c>
      <c r="K69" s="28" t="e">
        <f t="shared" si="13"/>
        <v>#VALUE!</v>
      </c>
      <c r="L69" s="28" t="e">
        <f>INDEX('Peak Models'!$P$34:$P$64, MATCH(TRUNC(B69, 0), 'Peak Models'!$O$34:$O$64, 0))</f>
        <v>#N/A</v>
      </c>
      <c r="M69" s="28">
        <f>'Peak Models'!$P$15*INDEX('Peak Models'!$Q$34:$Q$64, MATCH(TRUNC(B69, 0),'Peak Models'!$O$34:$O$64, 0))/'Profit per cycles Model'!$E$78</f>
        <v>4.8235294117647056</v>
      </c>
      <c r="N69" s="28" t="e">
        <f t="shared" si="2"/>
        <v>#N/A</v>
      </c>
      <c r="O69" s="71" t="e">
        <f>AVERAGE($N$10:N69)</f>
        <v>#N/A</v>
      </c>
      <c r="P69" s="28" t="e">
        <f t="shared" si="3"/>
        <v>#N/A</v>
      </c>
      <c r="R69" s="28" t="e">
        <f t="shared" si="4"/>
        <v>#VALUE!</v>
      </c>
      <c r="S69" s="25"/>
      <c r="T69" s="25">
        <f t="shared" si="5"/>
        <v>15</v>
      </c>
      <c r="U69" s="33">
        <f>IF(PaybackCustom&gt;0, IF(PaybackCustom&lt;&gt;"Default", PaybackCustom, IF(PaybackStatus&lt;&gt;"",INDEX('Arbitrage Payback Engine'!$Y$2:$Y$6,MATCH(PaybackStatus,'Arbitrage Payback Engine'!$X$2:$X$6,FALSE)),-1)))</f>
        <v>25</v>
      </c>
      <c r="V69" s="32">
        <f t="shared" si="14"/>
        <v>15</v>
      </c>
      <c r="X69" s="29">
        <f t="shared" si="15"/>
        <v>60</v>
      </c>
      <c r="Z69" s="30">
        <f t="shared" si="6"/>
        <v>1.6436104643199561</v>
      </c>
      <c r="AA69" s="28" t="e">
        <f t="shared" si="7"/>
        <v>#N/A</v>
      </c>
      <c r="AB69" s="28" t="e">
        <f t="shared" si="8"/>
        <v>#VALUE!</v>
      </c>
      <c r="AC69" s="29">
        <f t="shared" si="9"/>
        <v>56.925996204933583</v>
      </c>
      <c r="AD69" s="28" t="e">
        <f t="shared" si="10"/>
        <v>#VALUE!</v>
      </c>
      <c r="AE69" s="28" t="e">
        <f t="shared" si="11"/>
        <v>#N/A</v>
      </c>
      <c r="AF69" s="28" t="e">
        <f t="shared" si="12"/>
        <v>#VALUE!</v>
      </c>
      <c r="AH69" s="31" t="e">
        <f t="shared" si="16"/>
        <v>#N/A</v>
      </c>
      <c r="AI69" s="25"/>
      <c r="AJ69" s="31"/>
    </row>
    <row r="70" spans="2:36" x14ac:dyDescent="0.25">
      <c r="B70" s="33">
        <f>'Arbitrage Payback Engine'!E70</f>
        <v>1.6710039720586221</v>
      </c>
      <c r="C70" s="33">
        <f t="shared" si="0"/>
        <v>1000</v>
      </c>
      <c r="D70" s="33">
        <f>'Battery Pricing Model'!$C$17</f>
        <v>1000</v>
      </c>
      <c r="E70" s="33">
        <f t="shared" si="1"/>
        <v>999</v>
      </c>
      <c r="F70" s="33" t="str">
        <f>'Peak Models'!$B$4</f>
        <v>Default</v>
      </c>
      <c r="G70" s="33" t="e">
        <f>'Peak Models'!$Q$7</f>
        <v>#VALUE!</v>
      </c>
      <c r="H70" s="33">
        <f>'Peak Models'!$P$16</f>
        <v>1.5</v>
      </c>
      <c r="I70" s="33">
        <v>12</v>
      </c>
      <c r="J70" s="33" t="e">
        <f>'Peak Models'!$P$13</f>
        <v>#N/A</v>
      </c>
      <c r="K70" s="28" t="e">
        <f t="shared" si="13"/>
        <v>#VALUE!</v>
      </c>
      <c r="L70" s="28" t="e">
        <f>INDEX('Peak Models'!$P$34:$P$64, MATCH(TRUNC(B70, 0), 'Peak Models'!$O$34:$O$64, 0))</f>
        <v>#N/A</v>
      </c>
      <c r="M70" s="28">
        <f>'Peak Models'!$P$15*INDEX('Peak Models'!$Q$34:$Q$64, MATCH(TRUNC(B70, 0),'Peak Models'!$O$34:$O$64, 0))/'Profit per cycles Model'!$E$78</f>
        <v>4.8235294117647056</v>
      </c>
      <c r="N70" s="28" t="e">
        <f t="shared" si="2"/>
        <v>#N/A</v>
      </c>
      <c r="O70" s="71" t="e">
        <f>AVERAGE($N$10:N70)</f>
        <v>#N/A</v>
      </c>
      <c r="P70" s="28" t="e">
        <f t="shared" si="3"/>
        <v>#N/A</v>
      </c>
      <c r="R70" s="28" t="e">
        <f t="shared" si="4"/>
        <v>#VALUE!</v>
      </c>
      <c r="S70" s="25"/>
      <c r="T70" s="25">
        <f t="shared" si="5"/>
        <v>15</v>
      </c>
      <c r="U70" s="33">
        <f>IF(PaybackCustom&gt;0, IF(PaybackCustom&lt;&gt;"Default", PaybackCustom, IF(PaybackStatus&lt;&gt;"",INDEX('Arbitrage Payback Engine'!$Y$2:$Y$6,MATCH(PaybackStatus,'Arbitrage Payback Engine'!$X$2:$X$6,FALSE)),-1)))</f>
        <v>25</v>
      </c>
      <c r="V70" s="32">
        <f t="shared" si="14"/>
        <v>15</v>
      </c>
      <c r="X70" s="29">
        <f t="shared" si="15"/>
        <v>61</v>
      </c>
      <c r="Z70" s="30">
        <f t="shared" si="6"/>
        <v>1.6710039720586221</v>
      </c>
      <c r="AA70" s="28" t="e">
        <f t="shared" si="7"/>
        <v>#N/A</v>
      </c>
      <c r="AB70" s="28" t="e">
        <f t="shared" si="8"/>
        <v>#VALUE!</v>
      </c>
      <c r="AC70" s="29">
        <f t="shared" si="9"/>
        <v>57.874762808349153</v>
      </c>
      <c r="AD70" s="28" t="e">
        <f t="shared" si="10"/>
        <v>#VALUE!</v>
      </c>
      <c r="AE70" s="28" t="e">
        <f t="shared" si="11"/>
        <v>#N/A</v>
      </c>
      <c r="AF70" s="28" t="e">
        <f t="shared" si="12"/>
        <v>#VALUE!</v>
      </c>
      <c r="AH70" s="31" t="e">
        <f t="shared" si="16"/>
        <v>#N/A</v>
      </c>
      <c r="AI70" s="25"/>
      <c r="AJ70" s="31"/>
    </row>
    <row r="71" spans="2:36" x14ac:dyDescent="0.25">
      <c r="B71" s="33">
        <f>'Arbitrage Payback Engine'!E71</f>
        <v>1.6983974797972881</v>
      </c>
      <c r="C71" s="33">
        <f t="shared" si="0"/>
        <v>1000</v>
      </c>
      <c r="D71" s="33">
        <f>'Battery Pricing Model'!$C$17</f>
        <v>1000</v>
      </c>
      <c r="E71" s="33">
        <f t="shared" si="1"/>
        <v>999</v>
      </c>
      <c r="F71" s="33" t="str">
        <f>'Peak Models'!$B$4</f>
        <v>Default</v>
      </c>
      <c r="G71" s="33" t="e">
        <f>'Peak Models'!$Q$7</f>
        <v>#VALUE!</v>
      </c>
      <c r="H71" s="33">
        <f>'Peak Models'!$P$16</f>
        <v>1.5</v>
      </c>
      <c r="I71" s="33">
        <v>12</v>
      </c>
      <c r="J71" s="33" t="e">
        <f>'Peak Models'!$P$13</f>
        <v>#N/A</v>
      </c>
      <c r="K71" s="28" t="e">
        <f t="shared" si="13"/>
        <v>#VALUE!</v>
      </c>
      <c r="L71" s="28" t="e">
        <f>INDEX('Peak Models'!$P$34:$P$64, MATCH(TRUNC(B71, 0), 'Peak Models'!$O$34:$O$64, 0))</f>
        <v>#N/A</v>
      </c>
      <c r="M71" s="28">
        <f>'Peak Models'!$P$15*INDEX('Peak Models'!$Q$34:$Q$64, MATCH(TRUNC(B71, 0),'Peak Models'!$O$34:$O$64, 0))/'Profit per cycles Model'!$E$78</f>
        <v>4.8235294117647056</v>
      </c>
      <c r="N71" s="28" t="e">
        <f t="shared" si="2"/>
        <v>#N/A</v>
      </c>
      <c r="O71" s="71" t="e">
        <f>AVERAGE($N$10:N71)</f>
        <v>#N/A</v>
      </c>
      <c r="P71" s="28" t="e">
        <f t="shared" si="3"/>
        <v>#N/A</v>
      </c>
      <c r="R71" s="28" t="e">
        <f t="shared" si="4"/>
        <v>#VALUE!</v>
      </c>
      <c r="S71" s="25"/>
      <c r="T71" s="25">
        <f t="shared" si="5"/>
        <v>15</v>
      </c>
      <c r="U71" s="33">
        <f>IF(PaybackCustom&gt;0, IF(PaybackCustom&lt;&gt;"Default", PaybackCustom, IF(PaybackStatus&lt;&gt;"",INDEX('Arbitrage Payback Engine'!$Y$2:$Y$6,MATCH(PaybackStatus,'Arbitrage Payback Engine'!$X$2:$X$6,FALSE)),-1)))</f>
        <v>25</v>
      </c>
      <c r="V71" s="32">
        <f t="shared" si="14"/>
        <v>15</v>
      </c>
      <c r="X71" s="29">
        <f t="shared" si="15"/>
        <v>62</v>
      </c>
      <c r="Z71" s="30">
        <f t="shared" si="6"/>
        <v>1.6983974797972881</v>
      </c>
      <c r="AA71" s="28" t="e">
        <f t="shared" si="7"/>
        <v>#N/A</v>
      </c>
      <c r="AB71" s="28" t="e">
        <f t="shared" si="8"/>
        <v>#VALUE!</v>
      </c>
      <c r="AC71" s="29">
        <f t="shared" si="9"/>
        <v>58.82352941176471</v>
      </c>
      <c r="AD71" s="28" t="e">
        <f t="shared" si="10"/>
        <v>#VALUE!</v>
      </c>
      <c r="AE71" s="28" t="e">
        <f t="shared" si="11"/>
        <v>#N/A</v>
      </c>
      <c r="AF71" s="28" t="e">
        <f t="shared" si="12"/>
        <v>#VALUE!</v>
      </c>
      <c r="AH71" s="31" t="e">
        <f t="shared" si="16"/>
        <v>#N/A</v>
      </c>
      <c r="AI71" s="25"/>
      <c r="AJ71" s="31"/>
    </row>
    <row r="72" spans="2:36" x14ac:dyDescent="0.25">
      <c r="B72" s="33">
        <f>'Arbitrage Payback Engine'!E72</f>
        <v>1.7257909875359538</v>
      </c>
      <c r="C72" s="33">
        <f t="shared" si="0"/>
        <v>1000</v>
      </c>
      <c r="D72" s="33">
        <f>'Battery Pricing Model'!$C$17</f>
        <v>1000</v>
      </c>
      <c r="E72" s="33">
        <f t="shared" si="1"/>
        <v>999</v>
      </c>
      <c r="F72" s="33" t="str">
        <f>'Peak Models'!$B$4</f>
        <v>Default</v>
      </c>
      <c r="G72" s="33" t="e">
        <f>'Peak Models'!$Q$7</f>
        <v>#VALUE!</v>
      </c>
      <c r="H72" s="33">
        <f>'Peak Models'!$P$16</f>
        <v>1.5</v>
      </c>
      <c r="I72" s="33">
        <v>12</v>
      </c>
      <c r="J72" s="33" t="e">
        <f>'Peak Models'!$P$13</f>
        <v>#N/A</v>
      </c>
      <c r="K72" s="28" t="e">
        <f t="shared" si="13"/>
        <v>#VALUE!</v>
      </c>
      <c r="L72" s="28" t="e">
        <f>INDEX('Peak Models'!$P$34:$P$64, MATCH(TRUNC(B72, 0), 'Peak Models'!$O$34:$O$64, 0))</f>
        <v>#N/A</v>
      </c>
      <c r="M72" s="28">
        <f>'Peak Models'!$P$15*INDEX('Peak Models'!$Q$34:$Q$64, MATCH(TRUNC(B72, 0),'Peak Models'!$O$34:$O$64, 0))/'Profit per cycles Model'!$E$78</f>
        <v>4.8235294117647056</v>
      </c>
      <c r="N72" s="28" t="e">
        <f t="shared" si="2"/>
        <v>#N/A</v>
      </c>
      <c r="O72" s="71" t="e">
        <f>AVERAGE($N$10:N72)</f>
        <v>#N/A</v>
      </c>
      <c r="P72" s="28" t="e">
        <f t="shared" si="3"/>
        <v>#N/A</v>
      </c>
      <c r="R72" s="28" t="e">
        <f t="shared" si="4"/>
        <v>#VALUE!</v>
      </c>
      <c r="S72" s="25"/>
      <c r="T72" s="25">
        <f t="shared" si="5"/>
        <v>15</v>
      </c>
      <c r="U72" s="33">
        <f>IF(PaybackCustom&gt;0, IF(PaybackCustom&lt;&gt;"Default", PaybackCustom, IF(PaybackStatus&lt;&gt;"",INDEX('Arbitrage Payback Engine'!$Y$2:$Y$6,MATCH(PaybackStatus,'Arbitrage Payback Engine'!$X$2:$X$6,FALSE)),-1)))</f>
        <v>25</v>
      </c>
      <c r="V72" s="32">
        <f t="shared" si="14"/>
        <v>15</v>
      </c>
      <c r="X72" s="29">
        <f t="shared" si="15"/>
        <v>63</v>
      </c>
      <c r="Z72" s="30">
        <f t="shared" si="6"/>
        <v>1.7257909875359538</v>
      </c>
      <c r="AA72" s="28" t="e">
        <f t="shared" si="7"/>
        <v>#N/A</v>
      </c>
      <c r="AB72" s="28" t="e">
        <f t="shared" si="8"/>
        <v>#VALUE!</v>
      </c>
      <c r="AC72" s="29">
        <f t="shared" si="9"/>
        <v>59.772296015180267</v>
      </c>
      <c r="AD72" s="28" t="e">
        <f t="shared" si="10"/>
        <v>#VALUE!</v>
      </c>
      <c r="AE72" s="28" t="e">
        <f t="shared" si="11"/>
        <v>#N/A</v>
      </c>
      <c r="AF72" s="28" t="e">
        <f t="shared" si="12"/>
        <v>#VALUE!</v>
      </c>
      <c r="AH72" s="31" t="e">
        <f t="shared" si="16"/>
        <v>#N/A</v>
      </c>
      <c r="AI72" s="25"/>
      <c r="AJ72" s="31"/>
    </row>
    <row r="73" spans="2:36" x14ac:dyDescent="0.25">
      <c r="B73" s="33">
        <f>'Arbitrage Payback Engine'!E73</f>
        <v>1.7531844952746198</v>
      </c>
      <c r="C73" s="33">
        <f t="shared" si="0"/>
        <v>1000</v>
      </c>
      <c r="D73" s="33">
        <f>'Battery Pricing Model'!$C$17</f>
        <v>1000</v>
      </c>
      <c r="E73" s="33">
        <f t="shared" si="1"/>
        <v>999</v>
      </c>
      <c r="F73" s="33" t="str">
        <f>'Peak Models'!$B$4</f>
        <v>Default</v>
      </c>
      <c r="G73" s="33" t="e">
        <f>'Peak Models'!$Q$7</f>
        <v>#VALUE!</v>
      </c>
      <c r="H73" s="33">
        <f>'Peak Models'!$P$16</f>
        <v>1.5</v>
      </c>
      <c r="I73" s="33">
        <v>12</v>
      </c>
      <c r="J73" s="33" t="e">
        <f>'Peak Models'!$P$13</f>
        <v>#N/A</v>
      </c>
      <c r="K73" s="28" t="e">
        <f t="shared" si="13"/>
        <v>#VALUE!</v>
      </c>
      <c r="L73" s="28" t="e">
        <f>INDEX('Peak Models'!$P$34:$P$64, MATCH(TRUNC(B73, 0), 'Peak Models'!$O$34:$O$64, 0))</f>
        <v>#N/A</v>
      </c>
      <c r="M73" s="28">
        <f>'Peak Models'!$P$15*INDEX('Peak Models'!$Q$34:$Q$64, MATCH(TRUNC(B73, 0),'Peak Models'!$O$34:$O$64, 0))/'Profit per cycles Model'!$E$78</f>
        <v>4.8235294117647056</v>
      </c>
      <c r="N73" s="28" t="e">
        <f t="shared" si="2"/>
        <v>#N/A</v>
      </c>
      <c r="O73" s="71" t="e">
        <f>AVERAGE($N$10:N73)</f>
        <v>#N/A</v>
      </c>
      <c r="P73" s="28" t="e">
        <f t="shared" si="3"/>
        <v>#N/A</v>
      </c>
      <c r="R73" s="28" t="e">
        <f t="shared" si="4"/>
        <v>#VALUE!</v>
      </c>
      <c r="S73" s="25"/>
      <c r="T73" s="25">
        <f t="shared" si="5"/>
        <v>15</v>
      </c>
      <c r="U73" s="33">
        <f>IF(PaybackCustom&gt;0, IF(PaybackCustom&lt;&gt;"Default", PaybackCustom, IF(PaybackStatus&lt;&gt;"",INDEX('Arbitrage Payback Engine'!$Y$2:$Y$6,MATCH(PaybackStatus,'Arbitrage Payback Engine'!$X$2:$X$6,FALSE)),-1)))</f>
        <v>25</v>
      </c>
      <c r="V73" s="32">
        <f t="shared" si="14"/>
        <v>15</v>
      </c>
      <c r="X73" s="29">
        <f t="shared" si="15"/>
        <v>64</v>
      </c>
      <c r="Z73" s="30">
        <f t="shared" si="6"/>
        <v>1.7531844952746198</v>
      </c>
      <c r="AA73" s="28" t="e">
        <f t="shared" si="7"/>
        <v>#N/A</v>
      </c>
      <c r="AB73" s="28" t="e">
        <f t="shared" si="8"/>
        <v>#VALUE!</v>
      </c>
      <c r="AC73" s="29">
        <f t="shared" si="9"/>
        <v>60.721062618595823</v>
      </c>
      <c r="AD73" s="28" t="e">
        <f t="shared" si="10"/>
        <v>#VALUE!</v>
      </c>
      <c r="AE73" s="28" t="e">
        <f t="shared" si="11"/>
        <v>#N/A</v>
      </c>
      <c r="AF73" s="28" t="e">
        <f t="shared" si="12"/>
        <v>#VALUE!</v>
      </c>
      <c r="AH73" s="31" t="e">
        <f t="shared" si="16"/>
        <v>#N/A</v>
      </c>
      <c r="AI73" s="25"/>
      <c r="AJ73" s="31"/>
    </row>
    <row r="74" spans="2:36" x14ac:dyDescent="0.25">
      <c r="B74" s="33">
        <f>'Arbitrage Payback Engine'!E74</f>
        <v>1.7805780030132858</v>
      </c>
      <c r="C74" s="33">
        <f t="shared" ref="C74:C137" si="17">IF(OR($E$6="None", $E$6=0), D74, E74)</f>
        <v>1000</v>
      </c>
      <c r="D74" s="33">
        <f>'Battery Pricing Model'!$C$17</f>
        <v>1000</v>
      </c>
      <c r="E74" s="33">
        <f t="shared" ref="E74:E137" si="18">IF(OR($E$6="None", $E$6=0), 999, $D74*(E$6))</f>
        <v>999</v>
      </c>
      <c r="F74" s="33" t="str">
        <f>'Peak Models'!$B$4</f>
        <v>Default</v>
      </c>
      <c r="G74" s="33" t="e">
        <f>'Peak Models'!$Q$7</f>
        <v>#VALUE!</v>
      </c>
      <c r="H74" s="33">
        <f>'Peak Models'!$P$16</f>
        <v>1.5</v>
      </c>
      <c r="I74" s="33">
        <v>12</v>
      </c>
      <c r="J74" s="33" t="e">
        <f>'Peak Models'!$P$13</f>
        <v>#N/A</v>
      </c>
      <c r="K74" s="28" t="e">
        <f t="shared" ref="K74:K137" si="19">C74*G74/(H74*B74)</f>
        <v>#VALUE!</v>
      </c>
      <c r="L74" s="28" t="e">
        <f>INDEX('Peak Models'!$P$34:$P$64, MATCH(TRUNC(B74, 0), 'Peak Models'!$O$34:$O$64, 0))</f>
        <v>#N/A</v>
      </c>
      <c r="M74" s="28">
        <f>'Peak Models'!$P$15*INDEX('Peak Models'!$Q$34:$Q$64, MATCH(TRUNC(B74, 0),'Peak Models'!$O$34:$O$64, 0))/'Profit per cycles Model'!$E$78</f>
        <v>4.8235294117647056</v>
      </c>
      <c r="N74" s="28" t="e">
        <f t="shared" ref="N74:N137" si="20">L74-M74</f>
        <v>#N/A</v>
      </c>
      <c r="O74" s="71" t="e">
        <f>AVERAGE($N$10:N74)</f>
        <v>#N/A</v>
      </c>
      <c r="P74" s="28" t="e">
        <f t="shared" ref="P74:P137" si="21">IF(O74-K74&lt;0, 999, O74-K74)</f>
        <v>#N/A</v>
      </c>
      <c r="R74" s="28" t="e">
        <f t="shared" ref="R74:R137" si="22">IF(ISNA(INDEX($K$10:$K$1063,MATCH(T74,$B$10:$B$1063,1))),-1,INDEX($K$10:$K$1063,MATCH(T74,$B$10:$B$1063,1)))</f>
        <v>#VALUE!</v>
      </c>
      <c r="S74" s="25"/>
      <c r="T74" s="25">
        <f t="shared" ref="T74:T137" si="23">IF( AND(U74&gt;0, V74&gt;0), IF(U74&lt;V74, U74, V74),  IF(U74&gt;0, U74, IF(V74&gt;0, V74, -1)) )</f>
        <v>15</v>
      </c>
      <c r="U74" s="33">
        <f>IF(PaybackCustom&gt;0, IF(PaybackCustom&lt;&gt;"Default", PaybackCustom, IF(PaybackStatus&lt;&gt;"",INDEX('Arbitrage Payback Engine'!$Y$2:$Y$6,MATCH(PaybackStatus,'Arbitrage Payback Engine'!$X$2:$X$6,FALSE)),-1)))</f>
        <v>25</v>
      </c>
      <c r="V74" s="32">
        <f t="shared" si="14"/>
        <v>15</v>
      </c>
      <c r="X74" s="29">
        <f t="shared" si="15"/>
        <v>65</v>
      </c>
      <c r="Z74" s="30">
        <f t="shared" ref="Z74:Z137" si="24">B74</f>
        <v>1.7805780030132858</v>
      </c>
      <c r="AA74" s="28" t="e">
        <f t="shared" ref="AA74:AA137" si="25">N74</f>
        <v>#N/A</v>
      </c>
      <c r="AB74" s="28" t="e">
        <f t="shared" ref="AB74:AB137" si="26">R74</f>
        <v>#VALUE!</v>
      </c>
      <c r="AC74" s="29">
        <f t="shared" ref="AC74:AC137" si="27">$AB$2*(Z74-$AB$3)/($AB$4-$AB$3)</f>
        <v>61.669829222011387</v>
      </c>
      <c r="AD74" s="28" t="e">
        <f t="shared" ref="AD74:AD137" si="28">MIN(AB74, AA74)</f>
        <v>#VALUE!</v>
      </c>
      <c r="AE74" s="28" t="e">
        <f t="shared" ref="AE74:AE137" si="29">IF(AND(Z74&lt;T74, AA74&gt;AB74), AA74-AB74, 0)</f>
        <v>#N/A</v>
      </c>
      <c r="AF74" s="28" t="e">
        <f t="shared" ref="AF74:AF137" si="30">IF(AND(Z74&lt;T74, AB74&gt;AA74), AB74-AA74, 0)</f>
        <v>#VALUE!</v>
      </c>
      <c r="AH74" s="31" t="e">
        <f t="shared" ref="AH74:AH137" si="31">(O74-K74)/K74</f>
        <v>#N/A</v>
      </c>
      <c r="AI74" s="25"/>
      <c r="AJ74" s="31"/>
    </row>
    <row r="75" spans="2:36" x14ac:dyDescent="0.25">
      <c r="B75" s="33">
        <f>'Arbitrage Payback Engine'!E75</f>
        <v>1.8079715107519518</v>
      </c>
      <c r="C75" s="33">
        <f t="shared" si="17"/>
        <v>1000</v>
      </c>
      <c r="D75" s="33">
        <f>'Battery Pricing Model'!$C$17</f>
        <v>1000</v>
      </c>
      <c r="E75" s="33">
        <f t="shared" si="18"/>
        <v>999</v>
      </c>
      <c r="F75" s="33" t="str">
        <f>'Peak Models'!$B$4</f>
        <v>Default</v>
      </c>
      <c r="G75" s="33" t="e">
        <f>'Peak Models'!$Q$7</f>
        <v>#VALUE!</v>
      </c>
      <c r="H75" s="33">
        <f>'Peak Models'!$P$16</f>
        <v>1.5</v>
      </c>
      <c r="I75" s="33">
        <v>12</v>
      </c>
      <c r="J75" s="33" t="e">
        <f>'Peak Models'!$P$13</f>
        <v>#N/A</v>
      </c>
      <c r="K75" s="28" t="e">
        <f t="shared" si="19"/>
        <v>#VALUE!</v>
      </c>
      <c r="L75" s="28" t="e">
        <f>INDEX('Peak Models'!$P$34:$P$64, MATCH(TRUNC(B75, 0), 'Peak Models'!$O$34:$O$64, 0))</f>
        <v>#N/A</v>
      </c>
      <c r="M75" s="28">
        <f>'Peak Models'!$P$15*INDEX('Peak Models'!$Q$34:$Q$64, MATCH(TRUNC(B75, 0),'Peak Models'!$O$34:$O$64, 0))/'Profit per cycles Model'!$E$78</f>
        <v>4.8235294117647056</v>
      </c>
      <c r="N75" s="28" t="e">
        <f t="shared" si="20"/>
        <v>#N/A</v>
      </c>
      <c r="O75" s="71" t="e">
        <f>AVERAGE($N$10:N75)</f>
        <v>#N/A</v>
      </c>
      <c r="P75" s="28" t="e">
        <f t="shared" si="21"/>
        <v>#N/A</v>
      </c>
      <c r="R75" s="28" t="e">
        <f t="shared" si="22"/>
        <v>#VALUE!</v>
      </c>
      <c r="S75" s="25"/>
      <c r="T75" s="25">
        <f t="shared" si="23"/>
        <v>15</v>
      </c>
      <c r="U75" s="33">
        <f>IF(PaybackCustom&gt;0, IF(PaybackCustom&lt;&gt;"Default", PaybackCustom, IF(PaybackStatus&lt;&gt;"",INDEX('Arbitrage Payback Engine'!$Y$2:$Y$6,MATCH(PaybackStatus,'Arbitrage Payback Engine'!$X$2:$X$6,FALSE)),-1)))</f>
        <v>25</v>
      </c>
      <c r="V75" s="32">
        <f t="shared" ref="V75:V138" si="32">IF(ISNUMBER($L$5), $L$5, 15)</f>
        <v>15</v>
      </c>
      <c r="X75" s="29">
        <f t="shared" ref="X75:X138" si="33">X74+1</f>
        <v>66</v>
      </c>
      <c r="Z75" s="30">
        <f t="shared" si="24"/>
        <v>1.8079715107519518</v>
      </c>
      <c r="AA75" s="28" t="e">
        <f t="shared" si="25"/>
        <v>#N/A</v>
      </c>
      <c r="AB75" s="28" t="e">
        <f t="shared" si="26"/>
        <v>#VALUE!</v>
      </c>
      <c r="AC75" s="29">
        <f t="shared" si="27"/>
        <v>62.618595825426951</v>
      </c>
      <c r="AD75" s="28" t="e">
        <f t="shared" si="28"/>
        <v>#VALUE!</v>
      </c>
      <c r="AE75" s="28" t="e">
        <f t="shared" si="29"/>
        <v>#N/A</v>
      </c>
      <c r="AF75" s="28" t="e">
        <f t="shared" si="30"/>
        <v>#VALUE!</v>
      </c>
      <c r="AH75" s="31" t="e">
        <f t="shared" si="31"/>
        <v>#N/A</v>
      </c>
      <c r="AI75" s="25"/>
      <c r="AJ75" s="31"/>
    </row>
    <row r="76" spans="2:36" x14ac:dyDescent="0.25">
      <c r="B76" s="33">
        <f>'Arbitrage Payback Engine'!E76</f>
        <v>1.8353650184906176</v>
      </c>
      <c r="C76" s="33">
        <f t="shared" si="17"/>
        <v>1000</v>
      </c>
      <c r="D76" s="33">
        <f>'Battery Pricing Model'!$C$17</f>
        <v>1000</v>
      </c>
      <c r="E76" s="33">
        <f t="shared" si="18"/>
        <v>999</v>
      </c>
      <c r="F76" s="33" t="str">
        <f>'Peak Models'!$B$4</f>
        <v>Default</v>
      </c>
      <c r="G76" s="33" t="e">
        <f>'Peak Models'!$Q$7</f>
        <v>#VALUE!</v>
      </c>
      <c r="H76" s="33">
        <f>'Peak Models'!$P$16</f>
        <v>1.5</v>
      </c>
      <c r="I76" s="33">
        <v>12</v>
      </c>
      <c r="J76" s="33" t="e">
        <f>'Peak Models'!$P$13</f>
        <v>#N/A</v>
      </c>
      <c r="K76" s="28" t="e">
        <f t="shared" si="19"/>
        <v>#VALUE!</v>
      </c>
      <c r="L76" s="28" t="e">
        <f>INDEX('Peak Models'!$P$34:$P$64, MATCH(TRUNC(B76, 0), 'Peak Models'!$O$34:$O$64, 0))</f>
        <v>#N/A</v>
      </c>
      <c r="M76" s="28">
        <f>'Peak Models'!$P$15*INDEX('Peak Models'!$Q$34:$Q$64, MATCH(TRUNC(B76, 0),'Peak Models'!$O$34:$O$64, 0))/'Profit per cycles Model'!$E$78</f>
        <v>4.8235294117647056</v>
      </c>
      <c r="N76" s="28" t="e">
        <f t="shared" si="20"/>
        <v>#N/A</v>
      </c>
      <c r="O76" s="71" t="e">
        <f>AVERAGE($N$10:N76)</f>
        <v>#N/A</v>
      </c>
      <c r="P76" s="28" t="e">
        <f t="shared" si="21"/>
        <v>#N/A</v>
      </c>
      <c r="R76" s="28" t="e">
        <f t="shared" si="22"/>
        <v>#VALUE!</v>
      </c>
      <c r="S76" s="25"/>
      <c r="T76" s="25">
        <f t="shared" si="23"/>
        <v>15</v>
      </c>
      <c r="U76" s="33">
        <f>IF(PaybackCustom&gt;0, IF(PaybackCustom&lt;&gt;"Default", PaybackCustom, IF(PaybackStatus&lt;&gt;"",INDEX('Arbitrage Payback Engine'!$Y$2:$Y$6,MATCH(PaybackStatus,'Arbitrage Payback Engine'!$X$2:$X$6,FALSE)),-1)))</f>
        <v>25</v>
      </c>
      <c r="V76" s="32">
        <f t="shared" si="32"/>
        <v>15</v>
      </c>
      <c r="X76" s="29">
        <f t="shared" si="33"/>
        <v>67</v>
      </c>
      <c r="Z76" s="30">
        <f t="shared" si="24"/>
        <v>1.8353650184906176</v>
      </c>
      <c r="AA76" s="28" t="e">
        <f t="shared" si="25"/>
        <v>#N/A</v>
      </c>
      <c r="AB76" s="28" t="e">
        <f t="shared" si="26"/>
        <v>#VALUE!</v>
      </c>
      <c r="AC76" s="29">
        <f t="shared" si="27"/>
        <v>63.5673624288425</v>
      </c>
      <c r="AD76" s="28" t="e">
        <f t="shared" si="28"/>
        <v>#VALUE!</v>
      </c>
      <c r="AE76" s="28" t="e">
        <f t="shared" si="29"/>
        <v>#N/A</v>
      </c>
      <c r="AF76" s="28" t="e">
        <f t="shared" si="30"/>
        <v>#VALUE!</v>
      </c>
      <c r="AH76" s="31" t="e">
        <f t="shared" si="31"/>
        <v>#N/A</v>
      </c>
      <c r="AI76" s="25"/>
      <c r="AJ76" s="31"/>
    </row>
    <row r="77" spans="2:36" x14ac:dyDescent="0.25">
      <c r="B77" s="33">
        <f>'Arbitrage Payback Engine'!E77</f>
        <v>1.8627585262292836</v>
      </c>
      <c r="C77" s="33">
        <f t="shared" si="17"/>
        <v>1000</v>
      </c>
      <c r="D77" s="33">
        <f>'Battery Pricing Model'!$C$17</f>
        <v>1000</v>
      </c>
      <c r="E77" s="33">
        <f t="shared" si="18"/>
        <v>999</v>
      </c>
      <c r="F77" s="33" t="str">
        <f>'Peak Models'!$B$4</f>
        <v>Default</v>
      </c>
      <c r="G77" s="33" t="e">
        <f>'Peak Models'!$Q$7</f>
        <v>#VALUE!</v>
      </c>
      <c r="H77" s="33">
        <f>'Peak Models'!$P$16</f>
        <v>1.5</v>
      </c>
      <c r="I77" s="33">
        <v>12</v>
      </c>
      <c r="J77" s="33" t="e">
        <f>'Peak Models'!$P$13</f>
        <v>#N/A</v>
      </c>
      <c r="K77" s="28" t="e">
        <f t="shared" si="19"/>
        <v>#VALUE!</v>
      </c>
      <c r="L77" s="28" t="e">
        <f>INDEX('Peak Models'!$P$34:$P$64, MATCH(TRUNC(B77, 0), 'Peak Models'!$O$34:$O$64, 0))</f>
        <v>#N/A</v>
      </c>
      <c r="M77" s="28">
        <f>'Peak Models'!$P$15*INDEX('Peak Models'!$Q$34:$Q$64, MATCH(TRUNC(B77, 0),'Peak Models'!$O$34:$O$64, 0))/'Profit per cycles Model'!$E$78</f>
        <v>4.8235294117647056</v>
      </c>
      <c r="N77" s="28" t="e">
        <f t="shared" si="20"/>
        <v>#N/A</v>
      </c>
      <c r="O77" s="71" t="e">
        <f>AVERAGE($N$10:N77)</f>
        <v>#N/A</v>
      </c>
      <c r="P77" s="28" t="e">
        <f t="shared" si="21"/>
        <v>#N/A</v>
      </c>
      <c r="R77" s="28" t="e">
        <f t="shared" si="22"/>
        <v>#VALUE!</v>
      </c>
      <c r="S77" s="25"/>
      <c r="T77" s="25">
        <f t="shared" si="23"/>
        <v>15</v>
      </c>
      <c r="U77" s="33">
        <f>IF(PaybackCustom&gt;0, IF(PaybackCustom&lt;&gt;"Default", PaybackCustom, IF(PaybackStatus&lt;&gt;"",INDEX('Arbitrage Payback Engine'!$Y$2:$Y$6,MATCH(PaybackStatus,'Arbitrage Payback Engine'!$X$2:$X$6,FALSE)),-1)))</f>
        <v>25</v>
      </c>
      <c r="V77" s="32">
        <f t="shared" si="32"/>
        <v>15</v>
      </c>
      <c r="X77" s="29">
        <f t="shared" si="33"/>
        <v>68</v>
      </c>
      <c r="Z77" s="30">
        <f t="shared" si="24"/>
        <v>1.8627585262292836</v>
      </c>
      <c r="AA77" s="28" t="e">
        <f t="shared" si="25"/>
        <v>#N/A</v>
      </c>
      <c r="AB77" s="28" t="e">
        <f t="shared" si="26"/>
        <v>#VALUE!</v>
      </c>
      <c r="AC77" s="29">
        <f t="shared" si="27"/>
        <v>64.516129032258064</v>
      </c>
      <c r="AD77" s="28" t="e">
        <f t="shared" si="28"/>
        <v>#VALUE!</v>
      </c>
      <c r="AE77" s="28" t="e">
        <f t="shared" si="29"/>
        <v>#N/A</v>
      </c>
      <c r="AF77" s="28" t="e">
        <f t="shared" si="30"/>
        <v>#VALUE!</v>
      </c>
      <c r="AH77" s="31" t="e">
        <f t="shared" si="31"/>
        <v>#N/A</v>
      </c>
      <c r="AI77" s="25"/>
      <c r="AJ77" s="31"/>
    </row>
    <row r="78" spans="2:36" x14ac:dyDescent="0.25">
      <c r="B78" s="33">
        <f>'Arbitrage Payback Engine'!E78</f>
        <v>1.8901520339679496</v>
      </c>
      <c r="C78" s="33">
        <f t="shared" si="17"/>
        <v>1000</v>
      </c>
      <c r="D78" s="33">
        <f>'Battery Pricing Model'!$C$17</f>
        <v>1000</v>
      </c>
      <c r="E78" s="33">
        <f t="shared" si="18"/>
        <v>999</v>
      </c>
      <c r="F78" s="33" t="str">
        <f>'Peak Models'!$B$4</f>
        <v>Default</v>
      </c>
      <c r="G78" s="33" t="e">
        <f>'Peak Models'!$Q$7</f>
        <v>#VALUE!</v>
      </c>
      <c r="H78" s="33">
        <f>'Peak Models'!$P$16</f>
        <v>1.5</v>
      </c>
      <c r="I78" s="33">
        <v>12</v>
      </c>
      <c r="J78" s="33" t="e">
        <f>'Peak Models'!$P$13</f>
        <v>#N/A</v>
      </c>
      <c r="K78" s="28" t="e">
        <f t="shared" si="19"/>
        <v>#VALUE!</v>
      </c>
      <c r="L78" s="28" t="e">
        <f>INDEX('Peak Models'!$P$34:$P$64, MATCH(TRUNC(B78, 0), 'Peak Models'!$O$34:$O$64, 0))</f>
        <v>#N/A</v>
      </c>
      <c r="M78" s="28">
        <f>'Peak Models'!$P$15*INDEX('Peak Models'!$Q$34:$Q$64, MATCH(TRUNC(B78, 0),'Peak Models'!$O$34:$O$64, 0))/'Profit per cycles Model'!$E$78</f>
        <v>4.8235294117647056</v>
      </c>
      <c r="N78" s="28" t="e">
        <f t="shared" si="20"/>
        <v>#N/A</v>
      </c>
      <c r="O78" s="71" t="e">
        <f>AVERAGE($N$10:N78)</f>
        <v>#N/A</v>
      </c>
      <c r="P78" s="28" t="e">
        <f t="shared" si="21"/>
        <v>#N/A</v>
      </c>
      <c r="R78" s="28" t="e">
        <f t="shared" si="22"/>
        <v>#VALUE!</v>
      </c>
      <c r="S78" s="25"/>
      <c r="T78" s="25">
        <f t="shared" si="23"/>
        <v>15</v>
      </c>
      <c r="U78" s="33">
        <f>IF(PaybackCustom&gt;0, IF(PaybackCustom&lt;&gt;"Default", PaybackCustom, IF(PaybackStatus&lt;&gt;"",INDEX('Arbitrage Payback Engine'!$Y$2:$Y$6,MATCH(PaybackStatus,'Arbitrage Payback Engine'!$X$2:$X$6,FALSE)),-1)))</f>
        <v>25</v>
      </c>
      <c r="V78" s="32">
        <f t="shared" si="32"/>
        <v>15</v>
      </c>
      <c r="X78" s="29">
        <f t="shared" si="33"/>
        <v>69</v>
      </c>
      <c r="Z78" s="30">
        <f t="shared" si="24"/>
        <v>1.8901520339679496</v>
      </c>
      <c r="AA78" s="28" t="e">
        <f t="shared" si="25"/>
        <v>#N/A</v>
      </c>
      <c r="AB78" s="28" t="e">
        <f t="shared" si="26"/>
        <v>#VALUE!</v>
      </c>
      <c r="AC78" s="29">
        <f t="shared" si="27"/>
        <v>65.464895635673628</v>
      </c>
      <c r="AD78" s="28" t="e">
        <f t="shared" si="28"/>
        <v>#VALUE!</v>
      </c>
      <c r="AE78" s="28" t="e">
        <f t="shared" si="29"/>
        <v>#N/A</v>
      </c>
      <c r="AF78" s="28" t="e">
        <f t="shared" si="30"/>
        <v>#VALUE!</v>
      </c>
      <c r="AH78" s="31" t="e">
        <f t="shared" si="31"/>
        <v>#N/A</v>
      </c>
      <c r="AI78" s="25"/>
      <c r="AJ78" s="31"/>
    </row>
    <row r="79" spans="2:36" x14ac:dyDescent="0.25">
      <c r="B79" s="33">
        <f>'Arbitrage Payback Engine'!E79</f>
        <v>1.9175455417066154</v>
      </c>
      <c r="C79" s="33">
        <f t="shared" si="17"/>
        <v>1000</v>
      </c>
      <c r="D79" s="33">
        <f>'Battery Pricing Model'!$C$17</f>
        <v>1000</v>
      </c>
      <c r="E79" s="33">
        <f t="shared" si="18"/>
        <v>999</v>
      </c>
      <c r="F79" s="33" t="str">
        <f>'Peak Models'!$B$4</f>
        <v>Default</v>
      </c>
      <c r="G79" s="33" t="e">
        <f>'Peak Models'!$Q$7</f>
        <v>#VALUE!</v>
      </c>
      <c r="H79" s="33">
        <f>'Peak Models'!$P$16</f>
        <v>1.5</v>
      </c>
      <c r="I79" s="33">
        <v>12</v>
      </c>
      <c r="J79" s="33" t="e">
        <f>'Peak Models'!$P$13</f>
        <v>#N/A</v>
      </c>
      <c r="K79" s="28" t="e">
        <f t="shared" si="19"/>
        <v>#VALUE!</v>
      </c>
      <c r="L79" s="28" t="e">
        <f>INDEX('Peak Models'!$P$34:$P$64, MATCH(TRUNC(B79, 0), 'Peak Models'!$O$34:$O$64, 0))</f>
        <v>#N/A</v>
      </c>
      <c r="M79" s="28">
        <f>'Peak Models'!$P$15*INDEX('Peak Models'!$Q$34:$Q$64, MATCH(TRUNC(B79, 0),'Peak Models'!$O$34:$O$64, 0))/'Profit per cycles Model'!$E$78</f>
        <v>4.8235294117647056</v>
      </c>
      <c r="N79" s="28" t="e">
        <f t="shared" si="20"/>
        <v>#N/A</v>
      </c>
      <c r="O79" s="71" t="e">
        <f>AVERAGE($N$10:N79)</f>
        <v>#N/A</v>
      </c>
      <c r="P79" s="28" t="e">
        <f t="shared" si="21"/>
        <v>#N/A</v>
      </c>
      <c r="R79" s="28" t="e">
        <f t="shared" si="22"/>
        <v>#VALUE!</v>
      </c>
      <c r="S79" s="25"/>
      <c r="T79" s="25">
        <f t="shared" si="23"/>
        <v>15</v>
      </c>
      <c r="U79" s="33">
        <f>IF(PaybackCustom&gt;0, IF(PaybackCustom&lt;&gt;"Default", PaybackCustom, IF(PaybackStatus&lt;&gt;"",INDEX('Arbitrage Payback Engine'!$Y$2:$Y$6,MATCH(PaybackStatus,'Arbitrage Payback Engine'!$X$2:$X$6,FALSE)),-1)))</f>
        <v>25</v>
      </c>
      <c r="V79" s="32">
        <f t="shared" si="32"/>
        <v>15</v>
      </c>
      <c r="X79" s="29">
        <f t="shared" si="33"/>
        <v>70</v>
      </c>
      <c r="Z79" s="30">
        <f t="shared" si="24"/>
        <v>1.9175455417066154</v>
      </c>
      <c r="AA79" s="28" t="e">
        <f t="shared" si="25"/>
        <v>#N/A</v>
      </c>
      <c r="AB79" s="28" t="e">
        <f t="shared" si="26"/>
        <v>#VALUE!</v>
      </c>
      <c r="AC79" s="29">
        <f t="shared" si="27"/>
        <v>66.413662239089192</v>
      </c>
      <c r="AD79" s="28" t="e">
        <f t="shared" si="28"/>
        <v>#VALUE!</v>
      </c>
      <c r="AE79" s="28" t="e">
        <f t="shared" si="29"/>
        <v>#N/A</v>
      </c>
      <c r="AF79" s="28" t="e">
        <f t="shared" si="30"/>
        <v>#VALUE!</v>
      </c>
      <c r="AH79" s="31" t="e">
        <f t="shared" si="31"/>
        <v>#N/A</v>
      </c>
      <c r="AI79" s="25"/>
      <c r="AJ79" s="31"/>
    </row>
    <row r="80" spans="2:36" x14ac:dyDescent="0.25">
      <c r="B80" s="33">
        <f>'Arbitrage Payback Engine'!E80</f>
        <v>1.9449390494452814</v>
      </c>
      <c r="C80" s="33">
        <f t="shared" si="17"/>
        <v>1000</v>
      </c>
      <c r="D80" s="33">
        <f>'Battery Pricing Model'!$C$17</f>
        <v>1000</v>
      </c>
      <c r="E80" s="33">
        <f t="shared" si="18"/>
        <v>999</v>
      </c>
      <c r="F80" s="33" t="str">
        <f>'Peak Models'!$B$4</f>
        <v>Default</v>
      </c>
      <c r="G80" s="33" t="e">
        <f>'Peak Models'!$Q$7</f>
        <v>#VALUE!</v>
      </c>
      <c r="H80" s="33">
        <f>'Peak Models'!$P$16</f>
        <v>1.5</v>
      </c>
      <c r="I80" s="33">
        <v>12</v>
      </c>
      <c r="J80" s="33" t="e">
        <f>'Peak Models'!$P$13</f>
        <v>#N/A</v>
      </c>
      <c r="K80" s="28" t="e">
        <f t="shared" si="19"/>
        <v>#VALUE!</v>
      </c>
      <c r="L80" s="28" t="e">
        <f>INDEX('Peak Models'!$P$34:$P$64, MATCH(TRUNC(B80, 0), 'Peak Models'!$O$34:$O$64, 0))</f>
        <v>#N/A</v>
      </c>
      <c r="M80" s="28">
        <f>'Peak Models'!$P$15*INDEX('Peak Models'!$Q$34:$Q$64, MATCH(TRUNC(B80, 0),'Peak Models'!$O$34:$O$64, 0))/'Profit per cycles Model'!$E$78</f>
        <v>4.8235294117647056</v>
      </c>
      <c r="N80" s="28" t="e">
        <f t="shared" si="20"/>
        <v>#N/A</v>
      </c>
      <c r="O80" s="71" t="e">
        <f>AVERAGE($N$10:N80)</f>
        <v>#N/A</v>
      </c>
      <c r="P80" s="28" t="e">
        <f t="shared" si="21"/>
        <v>#N/A</v>
      </c>
      <c r="R80" s="28" t="e">
        <f t="shared" si="22"/>
        <v>#VALUE!</v>
      </c>
      <c r="S80" s="25"/>
      <c r="T80" s="25">
        <f t="shared" si="23"/>
        <v>15</v>
      </c>
      <c r="U80" s="33">
        <f>IF(PaybackCustom&gt;0, IF(PaybackCustom&lt;&gt;"Default", PaybackCustom, IF(PaybackStatus&lt;&gt;"",INDEX('Arbitrage Payback Engine'!$Y$2:$Y$6,MATCH(PaybackStatus,'Arbitrage Payback Engine'!$X$2:$X$6,FALSE)),-1)))</f>
        <v>25</v>
      </c>
      <c r="V80" s="32">
        <f t="shared" si="32"/>
        <v>15</v>
      </c>
      <c r="X80" s="29">
        <f t="shared" si="33"/>
        <v>71</v>
      </c>
      <c r="Z80" s="30">
        <f t="shared" si="24"/>
        <v>1.9449390494452814</v>
      </c>
      <c r="AA80" s="28" t="e">
        <f t="shared" si="25"/>
        <v>#N/A</v>
      </c>
      <c r="AB80" s="28" t="e">
        <f t="shared" si="26"/>
        <v>#VALUE!</v>
      </c>
      <c r="AC80" s="29">
        <f t="shared" si="27"/>
        <v>67.362428842504741</v>
      </c>
      <c r="AD80" s="28" t="e">
        <f t="shared" si="28"/>
        <v>#VALUE!</v>
      </c>
      <c r="AE80" s="28" t="e">
        <f t="shared" si="29"/>
        <v>#N/A</v>
      </c>
      <c r="AF80" s="28" t="e">
        <f t="shared" si="30"/>
        <v>#VALUE!</v>
      </c>
      <c r="AH80" s="31" t="e">
        <f t="shared" si="31"/>
        <v>#N/A</v>
      </c>
      <c r="AI80" s="25"/>
      <c r="AJ80" s="31"/>
    </row>
    <row r="81" spans="2:36" x14ac:dyDescent="0.25">
      <c r="B81" s="33">
        <f>'Arbitrage Payback Engine'!E81</f>
        <v>1.9723325571839474</v>
      </c>
      <c r="C81" s="33">
        <f t="shared" si="17"/>
        <v>1000</v>
      </c>
      <c r="D81" s="33">
        <f>'Battery Pricing Model'!$C$17</f>
        <v>1000</v>
      </c>
      <c r="E81" s="33">
        <f t="shared" si="18"/>
        <v>999</v>
      </c>
      <c r="F81" s="33" t="str">
        <f>'Peak Models'!$B$4</f>
        <v>Default</v>
      </c>
      <c r="G81" s="33" t="e">
        <f>'Peak Models'!$Q$7</f>
        <v>#VALUE!</v>
      </c>
      <c r="H81" s="33">
        <f>'Peak Models'!$P$16</f>
        <v>1.5</v>
      </c>
      <c r="I81" s="33">
        <v>12</v>
      </c>
      <c r="J81" s="33" t="e">
        <f>'Peak Models'!$P$13</f>
        <v>#N/A</v>
      </c>
      <c r="K81" s="28" t="e">
        <f t="shared" si="19"/>
        <v>#VALUE!</v>
      </c>
      <c r="L81" s="28" t="e">
        <f>INDEX('Peak Models'!$P$34:$P$64, MATCH(TRUNC(B81, 0), 'Peak Models'!$O$34:$O$64, 0))</f>
        <v>#N/A</v>
      </c>
      <c r="M81" s="28">
        <f>'Peak Models'!$P$15*INDEX('Peak Models'!$Q$34:$Q$64, MATCH(TRUNC(B81, 0),'Peak Models'!$O$34:$O$64, 0))/'Profit per cycles Model'!$E$78</f>
        <v>4.8235294117647056</v>
      </c>
      <c r="N81" s="28" t="e">
        <f t="shared" si="20"/>
        <v>#N/A</v>
      </c>
      <c r="O81" s="71" t="e">
        <f>AVERAGE($N$10:N81)</f>
        <v>#N/A</v>
      </c>
      <c r="P81" s="28" t="e">
        <f t="shared" si="21"/>
        <v>#N/A</v>
      </c>
      <c r="R81" s="28" t="e">
        <f t="shared" si="22"/>
        <v>#VALUE!</v>
      </c>
      <c r="S81" s="25"/>
      <c r="T81" s="25">
        <f t="shared" si="23"/>
        <v>15</v>
      </c>
      <c r="U81" s="33">
        <f>IF(PaybackCustom&gt;0, IF(PaybackCustom&lt;&gt;"Default", PaybackCustom, IF(PaybackStatus&lt;&gt;"",INDEX('Arbitrage Payback Engine'!$Y$2:$Y$6,MATCH(PaybackStatus,'Arbitrage Payback Engine'!$X$2:$X$6,FALSE)),-1)))</f>
        <v>25</v>
      </c>
      <c r="V81" s="32">
        <f t="shared" si="32"/>
        <v>15</v>
      </c>
      <c r="X81" s="29">
        <f t="shared" si="33"/>
        <v>72</v>
      </c>
      <c r="Z81" s="30">
        <f t="shared" si="24"/>
        <v>1.9723325571839474</v>
      </c>
      <c r="AA81" s="28" t="e">
        <f t="shared" si="25"/>
        <v>#N/A</v>
      </c>
      <c r="AB81" s="28" t="e">
        <f t="shared" si="26"/>
        <v>#VALUE!</v>
      </c>
      <c r="AC81" s="29">
        <f t="shared" si="27"/>
        <v>68.311195445920305</v>
      </c>
      <c r="AD81" s="28" t="e">
        <f t="shared" si="28"/>
        <v>#VALUE!</v>
      </c>
      <c r="AE81" s="28" t="e">
        <f t="shared" si="29"/>
        <v>#N/A</v>
      </c>
      <c r="AF81" s="28" t="e">
        <f t="shared" si="30"/>
        <v>#VALUE!</v>
      </c>
      <c r="AH81" s="31" t="e">
        <f t="shared" si="31"/>
        <v>#N/A</v>
      </c>
      <c r="AI81" s="25"/>
      <c r="AJ81" s="31"/>
    </row>
    <row r="82" spans="2:36" x14ac:dyDescent="0.25">
      <c r="B82" s="33">
        <f>'Arbitrage Payback Engine'!E82</f>
        <v>1.9997260649226132</v>
      </c>
      <c r="C82" s="33">
        <f t="shared" si="17"/>
        <v>1000</v>
      </c>
      <c r="D82" s="33">
        <f>'Battery Pricing Model'!$C$17</f>
        <v>1000</v>
      </c>
      <c r="E82" s="33">
        <f t="shared" si="18"/>
        <v>999</v>
      </c>
      <c r="F82" s="33" t="str">
        <f>'Peak Models'!$B$4</f>
        <v>Default</v>
      </c>
      <c r="G82" s="33" t="e">
        <f>'Peak Models'!$Q$7</f>
        <v>#VALUE!</v>
      </c>
      <c r="H82" s="33">
        <f>'Peak Models'!$P$16</f>
        <v>1.5</v>
      </c>
      <c r="I82" s="33">
        <v>12</v>
      </c>
      <c r="J82" s="33" t="e">
        <f>'Peak Models'!$P$13</f>
        <v>#N/A</v>
      </c>
      <c r="K82" s="28" t="e">
        <f t="shared" si="19"/>
        <v>#VALUE!</v>
      </c>
      <c r="L82" s="28" t="e">
        <f>INDEX('Peak Models'!$P$34:$P$64, MATCH(TRUNC(B82, 0), 'Peak Models'!$O$34:$O$64, 0))</f>
        <v>#N/A</v>
      </c>
      <c r="M82" s="28">
        <f>'Peak Models'!$P$15*INDEX('Peak Models'!$Q$34:$Q$64, MATCH(TRUNC(B82, 0),'Peak Models'!$O$34:$O$64, 0))/'Profit per cycles Model'!$E$78</f>
        <v>4.8235294117647056</v>
      </c>
      <c r="N82" s="28" t="e">
        <f t="shared" si="20"/>
        <v>#N/A</v>
      </c>
      <c r="O82" s="71" t="e">
        <f>AVERAGE($N$10:N82)</f>
        <v>#N/A</v>
      </c>
      <c r="P82" s="28" t="e">
        <f t="shared" si="21"/>
        <v>#N/A</v>
      </c>
      <c r="R82" s="28" t="e">
        <f t="shared" si="22"/>
        <v>#VALUE!</v>
      </c>
      <c r="S82" s="25"/>
      <c r="T82" s="25">
        <f t="shared" si="23"/>
        <v>15</v>
      </c>
      <c r="U82" s="33">
        <f>IF(PaybackCustom&gt;0, IF(PaybackCustom&lt;&gt;"Default", PaybackCustom, IF(PaybackStatus&lt;&gt;"",INDEX('Arbitrage Payback Engine'!$Y$2:$Y$6,MATCH(PaybackStatus,'Arbitrage Payback Engine'!$X$2:$X$6,FALSE)),-1)))</f>
        <v>25</v>
      </c>
      <c r="V82" s="32">
        <f t="shared" si="32"/>
        <v>15</v>
      </c>
      <c r="X82" s="29">
        <f t="shared" si="33"/>
        <v>73</v>
      </c>
      <c r="Z82" s="30">
        <f t="shared" si="24"/>
        <v>1.9997260649226132</v>
      </c>
      <c r="AA82" s="28" t="e">
        <f t="shared" si="25"/>
        <v>#N/A</v>
      </c>
      <c r="AB82" s="28" t="e">
        <f t="shared" si="26"/>
        <v>#VALUE!</v>
      </c>
      <c r="AC82" s="29">
        <f t="shared" si="27"/>
        <v>69.259962049335869</v>
      </c>
      <c r="AD82" s="28" t="e">
        <f t="shared" si="28"/>
        <v>#VALUE!</v>
      </c>
      <c r="AE82" s="28" t="e">
        <f t="shared" si="29"/>
        <v>#N/A</v>
      </c>
      <c r="AF82" s="28" t="e">
        <f t="shared" si="30"/>
        <v>#VALUE!</v>
      </c>
      <c r="AH82" s="31" t="e">
        <f t="shared" si="31"/>
        <v>#N/A</v>
      </c>
      <c r="AI82" s="25"/>
      <c r="AJ82" s="31"/>
    </row>
    <row r="83" spans="2:36" x14ac:dyDescent="0.25">
      <c r="B83" s="33">
        <f>'Arbitrage Payback Engine'!E83</f>
        <v>2.0271195726612792</v>
      </c>
      <c r="C83" s="33">
        <f t="shared" si="17"/>
        <v>1000</v>
      </c>
      <c r="D83" s="33">
        <f>'Battery Pricing Model'!$C$17</f>
        <v>1000</v>
      </c>
      <c r="E83" s="33">
        <f t="shared" si="18"/>
        <v>999</v>
      </c>
      <c r="F83" s="33" t="str">
        <f>'Peak Models'!$B$4</f>
        <v>Default</v>
      </c>
      <c r="G83" s="33" t="e">
        <f>'Peak Models'!$Q$7</f>
        <v>#VALUE!</v>
      </c>
      <c r="H83" s="33">
        <f>'Peak Models'!$P$16</f>
        <v>1.5</v>
      </c>
      <c r="I83" s="33">
        <v>12</v>
      </c>
      <c r="J83" s="33" t="e">
        <f>'Peak Models'!$P$13</f>
        <v>#N/A</v>
      </c>
      <c r="K83" s="28" t="e">
        <f t="shared" si="19"/>
        <v>#VALUE!</v>
      </c>
      <c r="L83" s="28" t="e">
        <f>INDEX('Peak Models'!$P$34:$P$64, MATCH(TRUNC(B83, 0), 'Peak Models'!$O$34:$O$64, 0))</f>
        <v>#N/A</v>
      </c>
      <c r="M83" s="28">
        <f>'Peak Models'!$P$15*INDEX('Peak Models'!$Q$34:$Q$64, MATCH(TRUNC(B83, 0),'Peak Models'!$O$34:$O$64, 0))/'Profit per cycles Model'!$E$78</f>
        <v>4.9441176470588246</v>
      </c>
      <c r="N83" s="28" t="e">
        <f t="shared" si="20"/>
        <v>#N/A</v>
      </c>
      <c r="O83" s="71" t="e">
        <f>AVERAGE($N$10:N83)</f>
        <v>#N/A</v>
      </c>
      <c r="P83" s="28" t="e">
        <f t="shared" si="21"/>
        <v>#N/A</v>
      </c>
      <c r="R83" s="28" t="e">
        <f t="shared" si="22"/>
        <v>#VALUE!</v>
      </c>
      <c r="S83" s="25"/>
      <c r="T83" s="25">
        <f t="shared" si="23"/>
        <v>15</v>
      </c>
      <c r="U83" s="33">
        <f>IF(PaybackCustom&gt;0, IF(PaybackCustom&lt;&gt;"Default", PaybackCustom, IF(PaybackStatus&lt;&gt;"",INDEX('Arbitrage Payback Engine'!$Y$2:$Y$6,MATCH(PaybackStatus,'Arbitrage Payback Engine'!$X$2:$X$6,FALSE)),-1)))</f>
        <v>25</v>
      </c>
      <c r="V83" s="32">
        <f t="shared" si="32"/>
        <v>15</v>
      </c>
      <c r="X83" s="29">
        <f t="shared" si="33"/>
        <v>74</v>
      </c>
      <c r="Z83" s="30">
        <f t="shared" si="24"/>
        <v>2.0271195726612792</v>
      </c>
      <c r="AA83" s="28" t="e">
        <f t="shared" si="25"/>
        <v>#N/A</v>
      </c>
      <c r="AB83" s="28" t="e">
        <f t="shared" si="26"/>
        <v>#VALUE!</v>
      </c>
      <c r="AC83" s="29">
        <f t="shared" si="27"/>
        <v>70.208728652751418</v>
      </c>
      <c r="AD83" s="28" t="e">
        <f t="shared" si="28"/>
        <v>#VALUE!</v>
      </c>
      <c r="AE83" s="28" t="e">
        <f t="shared" si="29"/>
        <v>#N/A</v>
      </c>
      <c r="AF83" s="28" t="e">
        <f t="shared" si="30"/>
        <v>#VALUE!</v>
      </c>
      <c r="AH83" s="31" t="e">
        <f t="shared" si="31"/>
        <v>#N/A</v>
      </c>
      <c r="AI83" s="25"/>
      <c r="AJ83" s="31"/>
    </row>
    <row r="84" spans="2:36" x14ac:dyDescent="0.25">
      <c r="B84" s="33">
        <f>'Arbitrage Payback Engine'!E84</f>
        <v>2.054513080399945</v>
      </c>
      <c r="C84" s="33">
        <f t="shared" si="17"/>
        <v>1000</v>
      </c>
      <c r="D84" s="33">
        <f>'Battery Pricing Model'!$C$17</f>
        <v>1000</v>
      </c>
      <c r="E84" s="33">
        <f t="shared" si="18"/>
        <v>999</v>
      </c>
      <c r="F84" s="33" t="str">
        <f>'Peak Models'!$B$4</f>
        <v>Default</v>
      </c>
      <c r="G84" s="33" t="e">
        <f>'Peak Models'!$Q$7</f>
        <v>#VALUE!</v>
      </c>
      <c r="H84" s="33">
        <f>'Peak Models'!$P$16</f>
        <v>1.5</v>
      </c>
      <c r="I84" s="33">
        <v>12</v>
      </c>
      <c r="J84" s="33" t="e">
        <f>'Peak Models'!$P$13</f>
        <v>#N/A</v>
      </c>
      <c r="K84" s="28" t="e">
        <f t="shared" si="19"/>
        <v>#VALUE!</v>
      </c>
      <c r="L84" s="28" t="e">
        <f>INDEX('Peak Models'!$P$34:$P$64, MATCH(TRUNC(B84, 0), 'Peak Models'!$O$34:$O$64, 0))</f>
        <v>#N/A</v>
      </c>
      <c r="M84" s="28">
        <f>'Peak Models'!$P$15*INDEX('Peak Models'!$Q$34:$Q$64, MATCH(TRUNC(B84, 0),'Peak Models'!$O$34:$O$64, 0))/'Profit per cycles Model'!$E$78</f>
        <v>4.9441176470588246</v>
      </c>
      <c r="N84" s="28" t="e">
        <f t="shared" si="20"/>
        <v>#N/A</v>
      </c>
      <c r="O84" s="71" t="e">
        <f>AVERAGE($N$10:N84)</f>
        <v>#N/A</v>
      </c>
      <c r="P84" s="28" t="e">
        <f t="shared" si="21"/>
        <v>#N/A</v>
      </c>
      <c r="R84" s="28" t="e">
        <f t="shared" si="22"/>
        <v>#VALUE!</v>
      </c>
      <c r="S84" s="25"/>
      <c r="T84" s="25">
        <f t="shared" si="23"/>
        <v>15</v>
      </c>
      <c r="U84" s="33">
        <f>IF(PaybackCustom&gt;0, IF(PaybackCustom&lt;&gt;"Default", PaybackCustom, IF(PaybackStatus&lt;&gt;"",INDEX('Arbitrage Payback Engine'!$Y$2:$Y$6,MATCH(PaybackStatus,'Arbitrage Payback Engine'!$X$2:$X$6,FALSE)),-1)))</f>
        <v>25</v>
      </c>
      <c r="V84" s="32">
        <f t="shared" si="32"/>
        <v>15</v>
      </c>
      <c r="X84" s="29">
        <f t="shared" si="33"/>
        <v>75</v>
      </c>
      <c r="Z84" s="30">
        <f t="shared" si="24"/>
        <v>2.054513080399945</v>
      </c>
      <c r="AA84" s="28" t="e">
        <f t="shared" si="25"/>
        <v>#N/A</v>
      </c>
      <c r="AB84" s="28" t="e">
        <f t="shared" si="26"/>
        <v>#VALUE!</v>
      </c>
      <c r="AC84" s="29">
        <f t="shared" si="27"/>
        <v>71.157495256166982</v>
      </c>
      <c r="AD84" s="28" t="e">
        <f t="shared" si="28"/>
        <v>#VALUE!</v>
      </c>
      <c r="AE84" s="28" t="e">
        <f t="shared" si="29"/>
        <v>#N/A</v>
      </c>
      <c r="AF84" s="28" t="e">
        <f t="shared" si="30"/>
        <v>#VALUE!</v>
      </c>
      <c r="AH84" s="31" t="e">
        <f t="shared" si="31"/>
        <v>#N/A</v>
      </c>
      <c r="AI84" s="25"/>
      <c r="AJ84" s="31"/>
    </row>
    <row r="85" spans="2:36" x14ac:dyDescent="0.25">
      <c r="B85" s="33">
        <f>'Arbitrage Payback Engine'!E85</f>
        <v>2.0819065881386112</v>
      </c>
      <c r="C85" s="33">
        <f t="shared" si="17"/>
        <v>1000</v>
      </c>
      <c r="D85" s="33">
        <f>'Battery Pricing Model'!$C$17</f>
        <v>1000</v>
      </c>
      <c r="E85" s="33">
        <f t="shared" si="18"/>
        <v>999</v>
      </c>
      <c r="F85" s="33" t="str">
        <f>'Peak Models'!$B$4</f>
        <v>Default</v>
      </c>
      <c r="G85" s="33" t="e">
        <f>'Peak Models'!$Q$7</f>
        <v>#VALUE!</v>
      </c>
      <c r="H85" s="33">
        <f>'Peak Models'!$P$16</f>
        <v>1.5</v>
      </c>
      <c r="I85" s="33">
        <v>12</v>
      </c>
      <c r="J85" s="33" t="e">
        <f>'Peak Models'!$P$13</f>
        <v>#N/A</v>
      </c>
      <c r="K85" s="28" t="e">
        <f t="shared" si="19"/>
        <v>#VALUE!</v>
      </c>
      <c r="L85" s="28" t="e">
        <f>INDEX('Peak Models'!$P$34:$P$64, MATCH(TRUNC(B85, 0), 'Peak Models'!$O$34:$O$64, 0))</f>
        <v>#N/A</v>
      </c>
      <c r="M85" s="28">
        <f>'Peak Models'!$P$15*INDEX('Peak Models'!$Q$34:$Q$64, MATCH(TRUNC(B85, 0),'Peak Models'!$O$34:$O$64, 0))/'Profit per cycles Model'!$E$78</f>
        <v>4.9441176470588246</v>
      </c>
      <c r="N85" s="28" t="e">
        <f t="shared" si="20"/>
        <v>#N/A</v>
      </c>
      <c r="O85" s="71" t="e">
        <f>AVERAGE($N$10:N85)</f>
        <v>#N/A</v>
      </c>
      <c r="P85" s="28" t="e">
        <f t="shared" si="21"/>
        <v>#N/A</v>
      </c>
      <c r="R85" s="28" t="e">
        <f t="shared" si="22"/>
        <v>#VALUE!</v>
      </c>
      <c r="S85" s="25"/>
      <c r="T85" s="25">
        <f t="shared" si="23"/>
        <v>15</v>
      </c>
      <c r="U85" s="33">
        <f>IF(PaybackCustom&gt;0, IF(PaybackCustom&lt;&gt;"Default", PaybackCustom, IF(PaybackStatus&lt;&gt;"",INDEX('Arbitrage Payback Engine'!$Y$2:$Y$6,MATCH(PaybackStatus,'Arbitrage Payback Engine'!$X$2:$X$6,FALSE)),-1)))</f>
        <v>25</v>
      </c>
      <c r="V85" s="32">
        <f t="shared" si="32"/>
        <v>15</v>
      </c>
      <c r="X85" s="29">
        <f t="shared" si="33"/>
        <v>76</v>
      </c>
      <c r="Z85" s="30">
        <f t="shared" si="24"/>
        <v>2.0819065881386112</v>
      </c>
      <c r="AA85" s="28" t="e">
        <f t="shared" si="25"/>
        <v>#N/A</v>
      </c>
      <c r="AB85" s="28" t="e">
        <f t="shared" si="26"/>
        <v>#VALUE!</v>
      </c>
      <c r="AC85" s="29">
        <f t="shared" si="27"/>
        <v>72.10626185958256</v>
      </c>
      <c r="AD85" s="28" t="e">
        <f t="shared" si="28"/>
        <v>#VALUE!</v>
      </c>
      <c r="AE85" s="28" t="e">
        <f t="shared" si="29"/>
        <v>#N/A</v>
      </c>
      <c r="AF85" s="28" t="e">
        <f t="shared" si="30"/>
        <v>#VALUE!</v>
      </c>
      <c r="AH85" s="31" t="e">
        <f t="shared" si="31"/>
        <v>#N/A</v>
      </c>
      <c r="AI85" s="25"/>
      <c r="AJ85" s="31"/>
    </row>
    <row r="86" spans="2:36" x14ac:dyDescent="0.25">
      <c r="B86" s="33">
        <f>'Arbitrage Payback Engine'!E86</f>
        <v>2.109300095877277</v>
      </c>
      <c r="C86" s="33">
        <f t="shared" si="17"/>
        <v>1000</v>
      </c>
      <c r="D86" s="33">
        <f>'Battery Pricing Model'!$C$17</f>
        <v>1000</v>
      </c>
      <c r="E86" s="33">
        <f t="shared" si="18"/>
        <v>999</v>
      </c>
      <c r="F86" s="33" t="str">
        <f>'Peak Models'!$B$4</f>
        <v>Default</v>
      </c>
      <c r="G86" s="33" t="e">
        <f>'Peak Models'!$Q$7</f>
        <v>#VALUE!</v>
      </c>
      <c r="H86" s="33">
        <f>'Peak Models'!$P$16</f>
        <v>1.5</v>
      </c>
      <c r="I86" s="33">
        <v>12</v>
      </c>
      <c r="J86" s="33" t="e">
        <f>'Peak Models'!$P$13</f>
        <v>#N/A</v>
      </c>
      <c r="K86" s="28" t="e">
        <f t="shared" si="19"/>
        <v>#VALUE!</v>
      </c>
      <c r="L86" s="28" t="e">
        <f>INDEX('Peak Models'!$P$34:$P$64, MATCH(TRUNC(B86, 0), 'Peak Models'!$O$34:$O$64, 0))</f>
        <v>#N/A</v>
      </c>
      <c r="M86" s="28">
        <f>'Peak Models'!$P$15*INDEX('Peak Models'!$Q$34:$Q$64, MATCH(TRUNC(B86, 0),'Peak Models'!$O$34:$O$64, 0))/'Profit per cycles Model'!$E$78</f>
        <v>4.9441176470588246</v>
      </c>
      <c r="N86" s="28" t="e">
        <f t="shared" si="20"/>
        <v>#N/A</v>
      </c>
      <c r="O86" s="71" t="e">
        <f>AVERAGE($N$10:N86)</f>
        <v>#N/A</v>
      </c>
      <c r="P86" s="28" t="e">
        <f t="shared" si="21"/>
        <v>#N/A</v>
      </c>
      <c r="R86" s="28" t="e">
        <f t="shared" si="22"/>
        <v>#VALUE!</v>
      </c>
      <c r="S86" s="25"/>
      <c r="T86" s="25">
        <f t="shared" si="23"/>
        <v>15</v>
      </c>
      <c r="U86" s="33">
        <f>IF(PaybackCustom&gt;0, IF(PaybackCustom&lt;&gt;"Default", PaybackCustom, IF(PaybackStatus&lt;&gt;"",INDEX('Arbitrage Payback Engine'!$Y$2:$Y$6,MATCH(PaybackStatus,'Arbitrage Payback Engine'!$X$2:$X$6,FALSE)),-1)))</f>
        <v>25</v>
      </c>
      <c r="V86" s="32">
        <f t="shared" si="32"/>
        <v>15</v>
      </c>
      <c r="X86" s="29">
        <f t="shared" si="33"/>
        <v>77</v>
      </c>
      <c r="Z86" s="30">
        <f t="shared" si="24"/>
        <v>2.109300095877277</v>
      </c>
      <c r="AA86" s="28" t="e">
        <f t="shared" si="25"/>
        <v>#N/A</v>
      </c>
      <c r="AB86" s="28" t="e">
        <f t="shared" si="26"/>
        <v>#VALUE!</v>
      </c>
      <c r="AC86" s="29">
        <f t="shared" si="27"/>
        <v>73.055028462998095</v>
      </c>
      <c r="AD86" s="28" t="e">
        <f t="shared" si="28"/>
        <v>#VALUE!</v>
      </c>
      <c r="AE86" s="28" t="e">
        <f t="shared" si="29"/>
        <v>#N/A</v>
      </c>
      <c r="AF86" s="28" t="e">
        <f t="shared" si="30"/>
        <v>#VALUE!</v>
      </c>
      <c r="AH86" s="31" t="e">
        <f t="shared" si="31"/>
        <v>#N/A</v>
      </c>
      <c r="AI86" s="25"/>
      <c r="AJ86" s="31"/>
    </row>
    <row r="87" spans="2:36" x14ac:dyDescent="0.25">
      <c r="B87" s="33">
        <f>'Arbitrage Payback Engine'!E87</f>
        <v>2.1366936036159427</v>
      </c>
      <c r="C87" s="33">
        <f t="shared" si="17"/>
        <v>1000</v>
      </c>
      <c r="D87" s="33">
        <f>'Battery Pricing Model'!$C$17</f>
        <v>1000</v>
      </c>
      <c r="E87" s="33">
        <f t="shared" si="18"/>
        <v>999</v>
      </c>
      <c r="F87" s="33" t="str">
        <f>'Peak Models'!$B$4</f>
        <v>Default</v>
      </c>
      <c r="G87" s="33" t="e">
        <f>'Peak Models'!$Q$7</f>
        <v>#VALUE!</v>
      </c>
      <c r="H87" s="33">
        <f>'Peak Models'!$P$16</f>
        <v>1.5</v>
      </c>
      <c r="I87" s="33">
        <v>12</v>
      </c>
      <c r="J87" s="33" t="e">
        <f>'Peak Models'!$P$13</f>
        <v>#N/A</v>
      </c>
      <c r="K87" s="28" t="e">
        <f t="shared" si="19"/>
        <v>#VALUE!</v>
      </c>
      <c r="L87" s="28" t="e">
        <f>INDEX('Peak Models'!$P$34:$P$64, MATCH(TRUNC(B87, 0), 'Peak Models'!$O$34:$O$64, 0))</f>
        <v>#N/A</v>
      </c>
      <c r="M87" s="28">
        <f>'Peak Models'!$P$15*INDEX('Peak Models'!$Q$34:$Q$64, MATCH(TRUNC(B87, 0),'Peak Models'!$O$34:$O$64, 0))/'Profit per cycles Model'!$E$78</f>
        <v>4.9441176470588246</v>
      </c>
      <c r="N87" s="28" t="e">
        <f t="shared" si="20"/>
        <v>#N/A</v>
      </c>
      <c r="O87" s="71" t="e">
        <f>AVERAGE($N$10:N87)</f>
        <v>#N/A</v>
      </c>
      <c r="P87" s="28" t="e">
        <f t="shared" si="21"/>
        <v>#N/A</v>
      </c>
      <c r="R87" s="28" t="e">
        <f t="shared" si="22"/>
        <v>#VALUE!</v>
      </c>
      <c r="S87" s="25"/>
      <c r="T87" s="25">
        <f t="shared" si="23"/>
        <v>15</v>
      </c>
      <c r="U87" s="33">
        <f>IF(PaybackCustom&gt;0, IF(PaybackCustom&lt;&gt;"Default", PaybackCustom, IF(PaybackStatus&lt;&gt;"",INDEX('Arbitrage Payback Engine'!$Y$2:$Y$6,MATCH(PaybackStatus,'Arbitrage Payback Engine'!$X$2:$X$6,FALSE)),-1)))</f>
        <v>25</v>
      </c>
      <c r="V87" s="32">
        <f t="shared" si="32"/>
        <v>15</v>
      </c>
      <c r="X87" s="29">
        <f t="shared" si="33"/>
        <v>78</v>
      </c>
      <c r="Z87" s="30">
        <f t="shared" si="24"/>
        <v>2.1366936036159427</v>
      </c>
      <c r="AA87" s="28" t="e">
        <f t="shared" si="25"/>
        <v>#N/A</v>
      </c>
      <c r="AB87" s="28" t="e">
        <f t="shared" si="26"/>
        <v>#VALUE!</v>
      </c>
      <c r="AC87" s="29">
        <f t="shared" si="27"/>
        <v>74.003795066413659</v>
      </c>
      <c r="AD87" s="28" t="e">
        <f t="shared" si="28"/>
        <v>#VALUE!</v>
      </c>
      <c r="AE87" s="28" t="e">
        <f t="shared" si="29"/>
        <v>#N/A</v>
      </c>
      <c r="AF87" s="28" t="e">
        <f t="shared" si="30"/>
        <v>#VALUE!</v>
      </c>
      <c r="AH87" s="31" t="e">
        <f t="shared" si="31"/>
        <v>#N/A</v>
      </c>
      <c r="AI87" s="25"/>
      <c r="AJ87" s="31"/>
    </row>
    <row r="88" spans="2:36" x14ac:dyDescent="0.25">
      <c r="B88" s="33">
        <f>'Arbitrage Payback Engine'!E88</f>
        <v>2.164087111354609</v>
      </c>
      <c r="C88" s="33">
        <f t="shared" si="17"/>
        <v>1000</v>
      </c>
      <c r="D88" s="33">
        <f>'Battery Pricing Model'!$C$17</f>
        <v>1000</v>
      </c>
      <c r="E88" s="33">
        <f t="shared" si="18"/>
        <v>999</v>
      </c>
      <c r="F88" s="33" t="str">
        <f>'Peak Models'!$B$4</f>
        <v>Default</v>
      </c>
      <c r="G88" s="33" t="e">
        <f>'Peak Models'!$Q$7</f>
        <v>#VALUE!</v>
      </c>
      <c r="H88" s="33">
        <f>'Peak Models'!$P$16</f>
        <v>1.5</v>
      </c>
      <c r="I88" s="33">
        <v>12</v>
      </c>
      <c r="J88" s="33" t="e">
        <f>'Peak Models'!$P$13</f>
        <v>#N/A</v>
      </c>
      <c r="K88" s="28" t="e">
        <f t="shared" si="19"/>
        <v>#VALUE!</v>
      </c>
      <c r="L88" s="28" t="e">
        <f>INDEX('Peak Models'!$P$34:$P$64, MATCH(TRUNC(B88, 0), 'Peak Models'!$O$34:$O$64, 0))</f>
        <v>#N/A</v>
      </c>
      <c r="M88" s="28">
        <f>'Peak Models'!$P$15*INDEX('Peak Models'!$Q$34:$Q$64, MATCH(TRUNC(B88, 0),'Peak Models'!$O$34:$O$64, 0))/'Profit per cycles Model'!$E$78</f>
        <v>4.9441176470588246</v>
      </c>
      <c r="N88" s="28" t="e">
        <f t="shared" si="20"/>
        <v>#N/A</v>
      </c>
      <c r="O88" s="71" t="e">
        <f>AVERAGE($N$10:N88)</f>
        <v>#N/A</v>
      </c>
      <c r="P88" s="28" t="e">
        <f t="shared" si="21"/>
        <v>#N/A</v>
      </c>
      <c r="R88" s="28" t="e">
        <f t="shared" si="22"/>
        <v>#VALUE!</v>
      </c>
      <c r="S88" s="25"/>
      <c r="T88" s="25">
        <f t="shared" si="23"/>
        <v>15</v>
      </c>
      <c r="U88" s="33">
        <f>IF(PaybackCustom&gt;0, IF(PaybackCustom&lt;&gt;"Default", PaybackCustom, IF(PaybackStatus&lt;&gt;"",INDEX('Arbitrage Payback Engine'!$Y$2:$Y$6,MATCH(PaybackStatus,'Arbitrage Payback Engine'!$X$2:$X$6,FALSE)),-1)))</f>
        <v>25</v>
      </c>
      <c r="V88" s="32">
        <f t="shared" si="32"/>
        <v>15</v>
      </c>
      <c r="X88" s="29">
        <f t="shared" si="33"/>
        <v>79</v>
      </c>
      <c r="Z88" s="30">
        <f t="shared" si="24"/>
        <v>2.164087111354609</v>
      </c>
      <c r="AA88" s="28" t="e">
        <f t="shared" si="25"/>
        <v>#N/A</v>
      </c>
      <c r="AB88" s="28" t="e">
        <f t="shared" si="26"/>
        <v>#VALUE!</v>
      </c>
      <c r="AC88" s="29">
        <f t="shared" si="27"/>
        <v>74.952561669829237</v>
      </c>
      <c r="AD88" s="28" t="e">
        <f t="shared" si="28"/>
        <v>#VALUE!</v>
      </c>
      <c r="AE88" s="28" t="e">
        <f t="shared" si="29"/>
        <v>#N/A</v>
      </c>
      <c r="AF88" s="28" t="e">
        <f t="shared" si="30"/>
        <v>#VALUE!</v>
      </c>
      <c r="AH88" s="31" t="e">
        <f t="shared" si="31"/>
        <v>#N/A</v>
      </c>
      <c r="AI88" s="25"/>
      <c r="AJ88" s="31"/>
    </row>
    <row r="89" spans="2:36" x14ac:dyDescent="0.25">
      <c r="B89" s="33">
        <f>'Arbitrage Payback Engine'!E89</f>
        <v>2.1914806190932747</v>
      </c>
      <c r="C89" s="33">
        <f t="shared" si="17"/>
        <v>1000</v>
      </c>
      <c r="D89" s="33">
        <f>'Battery Pricing Model'!$C$17</f>
        <v>1000</v>
      </c>
      <c r="E89" s="33">
        <f t="shared" si="18"/>
        <v>999</v>
      </c>
      <c r="F89" s="33" t="str">
        <f>'Peak Models'!$B$4</f>
        <v>Default</v>
      </c>
      <c r="G89" s="33" t="e">
        <f>'Peak Models'!$Q$7</f>
        <v>#VALUE!</v>
      </c>
      <c r="H89" s="33">
        <f>'Peak Models'!$P$16</f>
        <v>1.5</v>
      </c>
      <c r="I89" s="33">
        <v>12</v>
      </c>
      <c r="J89" s="33" t="e">
        <f>'Peak Models'!$P$13</f>
        <v>#N/A</v>
      </c>
      <c r="K89" s="28" t="e">
        <f t="shared" si="19"/>
        <v>#VALUE!</v>
      </c>
      <c r="L89" s="28" t="e">
        <f>INDEX('Peak Models'!$P$34:$P$64, MATCH(TRUNC(B89, 0), 'Peak Models'!$O$34:$O$64, 0))</f>
        <v>#N/A</v>
      </c>
      <c r="M89" s="28">
        <f>'Peak Models'!$P$15*INDEX('Peak Models'!$Q$34:$Q$64, MATCH(TRUNC(B89, 0),'Peak Models'!$O$34:$O$64, 0))/'Profit per cycles Model'!$E$78</f>
        <v>4.9441176470588246</v>
      </c>
      <c r="N89" s="28" t="e">
        <f t="shared" si="20"/>
        <v>#N/A</v>
      </c>
      <c r="O89" s="71" t="e">
        <f>AVERAGE($N$10:N89)</f>
        <v>#N/A</v>
      </c>
      <c r="P89" s="28" t="e">
        <f t="shared" si="21"/>
        <v>#N/A</v>
      </c>
      <c r="R89" s="28" t="e">
        <f t="shared" si="22"/>
        <v>#VALUE!</v>
      </c>
      <c r="S89" s="25"/>
      <c r="T89" s="25">
        <f t="shared" si="23"/>
        <v>15</v>
      </c>
      <c r="U89" s="33">
        <f>IF(PaybackCustom&gt;0, IF(PaybackCustom&lt;&gt;"Default", PaybackCustom, IF(PaybackStatus&lt;&gt;"",INDEX('Arbitrage Payback Engine'!$Y$2:$Y$6,MATCH(PaybackStatus,'Arbitrage Payback Engine'!$X$2:$X$6,FALSE)),-1)))</f>
        <v>25</v>
      </c>
      <c r="V89" s="32">
        <f t="shared" si="32"/>
        <v>15</v>
      </c>
      <c r="X89" s="29">
        <f t="shared" si="33"/>
        <v>80</v>
      </c>
      <c r="Z89" s="30">
        <f t="shared" si="24"/>
        <v>2.1914806190932747</v>
      </c>
      <c r="AA89" s="28" t="e">
        <f t="shared" si="25"/>
        <v>#N/A</v>
      </c>
      <c r="AB89" s="28" t="e">
        <f t="shared" si="26"/>
        <v>#VALUE!</v>
      </c>
      <c r="AC89" s="29">
        <f t="shared" si="27"/>
        <v>75.901328273244772</v>
      </c>
      <c r="AD89" s="28" t="e">
        <f t="shared" si="28"/>
        <v>#VALUE!</v>
      </c>
      <c r="AE89" s="28" t="e">
        <f t="shared" si="29"/>
        <v>#N/A</v>
      </c>
      <c r="AF89" s="28" t="e">
        <f t="shared" si="30"/>
        <v>#VALUE!</v>
      </c>
      <c r="AH89" s="31" t="e">
        <f t="shared" si="31"/>
        <v>#N/A</v>
      </c>
      <c r="AI89" s="25"/>
      <c r="AJ89" s="31"/>
    </row>
    <row r="90" spans="2:36" x14ac:dyDescent="0.25">
      <c r="B90" s="33">
        <f>'Arbitrage Payback Engine'!E90</f>
        <v>2.218874126831941</v>
      </c>
      <c r="C90" s="33">
        <f t="shared" si="17"/>
        <v>1000</v>
      </c>
      <c r="D90" s="33">
        <f>'Battery Pricing Model'!$C$17</f>
        <v>1000</v>
      </c>
      <c r="E90" s="33">
        <f t="shared" si="18"/>
        <v>999</v>
      </c>
      <c r="F90" s="33" t="str">
        <f>'Peak Models'!$B$4</f>
        <v>Default</v>
      </c>
      <c r="G90" s="33" t="e">
        <f>'Peak Models'!$Q$7</f>
        <v>#VALUE!</v>
      </c>
      <c r="H90" s="33">
        <f>'Peak Models'!$P$16</f>
        <v>1.5</v>
      </c>
      <c r="I90" s="33">
        <v>12</v>
      </c>
      <c r="J90" s="33" t="e">
        <f>'Peak Models'!$P$13</f>
        <v>#N/A</v>
      </c>
      <c r="K90" s="28" t="e">
        <f t="shared" si="19"/>
        <v>#VALUE!</v>
      </c>
      <c r="L90" s="28" t="e">
        <f>INDEX('Peak Models'!$P$34:$P$64, MATCH(TRUNC(B90, 0), 'Peak Models'!$O$34:$O$64, 0))</f>
        <v>#N/A</v>
      </c>
      <c r="M90" s="28">
        <f>'Peak Models'!$P$15*INDEX('Peak Models'!$Q$34:$Q$64, MATCH(TRUNC(B90, 0),'Peak Models'!$O$34:$O$64, 0))/'Profit per cycles Model'!$E$78</f>
        <v>4.9441176470588246</v>
      </c>
      <c r="N90" s="28" t="e">
        <f t="shared" si="20"/>
        <v>#N/A</v>
      </c>
      <c r="O90" s="71" t="e">
        <f>AVERAGE($N$10:N90)</f>
        <v>#N/A</v>
      </c>
      <c r="P90" s="28" t="e">
        <f t="shared" si="21"/>
        <v>#N/A</v>
      </c>
      <c r="R90" s="28" t="e">
        <f t="shared" si="22"/>
        <v>#VALUE!</v>
      </c>
      <c r="S90" s="25"/>
      <c r="T90" s="25">
        <f t="shared" si="23"/>
        <v>15</v>
      </c>
      <c r="U90" s="33">
        <f>IF(PaybackCustom&gt;0, IF(PaybackCustom&lt;&gt;"Default", PaybackCustom, IF(PaybackStatus&lt;&gt;"",INDEX('Arbitrage Payback Engine'!$Y$2:$Y$6,MATCH(PaybackStatus,'Arbitrage Payback Engine'!$X$2:$X$6,FALSE)),-1)))</f>
        <v>25</v>
      </c>
      <c r="V90" s="32">
        <f t="shared" si="32"/>
        <v>15</v>
      </c>
      <c r="X90" s="29">
        <f t="shared" si="33"/>
        <v>81</v>
      </c>
      <c r="Z90" s="30">
        <f t="shared" si="24"/>
        <v>2.218874126831941</v>
      </c>
      <c r="AA90" s="28" t="e">
        <f t="shared" si="25"/>
        <v>#N/A</v>
      </c>
      <c r="AB90" s="28" t="e">
        <f t="shared" si="26"/>
        <v>#VALUE!</v>
      </c>
      <c r="AC90" s="29">
        <f t="shared" si="27"/>
        <v>76.85009487666035</v>
      </c>
      <c r="AD90" s="28" t="e">
        <f t="shared" si="28"/>
        <v>#VALUE!</v>
      </c>
      <c r="AE90" s="28" t="e">
        <f t="shared" si="29"/>
        <v>#N/A</v>
      </c>
      <c r="AF90" s="28" t="e">
        <f t="shared" si="30"/>
        <v>#VALUE!</v>
      </c>
      <c r="AH90" s="31" t="e">
        <f t="shared" si="31"/>
        <v>#N/A</v>
      </c>
      <c r="AI90" s="25"/>
      <c r="AJ90" s="31"/>
    </row>
    <row r="91" spans="2:36" x14ac:dyDescent="0.25">
      <c r="B91" s="33">
        <f>'Arbitrage Payback Engine'!E91</f>
        <v>2.2462676345706067</v>
      </c>
      <c r="C91" s="33">
        <f t="shared" si="17"/>
        <v>1000</v>
      </c>
      <c r="D91" s="33">
        <f>'Battery Pricing Model'!$C$17</f>
        <v>1000</v>
      </c>
      <c r="E91" s="33">
        <f t="shared" si="18"/>
        <v>999</v>
      </c>
      <c r="F91" s="33" t="str">
        <f>'Peak Models'!$B$4</f>
        <v>Default</v>
      </c>
      <c r="G91" s="33" t="e">
        <f>'Peak Models'!$Q$7</f>
        <v>#VALUE!</v>
      </c>
      <c r="H91" s="33">
        <f>'Peak Models'!$P$16</f>
        <v>1.5</v>
      </c>
      <c r="I91" s="33">
        <v>12</v>
      </c>
      <c r="J91" s="33" t="e">
        <f>'Peak Models'!$P$13</f>
        <v>#N/A</v>
      </c>
      <c r="K91" s="28" t="e">
        <f t="shared" si="19"/>
        <v>#VALUE!</v>
      </c>
      <c r="L91" s="28" t="e">
        <f>INDEX('Peak Models'!$P$34:$P$64, MATCH(TRUNC(B91, 0), 'Peak Models'!$O$34:$O$64, 0))</f>
        <v>#N/A</v>
      </c>
      <c r="M91" s="28">
        <f>'Peak Models'!$P$15*INDEX('Peak Models'!$Q$34:$Q$64, MATCH(TRUNC(B91, 0),'Peak Models'!$O$34:$O$64, 0))/'Profit per cycles Model'!$E$78</f>
        <v>4.9441176470588246</v>
      </c>
      <c r="N91" s="28" t="e">
        <f t="shared" si="20"/>
        <v>#N/A</v>
      </c>
      <c r="O91" s="71" t="e">
        <f>AVERAGE($N$10:N91)</f>
        <v>#N/A</v>
      </c>
      <c r="P91" s="28" t="e">
        <f t="shared" si="21"/>
        <v>#N/A</v>
      </c>
      <c r="R91" s="28" t="e">
        <f t="shared" si="22"/>
        <v>#VALUE!</v>
      </c>
      <c r="S91" s="25"/>
      <c r="T91" s="25">
        <f t="shared" si="23"/>
        <v>15</v>
      </c>
      <c r="U91" s="33">
        <f>IF(PaybackCustom&gt;0, IF(PaybackCustom&lt;&gt;"Default", PaybackCustom, IF(PaybackStatus&lt;&gt;"",INDEX('Arbitrage Payback Engine'!$Y$2:$Y$6,MATCH(PaybackStatus,'Arbitrage Payback Engine'!$X$2:$X$6,FALSE)),-1)))</f>
        <v>25</v>
      </c>
      <c r="V91" s="32">
        <f t="shared" si="32"/>
        <v>15</v>
      </c>
      <c r="X91" s="29">
        <f t="shared" si="33"/>
        <v>82</v>
      </c>
      <c r="Z91" s="30">
        <f t="shared" si="24"/>
        <v>2.2462676345706067</v>
      </c>
      <c r="AA91" s="28" t="e">
        <f t="shared" si="25"/>
        <v>#N/A</v>
      </c>
      <c r="AB91" s="28" t="e">
        <f t="shared" si="26"/>
        <v>#VALUE!</v>
      </c>
      <c r="AC91" s="29">
        <f t="shared" si="27"/>
        <v>77.7988614800759</v>
      </c>
      <c r="AD91" s="28" t="e">
        <f t="shared" si="28"/>
        <v>#VALUE!</v>
      </c>
      <c r="AE91" s="28" t="e">
        <f t="shared" si="29"/>
        <v>#N/A</v>
      </c>
      <c r="AF91" s="28" t="e">
        <f t="shared" si="30"/>
        <v>#VALUE!</v>
      </c>
      <c r="AH91" s="31" t="e">
        <f t="shared" si="31"/>
        <v>#N/A</v>
      </c>
      <c r="AI91" s="25"/>
      <c r="AJ91" s="31"/>
    </row>
    <row r="92" spans="2:36" x14ac:dyDescent="0.25">
      <c r="B92" s="33">
        <f>'Arbitrage Payback Engine'!E92</f>
        <v>2.2736611423092725</v>
      </c>
      <c r="C92" s="33">
        <f t="shared" si="17"/>
        <v>1000</v>
      </c>
      <c r="D92" s="33">
        <f>'Battery Pricing Model'!$C$17</f>
        <v>1000</v>
      </c>
      <c r="E92" s="33">
        <f t="shared" si="18"/>
        <v>999</v>
      </c>
      <c r="F92" s="33" t="str">
        <f>'Peak Models'!$B$4</f>
        <v>Default</v>
      </c>
      <c r="G92" s="33" t="e">
        <f>'Peak Models'!$Q$7</f>
        <v>#VALUE!</v>
      </c>
      <c r="H92" s="33">
        <f>'Peak Models'!$P$16</f>
        <v>1.5</v>
      </c>
      <c r="I92" s="33">
        <v>12</v>
      </c>
      <c r="J92" s="33" t="e">
        <f>'Peak Models'!$P$13</f>
        <v>#N/A</v>
      </c>
      <c r="K92" s="28" t="e">
        <f t="shared" si="19"/>
        <v>#VALUE!</v>
      </c>
      <c r="L92" s="28" t="e">
        <f>INDEX('Peak Models'!$P$34:$P$64, MATCH(TRUNC(B92, 0), 'Peak Models'!$O$34:$O$64, 0))</f>
        <v>#N/A</v>
      </c>
      <c r="M92" s="28">
        <f>'Peak Models'!$P$15*INDEX('Peak Models'!$Q$34:$Q$64, MATCH(TRUNC(B92, 0),'Peak Models'!$O$34:$O$64, 0))/'Profit per cycles Model'!$E$78</f>
        <v>4.9441176470588246</v>
      </c>
      <c r="N92" s="28" t="e">
        <f t="shared" si="20"/>
        <v>#N/A</v>
      </c>
      <c r="O92" s="71" t="e">
        <f>AVERAGE($N$10:N92)</f>
        <v>#N/A</v>
      </c>
      <c r="P92" s="28" t="e">
        <f t="shared" si="21"/>
        <v>#N/A</v>
      </c>
      <c r="R92" s="28" t="e">
        <f t="shared" si="22"/>
        <v>#VALUE!</v>
      </c>
      <c r="S92" s="25"/>
      <c r="T92" s="25">
        <f t="shared" si="23"/>
        <v>15</v>
      </c>
      <c r="U92" s="33">
        <f>IF(PaybackCustom&gt;0, IF(PaybackCustom&lt;&gt;"Default", PaybackCustom, IF(PaybackStatus&lt;&gt;"",INDEX('Arbitrage Payback Engine'!$Y$2:$Y$6,MATCH(PaybackStatus,'Arbitrage Payback Engine'!$X$2:$X$6,FALSE)),-1)))</f>
        <v>25</v>
      </c>
      <c r="V92" s="32">
        <f t="shared" si="32"/>
        <v>15</v>
      </c>
      <c r="X92" s="29">
        <f t="shared" si="33"/>
        <v>83</v>
      </c>
      <c r="Z92" s="30">
        <f t="shared" si="24"/>
        <v>2.2736611423092725</v>
      </c>
      <c r="AA92" s="28" t="e">
        <f t="shared" si="25"/>
        <v>#N/A</v>
      </c>
      <c r="AB92" s="28" t="e">
        <f t="shared" si="26"/>
        <v>#VALUE!</v>
      </c>
      <c r="AC92" s="29">
        <f t="shared" si="27"/>
        <v>78.747628083491463</v>
      </c>
      <c r="AD92" s="28" t="e">
        <f t="shared" si="28"/>
        <v>#VALUE!</v>
      </c>
      <c r="AE92" s="28" t="e">
        <f t="shared" si="29"/>
        <v>#N/A</v>
      </c>
      <c r="AF92" s="28" t="e">
        <f t="shared" si="30"/>
        <v>#VALUE!</v>
      </c>
      <c r="AH92" s="31" t="e">
        <f t="shared" si="31"/>
        <v>#N/A</v>
      </c>
      <c r="AI92" s="25"/>
      <c r="AJ92" s="31"/>
    </row>
    <row r="93" spans="2:36" x14ac:dyDescent="0.25">
      <c r="B93" s="33">
        <f>'Arbitrage Payback Engine'!E93</f>
        <v>2.3010546500479387</v>
      </c>
      <c r="C93" s="33">
        <f t="shared" si="17"/>
        <v>1000</v>
      </c>
      <c r="D93" s="33">
        <f>'Battery Pricing Model'!$C$17</f>
        <v>1000</v>
      </c>
      <c r="E93" s="33">
        <f t="shared" si="18"/>
        <v>999</v>
      </c>
      <c r="F93" s="33" t="str">
        <f>'Peak Models'!$B$4</f>
        <v>Default</v>
      </c>
      <c r="G93" s="33" t="e">
        <f>'Peak Models'!$Q$7</f>
        <v>#VALUE!</v>
      </c>
      <c r="H93" s="33">
        <f>'Peak Models'!$P$16</f>
        <v>1.5</v>
      </c>
      <c r="I93" s="33">
        <v>12</v>
      </c>
      <c r="J93" s="33" t="e">
        <f>'Peak Models'!$P$13</f>
        <v>#N/A</v>
      </c>
      <c r="K93" s="28" t="e">
        <f t="shared" si="19"/>
        <v>#VALUE!</v>
      </c>
      <c r="L93" s="28" t="e">
        <f>INDEX('Peak Models'!$P$34:$P$64, MATCH(TRUNC(B93, 0), 'Peak Models'!$O$34:$O$64, 0))</f>
        <v>#N/A</v>
      </c>
      <c r="M93" s="28">
        <f>'Peak Models'!$P$15*INDEX('Peak Models'!$Q$34:$Q$64, MATCH(TRUNC(B93, 0),'Peak Models'!$O$34:$O$64, 0))/'Profit per cycles Model'!$E$78</f>
        <v>4.9441176470588246</v>
      </c>
      <c r="N93" s="28" t="e">
        <f t="shared" si="20"/>
        <v>#N/A</v>
      </c>
      <c r="O93" s="71" t="e">
        <f>AVERAGE($N$10:N93)</f>
        <v>#N/A</v>
      </c>
      <c r="P93" s="28" t="e">
        <f t="shared" si="21"/>
        <v>#N/A</v>
      </c>
      <c r="R93" s="28" t="e">
        <f t="shared" si="22"/>
        <v>#VALUE!</v>
      </c>
      <c r="S93" s="25"/>
      <c r="T93" s="25">
        <f t="shared" si="23"/>
        <v>15</v>
      </c>
      <c r="U93" s="33">
        <f>IF(PaybackCustom&gt;0, IF(PaybackCustom&lt;&gt;"Default", PaybackCustom, IF(PaybackStatus&lt;&gt;"",INDEX('Arbitrage Payback Engine'!$Y$2:$Y$6,MATCH(PaybackStatus,'Arbitrage Payback Engine'!$X$2:$X$6,FALSE)),-1)))</f>
        <v>25</v>
      </c>
      <c r="V93" s="32">
        <f t="shared" si="32"/>
        <v>15</v>
      </c>
      <c r="X93" s="29">
        <f t="shared" si="33"/>
        <v>84</v>
      </c>
      <c r="Z93" s="30">
        <f t="shared" si="24"/>
        <v>2.3010546500479387</v>
      </c>
      <c r="AA93" s="28" t="e">
        <f t="shared" si="25"/>
        <v>#N/A</v>
      </c>
      <c r="AB93" s="28" t="e">
        <f t="shared" si="26"/>
        <v>#VALUE!</v>
      </c>
      <c r="AC93" s="29">
        <f t="shared" si="27"/>
        <v>79.696394686907027</v>
      </c>
      <c r="AD93" s="28" t="e">
        <f t="shared" si="28"/>
        <v>#VALUE!</v>
      </c>
      <c r="AE93" s="28" t="e">
        <f t="shared" si="29"/>
        <v>#N/A</v>
      </c>
      <c r="AF93" s="28" t="e">
        <f t="shared" si="30"/>
        <v>#VALUE!</v>
      </c>
      <c r="AH93" s="31" t="e">
        <f t="shared" si="31"/>
        <v>#N/A</v>
      </c>
      <c r="AI93" s="25"/>
      <c r="AJ93" s="31"/>
    </row>
    <row r="94" spans="2:36" x14ac:dyDescent="0.25">
      <c r="B94" s="33">
        <f>'Arbitrage Payback Engine'!E94</f>
        <v>2.3284481577866045</v>
      </c>
      <c r="C94" s="33">
        <f t="shared" si="17"/>
        <v>1000</v>
      </c>
      <c r="D94" s="33">
        <f>'Battery Pricing Model'!$C$17</f>
        <v>1000</v>
      </c>
      <c r="E94" s="33">
        <f t="shared" si="18"/>
        <v>999</v>
      </c>
      <c r="F94" s="33" t="str">
        <f>'Peak Models'!$B$4</f>
        <v>Default</v>
      </c>
      <c r="G94" s="33" t="e">
        <f>'Peak Models'!$Q$7</f>
        <v>#VALUE!</v>
      </c>
      <c r="H94" s="33">
        <f>'Peak Models'!$P$16</f>
        <v>1.5</v>
      </c>
      <c r="I94" s="33">
        <v>12</v>
      </c>
      <c r="J94" s="33" t="e">
        <f>'Peak Models'!$P$13</f>
        <v>#N/A</v>
      </c>
      <c r="K94" s="28" t="e">
        <f t="shared" si="19"/>
        <v>#VALUE!</v>
      </c>
      <c r="L94" s="28" t="e">
        <f>INDEX('Peak Models'!$P$34:$P$64, MATCH(TRUNC(B94, 0), 'Peak Models'!$O$34:$O$64, 0))</f>
        <v>#N/A</v>
      </c>
      <c r="M94" s="28">
        <f>'Peak Models'!$P$15*INDEX('Peak Models'!$Q$34:$Q$64, MATCH(TRUNC(B94, 0),'Peak Models'!$O$34:$O$64, 0))/'Profit per cycles Model'!$E$78</f>
        <v>4.9441176470588246</v>
      </c>
      <c r="N94" s="28" t="e">
        <f t="shared" si="20"/>
        <v>#N/A</v>
      </c>
      <c r="O94" s="71" t="e">
        <f>AVERAGE($N$10:N94)</f>
        <v>#N/A</v>
      </c>
      <c r="P94" s="28" t="e">
        <f t="shared" si="21"/>
        <v>#N/A</v>
      </c>
      <c r="R94" s="28" t="e">
        <f t="shared" si="22"/>
        <v>#VALUE!</v>
      </c>
      <c r="S94" s="25"/>
      <c r="T94" s="25">
        <f t="shared" si="23"/>
        <v>15</v>
      </c>
      <c r="U94" s="33">
        <f>IF(PaybackCustom&gt;0, IF(PaybackCustom&lt;&gt;"Default", PaybackCustom, IF(PaybackStatus&lt;&gt;"",INDEX('Arbitrage Payback Engine'!$Y$2:$Y$6,MATCH(PaybackStatus,'Arbitrage Payback Engine'!$X$2:$X$6,FALSE)),-1)))</f>
        <v>25</v>
      </c>
      <c r="V94" s="32">
        <f t="shared" si="32"/>
        <v>15</v>
      </c>
      <c r="X94" s="29">
        <f t="shared" si="33"/>
        <v>85</v>
      </c>
      <c r="Z94" s="30">
        <f t="shared" si="24"/>
        <v>2.3284481577866045</v>
      </c>
      <c r="AA94" s="28" t="e">
        <f t="shared" si="25"/>
        <v>#N/A</v>
      </c>
      <c r="AB94" s="28" t="e">
        <f t="shared" si="26"/>
        <v>#VALUE!</v>
      </c>
      <c r="AC94" s="29">
        <f t="shared" si="27"/>
        <v>80.645161290322577</v>
      </c>
      <c r="AD94" s="28" t="e">
        <f t="shared" si="28"/>
        <v>#VALUE!</v>
      </c>
      <c r="AE94" s="28" t="e">
        <f t="shared" si="29"/>
        <v>#N/A</v>
      </c>
      <c r="AF94" s="28" t="e">
        <f t="shared" si="30"/>
        <v>#VALUE!</v>
      </c>
      <c r="AH94" s="31" t="e">
        <f t="shared" si="31"/>
        <v>#N/A</v>
      </c>
      <c r="AI94" s="25"/>
      <c r="AJ94" s="31"/>
    </row>
    <row r="95" spans="2:36" x14ac:dyDescent="0.25">
      <c r="B95" s="33">
        <f>'Arbitrage Payback Engine'!E95</f>
        <v>2.3558416655252703</v>
      </c>
      <c r="C95" s="33">
        <f t="shared" si="17"/>
        <v>1000</v>
      </c>
      <c r="D95" s="33">
        <f>'Battery Pricing Model'!$C$17</f>
        <v>1000</v>
      </c>
      <c r="E95" s="33">
        <f t="shared" si="18"/>
        <v>999</v>
      </c>
      <c r="F95" s="33" t="str">
        <f>'Peak Models'!$B$4</f>
        <v>Default</v>
      </c>
      <c r="G95" s="33" t="e">
        <f>'Peak Models'!$Q$7</f>
        <v>#VALUE!</v>
      </c>
      <c r="H95" s="33">
        <f>'Peak Models'!$P$16</f>
        <v>1.5</v>
      </c>
      <c r="I95" s="33">
        <v>12</v>
      </c>
      <c r="J95" s="33" t="e">
        <f>'Peak Models'!$P$13</f>
        <v>#N/A</v>
      </c>
      <c r="K95" s="28" t="e">
        <f t="shared" si="19"/>
        <v>#VALUE!</v>
      </c>
      <c r="L95" s="28" t="e">
        <f>INDEX('Peak Models'!$P$34:$P$64, MATCH(TRUNC(B95, 0), 'Peak Models'!$O$34:$O$64, 0))</f>
        <v>#N/A</v>
      </c>
      <c r="M95" s="28">
        <f>'Peak Models'!$P$15*INDEX('Peak Models'!$Q$34:$Q$64, MATCH(TRUNC(B95, 0),'Peak Models'!$O$34:$O$64, 0))/'Profit per cycles Model'!$E$78</f>
        <v>4.9441176470588246</v>
      </c>
      <c r="N95" s="28" t="e">
        <f t="shared" si="20"/>
        <v>#N/A</v>
      </c>
      <c r="O95" s="71" t="e">
        <f>AVERAGE($N$10:N95)</f>
        <v>#N/A</v>
      </c>
      <c r="P95" s="28" t="e">
        <f t="shared" si="21"/>
        <v>#N/A</v>
      </c>
      <c r="R95" s="28" t="e">
        <f t="shared" si="22"/>
        <v>#VALUE!</v>
      </c>
      <c r="S95" s="25"/>
      <c r="T95" s="25">
        <f t="shared" si="23"/>
        <v>15</v>
      </c>
      <c r="U95" s="33">
        <f>IF(PaybackCustom&gt;0, IF(PaybackCustom&lt;&gt;"Default", PaybackCustom, IF(PaybackStatus&lt;&gt;"",INDEX('Arbitrage Payback Engine'!$Y$2:$Y$6,MATCH(PaybackStatus,'Arbitrage Payback Engine'!$X$2:$X$6,FALSE)),-1)))</f>
        <v>25</v>
      </c>
      <c r="V95" s="32">
        <f t="shared" si="32"/>
        <v>15</v>
      </c>
      <c r="X95" s="29">
        <f t="shared" si="33"/>
        <v>86</v>
      </c>
      <c r="Z95" s="30">
        <f t="shared" si="24"/>
        <v>2.3558416655252703</v>
      </c>
      <c r="AA95" s="28" t="e">
        <f t="shared" si="25"/>
        <v>#N/A</v>
      </c>
      <c r="AB95" s="28" t="e">
        <f t="shared" si="26"/>
        <v>#VALUE!</v>
      </c>
      <c r="AC95" s="29">
        <f t="shared" si="27"/>
        <v>81.59392789373814</v>
      </c>
      <c r="AD95" s="28" t="e">
        <f t="shared" si="28"/>
        <v>#VALUE!</v>
      </c>
      <c r="AE95" s="28" t="e">
        <f t="shared" si="29"/>
        <v>#N/A</v>
      </c>
      <c r="AF95" s="28" t="e">
        <f t="shared" si="30"/>
        <v>#VALUE!</v>
      </c>
      <c r="AH95" s="31" t="e">
        <f t="shared" si="31"/>
        <v>#N/A</v>
      </c>
      <c r="AI95" s="25"/>
      <c r="AJ95" s="31"/>
    </row>
    <row r="96" spans="2:36" x14ac:dyDescent="0.25">
      <c r="B96" s="33">
        <f>'Arbitrage Payback Engine'!E96</f>
        <v>2.3832351732639365</v>
      </c>
      <c r="C96" s="33">
        <f t="shared" si="17"/>
        <v>1000</v>
      </c>
      <c r="D96" s="33">
        <f>'Battery Pricing Model'!$C$17</f>
        <v>1000</v>
      </c>
      <c r="E96" s="33">
        <f t="shared" si="18"/>
        <v>999</v>
      </c>
      <c r="F96" s="33" t="str">
        <f>'Peak Models'!$B$4</f>
        <v>Default</v>
      </c>
      <c r="G96" s="33" t="e">
        <f>'Peak Models'!$Q$7</f>
        <v>#VALUE!</v>
      </c>
      <c r="H96" s="33">
        <f>'Peak Models'!$P$16</f>
        <v>1.5</v>
      </c>
      <c r="I96" s="33">
        <v>12</v>
      </c>
      <c r="J96" s="33" t="e">
        <f>'Peak Models'!$P$13</f>
        <v>#N/A</v>
      </c>
      <c r="K96" s="28" t="e">
        <f t="shared" si="19"/>
        <v>#VALUE!</v>
      </c>
      <c r="L96" s="28" t="e">
        <f>INDEX('Peak Models'!$P$34:$P$64, MATCH(TRUNC(B96, 0), 'Peak Models'!$O$34:$O$64, 0))</f>
        <v>#N/A</v>
      </c>
      <c r="M96" s="28">
        <f>'Peak Models'!$P$15*INDEX('Peak Models'!$Q$34:$Q$64, MATCH(TRUNC(B96, 0),'Peak Models'!$O$34:$O$64, 0))/'Profit per cycles Model'!$E$78</f>
        <v>4.9441176470588246</v>
      </c>
      <c r="N96" s="28" t="e">
        <f t="shared" si="20"/>
        <v>#N/A</v>
      </c>
      <c r="O96" s="71" t="e">
        <f>AVERAGE($N$10:N96)</f>
        <v>#N/A</v>
      </c>
      <c r="P96" s="28" t="e">
        <f t="shared" si="21"/>
        <v>#N/A</v>
      </c>
      <c r="R96" s="28" t="e">
        <f t="shared" si="22"/>
        <v>#VALUE!</v>
      </c>
      <c r="S96" s="25"/>
      <c r="T96" s="25">
        <f t="shared" si="23"/>
        <v>15</v>
      </c>
      <c r="U96" s="33">
        <f>IF(PaybackCustom&gt;0, IF(PaybackCustom&lt;&gt;"Default", PaybackCustom, IF(PaybackStatus&lt;&gt;"",INDEX('Arbitrage Payback Engine'!$Y$2:$Y$6,MATCH(PaybackStatus,'Arbitrage Payback Engine'!$X$2:$X$6,FALSE)),-1)))</f>
        <v>25</v>
      </c>
      <c r="V96" s="32">
        <f t="shared" si="32"/>
        <v>15</v>
      </c>
      <c r="X96" s="29">
        <f t="shared" si="33"/>
        <v>87</v>
      </c>
      <c r="Z96" s="30">
        <f t="shared" si="24"/>
        <v>2.3832351732639365</v>
      </c>
      <c r="AA96" s="28" t="e">
        <f t="shared" si="25"/>
        <v>#N/A</v>
      </c>
      <c r="AB96" s="28" t="e">
        <f t="shared" si="26"/>
        <v>#VALUE!</v>
      </c>
      <c r="AC96" s="29">
        <f t="shared" si="27"/>
        <v>82.542694497153704</v>
      </c>
      <c r="AD96" s="28" t="e">
        <f t="shared" si="28"/>
        <v>#VALUE!</v>
      </c>
      <c r="AE96" s="28" t="e">
        <f t="shared" si="29"/>
        <v>#N/A</v>
      </c>
      <c r="AF96" s="28" t="e">
        <f t="shared" si="30"/>
        <v>#VALUE!</v>
      </c>
      <c r="AH96" s="31" t="e">
        <f t="shared" si="31"/>
        <v>#N/A</v>
      </c>
      <c r="AI96" s="25"/>
      <c r="AJ96" s="31"/>
    </row>
    <row r="97" spans="2:36" x14ac:dyDescent="0.25">
      <c r="B97" s="33">
        <f>'Arbitrage Payback Engine'!E97</f>
        <v>2.4106286810026023</v>
      </c>
      <c r="C97" s="33">
        <f t="shared" si="17"/>
        <v>1000</v>
      </c>
      <c r="D97" s="33">
        <f>'Battery Pricing Model'!$C$17</f>
        <v>1000</v>
      </c>
      <c r="E97" s="33">
        <f t="shared" si="18"/>
        <v>999</v>
      </c>
      <c r="F97" s="33" t="str">
        <f>'Peak Models'!$B$4</f>
        <v>Default</v>
      </c>
      <c r="G97" s="33" t="e">
        <f>'Peak Models'!$Q$7</f>
        <v>#VALUE!</v>
      </c>
      <c r="H97" s="33">
        <f>'Peak Models'!$P$16</f>
        <v>1.5</v>
      </c>
      <c r="I97" s="33">
        <v>12</v>
      </c>
      <c r="J97" s="33" t="e">
        <f>'Peak Models'!$P$13</f>
        <v>#N/A</v>
      </c>
      <c r="K97" s="28" t="e">
        <f t="shared" si="19"/>
        <v>#VALUE!</v>
      </c>
      <c r="L97" s="28" t="e">
        <f>INDEX('Peak Models'!$P$34:$P$64, MATCH(TRUNC(B97, 0), 'Peak Models'!$O$34:$O$64, 0))</f>
        <v>#N/A</v>
      </c>
      <c r="M97" s="28">
        <f>'Peak Models'!$P$15*INDEX('Peak Models'!$Q$34:$Q$64, MATCH(TRUNC(B97, 0),'Peak Models'!$O$34:$O$64, 0))/'Profit per cycles Model'!$E$78</f>
        <v>4.9441176470588246</v>
      </c>
      <c r="N97" s="28" t="e">
        <f t="shared" si="20"/>
        <v>#N/A</v>
      </c>
      <c r="O97" s="71" t="e">
        <f>AVERAGE($N$10:N97)</f>
        <v>#N/A</v>
      </c>
      <c r="P97" s="28" t="e">
        <f t="shared" si="21"/>
        <v>#N/A</v>
      </c>
      <c r="R97" s="28" t="e">
        <f t="shared" si="22"/>
        <v>#VALUE!</v>
      </c>
      <c r="S97" s="25"/>
      <c r="T97" s="25">
        <f t="shared" si="23"/>
        <v>15</v>
      </c>
      <c r="U97" s="33">
        <f>IF(PaybackCustom&gt;0, IF(PaybackCustom&lt;&gt;"Default", PaybackCustom, IF(PaybackStatus&lt;&gt;"",INDEX('Arbitrage Payback Engine'!$Y$2:$Y$6,MATCH(PaybackStatus,'Arbitrage Payback Engine'!$X$2:$X$6,FALSE)),-1)))</f>
        <v>25</v>
      </c>
      <c r="V97" s="32">
        <f t="shared" si="32"/>
        <v>15</v>
      </c>
      <c r="X97" s="29">
        <f t="shared" si="33"/>
        <v>88</v>
      </c>
      <c r="Z97" s="30">
        <f t="shared" si="24"/>
        <v>2.4106286810026023</v>
      </c>
      <c r="AA97" s="28" t="e">
        <f t="shared" si="25"/>
        <v>#N/A</v>
      </c>
      <c r="AB97" s="28" t="e">
        <f t="shared" si="26"/>
        <v>#VALUE!</v>
      </c>
      <c r="AC97" s="29">
        <f t="shared" si="27"/>
        <v>83.491461100569254</v>
      </c>
      <c r="AD97" s="28" t="e">
        <f t="shared" si="28"/>
        <v>#VALUE!</v>
      </c>
      <c r="AE97" s="28" t="e">
        <f t="shared" si="29"/>
        <v>#N/A</v>
      </c>
      <c r="AF97" s="28" t="e">
        <f t="shared" si="30"/>
        <v>#VALUE!</v>
      </c>
      <c r="AH97" s="31" t="e">
        <f t="shared" si="31"/>
        <v>#N/A</v>
      </c>
      <c r="AI97" s="25"/>
      <c r="AJ97" s="31"/>
    </row>
    <row r="98" spans="2:36" x14ac:dyDescent="0.25">
      <c r="B98" s="33">
        <f>'Arbitrage Payback Engine'!E98</f>
        <v>2.4380221887412681</v>
      </c>
      <c r="C98" s="33">
        <f t="shared" si="17"/>
        <v>1000</v>
      </c>
      <c r="D98" s="33">
        <f>'Battery Pricing Model'!$C$17</f>
        <v>1000</v>
      </c>
      <c r="E98" s="33">
        <f t="shared" si="18"/>
        <v>999</v>
      </c>
      <c r="F98" s="33" t="str">
        <f>'Peak Models'!$B$4</f>
        <v>Default</v>
      </c>
      <c r="G98" s="33" t="e">
        <f>'Peak Models'!$Q$7</f>
        <v>#VALUE!</v>
      </c>
      <c r="H98" s="33">
        <f>'Peak Models'!$P$16</f>
        <v>1.5</v>
      </c>
      <c r="I98" s="33">
        <v>12</v>
      </c>
      <c r="J98" s="33" t="e">
        <f>'Peak Models'!$P$13</f>
        <v>#N/A</v>
      </c>
      <c r="K98" s="28" t="e">
        <f t="shared" si="19"/>
        <v>#VALUE!</v>
      </c>
      <c r="L98" s="28" t="e">
        <f>INDEX('Peak Models'!$P$34:$P$64, MATCH(TRUNC(B98, 0), 'Peak Models'!$O$34:$O$64, 0))</f>
        <v>#N/A</v>
      </c>
      <c r="M98" s="28">
        <f>'Peak Models'!$P$15*INDEX('Peak Models'!$Q$34:$Q$64, MATCH(TRUNC(B98, 0),'Peak Models'!$O$34:$O$64, 0))/'Profit per cycles Model'!$E$78</f>
        <v>4.9441176470588246</v>
      </c>
      <c r="N98" s="28" t="e">
        <f t="shared" si="20"/>
        <v>#N/A</v>
      </c>
      <c r="O98" s="71" t="e">
        <f>AVERAGE($N$10:N98)</f>
        <v>#N/A</v>
      </c>
      <c r="P98" s="28" t="e">
        <f t="shared" si="21"/>
        <v>#N/A</v>
      </c>
      <c r="R98" s="28" t="e">
        <f t="shared" si="22"/>
        <v>#VALUE!</v>
      </c>
      <c r="S98" s="25"/>
      <c r="T98" s="25">
        <f t="shared" si="23"/>
        <v>15</v>
      </c>
      <c r="U98" s="33">
        <f>IF(PaybackCustom&gt;0, IF(PaybackCustom&lt;&gt;"Default", PaybackCustom, IF(PaybackStatus&lt;&gt;"",INDEX('Arbitrage Payback Engine'!$Y$2:$Y$6,MATCH(PaybackStatus,'Arbitrage Payback Engine'!$X$2:$X$6,FALSE)),-1)))</f>
        <v>25</v>
      </c>
      <c r="V98" s="32">
        <f t="shared" si="32"/>
        <v>15</v>
      </c>
      <c r="X98" s="29">
        <f t="shared" si="33"/>
        <v>89</v>
      </c>
      <c r="Z98" s="30">
        <f t="shared" si="24"/>
        <v>2.4380221887412681</v>
      </c>
      <c r="AA98" s="28" t="e">
        <f t="shared" si="25"/>
        <v>#N/A</v>
      </c>
      <c r="AB98" s="28" t="e">
        <f t="shared" si="26"/>
        <v>#VALUE!</v>
      </c>
      <c r="AC98" s="29">
        <f t="shared" si="27"/>
        <v>84.440227703984817</v>
      </c>
      <c r="AD98" s="28" t="e">
        <f t="shared" si="28"/>
        <v>#VALUE!</v>
      </c>
      <c r="AE98" s="28" t="e">
        <f t="shared" si="29"/>
        <v>#N/A</v>
      </c>
      <c r="AF98" s="28" t="e">
        <f t="shared" si="30"/>
        <v>#VALUE!</v>
      </c>
      <c r="AH98" s="31" t="e">
        <f t="shared" si="31"/>
        <v>#N/A</v>
      </c>
      <c r="AI98" s="25"/>
      <c r="AJ98" s="31"/>
    </row>
    <row r="99" spans="2:36" x14ac:dyDescent="0.25">
      <c r="B99" s="33">
        <f>'Arbitrage Payback Engine'!E99</f>
        <v>2.4654156964799343</v>
      </c>
      <c r="C99" s="33">
        <f t="shared" si="17"/>
        <v>1000</v>
      </c>
      <c r="D99" s="33">
        <f>'Battery Pricing Model'!$C$17</f>
        <v>1000</v>
      </c>
      <c r="E99" s="33">
        <f t="shared" si="18"/>
        <v>999</v>
      </c>
      <c r="F99" s="33" t="str">
        <f>'Peak Models'!$B$4</f>
        <v>Default</v>
      </c>
      <c r="G99" s="33" t="e">
        <f>'Peak Models'!$Q$7</f>
        <v>#VALUE!</v>
      </c>
      <c r="H99" s="33">
        <f>'Peak Models'!$P$16</f>
        <v>1.5</v>
      </c>
      <c r="I99" s="33">
        <v>12</v>
      </c>
      <c r="J99" s="33" t="e">
        <f>'Peak Models'!$P$13</f>
        <v>#N/A</v>
      </c>
      <c r="K99" s="28" t="e">
        <f t="shared" si="19"/>
        <v>#VALUE!</v>
      </c>
      <c r="L99" s="28" t="e">
        <f>INDEX('Peak Models'!$P$34:$P$64, MATCH(TRUNC(B99, 0), 'Peak Models'!$O$34:$O$64, 0))</f>
        <v>#N/A</v>
      </c>
      <c r="M99" s="28">
        <f>'Peak Models'!$P$15*INDEX('Peak Models'!$Q$34:$Q$64, MATCH(TRUNC(B99, 0),'Peak Models'!$O$34:$O$64, 0))/'Profit per cycles Model'!$E$78</f>
        <v>4.9441176470588246</v>
      </c>
      <c r="N99" s="28" t="e">
        <f t="shared" si="20"/>
        <v>#N/A</v>
      </c>
      <c r="O99" s="71" t="e">
        <f>AVERAGE($N$10:N99)</f>
        <v>#N/A</v>
      </c>
      <c r="P99" s="28" t="e">
        <f t="shared" si="21"/>
        <v>#N/A</v>
      </c>
      <c r="R99" s="28" t="e">
        <f t="shared" si="22"/>
        <v>#VALUE!</v>
      </c>
      <c r="S99" s="25"/>
      <c r="T99" s="25">
        <f t="shared" si="23"/>
        <v>15</v>
      </c>
      <c r="U99" s="33">
        <f>IF(PaybackCustom&gt;0, IF(PaybackCustom&lt;&gt;"Default", PaybackCustom, IF(PaybackStatus&lt;&gt;"",INDEX('Arbitrage Payback Engine'!$Y$2:$Y$6,MATCH(PaybackStatus,'Arbitrage Payback Engine'!$X$2:$X$6,FALSE)),-1)))</f>
        <v>25</v>
      </c>
      <c r="V99" s="32">
        <f t="shared" si="32"/>
        <v>15</v>
      </c>
      <c r="X99" s="29">
        <f t="shared" si="33"/>
        <v>90</v>
      </c>
      <c r="Z99" s="30">
        <f t="shared" si="24"/>
        <v>2.4654156964799343</v>
      </c>
      <c r="AA99" s="28" t="e">
        <f t="shared" si="25"/>
        <v>#N/A</v>
      </c>
      <c r="AB99" s="28" t="e">
        <f t="shared" si="26"/>
        <v>#VALUE!</v>
      </c>
      <c r="AC99" s="29">
        <f t="shared" si="27"/>
        <v>85.388994307400395</v>
      </c>
      <c r="AD99" s="28" t="e">
        <f t="shared" si="28"/>
        <v>#VALUE!</v>
      </c>
      <c r="AE99" s="28" t="e">
        <f t="shared" si="29"/>
        <v>#N/A</v>
      </c>
      <c r="AF99" s="28" t="e">
        <f t="shared" si="30"/>
        <v>#VALUE!</v>
      </c>
      <c r="AH99" s="31" t="e">
        <f t="shared" si="31"/>
        <v>#N/A</v>
      </c>
      <c r="AI99" s="25"/>
      <c r="AJ99" s="31"/>
    </row>
    <row r="100" spans="2:36" x14ac:dyDescent="0.25">
      <c r="B100" s="33">
        <f>'Arbitrage Payback Engine'!E100</f>
        <v>2.4928092042186001</v>
      </c>
      <c r="C100" s="33">
        <f t="shared" si="17"/>
        <v>1000</v>
      </c>
      <c r="D100" s="33">
        <f>'Battery Pricing Model'!$C$17</f>
        <v>1000</v>
      </c>
      <c r="E100" s="33">
        <f t="shared" si="18"/>
        <v>999</v>
      </c>
      <c r="F100" s="33" t="str">
        <f>'Peak Models'!$B$4</f>
        <v>Default</v>
      </c>
      <c r="G100" s="33" t="e">
        <f>'Peak Models'!$Q$7</f>
        <v>#VALUE!</v>
      </c>
      <c r="H100" s="33">
        <f>'Peak Models'!$P$16</f>
        <v>1.5</v>
      </c>
      <c r="I100" s="33">
        <v>12</v>
      </c>
      <c r="J100" s="33" t="e">
        <f>'Peak Models'!$P$13</f>
        <v>#N/A</v>
      </c>
      <c r="K100" s="28" t="e">
        <f t="shared" si="19"/>
        <v>#VALUE!</v>
      </c>
      <c r="L100" s="28" t="e">
        <f>INDEX('Peak Models'!$P$34:$P$64, MATCH(TRUNC(B100, 0), 'Peak Models'!$O$34:$O$64, 0))</f>
        <v>#N/A</v>
      </c>
      <c r="M100" s="28">
        <f>'Peak Models'!$P$15*INDEX('Peak Models'!$Q$34:$Q$64, MATCH(TRUNC(B100, 0),'Peak Models'!$O$34:$O$64, 0))/'Profit per cycles Model'!$E$78</f>
        <v>4.9441176470588246</v>
      </c>
      <c r="N100" s="28" t="e">
        <f t="shared" si="20"/>
        <v>#N/A</v>
      </c>
      <c r="O100" s="71" t="e">
        <f>AVERAGE($N$10:N100)</f>
        <v>#N/A</v>
      </c>
      <c r="P100" s="28" t="e">
        <f t="shared" si="21"/>
        <v>#N/A</v>
      </c>
      <c r="R100" s="28" t="e">
        <f t="shared" si="22"/>
        <v>#VALUE!</v>
      </c>
      <c r="S100" s="25"/>
      <c r="T100" s="25">
        <f t="shared" si="23"/>
        <v>15</v>
      </c>
      <c r="U100" s="33">
        <f>IF(PaybackCustom&gt;0, IF(PaybackCustom&lt;&gt;"Default", PaybackCustom, IF(PaybackStatus&lt;&gt;"",INDEX('Arbitrage Payback Engine'!$Y$2:$Y$6,MATCH(PaybackStatus,'Arbitrage Payback Engine'!$X$2:$X$6,FALSE)),-1)))</f>
        <v>25</v>
      </c>
      <c r="V100" s="32">
        <f t="shared" si="32"/>
        <v>15</v>
      </c>
      <c r="X100" s="29">
        <f t="shared" si="33"/>
        <v>91</v>
      </c>
      <c r="Z100" s="30">
        <f t="shared" si="24"/>
        <v>2.4928092042186001</v>
      </c>
      <c r="AA100" s="28" t="e">
        <f t="shared" si="25"/>
        <v>#N/A</v>
      </c>
      <c r="AB100" s="28" t="e">
        <f t="shared" si="26"/>
        <v>#VALUE!</v>
      </c>
      <c r="AC100" s="29">
        <f t="shared" si="27"/>
        <v>86.337760910815931</v>
      </c>
      <c r="AD100" s="28" t="e">
        <f t="shared" si="28"/>
        <v>#VALUE!</v>
      </c>
      <c r="AE100" s="28" t="e">
        <f t="shared" si="29"/>
        <v>#N/A</v>
      </c>
      <c r="AF100" s="28" t="e">
        <f t="shared" si="30"/>
        <v>#VALUE!</v>
      </c>
      <c r="AH100" s="31" t="e">
        <f t="shared" si="31"/>
        <v>#N/A</v>
      </c>
      <c r="AI100" s="25"/>
      <c r="AJ100" s="31"/>
    </row>
    <row r="101" spans="2:36" x14ac:dyDescent="0.25">
      <c r="B101" s="33">
        <f>'Arbitrage Payback Engine'!E101</f>
        <v>2.5202027119572659</v>
      </c>
      <c r="C101" s="33">
        <f t="shared" si="17"/>
        <v>1000</v>
      </c>
      <c r="D101" s="33">
        <f>'Battery Pricing Model'!$C$17</f>
        <v>1000</v>
      </c>
      <c r="E101" s="33">
        <f t="shared" si="18"/>
        <v>999</v>
      </c>
      <c r="F101" s="33" t="str">
        <f>'Peak Models'!$B$4</f>
        <v>Default</v>
      </c>
      <c r="G101" s="33" t="e">
        <f>'Peak Models'!$Q$7</f>
        <v>#VALUE!</v>
      </c>
      <c r="H101" s="33">
        <f>'Peak Models'!$P$16</f>
        <v>1.5</v>
      </c>
      <c r="I101" s="33">
        <v>12</v>
      </c>
      <c r="J101" s="33" t="e">
        <f>'Peak Models'!$P$13</f>
        <v>#N/A</v>
      </c>
      <c r="K101" s="28" t="e">
        <f t="shared" si="19"/>
        <v>#VALUE!</v>
      </c>
      <c r="L101" s="28" t="e">
        <f>INDEX('Peak Models'!$P$34:$P$64, MATCH(TRUNC(B101, 0), 'Peak Models'!$O$34:$O$64, 0))</f>
        <v>#N/A</v>
      </c>
      <c r="M101" s="28">
        <f>'Peak Models'!$P$15*INDEX('Peak Models'!$Q$34:$Q$64, MATCH(TRUNC(B101, 0),'Peak Models'!$O$34:$O$64, 0))/'Profit per cycles Model'!$E$78</f>
        <v>4.9441176470588246</v>
      </c>
      <c r="N101" s="28" t="e">
        <f t="shared" si="20"/>
        <v>#N/A</v>
      </c>
      <c r="O101" s="71" t="e">
        <f>AVERAGE($N$10:N101)</f>
        <v>#N/A</v>
      </c>
      <c r="P101" s="28" t="e">
        <f t="shared" si="21"/>
        <v>#N/A</v>
      </c>
      <c r="R101" s="28" t="e">
        <f t="shared" si="22"/>
        <v>#VALUE!</v>
      </c>
      <c r="S101" s="25"/>
      <c r="T101" s="25">
        <f t="shared" si="23"/>
        <v>15</v>
      </c>
      <c r="U101" s="33">
        <f>IF(PaybackCustom&gt;0, IF(PaybackCustom&lt;&gt;"Default", PaybackCustom, IF(PaybackStatus&lt;&gt;"",INDEX('Arbitrage Payback Engine'!$Y$2:$Y$6,MATCH(PaybackStatus,'Arbitrage Payback Engine'!$X$2:$X$6,FALSE)),-1)))</f>
        <v>25</v>
      </c>
      <c r="V101" s="32">
        <f t="shared" si="32"/>
        <v>15</v>
      </c>
      <c r="X101" s="29">
        <f t="shared" si="33"/>
        <v>92</v>
      </c>
      <c r="Z101" s="30">
        <f t="shared" si="24"/>
        <v>2.5202027119572659</v>
      </c>
      <c r="AA101" s="28" t="e">
        <f t="shared" si="25"/>
        <v>#N/A</v>
      </c>
      <c r="AB101" s="28" t="e">
        <f t="shared" si="26"/>
        <v>#VALUE!</v>
      </c>
      <c r="AC101" s="29">
        <f t="shared" si="27"/>
        <v>87.286527514231494</v>
      </c>
      <c r="AD101" s="28" t="e">
        <f t="shared" si="28"/>
        <v>#VALUE!</v>
      </c>
      <c r="AE101" s="28" t="e">
        <f t="shared" si="29"/>
        <v>#N/A</v>
      </c>
      <c r="AF101" s="28" t="e">
        <f t="shared" si="30"/>
        <v>#VALUE!</v>
      </c>
      <c r="AH101" s="31" t="e">
        <f t="shared" si="31"/>
        <v>#N/A</v>
      </c>
      <c r="AI101" s="25"/>
      <c r="AJ101" s="31"/>
    </row>
    <row r="102" spans="2:36" x14ac:dyDescent="0.25">
      <c r="B102" s="33">
        <f>'Arbitrage Payback Engine'!E102</f>
        <v>2.5475962196959321</v>
      </c>
      <c r="C102" s="33">
        <f t="shared" si="17"/>
        <v>1000</v>
      </c>
      <c r="D102" s="33">
        <f>'Battery Pricing Model'!$C$17</f>
        <v>1000</v>
      </c>
      <c r="E102" s="33">
        <f t="shared" si="18"/>
        <v>999</v>
      </c>
      <c r="F102" s="33" t="str">
        <f>'Peak Models'!$B$4</f>
        <v>Default</v>
      </c>
      <c r="G102" s="33" t="e">
        <f>'Peak Models'!$Q$7</f>
        <v>#VALUE!</v>
      </c>
      <c r="H102" s="33">
        <f>'Peak Models'!$P$16</f>
        <v>1.5</v>
      </c>
      <c r="I102" s="33">
        <v>12</v>
      </c>
      <c r="J102" s="33" t="e">
        <f>'Peak Models'!$P$13</f>
        <v>#N/A</v>
      </c>
      <c r="K102" s="28" t="e">
        <f t="shared" si="19"/>
        <v>#VALUE!</v>
      </c>
      <c r="L102" s="28" t="e">
        <f>INDEX('Peak Models'!$P$34:$P$64, MATCH(TRUNC(B102, 0), 'Peak Models'!$O$34:$O$64, 0))</f>
        <v>#N/A</v>
      </c>
      <c r="M102" s="28">
        <f>'Peak Models'!$P$15*INDEX('Peak Models'!$Q$34:$Q$64, MATCH(TRUNC(B102, 0),'Peak Models'!$O$34:$O$64, 0))/'Profit per cycles Model'!$E$78</f>
        <v>4.9441176470588246</v>
      </c>
      <c r="N102" s="28" t="e">
        <f t="shared" si="20"/>
        <v>#N/A</v>
      </c>
      <c r="O102" s="71" t="e">
        <f>AVERAGE($N$10:N102)</f>
        <v>#N/A</v>
      </c>
      <c r="P102" s="28" t="e">
        <f t="shared" si="21"/>
        <v>#N/A</v>
      </c>
      <c r="R102" s="28" t="e">
        <f t="shared" si="22"/>
        <v>#VALUE!</v>
      </c>
      <c r="S102" s="25"/>
      <c r="T102" s="25">
        <f t="shared" si="23"/>
        <v>15</v>
      </c>
      <c r="U102" s="33">
        <f>IF(PaybackCustom&gt;0, IF(PaybackCustom&lt;&gt;"Default", PaybackCustom, IF(PaybackStatus&lt;&gt;"",INDEX('Arbitrage Payback Engine'!$Y$2:$Y$6,MATCH(PaybackStatus,'Arbitrage Payback Engine'!$X$2:$X$6,FALSE)),-1)))</f>
        <v>25</v>
      </c>
      <c r="V102" s="32">
        <f t="shared" si="32"/>
        <v>15</v>
      </c>
      <c r="X102" s="29">
        <f t="shared" si="33"/>
        <v>93</v>
      </c>
      <c r="Z102" s="30">
        <f t="shared" si="24"/>
        <v>2.5475962196959321</v>
      </c>
      <c r="AA102" s="28" t="e">
        <f t="shared" si="25"/>
        <v>#N/A</v>
      </c>
      <c r="AB102" s="28" t="e">
        <f t="shared" si="26"/>
        <v>#VALUE!</v>
      </c>
      <c r="AC102" s="29">
        <f t="shared" si="27"/>
        <v>88.235294117647072</v>
      </c>
      <c r="AD102" s="28" t="e">
        <f t="shared" si="28"/>
        <v>#VALUE!</v>
      </c>
      <c r="AE102" s="28" t="e">
        <f t="shared" si="29"/>
        <v>#N/A</v>
      </c>
      <c r="AF102" s="28" t="e">
        <f t="shared" si="30"/>
        <v>#VALUE!</v>
      </c>
      <c r="AH102" s="31" t="e">
        <f t="shared" si="31"/>
        <v>#N/A</v>
      </c>
      <c r="AI102" s="25"/>
      <c r="AJ102" s="31"/>
    </row>
    <row r="103" spans="2:36" x14ac:dyDescent="0.25">
      <c r="B103" s="33">
        <f>'Arbitrage Payback Engine'!E103</f>
        <v>2.5749897274345979</v>
      </c>
      <c r="C103" s="33">
        <f t="shared" si="17"/>
        <v>1000</v>
      </c>
      <c r="D103" s="33">
        <f>'Battery Pricing Model'!$C$17</f>
        <v>1000</v>
      </c>
      <c r="E103" s="33">
        <f t="shared" si="18"/>
        <v>999</v>
      </c>
      <c r="F103" s="33" t="str">
        <f>'Peak Models'!$B$4</f>
        <v>Default</v>
      </c>
      <c r="G103" s="33" t="e">
        <f>'Peak Models'!$Q$7</f>
        <v>#VALUE!</v>
      </c>
      <c r="H103" s="33">
        <f>'Peak Models'!$P$16</f>
        <v>1.5</v>
      </c>
      <c r="I103" s="33">
        <v>12</v>
      </c>
      <c r="J103" s="33" t="e">
        <f>'Peak Models'!$P$13</f>
        <v>#N/A</v>
      </c>
      <c r="K103" s="28" t="e">
        <f t="shared" si="19"/>
        <v>#VALUE!</v>
      </c>
      <c r="L103" s="28" t="e">
        <f>INDEX('Peak Models'!$P$34:$P$64, MATCH(TRUNC(B103, 0), 'Peak Models'!$O$34:$O$64, 0))</f>
        <v>#N/A</v>
      </c>
      <c r="M103" s="28">
        <f>'Peak Models'!$P$15*INDEX('Peak Models'!$Q$34:$Q$64, MATCH(TRUNC(B103, 0),'Peak Models'!$O$34:$O$64, 0))/'Profit per cycles Model'!$E$78</f>
        <v>4.9441176470588246</v>
      </c>
      <c r="N103" s="28" t="e">
        <f t="shared" si="20"/>
        <v>#N/A</v>
      </c>
      <c r="O103" s="71" t="e">
        <f>AVERAGE($N$10:N103)</f>
        <v>#N/A</v>
      </c>
      <c r="P103" s="28" t="e">
        <f t="shared" si="21"/>
        <v>#N/A</v>
      </c>
      <c r="R103" s="28" t="e">
        <f t="shared" si="22"/>
        <v>#VALUE!</v>
      </c>
      <c r="S103" s="25"/>
      <c r="T103" s="25">
        <f t="shared" si="23"/>
        <v>15</v>
      </c>
      <c r="U103" s="33">
        <f>IF(PaybackCustom&gt;0, IF(PaybackCustom&lt;&gt;"Default", PaybackCustom, IF(PaybackStatus&lt;&gt;"",INDEX('Arbitrage Payback Engine'!$Y$2:$Y$6,MATCH(PaybackStatus,'Arbitrage Payback Engine'!$X$2:$X$6,FALSE)),-1)))</f>
        <v>25</v>
      </c>
      <c r="V103" s="32">
        <f t="shared" si="32"/>
        <v>15</v>
      </c>
      <c r="X103" s="29">
        <f t="shared" si="33"/>
        <v>94</v>
      </c>
      <c r="Z103" s="30">
        <f t="shared" si="24"/>
        <v>2.5749897274345979</v>
      </c>
      <c r="AA103" s="28" t="e">
        <f t="shared" si="25"/>
        <v>#N/A</v>
      </c>
      <c r="AB103" s="28" t="e">
        <f t="shared" si="26"/>
        <v>#VALUE!</v>
      </c>
      <c r="AC103" s="29">
        <f t="shared" si="27"/>
        <v>89.184060721062622</v>
      </c>
      <c r="AD103" s="28" t="e">
        <f t="shared" si="28"/>
        <v>#VALUE!</v>
      </c>
      <c r="AE103" s="28" t="e">
        <f t="shared" si="29"/>
        <v>#N/A</v>
      </c>
      <c r="AF103" s="28" t="e">
        <f t="shared" si="30"/>
        <v>#VALUE!</v>
      </c>
      <c r="AH103" s="31" t="e">
        <f t="shared" si="31"/>
        <v>#N/A</v>
      </c>
      <c r="AI103" s="25"/>
      <c r="AJ103" s="31"/>
    </row>
    <row r="104" spans="2:36" x14ac:dyDescent="0.25">
      <c r="B104" s="33">
        <f>'Arbitrage Payback Engine'!E104</f>
        <v>2.6023832351732636</v>
      </c>
      <c r="C104" s="33">
        <f t="shared" si="17"/>
        <v>1000</v>
      </c>
      <c r="D104" s="33">
        <f>'Battery Pricing Model'!$C$17</f>
        <v>1000</v>
      </c>
      <c r="E104" s="33">
        <f t="shared" si="18"/>
        <v>999</v>
      </c>
      <c r="F104" s="33" t="str">
        <f>'Peak Models'!$B$4</f>
        <v>Default</v>
      </c>
      <c r="G104" s="33" t="e">
        <f>'Peak Models'!$Q$7</f>
        <v>#VALUE!</v>
      </c>
      <c r="H104" s="33">
        <f>'Peak Models'!$P$16</f>
        <v>1.5</v>
      </c>
      <c r="I104" s="33">
        <v>12</v>
      </c>
      <c r="J104" s="33" t="e">
        <f>'Peak Models'!$P$13</f>
        <v>#N/A</v>
      </c>
      <c r="K104" s="28" t="e">
        <f t="shared" si="19"/>
        <v>#VALUE!</v>
      </c>
      <c r="L104" s="28" t="e">
        <f>INDEX('Peak Models'!$P$34:$P$64, MATCH(TRUNC(B104, 0), 'Peak Models'!$O$34:$O$64, 0))</f>
        <v>#N/A</v>
      </c>
      <c r="M104" s="28">
        <f>'Peak Models'!$P$15*INDEX('Peak Models'!$Q$34:$Q$64, MATCH(TRUNC(B104, 0),'Peak Models'!$O$34:$O$64, 0))/'Profit per cycles Model'!$E$78</f>
        <v>4.9441176470588246</v>
      </c>
      <c r="N104" s="28" t="e">
        <f t="shared" si="20"/>
        <v>#N/A</v>
      </c>
      <c r="O104" s="71" t="e">
        <f>AVERAGE($N$10:N104)</f>
        <v>#N/A</v>
      </c>
      <c r="P104" s="28" t="e">
        <f t="shared" si="21"/>
        <v>#N/A</v>
      </c>
      <c r="R104" s="28" t="e">
        <f t="shared" si="22"/>
        <v>#VALUE!</v>
      </c>
      <c r="S104" s="25"/>
      <c r="T104" s="25">
        <f t="shared" si="23"/>
        <v>15</v>
      </c>
      <c r="U104" s="33">
        <f>IF(PaybackCustom&gt;0, IF(PaybackCustom&lt;&gt;"Default", PaybackCustom, IF(PaybackStatus&lt;&gt;"",INDEX('Arbitrage Payback Engine'!$Y$2:$Y$6,MATCH(PaybackStatus,'Arbitrage Payback Engine'!$X$2:$X$6,FALSE)),-1)))</f>
        <v>25</v>
      </c>
      <c r="V104" s="32">
        <f t="shared" si="32"/>
        <v>15</v>
      </c>
      <c r="X104" s="29">
        <f t="shared" si="33"/>
        <v>95</v>
      </c>
      <c r="Z104" s="30">
        <f t="shared" si="24"/>
        <v>2.6023832351732636</v>
      </c>
      <c r="AA104" s="28" t="e">
        <f t="shared" si="25"/>
        <v>#N/A</v>
      </c>
      <c r="AB104" s="28" t="e">
        <f t="shared" si="26"/>
        <v>#VALUE!</v>
      </c>
      <c r="AC104" s="29">
        <f t="shared" si="27"/>
        <v>90.132827324478171</v>
      </c>
      <c r="AD104" s="28" t="e">
        <f t="shared" si="28"/>
        <v>#VALUE!</v>
      </c>
      <c r="AE104" s="28" t="e">
        <f t="shared" si="29"/>
        <v>#N/A</v>
      </c>
      <c r="AF104" s="28" t="e">
        <f t="shared" si="30"/>
        <v>#VALUE!</v>
      </c>
      <c r="AH104" s="31" t="e">
        <f t="shared" si="31"/>
        <v>#N/A</v>
      </c>
      <c r="AI104" s="25"/>
      <c r="AJ104" s="31"/>
    </row>
    <row r="105" spans="2:36" x14ac:dyDescent="0.25">
      <c r="B105" s="33">
        <f>'Arbitrage Payback Engine'!E105</f>
        <v>2.6297767429119299</v>
      </c>
      <c r="C105" s="33">
        <f t="shared" si="17"/>
        <v>1000</v>
      </c>
      <c r="D105" s="33">
        <f>'Battery Pricing Model'!$C$17</f>
        <v>1000</v>
      </c>
      <c r="E105" s="33">
        <f t="shared" si="18"/>
        <v>999</v>
      </c>
      <c r="F105" s="33" t="str">
        <f>'Peak Models'!$B$4</f>
        <v>Default</v>
      </c>
      <c r="G105" s="33" t="e">
        <f>'Peak Models'!$Q$7</f>
        <v>#VALUE!</v>
      </c>
      <c r="H105" s="33">
        <f>'Peak Models'!$P$16</f>
        <v>1.5</v>
      </c>
      <c r="I105" s="33">
        <v>12</v>
      </c>
      <c r="J105" s="33" t="e">
        <f>'Peak Models'!$P$13</f>
        <v>#N/A</v>
      </c>
      <c r="K105" s="28" t="e">
        <f t="shared" si="19"/>
        <v>#VALUE!</v>
      </c>
      <c r="L105" s="28" t="e">
        <f>INDEX('Peak Models'!$P$34:$P$64, MATCH(TRUNC(B105, 0), 'Peak Models'!$O$34:$O$64, 0))</f>
        <v>#N/A</v>
      </c>
      <c r="M105" s="28">
        <f>'Peak Models'!$P$15*INDEX('Peak Models'!$Q$34:$Q$64, MATCH(TRUNC(B105, 0),'Peak Models'!$O$34:$O$64, 0))/'Profit per cycles Model'!$E$78</f>
        <v>4.9441176470588246</v>
      </c>
      <c r="N105" s="28" t="e">
        <f t="shared" si="20"/>
        <v>#N/A</v>
      </c>
      <c r="O105" s="71" t="e">
        <f>AVERAGE($N$10:N105)</f>
        <v>#N/A</v>
      </c>
      <c r="P105" s="28" t="e">
        <f t="shared" si="21"/>
        <v>#N/A</v>
      </c>
      <c r="R105" s="28" t="e">
        <f t="shared" si="22"/>
        <v>#VALUE!</v>
      </c>
      <c r="S105" s="25"/>
      <c r="T105" s="25">
        <f t="shared" si="23"/>
        <v>15</v>
      </c>
      <c r="U105" s="33">
        <f>IF(PaybackCustom&gt;0, IF(PaybackCustom&lt;&gt;"Default", PaybackCustom, IF(PaybackStatus&lt;&gt;"",INDEX('Arbitrage Payback Engine'!$Y$2:$Y$6,MATCH(PaybackStatus,'Arbitrage Payback Engine'!$X$2:$X$6,FALSE)),-1)))</f>
        <v>25</v>
      </c>
      <c r="V105" s="32">
        <f t="shared" si="32"/>
        <v>15</v>
      </c>
      <c r="X105" s="29">
        <f t="shared" si="33"/>
        <v>96</v>
      </c>
      <c r="Z105" s="30">
        <f t="shared" si="24"/>
        <v>2.6297767429119299</v>
      </c>
      <c r="AA105" s="28" t="e">
        <f t="shared" si="25"/>
        <v>#N/A</v>
      </c>
      <c r="AB105" s="28" t="e">
        <f t="shared" si="26"/>
        <v>#VALUE!</v>
      </c>
      <c r="AC105" s="29">
        <f t="shared" si="27"/>
        <v>91.081593927893749</v>
      </c>
      <c r="AD105" s="28" t="e">
        <f t="shared" si="28"/>
        <v>#VALUE!</v>
      </c>
      <c r="AE105" s="28" t="e">
        <f t="shared" si="29"/>
        <v>#N/A</v>
      </c>
      <c r="AF105" s="28" t="e">
        <f t="shared" si="30"/>
        <v>#VALUE!</v>
      </c>
      <c r="AH105" s="31" t="e">
        <f t="shared" si="31"/>
        <v>#N/A</v>
      </c>
      <c r="AI105" s="25"/>
      <c r="AJ105" s="31"/>
    </row>
    <row r="106" spans="2:36" x14ac:dyDescent="0.25">
      <c r="B106" s="33">
        <f>'Arbitrage Payback Engine'!E106</f>
        <v>2.6571702506505956</v>
      </c>
      <c r="C106" s="33">
        <f t="shared" si="17"/>
        <v>1000</v>
      </c>
      <c r="D106" s="33">
        <f>'Battery Pricing Model'!$C$17</f>
        <v>1000</v>
      </c>
      <c r="E106" s="33">
        <f t="shared" si="18"/>
        <v>999</v>
      </c>
      <c r="F106" s="33" t="str">
        <f>'Peak Models'!$B$4</f>
        <v>Default</v>
      </c>
      <c r="G106" s="33" t="e">
        <f>'Peak Models'!$Q$7</f>
        <v>#VALUE!</v>
      </c>
      <c r="H106" s="33">
        <f>'Peak Models'!$P$16</f>
        <v>1.5</v>
      </c>
      <c r="I106" s="33">
        <v>12</v>
      </c>
      <c r="J106" s="33" t="e">
        <f>'Peak Models'!$P$13</f>
        <v>#N/A</v>
      </c>
      <c r="K106" s="28" t="e">
        <f t="shared" si="19"/>
        <v>#VALUE!</v>
      </c>
      <c r="L106" s="28" t="e">
        <f>INDEX('Peak Models'!$P$34:$P$64, MATCH(TRUNC(B106, 0), 'Peak Models'!$O$34:$O$64, 0))</f>
        <v>#N/A</v>
      </c>
      <c r="M106" s="28">
        <f>'Peak Models'!$P$15*INDEX('Peak Models'!$Q$34:$Q$64, MATCH(TRUNC(B106, 0),'Peak Models'!$O$34:$O$64, 0))/'Profit per cycles Model'!$E$78</f>
        <v>4.9441176470588246</v>
      </c>
      <c r="N106" s="28" t="e">
        <f t="shared" si="20"/>
        <v>#N/A</v>
      </c>
      <c r="O106" s="71" t="e">
        <f>AVERAGE($N$10:N106)</f>
        <v>#N/A</v>
      </c>
      <c r="P106" s="28" t="e">
        <f t="shared" si="21"/>
        <v>#N/A</v>
      </c>
      <c r="R106" s="28" t="e">
        <f t="shared" si="22"/>
        <v>#VALUE!</v>
      </c>
      <c r="S106" s="25"/>
      <c r="T106" s="25">
        <f t="shared" si="23"/>
        <v>15</v>
      </c>
      <c r="U106" s="33">
        <f>IF(PaybackCustom&gt;0, IF(PaybackCustom&lt;&gt;"Default", PaybackCustom, IF(PaybackStatus&lt;&gt;"",INDEX('Arbitrage Payback Engine'!$Y$2:$Y$6,MATCH(PaybackStatus,'Arbitrage Payback Engine'!$X$2:$X$6,FALSE)),-1)))</f>
        <v>25</v>
      </c>
      <c r="V106" s="32">
        <f t="shared" si="32"/>
        <v>15</v>
      </c>
      <c r="X106" s="29">
        <f t="shared" si="33"/>
        <v>97</v>
      </c>
      <c r="Z106" s="30">
        <f t="shared" si="24"/>
        <v>2.6571702506505956</v>
      </c>
      <c r="AA106" s="28" t="e">
        <f t="shared" si="25"/>
        <v>#N/A</v>
      </c>
      <c r="AB106" s="28" t="e">
        <f t="shared" si="26"/>
        <v>#VALUE!</v>
      </c>
      <c r="AC106" s="29">
        <f t="shared" si="27"/>
        <v>92.030360531309299</v>
      </c>
      <c r="AD106" s="28" t="e">
        <f t="shared" si="28"/>
        <v>#VALUE!</v>
      </c>
      <c r="AE106" s="28" t="e">
        <f t="shared" si="29"/>
        <v>#N/A</v>
      </c>
      <c r="AF106" s="28" t="e">
        <f t="shared" si="30"/>
        <v>#VALUE!</v>
      </c>
      <c r="AH106" s="31" t="e">
        <f t="shared" si="31"/>
        <v>#N/A</v>
      </c>
      <c r="AI106" s="25"/>
      <c r="AJ106" s="31"/>
    </row>
    <row r="107" spans="2:36" x14ac:dyDescent="0.25">
      <c r="B107" s="33">
        <f>'Arbitrage Payback Engine'!E107</f>
        <v>2.6845637583892619</v>
      </c>
      <c r="C107" s="33">
        <f t="shared" si="17"/>
        <v>1000</v>
      </c>
      <c r="D107" s="33">
        <f>'Battery Pricing Model'!$C$17</f>
        <v>1000</v>
      </c>
      <c r="E107" s="33">
        <f t="shared" si="18"/>
        <v>999</v>
      </c>
      <c r="F107" s="33" t="str">
        <f>'Peak Models'!$B$4</f>
        <v>Default</v>
      </c>
      <c r="G107" s="33" t="e">
        <f>'Peak Models'!$Q$7</f>
        <v>#VALUE!</v>
      </c>
      <c r="H107" s="33">
        <f>'Peak Models'!$P$16</f>
        <v>1.5</v>
      </c>
      <c r="I107" s="33">
        <v>12</v>
      </c>
      <c r="J107" s="33" t="e">
        <f>'Peak Models'!$P$13</f>
        <v>#N/A</v>
      </c>
      <c r="K107" s="28" t="e">
        <f t="shared" si="19"/>
        <v>#VALUE!</v>
      </c>
      <c r="L107" s="28" t="e">
        <f>INDEX('Peak Models'!$P$34:$P$64, MATCH(TRUNC(B107, 0), 'Peak Models'!$O$34:$O$64, 0))</f>
        <v>#N/A</v>
      </c>
      <c r="M107" s="28">
        <f>'Peak Models'!$P$15*INDEX('Peak Models'!$Q$34:$Q$64, MATCH(TRUNC(B107, 0),'Peak Models'!$O$34:$O$64, 0))/'Profit per cycles Model'!$E$78</f>
        <v>4.9441176470588246</v>
      </c>
      <c r="N107" s="28" t="e">
        <f t="shared" si="20"/>
        <v>#N/A</v>
      </c>
      <c r="O107" s="71" t="e">
        <f>AVERAGE($N$10:N107)</f>
        <v>#N/A</v>
      </c>
      <c r="P107" s="28" t="e">
        <f t="shared" si="21"/>
        <v>#N/A</v>
      </c>
      <c r="R107" s="28" t="e">
        <f t="shared" si="22"/>
        <v>#VALUE!</v>
      </c>
      <c r="S107" s="25"/>
      <c r="T107" s="25">
        <f t="shared" si="23"/>
        <v>15</v>
      </c>
      <c r="U107" s="33">
        <f>IF(PaybackCustom&gt;0, IF(PaybackCustom&lt;&gt;"Default", PaybackCustom, IF(PaybackStatus&lt;&gt;"",INDEX('Arbitrage Payback Engine'!$Y$2:$Y$6,MATCH(PaybackStatus,'Arbitrage Payback Engine'!$X$2:$X$6,FALSE)),-1)))</f>
        <v>25</v>
      </c>
      <c r="V107" s="32">
        <f t="shared" si="32"/>
        <v>15</v>
      </c>
      <c r="X107" s="29">
        <f t="shared" si="33"/>
        <v>98</v>
      </c>
      <c r="Z107" s="30">
        <f t="shared" si="24"/>
        <v>2.6845637583892619</v>
      </c>
      <c r="AA107" s="28" t="e">
        <f t="shared" si="25"/>
        <v>#N/A</v>
      </c>
      <c r="AB107" s="28" t="e">
        <f t="shared" si="26"/>
        <v>#VALUE!</v>
      </c>
      <c r="AC107" s="29">
        <f t="shared" si="27"/>
        <v>92.979127134724862</v>
      </c>
      <c r="AD107" s="28" t="e">
        <f t="shared" si="28"/>
        <v>#VALUE!</v>
      </c>
      <c r="AE107" s="28" t="e">
        <f t="shared" si="29"/>
        <v>#N/A</v>
      </c>
      <c r="AF107" s="28" t="e">
        <f t="shared" si="30"/>
        <v>#VALUE!</v>
      </c>
      <c r="AH107" s="31" t="e">
        <f t="shared" si="31"/>
        <v>#N/A</v>
      </c>
      <c r="AI107" s="25"/>
      <c r="AJ107" s="31"/>
    </row>
    <row r="108" spans="2:36" x14ac:dyDescent="0.25">
      <c r="B108" s="33">
        <f>'Arbitrage Payback Engine'!E108</f>
        <v>2.7119572661279276</v>
      </c>
      <c r="C108" s="33">
        <f t="shared" si="17"/>
        <v>1000</v>
      </c>
      <c r="D108" s="33">
        <f>'Battery Pricing Model'!$C$17</f>
        <v>1000</v>
      </c>
      <c r="E108" s="33">
        <f t="shared" si="18"/>
        <v>999</v>
      </c>
      <c r="F108" s="33" t="str">
        <f>'Peak Models'!$B$4</f>
        <v>Default</v>
      </c>
      <c r="G108" s="33" t="e">
        <f>'Peak Models'!$Q$7</f>
        <v>#VALUE!</v>
      </c>
      <c r="H108" s="33">
        <f>'Peak Models'!$P$16</f>
        <v>1.5</v>
      </c>
      <c r="I108" s="33">
        <v>12</v>
      </c>
      <c r="J108" s="33" t="e">
        <f>'Peak Models'!$P$13</f>
        <v>#N/A</v>
      </c>
      <c r="K108" s="28" t="e">
        <f t="shared" si="19"/>
        <v>#VALUE!</v>
      </c>
      <c r="L108" s="28" t="e">
        <f>INDEX('Peak Models'!$P$34:$P$64, MATCH(TRUNC(B108, 0), 'Peak Models'!$O$34:$O$64, 0))</f>
        <v>#N/A</v>
      </c>
      <c r="M108" s="28">
        <f>'Peak Models'!$P$15*INDEX('Peak Models'!$Q$34:$Q$64, MATCH(TRUNC(B108, 0),'Peak Models'!$O$34:$O$64, 0))/'Profit per cycles Model'!$E$78</f>
        <v>4.9441176470588246</v>
      </c>
      <c r="N108" s="28" t="e">
        <f t="shared" si="20"/>
        <v>#N/A</v>
      </c>
      <c r="O108" s="71" t="e">
        <f>AVERAGE($N$10:N108)</f>
        <v>#N/A</v>
      </c>
      <c r="P108" s="28" t="e">
        <f t="shared" si="21"/>
        <v>#N/A</v>
      </c>
      <c r="R108" s="28" t="e">
        <f t="shared" si="22"/>
        <v>#VALUE!</v>
      </c>
      <c r="S108" s="25"/>
      <c r="T108" s="25">
        <f t="shared" si="23"/>
        <v>15</v>
      </c>
      <c r="U108" s="33">
        <f>IF(PaybackCustom&gt;0, IF(PaybackCustom&lt;&gt;"Default", PaybackCustom, IF(PaybackStatus&lt;&gt;"",INDEX('Arbitrage Payback Engine'!$Y$2:$Y$6,MATCH(PaybackStatus,'Arbitrage Payback Engine'!$X$2:$X$6,FALSE)),-1)))</f>
        <v>25</v>
      </c>
      <c r="V108" s="32">
        <f t="shared" si="32"/>
        <v>15</v>
      </c>
      <c r="X108" s="29">
        <f t="shared" si="33"/>
        <v>99</v>
      </c>
      <c r="Z108" s="30">
        <f t="shared" si="24"/>
        <v>2.7119572661279276</v>
      </c>
      <c r="AA108" s="28" t="e">
        <f t="shared" si="25"/>
        <v>#N/A</v>
      </c>
      <c r="AB108" s="28" t="e">
        <f t="shared" si="26"/>
        <v>#VALUE!</v>
      </c>
      <c r="AC108" s="29">
        <f t="shared" si="27"/>
        <v>93.927893738140426</v>
      </c>
      <c r="AD108" s="28" t="e">
        <f t="shared" si="28"/>
        <v>#VALUE!</v>
      </c>
      <c r="AE108" s="28" t="e">
        <f t="shared" si="29"/>
        <v>#N/A</v>
      </c>
      <c r="AF108" s="28" t="e">
        <f t="shared" si="30"/>
        <v>#VALUE!</v>
      </c>
      <c r="AH108" s="31" t="e">
        <f t="shared" si="31"/>
        <v>#N/A</v>
      </c>
      <c r="AI108" s="25"/>
      <c r="AJ108" s="31"/>
    </row>
    <row r="109" spans="2:36" x14ac:dyDescent="0.25">
      <c r="B109" s="33">
        <f>'Arbitrage Payback Engine'!E109</f>
        <v>2.7393507738665934</v>
      </c>
      <c r="C109" s="33">
        <f t="shared" si="17"/>
        <v>1000</v>
      </c>
      <c r="D109" s="33">
        <f>'Battery Pricing Model'!$C$17</f>
        <v>1000</v>
      </c>
      <c r="E109" s="33">
        <f t="shared" si="18"/>
        <v>999</v>
      </c>
      <c r="F109" s="33" t="str">
        <f>'Peak Models'!$B$4</f>
        <v>Default</v>
      </c>
      <c r="G109" s="33" t="e">
        <f>'Peak Models'!$Q$7</f>
        <v>#VALUE!</v>
      </c>
      <c r="H109" s="33">
        <f>'Peak Models'!$P$16</f>
        <v>1.5</v>
      </c>
      <c r="I109" s="33">
        <v>12</v>
      </c>
      <c r="J109" s="33" t="e">
        <f>'Peak Models'!$P$13</f>
        <v>#N/A</v>
      </c>
      <c r="K109" s="28" t="e">
        <f t="shared" si="19"/>
        <v>#VALUE!</v>
      </c>
      <c r="L109" s="28" t="e">
        <f>INDEX('Peak Models'!$P$34:$P$64, MATCH(TRUNC(B109, 0), 'Peak Models'!$O$34:$O$64, 0))</f>
        <v>#N/A</v>
      </c>
      <c r="M109" s="28">
        <f>'Peak Models'!$P$15*INDEX('Peak Models'!$Q$34:$Q$64, MATCH(TRUNC(B109, 0),'Peak Models'!$O$34:$O$64, 0))/'Profit per cycles Model'!$E$78</f>
        <v>4.9441176470588246</v>
      </c>
      <c r="N109" s="28" t="e">
        <f t="shared" si="20"/>
        <v>#N/A</v>
      </c>
      <c r="O109" s="71" t="e">
        <f>AVERAGE($N$10:N109)</f>
        <v>#N/A</v>
      </c>
      <c r="P109" s="28" t="e">
        <f t="shared" si="21"/>
        <v>#N/A</v>
      </c>
      <c r="R109" s="28" t="e">
        <f t="shared" si="22"/>
        <v>#VALUE!</v>
      </c>
      <c r="S109" s="25"/>
      <c r="T109" s="25">
        <f t="shared" si="23"/>
        <v>15</v>
      </c>
      <c r="U109" s="33">
        <f>IF(PaybackCustom&gt;0, IF(PaybackCustom&lt;&gt;"Default", PaybackCustom, IF(PaybackStatus&lt;&gt;"",INDEX('Arbitrage Payback Engine'!$Y$2:$Y$6,MATCH(PaybackStatus,'Arbitrage Payback Engine'!$X$2:$X$6,FALSE)),-1)))</f>
        <v>25</v>
      </c>
      <c r="V109" s="32">
        <f t="shared" si="32"/>
        <v>15</v>
      </c>
      <c r="X109" s="29">
        <f t="shared" si="33"/>
        <v>100</v>
      </c>
      <c r="Z109" s="30">
        <f t="shared" si="24"/>
        <v>2.7393507738665934</v>
      </c>
      <c r="AA109" s="28" t="e">
        <f t="shared" si="25"/>
        <v>#N/A</v>
      </c>
      <c r="AB109" s="28" t="e">
        <f t="shared" si="26"/>
        <v>#VALUE!</v>
      </c>
      <c r="AC109" s="29">
        <f t="shared" si="27"/>
        <v>94.876660341555976</v>
      </c>
      <c r="AD109" s="28" t="e">
        <f t="shared" si="28"/>
        <v>#VALUE!</v>
      </c>
      <c r="AE109" s="28" t="e">
        <f t="shared" si="29"/>
        <v>#N/A</v>
      </c>
      <c r="AF109" s="28" t="e">
        <f t="shared" si="30"/>
        <v>#VALUE!</v>
      </c>
      <c r="AH109" s="31" t="e">
        <f t="shared" si="31"/>
        <v>#N/A</v>
      </c>
      <c r="AI109" s="25"/>
      <c r="AJ109" s="31"/>
    </row>
    <row r="110" spans="2:36" x14ac:dyDescent="0.25">
      <c r="B110" s="33">
        <f>'Arbitrage Payback Engine'!E110</f>
        <v>2.7667442816052596</v>
      </c>
      <c r="C110" s="33">
        <f t="shared" si="17"/>
        <v>1000</v>
      </c>
      <c r="D110" s="33">
        <f>'Battery Pricing Model'!$C$17</f>
        <v>1000</v>
      </c>
      <c r="E110" s="33">
        <f t="shared" si="18"/>
        <v>999</v>
      </c>
      <c r="F110" s="33" t="str">
        <f>'Peak Models'!$B$4</f>
        <v>Default</v>
      </c>
      <c r="G110" s="33" t="e">
        <f>'Peak Models'!$Q$7</f>
        <v>#VALUE!</v>
      </c>
      <c r="H110" s="33">
        <f>'Peak Models'!$P$16</f>
        <v>1.5</v>
      </c>
      <c r="I110" s="33">
        <v>12</v>
      </c>
      <c r="J110" s="33" t="e">
        <f>'Peak Models'!$P$13</f>
        <v>#N/A</v>
      </c>
      <c r="K110" s="28" t="e">
        <f t="shared" si="19"/>
        <v>#VALUE!</v>
      </c>
      <c r="L110" s="28" t="e">
        <f>INDEX('Peak Models'!$P$34:$P$64, MATCH(TRUNC(B110, 0), 'Peak Models'!$O$34:$O$64, 0))</f>
        <v>#N/A</v>
      </c>
      <c r="M110" s="28">
        <f>'Peak Models'!$P$15*INDEX('Peak Models'!$Q$34:$Q$64, MATCH(TRUNC(B110, 0),'Peak Models'!$O$34:$O$64, 0))/'Profit per cycles Model'!$E$78</f>
        <v>4.9441176470588246</v>
      </c>
      <c r="N110" s="28" t="e">
        <f t="shared" si="20"/>
        <v>#N/A</v>
      </c>
      <c r="O110" s="71" t="e">
        <f>AVERAGE($N$10:N110)</f>
        <v>#N/A</v>
      </c>
      <c r="P110" s="28" t="e">
        <f t="shared" si="21"/>
        <v>#N/A</v>
      </c>
      <c r="R110" s="28" t="e">
        <f t="shared" si="22"/>
        <v>#VALUE!</v>
      </c>
      <c r="S110" s="25"/>
      <c r="T110" s="25">
        <f t="shared" si="23"/>
        <v>15</v>
      </c>
      <c r="U110" s="33">
        <f>IF(PaybackCustom&gt;0, IF(PaybackCustom&lt;&gt;"Default", PaybackCustom, IF(PaybackStatus&lt;&gt;"",INDEX('Arbitrage Payback Engine'!$Y$2:$Y$6,MATCH(PaybackStatus,'Arbitrage Payback Engine'!$X$2:$X$6,FALSE)),-1)))</f>
        <v>25</v>
      </c>
      <c r="V110" s="32">
        <f t="shared" si="32"/>
        <v>15</v>
      </c>
      <c r="X110" s="29">
        <f t="shared" si="33"/>
        <v>101</v>
      </c>
      <c r="Z110" s="30">
        <f t="shared" si="24"/>
        <v>2.7667442816052596</v>
      </c>
      <c r="AA110" s="28" t="e">
        <f t="shared" si="25"/>
        <v>#N/A</v>
      </c>
      <c r="AB110" s="28" t="e">
        <f t="shared" si="26"/>
        <v>#VALUE!</v>
      </c>
      <c r="AC110" s="29">
        <f t="shared" si="27"/>
        <v>95.825426944971554</v>
      </c>
      <c r="AD110" s="28" t="e">
        <f t="shared" si="28"/>
        <v>#VALUE!</v>
      </c>
      <c r="AE110" s="28" t="e">
        <f t="shared" si="29"/>
        <v>#N/A</v>
      </c>
      <c r="AF110" s="28" t="e">
        <f t="shared" si="30"/>
        <v>#VALUE!</v>
      </c>
      <c r="AH110" s="31" t="e">
        <f t="shared" si="31"/>
        <v>#N/A</v>
      </c>
      <c r="AI110" s="25"/>
      <c r="AJ110" s="31"/>
    </row>
    <row r="111" spans="2:36" x14ac:dyDescent="0.25">
      <c r="B111" s="33">
        <f>'Arbitrage Payback Engine'!E111</f>
        <v>2.7941377893439254</v>
      </c>
      <c r="C111" s="33">
        <f t="shared" si="17"/>
        <v>1000</v>
      </c>
      <c r="D111" s="33">
        <f>'Battery Pricing Model'!$C$17</f>
        <v>1000</v>
      </c>
      <c r="E111" s="33">
        <f t="shared" si="18"/>
        <v>999</v>
      </c>
      <c r="F111" s="33" t="str">
        <f>'Peak Models'!$B$4</f>
        <v>Default</v>
      </c>
      <c r="G111" s="33" t="e">
        <f>'Peak Models'!$Q$7</f>
        <v>#VALUE!</v>
      </c>
      <c r="H111" s="33">
        <f>'Peak Models'!$P$16</f>
        <v>1.5</v>
      </c>
      <c r="I111" s="33">
        <v>12</v>
      </c>
      <c r="J111" s="33" t="e">
        <f>'Peak Models'!$P$13</f>
        <v>#N/A</v>
      </c>
      <c r="K111" s="28" t="e">
        <f t="shared" si="19"/>
        <v>#VALUE!</v>
      </c>
      <c r="L111" s="28" t="e">
        <f>INDEX('Peak Models'!$P$34:$P$64, MATCH(TRUNC(B111, 0), 'Peak Models'!$O$34:$O$64, 0))</f>
        <v>#N/A</v>
      </c>
      <c r="M111" s="28">
        <f>'Peak Models'!$P$15*INDEX('Peak Models'!$Q$34:$Q$64, MATCH(TRUNC(B111, 0),'Peak Models'!$O$34:$O$64, 0))/'Profit per cycles Model'!$E$78</f>
        <v>4.9441176470588246</v>
      </c>
      <c r="N111" s="28" t="e">
        <f t="shared" si="20"/>
        <v>#N/A</v>
      </c>
      <c r="O111" s="71" t="e">
        <f>AVERAGE($N$10:N111)</f>
        <v>#N/A</v>
      </c>
      <c r="P111" s="28" t="e">
        <f t="shared" si="21"/>
        <v>#N/A</v>
      </c>
      <c r="R111" s="28" t="e">
        <f t="shared" si="22"/>
        <v>#VALUE!</v>
      </c>
      <c r="S111" s="25"/>
      <c r="T111" s="25">
        <f t="shared" si="23"/>
        <v>15</v>
      </c>
      <c r="U111" s="33">
        <f>IF(PaybackCustom&gt;0, IF(PaybackCustom&lt;&gt;"Default", PaybackCustom, IF(PaybackStatus&lt;&gt;"",INDEX('Arbitrage Payback Engine'!$Y$2:$Y$6,MATCH(PaybackStatus,'Arbitrage Payback Engine'!$X$2:$X$6,FALSE)),-1)))</f>
        <v>25</v>
      </c>
      <c r="V111" s="32">
        <f t="shared" si="32"/>
        <v>15</v>
      </c>
      <c r="X111" s="29">
        <f t="shared" si="33"/>
        <v>102</v>
      </c>
      <c r="Z111" s="30">
        <f t="shared" si="24"/>
        <v>2.7941377893439254</v>
      </c>
      <c r="AA111" s="28" t="e">
        <f t="shared" si="25"/>
        <v>#N/A</v>
      </c>
      <c r="AB111" s="28" t="e">
        <f t="shared" si="26"/>
        <v>#VALUE!</v>
      </c>
      <c r="AC111" s="29">
        <f t="shared" si="27"/>
        <v>96.774193548387089</v>
      </c>
      <c r="AD111" s="28" t="e">
        <f t="shared" si="28"/>
        <v>#VALUE!</v>
      </c>
      <c r="AE111" s="28" t="e">
        <f t="shared" si="29"/>
        <v>#N/A</v>
      </c>
      <c r="AF111" s="28" t="e">
        <f t="shared" si="30"/>
        <v>#VALUE!</v>
      </c>
      <c r="AH111" s="31" t="e">
        <f t="shared" si="31"/>
        <v>#N/A</v>
      </c>
      <c r="AI111" s="25"/>
      <c r="AJ111" s="31"/>
    </row>
    <row r="112" spans="2:36" x14ac:dyDescent="0.25">
      <c r="B112" s="33">
        <f>'Arbitrage Payback Engine'!E112</f>
        <v>2.8215312970825912</v>
      </c>
      <c r="C112" s="33">
        <f t="shared" si="17"/>
        <v>1000</v>
      </c>
      <c r="D112" s="33">
        <f>'Battery Pricing Model'!$C$17</f>
        <v>1000</v>
      </c>
      <c r="E112" s="33">
        <f t="shared" si="18"/>
        <v>999</v>
      </c>
      <c r="F112" s="33" t="str">
        <f>'Peak Models'!$B$4</f>
        <v>Default</v>
      </c>
      <c r="G112" s="33" t="e">
        <f>'Peak Models'!$Q$7</f>
        <v>#VALUE!</v>
      </c>
      <c r="H112" s="33">
        <f>'Peak Models'!$P$16</f>
        <v>1.5</v>
      </c>
      <c r="I112" s="33">
        <v>12</v>
      </c>
      <c r="J112" s="33" t="e">
        <f>'Peak Models'!$P$13</f>
        <v>#N/A</v>
      </c>
      <c r="K112" s="28" t="e">
        <f t="shared" si="19"/>
        <v>#VALUE!</v>
      </c>
      <c r="L112" s="28" t="e">
        <f>INDEX('Peak Models'!$P$34:$P$64, MATCH(TRUNC(B112, 0), 'Peak Models'!$O$34:$O$64, 0))</f>
        <v>#N/A</v>
      </c>
      <c r="M112" s="28">
        <f>'Peak Models'!$P$15*INDEX('Peak Models'!$Q$34:$Q$64, MATCH(TRUNC(B112, 0),'Peak Models'!$O$34:$O$64, 0))/'Profit per cycles Model'!$E$78</f>
        <v>4.9441176470588246</v>
      </c>
      <c r="N112" s="28" t="e">
        <f t="shared" si="20"/>
        <v>#N/A</v>
      </c>
      <c r="O112" s="71" t="e">
        <f>AVERAGE($N$10:N112)</f>
        <v>#N/A</v>
      </c>
      <c r="P112" s="28" t="e">
        <f t="shared" si="21"/>
        <v>#N/A</v>
      </c>
      <c r="R112" s="28" t="e">
        <f t="shared" si="22"/>
        <v>#VALUE!</v>
      </c>
      <c r="S112" s="25"/>
      <c r="T112" s="25">
        <f t="shared" si="23"/>
        <v>15</v>
      </c>
      <c r="U112" s="33">
        <f>IF(PaybackCustom&gt;0, IF(PaybackCustom&lt;&gt;"Default", PaybackCustom, IF(PaybackStatus&lt;&gt;"",INDEX('Arbitrage Payback Engine'!$Y$2:$Y$6,MATCH(PaybackStatus,'Arbitrage Payback Engine'!$X$2:$X$6,FALSE)),-1)))</f>
        <v>25</v>
      </c>
      <c r="V112" s="32">
        <f t="shared" si="32"/>
        <v>15</v>
      </c>
      <c r="X112" s="29">
        <f t="shared" si="33"/>
        <v>103</v>
      </c>
      <c r="Z112" s="30">
        <f t="shared" si="24"/>
        <v>2.8215312970825912</v>
      </c>
      <c r="AA112" s="28" t="e">
        <f t="shared" si="25"/>
        <v>#N/A</v>
      </c>
      <c r="AB112" s="28" t="e">
        <f t="shared" si="26"/>
        <v>#VALUE!</v>
      </c>
      <c r="AC112" s="29">
        <f t="shared" si="27"/>
        <v>97.722960151802653</v>
      </c>
      <c r="AD112" s="28" t="e">
        <f t="shared" si="28"/>
        <v>#VALUE!</v>
      </c>
      <c r="AE112" s="28" t="e">
        <f t="shared" si="29"/>
        <v>#N/A</v>
      </c>
      <c r="AF112" s="28" t="e">
        <f t="shared" si="30"/>
        <v>#VALUE!</v>
      </c>
      <c r="AH112" s="31" t="e">
        <f t="shared" si="31"/>
        <v>#N/A</v>
      </c>
      <c r="AI112" s="25"/>
      <c r="AJ112" s="31"/>
    </row>
    <row r="113" spans="2:36" x14ac:dyDescent="0.25">
      <c r="B113" s="33">
        <f>'Arbitrage Payback Engine'!E113</f>
        <v>2.8489248048212574</v>
      </c>
      <c r="C113" s="33">
        <f t="shared" si="17"/>
        <v>1000</v>
      </c>
      <c r="D113" s="33">
        <f>'Battery Pricing Model'!$C$17</f>
        <v>1000</v>
      </c>
      <c r="E113" s="33">
        <f t="shared" si="18"/>
        <v>999</v>
      </c>
      <c r="F113" s="33" t="str">
        <f>'Peak Models'!$B$4</f>
        <v>Default</v>
      </c>
      <c r="G113" s="33" t="e">
        <f>'Peak Models'!$Q$7</f>
        <v>#VALUE!</v>
      </c>
      <c r="H113" s="33">
        <f>'Peak Models'!$P$16</f>
        <v>1.5</v>
      </c>
      <c r="I113" s="33">
        <v>12</v>
      </c>
      <c r="J113" s="33" t="e">
        <f>'Peak Models'!$P$13</f>
        <v>#N/A</v>
      </c>
      <c r="K113" s="28" t="e">
        <f t="shared" si="19"/>
        <v>#VALUE!</v>
      </c>
      <c r="L113" s="28" t="e">
        <f>INDEX('Peak Models'!$P$34:$P$64, MATCH(TRUNC(B113, 0), 'Peak Models'!$O$34:$O$64, 0))</f>
        <v>#N/A</v>
      </c>
      <c r="M113" s="28">
        <f>'Peak Models'!$P$15*INDEX('Peak Models'!$Q$34:$Q$64, MATCH(TRUNC(B113, 0),'Peak Models'!$O$34:$O$64, 0))/'Profit per cycles Model'!$E$78</f>
        <v>4.9441176470588246</v>
      </c>
      <c r="N113" s="28" t="e">
        <f t="shared" si="20"/>
        <v>#N/A</v>
      </c>
      <c r="O113" s="71" t="e">
        <f>AVERAGE($N$10:N113)</f>
        <v>#N/A</v>
      </c>
      <c r="P113" s="28" t="e">
        <f t="shared" si="21"/>
        <v>#N/A</v>
      </c>
      <c r="R113" s="28" t="e">
        <f t="shared" si="22"/>
        <v>#VALUE!</v>
      </c>
      <c r="S113" s="25"/>
      <c r="T113" s="25">
        <f t="shared" si="23"/>
        <v>15</v>
      </c>
      <c r="U113" s="33">
        <f>IF(PaybackCustom&gt;0, IF(PaybackCustom&lt;&gt;"Default", PaybackCustom, IF(PaybackStatus&lt;&gt;"",INDEX('Arbitrage Payback Engine'!$Y$2:$Y$6,MATCH(PaybackStatus,'Arbitrage Payback Engine'!$X$2:$X$6,FALSE)),-1)))</f>
        <v>25</v>
      </c>
      <c r="V113" s="32">
        <f t="shared" si="32"/>
        <v>15</v>
      </c>
      <c r="X113" s="29">
        <f t="shared" si="33"/>
        <v>104</v>
      </c>
      <c r="Z113" s="30">
        <f t="shared" si="24"/>
        <v>2.8489248048212574</v>
      </c>
      <c r="AA113" s="28" t="e">
        <f t="shared" si="25"/>
        <v>#N/A</v>
      </c>
      <c r="AB113" s="28" t="e">
        <f t="shared" si="26"/>
        <v>#VALUE!</v>
      </c>
      <c r="AC113" s="29">
        <f t="shared" si="27"/>
        <v>98.671726755218231</v>
      </c>
      <c r="AD113" s="28" t="e">
        <f t="shared" si="28"/>
        <v>#VALUE!</v>
      </c>
      <c r="AE113" s="28" t="e">
        <f t="shared" si="29"/>
        <v>#N/A</v>
      </c>
      <c r="AF113" s="28" t="e">
        <f t="shared" si="30"/>
        <v>#VALUE!</v>
      </c>
      <c r="AH113" s="31" t="e">
        <f t="shared" si="31"/>
        <v>#N/A</v>
      </c>
      <c r="AI113" s="25"/>
      <c r="AJ113" s="31"/>
    </row>
    <row r="114" spans="2:36" x14ac:dyDescent="0.25">
      <c r="B114" s="33">
        <f>'Arbitrage Payback Engine'!E114</f>
        <v>2.8763183125599232</v>
      </c>
      <c r="C114" s="33">
        <f t="shared" si="17"/>
        <v>1000</v>
      </c>
      <c r="D114" s="33">
        <f>'Battery Pricing Model'!$C$17</f>
        <v>1000</v>
      </c>
      <c r="E114" s="33">
        <f t="shared" si="18"/>
        <v>999</v>
      </c>
      <c r="F114" s="33" t="str">
        <f>'Peak Models'!$B$4</f>
        <v>Default</v>
      </c>
      <c r="G114" s="33" t="e">
        <f>'Peak Models'!$Q$7</f>
        <v>#VALUE!</v>
      </c>
      <c r="H114" s="33">
        <f>'Peak Models'!$P$16</f>
        <v>1.5</v>
      </c>
      <c r="I114" s="33">
        <v>12</v>
      </c>
      <c r="J114" s="33" t="e">
        <f>'Peak Models'!$P$13</f>
        <v>#N/A</v>
      </c>
      <c r="K114" s="28" t="e">
        <f t="shared" si="19"/>
        <v>#VALUE!</v>
      </c>
      <c r="L114" s="28" t="e">
        <f>INDEX('Peak Models'!$P$34:$P$64, MATCH(TRUNC(B114, 0), 'Peak Models'!$O$34:$O$64, 0))</f>
        <v>#N/A</v>
      </c>
      <c r="M114" s="28">
        <f>'Peak Models'!$P$15*INDEX('Peak Models'!$Q$34:$Q$64, MATCH(TRUNC(B114, 0),'Peak Models'!$O$34:$O$64, 0))/'Profit per cycles Model'!$E$78</f>
        <v>4.9441176470588246</v>
      </c>
      <c r="N114" s="28" t="e">
        <f t="shared" si="20"/>
        <v>#N/A</v>
      </c>
      <c r="O114" s="71" t="e">
        <f>AVERAGE($N$10:N114)</f>
        <v>#N/A</v>
      </c>
      <c r="P114" s="28" t="e">
        <f t="shared" si="21"/>
        <v>#N/A</v>
      </c>
      <c r="R114" s="28" t="e">
        <f t="shared" si="22"/>
        <v>#VALUE!</v>
      </c>
      <c r="S114" s="25"/>
      <c r="T114" s="25">
        <f t="shared" si="23"/>
        <v>15</v>
      </c>
      <c r="U114" s="33">
        <f>IF(PaybackCustom&gt;0, IF(PaybackCustom&lt;&gt;"Default", PaybackCustom, IF(PaybackStatus&lt;&gt;"",INDEX('Arbitrage Payback Engine'!$Y$2:$Y$6,MATCH(PaybackStatus,'Arbitrage Payback Engine'!$X$2:$X$6,FALSE)),-1)))</f>
        <v>25</v>
      </c>
      <c r="V114" s="32">
        <f t="shared" si="32"/>
        <v>15</v>
      </c>
      <c r="X114" s="29">
        <f t="shared" si="33"/>
        <v>105</v>
      </c>
      <c r="Z114" s="30">
        <f t="shared" si="24"/>
        <v>2.8763183125599232</v>
      </c>
      <c r="AA114" s="28" t="e">
        <f t="shared" si="25"/>
        <v>#N/A</v>
      </c>
      <c r="AB114" s="28" t="e">
        <f t="shared" si="26"/>
        <v>#VALUE!</v>
      </c>
      <c r="AC114" s="29">
        <f t="shared" si="27"/>
        <v>99.620493358633766</v>
      </c>
      <c r="AD114" s="28" t="e">
        <f t="shared" si="28"/>
        <v>#VALUE!</v>
      </c>
      <c r="AE114" s="28" t="e">
        <f t="shared" si="29"/>
        <v>#N/A</v>
      </c>
      <c r="AF114" s="28" t="e">
        <f t="shared" si="30"/>
        <v>#VALUE!</v>
      </c>
      <c r="AH114" s="31" t="e">
        <f t="shared" si="31"/>
        <v>#N/A</v>
      </c>
      <c r="AI114" s="25"/>
      <c r="AJ114" s="31"/>
    </row>
    <row r="115" spans="2:36" x14ac:dyDescent="0.25">
      <c r="B115" s="33">
        <f>'Arbitrage Payback Engine'!E115</f>
        <v>2.903711820298589</v>
      </c>
      <c r="C115" s="33">
        <f t="shared" si="17"/>
        <v>1000</v>
      </c>
      <c r="D115" s="33">
        <f>'Battery Pricing Model'!$C$17</f>
        <v>1000</v>
      </c>
      <c r="E115" s="33">
        <f t="shared" si="18"/>
        <v>999</v>
      </c>
      <c r="F115" s="33" t="str">
        <f>'Peak Models'!$B$4</f>
        <v>Default</v>
      </c>
      <c r="G115" s="33" t="e">
        <f>'Peak Models'!$Q$7</f>
        <v>#VALUE!</v>
      </c>
      <c r="H115" s="33">
        <f>'Peak Models'!$P$16</f>
        <v>1.5</v>
      </c>
      <c r="I115" s="33">
        <v>12</v>
      </c>
      <c r="J115" s="33" t="e">
        <f>'Peak Models'!$P$13</f>
        <v>#N/A</v>
      </c>
      <c r="K115" s="28" t="e">
        <f t="shared" si="19"/>
        <v>#VALUE!</v>
      </c>
      <c r="L115" s="28" t="e">
        <f>INDEX('Peak Models'!$P$34:$P$64, MATCH(TRUNC(B115, 0), 'Peak Models'!$O$34:$O$64, 0))</f>
        <v>#N/A</v>
      </c>
      <c r="M115" s="28">
        <f>'Peak Models'!$P$15*INDEX('Peak Models'!$Q$34:$Q$64, MATCH(TRUNC(B115, 0),'Peak Models'!$O$34:$O$64, 0))/'Profit per cycles Model'!$E$78</f>
        <v>4.9441176470588246</v>
      </c>
      <c r="N115" s="28" t="e">
        <f t="shared" si="20"/>
        <v>#N/A</v>
      </c>
      <c r="O115" s="71" t="e">
        <f>AVERAGE($N$10:N115)</f>
        <v>#N/A</v>
      </c>
      <c r="P115" s="28" t="e">
        <f t="shared" si="21"/>
        <v>#N/A</v>
      </c>
      <c r="R115" s="28" t="e">
        <f t="shared" si="22"/>
        <v>#VALUE!</v>
      </c>
      <c r="S115" s="25"/>
      <c r="T115" s="25">
        <f t="shared" si="23"/>
        <v>15</v>
      </c>
      <c r="U115" s="33">
        <f>IF(PaybackCustom&gt;0, IF(PaybackCustom&lt;&gt;"Default", PaybackCustom, IF(PaybackStatus&lt;&gt;"",INDEX('Arbitrage Payback Engine'!$Y$2:$Y$6,MATCH(PaybackStatus,'Arbitrage Payback Engine'!$X$2:$X$6,FALSE)),-1)))</f>
        <v>25</v>
      </c>
      <c r="V115" s="32">
        <f t="shared" si="32"/>
        <v>15</v>
      </c>
      <c r="X115" s="29">
        <f t="shared" si="33"/>
        <v>106</v>
      </c>
      <c r="Z115" s="30">
        <f t="shared" si="24"/>
        <v>2.903711820298589</v>
      </c>
      <c r="AA115" s="28" t="e">
        <f t="shared" si="25"/>
        <v>#N/A</v>
      </c>
      <c r="AB115" s="28" t="e">
        <f t="shared" si="26"/>
        <v>#VALUE!</v>
      </c>
      <c r="AC115" s="29">
        <f t="shared" si="27"/>
        <v>100.56925996204933</v>
      </c>
      <c r="AD115" s="28" t="e">
        <f t="shared" si="28"/>
        <v>#VALUE!</v>
      </c>
      <c r="AE115" s="28" t="e">
        <f t="shared" si="29"/>
        <v>#N/A</v>
      </c>
      <c r="AF115" s="28" t="e">
        <f t="shared" si="30"/>
        <v>#VALUE!</v>
      </c>
      <c r="AH115" s="31" t="e">
        <f t="shared" si="31"/>
        <v>#N/A</v>
      </c>
      <c r="AI115" s="25"/>
      <c r="AJ115" s="31"/>
    </row>
    <row r="116" spans="2:36" x14ac:dyDescent="0.25">
      <c r="B116" s="33">
        <f>'Arbitrage Payback Engine'!E116</f>
        <v>2.9311053280372552</v>
      </c>
      <c r="C116" s="33">
        <f t="shared" si="17"/>
        <v>1000</v>
      </c>
      <c r="D116" s="33">
        <f>'Battery Pricing Model'!$C$17</f>
        <v>1000</v>
      </c>
      <c r="E116" s="33">
        <f t="shared" si="18"/>
        <v>999</v>
      </c>
      <c r="F116" s="33" t="str">
        <f>'Peak Models'!$B$4</f>
        <v>Default</v>
      </c>
      <c r="G116" s="33" t="e">
        <f>'Peak Models'!$Q$7</f>
        <v>#VALUE!</v>
      </c>
      <c r="H116" s="33">
        <f>'Peak Models'!$P$16</f>
        <v>1.5</v>
      </c>
      <c r="I116" s="33">
        <v>12</v>
      </c>
      <c r="J116" s="33" t="e">
        <f>'Peak Models'!$P$13</f>
        <v>#N/A</v>
      </c>
      <c r="K116" s="28" t="e">
        <f t="shared" si="19"/>
        <v>#VALUE!</v>
      </c>
      <c r="L116" s="28" t="e">
        <f>INDEX('Peak Models'!$P$34:$P$64, MATCH(TRUNC(B116, 0), 'Peak Models'!$O$34:$O$64, 0))</f>
        <v>#N/A</v>
      </c>
      <c r="M116" s="28">
        <f>'Peak Models'!$P$15*INDEX('Peak Models'!$Q$34:$Q$64, MATCH(TRUNC(B116, 0),'Peak Models'!$O$34:$O$64, 0))/'Profit per cycles Model'!$E$78</f>
        <v>4.9441176470588246</v>
      </c>
      <c r="N116" s="28" t="e">
        <f t="shared" si="20"/>
        <v>#N/A</v>
      </c>
      <c r="O116" s="71" t="e">
        <f>AVERAGE($N$10:N116)</f>
        <v>#N/A</v>
      </c>
      <c r="P116" s="28" t="e">
        <f t="shared" si="21"/>
        <v>#N/A</v>
      </c>
      <c r="R116" s="28" t="e">
        <f t="shared" si="22"/>
        <v>#VALUE!</v>
      </c>
      <c r="S116" s="25"/>
      <c r="T116" s="25">
        <f t="shared" si="23"/>
        <v>15</v>
      </c>
      <c r="U116" s="33">
        <f>IF(PaybackCustom&gt;0, IF(PaybackCustom&lt;&gt;"Default", PaybackCustom, IF(PaybackStatus&lt;&gt;"",INDEX('Arbitrage Payback Engine'!$Y$2:$Y$6,MATCH(PaybackStatus,'Arbitrage Payback Engine'!$X$2:$X$6,FALSE)),-1)))</f>
        <v>25</v>
      </c>
      <c r="V116" s="32">
        <f t="shared" si="32"/>
        <v>15</v>
      </c>
      <c r="X116" s="29">
        <f t="shared" si="33"/>
        <v>107</v>
      </c>
      <c r="Z116" s="30">
        <f t="shared" si="24"/>
        <v>2.9311053280372552</v>
      </c>
      <c r="AA116" s="28" t="e">
        <f t="shared" si="25"/>
        <v>#N/A</v>
      </c>
      <c r="AB116" s="28" t="e">
        <f t="shared" si="26"/>
        <v>#VALUE!</v>
      </c>
      <c r="AC116" s="29">
        <f t="shared" si="27"/>
        <v>101.51802656546491</v>
      </c>
      <c r="AD116" s="28" t="e">
        <f t="shared" si="28"/>
        <v>#VALUE!</v>
      </c>
      <c r="AE116" s="28" t="e">
        <f t="shared" si="29"/>
        <v>#N/A</v>
      </c>
      <c r="AF116" s="28" t="e">
        <f t="shared" si="30"/>
        <v>#VALUE!</v>
      </c>
      <c r="AH116" s="31" t="e">
        <f t="shared" si="31"/>
        <v>#N/A</v>
      </c>
      <c r="AI116" s="25"/>
      <c r="AJ116" s="31"/>
    </row>
    <row r="117" spans="2:36" x14ac:dyDescent="0.25">
      <c r="B117" s="33">
        <f>'Arbitrage Payback Engine'!E117</f>
        <v>2.958498835775921</v>
      </c>
      <c r="C117" s="33">
        <f t="shared" si="17"/>
        <v>1000</v>
      </c>
      <c r="D117" s="33">
        <f>'Battery Pricing Model'!$C$17</f>
        <v>1000</v>
      </c>
      <c r="E117" s="33">
        <f t="shared" si="18"/>
        <v>999</v>
      </c>
      <c r="F117" s="33" t="str">
        <f>'Peak Models'!$B$4</f>
        <v>Default</v>
      </c>
      <c r="G117" s="33" t="e">
        <f>'Peak Models'!$Q$7</f>
        <v>#VALUE!</v>
      </c>
      <c r="H117" s="33">
        <f>'Peak Models'!$P$16</f>
        <v>1.5</v>
      </c>
      <c r="I117" s="33">
        <v>12</v>
      </c>
      <c r="J117" s="33" t="e">
        <f>'Peak Models'!$P$13</f>
        <v>#N/A</v>
      </c>
      <c r="K117" s="28" t="e">
        <f t="shared" si="19"/>
        <v>#VALUE!</v>
      </c>
      <c r="L117" s="28" t="e">
        <f>INDEX('Peak Models'!$P$34:$P$64, MATCH(TRUNC(B117, 0), 'Peak Models'!$O$34:$O$64, 0))</f>
        <v>#N/A</v>
      </c>
      <c r="M117" s="28">
        <f>'Peak Models'!$P$15*INDEX('Peak Models'!$Q$34:$Q$64, MATCH(TRUNC(B117, 0),'Peak Models'!$O$34:$O$64, 0))/'Profit per cycles Model'!$E$78</f>
        <v>4.9441176470588246</v>
      </c>
      <c r="N117" s="28" t="e">
        <f t="shared" si="20"/>
        <v>#N/A</v>
      </c>
      <c r="O117" s="71" t="e">
        <f>AVERAGE($N$10:N117)</f>
        <v>#N/A</v>
      </c>
      <c r="P117" s="28" t="e">
        <f t="shared" si="21"/>
        <v>#N/A</v>
      </c>
      <c r="R117" s="28" t="e">
        <f t="shared" si="22"/>
        <v>#VALUE!</v>
      </c>
      <c r="S117" s="25"/>
      <c r="T117" s="25">
        <f t="shared" si="23"/>
        <v>15</v>
      </c>
      <c r="U117" s="33">
        <f>IF(PaybackCustom&gt;0, IF(PaybackCustom&lt;&gt;"Default", PaybackCustom, IF(PaybackStatus&lt;&gt;"",INDEX('Arbitrage Payback Engine'!$Y$2:$Y$6,MATCH(PaybackStatus,'Arbitrage Payback Engine'!$X$2:$X$6,FALSE)),-1)))</f>
        <v>25</v>
      </c>
      <c r="V117" s="32">
        <f t="shared" si="32"/>
        <v>15</v>
      </c>
      <c r="X117" s="29">
        <f t="shared" si="33"/>
        <v>108</v>
      </c>
      <c r="Z117" s="30">
        <f t="shared" si="24"/>
        <v>2.958498835775921</v>
      </c>
      <c r="AA117" s="28" t="e">
        <f t="shared" si="25"/>
        <v>#N/A</v>
      </c>
      <c r="AB117" s="28" t="e">
        <f t="shared" si="26"/>
        <v>#VALUE!</v>
      </c>
      <c r="AC117" s="29">
        <f t="shared" si="27"/>
        <v>102.46679316888046</v>
      </c>
      <c r="AD117" s="28" t="e">
        <f t="shared" si="28"/>
        <v>#VALUE!</v>
      </c>
      <c r="AE117" s="28" t="e">
        <f t="shared" si="29"/>
        <v>#N/A</v>
      </c>
      <c r="AF117" s="28" t="e">
        <f t="shared" si="30"/>
        <v>#VALUE!</v>
      </c>
      <c r="AH117" s="31" t="e">
        <f t="shared" si="31"/>
        <v>#N/A</v>
      </c>
      <c r="AI117" s="25"/>
      <c r="AJ117" s="31"/>
    </row>
    <row r="118" spans="2:36" x14ac:dyDescent="0.25">
      <c r="B118" s="33">
        <f>'Arbitrage Payback Engine'!E118</f>
        <v>2.9858923435145868</v>
      </c>
      <c r="C118" s="33">
        <f t="shared" si="17"/>
        <v>1000</v>
      </c>
      <c r="D118" s="33">
        <f>'Battery Pricing Model'!$C$17</f>
        <v>1000</v>
      </c>
      <c r="E118" s="33">
        <f t="shared" si="18"/>
        <v>999</v>
      </c>
      <c r="F118" s="33" t="str">
        <f>'Peak Models'!$B$4</f>
        <v>Default</v>
      </c>
      <c r="G118" s="33" t="e">
        <f>'Peak Models'!$Q$7</f>
        <v>#VALUE!</v>
      </c>
      <c r="H118" s="33">
        <f>'Peak Models'!$P$16</f>
        <v>1.5</v>
      </c>
      <c r="I118" s="33">
        <v>12</v>
      </c>
      <c r="J118" s="33" t="e">
        <f>'Peak Models'!$P$13</f>
        <v>#N/A</v>
      </c>
      <c r="K118" s="28" t="e">
        <f t="shared" si="19"/>
        <v>#VALUE!</v>
      </c>
      <c r="L118" s="28" t="e">
        <f>INDEX('Peak Models'!$P$34:$P$64, MATCH(TRUNC(B118, 0), 'Peak Models'!$O$34:$O$64, 0))</f>
        <v>#N/A</v>
      </c>
      <c r="M118" s="28">
        <f>'Peak Models'!$P$15*INDEX('Peak Models'!$Q$34:$Q$64, MATCH(TRUNC(B118, 0),'Peak Models'!$O$34:$O$64, 0))/'Profit per cycles Model'!$E$78</f>
        <v>4.9441176470588246</v>
      </c>
      <c r="N118" s="28" t="e">
        <f t="shared" si="20"/>
        <v>#N/A</v>
      </c>
      <c r="O118" s="71" t="e">
        <f>AVERAGE($N$10:N118)</f>
        <v>#N/A</v>
      </c>
      <c r="P118" s="28" t="e">
        <f t="shared" si="21"/>
        <v>#N/A</v>
      </c>
      <c r="R118" s="28" t="e">
        <f t="shared" si="22"/>
        <v>#VALUE!</v>
      </c>
      <c r="S118" s="25"/>
      <c r="T118" s="25">
        <f t="shared" si="23"/>
        <v>15</v>
      </c>
      <c r="U118" s="33">
        <f>IF(PaybackCustom&gt;0, IF(PaybackCustom&lt;&gt;"Default", PaybackCustom, IF(PaybackStatus&lt;&gt;"",INDEX('Arbitrage Payback Engine'!$Y$2:$Y$6,MATCH(PaybackStatus,'Arbitrage Payback Engine'!$X$2:$X$6,FALSE)),-1)))</f>
        <v>25</v>
      </c>
      <c r="V118" s="32">
        <f t="shared" si="32"/>
        <v>15</v>
      </c>
      <c r="X118" s="29">
        <f t="shared" si="33"/>
        <v>109</v>
      </c>
      <c r="Z118" s="30">
        <f t="shared" si="24"/>
        <v>2.9858923435145868</v>
      </c>
      <c r="AA118" s="28" t="e">
        <f t="shared" si="25"/>
        <v>#N/A</v>
      </c>
      <c r="AB118" s="28" t="e">
        <f t="shared" si="26"/>
        <v>#VALUE!</v>
      </c>
      <c r="AC118" s="29">
        <f t="shared" si="27"/>
        <v>103.41555977229601</v>
      </c>
      <c r="AD118" s="28" t="e">
        <f t="shared" si="28"/>
        <v>#VALUE!</v>
      </c>
      <c r="AE118" s="28" t="e">
        <f t="shared" si="29"/>
        <v>#N/A</v>
      </c>
      <c r="AF118" s="28" t="e">
        <f t="shared" si="30"/>
        <v>#VALUE!</v>
      </c>
      <c r="AH118" s="31" t="e">
        <f t="shared" si="31"/>
        <v>#N/A</v>
      </c>
      <c r="AI118" s="25"/>
      <c r="AJ118" s="31"/>
    </row>
    <row r="119" spans="2:36" x14ac:dyDescent="0.25">
      <c r="B119" s="33">
        <f>'Arbitrage Payback Engine'!E119</f>
        <v>3.013285851253253</v>
      </c>
      <c r="C119" s="33">
        <f t="shared" si="17"/>
        <v>1000</v>
      </c>
      <c r="D119" s="33">
        <f>'Battery Pricing Model'!$C$17</f>
        <v>1000</v>
      </c>
      <c r="E119" s="33">
        <f t="shared" si="18"/>
        <v>999</v>
      </c>
      <c r="F119" s="33" t="str">
        <f>'Peak Models'!$B$4</f>
        <v>Default</v>
      </c>
      <c r="G119" s="33" t="e">
        <f>'Peak Models'!$Q$7</f>
        <v>#VALUE!</v>
      </c>
      <c r="H119" s="33">
        <f>'Peak Models'!$P$16</f>
        <v>1.5</v>
      </c>
      <c r="I119" s="33">
        <v>12</v>
      </c>
      <c r="J119" s="33" t="e">
        <f>'Peak Models'!$P$13</f>
        <v>#N/A</v>
      </c>
      <c r="K119" s="28" t="e">
        <f t="shared" si="19"/>
        <v>#VALUE!</v>
      </c>
      <c r="L119" s="28" t="e">
        <f>INDEX('Peak Models'!$P$34:$P$64, MATCH(TRUNC(B119, 0), 'Peak Models'!$O$34:$O$64, 0))</f>
        <v>#N/A</v>
      </c>
      <c r="M119" s="28">
        <f>'Peak Models'!$P$15*INDEX('Peak Models'!$Q$34:$Q$64, MATCH(TRUNC(B119, 0),'Peak Models'!$O$34:$O$64, 0))/'Profit per cycles Model'!$E$78</f>
        <v>5.0677205882352938</v>
      </c>
      <c r="N119" s="28" t="e">
        <f t="shared" si="20"/>
        <v>#N/A</v>
      </c>
      <c r="O119" s="71" t="e">
        <f>AVERAGE($N$10:N119)</f>
        <v>#N/A</v>
      </c>
      <c r="P119" s="28" t="e">
        <f t="shared" si="21"/>
        <v>#N/A</v>
      </c>
      <c r="R119" s="28" t="e">
        <f t="shared" si="22"/>
        <v>#VALUE!</v>
      </c>
      <c r="S119" s="25"/>
      <c r="T119" s="25">
        <f t="shared" si="23"/>
        <v>15</v>
      </c>
      <c r="U119" s="33">
        <f>IF(PaybackCustom&gt;0, IF(PaybackCustom&lt;&gt;"Default", PaybackCustom, IF(PaybackStatus&lt;&gt;"",INDEX('Arbitrage Payback Engine'!$Y$2:$Y$6,MATCH(PaybackStatus,'Arbitrage Payback Engine'!$X$2:$X$6,FALSE)),-1)))</f>
        <v>25</v>
      </c>
      <c r="V119" s="32">
        <f t="shared" si="32"/>
        <v>15</v>
      </c>
      <c r="X119" s="29">
        <f t="shared" si="33"/>
        <v>110</v>
      </c>
      <c r="Z119" s="30">
        <f t="shared" si="24"/>
        <v>3.013285851253253</v>
      </c>
      <c r="AA119" s="28" t="e">
        <f t="shared" si="25"/>
        <v>#N/A</v>
      </c>
      <c r="AB119" s="28" t="e">
        <f t="shared" si="26"/>
        <v>#VALUE!</v>
      </c>
      <c r="AC119" s="29">
        <f t="shared" si="27"/>
        <v>104.36432637571158</v>
      </c>
      <c r="AD119" s="28" t="e">
        <f t="shared" si="28"/>
        <v>#VALUE!</v>
      </c>
      <c r="AE119" s="28" t="e">
        <f t="shared" si="29"/>
        <v>#N/A</v>
      </c>
      <c r="AF119" s="28" t="e">
        <f t="shared" si="30"/>
        <v>#VALUE!</v>
      </c>
      <c r="AH119" s="31" t="e">
        <f t="shared" si="31"/>
        <v>#N/A</v>
      </c>
      <c r="AI119" s="25"/>
      <c r="AJ119" s="31"/>
    </row>
    <row r="120" spans="2:36" x14ac:dyDescent="0.25">
      <c r="B120" s="33">
        <f>'Arbitrage Payback Engine'!E120</f>
        <v>3.0406793589919188</v>
      </c>
      <c r="C120" s="33">
        <f t="shared" si="17"/>
        <v>1000</v>
      </c>
      <c r="D120" s="33">
        <f>'Battery Pricing Model'!$C$17</f>
        <v>1000</v>
      </c>
      <c r="E120" s="33">
        <f t="shared" si="18"/>
        <v>999</v>
      </c>
      <c r="F120" s="33" t="str">
        <f>'Peak Models'!$B$4</f>
        <v>Default</v>
      </c>
      <c r="G120" s="33" t="e">
        <f>'Peak Models'!$Q$7</f>
        <v>#VALUE!</v>
      </c>
      <c r="H120" s="33">
        <f>'Peak Models'!$P$16</f>
        <v>1.5</v>
      </c>
      <c r="I120" s="33">
        <v>12</v>
      </c>
      <c r="J120" s="33" t="e">
        <f>'Peak Models'!$P$13</f>
        <v>#N/A</v>
      </c>
      <c r="K120" s="28" t="e">
        <f t="shared" si="19"/>
        <v>#VALUE!</v>
      </c>
      <c r="L120" s="28" t="e">
        <f>INDEX('Peak Models'!$P$34:$P$64, MATCH(TRUNC(B120, 0), 'Peak Models'!$O$34:$O$64, 0))</f>
        <v>#N/A</v>
      </c>
      <c r="M120" s="28">
        <f>'Peak Models'!$P$15*INDEX('Peak Models'!$Q$34:$Q$64, MATCH(TRUNC(B120, 0),'Peak Models'!$O$34:$O$64, 0))/'Profit per cycles Model'!$E$78</f>
        <v>5.0677205882352938</v>
      </c>
      <c r="N120" s="28" t="e">
        <f t="shared" si="20"/>
        <v>#N/A</v>
      </c>
      <c r="O120" s="71" t="e">
        <f>AVERAGE($N$10:N120)</f>
        <v>#N/A</v>
      </c>
      <c r="P120" s="28" t="e">
        <f t="shared" si="21"/>
        <v>#N/A</v>
      </c>
      <c r="R120" s="28" t="e">
        <f t="shared" si="22"/>
        <v>#VALUE!</v>
      </c>
      <c r="S120" s="25"/>
      <c r="T120" s="25">
        <f t="shared" si="23"/>
        <v>15</v>
      </c>
      <c r="U120" s="33">
        <f>IF(PaybackCustom&gt;0, IF(PaybackCustom&lt;&gt;"Default", PaybackCustom, IF(PaybackStatus&lt;&gt;"",INDEX('Arbitrage Payback Engine'!$Y$2:$Y$6,MATCH(PaybackStatus,'Arbitrage Payback Engine'!$X$2:$X$6,FALSE)),-1)))</f>
        <v>25</v>
      </c>
      <c r="V120" s="32">
        <f t="shared" si="32"/>
        <v>15</v>
      </c>
      <c r="X120" s="29">
        <f t="shared" si="33"/>
        <v>111</v>
      </c>
      <c r="Z120" s="30">
        <f t="shared" si="24"/>
        <v>3.0406793589919188</v>
      </c>
      <c r="AA120" s="28" t="e">
        <f t="shared" si="25"/>
        <v>#N/A</v>
      </c>
      <c r="AB120" s="28" t="e">
        <f t="shared" si="26"/>
        <v>#VALUE!</v>
      </c>
      <c r="AC120" s="29">
        <f t="shared" si="27"/>
        <v>105.31309297912713</v>
      </c>
      <c r="AD120" s="28" t="e">
        <f t="shared" si="28"/>
        <v>#VALUE!</v>
      </c>
      <c r="AE120" s="28" t="e">
        <f t="shared" si="29"/>
        <v>#N/A</v>
      </c>
      <c r="AF120" s="28" t="e">
        <f t="shared" si="30"/>
        <v>#VALUE!</v>
      </c>
      <c r="AH120" s="31" t="e">
        <f t="shared" si="31"/>
        <v>#N/A</v>
      </c>
      <c r="AI120" s="25"/>
      <c r="AJ120" s="31"/>
    </row>
    <row r="121" spans="2:36" x14ac:dyDescent="0.25">
      <c r="B121" s="33">
        <f>'Arbitrage Payback Engine'!E121</f>
        <v>3.0680728667305845</v>
      </c>
      <c r="C121" s="33">
        <f t="shared" si="17"/>
        <v>1000</v>
      </c>
      <c r="D121" s="33">
        <f>'Battery Pricing Model'!$C$17</f>
        <v>1000</v>
      </c>
      <c r="E121" s="33">
        <f t="shared" si="18"/>
        <v>999</v>
      </c>
      <c r="F121" s="33" t="str">
        <f>'Peak Models'!$B$4</f>
        <v>Default</v>
      </c>
      <c r="G121" s="33" t="e">
        <f>'Peak Models'!$Q$7</f>
        <v>#VALUE!</v>
      </c>
      <c r="H121" s="33">
        <f>'Peak Models'!$P$16</f>
        <v>1.5</v>
      </c>
      <c r="I121" s="33">
        <v>12</v>
      </c>
      <c r="J121" s="33" t="e">
        <f>'Peak Models'!$P$13</f>
        <v>#N/A</v>
      </c>
      <c r="K121" s="28" t="e">
        <f t="shared" si="19"/>
        <v>#VALUE!</v>
      </c>
      <c r="L121" s="28" t="e">
        <f>INDEX('Peak Models'!$P$34:$P$64, MATCH(TRUNC(B121, 0), 'Peak Models'!$O$34:$O$64, 0))</f>
        <v>#N/A</v>
      </c>
      <c r="M121" s="28">
        <f>'Peak Models'!$P$15*INDEX('Peak Models'!$Q$34:$Q$64, MATCH(TRUNC(B121, 0),'Peak Models'!$O$34:$O$64, 0))/'Profit per cycles Model'!$E$78</f>
        <v>5.0677205882352938</v>
      </c>
      <c r="N121" s="28" t="e">
        <f t="shared" si="20"/>
        <v>#N/A</v>
      </c>
      <c r="O121" s="71" t="e">
        <f>AVERAGE($N$10:N121)</f>
        <v>#N/A</v>
      </c>
      <c r="P121" s="28" t="e">
        <f t="shared" si="21"/>
        <v>#N/A</v>
      </c>
      <c r="R121" s="28" t="e">
        <f t="shared" si="22"/>
        <v>#VALUE!</v>
      </c>
      <c r="S121" s="25"/>
      <c r="T121" s="25">
        <f t="shared" si="23"/>
        <v>15</v>
      </c>
      <c r="U121" s="33">
        <f>IF(PaybackCustom&gt;0, IF(PaybackCustom&lt;&gt;"Default", PaybackCustom, IF(PaybackStatus&lt;&gt;"",INDEX('Arbitrage Payback Engine'!$Y$2:$Y$6,MATCH(PaybackStatus,'Arbitrage Payback Engine'!$X$2:$X$6,FALSE)),-1)))</f>
        <v>25</v>
      </c>
      <c r="V121" s="32">
        <f t="shared" si="32"/>
        <v>15</v>
      </c>
      <c r="X121" s="29">
        <f t="shared" si="33"/>
        <v>112</v>
      </c>
      <c r="Z121" s="30">
        <f t="shared" si="24"/>
        <v>3.0680728667305845</v>
      </c>
      <c r="AA121" s="28" t="e">
        <f t="shared" si="25"/>
        <v>#N/A</v>
      </c>
      <c r="AB121" s="28" t="e">
        <f t="shared" si="26"/>
        <v>#VALUE!</v>
      </c>
      <c r="AC121" s="29">
        <f t="shared" si="27"/>
        <v>106.26185958254268</v>
      </c>
      <c r="AD121" s="28" t="e">
        <f t="shared" si="28"/>
        <v>#VALUE!</v>
      </c>
      <c r="AE121" s="28" t="e">
        <f t="shared" si="29"/>
        <v>#N/A</v>
      </c>
      <c r="AF121" s="28" t="e">
        <f t="shared" si="30"/>
        <v>#VALUE!</v>
      </c>
      <c r="AH121" s="31" t="e">
        <f t="shared" si="31"/>
        <v>#N/A</v>
      </c>
      <c r="AI121" s="25"/>
      <c r="AJ121" s="31"/>
    </row>
    <row r="122" spans="2:36" x14ac:dyDescent="0.25">
      <c r="B122" s="33">
        <f>'Arbitrage Payback Engine'!E122</f>
        <v>3.0954663744692508</v>
      </c>
      <c r="C122" s="33">
        <f t="shared" si="17"/>
        <v>1000</v>
      </c>
      <c r="D122" s="33">
        <f>'Battery Pricing Model'!$C$17</f>
        <v>1000</v>
      </c>
      <c r="E122" s="33">
        <f t="shared" si="18"/>
        <v>999</v>
      </c>
      <c r="F122" s="33" t="str">
        <f>'Peak Models'!$B$4</f>
        <v>Default</v>
      </c>
      <c r="G122" s="33" t="e">
        <f>'Peak Models'!$Q$7</f>
        <v>#VALUE!</v>
      </c>
      <c r="H122" s="33">
        <f>'Peak Models'!$P$16</f>
        <v>1.5</v>
      </c>
      <c r="I122" s="33">
        <v>12</v>
      </c>
      <c r="J122" s="33" t="e">
        <f>'Peak Models'!$P$13</f>
        <v>#N/A</v>
      </c>
      <c r="K122" s="28" t="e">
        <f t="shared" si="19"/>
        <v>#VALUE!</v>
      </c>
      <c r="L122" s="28" t="e">
        <f>INDEX('Peak Models'!$P$34:$P$64, MATCH(TRUNC(B122, 0), 'Peak Models'!$O$34:$O$64, 0))</f>
        <v>#N/A</v>
      </c>
      <c r="M122" s="28">
        <f>'Peak Models'!$P$15*INDEX('Peak Models'!$Q$34:$Q$64, MATCH(TRUNC(B122, 0),'Peak Models'!$O$34:$O$64, 0))/'Profit per cycles Model'!$E$78</f>
        <v>5.0677205882352938</v>
      </c>
      <c r="N122" s="28" t="e">
        <f t="shared" si="20"/>
        <v>#N/A</v>
      </c>
      <c r="O122" s="71" t="e">
        <f>AVERAGE($N$10:N122)</f>
        <v>#N/A</v>
      </c>
      <c r="P122" s="28" t="e">
        <f t="shared" si="21"/>
        <v>#N/A</v>
      </c>
      <c r="R122" s="28" t="e">
        <f t="shared" si="22"/>
        <v>#VALUE!</v>
      </c>
      <c r="S122" s="25"/>
      <c r="T122" s="25">
        <f t="shared" si="23"/>
        <v>15</v>
      </c>
      <c r="U122" s="33">
        <f>IF(PaybackCustom&gt;0, IF(PaybackCustom&lt;&gt;"Default", PaybackCustom, IF(PaybackStatus&lt;&gt;"",INDEX('Arbitrage Payback Engine'!$Y$2:$Y$6,MATCH(PaybackStatus,'Arbitrage Payback Engine'!$X$2:$X$6,FALSE)),-1)))</f>
        <v>25</v>
      </c>
      <c r="V122" s="32">
        <f t="shared" si="32"/>
        <v>15</v>
      </c>
      <c r="X122" s="29">
        <f t="shared" si="33"/>
        <v>113</v>
      </c>
      <c r="Z122" s="30">
        <f t="shared" si="24"/>
        <v>3.0954663744692508</v>
      </c>
      <c r="AA122" s="28" t="e">
        <f t="shared" si="25"/>
        <v>#N/A</v>
      </c>
      <c r="AB122" s="28" t="e">
        <f t="shared" si="26"/>
        <v>#VALUE!</v>
      </c>
      <c r="AC122" s="29">
        <f t="shared" si="27"/>
        <v>107.21062618595826</v>
      </c>
      <c r="AD122" s="28" t="e">
        <f t="shared" si="28"/>
        <v>#VALUE!</v>
      </c>
      <c r="AE122" s="28" t="e">
        <f t="shared" si="29"/>
        <v>#N/A</v>
      </c>
      <c r="AF122" s="28" t="e">
        <f t="shared" si="30"/>
        <v>#VALUE!</v>
      </c>
      <c r="AH122" s="31" t="e">
        <f t="shared" si="31"/>
        <v>#N/A</v>
      </c>
      <c r="AI122" s="25"/>
      <c r="AJ122" s="31"/>
    </row>
    <row r="123" spans="2:36" x14ac:dyDescent="0.25">
      <c r="B123" s="33">
        <f>'Arbitrage Payback Engine'!E123</f>
        <v>3.1228598822079165</v>
      </c>
      <c r="C123" s="33">
        <f t="shared" si="17"/>
        <v>1000</v>
      </c>
      <c r="D123" s="33">
        <f>'Battery Pricing Model'!$C$17</f>
        <v>1000</v>
      </c>
      <c r="E123" s="33">
        <f t="shared" si="18"/>
        <v>999</v>
      </c>
      <c r="F123" s="33" t="str">
        <f>'Peak Models'!$B$4</f>
        <v>Default</v>
      </c>
      <c r="G123" s="33" t="e">
        <f>'Peak Models'!$Q$7</f>
        <v>#VALUE!</v>
      </c>
      <c r="H123" s="33">
        <f>'Peak Models'!$P$16</f>
        <v>1.5</v>
      </c>
      <c r="I123" s="33">
        <v>12</v>
      </c>
      <c r="J123" s="33" t="e">
        <f>'Peak Models'!$P$13</f>
        <v>#N/A</v>
      </c>
      <c r="K123" s="28" t="e">
        <f t="shared" si="19"/>
        <v>#VALUE!</v>
      </c>
      <c r="L123" s="28" t="e">
        <f>INDEX('Peak Models'!$P$34:$P$64, MATCH(TRUNC(B123, 0), 'Peak Models'!$O$34:$O$64, 0))</f>
        <v>#N/A</v>
      </c>
      <c r="M123" s="28">
        <f>'Peak Models'!$P$15*INDEX('Peak Models'!$Q$34:$Q$64, MATCH(TRUNC(B123, 0),'Peak Models'!$O$34:$O$64, 0))/'Profit per cycles Model'!$E$78</f>
        <v>5.0677205882352938</v>
      </c>
      <c r="N123" s="28" t="e">
        <f t="shared" si="20"/>
        <v>#N/A</v>
      </c>
      <c r="O123" s="71" t="e">
        <f>AVERAGE($N$10:N123)</f>
        <v>#N/A</v>
      </c>
      <c r="P123" s="28" t="e">
        <f t="shared" si="21"/>
        <v>#N/A</v>
      </c>
      <c r="R123" s="28" t="e">
        <f t="shared" si="22"/>
        <v>#VALUE!</v>
      </c>
      <c r="S123" s="25"/>
      <c r="T123" s="25">
        <f t="shared" si="23"/>
        <v>15</v>
      </c>
      <c r="U123" s="33">
        <f>IF(PaybackCustom&gt;0, IF(PaybackCustom&lt;&gt;"Default", PaybackCustom, IF(PaybackStatus&lt;&gt;"",INDEX('Arbitrage Payback Engine'!$Y$2:$Y$6,MATCH(PaybackStatus,'Arbitrage Payback Engine'!$X$2:$X$6,FALSE)),-1)))</f>
        <v>25</v>
      </c>
      <c r="V123" s="32">
        <f t="shared" si="32"/>
        <v>15</v>
      </c>
      <c r="X123" s="29">
        <f t="shared" si="33"/>
        <v>114</v>
      </c>
      <c r="Z123" s="30">
        <f t="shared" si="24"/>
        <v>3.1228598822079165</v>
      </c>
      <c r="AA123" s="28" t="e">
        <f t="shared" si="25"/>
        <v>#N/A</v>
      </c>
      <c r="AB123" s="28" t="e">
        <f t="shared" si="26"/>
        <v>#VALUE!</v>
      </c>
      <c r="AC123" s="29">
        <f t="shared" si="27"/>
        <v>108.15939278937381</v>
      </c>
      <c r="AD123" s="28" t="e">
        <f t="shared" si="28"/>
        <v>#VALUE!</v>
      </c>
      <c r="AE123" s="28" t="e">
        <f t="shared" si="29"/>
        <v>#N/A</v>
      </c>
      <c r="AF123" s="28" t="e">
        <f t="shared" si="30"/>
        <v>#VALUE!</v>
      </c>
      <c r="AH123" s="31" t="e">
        <f t="shared" si="31"/>
        <v>#N/A</v>
      </c>
      <c r="AI123" s="25"/>
      <c r="AJ123" s="31"/>
    </row>
    <row r="124" spans="2:36" x14ac:dyDescent="0.25">
      <c r="B124" s="33">
        <f>'Arbitrage Payback Engine'!E124</f>
        <v>3.1502533899465828</v>
      </c>
      <c r="C124" s="33">
        <f t="shared" si="17"/>
        <v>1000</v>
      </c>
      <c r="D124" s="33">
        <f>'Battery Pricing Model'!$C$17</f>
        <v>1000</v>
      </c>
      <c r="E124" s="33">
        <f t="shared" si="18"/>
        <v>999</v>
      </c>
      <c r="F124" s="33" t="str">
        <f>'Peak Models'!$B$4</f>
        <v>Default</v>
      </c>
      <c r="G124" s="33" t="e">
        <f>'Peak Models'!$Q$7</f>
        <v>#VALUE!</v>
      </c>
      <c r="H124" s="33">
        <f>'Peak Models'!$P$16</f>
        <v>1.5</v>
      </c>
      <c r="I124" s="33">
        <v>12</v>
      </c>
      <c r="J124" s="33" t="e">
        <f>'Peak Models'!$P$13</f>
        <v>#N/A</v>
      </c>
      <c r="K124" s="28" t="e">
        <f t="shared" si="19"/>
        <v>#VALUE!</v>
      </c>
      <c r="L124" s="28" t="e">
        <f>INDEX('Peak Models'!$P$34:$P$64, MATCH(TRUNC(B124, 0), 'Peak Models'!$O$34:$O$64, 0))</f>
        <v>#N/A</v>
      </c>
      <c r="M124" s="28">
        <f>'Peak Models'!$P$15*INDEX('Peak Models'!$Q$34:$Q$64, MATCH(TRUNC(B124, 0),'Peak Models'!$O$34:$O$64, 0))/'Profit per cycles Model'!$E$78</f>
        <v>5.0677205882352938</v>
      </c>
      <c r="N124" s="28" t="e">
        <f t="shared" si="20"/>
        <v>#N/A</v>
      </c>
      <c r="O124" s="71" t="e">
        <f>AVERAGE($N$10:N124)</f>
        <v>#N/A</v>
      </c>
      <c r="P124" s="28" t="e">
        <f t="shared" si="21"/>
        <v>#N/A</v>
      </c>
      <c r="R124" s="28" t="e">
        <f t="shared" si="22"/>
        <v>#VALUE!</v>
      </c>
      <c r="S124" s="25"/>
      <c r="T124" s="25">
        <f t="shared" si="23"/>
        <v>15</v>
      </c>
      <c r="U124" s="33">
        <f>IF(PaybackCustom&gt;0, IF(PaybackCustom&lt;&gt;"Default", PaybackCustom, IF(PaybackStatus&lt;&gt;"",INDEX('Arbitrage Payback Engine'!$Y$2:$Y$6,MATCH(PaybackStatus,'Arbitrage Payback Engine'!$X$2:$X$6,FALSE)),-1)))</f>
        <v>25</v>
      </c>
      <c r="V124" s="32">
        <f t="shared" si="32"/>
        <v>15</v>
      </c>
      <c r="X124" s="29">
        <f t="shared" si="33"/>
        <v>115</v>
      </c>
      <c r="Z124" s="30">
        <f t="shared" si="24"/>
        <v>3.1502533899465828</v>
      </c>
      <c r="AA124" s="28" t="e">
        <f t="shared" si="25"/>
        <v>#N/A</v>
      </c>
      <c r="AB124" s="28" t="e">
        <f t="shared" si="26"/>
        <v>#VALUE!</v>
      </c>
      <c r="AC124" s="29">
        <f t="shared" si="27"/>
        <v>109.10815939278939</v>
      </c>
      <c r="AD124" s="28" t="e">
        <f t="shared" si="28"/>
        <v>#VALUE!</v>
      </c>
      <c r="AE124" s="28" t="e">
        <f t="shared" si="29"/>
        <v>#N/A</v>
      </c>
      <c r="AF124" s="28" t="e">
        <f t="shared" si="30"/>
        <v>#VALUE!</v>
      </c>
      <c r="AH124" s="31" t="e">
        <f t="shared" si="31"/>
        <v>#N/A</v>
      </c>
      <c r="AI124" s="25"/>
      <c r="AJ124" s="31"/>
    </row>
    <row r="125" spans="2:36" x14ac:dyDescent="0.25">
      <c r="B125" s="33">
        <f>'Arbitrage Payback Engine'!E125</f>
        <v>3.1776468976852486</v>
      </c>
      <c r="C125" s="33">
        <f t="shared" si="17"/>
        <v>1000</v>
      </c>
      <c r="D125" s="33">
        <f>'Battery Pricing Model'!$C$17</f>
        <v>1000</v>
      </c>
      <c r="E125" s="33">
        <f t="shared" si="18"/>
        <v>999</v>
      </c>
      <c r="F125" s="33" t="str">
        <f>'Peak Models'!$B$4</f>
        <v>Default</v>
      </c>
      <c r="G125" s="33" t="e">
        <f>'Peak Models'!$Q$7</f>
        <v>#VALUE!</v>
      </c>
      <c r="H125" s="33">
        <f>'Peak Models'!$P$16</f>
        <v>1.5</v>
      </c>
      <c r="I125" s="33">
        <v>12</v>
      </c>
      <c r="J125" s="33" t="e">
        <f>'Peak Models'!$P$13</f>
        <v>#N/A</v>
      </c>
      <c r="K125" s="28" t="e">
        <f t="shared" si="19"/>
        <v>#VALUE!</v>
      </c>
      <c r="L125" s="28" t="e">
        <f>INDEX('Peak Models'!$P$34:$P$64, MATCH(TRUNC(B125, 0), 'Peak Models'!$O$34:$O$64, 0))</f>
        <v>#N/A</v>
      </c>
      <c r="M125" s="28">
        <f>'Peak Models'!$P$15*INDEX('Peak Models'!$Q$34:$Q$64, MATCH(TRUNC(B125, 0),'Peak Models'!$O$34:$O$64, 0))/'Profit per cycles Model'!$E$78</f>
        <v>5.0677205882352938</v>
      </c>
      <c r="N125" s="28" t="e">
        <f t="shared" si="20"/>
        <v>#N/A</v>
      </c>
      <c r="O125" s="71" t="e">
        <f>AVERAGE($N$10:N125)</f>
        <v>#N/A</v>
      </c>
      <c r="P125" s="28" t="e">
        <f t="shared" si="21"/>
        <v>#N/A</v>
      </c>
      <c r="R125" s="28" t="e">
        <f t="shared" si="22"/>
        <v>#VALUE!</v>
      </c>
      <c r="S125" s="25"/>
      <c r="T125" s="25">
        <f t="shared" si="23"/>
        <v>15</v>
      </c>
      <c r="U125" s="33">
        <f>IF(PaybackCustom&gt;0, IF(PaybackCustom&lt;&gt;"Default", PaybackCustom, IF(PaybackStatus&lt;&gt;"",INDEX('Arbitrage Payback Engine'!$Y$2:$Y$6,MATCH(PaybackStatus,'Arbitrage Payback Engine'!$X$2:$X$6,FALSE)),-1)))</f>
        <v>25</v>
      </c>
      <c r="V125" s="32">
        <f t="shared" si="32"/>
        <v>15</v>
      </c>
      <c r="X125" s="29">
        <f t="shared" si="33"/>
        <v>116</v>
      </c>
      <c r="Z125" s="30">
        <f t="shared" si="24"/>
        <v>3.1776468976852486</v>
      </c>
      <c r="AA125" s="28" t="e">
        <f t="shared" si="25"/>
        <v>#N/A</v>
      </c>
      <c r="AB125" s="28" t="e">
        <f t="shared" si="26"/>
        <v>#VALUE!</v>
      </c>
      <c r="AC125" s="29">
        <f t="shared" si="27"/>
        <v>110.05692599620494</v>
      </c>
      <c r="AD125" s="28" t="e">
        <f t="shared" si="28"/>
        <v>#VALUE!</v>
      </c>
      <c r="AE125" s="28" t="e">
        <f t="shared" si="29"/>
        <v>#N/A</v>
      </c>
      <c r="AF125" s="28" t="e">
        <f t="shared" si="30"/>
        <v>#VALUE!</v>
      </c>
      <c r="AH125" s="31" t="e">
        <f t="shared" si="31"/>
        <v>#N/A</v>
      </c>
      <c r="AI125" s="25"/>
      <c r="AJ125" s="31"/>
    </row>
    <row r="126" spans="2:36" x14ac:dyDescent="0.25">
      <c r="B126" s="33">
        <f>'Arbitrage Payback Engine'!E126</f>
        <v>3.2050404054239143</v>
      </c>
      <c r="C126" s="33">
        <f t="shared" si="17"/>
        <v>1000</v>
      </c>
      <c r="D126" s="33">
        <f>'Battery Pricing Model'!$C$17</f>
        <v>1000</v>
      </c>
      <c r="E126" s="33">
        <f t="shared" si="18"/>
        <v>999</v>
      </c>
      <c r="F126" s="33" t="str">
        <f>'Peak Models'!$B$4</f>
        <v>Default</v>
      </c>
      <c r="G126" s="33" t="e">
        <f>'Peak Models'!$Q$7</f>
        <v>#VALUE!</v>
      </c>
      <c r="H126" s="33">
        <f>'Peak Models'!$P$16</f>
        <v>1.5</v>
      </c>
      <c r="I126" s="33">
        <v>12</v>
      </c>
      <c r="J126" s="33" t="e">
        <f>'Peak Models'!$P$13</f>
        <v>#N/A</v>
      </c>
      <c r="K126" s="28" t="e">
        <f t="shared" si="19"/>
        <v>#VALUE!</v>
      </c>
      <c r="L126" s="28" t="e">
        <f>INDEX('Peak Models'!$P$34:$P$64, MATCH(TRUNC(B126, 0), 'Peak Models'!$O$34:$O$64, 0))</f>
        <v>#N/A</v>
      </c>
      <c r="M126" s="28">
        <f>'Peak Models'!$P$15*INDEX('Peak Models'!$Q$34:$Q$64, MATCH(TRUNC(B126, 0),'Peak Models'!$O$34:$O$64, 0))/'Profit per cycles Model'!$E$78</f>
        <v>5.0677205882352938</v>
      </c>
      <c r="N126" s="28" t="e">
        <f t="shared" si="20"/>
        <v>#N/A</v>
      </c>
      <c r="O126" s="71" t="e">
        <f>AVERAGE($N$10:N126)</f>
        <v>#N/A</v>
      </c>
      <c r="P126" s="28" t="e">
        <f t="shared" si="21"/>
        <v>#N/A</v>
      </c>
      <c r="R126" s="28" t="e">
        <f t="shared" si="22"/>
        <v>#VALUE!</v>
      </c>
      <c r="S126" s="25"/>
      <c r="T126" s="25">
        <f t="shared" si="23"/>
        <v>15</v>
      </c>
      <c r="U126" s="33">
        <f>IF(PaybackCustom&gt;0, IF(PaybackCustom&lt;&gt;"Default", PaybackCustom, IF(PaybackStatus&lt;&gt;"",INDEX('Arbitrage Payback Engine'!$Y$2:$Y$6,MATCH(PaybackStatus,'Arbitrage Payback Engine'!$X$2:$X$6,FALSE)),-1)))</f>
        <v>25</v>
      </c>
      <c r="V126" s="32">
        <f t="shared" si="32"/>
        <v>15</v>
      </c>
      <c r="X126" s="29">
        <f t="shared" si="33"/>
        <v>117</v>
      </c>
      <c r="Z126" s="30">
        <f t="shared" si="24"/>
        <v>3.2050404054239143</v>
      </c>
      <c r="AA126" s="28" t="e">
        <f t="shared" si="25"/>
        <v>#N/A</v>
      </c>
      <c r="AB126" s="28" t="e">
        <f t="shared" si="26"/>
        <v>#VALUE!</v>
      </c>
      <c r="AC126" s="29">
        <f t="shared" si="27"/>
        <v>111.00569259962049</v>
      </c>
      <c r="AD126" s="28" t="e">
        <f t="shared" si="28"/>
        <v>#VALUE!</v>
      </c>
      <c r="AE126" s="28" t="e">
        <f t="shared" si="29"/>
        <v>#N/A</v>
      </c>
      <c r="AF126" s="28" t="e">
        <f t="shared" si="30"/>
        <v>#VALUE!</v>
      </c>
      <c r="AH126" s="31" t="e">
        <f t="shared" si="31"/>
        <v>#N/A</v>
      </c>
      <c r="AI126" s="25"/>
      <c r="AJ126" s="31"/>
    </row>
    <row r="127" spans="2:36" x14ac:dyDescent="0.25">
      <c r="B127" s="33">
        <f>'Arbitrage Payback Engine'!E127</f>
        <v>3.2324339131625806</v>
      </c>
      <c r="C127" s="33">
        <f t="shared" si="17"/>
        <v>1000</v>
      </c>
      <c r="D127" s="33">
        <f>'Battery Pricing Model'!$C$17</f>
        <v>1000</v>
      </c>
      <c r="E127" s="33">
        <f t="shared" si="18"/>
        <v>999</v>
      </c>
      <c r="F127" s="33" t="str">
        <f>'Peak Models'!$B$4</f>
        <v>Default</v>
      </c>
      <c r="G127" s="33" t="e">
        <f>'Peak Models'!$Q$7</f>
        <v>#VALUE!</v>
      </c>
      <c r="H127" s="33">
        <f>'Peak Models'!$P$16</f>
        <v>1.5</v>
      </c>
      <c r="I127" s="33">
        <v>12</v>
      </c>
      <c r="J127" s="33" t="e">
        <f>'Peak Models'!$P$13</f>
        <v>#N/A</v>
      </c>
      <c r="K127" s="28" t="e">
        <f t="shared" si="19"/>
        <v>#VALUE!</v>
      </c>
      <c r="L127" s="28" t="e">
        <f>INDEX('Peak Models'!$P$34:$P$64, MATCH(TRUNC(B127, 0), 'Peak Models'!$O$34:$O$64, 0))</f>
        <v>#N/A</v>
      </c>
      <c r="M127" s="28">
        <f>'Peak Models'!$P$15*INDEX('Peak Models'!$Q$34:$Q$64, MATCH(TRUNC(B127, 0),'Peak Models'!$O$34:$O$64, 0))/'Profit per cycles Model'!$E$78</f>
        <v>5.0677205882352938</v>
      </c>
      <c r="N127" s="28" t="e">
        <f t="shared" si="20"/>
        <v>#N/A</v>
      </c>
      <c r="O127" s="71" t="e">
        <f>AVERAGE($N$10:N127)</f>
        <v>#N/A</v>
      </c>
      <c r="P127" s="28" t="e">
        <f t="shared" si="21"/>
        <v>#N/A</v>
      </c>
      <c r="R127" s="28" t="e">
        <f t="shared" si="22"/>
        <v>#VALUE!</v>
      </c>
      <c r="S127" s="25"/>
      <c r="T127" s="25">
        <f t="shared" si="23"/>
        <v>15</v>
      </c>
      <c r="U127" s="33">
        <f>IF(PaybackCustom&gt;0, IF(PaybackCustom&lt;&gt;"Default", PaybackCustom, IF(PaybackStatus&lt;&gt;"",INDEX('Arbitrage Payback Engine'!$Y$2:$Y$6,MATCH(PaybackStatus,'Arbitrage Payback Engine'!$X$2:$X$6,FALSE)),-1)))</f>
        <v>25</v>
      </c>
      <c r="V127" s="32">
        <f t="shared" si="32"/>
        <v>15</v>
      </c>
      <c r="X127" s="29">
        <f t="shared" si="33"/>
        <v>118</v>
      </c>
      <c r="Z127" s="30">
        <f t="shared" si="24"/>
        <v>3.2324339131625806</v>
      </c>
      <c r="AA127" s="28" t="e">
        <f t="shared" si="25"/>
        <v>#N/A</v>
      </c>
      <c r="AB127" s="28" t="e">
        <f t="shared" si="26"/>
        <v>#VALUE!</v>
      </c>
      <c r="AC127" s="29">
        <f t="shared" si="27"/>
        <v>111.95445920303607</v>
      </c>
      <c r="AD127" s="28" t="e">
        <f t="shared" si="28"/>
        <v>#VALUE!</v>
      </c>
      <c r="AE127" s="28" t="e">
        <f t="shared" si="29"/>
        <v>#N/A</v>
      </c>
      <c r="AF127" s="28" t="e">
        <f t="shared" si="30"/>
        <v>#VALUE!</v>
      </c>
      <c r="AH127" s="31" t="e">
        <f t="shared" si="31"/>
        <v>#N/A</v>
      </c>
      <c r="AI127" s="25"/>
      <c r="AJ127" s="31"/>
    </row>
    <row r="128" spans="2:36" x14ac:dyDescent="0.25">
      <c r="B128" s="33">
        <f>'Arbitrage Payback Engine'!E128</f>
        <v>3.2598274209012463</v>
      </c>
      <c r="C128" s="33">
        <f t="shared" si="17"/>
        <v>1000</v>
      </c>
      <c r="D128" s="33">
        <f>'Battery Pricing Model'!$C$17</f>
        <v>1000</v>
      </c>
      <c r="E128" s="33">
        <f t="shared" si="18"/>
        <v>999</v>
      </c>
      <c r="F128" s="33" t="str">
        <f>'Peak Models'!$B$4</f>
        <v>Default</v>
      </c>
      <c r="G128" s="33" t="e">
        <f>'Peak Models'!$Q$7</f>
        <v>#VALUE!</v>
      </c>
      <c r="H128" s="33">
        <f>'Peak Models'!$P$16</f>
        <v>1.5</v>
      </c>
      <c r="I128" s="33">
        <v>12</v>
      </c>
      <c r="J128" s="33" t="e">
        <f>'Peak Models'!$P$13</f>
        <v>#N/A</v>
      </c>
      <c r="K128" s="28" t="e">
        <f t="shared" si="19"/>
        <v>#VALUE!</v>
      </c>
      <c r="L128" s="28" t="e">
        <f>INDEX('Peak Models'!$P$34:$P$64, MATCH(TRUNC(B128, 0), 'Peak Models'!$O$34:$O$64, 0))</f>
        <v>#N/A</v>
      </c>
      <c r="M128" s="28">
        <f>'Peak Models'!$P$15*INDEX('Peak Models'!$Q$34:$Q$64, MATCH(TRUNC(B128, 0),'Peak Models'!$O$34:$O$64, 0))/'Profit per cycles Model'!$E$78</f>
        <v>5.0677205882352938</v>
      </c>
      <c r="N128" s="28" t="e">
        <f t="shared" si="20"/>
        <v>#N/A</v>
      </c>
      <c r="O128" s="71" t="e">
        <f>AVERAGE($N$10:N128)</f>
        <v>#N/A</v>
      </c>
      <c r="P128" s="28" t="e">
        <f t="shared" si="21"/>
        <v>#N/A</v>
      </c>
      <c r="R128" s="28" t="e">
        <f t="shared" si="22"/>
        <v>#VALUE!</v>
      </c>
      <c r="S128" s="25"/>
      <c r="T128" s="25">
        <f t="shared" si="23"/>
        <v>15</v>
      </c>
      <c r="U128" s="33">
        <f>IF(PaybackCustom&gt;0, IF(PaybackCustom&lt;&gt;"Default", PaybackCustom, IF(PaybackStatus&lt;&gt;"",INDEX('Arbitrage Payback Engine'!$Y$2:$Y$6,MATCH(PaybackStatus,'Arbitrage Payback Engine'!$X$2:$X$6,FALSE)),-1)))</f>
        <v>25</v>
      </c>
      <c r="V128" s="32">
        <f t="shared" si="32"/>
        <v>15</v>
      </c>
      <c r="X128" s="29">
        <f t="shared" si="33"/>
        <v>119</v>
      </c>
      <c r="Z128" s="30">
        <f t="shared" si="24"/>
        <v>3.2598274209012463</v>
      </c>
      <c r="AA128" s="28" t="e">
        <f t="shared" si="25"/>
        <v>#N/A</v>
      </c>
      <c r="AB128" s="28" t="e">
        <f t="shared" si="26"/>
        <v>#VALUE!</v>
      </c>
      <c r="AC128" s="29">
        <f t="shared" si="27"/>
        <v>112.90322580645162</v>
      </c>
      <c r="AD128" s="28" t="e">
        <f t="shared" si="28"/>
        <v>#VALUE!</v>
      </c>
      <c r="AE128" s="28" t="e">
        <f t="shared" si="29"/>
        <v>#N/A</v>
      </c>
      <c r="AF128" s="28" t="e">
        <f t="shared" si="30"/>
        <v>#VALUE!</v>
      </c>
      <c r="AH128" s="31" t="e">
        <f t="shared" si="31"/>
        <v>#N/A</v>
      </c>
      <c r="AI128" s="25"/>
      <c r="AJ128" s="31"/>
    </row>
    <row r="129" spans="2:36" x14ac:dyDescent="0.25">
      <c r="B129" s="33">
        <f>'Arbitrage Payback Engine'!E129</f>
        <v>3.2872209286399121</v>
      </c>
      <c r="C129" s="33">
        <f t="shared" si="17"/>
        <v>1000</v>
      </c>
      <c r="D129" s="33">
        <f>'Battery Pricing Model'!$C$17</f>
        <v>1000</v>
      </c>
      <c r="E129" s="33">
        <f t="shared" si="18"/>
        <v>999</v>
      </c>
      <c r="F129" s="33" t="str">
        <f>'Peak Models'!$B$4</f>
        <v>Default</v>
      </c>
      <c r="G129" s="33" t="e">
        <f>'Peak Models'!$Q$7</f>
        <v>#VALUE!</v>
      </c>
      <c r="H129" s="33">
        <f>'Peak Models'!$P$16</f>
        <v>1.5</v>
      </c>
      <c r="I129" s="33">
        <v>12</v>
      </c>
      <c r="J129" s="33" t="e">
        <f>'Peak Models'!$P$13</f>
        <v>#N/A</v>
      </c>
      <c r="K129" s="28" t="e">
        <f t="shared" si="19"/>
        <v>#VALUE!</v>
      </c>
      <c r="L129" s="28" t="e">
        <f>INDEX('Peak Models'!$P$34:$P$64, MATCH(TRUNC(B129, 0), 'Peak Models'!$O$34:$O$64, 0))</f>
        <v>#N/A</v>
      </c>
      <c r="M129" s="28">
        <f>'Peak Models'!$P$15*INDEX('Peak Models'!$Q$34:$Q$64, MATCH(TRUNC(B129, 0),'Peak Models'!$O$34:$O$64, 0))/'Profit per cycles Model'!$E$78</f>
        <v>5.0677205882352938</v>
      </c>
      <c r="N129" s="28" t="e">
        <f t="shared" si="20"/>
        <v>#N/A</v>
      </c>
      <c r="O129" s="71" t="e">
        <f>AVERAGE($N$10:N129)</f>
        <v>#N/A</v>
      </c>
      <c r="P129" s="28" t="e">
        <f t="shared" si="21"/>
        <v>#N/A</v>
      </c>
      <c r="R129" s="28" t="e">
        <f t="shared" si="22"/>
        <v>#VALUE!</v>
      </c>
      <c r="S129" s="25"/>
      <c r="T129" s="25">
        <f t="shared" si="23"/>
        <v>15</v>
      </c>
      <c r="U129" s="33">
        <f>IF(PaybackCustom&gt;0, IF(PaybackCustom&lt;&gt;"Default", PaybackCustom, IF(PaybackStatus&lt;&gt;"",INDEX('Arbitrage Payback Engine'!$Y$2:$Y$6,MATCH(PaybackStatus,'Arbitrage Payback Engine'!$X$2:$X$6,FALSE)),-1)))</f>
        <v>25</v>
      </c>
      <c r="V129" s="32">
        <f t="shared" si="32"/>
        <v>15</v>
      </c>
      <c r="X129" s="29">
        <f t="shared" si="33"/>
        <v>120</v>
      </c>
      <c r="Z129" s="30">
        <f t="shared" si="24"/>
        <v>3.2872209286399121</v>
      </c>
      <c r="AA129" s="28" t="e">
        <f t="shared" si="25"/>
        <v>#N/A</v>
      </c>
      <c r="AB129" s="28" t="e">
        <f t="shared" si="26"/>
        <v>#VALUE!</v>
      </c>
      <c r="AC129" s="29">
        <f t="shared" si="27"/>
        <v>113.85199240986717</v>
      </c>
      <c r="AD129" s="28" t="e">
        <f t="shared" si="28"/>
        <v>#VALUE!</v>
      </c>
      <c r="AE129" s="28" t="e">
        <f t="shared" si="29"/>
        <v>#N/A</v>
      </c>
      <c r="AF129" s="28" t="e">
        <f t="shared" si="30"/>
        <v>#VALUE!</v>
      </c>
      <c r="AH129" s="31" t="e">
        <f t="shared" si="31"/>
        <v>#N/A</v>
      </c>
      <c r="AI129" s="25"/>
      <c r="AJ129" s="31"/>
    </row>
    <row r="130" spans="2:36" x14ac:dyDescent="0.25">
      <c r="B130" s="33">
        <f>'Arbitrage Payback Engine'!E130</f>
        <v>3.3146144363785783</v>
      </c>
      <c r="C130" s="33">
        <f t="shared" si="17"/>
        <v>1000</v>
      </c>
      <c r="D130" s="33">
        <f>'Battery Pricing Model'!$C$17</f>
        <v>1000</v>
      </c>
      <c r="E130" s="33">
        <f t="shared" si="18"/>
        <v>999</v>
      </c>
      <c r="F130" s="33" t="str">
        <f>'Peak Models'!$B$4</f>
        <v>Default</v>
      </c>
      <c r="G130" s="33" t="e">
        <f>'Peak Models'!$Q$7</f>
        <v>#VALUE!</v>
      </c>
      <c r="H130" s="33">
        <f>'Peak Models'!$P$16</f>
        <v>1.5</v>
      </c>
      <c r="I130" s="33">
        <v>12</v>
      </c>
      <c r="J130" s="33" t="e">
        <f>'Peak Models'!$P$13</f>
        <v>#N/A</v>
      </c>
      <c r="K130" s="28" t="e">
        <f t="shared" si="19"/>
        <v>#VALUE!</v>
      </c>
      <c r="L130" s="28" t="e">
        <f>INDEX('Peak Models'!$P$34:$P$64, MATCH(TRUNC(B130, 0), 'Peak Models'!$O$34:$O$64, 0))</f>
        <v>#N/A</v>
      </c>
      <c r="M130" s="28">
        <f>'Peak Models'!$P$15*INDEX('Peak Models'!$Q$34:$Q$64, MATCH(TRUNC(B130, 0),'Peak Models'!$O$34:$O$64, 0))/'Profit per cycles Model'!$E$78</f>
        <v>5.0677205882352938</v>
      </c>
      <c r="N130" s="28" t="e">
        <f t="shared" si="20"/>
        <v>#N/A</v>
      </c>
      <c r="O130" s="71" t="e">
        <f>AVERAGE($N$10:N130)</f>
        <v>#N/A</v>
      </c>
      <c r="P130" s="28" t="e">
        <f t="shared" si="21"/>
        <v>#N/A</v>
      </c>
      <c r="R130" s="28" t="e">
        <f t="shared" si="22"/>
        <v>#VALUE!</v>
      </c>
      <c r="S130" s="25"/>
      <c r="T130" s="25">
        <f t="shared" si="23"/>
        <v>15</v>
      </c>
      <c r="U130" s="33">
        <f>IF(PaybackCustom&gt;0, IF(PaybackCustom&lt;&gt;"Default", PaybackCustom, IF(PaybackStatus&lt;&gt;"",INDEX('Arbitrage Payback Engine'!$Y$2:$Y$6,MATCH(PaybackStatus,'Arbitrage Payback Engine'!$X$2:$X$6,FALSE)),-1)))</f>
        <v>25</v>
      </c>
      <c r="V130" s="32">
        <f t="shared" si="32"/>
        <v>15</v>
      </c>
      <c r="X130" s="29">
        <f t="shared" si="33"/>
        <v>121</v>
      </c>
      <c r="Z130" s="30">
        <f t="shared" si="24"/>
        <v>3.3146144363785783</v>
      </c>
      <c r="AA130" s="28" t="e">
        <f t="shared" si="25"/>
        <v>#N/A</v>
      </c>
      <c r="AB130" s="28" t="e">
        <f t="shared" si="26"/>
        <v>#VALUE!</v>
      </c>
      <c r="AC130" s="29">
        <f t="shared" si="27"/>
        <v>114.80075901328274</v>
      </c>
      <c r="AD130" s="28" t="e">
        <f t="shared" si="28"/>
        <v>#VALUE!</v>
      </c>
      <c r="AE130" s="28" t="e">
        <f t="shared" si="29"/>
        <v>#N/A</v>
      </c>
      <c r="AF130" s="28" t="e">
        <f t="shared" si="30"/>
        <v>#VALUE!</v>
      </c>
      <c r="AH130" s="31" t="e">
        <f t="shared" si="31"/>
        <v>#N/A</v>
      </c>
      <c r="AI130" s="25"/>
      <c r="AJ130" s="31"/>
    </row>
    <row r="131" spans="2:36" x14ac:dyDescent="0.25">
      <c r="B131" s="33">
        <f>'Arbitrage Payback Engine'!E131</f>
        <v>3.3420079441172441</v>
      </c>
      <c r="C131" s="33">
        <f t="shared" si="17"/>
        <v>1000</v>
      </c>
      <c r="D131" s="33">
        <f>'Battery Pricing Model'!$C$17</f>
        <v>1000</v>
      </c>
      <c r="E131" s="33">
        <f t="shared" si="18"/>
        <v>999</v>
      </c>
      <c r="F131" s="33" t="str">
        <f>'Peak Models'!$B$4</f>
        <v>Default</v>
      </c>
      <c r="G131" s="33" t="e">
        <f>'Peak Models'!$Q$7</f>
        <v>#VALUE!</v>
      </c>
      <c r="H131" s="33">
        <f>'Peak Models'!$P$16</f>
        <v>1.5</v>
      </c>
      <c r="I131" s="33">
        <v>12</v>
      </c>
      <c r="J131" s="33" t="e">
        <f>'Peak Models'!$P$13</f>
        <v>#N/A</v>
      </c>
      <c r="K131" s="28" t="e">
        <f t="shared" si="19"/>
        <v>#VALUE!</v>
      </c>
      <c r="L131" s="28" t="e">
        <f>INDEX('Peak Models'!$P$34:$P$64, MATCH(TRUNC(B131, 0), 'Peak Models'!$O$34:$O$64, 0))</f>
        <v>#N/A</v>
      </c>
      <c r="M131" s="28">
        <f>'Peak Models'!$P$15*INDEX('Peak Models'!$Q$34:$Q$64, MATCH(TRUNC(B131, 0),'Peak Models'!$O$34:$O$64, 0))/'Profit per cycles Model'!$E$78</f>
        <v>5.0677205882352938</v>
      </c>
      <c r="N131" s="28" t="e">
        <f t="shared" si="20"/>
        <v>#N/A</v>
      </c>
      <c r="O131" s="71" t="e">
        <f>AVERAGE($N$10:N131)</f>
        <v>#N/A</v>
      </c>
      <c r="P131" s="28" t="e">
        <f t="shared" si="21"/>
        <v>#N/A</v>
      </c>
      <c r="R131" s="28" t="e">
        <f t="shared" si="22"/>
        <v>#VALUE!</v>
      </c>
      <c r="S131" s="25"/>
      <c r="T131" s="25">
        <f t="shared" si="23"/>
        <v>15</v>
      </c>
      <c r="U131" s="33">
        <f>IF(PaybackCustom&gt;0, IF(PaybackCustom&lt;&gt;"Default", PaybackCustom, IF(PaybackStatus&lt;&gt;"",INDEX('Arbitrage Payback Engine'!$Y$2:$Y$6,MATCH(PaybackStatus,'Arbitrage Payback Engine'!$X$2:$X$6,FALSE)),-1)))</f>
        <v>25</v>
      </c>
      <c r="V131" s="32">
        <f t="shared" si="32"/>
        <v>15</v>
      </c>
      <c r="X131" s="29">
        <f t="shared" si="33"/>
        <v>122</v>
      </c>
      <c r="Z131" s="30">
        <f t="shared" si="24"/>
        <v>3.3420079441172441</v>
      </c>
      <c r="AA131" s="28" t="e">
        <f t="shared" si="25"/>
        <v>#N/A</v>
      </c>
      <c r="AB131" s="28" t="e">
        <f t="shared" si="26"/>
        <v>#VALUE!</v>
      </c>
      <c r="AC131" s="29">
        <f t="shared" si="27"/>
        <v>115.74952561669831</v>
      </c>
      <c r="AD131" s="28" t="e">
        <f t="shared" si="28"/>
        <v>#VALUE!</v>
      </c>
      <c r="AE131" s="28" t="e">
        <f t="shared" si="29"/>
        <v>#N/A</v>
      </c>
      <c r="AF131" s="28" t="e">
        <f t="shared" si="30"/>
        <v>#VALUE!</v>
      </c>
      <c r="AH131" s="31" t="e">
        <f t="shared" si="31"/>
        <v>#N/A</v>
      </c>
      <c r="AI131" s="25"/>
      <c r="AJ131" s="31"/>
    </row>
    <row r="132" spans="2:36" x14ac:dyDescent="0.25">
      <c r="B132" s="33">
        <f>'Arbitrage Payback Engine'!E132</f>
        <v>3.3694014518559099</v>
      </c>
      <c r="C132" s="33">
        <f t="shared" si="17"/>
        <v>1000</v>
      </c>
      <c r="D132" s="33">
        <f>'Battery Pricing Model'!$C$17</f>
        <v>1000</v>
      </c>
      <c r="E132" s="33">
        <f t="shared" si="18"/>
        <v>999</v>
      </c>
      <c r="F132" s="33" t="str">
        <f>'Peak Models'!$B$4</f>
        <v>Default</v>
      </c>
      <c r="G132" s="33" t="e">
        <f>'Peak Models'!$Q$7</f>
        <v>#VALUE!</v>
      </c>
      <c r="H132" s="33">
        <f>'Peak Models'!$P$16</f>
        <v>1.5</v>
      </c>
      <c r="I132" s="33">
        <v>12</v>
      </c>
      <c r="J132" s="33" t="e">
        <f>'Peak Models'!$P$13</f>
        <v>#N/A</v>
      </c>
      <c r="K132" s="28" t="e">
        <f t="shared" si="19"/>
        <v>#VALUE!</v>
      </c>
      <c r="L132" s="28" t="e">
        <f>INDEX('Peak Models'!$P$34:$P$64, MATCH(TRUNC(B132, 0), 'Peak Models'!$O$34:$O$64, 0))</f>
        <v>#N/A</v>
      </c>
      <c r="M132" s="28">
        <f>'Peak Models'!$P$15*INDEX('Peak Models'!$Q$34:$Q$64, MATCH(TRUNC(B132, 0),'Peak Models'!$O$34:$O$64, 0))/'Profit per cycles Model'!$E$78</f>
        <v>5.0677205882352938</v>
      </c>
      <c r="N132" s="28" t="e">
        <f t="shared" si="20"/>
        <v>#N/A</v>
      </c>
      <c r="O132" s="71" t="e">
        <f>AVERAGE($N$10:N132)</f>
        <v>#N/A</v>
      </c>
      <c r="P132" s="28" t="e">
        <f t="shared" si="21"/>
        <v>#N/A</v>
      </c>
      <c r="R132" s="28" t="e">
        <f t="shared" si="22"/>
        <v>#VALUE!</v>
      </c>
      <c r="S132" s="25"/>
      <c r="T132" s="25">
        <f t="shared" si="23"/>
        <v>15</v>
      </c>
      <c r="U132" s="33">
        <f>IF(PaybackCustom&gt;0, IF(PaybackCustom&lt;&gt;"Default", PaybackCustom, IF(PaybackStatus&lt;&gt;"",INDEX('Arbitrage Payback Engine'!$Y$2:$Y$6,MATCH(PaybackStatus,'Arbitrage Payback Engine'!$X$2:$X$6,FALSE)),-1)))</f>
        <v>25</v>
      </c>
      <c r="V132" s="32">
        <f t="shared" si="32"/>
        <v>15</v>
      </c>
      <c r="X132" s="29">
        <f t="shared" si="33"/>
        <v>123</v>
      </c>
      <c r="Z132" s="30">
        <f t="shared" si="24"/>
        <v>3.3694014518559099</v>
      </c>
      <c r="AA132" s="28" t="e">
        <f t="shared" si="25"/>
        <v>#N/A</v>
      </c>
      <c r="AB132" s="28" t="e">
        <f t="shared" si="26"/>
        <v>#VALUE!</v>
      </c>
      <c r="AC132" s="29">
        <f t="shared" si="27"/>
        <v>116.69829222011384</v>
      </c>
      <c r="AD132" s="28" t="e">
        <f t="shared" si="28"/>
        <v>#VALUE!</v>
      </c>
      <c r="AE132" s="28" t="e">
        <f t="shared" si="29"/>
        <v>#N/A</v>
      </c>
      <c r="AF132" s="28" t="e">
        <f t="shared" si="30"/>
        <v>#VALUE!</v>
      </c>
      <c r="AH132" s="31" t="e">
        <f t="shared" si="31"/>
        <v>#N/A</v>
      </c>
      <c r="AI132" s="25"/>
      <c r="AJ132" s="31"/>
    </row>
    <row r="133" spans="2:36" x14ac:dyDescent="0.25">
      <c r="B133" s="33">
        <f>'Arbitrage Payback Engine'!E133</f>
        <v>3.3967949595945761</v>
      </c>
      <c r="C133" s="33">
        <f t="shared" si="17"/>
        <v>1000</v>
      </c>
      <c r="D133" s="33">
        <f>'Battery Pricing Model'!$C$17</f>
        <v>1000</v>
      </c>
      <c r="E133" s="33">
        <f t="shared" si="18"/>
        <v>999</v>
      </c>
      <c r="F133" s="33" t="str">
        <f>'Peak Models'!$B$4</f>
        <v>Default</v>
      </c>
      <c r="G133" s="33" t="e">
        <f>'Peak Models'!$Q$7</f>
        <v>#VALUE!</v>
      </c>
      <c r="H133" s="33">
        <f>'Peak Models'!$P$16</f>
        <v>1.5</v>
      </c>
      <c r="I133" s="33">
        <v>12</v>
      </c>
      <c r="J133" s="33" t="e">
        <f>'Peak Models'!$P$13</f>
        <v>#N/A</v>
      </c>
      <c r="K133" s="28" t="e">
        <f t="shared" si="19"/>
        <v>#VALUE!</v>
      </c>
      <c r="L133" s="28" t="e">
        <f>INDEX('Peak Models'!$P$34:$P$64, MATCH(TRUNC(B133, 0), 'Peak Models'!$O$34:$O$64, 0))</f>
        <v>#N/A</v>
      </c>
      <c r="M133" s="28">
        <f>'Peak Models'!$P$15*INDEX('Peak Models'!$Q$34:$Q$64, MATCH(TRUNC(B133, 0),'Peak Models'!$O$34:$O$64, 0))/'Profit per cycles Model'!$E$78</f>
        <v>5.0677205882352938</v>
      </c>
      <c r="N133" s="28" t="e">
        <f t="shared" si="20"/>
        <v>#N/A</v>
      </c>
      <c r="O133" s="71" t="e">
        <f>AVERAGE($N$10:N133)</f>
        <v>#N/A</v>
      </c>
      <c r="P133" s="28" t="e">
        <f t="shared" si="21"/>
        <v>#N/A</v>
      </c>
      <c r="R133" s="28" t="e">
        <f t="shared" si="22"/>
        <v>#VALUE!</v>
      </c>
      <c r="S133" s="25"/>
      <c r="T133" s="25">
        <f t="shared" si="23"/>
        <v>15</v>
      </c>
      <c r="U133" s="33">
        <f>IF(PaybackCustom&gt;0, IF(PaybackCustom&lt;&gt;"Default", PaybackCustom, IF(PaybackStatus&lt;&gt;"",INDEX('Arbitrage Payback Engine'!$Y$2:$Y$6,MATCH(PaybackStatus,'Arbitrage Payback Engine'!$X$2:$X$6,FALSE)),-1)))</f>
        <v>25</v>
      </c>
      <c r="V133" s="32">
        <f t="shared" si="32"/>
        <v>15</v>
      </c>
      <c r="X133" s="29">
        <f t="shared" si="33"/>
        <v>124</v>
      </c>
      <c r="Z133" s="30">
        <f t="shared" si="24"/>
        <v>3.3967949595945761</v>
      </c>
      <c r="AA133" s="28" t="e">
        <f t="shared" si="25"/>
        <v>#N/A</v>
      </c>
      <c r="AB133" s="28" t="e">
        <f t="shared" si="26"/>
        <v>#VALUE!</v>
      </c>
      <c r="AC133" s="29">
        <f t="shared" si="27"/>
        <v>117.64705882352942</v>
      </c>
      <c r="AD133" s="28" t="e">
        <f t="shared" si="28"/>
        <v>#VALUE!</v>
      </c>
      <c r="AE133" s="28" t="e">
        <f t="shared" si="29"/>
        <v>#N/A</v>
      </c>
      <c r="AF133" s="28" t="e">
        <f t="shared" si="30"/>
        <v>#VALUE!</v>
      </c>
      <c r="AH133" s="31" t="e">
        <f t="shared" si="31"/>
        <v>#N/A</v>
      </c>
      <c r="AI133" s="25"/>
      <c r="AJ133" s="31"/>
    </row>
    <row r="134" spans="2:36" x14ac:dyDescent="0.25">
      <c r="B134" s="33">
        <f>'Arbitrage Payback Engine'!E134</f>
        <v>3.4241884673332419</v>
      </c>
      <c r="C134" s="33">
        <f t="shared" si="17"/>
        <v>1000</v>
      </c>
      <c r="D134" s="33">
        <f>'Battery Pricing Model'!$C$17</f>
        <v>1000</v>
      </c>
      <c r="E134" s="33">
        <f t="shared" si="18"/>
        <v>999</v>
      </c>
      <c r="F134" s="33" t="str">
        <f>'Peak Models'!$B$4</f>
        <v>Default</v>
      </c>
      <c r="G134" s="33" t="e">
        <f>'Peak Models'!$Q$7</f>
        <v>#VALUE!</v>
      </c>
      <c r="H134" s="33">
        <f>'Peak Models'!$P$16</f>
        <v>1.5</v>
      </c>
      <c r="I134" s="33">
        <v>12</v>
      </c>
      <c r="J134" s="33" t="e">
        <f>'Peak Models'!$P$13</f>
        <v>#N/A</v>
      </c>
      <c r="K134" s="28" t="e">
        <f t="shared" si="19"/>
        <v>#VALUE!</v>
      </c>
      <c r="L134" s="28" t="e">
        <f>INDEX('Peak Models'!$P$34:$P$64, MATCH(TRUNC(B134, 0), 'Peak Models'!$O$34:$O$64, 0))</f>
        <v>#N/A</v>
      </c>
      <c r="M134" s="28">
        <f>'Peak Models'!$P$15*INDEX('Peak Models'!$Q$34:$Q$64, MATCH(TRUNC(B134, 0),'Peak Models'!$O$34:$O$64, 0))/'Profit per cycles Model'!$E$78</f>
        <v>5.0677205882352938</v>
      </c>
      <c r="N134" s="28" t="e">
        <f t="shared" si="20"/>
        <v>#N/A</v>
      </c>
      <c r="O134" s="71" t="e">
        <f>AVERAGE($N$10:N134)</f>
        <v>#N/A</v>
      </c>
      <c r="P134" s="28" t="e">
        <f t="shared" si="21"/>
        <v>#N/A</v>
      </c>
      <c r="R134" s="28" t="e">
        <f t="shared" si="22"/>
        <v>#VALUE!</v>
      </c>
      <c r="S134" s="25"/>
      <c r="T134" s="25">
        <f t="shared" si="23"/>
        <v>15</v>
      </c>
      <c r="U134" s="33">
        <f>IF(PaybackCustom&gt;0, IF(PaybackCustom&lt;&gt;"Default", PaybackCustom, IF(PaybackStatus&lt;&gt;"",INDEX('Arbitrage Payback Engine'!$Y$2:$Y$6,MATCH(PaybackStatus,'Arbitrage Payback Engine'!$X$2:$X$6,FALSE)),-1)))</f>
        <v>25</v>
      </c>
      <c r="V134" s="32">
        <f t="shared" si="32"/>
        <v>15</v>
      </c>
      <c r="X134" s="29">
        <f t="shared" si="33"/>
        <v>125</v>
      </c>
      <c r="Z134" s="30">
        <f t="shared" si="24"/>
        <v>3.4241884673332419</v>
      </c>
      <c r="AA134" s="28" t="e">
        <f t="shared" si="25"/>
        <v>#N/A</v>
      </c>
      <c r="AB134" s="28" t="e">
        <f t="shared" si="26"/>
        <v>#VALUE!</v>
      </c>
      <c r="AC134" s="29">
        <f t="shared" si="27"/>
        <v>118.59582542694497</v>
      </c>
      <c r="AD134" s="28" t="e">
        <f t="shared" si="28"/>
        <v>#VALUE!</v>
      </c>
      <c r="AE134" s="28" t="e">
        <f t="shared" si="29"/>
        <v>#N/A</v>
      </c>
      <c r="AF134" s="28" t="e">
        <f t="shared" si="30"/>
        <v>#VALUE!</v>
      </c>
      <c r="AH134" s="31" t="e">
        <f t="shared" si="31"/>
        <v>#N/A</v>
      </c>
      <c r="AI134" s="25"/>
      <c r="AJ134" s="31"/>
    </row>
    <row r="135" spans="2:36" x14ac:dyDescent="0.25">
      <c r="B135" s="33">
        <f>'Arbitrage Payback Engine'!E135</f>
        <v>3.4515819750719077</v>
      </c>
      <c r="C135" s="33">
        <f t="shared" si="17"/>
        <v>1000</v>
      </c>
      <c r="D135" s="33">
        <f>'Battery Pricing Model'!$C$17</f>
        <v>1000</v>
      </c>
      <c r="E135" s="33">
        <f t="shared" si="18"/>
        <v>999</v>
      </c>
      <c r="F135" s="33" t="str">
        <f>'Peak Models'!$B$4</f>
        <v>Default</v>
      </c>
      <c r="G135" s="33" t="e">
        <f>'Peak Models'!$Q$7</f>
        <v>#VALUE!</v>
      </c>
      <c r="H135" s="33">
        <f>'Peak Models'!$P$16</f>
        <v>1.5</v>
      </c>
      <c r="I135" s="33">
        <v>12</v>
      </c>
      <c r="J135" s="33" t="e">
        <f>'Peak Models'!$P$13</f>
        <v>#N/A</v>
      </c>
      <c r="K135" s="28" t="e">
        <f t="shared" si="19"/>
        <v>#VALUE!</v>
      </c>
      <c r="L135" s="28" t="e">
        <f>INDEX('Peak Models'!$P$34:$P$64, MATCH(TRUNC(B135, 0), 'Peak Models'!$O$34:$O$64, 0))</f>
        <v>#N/A</v>
      </c>
      <c r="M135" s="28">
        <f>'Peak Models'!$P$15*INDEX('Peak Models'!$Q$34:$Q$64, MATCH(TRUNC(B135, 0),'Peak Models'!$O$34:$O$64, 0))/'Profit per cycles Model'!$E$78</f>
        <v>5.0677205882352938</v>
      </c>
      <c r="N135" s="28" t="e">
        <f t="shared" si="20"/>
        <v>#N/A</v>
      </c>
      <c r="O135" s="71" t="e">
        <f>AVERAGE($N$10:N135)</f>
        <v>#N/A</v>
      </c>
      <c r="P135" s="28" t="e">
        <f t="shared" si="21"/>
        <v>#N/A</v>
      </c>
      <c r="R135" s="28" t="e">
        <f t="shared" si="22"/>
        <v>#VALUE!</v>
      </c>
      <c r="S135" s="25"/>
      <c r="T135" s="25">
        <f t="shared" si="23"/>
        <v>15</v>
      </c>
      <c r="U135" s="33">
        <f>IF(PaybackCustom&gt;0, IF(PaybackCustom&lt;&gt;"Default", PaybackCustom, IF(PaybackStatus&lt;&gt;"",INDEX('Arbitrage Payback Engine'!$Y$2:$Y$6,MATCH(PaybackStatus,'Arbitrage Payback Engine'!$X$2:$X$6,FALSE)),-1)))</f>
        <v>25</v>
      </c>
      <c r="V135" s="32">
        <f t="shared" si="32"/>
        <v>15</v>
      </c>
      <c r="X135" s="29">
        <f t="shared" si="33"/>
        <v>126</v>
      </c>
      <c r="Z135" s="30">
        <f t="shared" si="24"/>
        <v>3.4515819750719077</v>
      </c>
      <c r="AA135" s="28" t="e">
        <f t="shared" si="25"/>
        <v>#N/A</v>
      </c>
      <c r="AB135" s="28" t="e">
        <f t="shared" si="26"/>
        <v>#VALUE!</v>
      </c>
      <c r="AC135" s="29">
        <f t="shared" si="27"/>
        <v>119.54459203036053</v>
      </c>
      <c r="AD135" s="28" t="e">
        <f t="shared" si="28"/>
        <v>#VALUE!</v>
      </c>
      <c r="AE135" s="28" t="e">
        <f t="shared" si="29"/>
        <v>#N/A</v>
      </c>
      <c r="AF135" s="28" t="e">
        <f t="shared" si="30"/>
        <v>#VALUE!</v>
      </c>
      <c r="AH135" s="31" t="e">
        <f t="shared" si="31"/>
        <v>#N/A</v>
      </c>
      <c r="AI135" s="25"/>
      <c r="AJ135" s="31"/>
    </row>
    <row r="136" spans="2:36" x14ac:dyDescent="0.25">
      <c r="B136" s="33">
        <f>'Arbitrage Payback Engine'!E136</f>
        <v>3.4789754828105739</v>
      </c>
      <c r="C136" s="33">
        <f t="shared" si="17"/>
        <v>1000</v>
      </c>
      <c r="D136" s="33">
        <f>'Battery Pricing Model'!$C$17</f>
        <v>1000</v>
      </c>
      <c r="E136" s="33">
        <f t="shared" si="18"/>
        <v>999</v>
      </c>
      <c r="F136" s="33" t="str">
        <f>'Peak Models'!$B$4</f>
        <v>Default</v>
      </c>
      <c r="G136" s="33" t="e">
        <f>'Peak Models'!$Q$7</f>
        <v>#VALUE!</v>
      </c>
      <c r="H136" s="33">
        <f>'Peak Models'!$P$16</f>
        <v>1.5</v>
      </c>
      <c r="I136" s="33">
        <v>12</v>
      </c>
      <c r="J136" s="33" t="e">
        <f>'Peak Models'!$P$13</f>
        <v>#N/A</v>
      </c>
      <c r="K136" s="28" t="e">
        <f t="shared" si="19"/>
        <v>#VALUE!</v>
      </c>
      <c r="L136" s="28" t="e">
        <f>INDEX('Peak Models'!$P$34:$P$64, MATCH(TRUNC(B136, 0), 'Peak Models'!$O$34:$O$64, 0))</f>
        <v>#N/A</v>
      </c>
      <c r="M136" s="28">
        <f>'Peak Models'!$P$15*INDEX('Peak Models'!$Q$34:$Q$64, MATCH(TRUNC(B136, 0),'Peak Models'!$O$34:$O$64, 0))/'Profit per cycles Model'!$E$78</f>
        <v>5.0677205882352938</v>
      </c>
      <c r="N136" s="28" t="e">
        <f t="shared" si="20"/>
        <v>#N/A</v>
      </c>
      <c r="O136" s="71" t="e">
        <f>AVERAGE($N$10:N136)</f>
        <v>#N/A</v>
      </c>
      <c r="P136" s="28" t="e">
        <f t="shared" si="21"/>
        <v>#N/A</v>
      </c>
      <c r="R136" s="28" t="e">
        <f t="shared" si="22"/>
        <v>#VALUE!</v>
      </c>
      <c r="S136" s="25"/>
      <c r="T136" s="25">
        <f t="shared" si="23"/>
        <v>15</v>
      </c>
      <c r="U136" s="33">
        <f>IF(PaybackCustom&gt;0, IF(PaybackCustom&lt;&gt;"Default", PaybackCustom, IF(PaybackStatus&lt;&gt;"",INDEX('Arbitrage Payback Engine'!$Y$2:$Y$6,MATCH(PaybackStatus,'Arbitrage Payback Engine'!$X$2:$X$6,FALSE)),-1)))</f>
        <v>25</v>
      </c>
      <c r="V136" s="32">
        <f t="shared" si="32"/>
        <v>15</v>
      </c>
      <c r="X136" s="29">
        <f t="shared" si="33"/>
        <v>127</v>
      </c>
      <c r="Z136" s="30">
        <f t="shared" si="24"/>
        <v>3.4789754828105739</v>
      </c>
      <c r="AA136" s="28" t="e">
        <f t="shared" si="25"/>
        <v>#N/A</v>
      </c>
      <c r="AB136" s="28" t="e">
        <f t="shared" si="26"/>
        <v>#VALUE!</v>
      </c>
      <c r="AC136" s="29">
        <f t="shared" si="27"/>
        <v>120.4933586337761</v>
      </c>
      <c r="AD136" s="28" t="e">
        <f t="shared" si="28"/>
        <v>#VALUE!</v>
      </c>
      <c r="AE136" s="28" t="e">
        <f t="shared" si="29"/>
        <v>#N/A</v>
      </c>
      <c r="AF136" s="28" t="e">
        <f t="shared" si="30"/>
        <v>#VALUE!</v>
      </c>
      <c r="AH136" s="31" t="e">
        <f t="shared" si="31"/>
        <v>#N/A</v>
      </c>
      <c r="AI136" s="25"/>
      <c r="AJ136" s="31"/>
    </row>
    <row r="137" spans="2:36" x14ac:dyDescent="0.25">
      <c r="B137" s="33">
        <f>'Arbitrage Payback Engine'!E137</f>
        <v>3.5063689905492397</v>
      </c>
      <c r="C137" s="33">
        <f t="shared" si="17"/>
        <v>1000</v>
      </c>
      <c r="D137" s="33">
        <f>'Battery Pricing Model'!$C$17</f>
        <v>1000</v>
      </c>
      <c r="E137" s="33">
        <f t="shared" si="18"/>
        <v>999</v>
      </c>
      <c r="F137" s="33" t="str">
        <f>'Peak Models'!$B$4</f>
        <v>Default</v>
      </c>
      <c r="G137" s="33" t="e">
        <f>'Peak Models'!$Q$7</f>
        <v>#VALUE!</v>
      </c>
      <c r="H137" s="33">
        <f>'Peak Models'!$P$16</f>
        <v>1.5</v>
      </c>
      <c r="I137" s="33">
        <v>12</v>
      </c>
      <c r="J137" s="33" t="e">
        <f>'Peak Models'!$P$13</f>
        <v>#N/A</v>
      </c>
      <c r="K137" s="28" t="e">
        <f t="shared" si="19"/>
        <v>#VALUE!</v>
      </c>
      <c r="L137" s="28" t="e">
        <f>INDEX('Peak Models'!$P$34:$P$64, MATCH(TRUNC(B137, 0), 'Peak Models'!$O$34:$O$64, 0))</f>
        <v>#N/A</v>
      </c>
      <c r="M137" s="28">
        <f>'Peak Models'!$P$15*INDEX('Peak Models'!$Q$34:$Q$64, MATCH(TRUNC(B137, 0),'Peak Models'!$O$34:$O$64, 0))/'Profit per cycles Model'!$E$78</f>
        <v>5.0677205882352938</v>
      </c>
      <c r="N137" s="28" t="e">
        <f t="shared" si="20"/>
        <v>#N/A</v>
      </c>
      <c r="O137" s="71" t="e">
        <f>AVERAGE($N$10:N137)</f>
        <v>#N/A</v>
      </c>
      <c r="P137" s="28" t="e">
        <f t="shared" si="21"/>
        <v>#N/A</v>
      </c>
      <c r="R137" s="28" t="e">
        <f t="shared" si="22"/>
        <v>#VALUE!</v>
      </c>
      <c r="S137" s="25"/>
      <c r="T137" s="25">
        <f t="shared" si="23"/>
        <v>15</v>
      </c>
      <c r="U137" s="33">
        <f>IF(PaybackCustom&gt;0, IF(PaybackCustom&lt;&gt;"Default", PaybackCustom, IF(PaybackStatus&lt;&gt;"",INDEX('Arbitrage Payback Engine'!$Y$2:$Y$6,MATCH(PaybackStatus,'Arbitrage Payback Engine'!$X$2:$X$6,FALSE)),-1)))</f>
        <v>25</v>
      </c>
      <c r="V137" s="32">
        <f t="shared" si="32"/>
        <v>15</v>
      </c>
      <c r="X137" s="29">
        <f t="shared" si="33"/>
        <v>128</v>
      </c>
      <c r="Z137" s="30">
        <f t="shared" si="24"/>
        <v>3.5063689905492397</v>
      </c>
      <c r="AA137" s="28" t="e">
        <f t="shared" si="25"/>
        <v>#N/A</v>
      </c>
      <c r="AB137" s="28" t="e">
        <f t="shared" si="26"/>
        <v>#VALUE!</v>
      </c>
      <c r="AC137" s="29">
        <f t="shared" si="27"/>
        <v>121.44212523719165</v>
      </c>
      <c r="AD137" s="28" t="e">
        <f t="shared" si="28"/>
        <v>#VALUE!</v>
      </c>
      <c r="AE137" s="28" t="e">
        <f t="shared" si="29"/>
        <v>#N/A</v>
      </c>
      <c r="AF137" s="28" t="e">
        <f t="shared" si="30"/>
        <v>#VALUE!</v>
      </c>
      <c r="AH137" s="31" t="e">
        <f t="shared" si="31"/>
        <v>#N/A</v>
      </c>
      <c r="AI137" s="25"/>
      <c r="AJ137" s="31"/>
    </row>
    <row r="138" spans="2:36" x14ac:dyDescent="0.25">
      <c r="B138" s="33">
        <f>'Arbitrage Payback Engine'!E138</f>
        <v>3.5337624982879055</v>
      </c>
      <c r="C138" s="33">
        <f t="shared" ref="C138:C201" si="34">IF(OR($E$6="None", $E$6=0), D138, E138)</f>
        <v>1000</v>
      </c>
      <c r="D138" s="33">
        <f>'Battery Pricing Model'!$C$17</f>
        <v>1000</v>
      </c>
      <c r="E138" s="33">
        <f t="shared" ref="E138:E201" si="35">IF(OR($E$6="None", $E$6=0), 999, $D138*(E$6))</f>
        <v>999</v>
      </c>
      <c r="F138" s="33" t="str">
        <f>'Peak Models'!$B$4</f>
        <v>Default</v>
      </c>
      <c r="G138" s="33" t="e">
        <f>'Peak Models'!$Q$7</f>
        <v>#VALUE!</v>
      </c>
      <c r="H138" s="33">
        <f>'Peak Models'!$P$16</f>
        <v>1.5</v>
      </c>
      <c r="I138" s="33">
        <v>12</v>
      </c>
      <c r="J138" s="33" t="e">
        <f>'Peak Models'!$P$13</f>
        <v>#N/A</v>
      </c>
      <c r="K138" s="28" t="e">
        <f t="shared" ref="K138:K201" si="36">C138*G138/(H138*B138)</f>
        <v>#VALUE!</v>
      </c>
      <c r="L138" s="28" t="e">
        <f>INDEX('Peak Models'!$P$34:$P$64, MATCH(TRUNC(B138, 0), 'Peak Models'!$O$34:$O$64, 0))</f>
        <v>#N/A</v>
      </c>
      <c r="M138" s="28">
        <f>'Peak Models'!$P$15*INDEX('Peak Models'!$Q$34:$Q$64, MATCH(TRUNC(B138, 0),'Peak Models'!$O$34:$O$64, 0))/'Profit per cycles Model'!$E$78</f>
        <v>5.0677205882352938</v>
      </c>
      <c r="N138" s="28" t="e">
        <f t="shared" ref="N138:N201" si="37">L138-M138</f>
        <v>#N/A</v>
      </c>
      <c r="O138" s="71" t="e">
        <f>AVERAGE($N$10:N138)</f>
        <v>#N/A</v>
      </c>
      <c r="P138" s="28" t="e">
        <f t="shared" ref="P138:P201" si="38">IF(O138-K138&lt;0, 999, O138-K138)</f>
        <v>#N/A</v>
      </c>
      <c r="R138" s="28" t="e">
        <f t="shared" ref="R138:R201" si="39">IF(ISNA(INDEX($K$10:$K$1063,MATCH(T138,$B$10:$B$1063,1))),-1,INDEX($K$10:$K$1063,MATCH(T138,$B$10:$B$1063,1)))</f>
        <v>#VALUE!</v>
      </c>
      <c r="S138" s="25"/>
      <c r="T138" s="25">
        <f t="shared" ref="T138:T201" si="40">IF( AND(U138&gt;0, V138&gt;0), IF(U138&lt;V138, U138, V138),  IF(U138&gt;0, U138, IF(V138&gt;0, V138, -1)) )</f>
        <v>15</v>
      </c>
      <c r="U138" s="33">
        <f>IF(PaybackCustom&gt;0, IF(PaybackCustom&lt;&gt;"Default", PaybackCustom, IF(PaybackStatus&lt;&gt;"",INDEX('Arbitrage Payback Engine'!$Y$2:$Y$6,MATCH(PaybackStatus,'Arbitrage Payback Engine'!$X$2:$X$6,FALSE)),-1)))</f>
        <v>25</v>
      </c>
      <c r="V138" s="32">
        <f t="shared" si="32"/>
        <v>15</v>
      </c>
      <c r="X138" s="29">
        <f t="shared" si="33"/>
        <v>129</v>
      </c>
      <c r="Z138" s="30">
        <f t="shared" ref="Z138:Z201" si="41">B138</f>
        <v>3.5337624982879055</v>
      </c>
      <c r="AA138" s="28" t="e">
        <f t="shared" ref="AA138:AA201" si="42">N138</f>
        <v>#N/A</v>
      </c>
      <c r="AB138" s="28" t="e">
        <f t="shared" ref="AB138:AB201" si="43">R138</f>
        <v>#VALUE!</v>
      </c>
      <c r="AC138" s="29">
        <f t="shared" ref="AC138:AC201" si="44">$AB$2*(Z138-$AB$3)/($AB$4-$AB$3)</f>
        <v>122.39089184060721</v>
      </c>
      <c r="AD138" s="28" t="e">
        <f t="shared" ref="AD138:AD201" si="45">MIN(AB138, AA138)</f>
        <v>#VALUE!</v>
      </c>
      <c r="AE138" s="28" t="e">
        <f t="shared" ref="AE138:AE201" si="46">IF(AND(Z138&lt;T138, AA138&gt;AB138), AA138-AB138, 0)</f>
        <v>#N/A</v>
      </c>
      <c r="AF138" s="28" t="e">
        <f t="shared" ref="AF138:AF201" si="47">IF(AND(Z138&lt;T138, AB138&gt;AA138), AB138-AA138, 0)</f>
        <v>#VALUE!</v>
      </c>
      <c r="AH138" s="31" t="e">
        <f t="shared" ref="AH138:AH201" si="48">(O138-K138)/K138</f>
        <v>#N/A</v>
      </c>
      <c r="AI138" s="25"/>
      <c r="AJ138" s="31"/>
    </row>
    <row r="139" spans="2:36" x14ac:dyDescent="0.25">
      <c r="B139" s="33">
        <f>'Arbitrage Payback Engine'!E139</f>
        <v>3.5611560060265717</v>
      </c>
      <c r="C139" s="33">
        <f t="shared" si="34"/>
        <v>1000</v>
      </c>
      <c r="D139" s="33">
        <f>'Battery Pricing Model'!$C$17</f>
        <v>1000</v>
      </c>
      <c r="E139" s="33">
        <f t="shared" si="35"/>
        <v>999</v>
      </c>
      <c r="F139" s="33" t="str">
        <f>'Peak Models'!$B$4</f>
        <v>Default</v>
      </c>
      <c r="G139" s="33" t="e">
        <f>'Peak Models'!$Q$7</f>
        <v>#VALUE!</v>
      </c>
      <c r="H139" s="33">
        <f>'Peak Models'!$P$16</f>
        <v>1.5</v>
      </c>
      <c r="I139" s="33">
        <v>12</v>
      </c>
      <c r="J139" s="33" t="e">
        <f>'Peak Models'!$P$13</f>
        <v>#N/A</v>
      </c>
      <c r="K139" s="28" t="e">
        <f t="shared" si="36"/>
        <v>#VALUE!</v>
      </c>
      <c r="L139" s="28" t="e">
        <f>INDEX('Peak Models'!$P$34:$P$64, MATCH(TRUNC(B139, 0), 'Peak Models'!$O$34:$O$64, 0))</f>
        <v>#N/A</v>
      </c>
      <c r="M139" s="28">
        <f>'Peak Models'!$P$15*INDEX('Peak Models'!$Q$34:$Q$64, MATCH(TRUNC(B139, 0),'Peak Models'!$O$34:$O$64, 0))/'Profit per cycles Model'!$E$78</f>
        <v>5.0677205882352938</v>
      </c>
      <c r="N139" s="28" t="e">
        <f t="shared" si="37"/>
        <v>#N/A</v>
      </c>
      <c r="O139" s="71" t="e">
        <f>AVERAGE($N$10:N139)</f>
        <v>#N/A</v>
      </c>
      <c r="P139" s="28" t="e">
        <f t="shared" si="38"/>
        <v>#N/A</v>
      </c>
      <c r="R139" s="28" t="e">
        <f t="shared" si="39"/>
        <v>#VALUE!</v>
      </c>
      <c r="S139" s="25"/>
      <c r="T139" s="25">
        <f t="shared" si="40"/>
        <v>15</v>
      </c>
      <c r="U139" s="33">
        <f>IF(PaybackCustom&gt;0, IF(PaybackCustom&lt;&gt;"Default", PaybackCustom, IF(PaybackStatus&lt;&gt;"",INDEX('Arbitrage Payback Engine'!$Y$2:$Y$6,MATCH(PaybackStatus,'Arbitrage Payback Engine'!$X$2:$X$6,FALSE)),-1)))</f>
        <v>25</v>
      </c>
      <c r="V139" s="32">
        <f t="shared" ref="V139:V202" si="49">IF(ISNUMBER($L$5), $L$5, 15)</f>
        <v>15</v>
      </c>
      <c r="X139" s="29">
        <f t="shared" ref="X139:X202" si="50">X138+1</f>
        <v>130</v>
      </c>
      <c r="Z139" s="30">
        <f t="shared" si="41"/>
        <v>3.5611560060265717</v>
      </c>
      <c r="AA139" s="28" t="e">
        <f t="shared" si="42"/>
        <v>#N/A</v>
      </c>
      <c r="AB139" s="28" t="e">
        <f t="shared" si="43"/>
        <v>#VALUE!</v>
      </c>
      <c r="AC139" s="29">
        <f t="shared" si="44"/>
        <v>123.33965844402277</v>
      </c>
      <c r="AD139" s="28" t="e">
        <f t="shared" si="45"/>
        <v>#VALUE!</v>
      </c>
      <c r="AE139" s="28" t="e">
        <f t="shared" si="46"/>
        <v>#N/A</v>
      </c>
      <c r="AF139" s="28" t="e">
        <f t="shared" si="47"/>
        <v>#VALUE!</v>
      </c>
      <c r="AH139" s="31" t="e">
        <f t="shared" si="48"/>
        <v>#N/A</v>
      </c>
      <c r="AI139" s="25"/>
      <c r="AJ139" s="31"/>
    </row>
    <row r="140" spans="2:36" x14ac:dyDescent="0.25">
      <c r="B140" s="33">
        <f>'Arbitrage Payback Engine'!E140</f>
        <v>3.5885495137652375</v>
      </c>
      <c r="C140" s="33">
        <f t="shared" si="34"/>
        <v>1000</v>
      </c>
      <c r="D140" s="33">
        <f>'Battery Pricing Model'!$C$17</f>
        <v>1000</v>
      </c>
      <c r="E140" s="33">
        <f t="shared" si="35"/>
        <v>999</v>
      </c>
      <c r="F140" s="33" t="str">
        <f>'Peak Models'!$B$4</f>
        <v>Default</v>
      </c>
      <c r="G140" s="33" t="e">
        <f>'Peak Models'!$Q$7</f>
        <v>#VALUE!</v>
      </c>
      <c r="H140" s="33">
        <f>'Peak Models'!$P$16</f>
        <v>1.5</v>
      </c>
      <c r="I140" s="33">
        <v>12</v>
      </c>
      <c r="J140" s="33" t="e">
        <f>'Peak Models'!$P$13</f>
        <v>#N/A</v>
      </c>
      <c r="K140" s="28" t="e">
        <f t="shared" si="36"/>
        <v>#VALUE!</v>
      </c>
      <c r="L140" s="28" t="e">
        <f>INDEX('Peak Models'!$P$34:$P$64, MATCH(TRUNC(B140, 0), 'Peak Models'!$O$34:$O$64, 0))</f>
        <v>#N/A</v>
      </c>
      <c r="M140" s="28">
        <f>'Peak Models'!$P$15*INDEX('Peak Models'!$Q$34:$Q$64, MATCH(TRUNC(B140, 0),'Peak Models'!$O$34:$O$64, 0))/'Profit per cycles Model'!$E$78</f>
        <v>5.0677205882352938</v>
      </c>
      <c r="N140" s="28" t="e">
        <f t="shared" si="37"/>
        <v>#N/A</v>
      </c>
      <c r="O140" s="71" t="e">
        <f>AVERAGE($N$10:N140)</f>
        <v>#N/A</v>
      </c>
      <c r="P140" s="28" t="e">
        <f t="shared" si="38"/>
        <v>#N/A</v>
      </c>
      <c r="R140" s="28" t="e">
        <f t="shared" si="39"/>
        <v>#VALUE!</v>
      </c>
      <c r="S140" s="25"/>
      <c r="T140" s="25">
        <f t="shared" si="40"/>
        <v>15</v>
      </c>
      <c r="U140" s="33">
        <f>IF(PaybackCustom&gt;0, IF(PaybackCustom&lt;&gt;"Default", PaybackCustom, IF(PaybackStatus&lt;&gt;"",INDEX('Arbitrage Payback Engine'!$Y$2:$Y$6,MATCH(PaybackStatus,'Arbitrage Payback Engine'!$X$2:$X$6,FALSE)),-1)))</f>
        <v>25</v>
      </c>
      <c r="V140" s="32">
        <f t="shared" si="49"/>
        <v>15</v>
      </c>
      <c r="X140" s="29">
        <f t="shared" si="50"/>
        <v>131</v>
      </c>
      <c r="Z140" s="30">
        <f t="shared" si="41"/>
        <v>3.5885495137652375</v>
      </c>
      <c r="AA140" s="28" t="e">
        <f t="shared" si="42"/>
        <v>#N/A</v>
      </c>
      <c r="AB140" s="28" t="e">
        <f t="shared" si="43"/>
        <v>#VALUE!</v>
      </c>
      <c r="AC140" s="29">
        <f t="shared" si="44"/>
        <v>124.28842504743832</v>
      </c>
      <c r="AD140" s="28" t="e">
        <f t="shared" si="45"/>
        <v>#VALUE!</v>
      </c>
      <c r="AE140" s="28" t="e">
        <f t="shared" si="46"/>
        <v>#N/A</v>
      </c>
      <c r="AF140" s="28" t="e">
        <f t="shared" si="47"/>
        <v>#VALUE!</v>
      </c>
      <c r="AH140" s="31" t="e">
        <f t="shared" si="48"/>
        <v>#N/A</v>
      </c>
      <c r="AI140" s="25"/>
      <c r="AJ140" s="31"/>
    </row>
    <row r="141" spans="2:36" x14ac:dyDescent="0.25">
      <c r="B141" s="33">
        <f>'Arbitrage Payback Engine'!E141</f>
        <v>3.6159430215039037</v>
      </c>
      <c r="C141" s="33">
        <f t="shared" si="34"/>
        <v>1000</v>
      </c>
      <c r="D141" s="33">
        <f>'Battery Pricing Model'!$C$17</f>
        <v>1000</v>
      </c>
      <c r="E141" s="33">
        <f t="shared" si="35"/>
        <v>999</v>
      </c>
      <c r="F141" s="33" t="str">
        <f>'Peak Models'!$B$4</f>
        <v>Default</v>
      </c>
      <c r="G141" s="33" t="e">
        <f>'Peak Models'!$Q$7</f>
        <v>#VALUE!</v>
      </c>
      <c r="H141" s="33">
        <f>'Peak Models'!$P$16</f>
        <v>1.5</v>
      </c>
      <c r="I141" s="33">
        <v>12</v>
      </c>
      <c r="J141" s="33" t="e">
        <f>'Peak Models'!$P$13</f>
        <v>#N/A</v>
      </c>
      <c r="K141" s="28" t="e">
        <f t="shared" si="36"/>
        <v>#VALUE!</v>
      </c>
      <c r="L141" s="28" t="e">
        <f>INDEX('Peak Models'!$P$34:$P$64, MATCH(TRUNC(B141, 0), 'Peak Models'!$O$34:$O$64, 0))</f>
        <v>#N/A</v>
      </c>
      <c r="M141" s="28">
        <f>'Peak Models'!$P$15*INDEX('Peak Models'!$Q$34:$Q$64, MATCH(TRUNC(B141, 0),'Peak Models'!$O$34:$O$64, 0))/'Profit per cycles Model'!$E$78</f>
        <v>5.0677205882352938</v>
      </c>
      <c r="N141" s="28" t="e">
        <f t="shared" si="37"/>
        <v>#N/A</v>
      </c>
      <c r="O141" s="71" t="e">
        <f>AVERAGE($N$10:N141)</f>
        <v>#N/A</v>
      </c>
      <c r="P141" s="28" t="e">
        <f t="shared" si="38"/>
        <v>#N/A</v>
      </c>
      <c r="R141" s="28" t="e">
        <f t="shared" si="39"/>
        <v>#VALUE!</v>
      </c>
      <c r="S141" s="25"/>
      <c r="T141" s="25">
        <f t="shared" si="40"/>
        <v>15</v>
      </c>
      <c r="U141" s="33">
        <f>IF(PaybackCustom&gt;0, IF(PaybackCustom&lt;&gt;"Default", PaybackCustom, IF(PaybackStatus&lt;&gt;"",INDEX('Arbitrage Payback Engine'!$Y$2:$Y$6,MATCH(PaybackStatus,'Arbitrage Payback Engine'!$X$2:$X$6,FALSE)),-1)))</f>
        <v>25</v>
      </c>
      <c r="V141" s="32">
        <f t="shared" si="49"/>
        <v>15</v>
      </c>
      <c r="X141" s="29">
        <f t="shared" si="50"/>
        <v>132</v>
      </c>
      <c r="Z141" s="30">
        <f t="shared" si="41"/>
        <v>3.6159430215039037</v>
      </c>
      <c r="AA141" s="28" t="e">
        <f t="shared" si="42"/>
        <v>#N/A</v>
      </c>
      <c r="AB141" s="28" t="e">
        <f t="shared" si="43"/>
        <v>#VALUE!</v>
      </c>
      <c r="AC141" s="29">
        <f t="shared" si="44"/>
        <v>125.2371916508539</v>
      </c>
      <c r="AD141" s="28" t="e">
        <f t="shared" si="45"/>
        <v>#VALUE!</v>
      </c>
      <c r="AE141" s="28" t="e">
        <f t="shared" si="46"/>
        <v>#N/A</v>
      </c>
      <c r="AF141" s="28" t="e">
        <f t="shared" si="47"/>
        <v>#VALUE!</v>
      </c>
      <c r="AH141" s="31" t="e">
        <f t="shared" si="48"/>
        <v>#N/A</v>
      </c>
      <c r="AI141" s="25"/>
      <c r="AJ141" s="31"/>
    </row>
    <row r="142" spans="2:36" x14ac:dyDescent="0.25">
      <c r="B142" s="33">
        <f>'Arbitrage Payback Engine'!E142</f>
        <v>3.6433365292425695</v>
      </c>
      <c r="C142" s="33">
        <f t="shared" si="34"/>
        <v>1000</v>
      </c>
      <c r="D142" s="33">
        <f>'Battery Pricing Model'!$C$17</f>
        <v>1000</v>
      </c>
      <c r="E142" s="33">
        <f t="shared" si="35"/>
        <v>999</v>
      </c>
      <c r="F142" s="33" t="str">
        <f>'Peak Models'!$B$4</f>
        <v>Default</v>
      </c>
      <c r="G142" s="33" t="e">
        <f>'Peak Models'!$Q$7</f>
        <v>#VALUE!</v>
      </c>
      <c r="H142" s="33">
        <f>'Peak Models'!$P$16</f>
        <v>1.5</v>
      </c>
      <c r="I142" s="33">
        <v>12</v>
      </c>
      <c r="J142" s="33" t="e">
        <f>'Peak Models'!$P$13</f>
        <v>#N/A</v>
      </c>
      <c r="K142" s="28" t="e">
        <f t="shared" si="36"/>
        <v>#VALUE!</v>
      </c>
      <c r="L142" s="28" t="e">
        <f>INDEX('Peak Models'!$P$34:$P$64, MATCH(TRUNC(B142, 0), 'Peak Models'!$O$34:$O$64, 0))</f>
        <v>#N/A</v>
      </c>
      <c r="M142" s="28">
        <f>'Peak Models'!$P$15*INDEX('Peak Models'!$Q$34:$Q$64, MATCH(TRUNC(B142, 0),'Peak Models'!$O$34:$O$64, 0))/'Profit per cycles Model'!$E$78</f>
        <v>5.0677205882352938</v>
      </c>
      <c r="N142" s="28" t="e">
        <f t="shared" si="37"/>
        <v>#N/A</v>
      </c>
      <c r="O142" s="71" t="e">
        <f>AVERAGE($N$10:N142)</f>
        <v>#N/A</v>
      </c>
      <c r="P142" s="28" t="e">
        <f t="shared" si="38"/>
        <v>#N/A</v>
      </c>
      <c r="R142" s="28" t="e">
        <f t="shared" si="39"/>
        <v>#VALUE!</v>
      </c>
      <c r="S142" s="25"/>
      <c r="T142" s="25">
        <f t="shared" si="40"/>
        <v>15</v>
      </c>
      <c r="U142" s="33">
        <f>IF(PaybackCustom&gt;0, IF(PaybackCustom&lt;&gt;"Default", PaybackCustom, IF(PaybackStatus&lt;&gt;"",INDEX('Arbitrage Payback Engine'!$Y$2:$Y$6,MATCH(PaybackStatus,'Arbitrage Payback Engine'!$X$2:$X$6,FALSE)),-1)))</f>
        <v>25</v>
      </c>
      <c r="V142" s="32">
        <f t="shared" si="49"/>
        <v>15</v>
      </c>
      <c r="X142" s="29">
        <f t="shared" si="50"/>
        <v>133</v>
      </c>
      <c r="Z142" s="30">
        <f t="shared" si="41"/>
        <v>3.6433365292425695</v>
      </c>
      <c r="AA142" s="28" t="e">
        <f t="shared" si="42"/>
        <v>#N/A</v>
      </c>
      <c r="AB142" s="28" t="e">
        <f t="shared" si="43"/>
        <v>#VALUE!</v>
      </c>
      <c r="AC142" s="29">
        <f t="shared" si="44"/>
        <v>126.18595825426947</v>
      </c>
      <c r="AD142" s="28" t="e">
        <f t="shared" si="45"/>
        <v>#VALUE!</v>
      </c>
      <c r="AE142" s="28" t="e">
        <f t="shared" si="46"/>
        <v>#N/A</v>
      </c>
      <c r="AF142" s="28" t="e">
        <f t="shared" si="47"/>
        <v>#VALUE!</v>
      </c>
      <c r="AH142" s="31" t="e">
        <f t="shared" si="48"/>
        <v>#N/A</v>
      </c>
      <c r="AI142" s="25"/>
      <c r="AJ142" s="31"/>
    </row>
    <row r="143" spans="2:36" x14ac:dyDescent="0.25">
      <c r="B143" s="33">
        <f>'Arbitrage Payback Engine'!E143</f>
        <v>3.6707300369812352</v>
      </c>
      <c r="C143" s="33">
        <f t="shared" si="34"/>
        <v>1000</v>
      </c>
      <c r="D143" s="33">
        <f>'Battery Pricing Model'!$C$17</f>
        <v>1000</v>
      </c>
      <c r="E143" s="33">
        <f t="shared" si="35"/>
        <v>999</v>
      </c>
      <c r="F143" s="33" t="str">
        <f>'Peak Models'!$B$4</f>
        <v>Default</v>
      </c>
      <c r="G143" s="33" t="e">
        <f>'Peak Models'!$Q$7</f>
        <v>#VALUE!</v>
      </c>
      <c r="H143" s="33">
        <f>'Peak Models'!$P$16</f>
        <v>1.5</v>
      </c>
      <c r="I143" s="33">
        <v>12</v>
      </c>
      <c r="J143" s="33" t="e">
        <f>'Peak Models'!$P$13</f>
        <v>#N/A</v>
      </c>
      <c r="K143" s="28" t="e">
        <f t="shared" si="36"/>
        <v>#VALUE!</v>
      </c>
      <c r="L143" s="28" t="e">
        <f>INDEX('Peak Models'!$P$34:$P$64, MATCH(TRUNC(B143, 0), 'Peak Models'!$O$34:$O$64, 0))</f>
        <v>#N/A</v>
      </c>
      <c r="M143" s="28">
        <f>'Peak Models'!$P$15*INDEX('Peak Models'!$Q$34:$Q$64, MATCH(TRUNC(B143, 0),'Peak Models'!$O$34:$O$64, 0))/'Profit per cycles Model'!$E$78</f>
        <v>5.0677205882352938</v>
      </c>
      <c r="N143" s="28" t="e">
        <f t="shared" si="37"/>
        <v>#N/A</v>
      </c>
      <c r="O143" s="71" t="e">
        <f>AVERAGE($N$10:N143)</f>
        <v>#N/A</v>
      </c>
      <c r="P143" s="28" t="e">
        <f t="shared" si="38"/>
        <v>#N/A</v>
      </c>
      <c r="R143" s="28" t="e">
        <f t="shared" si="39"/>
        <v>#VALUE!</v>
      </c>
      <c r="S143" s="25"/>
      <c r="T143" s="25">
        <f t="shared" si="40"/>
        <v>15</v>
      </c>
      <c r="U143" s="33">
        <f>IF(PaybackCustom&gt;0, IF(PaybackCustom&lt;&gt;"Default", PaybackCustom, IF(PaybackStatus&lt;&gt;"",INDEX('Arbitrage Payback Engine'!$Y$2:$Y$6,MATCH(PaybackStatus,'Arbitrage Payback Engine'!$X$2:$X$6,FALSE)),-1)))</f>
        <v>25</v>
      </c>
      <c r="V143" s="32">
        <f t="shared" si="49"/>
        <v>15</v>
      </c>
      <c r="X143" s="29">
        <f t="shared" si="50"/>
        <v>134</v>
      </c>
      <c r="Z143" s="30">
        <f t="shared" si="41"/>
        <v>3.6707300369812352</v>
      </c>
      <c r="AA143" s="28" t="e">
        <f t="shared" si="42"/>
        <v>#N/A</v>
      </c>
      <c r="AB143" s="28" t="e">
        <f t="shared" si="43"/>
        <v>#VALUE!</v>
      </c>
      <c r="AC143" s="29">
        <f t="shared" si="44"/>
        <v>127.134724857685</v>
      </c>
      <c r="AD143" s="28" t="e">
        <f t="shared" si="45"/>
        <v>#VALUE!</v>
      </c>
      <c r="AE143" s="28" t="e">
        <f t="shared" si="46"/>
        <v>#N/A</v>
      </c>
      <c r="AF143" s="28" t="e">
        <f t="shared" si="47"/>
        <v>#VALUE!</v>
      </c>
      <c r="AH143" s="31" t="e">
        <f t="shared" si="48"/>
        <v>#N/A</v>
      </c>
      <c r="AI143" s="25"/>
      <c r="AJ143" s="31"/>
    </row>
    <row r="144" spans="2:36" x14ac:dyDescent="0.25">
      <c r="B144" s="33">
        <f>'Arbitrage Payback Engine'!E144</f>
        <v>3.6981235447199015</v>
      </c>
      <c r="C144" s="33">
        <f t="shared" si="34"/>
        <v>1000</v>
      </c>
      <c r="D144" s="33">
        <f>'Battery Pricing Model'!$C$17</f>
        <v>1000</v>
      </c>
      <c r="E144" s="33">
        <f t="shared" si="35"/>
        <v>999</v>
      </c>
      <c r="F144" s="33" t="str">
        <f>'Peak Models'!$B$4</f>
        <v>Default</v>
      </c>
      <c r="G144" s="33" t="e">
        <f>'Peak Models'!$Q$7</f>
        <v>#VALUE!</v>
      </c>
      <c r="H144" s="33">
        <f>'Peak Models'!$P$16</f>
        <v>1.5</v>
      </c>
      <c r="I144" s="33">
        <v>12</v>
      </c>
      <c r="J144" s="33" t="e">
        <f>'Peak Models'!$P$13</f>
        <v>#N/A</v>
      </c>
      <c r="K144" s="28" t="e">
        <f t="shared" si="36"/>
        <v>#VALUE!</v>
      </c>
      <c r="L144" s="28" t="e">
        <f>INDEX('Peak Models'!$P$34:$P$64, MATCH(TRUNC(B144, 0), 'Peak Models'!$O$34:$O$64, 0))</f>
        <v>#N/A</v>
      </c>
      <c r="M144" s="28">
        <f>'Peak Models'!$P$15*INDEX('Peak Models'!$Q$34:$Q$64, MATCH(TRUNC(B144, 0),'Peak Models'!$O$34:$O$64, 0))/'Profit per cycles Model'!$E$78</f>
        <v>5.0677205882352938</v>
      </c>
      <c r="N144" s="28" t="e">
        <f t="shared" si="37"/>
        <v>#N/A</v>
      </c>
      <c r="O144" s="71" t="e">
        <f>AVERAGE($N$10:N144)</f>
        <v>#N/A</v>
      </c>
      <c r="P144" s="28" t="e">
        <f t="shared" si="38"/>
        <v>#N/A</v>
      </c>
      <c r="R144" s="28" t="e">
        <f t="shared" si="39"/>
        <v>#VALUE!</v>
      </c>
      <c r="S144" s="25"/>
      <c r="T144" s="25">
        <f t="shared" si="40"/>
        <v>15</v>
      </c>
      <c r="U144" s="33">
        <f>IF(PaybackCustom&gt;0, IF(PaybackCustom&lt;&gt;"Default", PaybackCustom, IF(PaybackStatus&lt;&gt;"",INDEX('Arbitrage Payback Engine'!$Y$2:$Y$6,MATCH(PaybackStatus,'Arbitrage Payback Engine'!$X$2:$X$6,FALSE)),-1)))</f>
        <v>25</v>
      </c>
      <c r="V144" s="32">
        <f t="shared" si="49"/>
        <v>15</v>
      </c>
      <c r="X144" s="29">
        <f t="shared" si="50"/>
        <v>135</v>
      </c>
      <c r="Z144" s="30">
        <f t="shared" si="41"/>
        <v>3.6981235447199015</v>
      </c>
      <c r="AA144" s="28" t="e">
        <f t="shared" si="42"/>
        <v>#N/A</v>
      </c>
      <c r="AB144" s="28" t="e">
        <f t="shared" si="43"/>
        <v>#VALUE!</v>
      </c>
      <c r="AC144" s="29">
        <f t="shared" si="44"/>
        <v>128.08349146110058</v>
      </c>
      <c r="AD144" s="28" t="e">
        <f t="shared" si="45"/>
        <v>#VALUE!</v>
      </c>
      <c r="AE144" s="28" t="e">
        <f t="shared" si="46"/>
        <v>#N/A</v>
      </c>
      <c r="AF144" s="28" t="e">
        <f t="shared" si="47"/>
        <v>#VALUE!</v>
      </c>
      <c r="AH144" s="31" t="e">
        <f t="shared" si="48"/>
        <v>#N/A</v>
      </c>
      <c r="AI144" s="25"/>
      <c r="AJ144" s="31"/>
    </row>
    <row r="145" spans="2:36" x14ac:dyDescent="0.25">
      <c r="B145" s="33">
        <f>'Arbitrage Payback Engine'!E145</f>
        <v>3.7255170524585672</v>
      </c>
      <c r="C145" s="33">
        <f t="shared" si="34"/>
        <v>1000</v>
      </c>
      <c r="D145" s="33">
        <f>'Battery Pricing Model'!$C$17</f>
        <v>1000</v>
      </c>
      <c r="E145" s="33">
        <f t="shared" si="35"/>
        <v>999</v>
      </c>
      <c r="F145" s="33" t="str">
        <f>'Peak Models'!$B$4</f>
        <v>Default</v>
      </c>
      <c r="G145" s="33" t="e">
        <f>'Peak Models'!$Q$7</f>
        <v>#VALUE!</v>
      </c>
      <c r="H145" s="33">
        <f>'Peak Models'!$P$16</f>
        <v>1.5</v>
      </c>
      <c r="I145" s="33">
        <v>12</v>
      </c>
      <c r="J145" s="33" t="e">
        <f>'Peak Models'!$P$13</f>
        <v>#N/A</v>
      </c>
      <c r="K145" s="28" t="e">
        <f t="shared" si="36"/>
        <v>#VALUE!</v>
      </c>
      <c r="L145" s="28" t="e">
        <f>INDEX('Peak Models'!$P$34:$P$64, MATCH(TRUNC(B145, 0), 'Peak Models'!$O$34:$O$64, 0))</f>
        <v>#N/A</v>
      </c>
      <c r="M145" s="28">
        <f>'Peak Models'!$P$15*INDEX('Peak Models'!$Q$34:$Q$64, MATCH(TRUNC(B145, 0),'Peak Models'!$O$34:$O$64, 0))/'Profit per cycles Model'!$E$78</f>
        <v>5.0677205882352938</v>
      </c>
      <c r="N145" s="28" t="e">
        <f t="shared" si="37"/>
        <v>#N/A</v>
      </c>
      <c r="O145" s="71" t="e">
        <f>AVERAGE($N$10:N145)</f>
        <v>#N/A</v>
      </c>
      <c r="P145" s="28" t="e">
        <f t="shared" si="38"/>
        <v>#N/A</v>
      </c>
      <c r="R145" s="28" t="e">
        <f t="shared" si="39"/>
        <v>#VALUE!</v>
      </c>
      <c r="S145" s="25"/>
      <c r="T145" s="25">
        <f t="shared" si="40"/>
        <v>15</v>
      </c>
      <c r="U145" s="33">
        <f>IF(PaybackCustom&gt;0, IF(PaybackCustom&lt;&gt;"Default", PaybackCustom, IF(PaybackStatus&lt;&gt;"",INDEX('Arbitrage Payback Engine'!$Y$2:$Y$6,MATCH(PaybackStatus,'Arbitrage Payback Engine'!$X$2:$X$6,FALSE)),-1)))</f>
        <v>25</v>
      </c>
      <c r="V145" s="32">
        <f t="shared" si="49"/>
        <v>15</v>
      </c>
      <c r="X145" s="29">
        <f t="shared" si="50"/>
        <v>136</v>
      </c>
      <c r="Z145" s="30">
        <f t="shared" si="41"/>
        <v>3.7255170524585672</v>
      </c>
      <c r="AA145" s="28" t="e">
        <f t="shared" si="42"/>
        <v>#N/A</v>
      </c>
      <c r="AB145" s="28" t="e">
        <f t="shared" si="43"/>
        <v>#VALUE!</v>
      </c>
      <c r="AC145" s="29">
        <f t="shared" si="44"/>
        <v>129.03225806451613</v>
      </c>
      <c r="AD145" s="28" t="e">
        <f t="shared" si="45"/>
        <v>#VALUE!</v>
      </c>
      <c r="AE145" s="28" t="e">
        <f t="shared" si="46"/>
        <v>#N/A</v>
      </c>
      <c r="AF145" s="28" t="e">
        <f t="shared" si="47"/>
        <v>#VALUE!</v>
      </c>
      <c r="AH145" s="31" t="e">
        <f t="shared" si="48"/>
        <v>#N/A</v>
      </c>
      <c r="AI145" s="25"/>
      <c r="AJ145" s="31"/>
    </row>
    <row r="146" spans="2:36" x14ac:dyDescent="0.25">
      <c r="B146" s="33">
        <f>'Arbitrage Payback Engine'!E146</f>
        <v>3.752910560197233</v>
      </c>
      <c r="C146" s="33">
        <f t="shared" si="34"/>
        <v>1000</v>
      </c>
      <c r="D146" s="33">
        <f>'Battery Pricing Model'!$C$17</f>
        <v>1000</v>
      </c>
      <c r="E146" s="33">
        <f t="shared" si="35"/>
        <v>999</v>
      </c>
      <c r="F146" s="33" t="str">
        <f>'Peak Models'!$B$4</f>
        <v>Default</v>
      </c>
      <c r="G146" s="33" t="e">
        <f>'Peak Models'!$Q$7</f>
        <v>#VALUE!</v>
      </c>
      <c r="H146" s="33">
        <f>'Peak Models'!$P$16</f>
        <v>1.5</v>
      </c>
      <c r="I146" s="33">
        <v>12</v>
      </c>
      <c r="J146" s="33" t="e">
        <f>'Peak Models'!$P$13</f>
        <v>#N/A</v>
      </c>
      <c r="K146" s="28" t="e">
        <f t="shared" si="36"/>
        <v>#VALUE!</v>
      </c>
      <c r="L146" s="28" t="e">
        <f>INDEX('Peak Models'!$P$34:$P$64, MATCH(TRUNC(B146, 0), 'Peak Models'!$O$34:$O$64, 0))</f>
        <v>#N/A</v>
      </c>
      <c r="M146" s="28">
        <f>'Peak Models'!$P$15*INDEX('Peak Models'!$Q$34:$Q$64, MATCH(TRUNC(B146, 0),'Peak Models'!$O$34:$O$64, 0))/'Profit per cycles Model'!$E$78</f>
        <v>5.0677205882352938</v>
      </c>
      <c r="N146" s="28" t="e">
        <f t="shared" si="37"/>
        <v>#N/A</v>
      </c>
      <c r="O146" s="71" t="e">
        <f>AVERAGE($N$10:N146)</f>
        <v>#N/A</v>
      </c>
      <c r="P146" s="28" t="e">
        <f t="shared" si="38"/>
        <v>#N/A</v>
      </c>
      <c r="R146" s="28" t="e">
        <f t="shared" si="39"/>
        <v>#VALUE!</v>
      </c>
      <c r="S146" s="25"/>
      <c r="T146" s="25">
        <f t="shared" si="40"/>
        <v>15</v>
      </c>
      <c r="U146" s="33">
        <f>IF(PaybackCustom&gt;0, IF(PaybackCustom&lt;&gt;"Default", PaybackCustom, IF(PaybackStatus&lt;&gt;"",INDEX('Arbitrage Payback Engine'!$Y$2:$Y$6,MATCH(PaybackStatus,'Arbitrage Payback Engine'!$X$2:$X$6,FALSE)),-1)))</f>
        <v>25</v>
      </c>
      <c r="V146" s="32">
        <f t="shared" si="49"/>
        <v>15</v>
      </c>
      <c r="X146" s="29">
        <f t="shared" si="50"/>
        <v>137</v>
      </c>
      <c r="Z146" s="30">
        <f t="shared" si="41"/>
        <v>3.752910560197233</v>
      </c>
      <c r="AA146" s="28" t="e">
        <f t="shared" si="42"/>
        <v>#N/A</v>
      </c>
      <c r="AB146" s="28" t="e">
        <f t="shared" si="43"/>
        <v>#VALUE!</v>
      </c>
      <c r="AC146" s="29">
        <f t="shared" si="44"/>
        <v>129.98102466793168</v>
      </c>
      <c r="AD146" s="28" t="e">
        <f t="shared" si="45"/>
        <v>#VALUE!</v>
      </c>
      <c r="AE146" s="28" t="e">
        <f t="shared" si="46"/>
        <v>#N/A</v>
      </c>
      <c r="AF146" s="28" t="e">
        <f t="shared" si="47"/>
        <v>#VALUE!</v>
      </c>
      <c r="AH146" s="31" t="e">
        <f t="shared" si="48"/>
        <v>#N/A</v>
      </c>
      <c r="AI146" s="25"/>
      <c r="AJ146" s="31"/>
    </row>
    <row r="147" spans="2:36" x14ac:dyDescent="0.25">
      <c r="B147" s="33">
        <f>'Arbitrage Payback Engine'!E147</f>
        <v>3.7803040679358992</v>
      </c>
      <c r="C147" s="33">
        <f t="shared" si="34"/>
        <v>1000</v>
      </c>
      <c r="D147" s="33">
        <f>'Battery Pricing Model'!$C$17</f>
        <v>1000</v>
      </c>
      <c r="E147" s="33">
        <f t="shared" si="35"/>
        <v>999</v>
      </c>
      <c r="F147" s="33" t="str">
        <f>'Peak Models'!$B$4</f>
        <v>Default</v>
      </c>
      <c r="G147" s="33" t="e">
        <f>'Peak Models'!$Q$7</f>
        <v>#VALUE!</v>
      </c>
      <c r="H147" s="33">
        <f>'Peak Models'!$P$16</f>
        <v>1.5</v>
      </c>
      <c r="I147" s="33">
        <v>12</v>
      </c>
      <c r="J147" s="33" t="e">
        <f>'Peak Models'!$P$13</f>
        <v>#N/A</v>
      </c>
      <c r="K147" s="28" t="e">
        <f t="shared" si="36"/>
        <v>#VALUE!</v>
      </c>
      <c r="L147" s="28" t="e">
        <f>INDEX('Peak Models'!$P$34:$P$64, MATCH(TRUNC(B147, 0), 'Peak Models'!$O$34:$O$64, 0))</f>
        <v>#N/A</v>
      </c>
      <c r="M147" s="28">
        <f>'Peak Models'!$P$15*INDEX('Peak Models'!$Q$34:$Q$64, MATCH(TRUNC(B147, 0),'Peak Models'!$O$34:$O$64, 0))/'Profit per cycles Model'!$E$78</f>
        <v>5.0677205882352938</v>
      </c>
      <c r="N147" s="28" t="e">
        <f t="shared" si="37"/>
        <v>#N/A</v>
      </c>
      <c r="O147" s="71" t="e">
        <f>AVERAGE($N$10:N147)</f>
        <v>#N/A</v>
      </c>
      <c r="P147" s="28" t="e">
        <f t="shared" si="38"/>
        <v>#N/A</v>
      </c>
      <c r="R147" s="28" t="e">
        <f t="shared" si="39"/>
        <v>#VALUE!</v>
      </c>
      <c r="S147" s="25"/>
      <c r="T147" s="25">
        <f t="shared" si="40"/>
        <v>15</v>
      </c>
      <c r="U147" s="33">
        <f>IF(PaybackCustom&gt;0, IF(PaybackCustom&lt;&gt;"Default", PaybackCustom, IF(PaybackStatus&lt;&gt;"",INDEX('Arbitrage Payback Engine'!$Y$2:$Y$6,MATCH(PaybackStatus,'Arbitrage Payback Engine'!$X$2:$X$6,FALSE)),-1)))</f>
        <v>25</v>
      </c>
      <c r="V147" s="32">
        <f t="shared" si="49"/>
        <v>15</v>
      </c>
      <c r="X147" s="29">
        <f t="shared" si="50"/>
        <v>138</v>
      </c>
      <c r="Z147" s="30">
        <f t="shared" si="41"/>
        <v>3.7803040679358992</v>
      </c>
      <c r="AA147" s="28" t="e">
        <f t="shared" si="42"/>
        <v>#N/A</v>
      </c>
      <c r="AB147" s="28" t="e">
        <f t="shared" si="43"/>
        <v>#VALUE!</v>
      </c>
      <c r="AC147" s="29">
        <f t="shared" si="44"/>
        <v>130.92979127134726</v>
      </c>
      <c r="AD147" s="28" t="e">
        <f t="shared" si="45"/>
        <v>#VALUE!</v>
      </c>
      <c r="AE147" s="28" t="e">
        <f t="shared" si="46"/>
        <v>#N/A</v>
      </c>
      <c r="AF147" s="28" t="e">
        <f t="shared" si="47"/>
        <v>#VALUE!</v>
      </c>
      <c r="AH147" s="31" t="e">
        <f t="shared" si="48"/>
        <v>#N/A</v>
      </c>
      <c r="AI147" s="25"/>
      <c r="AJ147" s="31"/>
    </row>
    <row r="148" spans="2:36" x14ac:dyDescent="0.25">
      <c r="B148" s="33">
        <f>'Arbitrage Payback Engine'!E148</f>
        <v>3.807697575674565</v>
      </c>
      <c r="C148" s="33">
        <f t="shared" si="34"/>
        <v>1000</v>
      </c>
      <c r="D148" s="33">
        <f>'Battery Pricing Model'!$C$17</f>
        <v>1000</v>
      </c>
      <c r="E148" s="33">
        <f t="shared" si="35"/>
        <v>999</v>
      </c>
      <c r="F148" s="33" t="str">
        <f>'Peak Models'!$B$4</f>
        <v>Default</v>
      </c>
      <c r="G148" s="33" t="e">
        <f>'Peak Models'!$Q$7</f>
        <v>#VALUE!</v>
      </c>
      <c r="H148" s="33">
        <f>'Peak Models'!$P$16</f>
        <v>1.5</v>
      </c>
      <c r="I148" s="33">
        <v>12</v>
      </c>
      <c r="J148" s="33" t="e">
        <f>'Peak Models'!$P$13</f>
        <v>#N/A</v>
      </c>
      <c r="K148" s="28" t="e">
        <f t="shared" si="36"/>
        <v>#VALUE!</v>
      </c>
      <c r="L148" s="28" t="e">
        <f>INDEX('Peak Models'!$P$34:$P$64, MATCH(TRUNC(B148, 0), 'Peak Models'!$O$34:$O$64, 0))</f>
        <v>#N/A</v>
      </c>
      <c r="M148" s="28">
        <f>'Peak Models'!$P$15*INDEX('Peak Models'!$Q$34:$Q$64, MATCH(TRUNC(B148, 0),'Peak Models'!$O$34:$O$64, 0))/'Profit per cycles Model'!$E$78</f>
        <v>5.0677205882352938</v>
      </c>
      <c r="N148" s="28" t="e">
        <f t="shared" si="37"/>
        <v>#N/A</v>
      </c>
      <c r="O148" s="71" t="e">
        <f>AVERAGE($N$10:N148)</f>
        <v>#N/A</v>
      </c>
      <c r="P148" s="28" t="e">
        <f t="shared" si="38"/>
        <v>#N/A</v>
      </c>
      <c r="R148" s="28" t="e">
        <f t="shared" si="39"/>
        <v>#VALUE!</v>
      </c>
      <c r="S148" s="25"/>
      <c r="T148" s="25">
        <f t="shared" si="40"/>
        <v>15</v>
      </c>
      <c r="U148" s="33">
        <f>IF(PaybackCustom&gt;0, IF(PaybackCustom&lt;&gt;"Default", PaybackCustom, IF(PaybackStatus&lt;&gt;"",INDEX('Arbitrage Payback Engine'!$Y$2:$Y$6,MATCH(PaybackStatus,'Arbitrage Payback Engine'!$X$2:$X$6,FALSE)),-1)))</f>
        <v>25</v>
      </c>
      <c r="V148" s="32">
        <f t="shared" si="49"/>
        <v>15</v>
      </c>
      <c r="X148" s="29">
        <f t="shared" si="50"/>
        <v>139</v>
      </c>
      <c r="Z148" s="30">
        <f t="shared" si="41"/>
        <v>3.807697575674565</v>
      </c>
      <c r="AA148" s="28" t="e">
        <f t="shared" si="42"/>
        <v>#N/A</v>
      </c>
      <c r="AB148" s="28" t="e">
        <f t="shared" si="43"/>
        <v>#VALUE!</v>
      </c>
      <c r="AC148" s="29">
        <f t="shared" si="44"/>
        <v>131.87855787476281</v>
      </c>
      <c r="AD148" s="28" t="e">
        <f t="shared" si="45"/>
        <v>#VALUE!</v>
      </c>
      <c r="AE148" s="28" t="e">
        <f t="shared" si="46"/>
        <v>#N/A</v>
      </c>
      <c r="AF148" s="28" t="e">
        <f t="shared" si="47"/>
        <v>#VALUE!</v>
      </c>
      <c r="AH148" s="31" t="e">
        <f t="shared" si="48"/>
        <v>#N/A</v>
      </c>
      <c r="AI148" s="25"/>
      <c r="AJ148" s="31"/>
    </row>
    <row r="149" spans="2:36" x14ac:dyDescent="0.25">
      <c r="B149" s="33">
        <f>'Arbitrage Payback Engine'!E149</f>
        <v>3.8350910834132308</v>
      </c>
      <c r="C149" s="33">
        <f t="shared" si="34"/>
        <v>1000</v>
      </c>
      <c r="D149" s="33">
        <f>'Battery Pricing Model'!$C$17</f>
        <v>1000</v>
      </c>
      <c r="E149" s="33">
        <f t="shared" si="35"/>
        <v>999</v>
      </c>
      <c r="F149" s="33" t="str">
        <f>'Peak Models'!$B$4</f>
        <v>Default</v>
      </c>
      <c r="G149" s="33" t="e">
        <f>'Peak Models'!$Q$7</f>
        <v>#VALUE!</v>
      </c>
      <c r="H149" s="33">
        <f>'Peak Models'!$P$16</f>
        <v>1.5</v>
      </c>
      <c r="I149" s="33">
        <v>12</v>
      </c>
      <c r="J149" s="33" t="e">
        <f>'Peak Models'!$P$13</f>
        <v>#N/A</v>
      </c>
      <c r="K149" s="28" t="e">
        <f t="shared" si="36"/>
        <v>#VALUE!</v>
      </c>
      <c r="L149" s="28" t="e">
        <f>INDEX('Peak Models'!$P$34:$P$64, MATCH(TRUNC(B149, 0), 'Peak Models'!$O$34:$O$64, 0))</f>
        <v>#N/A</v>
      </c>
      <c r="M149" s="28">
        <f>'Peak Models'!$P$15*INDEX('Peak Models'!$Q$34:$Q$64, MATCH(TRUNC(B149, 0),'Peak Models'!$O$34:$O$64, 0))/'Profit per cycles Model'!$E$78</f>
        <v>5.0677205882352938</v>
      </c>
      <c r="N149" s="28" t="e">
        <f t="shared" si="37"/>
        <v>#N/A</v>
      </c>
      <c r="O149" s="71" t="e">
        <f>AVERAGE($N$10:N149)</f>
        <v>#N/A</v>
      </c>
      <c r="P149" s="28" t="e">
        <f t="shared" si="38"/>
        <v>#N/A</v>
      </c>
      <c r="R149" s="28" t="e">
        <f t="shared" si="39"/>
        <v>#VALUE!</v>
      </c>
      <c r="S149" s="25"/>
      <c r="T149" s="25">
        <f t="shared" si="40"/>
        <v>15</v>
      </c>
      <c r="U149" s="33">
        <f>IF(PaybackCustom&gt;0, IF(PaybackCustom&lt;&gt;"Default", PaybackCustom, IF(PaybackStatus&lt;&gt;"",INDEX('Arbitrage Payback Engine'!$Y$2:$Y$6,MATCH(PaybackStatus,'Arbitrage Payback Engine'!$X$2:$X$6,FALSE)),-1)))</f>
        <v>25</v>
      </c>
      <c r="V149" s="32">
        <f t="shared" si="49"/>
        <v>15</v>
      </c>
      <c r="X149" s="29">
        <f t="shared" si="50"/>
        <v>140</v>
      </c>
      <c r="Z149" s="30">
        <f t="shared" si="41"/>
        <v>3.8350910834132308</v>
      </c>
      <c r="AA149" s="28" t="e">
        <f t="shared" si="42"/>
        <v>#N/A</v>
      </c>
      <c r="AB149" s="28" t="e">
        <f t="shared" si="43"/>
        <v>#VALUE!</v>
      </c>
      <c r="AC149" s="29">
        <f t="shared" si="44"/>
        <v>132.82732447817838</v>
      </c>
      <c r="AD149" s="28" t="e">
        <f t="shared" si="45"/>
        <v>#VALUE!</v>
      </c>
      <c r="AE149" s="28" t="e">
        <f t="shared" si="46"/>
        <v>#N/A</v>
      </c>
      <c r="AF149" s="28" t="e">
        <f t="shared" si="47"/>
        <v>#VALUE!</v>
      </c>
      <c r="AH149" s="31" t="e">
        <f t="shared" si="48"/>
        <v>#N/A</v>
      </c>
      <c r="AI149" s="25"/>
      <c r="AJ149" s="31"/>
    </row>
    <row r="150" spans="2:36" x14ac:dyDescent="0.25">
      <c r="B150" s="33">
        <f>'Arbitrage Payback Engine'!E150</f>
        <v>3.862484591151897</v>
      </c>
      <c r="C150" s="33">
        <f t="shared" si="34"/>
        <v>1000</v>
      </c>
      <c r="D150" s="33">
        <f>'Battery Pricing Model'!$C$17</f>
        <v>1000</v>
      </c>
      <c r="E150" s="33">
        <f t="shared" si="35"/>
        <v>999</v>
      </c>
      <c r="F150" s="33" t="str">
        <f>'Peak Models'!$B$4</f>
        <v>Default</v>
      </c>
      <c r="G150" s="33" t="e">
        <f>'Peak Models'!$Q$7</f>
        <v>#VALUE!</v>
      </c>
      <c r="H150" s="33">
        <f>'Peak Models'!$P$16</f>
        <v>1.5</v>
      </c>
      <c r="I150" s="33">
        <v>12</v>
      </c>
      <c r="J150" s="33" t="e">
        <f>'Peak Models'!$P$13</f>
        <v>#N/A</v>
      </c>
      <c r="K150" s="28" t="e">
        <f t="shared" si="36"/>
        <v>#VALUE!</v>
      </c>
      <c r="L150" s="28" t="e">
        <f>INDEX('Peak Models'!$P$34:$P$64, MATCH(TRUNC(B150, 0), 'Peak Models'!$O$34:$O$64, 0))</f>
        <v>#N/A</v>
      </c>
      <c r="M150" s="28">
        <f>'Peak Models'!$P$15*INDEX('Peak Models'!$Q$34:$Q$64, MATCH(TRUNC(B150, 0),'Peak Models'!$O$34:$O$64, 0))/'Profit per cycles Model'!$E$78</f>
        <v>5.0677205882352938</v>
      </c>
      <c r="N150" s="28" t="e">
        <f t="shared" si="37"/>
        <v>#N/A</v>
      </c>
      <c r="O150" s="71" t="e">
        <f>AVERAGE($N$10:N150)</f>
        <v>#N/A</v>
      </c>
      <c r="P150" s="28" t="e">
        <f t="shared" si="38"/>
        <v>#N/A</v>
      </c>
      <c r="R150" s="28" t="e">
        <f t="shared" si="39"/>
        <v>#VALUE!</v>
      </c>
      <c r="S150" s="25"/>
      <c r="T150" s="25">
        <f t="shared" si="40"/>
        <v>15</v>
      </c>
      <c r="U150" s="33">
        <f>IF(PaybackCustom&gt;0, IF(PaybackCustom&lt;&gt;"Default", PaybackCustom, IF(PaybackStatus&lt;&gt;"",INDEX('Arbitrage Payback Engine'!$Y$2:$Y$6,MATCH(PaybackStatus,'Arbitrage Payback Engine'!$X$2:$X$6,FALSE)),-1)))</f>
        <v>25</v>
      </c>
      <c r="V150" s="32">
        <f t="shared" si="49"/>
        <v>15</v>
      </c>
      <c r="X150" s="29">
        <f t="shared" si="50"/>
        <v>141</v>
      </c>
      <c r="Z150" s="30">
        <f t="shared" si="41"/>
        <v>3.862484591151897</v>
      </c>
      <c r="AA150" s="28" t="e">
        <f t="shared" si="42"/>
        <v>#N/A</v>
      </c>
      <c r="AB150" s="28" t="e">
        <f t="shared" si="43"/>
        <v>#VALUE!</v>
      </c>
      <c r="AC150" s="29">
        <f t="shared" si="44"/>
        <v>133.77609108159393</v>
      </c>
      <c r="AD150" s="28" t="e">
        <f t="shared" si="45"/>
        <v>#VALUE!</v>
      </c>
      <c r="AE150" s="28" t="e">
        <f t="shared" si="46"/>
        <v>#N/A</v>
      </c>
      <c r="AF150" s="28" t="e">
        <f t="shared" si="47"/>
        <v>#VALUE!</v>
      </c>
      <c r="AH150" s="31" t="e">
        <f t="shared" si="48"/>
        <v>#N/A</v>
      </c>
      <c r="AI150" s="25"/>
      <c r="AJ150" s="31"/>
    </row>
    <row r="151" spans="2:36" x14ac:dyDescent="0.25">
      <c r="B151" s="33">
        <f>'Arbitrage Payback Engine'!E151</f>
        <v>3.8898780988905628</v>
      </c>
      <c r="C151" s="33">
        <f t="shared" si="34"/>
        <v>1000</v>
      </c>
      <c r="D151" s="33">
        <f>'Battery Pricing Model'!$C$17</f>
        <v>1000</v>
      </c>
      <c r="E151" s="33">
        <f t="shared" si="35"/>
        <v>999</v>
      </c>
      <c r="F151" s="33" t="str">
        <f>'Peak Models'!$B$4</f>
        <v>Default</v>
      </c>
      <c r="G151" s="33" t="e">
        <f>'Peak Models'!$Q$7</f>
        <v>#VALUE!</v>
      </c>
      <c r="H151" s="33">
        <f>'Peak Models'!$P$16</f>
        <v>1.5</v>
      </c>
      <c r="I151" s="33">
        <v>12</v>
      </c>
      <c r="J151" s="33" t="e">
        <f>'Peak Models'!$P$13</f>
        <v>#N/A</v>
      </c>
      <c r="K151" s="28" t="e">
        <f t="shared" si="36"/>
        <v>#VALUE!</v>
      </c>
      <c r="L151" s="28" t="e">
        <f>INDEX('Peak Models'!$P$34:$P$64, MATCH(TRUNC(B151, 0), 'Peak Models'!$O$34:$O$64, 0))</f>
        <v>#N/A</v>
      </c>
      <c r="M151" s="28">
        <f>'Peak Models'!$P$15*INDEX('Peak Models'!$Q$34:$Q$64, MATCH(TRUNC(B151, 0),'Peak Models'!$O$34:$O$64, 0))/'Profit per cycles Model'!$E$78</f>
        <v>5.0677205882352938</v>
      </c>
      <c r="N151" s="28" t="e">
        <f t="shared" si="37"/>
        <v>#N/A</v>
      </c>
      <c r="O151" s="71" t="e">
        <f>AVERAGE($N$10:N151)</f>
        <v>#N/A</v>
      </c>
      <c r="P151" s="28" t="e">
        <f t="shared" si="38"/>
        <v>#N/A</v>
      </c>
      <c r="R151" s="28" t="e">
        <f t="shared" si="39"/>
        <v>#VALUE!</v>
      </c>
      <c r="S151" s="25"/>
      <c r="T151" s="25">
        <f t="shared" si="40"/>
        <v>15</v>
      </c>
      <c r="U151" s="33">
        <f>IF(PaybackCustom&gt;0, IF(PaybackCustom&lt;&gt;"Default", PaybackCustom, IF(PaybackStatus&lt;&gt;"",INDEX('Arbitrage Payback Engine'!$Y$2:$Y$6,MATCH(PaybackStatus,'Arbitrage Payback Engine'!$X$2:$X$6,FALSE)),-1)))</f>
        <v>25</v>
      </c>
      <c r="V151" s="32">
        <f t="shared" si="49"/>
        <v>15</v>
      </c>
      <c r="X151" s="29">
        <f t="shared" si="50"/>
        <v>142</v>
      </c>
      <c r="Z151" s="30">
        <f t="shared" si="41"/>
        <v>3.8898780988905628</v>
      </c>
      <c r="AA151" s="28" t="e">
        <f t="shared" si="42"/>
        <v>#N/A</v>
      </c>
      <c r="AB151" s="28" t="e">
        <f t="shared" si="43"/>
        <v>#VALUE!</v>
      </c>
      <c r="AC151" s="29">
        <f t="shared" si="44"/>
        <v>134.72485768500948</v>
      </c>
      <c r="AD151" s="28" t="e">
        <f t="shared" si="45"/>
        <v>#VALUE!</v>
      </c>
      <c r="AE151" s="28" t="e">
        <f t="shared" si="46"/>
        <v>#N/A</v>
      </c>
      <c r="AF151" s="28" t="e">
        <f t="shared" si="47"/>
        <v>#VALUE!</v>
      </c>
      <c r="AH151" s="31" t="e">
        <f t="shared" si="48"/>
        <v>#N/A</v>
      </c>
      <c r="AI151" s="25"/>
      <c r="AJ151" s="31"/>
    </row>
    <row r="152" spans="2:36" x14ac:dyDescent="0.25">
      <c r="B152" s="33">
        <f>'Arbitrage Payback Engine'!E152</f>
        <v>3.9172716066292286</v>
      </c>
      <c r="C152" s="33">
        <f t="shared" si="34"/>
        <v>1000</v>
      </c>
      <c r="D152" s="33">
        <f>'Battery Pricing Model'!$C$17</f>
        <v>1000</v>
      </c>
      <c r="E152" s="33">
        <f t="shared" si="35"/>
        <v>999</v>
      </c>
      <c r="F152" s="33" t="str">
        <f>'Peak Models'!$B$4</f>
        <v>Default</v>
      </c>
      <c r="G152" s="33" t="e">
        <f>'Peak Models'!$Q$7</f>
        <v>#VALUE!</v>
      </c>
      <c r="H152" s="33">
        <f>'Peak Models'!$P$16</f>
        <v>1.5</v>
      </c>
      <c r="I152" s="33">
        <v>12</v>
      </c>
      <c r="J152" s="33" t="e">
        <f>'Peak Models'!$P$13</f>
        <v>#N/A</v>
      </c>
      <c r="K152" s="28" t="e">
        <f t="shared" si="36"/>
        <v>#VALUE!</v>
      </c>
      <c r="L152" s="28" t="e">
        <f>INDEX('Peak Models'!$P$34:$P$64, MATCH(TRUNC(B152, 0), 'Peak Models'!$O$34:$O$64, 0))</f>
        <v>#N/A</v>
      </c>
      <c r="M152" s="28">
        <f>'Peak Models'!$P$15*INDEX('Peak Models'!$Q$34:$Q$64, MATCH(TRUNC(B152, 0),'Peak Models'!$O$34:$O$64, 0))/'Profit per cycles Model'!$E$78</f>
        <v>5.0677205882352938</v>
      </c>
      <c r="N152" s="28" t="e">
        <f t="shared" si="37"/>
        <v>#N/A</v>
      </c>
      <c r="O152" s="71" t="e">
        <f>AVERAGE($N$10:N152)</f>
        <v>#N/A</v>
      </c>
      <c r="P152" s="28" t="e">
        <f t="shared" si="38"/>
        <v>#N/A</v>
      </c>
      <c r="R152" s="28" t="e">
        <f t="shared" si="39"/>
        <v>#VALUE!</v>
      </c>
      <c r="S152" s="25"/>
      <c r="T152" s="25">
        <f t="shared" si="40"/>
        <v>15</v>
      </c>
      <c r="U152" s="33">
        <f>IF(PaybackCustom&gt;0, IF(PaybackCustom&lt;&gt;"Default", PaybackCustom, IF(PaybackStatus&lt;&gt;"",INDEX('Arbitrage Payback Engine'!$Y$2:$Y$6,MATCH(PaybackStatus,'Arbitrage Payback Engine'!$X$2:$X$6,FALSE)),-1)))</f>
        <v>25</v>
      </c>
      <c r="V152" s="32">
        <f t="shared" si="49"/>
        <v>15</v>
      </c>
      <c r="X152" s="29">
        <f t="shared" si="50"/>
        <v>143</v>
      </c>
      <c r="Z152" s="30">
        <f t="shared" si="41"/>
        <v>3.9172716066292286</v>
      </c>
      <c r="AA152" s="28" t="e">
        <f t="shared" si="42"/>
        <v>#N/A</v>
      </c>
      <c r="AB152" s="28" t="e">
        <f t="shared" si="43"/>
        <v>#VALUE!</v>
      </c>
      <c r="AC152" s="29">
        <f t="shared" si="44"/>
        <v>135.67362428842506</v>
      </c>
      <c r="AD152" s="28" t="e">
        <f t="shared" si="45"/>
        <v>#VALUE!</v>
      </c>
      <c r="AE152" s="28" t="e">
        <f t="shared" si="46"/>
        <v>#N/A</v>
      </c>
      <c r="AF152" s="28" t="e">
        <f t="shared" si="47"/>
        <v>#VALUE!</v>
      </c>
      <c r="AH152" s="31" t="e">
        <f t="shared" si="48"/>
        <v>#N/A</v>
      </c>
      <c r="AI152" s="25"/>
      <c r="AJ152" s="31"/>
    </row>
    <row r="153" spans="2:36" x14ac:dyDescent="0.25">
      <c r="B153" s="33">
        <f>'Arbitrage Payback Engine'!E153</f>
        <v>3.9446651143678948</v>
      </c>
      <c r="C153" s="33">
        <f t="shared" si="34"/>
        <v>1000</v>
      </c>
      <c r="D153" s="33">
        <f>'Battery Pricing Model'!$C$17</f>
        <v>1000</v>
      </c>
      <c r="E153" s="33">
        <f t="shared" si="35"/>
        <v>999</v>
      </c>
      <c r="F153" s="33" t="str">
        <f>'Peak Models'!$B$4</f>
        <v>Default</v>
      </c>
      <c r="G153" s="33" t="e">
        <f>'Peak Models'!$Q$7</f>
        <v>#VALUE!</v>
      </c>
      <c r="H153" s="33">
        <f>'Peak Models'!$P$16</f>
        <v>1.5</v>
      </c>
      <c r="I153" s="33">
        <v>12</v>
      </c>
      <c r="J153" s="33" t="e">
        <f>'Peak Models'!$P$13</f>
        <v>#N/A</v>
      </c>
      <c r="K153" s="28" t="e">
        <f t="shared" si="36"/>
        <v>#VALUE!</v>
      </c>
      <c r="L153" s="28" t="e">
        <f>INDEX('Peak Models'!$P$34:$P$64, MATCH(TRUNC(B153, 0), 'Peak Models'!$O$34:$O$64, 0))</f>
        <v>#N/A</v>
      </c>
      <c r="M153" s="28">
        <f>'Peak Models'!$P$15*INDEX('Peak Models'!$Q$34:$Q$64, MATCH(TRUNC(B153, 0),'Peak Models'!$O$34:$O$64, 0))/'Profit per cycles Model'!$E$78</f>
        <v>5.0677205882352938</v>
      </c>
      <c r="N153" s="28" t="e">
        <f t="shared" si="37"/>
        <v>#N/A</v>
      </c>
      <c r="O153" s="71" t="e">
        <f>AVERAGE($N$10:N153)</f>
        <v>#N/A</v>
      </c>
      <c r="P153" s="28" t="e">
        <f t="shared" si="38"/>
        <v>#N/A</v>
      </c>
      <c r="R153" s="28" t="e">
        <f t="shared" si="39"/>
        <v>#VALUE!</v>
      </c>
      <c r="S153" s="25"/>
      <c r="T153" s="25">
        <f t="shared" si="40"/>
        <v>15</v>
      </c>
      <c r="U153" s="33">
        <f>IF(PaybackCustom&gt;0, IF(PaybackCustom&lt;&gt;"Default", PaybackCustom, IF(PaybackStatus&lt;&gt;"",INDEX('Arbitrage Payback Engine'!$Y$2:$Y$6,MATCH(PaybackStatus,'Arbitrage Payback Engine'!$X$2:$X$6,FALSE)),-1)))</f>
        <v>25</v>
      </c>
      <c r="V153" s="32">
        <f t="shared" si="49"/>
        <v>15</v>
      </c>
      <c r="X153" s="29">
        <f t="shared" si="50"/>
        <v>144</v>
      </c>
      <c r="Z153" s="30">
        <f t="shared" si="41"/>
        <v>3.9446651143678948</v>
      </c>
      <c r="AA153" s="28" t="e">
        <f t="shared" si="42"/>
        <v>#N/A</v>
      </c>
      <c r="AB153" s="28" t="e">
        <f t="shared" si="43"/>
        <v>#VALUE!</v>
      </c>
      <c r="AC153" s="29">
        <f t="shared" si="44"/>
        <v>136.62239089184061</v>
      </c>
      <c r="AD153" s="28" t="e">
        <f t="shared" si="45"/>
        <v>#VALUE!</v>
      </c>
      <c r="AE153" s="28" t="e">
        <f t="shared" si="46"/>
        <v>#N/A</v>
      </c>
      <c r="AF153" s="28" t="e">
        <f t="shared" si="47"/>
        <v>#VALUE!</v>
      </c>
      <c r="AH153" s="31" t="e">
        <f t="shared" si="48"/>
        <v>#N/A</v>
      </c>
      <c r="AI153" s="25"/>
      <c r="AJ153" s="31"/>
    </row>
    <row r="154" spans="2:36" x14ac:dyDescent="0.25">
      <c r="B154" s="33">
        <f>'Arbitrage Payback Engine'!E154</f>
        <v>3.9720586221065606</v>
      </c>
      <c r="C154" s="33">
        <f t="shared" si="34"/>
        <v>1000</v>
      </c>
      <c r="D154" s="33">
        <f>'Battery Pricing Model'!$C$17</f>
        <v>1000</v>
      </c>
      <c r="E154" s="33">
        <f t="shared" si="35"/>
        <v>999</v>
      </c>
      <c r="F154" s="33" t="str">
        <f>'Peak Models'!$B$4</f>
        <v>Default</v>
      </c>
      <c r="G154" s="33" t="e">
        <f>'Peak Models'!$Q$7</f>
        <v>#VALUE!</v>
      </c>
      <c r="H154" s="33">
        <f>'Peak Models'!$P$16</f>
        <v>1.5</v>
      </c>
      <c r="I154" s="33">
        <v>12</v>
      </c>
      <c r="J154" s="33" t="e">
        <f>'Peak Models'!$P$13</f>
        <v>#N/A</v>
      </c>
      <c r="K154" s="28" t="e">
        <f t="shared" si="36"/>
        <v>#VALUE!</v>
      </c>
      <c r="L154" s="28" t="e">
        <f>INDEX('Peak Models'!$P$34:$P$64, MATCH(TRUNC(B154, 0), 'Peak Models'!$O$34:$O$64, 0))</f>
        <v>#N/A</v>
      </c>
      <c r="M154" s="28">
        <f>'Peak Models'!$P$15*INDEX('Peak Models'!$Q$34:$Q$64, MATCH(TRUNC(B154, 0),'Peak Models'!$O$34:$O$64, 0))/'Profit per cycles Model'!$E$78</f>
        <v>5.0677205882352938</v>
      </c>
      <c r="N154" s="28" t="e">
        <f t="shared" si="37"/>
        <v>#N/A</v>
      </c>
      <c r="O154" s="71" t="e">
        <f>AVERAGE($N$10:N154)</f>
        <v>#N/A</v>
      </c>
      <c r="P154" s="28" t="e">
        <f t="shared" si="38"/>
        <v>#N/A</v>
      </c>
      <c r="R154" s="28" t="e">
        <f t="shared" si="39"/>
        <v>#VALUE!</v>
      </c>
      <c r="S154" s="25"/>
      <c r="T154" s="25">
        <f t="shared" si="40"/>
        <v>15</v>
      </c>
      <c r="U154" s="33">
        <f>IF(PaybackCustom&gt;0, IF(PaybackCustom&lt;&gt;"Default", PaybackCustom, IF(PaybackStatus&lt;&gt;"",INDEX('Arbitrage Payback Engine'!$Y$2:$Y$6,MATCH(PaybackStatus,'Arbitrage Payback Engine'!$X$2:$X$6,FALSE)),-1)))</f>
        <v>25</v>
      </c>
      <c r="V154" s="32">
        <f t="shared" si="49"/>
        <v>15</v>
      </c>
      <c r="X154" s="29">
        <f t="shared" si="50"/>
        <v>145</v>
      </c>
      <c r="Z154" s="30">
        <f t="shared" si="41"/>
        <v>3.9720586221065606</v>
      </c>
      <c r="AA154" s="28" t="e">
        <f t="shared" si="42"/>
        <v>#N/A</v>
      </c>
      <c r="AB154" s="28" t="e">
        <f t="shared" si="43"/>
        <v>#VALUE!</v>
      </c>
      <c r="AC154" s="29">
        <f t="shared" si="44"/>
        <v>137.57115749525616</v>
      </c>
      <c r="AD154" s="28" t="e">
        <f t="shared" si="45"/>
        <v>#VALUE!</v>
      </c>
      <c r="AE154" s="28" t="e">
        <f t="shared" si="46"/>
        <v>#N/A</v>
      </c>
      <c r="AF154" s="28" t="e">
        <f t="shared" si="47"/>
        <v>#VALUE!</v>
      </c>
      <c r="AH154" s="31" t="e">
        <f t="shared" si="48"/>
        <v>#N/A</v>
      </c>
      <c r="AI154" s="25"/>
      <c r="AJ154" s="31"/>
    </row>
    <row r="155" spans="2:36" x14ac:dyDescent="0.25">
      <c r="B155" s="33">
        <f>'Arbitrage Payback Engine'!E155</f>
        <v>3.9994521298452264</v>
      </c>
      <c r="C155" s="33">
        <f t="shared" si="34"/>
        <v>1000</v>
      </c>
      <c r="D155" s="33">
        <f>'Battery Pricing Model'!$C$17</f>
        <v>1000</v>
      </c>
      <c r="E155" s="33">
        <f t="shared" si="35"/>
        <v>999</v>
      </c>
      <c r="F155" s="33" t="str">
        <f>'Peak Models'!$B$4</f>
        <v>Default</v>
      </c>
      <c r="G155" s="33" t="e">
        <f>'Peak Models'!$Q$7</f>
        <v>#VALUE!</v>
      </c>
      <c r="H155" s="33">
        <f>'Peak Models'!$P$16</f>
        <v>1.5</v>
      </c>
      <c r="I155" s="33">
        <v>12</v>
      </c>
      <c r="J155" s="33" t="e">
        <f>'Peak Models'!$P$13</f>
        <v>#N/A</v>
      </c>
      <c r="K155" s="28" t="e">
        <f t="shared" si="36"/>
        <v>#VALUE!</v>
      </c>
      <c r="L155" s="28" t="e">
        <f>INDEX('Peak Models'!$P$34:$P$64, MATCH(TRUNC(B155, 0), 'Peak Models'!$O$34:$O$64, 0))</f>
        <v>#N/A</v>
      </c>
      <c r="M155" s="28">
        <f>'Peak Models'!$P$15*INDEX('Peak Models'!$Q$34:$Q$64, MATCH(TRUNC(B155, 0),'Peak Models'!$O$34:$O$64, 0))/'Profit per cycles Model'!$E$78</f>
        <v>5.0677205882352938</v>
      </c>
      <c r="N155" s="28" t="e">
        <f t="shared" si="37"/>
        <v>#N/A</v>
      </c>
      <c r="O155" s="71" t="e">
        <f>AVERAGE($N$10:N155)</f>
        <v>#N/A</v>
      </c>
      <c r="P155" s="28" t="e">
        <f t="shared" si="38"/>
        <v>#N/A</v>
      </c>
      <c r="R155" s="28" t="e">
        <f t="shared" si="39"/>
        <v>#VALUE!</v>
      </c>
      <c r="S155" s="25"/>
      <c r="T155" s="25">
        <f t="shared" si="40"/>
        <v>15</v>
      </c>
      <c r="U155" s="33">
        <f>IF(PaybackCustom&gt;0, IF(PaybackCustom&lt;&gt;"Default", PaybackCustom, IF(PaybackStatus&lt;&gt;"",INDEX('Arbitrage Payback Engine'!$Y$2:$Y$6,MATCH(PaybackStatus,'Arbitrage Payback Engine'!$X$2:$X$6,FALSE)),-1)))</f>
        <v>25</v>
      </c>
      <c r="V155" s="32">
        <f t="shared" si="49"/>
        <v>15</v>
      </c>
      <c r="X155" s="29">
        <f t="shared" si="50"/>
        <v>146</v>
      </c>
      <c r="Z155" s="30">
        <f t="shared" si="41"/>
        <v>3.9994521298452264</v>
      </c>
      <c r="AA155" s="28" t="e">
        <f t="shared" si="42"/>
        <v>#N/A</v>
      </c>
      <c r="AB155" s="28" t="e">
        <f t="shared" si="43"/>
        <v>#VALUE!</v>
      </c>
      <c r="AC155" s="29">
        <f t="shared" si="44"/>
        <v>138.51992409867174</v>
      </c>
      <c r="AD155" s="28" t="e">
        <f t="shared" si="45"/>
        <v>#VALUE!</v>
      </c>
      <c r="AE155" s="28" t="e">
        <f t="shared" si="46"/>
        <v>#N/A</v>
      </c>
      <c r="AF155" s="28" t="e">
        <f t="shared" si="47"/>
        <v>#VALUE!</v>
      </c>
      <c r="AH155" s="31" t="e">
        <f t="shared" si="48"/>
        <v>#N/A</v>
      </c>
      <c r="AI155" s="25"/>
      <c r="AJ155" s="31"/>
    </row>
    <row r="156" spans="2:36" x14ac:dyDescent="0.25">
      <c r="B156" s="33">
        <f>'Arbitrage Payback Engine'!E156</f>
        <v>4.0268456375838921</v>
      </c>
      <c r="C156" s="33">
        <f t="shared" si="34"/>
        <v>1000</v>
      </c>
      <c r="D156" s="33">
        <f>'Battery Pricing Model'!$C$17</f>
        <v>1000</v>
      </c>
      <c r="E156" s="33">
        <f t="shared" si="35"/>
        <v>999</v>
      </c>
      <c r="F156" s="33" t="str">
        <f>'Peak Models'!$B$4</f>
        <v>Default</v>
      </c>
      <c r="G156" s="33" t="e">
        <f>'Peak Models'!$Q$7</f>
        <v>#VALUE!</v>
      </c>
      <c r="H156" s="33">
        <f>'Peak Models'!$P$16</f>
        <v>1.5</v>
      </c>
      <c r="I156" s="33">
        <v>12</v>
      </c>
      <c r="J156" s="33" t="e">
        <f>'Peak Models'!$P$13</f>
        <v>#N/A</v>
      </c>
      <c r="K156" s="28" t="e">
        <f t="shared" si="36"/>
        <v>#VALUE!</v>
      </c>
      <c r="L156" s="28" t="e">
        <f>INDEX('Peak Models'!$P$34:$P$64, MATCH(TRUNC(B156, 0), 'Peak Models'!$O$34:$O$64, 0))</f>
        <v>#N/A</v>
      </c>
      <c r="M156" s="28">
        <f>'Peak Models'!$P$15*INDEX('Peak Models'!$Q$34:$Q$64, MATCH(TRUNC(B156, 0),'Peak Models'!$O$34:$O$64, 0))/'Profit per cycles Model'!$E$78</f>
        <v>5.1944136029411752</v>
      </c>
      <c r="N156" s="28" t="e">
        <f t="shared" si="37"/>
        <v>#N/A</v>
      </c>
      <c r="O156" s="71" t="e">
        <f>AVERAGE($N$10:N156)</f>
        <v>#N/A</v>
      </c>
      <c r="P156" s="28" t="e">
        <f t="shared" si="38"/>
        <v>#N/A</v>
      </c>
      <c r="R156" s="28" t="e">
        <f t="shared" si="39"/>
        <v>#VALUE!</v>
      </c>
      <c r="S156" s="25"/>
      <c r="T156" s="25">
        <f t="shared" si="40"/>
        <v>15</v>
      </c>
      <c r="U156" s="33">
        <f>IF(PaybackCustom&gt;0, IF(PaybackCustom&lt;&gt;"Default", PaybackCustom, IF(PaybackStatus&lt;&gt;"",INDEX('Arbitrage Payback Engine'!$Y$2:$Y$6,MATCH(PaybackStatus,'Arbitrage Payback Engine'!$X$2:$X$6,FALSE)),-1)))</f>
        <v>25</v>
      </c>
      <c r="V156" s="32">
        <f t="shared" si="49"/>
        <v>15</v>
      </c>
      <c r="X156" s="29">
        <f t="shared" si="50"/>
        <v>147</v>
      </c>
      <c r="Z156" s="30">
        <f t="shared" si="41"/>
        <v>4.0268456375838921</v>
      </c>
      <c r="AA156" s="28" t="e">
        <f t="shared" si="42"/>
        <v>#N/A</v>
      </c>
      <c r="AB156" s="28" t="e">
        <f t="shared" si="43"/>
        <v>#VALUE!</v>
      </c>
      <c r="AC156" s="29">
        <f t="shared" si="44"/>
        <v>139.46869070208729</v>
      </c>
      <c r="AD156" s="28" t="e">
        <f t="shared" si="45"/>
        <v>#VALUE!</v>
      </c>
      <c r="AE156" s="28" t="e">
        <f t="shared" si="46"/>
        <v>#N/A</v>
      </c>
      <c r="AF156" s="28" t="e">
        <f t="shared" si="47"/>
        <v>#VALUE!</v>
      </c>
      <c r="AH156" s="31" t="e">
        <f t="shared" si="48"/>
        <v>#N/A</v>
      </c>
      <c r="AI156" s="25"/>
      <c r="AJ156" s="31"/>
    </row>
    <row r="157" spans="2:36" x14ac:dyDescent="0.25">
      <c r="B157" s="33">
        <f>'Arbitrage Payback Engine'!E157</f>
        <v>4.0542391453225584</v>
      </c>
      <c r="C157" s="33">
        <f t="shared" si="34"/>
        <v>1000</v>
      </c>
      <c r="D157" s="33">
        <f>'Battery Pricing Model'!$C$17</f>
        <v>1000</v>
      </c>
      <c r="E157" s="33">
        <f t="shared" si="35"/>
        <v>999</v>
      </c>
      <c r="F157" s="33" t="str">
        <f>'Peak Models'!$B$4</f>
        <v>Default</v>
      </c>
      <c r="G157" s="33" t="e">
        <f>'Peak Models'!$Q$7</f>
        <v>#VALUE!</v>
      </c>
      <c r="H157" s="33">
        <f>'Peak Models'!$P$16</f>
        <v>1.5</v>
      </c>
      <c r="I157" s="33">
        <v>12</v>
      </c>
      <c r="J157" s="33" t="e">
        <f>'Peak Models'!$P$13</f>
        <v>#N/A</v>
      </c>
      <c r="K157" s="28" t="e">
        <f t="shared" si="36"/>
        <v>#VALUE!</v>
      </c>
      <c r="L157" s="28" t="e">
        <f>INDEX('Peak Models'!$P$34:$P$64, MATCH(TRUNC(B157, 0), 'Peak Models'!$O$34:$O$64, 0))</f>
        <v>#N/A</v>
      </c>
      <c r="M157" s="28">
        <f>'Peak Models'!$P$15*INDEX('Peak Models'!$Q$34:$Q$64, MATCH(TRUNC(B157, 0),'Peak Models'!$O$34:$O$64, 0))/'Profit per cycles Model'!$E$78</f>
        <v>5.1944136029411752</v>
      </c>
      <c r="N157" s="28" t="e">
        <f t="shared" si="37"/>
        <v>#N/A</v>
      </c>
      <c r="O157" s="71" t="e">
        <f>AVERAGE($N$10:N157)</f>
        <v>#N/A</v>
      </c>
      <c r="P157" s="28" t="e">
        <f t="shared" si="38"/>
        <v>#N/A</v>
      </c>
      <c r="R157" s="28" t="e">
        <f t="shared" si="39"/>
        <v>#VALUE!</v>
      </c>
      <c r="S157" s="25"/>
      <c r="T157" s="25">
        <f t="shared" si="40"/>
        <v>15</v>
      </c>
      <c r="U157" s="33">
        <f>IF(PaybackCustom&gt;0, IF(PaybackCustom&lt;&gt;"Default", PaybackCustom, IF(PaybackStatus&lt;&gt;"",INDEX('Arbitrage Payback Engine'!$Y$2:$Y$6,MATCH(PaybackStatus,'Arbitrage Payback Engine'!$X$2:$X$6,FALSE)),-1)))</f>
        <v>25</v>
      </c>
      <c r="V157" s="32">
        <f t="shared" si="49"/>
        <v>15</v>
      </c>
      <c r="X157" s="29">
        <f t="shared" si="50"/>
        <v>148</v>
      </c>
      <c r="Z157" s="30">
        <f t="shared" si="41"/>
        <v>4.0542391453225584</v>
      </c>
      <c r="AA157" s="28" t="e">
        <f t="shared" si="42"/>
        <v>#N/A</v>
      </c>
      <c r="AB157" s="28" t="e">
        <f t="shared" si="43"/>
        <v>#VALUE!</v>
      </c>
      <c r="AC157" s="29">
        <f t="shared" si="44"/>
        <v>140.41745730550284</v>
      </c>
      <c r="AD157" s="28" t="e">
        <f t="shared" si="45"/>
        <v>#VALUE!</v>
      </c>
      <c r="AE157" s="28" t="e">
        <f t="shared" si="46"/>
        <v>#N/A</v>
      </c>
      <c r="AF157" s="28" t="e">
        <f t="shared" si="47"/>
        <v>#VALUE!</v>
      </c>
      <c r="AH157" s="31" t="e">
        <f t="shared" si="48"/>
        <v>#N/A</v>
      </c>
      <c r="AI157" s="25"/>
      <c r="AJ157" s="31"/>
    </row>
    <row r="158" spans="2:36" x14ac:dyDescent="0.25">
      <c r="B158" s="33">
        <f>'Arbitrage Payback Engine'!E158</f>
        <v>4.0816326530612246</v>
      </c>
      <c r="C158" s="33">
        <f t="shared" si="34"/>
        <v>1000</v>
      </c>
      <c r="D158" s="33">
        <f>'Battery Pricing Model'!$C$17</f>
        <v>1000</v>
      </c>
      <c r="E158" s="33">
        <f t="shared" si="35"/>
        <v>999</v>
      </c>
      <c r="F158" s="33" t="str">
        <f>'Peak Models'!$B$4</f>
        <v>Default</v>
      </c>
      <c r="G158" s="33" t="e">
        <f>'Peak Models'!$Q$7</f>
        <v>#VALUE!</v>
      </c>
      <c r="H158" s="33">
        <f>'Peak Models'!$P$16</f>
        <v>1.5</v>
      </c>
      <c r="I158" s="33">
        <v>12</v>
      </c>
      <c r="J158" s="33" t="e">
        <f>'Peak Models'!$P$13</f>
        <v>#N/A</v>
      </c>
      <c r="K158" s="28" t="e">
        <f t="shared" si="36"/>
        <v>#VALUE!</v>
      </c>
      <c r="L158" s="28" t="e">
        <f>INDEX('Peak Models'!$P$34:$P$64, MATCH(TRUNC(B158, 0), 'Peak Models'!$O$34:$O$64, 0))</f>
        <v>#N/A</v>
      </c>
      <c r="M158" s="28">
        <f>'Peak Models'!$P$15*INDEX('Peak Models'!$Q$34:$Q$64, MATCH(TRUNC(B158, 0),'Peak Models'!$O$34:$O$64, 0))/'Profit per cycles Model'!$E$78</f>
        <v>5.1944136029411752</v>
      </c>
      <c r="N158" s="28" t="e">
        <f t="shared" si="37"/>
        <v>#N/A</v>
      </c>
      <c r="O158" s="71" t="e">
        <f>AVERAGE($N$10:N158)</f>
        <v>#N/A</v>
      </c>
      <c r="P158" s="28" t="e">
        <f t="shared" si="38"/>
        <v>#N/A</v>
      </c>
      <c r="R158" s="28" t="e">
        <f t="shared" si="39"/>
        <v>#VALUE!</v>
      </c>
      <c r="S158" s="25"/>
      <c r="T158" s="25">
        <f t="shared" si="40"/>
        <v>15</v>
      </c>
      <c r="U158" s="33">
        <f>IF(PaybackCustom&gt;0, IF(PaybackCustom&lt;&gt;"Default", PaybackCustom, IF(PaybackStatus&lt;&gt;"",INDEX('Arbitrage Payback Engine'!$Y$2:$Y$6,MATCH(PaybackStatus,'Arbitrage Payback Engine'!$X$2:$X$6,FALSE)),-1)))</f>
        <v>25</v>
      </c>
      <c r="V158" s="32">
        <f t="shared" si="49"/>
        <v>15</v>
      </c>
      <c r="X158" s="29">
        <f t="shared" si="50"/>
        <v>149</v>
      </c>
      <c r="Z158" s="30">
        <f t="shared" si="41"/>
        <v>4.0816326530612246</v>
      </c>
      <c r="AA158" s="28" t="e">
        <f t="shared" si="42"/>
        <v>#N/A</v>
      </c>
      <c r="AB158" s="28" t="e">
        <f t="shared" si="43"/>
        <v>#VALUE!</v>
      </c>
      <c r="AC158" s="29">
        <f t="shared" si="44"/>
        <v>141.36622390891841</v>
      </c>
      <c r="AD158" s="28" t="e">
        <f t="shared" si="45"/>
        <v>#VALUE!</v>
      </c>
      <c r="AE158" s="28" t="e">
        <f t="shared" si="46"/>
        <v>#N/A</v>
      </c>
      <c r="AF158" s="28" t="e">
        <f t="shared" si="47"/>
        <v>#VALUE!</v>
      </c>
      <c r="AH158" s="31" t="e">
        <f t="shared" si="48"/>
        <v>#N/A</v>
      </c>
      <c r="AI158" s="25"/>
      <c r="AJ158" s="31"/>
    </row>
    <row r="159" spans="2:36" x14ac:dyDescent="0.25">
      <c r="B159" s="33">
        <f>'Arbitrage Payback Engine'!E159</f>
        <v>4.1090261607998899</v>
      </c>
      <c r="C159" s="33">
        <f t="shared" si="34"/>
        <v>1000</v>
      </c>
      <c r="D159" s="33">
        <f>'Battery Pricing Model'!$C$17</f>
        <v>1000</v>
      </c>
      <c r="E159" s="33">
        <f t="shared" si="35"/>
        <v>999</v>
      </c>
      <c r="F159" s="33" t="str">
        <f>'Peak Models'!$B$4</f>
        <v>Default</v>
      </c>
      <c r="G159" s="33" t="e">
        <f>'Peak Models'!$Q$7</f>
        <v>#VALUE!</v>
      </c>
      <c r="H159" s="33">
        <f>'Peak Models'!$P$16</f>
        <v>1.5</v>
      </c>
      <c r="I159" s="33">
        <v>12</v>
      </c>
      <c r="J159" s="33" t="e">
        <f>'Peak Models'!$P$13</f>
        <v>#N/A</v>
      </c>
      <c r="K159" s="28" t="e">
        <f t="shared" si="36"/>
        <v>#VALUE!</v>
      </c>
      <c r="L159" s="28" t="e">
        <f>INDEX('Peak Models'!$P$34:$P$64, MATCH(TRUNC(B159, 0), 'Peak Models'!$O$34:$O$64, 0))</f>
        <v>#N/A</v>
      </c>
      <c r="M159" s="28">
        <f>'Peak Models'!$P$15*INDEX('Peak Models'!$Q$34:$Q$64, MATCH(TRUNC(B159, 0),'Peak Models'!$O$34:$O$64, 0))/'Profit per cycles Model'!$E$78</f>
        <v>5.1944136029411752</v>
      </c>
      <c r="N159" s="28" t="e">
        <f t="shared" si="37"/>
        <v>#N/A</v>
      </c>
      <c r="O159" s="71" t="e">
        <f>AVERAGE($N$10:N159)</f>
        <v>#N/A</v>
      </c>
      <c r="P159" s="28" t="e">
        <f t="shared" si="38"/>
        <v>#N/A</v>
      </c>
      <c r="R159" s="28" t="e">
        <f t="shared" si="39"/>
        <v>#VALUE!</v>
      </c>
      <c r="S159" s="25"/>
      <c r="T159" s="25">
        <f t="shared" si="40"/>
        <v>15</v>
      </c>
      <c r="U159" s="33">
        <f>IF(PaybackCustom&gt;0, IF(PaybackCustom&lt;&gt;"Default", PaybackCustom, IF(PaybackStatus&lt;&gt;"",INDEX('Arbitrage Payback Engine'!$Y$2:$Y$6,MATCH(PaybackStatus,'Arbitrage Payback Engine'!$X$2:$X$6,FALSE)),-1)))</f>
        <v>25</v>
      </c>
      <c r="V159" s="32">
        <f t="shared" si="49"/>
        <v>15</v>
      </c>
      <c r="X159" s="29">
        <f t="shared" si="50"/>
        <v>150</v>
      </c>
      <c r="Z159" s="30">
        <f t="shared" si="41"/>
        <v>4.1090261607998899</v>
      </c>
      <c r="AA159" s="28" t="e">
        <f t="shared" si="42"/>
        <v>#N/A</v>
      </c>
      <c r="AB159" s="28" t="e">
        <f t="shared" si="43"/>
        <v>#VALUE!</v>
      </c>
      <c r="AC159" s="29">
        <f t="shared" si="44"/>
        <v>142.31499051233396</v>
      </c>
      <c r="AD159" s="28" t="e">
        <f t="shared" si="45"/>
        <v>#VALUE!</v>
      </c>
      <c r="AE159" s="28" t="e">
        <f t="shared" si="46"/>
        <v>#N/A</v>
      </c>
      <c r="AF159" s="28" t="e">
        <f t="shared" si="47"/>
        <v>#VALUE!</v>
      </c>
      <c r="AH159" s="31" t="e">
        <f t="shared" si="48"/>
        <v>#N/A</v>
      </c>
      <c r="AI159" s="25"/>
      <c r="AJ159" s="31"/>
    </row>
    <row r="160" spans="2:36" x14ac:dyDescent="0.25">
      <c r="B160" s="33">
        <f>'Arbitrage Payback Engine'!E160</f>
        <v>4.1364196685385561</v>
      </c>
      <c r="C160" s="33">
        <f t="shared" si="34"/>
        <v>1000</v>
      </c>
      <c r="D160" s="33">
        <f>'Battery Pricing Model'!$C$17</f>
        <v>1000</v>
      </c>
      <c r="E160" s="33">
        <f t="shared" si="35"/>
        <v>999</v>
      </c>
      <c r="F160" s="33" t="str">
        <f>'Peak Models'!$B$4</f>
        <v>Default</v>
      </c>
      <c r="G160" s="33" t="e">
        <f>'Peak Models'!$Q$7</f>
        <v>#VALUE!</v>
      </c>
      <c r="H160" s="33">
        <f>'Peak Models'!$P$16</f>
        <v>1.5</v>
      </c>
      <c r="I160" s="33">
        <v>12</v>
      </c>
      <c r="J160" s="33" t="e">
        <f>'Peak Models'!$P$13</f>
        <v>#N/A</v>
      </c>
      <c r="K160" s="28" t="e">
        <f t="shared" si="36"/>
        <v>#VALUE!</v>
      </c>
      <c r="L160" s="28" t="e">
        <f>INDEX('Peak Models'!$P$34:$P$64, MATCH(TRUNC(B160, 0), 'Peak Models'!$O$34:$O$64, 0))</f>
        <v>#N/A</v>
      </c>
      <c r="M160" s="28">
        <f>'Peak Models'!$P$15*INDEX('Peak Models'!$Q$34:$Q$64, MATCH(TRUNC(B160, 0),'Peak Models'!$O$34:$O$64, 0))/'Profit per cycles Model'!$E$78</f>
        <v>5.1944136029411752</v>
      </c>
      <c r="N160" s="28" t="e">
        <f t="shared" si="37"/>
        <v>#N/A</v>
      </c>
      <c r="O160" s="71" t="e">
        <f>AVERAGE($N$10:N160)</f>
        <v>#N/A</v>
      </c>
      <c r="P160" s="28" t="e">
        <f t="shared" si="38"/>
        <v>#N/A</v>
      </c>
      <c r="R160" s="28" t="e">
        <f t="shared" si="39"/>
        <v>#VALUE!</v>
      </c>
      <c r="S160" s="25"/>
      <c r="T160" s="25">
        <f t="shared" si="40"/>
        <v>15</v>
      </c>
      <c r="U160" s="33">
        <f>IF(PaybackCustom&gt;0, IF(PaybackCustom&lt;&gt;"Default", PaybackCustom, IF(PaybackStatus&lt;&gt;"",INDEX('Arbitrage Payback Engine'!$Y$2:$Y$6,MATCH(PaybackStatus,'Arbitrage Payback Engine'!$X$2:$X$6,FALSE)),-1)))</f>
        <v>25</v>
      </c>
      <c r="V160" s="32">
        <f t="shared" si="49"/>
        <v>15</v>
      </c>
      <c r="X160" s="29">
        <f t="shared" si="50"/>
        <v>151</v>
      </c>
      <c r="Z160" s="30">
        <f t="shared" si="41"/>
        <v>4.1364196685385561</v>
      </c>
      <c r="AA160" s="28" t="e">
        <f t="shared" si="42"/>
        <v>#N/A</v>
      </c>
      <c r="AB160" s="28" t="e">
        <f t="shared" si="43"/>
        <v>#VALUE!</v>
      </c>
      <c r="AC160" s="29">
        <f t="shared" si="44"/>
        <v>143.26375711574951</v>
      </c>
      <c r="AD160" s="28" t="e">
        <f t="shared" si="45"/>
        <v>#VALUE!</v>
      </c>
      <c r="AE160" s="28" t="e">
        <f t="shared" si="46"/>
        <v>#N/A</v>
      </c>
      <c r="AF160" s="28" t="e">
        <f t="shared" si="47"/>
        <v>#VALUE!</v>
      </c>
      <c r="AH160" s="31" t="e">
        <f t="shared" si="48"/>
        <v>#N/A</v>
      </c>
      <c r="AI160" s="25"/>
      <c r="AJ160" s="31"/>
    </row>
    <row r="161" spans="2:36" x14ac:dyDescent="0.25">
      <c r="B161" s="33">
        <f>'Arbitrage Payback Engine'!E161</f>
        <v>4.1638131762772224</v>
      </c>
      <c r="C161" s="33">
        <f t="shared" si="34"/>
        <v>1000</v>
      </c>
      <c r="D161" s="33">
        <f>'Battery Pricing Model'!$C$17</f>
        <v>1000</v>
      </c>
      <c r="E161" s="33">
        <f t="shared" si="35"/>
        <v>999</v>
      </c>
      <c r="F161" s="33" t="str">
        <f>'Peak Models'!$B$4</f>
        <v>Default</v>
      </c>
      <c r="G161" s="33" t="e">
        <f>'Peak Models'!$Q$7</f>
        <v>#VALUE!</v>
      </c>
      <c r="H161" s="33">
        <f>'Peak Models'!$P$16</f>
        <v>1.5</v>
      </c>
      <c r="I161" s="33">
        <v>12</v>
      </c>
      <c r="J161" s="33" t="e">
        <f>'Peak Models'!$P$13</f>
        <v>#N/A</v>
      </c>
      <c r="K161" s="28" t="e">
        <f t="shared" si="36"/>
        <v>#VALUE!</v>
      </c>
      <c r="L161" s="28" t="e">
        <f>INDEX('Peak Models'!$P$34:$P$64, MATCH(TRUNC(B161, 0), 'Peak Models'!$O$34:$O$64, 0))</f>
        <v>#N/A</v>
      </c>
      <c r="M161" s="28">
        <f>'Peak Models'!$P$15*INDEX('Peak Models'!$Q$34:$Q$64, MATCH(TRUNC(B161, 0),'Peak Models'!$O$34:$O$64, 0))/'Profit per cycles Model'!$E$78</f>
        <v>5.1944136029411752</v>
      </c>
      <c r="N161" s="28" t="e">
        <f t="shared" si="37"/>
        <v>#N/A</v>
      </c>
      <c r="O161" s="71" t="e">
        <f>AVERAGE($N$10:N161)</f>
        <v>#N/A</v>
      </c>
      <c r="P161" s="28" t="e">
        <f t="shared" si="38"/>
        <v>#N/A</v>
      </c>
      <c r="R161" s="28" t="e">
        <f t="shared" si="39"/>
        <v>#VALUE!</v>
      </c>
      <c r="S161" s="25"/>
      <c r="T161" s="25">
        <f t="shared" si="40"/>
        <v>15</v>
      </c>
      <c r="U161" s="33">
        <f>IF(PaybackCustom&gt;0, IF(PaybackCustom&lt;&gt;"Default", PaybackCustom, IF(PaybackStatus&lt;&gt;"",INDEX('Arbitrage Payback Engine'!$Y$2:$Y$6,MATCH(PaybackStatus,'Arbitrage Payback Engine'!$X$2:$X$6,FALSE)),-1)))</f>
        <v>25</v>
      </c>
      <c r="V161" s="32">
        <f t="shared" si="49"/>
        <v>15</v>
      </c>
      <c r="X161" s="29">
        <f t="shared" si="50"/>
        <v>152</v>
      </c>
      <c r="Z161" s="30">
        <f t="shared" si="41"/>
        <v>4.1638131762772224</v>
      </c>
      <c r="AA161" s="28" t="e">
        <f t="shared" si="42"/>
        <v>#N/A</v>
      </c>
      <c r="AB161" s="28" t="e">
        <f t="shared" si="43"/>
        <v>#VALUE!</v>
      </c>
      <c r="AC161" s="29">
        <f t="shared" si="44"/>
        <v>144.21252371916512</v>
      </c>
      <c r="AD161" s="28" t="e">
        <f t="shared" si="45"/>
        <v>#VALUE!</v>
      </c>
      <c r="AE161" s="28" t="e">
        <f t="shared" si="46"/>
        <v>#N/A</v>
      </c>
      <c r="AF161" s="28" t="e">
        <f t="shared" si="47"/>
        <v>#VALUE!</v>
      </c>
      <c r="AH161" s="31" t="e">
        <f t="shared" si="48"/>
        <v>#N/A</v>
      </c>
      <c r="AI161" s="25"/>
      <c r="AJ161" s="31"/>
    </row>
    <row r="162" spans="2:36" x14ac:dyDescent="0.25">
      <c r="B162" s="33">
        <f>'Arbitrage Payback Engine'!E162</f>
        <v>4.1912066840158877</v>
      </c>
      <c r="C162" s="33">
        <f t="shared" si="34"/>
        <v>1000</v>
      </c>
      <c r="D162" s="33">
        <f>'Battery Pricing Model'!$C$17</f>
        <v>1000</v>
      </c>
      <c r="E162" s="33">
        <f t="shared" si="35"/>
        <v>999</v>
      </c>
      <c r="F162" s="33" t="str">
        <f>'Peak Models'!$B$4</f>
        <v>Default</v>
      </c>
      <c r="G162" s="33" t="e">
        <f>'Peak Models'!$Q$7</f>
        <v>#VALUE!</v>
      </c>
      <c r="H162" s="33">
        <f>'Peak Models'!$P$16</f>
        <v>1.5</v>
      </c>
      <c r="I162" s="33">
        <v>12</v>
      </c>
      <c r="J162" s="33" t="e">
        <f>'Peak Models'!$P$13</f>
        <v>#N/A</v>
      </c>
      <c r="K162" s="28" t="e">
        <f t="shared" si="36"/>
        <v>#VALUE!</v>
      </c>
      <c r="L162" s="28" t="e">
        <f>INDEX('Peak Models'!$P$34:$P$64, MATCH(TRUNC(B162, 0), 'Peak Models'!$O$34:$O$64, 0))</f>
        <v>#N/A</v>
      </c>
      <c r="M162" s="28">
        <f>'Peak Models'!$P$15*INDEX('Peak Models'!$Q$34:$Q$64, MATCH(TRUNC(B162, 0),'Peak Models'!$O$34:$O$64, 0))/'Profit per cycles Model'!$E$78</f>
        <v>5.1944136029411752</v>
      </c>
      <c r="N162" s="28" t="e">
        <f t="shared" si="37"/>
        <v>#N/A</v>
      </c>
      <c r="O162" s="71" t="e">
        <f>AVERAGE($N$10:N162)</f>
        <v>#N/A</v>
      </c>
      <c r="P162" s="28" t="e">
        <f t="shared" si="38"/>
        <v>#N/A</v>
      </c>
      <c r="R162" s="28" t="e">
        <f t="shared" si="39"/>
        <v>#VALUE!</v>
      </c>
      <c r="S162" s="25"/>
      <c r="T162" s="25">
        <f t="shared" si="40"/>
        <v>15</v>
      </c>
      <c r="U162" s="33">
        <f>IF(PaybackCustom&gt;0, IF(PaybackCustom&lt;&gt;"Default", PaybackCustom, IF(PaybackStatus&lt;&gt;"",INDEX('Arbitrage Payback Engine'!$Y$2:$Y$6,MATCH(PaybackStatus,'Arbitrage Payback Engine'!$X$2:$X$6,FALSE)),-1)))</f>
        <v>25</v>
      </c>
      <c r="V162" s="32">
        <f t="shared" si="49"/>
        <v>15</v>
      </c>
      <c r="X162" s="29">
        <f t="shared" si="50"/>
        <v>153</v>
      </c>
      <c r="Z162" s="30">
        <f t="shared" si="41"/>
        <v>4.1912066840158877</v>
      </c>
      <c r="AA162" s="28" t="e">
        <f t="shared" si="42"/>
        <v>#N/A</v>
      </c>
      <c r="AB162" s="28" t="e">
        <f t="shared" si="43"/>
        <v>#VALUE!</v>
      </c>
      <c r="AC162" s="29">
        <f t="shared" si="44"/>
        <v>145.16129032258064</v>
      </c>
      <c r="AD162" s="28" t="e">
        <f t="shared" si="45"/>
        <v>#VALUE!</v>
      </c>
      <c r="AE162" s="28" t="e">
        <f t="shared" si="46"/>
        <v>#N/A</v>
      </c>
      <c r="AF162" s="28" t="e">
        <f t="shared" si="47"/>
        <v>#VALUE!</v>
      </c>
      <c r="AH162" s="31" t="e">
        <f t="shared" si="48"/>
        <v>#N/A</v>
      </c>
      <c r="AI162" s="25"/>
      <c r="AJ162" s="31"/>
    </row>
    <row r="163" spans="2:36" x14ac:dyDescent="0.25">
      <c r="B163" s="33">
        <f>'Arbitrage Payback Engine'!E163</f>
        <v>4.2186001917545539</v>
      </c>
      <c r="C163" s="33">
        <f t="shared" si="34"/>
        <v>1000</v>
      </c>
      <c r="D163" s="33">
        <f>'Battery Pricing Model'!$C$17</f>
        <v>1000</v>
      </c>
      <c r="E163" s="33">
        <f t="shared" si="35"/>
        <v>999</v>
      </c>
      <c r="F163" s="33" t="str">
        <f>'Peak Models'!$B$4</f>
        <v>Default</v>
      </c>
      <c r="G163" s="33" t="e">
        <f>'Peak Models'!$Q$7</f>
        <v>#VALUE!</v>
      </c>
      <c r="H163" s="33">
        <f>'Peak Models'!$P$16</f>
        <v>1.5</v>
      </c>
      <c r="I163" s="33">
        <v>12</v>
      </c>
      <c r="J163" s="33" t="e">
        <f>'Peak Models'!$P$13</f>
        <v>#N/A</v>
      </c>
      <c r="K163" s="28" t="e">
        <f t="shared" si="36"/>
        <v>#VALUE!</v>
      </c>
      <c r="L163" s="28" t="e">
        <f>INDEX('Peak Models'!$P$34:$P$64, MATCH(TRUNC(B163, 0), 'Peak Models'!$O$34:$O$64, 0))</f>
        <v>#N/A</v>
      </c>
      <c r="M163" s="28">
        <f>'Peak Models'!$P$15*INDEX('Peak Models'!$Q$34:$Q$64, MATCH(TRUNC(B163, 0),'Peak Models'!$O$34:$O$64, 0))/'Profit per cycles Model'!$E$78</f>
        <v>5.1944136029411752</v>
      </c>
      <c r="N163" s="28" t="e">
        <f t="shared" si="37"/>
        <v>#N/A</v>
      </c>
      <c r="O163" s="71" t="e">
        <f>AVERAGE($N$10:N163)</f>
        <v>#N/A</v>
      </c>
      <c r="P163" s="28" t="e">
        <f t="shared" si="38"/>
        <v>#N/A</v>
      </c>
      <c r="R163" s="28" t="e">
        <f t="shared" si="39"/>
        <v>#VALUE!</v>
      </c>
      <c r="S163" s="25"/>
      <c r="T163" s="25">
        <f t="shared" si="40"/>
        <v>15</v>
      </c>
      <c r="U163" s="33">
        <f>IF(PaybackCustom&gt;0, IF(PaybackCustom&lt;&gt;"Default", PaybackCustom, IF(PaybackStatus&lt;&gt;"",INDEX('Arbitrage Payback Engine'!$Y$2:$Y$6,MATCH(PaybackStatus,'Arbitrage Payback Engine'!$X$2:$X$6,FALSE)),-1)))</f>
        <v>25</v>
      </c>
      <c r="V163" s="32">
        <f t="shared" si="49"/>
        <v>15</v>
      </c>
      <c r="X163" s="29">
        <f t="shared" si="50"/>
        <v>154</v>
      </c>
      <c r="Z163" s="30">
        <f t="shared" si="41"/>
        <v>4.2186001917545539</v>
      </c>
      <c r="AA163" s="28" t="e">
        <f t="shared" si="42"/>
        <v>#N/A</v>
      </c>
      <c r="AB163" s="28" t="e">
        <f t="shared" si="43"/>
        <v>#VALUE!</v>
      </c>
      <c r="AC163" s="29">
        <f t="shared" si="44"/>
        <v>146.11005692599619</v>
      </c>
      <c r="AD163" s="28" t="e">
        <f t="shared" si="45"/>
        <v>#VALUE!</v>
      </c>
      <c r="AE163" s="28" t="e">
        <f t="shared" si="46"/>
        <v>#N/A</v>
      </c>
      <c r="AF163" s="28" t="e">
        <f t="shared" si="47"/>
        <v>#VALUE!</v>
      </c>
      <c r="AH163" s="31" t="e">
        <f t="shared" si="48"/>
        <v>#N/A</v>
      </c>
      <c r="AI163" s="25"/>
      <c r="AJ163" s="31"/>
    </row>
    <row r="164" spans="2:36" x14ac:dyDescent="0.25">
      <c r="B164" s="33">
        <f>'Arbitrage Payback Engine'!E164</f>
        <v>4.2459936994932201</v>
      </c>
      <c r="C164" s="33">
        <f t="shared" si="34"/>
        <v>1000</v>
      </c>
      <c r="D164" s="33">
        <f>'Battery Pricing Model'!$C$17</f>
        <v>1000</v>
      </c>
      <c r="E164" s="33">
        <f t="shared" si="35"/>
        <v>999</v>
      </c>
      <c r="F164" s="33" t="str">
        <f>'Peak Models'!$B$4</f>
        <v>Default</v>
      </c>
      <c r="G164" s="33" t="e">
        <f>'Peak Models'!$Q$7</f>
        <v>#VALUE!</v>
      </c>
      <c r="H164" s="33">
        <f>'Peak Models'!$P$16</f>
        <v>1.5</v>
      </c>
      <c r="I164" s="33">
        <v>12</v>
      </c>
      <c r="J164" s="33" t="e">
        <f>'Peak Models'!$P$13</f>
        <v>#N/A</v>
      </c>
      <c r="K164" s="28" t="e">
        <f t="shared" si="36"/>
        <v>#VALUE!</v>
      </c>
      <c r="L164" s="28" t="e">
        <f>INDEX('Peak Models'!$P$34:$P$64, MATCH(TRUNC(B164, 0), 'Peak Models'!$O$34:$O$64, 0))</f>
        <v>#N/A</v>
      </c>
      <c r="M164" s="28">
        <f>'Peak Models'!$P$15*INDEX('Peak Models'!$Q$34:$Q$64, MATCH(TRUNC(B164, 0),'Peak Models'!$O$34:$O$64, 0))/'Profit per cycles Model'!$E$78</f>
        <v>5.1944136029411752</v>
      </c>
      <c r="N164" s="28" t="e">
        <f t="shared" si="37"/>
        <v>#N/A</v>
      </c>
      <c r="O164" s="71" t="e">
        <f>AVERAGE($N$10:N164)</f>
        <v>#N/A</v>
      </c>
      <c r="P164" s="28" t="e">
        <f t="shared" si="38"/>
        <v>#N/A</v>
      </c>
      <c r="R164" s="28" t="e">
        <f t="shared" si="39"/>
        <v>#VALUE!</v>
      </c>
      <c r="S164" s="25"/>
      <c r="T164" s="25">
        <f t="shared" si="40"/>
        <v>15</v>
      </c>
      <c r="U164" s="33">
        <f>IF(PaybackCustom&gt;0, IF(PaybackCustom&lt;&gt;"Default", PaybackCustom, IF(PaybackStatus&lt;&gt;"",INDEX('Arbitrage Payback Engine'!$Y$2:$Y$6,MATCH(PaybackStatus,'Arbitrage Payback Engine'!$X$2:$X$6,FALSE)),-1)))</f>
        <v>25</v>
      </c>
      <c r="V164" s="32">
        <f t="shared" si="49"/>
        <v>15</v>
      </c>
      <c r="X164" s="29">
        <f t="shared" si="50"/>
        <v>155</v>
      </c>
      <c r="Z164" s="30">
        <f t="shared" si="41"/>
        <v>4.2459936994932201</v>
      </c>
      <c r="AA164" s="28" t="e">
        <f t="shared" si="42"/>
        <v>#N/A</v>
      </c>
      <c r="AB164" s="28" t="e">
        <f t="shared" si="43"/>
        <v>#VALUE!</v>
      </c>
      <c r="AC164" s="29">
        <f t="shared" si="44"/>
        <v>147.0588235294118</v>
      </c>
      <c r="AD164" s="28" t="e">
        <f t="shared" si="45"/>
        <v>#VALUE!</v>
      </c>
      <c r="AE164" s="28" t="e">
        <f t="shared" si="46"/>
        <v>#N/A</v>
      </c>
      <c r="AF164" s="28" t="e">
        <f t="shared" si="47"/>
        <v>#VALUE!</v>
      </c>
      <c r="AH164" s="31" t="e">
        <f t="shared" si="48"/>
        <v>#N/A</v>
      </c>
      <c r="AI164" s="25"/>
      <c r="AJ164" s="31"/>
    </row>
    <row r="165" spans="2:36" x14ac:dyDescent="0.25">
      <c r="B165" s="33">
        <f>'Arbitrage Payback Engine'!E165</f>
        <v>4.2733872072318855</v>
      </c>
      <c r="C165" s="33">
        <f t="shared" si="34"/>
        <v>1000</v>
      </c>
      <c r="D165" s="33">
        <f>'Battery Pricing Model'!$C$17</f>
        <v>1000</v>
      </c>
      <c r="E165" s="33">
        <f t="shared" si="35"/>
        <v>999</v>
      </c>
      <c r="F165" s="33" t="str">
        <f>'Peak Models'!$B$4</f>
        <v>Default</v>
      </c>
      <c r="G165" s="33" t="e">
        <f>'Peak Models'!$Q$7</f>
        <v>#VALUE!</v>
      </c>
      <c r="H165" s="33">
        <f>'Peak Models'!$P$16</f>
        <v>1.5</v>
      </c>
      <c r="I165" s="33">
        <v>12</v>
      </c>
      <c r="J165" s="33" t="e">
        <f>'Peak Models'!$P$13</f>
        <v>#N/A</v>
      </c>
      <c r="K165" s="28" t="e">
        <f t="shared" si="36"/>
        <v>#VALUE!</v>
      </c>
      <c r="L165" s="28" t="e">
        <f>INDEX('Peak Models'!$P$34:$P$64, MATCH(TRUNC(B165, 0), 'Peak Models'!$O$34:$O$64, 0))</f>
        <v>#N/A</v>
      </c>
      <c r="M165" s="28">
        <f>'Peak Models'!$P$15*INDEX('Peak Models'!$Q$34:$Q$64, MATCH(TRUNC(B165, 0),'Peak Models'!$O$34:$O$64, 0))/'Profit per cycles Model'!$E$78</f>
        <v>5.1944136029411752</v>
      </c>
      <c r="N165" s="28" t="e">
        <f t="shared" si="37"/>
        <v>#N/A</v>
      </c>
      <c r="O165" s="71" t="e">
        <f>AVERAGE($N$10:N165)</f>
        <v>#N/A</v>
      </c>
      <c r="P165" s="28" t="e">
        <f t="shared" si="38"/>
        <v>#N/A</v>
      </c>
      <c r="R165" s="28" t="e">
        <f t="shared" si="39"/>
        <v>#VALUE!</v>
      </c>
      <c r="S165" s="25"/>
      <c r="T165" s="25">
        <f t="shared" si="40"/>
        <v>15</v>
      </c>
      <c r="U165" s="33">
        <f>IF(PaybackCustom&gt;0, IF(PaybackCustom&lt;&gt;"Default", PaybackCustom, IF(PaybackStatus&lt;&gt;"",INDEX('Arbitrage Payback Engine'!$Y$2:$Y$6,MATCH(PaybackStatus,'Arbitrage Payback Engine'!$X$2:$X$6,FALSE)),-1)))</f>
        <v>25</v>
      </c>
      <c r="V165" s="32">
        <f t="shared" si="49"/>
        <v>15</v>
      </c>
      <c r="X165" s="29">
        <f t="shared" si="50"/>
        <v>156</v>
      </c>
      <c r="Z165" s="30">
        <f t="shared" si="41"/>
        <v>4.2733872072318855</v>
      </c>
      <c r="AA165" s="28" t="e">
        <f t="shared" si="42"/>
        <v>#N/A</v>
      </c>
      <c r="AB165" s="28" t="e">
        <f t="shared" si="43"/>
        <v>#VALUE!</v>
      </c>
      <c r="AC165" s="29">
        <f t="shared" si="44"/>
        <v>148.00759013282732</v>
      </c>
      <c r="AD165" s="28" t="e">
        <f t="shared" si="45"/>
        <v>#VALUE!</v>
      </c>
      <c r="AE165" s="28" t="e">
        <f t="shared" si="46"/>
        <v>#N/A</v>
      </c>
      <c r="AF165" s="28" t="e">
        <f t="shared" si="47"/>
        <v>#VALUE!</v>
      </c>
      <c r="AH165" s="31" t="e">
        <f t="shared" si="48"/>
        <v>#N/A</v>
      </c>
      <c r="AI165" s="25"/>
      <c r="AJ165" s="31"/>
    </row>
    <row r="166" spans="2:36" x14ac:dyDescent="0.25">
      <c r="B166" s="33">
        <f>'Arbitrage Payback Engine'!E166</f>
        <v>4.3007807149705517</v>
      </c>
      <c r="C166" s="33">
        <f t="shared" si="34"/>
        <v>1000</v>
      </c>
      <c r="D166" s="33">
        <f>'Battery Pricing Model'!$C$17</f>
        <v>1000</v>
      </c>
      <c r="E166" s="33">
        <f t="shared" si="35"/>
        <v>999</v>
      </c>
      <c r="F166" s="33" t="str">
        <f>'Peak Models'!$B$4</f>
        <v>Default</v>
      </c>
      <c r="G166" s="33" t="e">
        <f>'Peak Models'!$Q$7</f>
        <v>#VALUE!</v>
      </c>
      <c r="H166" s="33">
        <f>'Peak Models'!$P$16</f>
        <v>1.5</v>
      </c>
      <c r="I166" s="33">
        <v>12</v>
      </c>
      <c r="J166" s="33" t="e">
        <f>'Peak Models'!$P$13</f>
        <v>#N/A</v>
      </c>
      <c r="K166" s="28" t="e">
        <f t="shared" si="36"/>
        <v>#VALUE!</v>
      </c>
      <c r="L166" s="28" t="e">
        <f>INDEX('Peak Models'!$P$34:$P$64, MATCH(TRUNC(B166, 0), 'Peak Models'!$O$34:$O$64, 0))</f>
        <v>#N/A</v>
      </c>
      <c r="M166" s="28">
        <f>'Peak Models'!$P$15*INDEX('Peak Models'!$Q$34:$Q$64, MATCH(TRUNC(B166, 0),'Peak Models'!$O$34:$O$64, 0))/'Profit per cycles Model'!$E$78</f>
        <v>5.1944136029411752</v>
      </c>
      <c r="N166" s="28" t="e">
        <f t="shared" si="37"/>
        <v>#N/A</v>
      </c>
      <c r="O166" s="71" t="e">
        <f>AVERAGE($N$10:N166)</f>
        <v>#N/A</v>
      </c>
      <c r="P166" s="28" t="e">
        <f t="shared" si="38"/>
        <v>#N/A</v>
      </c>
      <c r="R166" s="28" t="e">
        <f t="shared" si="39"/>
        <v>#VALUE!</v>
      </c>
      <c r="S166" s="25"/>
      <c r="T166" s="25">
        <f t="shared" si="40"/>
        <v>15</v>
      </c>
      <c r="U166" s="33">
        <f>IF(PaybackCustom&gt;0, IF(PaybackCustom&lt;&gt;"Default", PaybackCustom, IF(PaybackStatus&lt;&gt;"",INDEX('Arbitrage Payback Engine'!$Y$2:$Y$6,MATCH(PaybackStatus,'Arbitrage Payback Engine'!$X$2:$X$6,FALSE)),-1)))</f>
        <v>25</v>
      </c>
      <c r="V166" s="32">
        <f t="shared" si="49"/>
        <v>15</v>
      </c>
      <c r="X166" s="29">
        <f t="shared" si="50"/>
        <v>157</v>
      </c>
      <c r="Z166" s="30">
        <f t="shared" si="41"/>
        <v>4.3007807149705517</v>
      </c>
      <c r="AA166" s="28" t="e">
        <f t="shared" si="42"/>
        <v>#N/A</v>
      </c>
      <c r="AB166" s="28" t="e">
        <f t="shared" si="43"/>
        <v>#VALUE!</v>
      </c>
      <c r="AC166" s="29">
        <f t="shared" si="44"/>
        <v>148.95635673624287</v>
      </c>
      <c r="AD166" s="28" t="e">
        <f t="shared" si="45"/>
        <v>#VALUE!</v>
      </c>
      <c r="AE166" s="28" t="e">
        <f t="shared" si="46"/>
        <v>#N/A</v>
      </c>
      <c r="AF166" s="28" t="e">
        <f t="shared" si="47"/>
        <v>#VALUE!</v>
      </c>
      <c r="AH166" s="31" t="e">
        <f t="shared" si="48"/>
        <v>#N/A</v>
      </c>
      <c r="AI166" s="25"/>
      <c r="AJ166" s="31"/>
    </row>
    <row r="167" spans="2:36" x14ac:dyDescent="0.25">
      <c r="B167" s="33">
        <f>'Arbitrage Payback Engine'!E167</f>
        <v>4.3281742227092179</v>
      </c>
      <c r="C167" s="33">
        <f t="shared" si="34"/>
        <v>1000</v>
      </c>
      <c r="D167" s="33">
        <f>'Battery Pricing Model'!$C$17</f>
        <v>1000</v>
      </c>
      <c r="E167" s="33">
        <f t="shared" si="35"/>
        <v>999</v>
      </c>
      <c r="F167" s="33" t="str">
        <f>'Peak Models'!$B$4</f>
        <v>Default</v>
      </c>
      <c r="G167" s="33" t="e">
        <f>'Peak Models'!$Q$7</f>
        <v>#VALUE!</v>
      </c>
      <c r="H167" s="33">
        <f>'Peak Models'!$P$16</f>
        <v>1.5</v>
      </c>
      <c r="I167" s="33">
        <v>12</v>
      </c>
      <c r="J167" s="33" t="e">
        <f>'Peak Models'!$P$13</f>
        <v>#N/A</v>
      </c>
      <c r="K167" s="28" t="e">
        <f t="shared" si="36"/>
        <v>#VALUE!</v>
      </c>
      <c r="L167" s="28" t="e">
        <f>INDEX('Peak Models'!$P$34:$P$64, MATCH(TRUNC(B167, 0), 'Peak Models'!$O$34:$O$64, 0))</f>
        <v>#N/A</v>
      </c>
      <c r="M167" s="28">
        <f>'Peak Models'!$P$15*INDEX('Peak Models'!$Q$34:$Q$64, MATCH(TRUNC(B167, 0),'Peak Models'!$O$34:$O$64, 0))/'Profit per cycles Model'!$E$78</f>
        <v>5.1944136029411752</v>
      </c>
      <c r="N167" s="28" t="e">
        <f t="shared" si="37"/>
        <v>#N/A</v>
      </c>
      <c r="O167" s="71" t="e">
        <f>AVERAGE($N$10:N167)</f>
        <v>#N/A</v>
      </c>
      <c r="P167" s="28" t="e">
        <f t="shared" si="38"/>
        <v>#N/A</v>
      </c>
      <c r="R167" s="28" t="e">
        <f t="shared" si="39"/>
        <v>#VALUE!</v>
      </c>
      <c r="S167" s="25"/>
      <c r="T167" s="25">
        <f t="shared" si="40"/>
        <v>15</v>
      </c>
      <c r="U167" s="33">
        <f>IF(PaybackCustom&gt;0, IF(PaybackCustom&lt;&gt;"Default", PaybackCustom, IF(PaybackStatus&lt;&gt;"",INDEX('Arbitrage Payback Engine'!$Y$2:$Y$6,MATCH(PaybackStatus,'Arbitrage Payback Engine'!$X$2:$X$6,FALSE)),-1)))</f>
        <v>25</v>
      </c>
      <c r="V167" s="32">
        <f t="shared" si="49"/>
        <v>15</v>
      </c>
      <c r="X167" s="29">
        <f t="shared" si="50"/>
        <v>158</v>
      </c>
      <c r="Z167" s="30">
        <f t="shared" si="41"/>
        <v>4.3281742227092179</v>
      </c>
      <c r="AA167" s="28" t="e">
        <f t="shared" si="42"/>
        <v>#N/A</v>
      </c>
      <c r="AB167" s="28" t="e">
        <f t="shared" si="43"/>
        <v>#VALUE!</v>
      </c>
      <c r="AC167" s="29">
        <f t="shared" si="44"/>
        <v>149.90512333965847</v>
      </c>
      <c r="AD167" s="28" t="e">
        <f t="shared" si="45"/>
        <v>#VALUE!</v>
      </c>
      <c r="AE167" s="28" t="e">
        <f t="shared" si="46"/>
        <v>#N/A</v>
      </c>
      <c r="AF167" s="28" t="e">
        <f t="shared" si="47"/>
        <v>#VALUE!</v>
      </c>
      <c r="AH167" s="31" t="e">
        <f t="shared" si="48"/>
        <v>#N/A</v>
      </c>
      <c r="AI167" s="25"/>
      <c r="AJ167" s="31"/>
    </row>
    <row r="168" spans="2:36" x14ac:dyDescent="0.25">
      <c r="B168" s="33">
        <f>'Arbitrage Payback Engine'!E168</f>
        <v>4.3555677304478841</v>
      </c>
      <c r="C168" s="33">
        <f t="shared" si="34"/>
        <v>1000</v>
      </c>
      <c r="D168" s="33">
        <f>'Battery Pricing Model'!$C$17</f>
        <v>1000</v>
      </c>
      <c r="E168" s="33">
        <f t="shared" si="35"/>
        <v>999</v>
      </c>
      <c r="F168" s="33" t="str">
        <f>'Peak Models'!$B$4</f>
        <v>Default</v>
      </c>
      <c r="G168" s="33" t="e">
        <f>'Peak Models'!$Q$7</f>
        <v>#VALUE!</v>
      </c>
      <c r="H168" s="33">
        <f>'Peak Models'!$P$16</f>
        <v>1.5</v>
      </c>
      <c r="I168" s="33">
        <v>12</v>
      </c>
      <c r="J168" s="33" t="e">
        <f>'Peak Models'!$P$13</f>
        <v>#N/A</v>
      </c>
      <c r="K168" s="28" t="e">
        <f t="shared" si="36"/>
        <v>#VALUE!</v>
      </c>
      <c r="L168" s="28" t="e">
        <f>INDEX('Peak Models'!$P$34:$P$64, MATCH(TRUNC(B168, 0), 'Peak Models'!$O$34:$O$64, 0))</f>
        <v>#N/A</v>
      </c>
      <c r="M168" s="28">
        <f>'Peak Models'!$P$15*INDEX('Peak Models'!$Q$34:$Q$64, MATCH(TRUNC(B168, 0),'Peak Models'!$O$34:$O$64, 0))/'Profit per cycles Model'!$E$78</f>
        <v>5.1944136029411752</v>
      </c>
      <c r="N168" s="28" t="e">
        <f t="shared" si="37"/>
        <v>#N/A</v>
      </c>
      <c r="O168" s="71" t="e">
        <f>AVERAGE($N$10:N168)</f>
        <v>#N/A</v>
      </c>
      <c r="P168" s="28" t="e">
        <f t="shared" si="38"/>
        <v>#N/A</v>
      </c>
      <c r="R168" s="28" t="e">
        <f t="shared" si="39"/>
        <v>#VALUE!</v>
      </c>
      <c r="S168" s="25"/>
      <c r="T168" s="25">
        <f t="shared" si="40"/>
        <v>15</v>
      </c>
      <c r="U168" s="33">
        <f>IF(PaybackCustom&gt;0, IF(PaybackCustom&lt;&gt;"Default", PaybackCustom, IF(PaybackStatus&lt;&gt;"",INDEX('Arbitrage Payback Engine'!$Y$2:$Y$6,MATCH(PaybackStatus,'Arbitrage Payback Engine'!$X$2:$X$6,FALSE)),-1)))</f>
        <v>25</v>
      </c>
      <c r="V168" s="32">
        <f t="shared" si="49"/>
        <v>15</v>
      </c>
      <c r="X168" s="29">
        <f t="shared" si="50"/>
        <v>159</v>
      </c>
      <c r="Z168" s="30">
        <f t="shared" si="41"/>
        <v>4.3555677304478841</v>
      </c>
      <c r="AA168" s="28" t="e">
        <f t="shared" si="42"/>
        <v>#N/A</v>
      </c>
      <c r="AB168" s="28" t="e">
        <f t="shared" si="43"/>
        <v>#VALUE!</v>
      </c>
      <c r="AC168" s="29">
        <f t="shared" si="44"/>
        <v>150.85388994307402</v>
      </c>
      <c r="AD168" s="28" t="e">
        <f t="shared" si="45"/>
        <v>#VALUE!</v>
      </c>
      <c r="AE168" s="28" t="e">
        <f t="shared" si="46"/>
        <v>#N/A</v>
      </c>
      <c r="AF168" s="28" t="e">
        <f t="shared" si="47"/>
        <v>#VALUE!</v>
      </c>
      <c r="AH168" s="31" t="e">
        <f t="shared" si="48"/>
        <v>#N/A</v>
      </c>
      <c r="AI168" s="25"/>
      <c r="AJ168" s="31"/>
    </row>
    <row r="169" spans="2:36" x14ac:dyDescent="0.25">
      <c r="B169" s="33">
        <f>'Arbitrage Payback Engine'!E169</f>
        <v>4.3829612381865495</v>
      </c>
      <c r="C169" s="33">
        <f t="shared" si="34"/>
        <v>1000</v>
      </c>
      <c r="D169" s="33">
        <f>'Battery Pricing Model'!$C$17</f>
        <v>1000</v>
      </c>
      <c r="E169" s="33">
        <f t="shared" si="35"/>
        <v>999</v>
      </c>
      <c r="F169" s="33" t="str">
        <f>'Peak Models'!$B$4</f>
        <v>Default</v>
      </c>
      <c r="G169" s="33" t="e">
        <f>'Peak Models'!$Q$7</f>
        <v>#VALUE!</v>
      </c>
      <c r="H169" s="33">
        <f>'Peak Models'!$P$16</f>
        <v>1.5</v>
      </c>
      <c r="I169" s="33">
        <v>12</v>
      </c>
      <c r="J169" s="33" t="e">
        <f>'Peak Models'!$P$13</f>
        <v>#N/A</v>
      </c>
      <c r="K169" s="28" t="e">
        <f t="shared" si="36"/>
        <v>#VALUE!</v>
      </c>
      <c r="L169" s="28" t="e">
        <f>INDEX('Peak Models'!$P$34:$P$64, MATCH(TRUNC(B169, 0), 'Peak Models'!$O$34:$O$64, 0))</f>
        <v>#N/A</v>
      </c>
      <c r="M169" s="28">
        <f>'Peak Models'!$P$15*INDEX('Peak Models'!$Q$34:$Q$64, MATCH(TRUNC(B169, 0),'Peak Models'!$O$34:$O$64, 0))/'Profit per cycles Model'!$E$78</f>
        <v>5.1944136029411752</v>
      </c>
      <c r="N169" s="28" t="e">
        <f t="shared" si="37"/>
        <v>#N/A</v>
      </c>
      <c r="O169" s="71" t="e">
        <f>AVERAGE($N$10:N169)</f>
        <v>#N/A</v>
      </c>
      <c r="P169" s="28" t="e">
        <f t="shared" si="38"/>
        <v>#N/A</v>
      </c>
      <c r="R169" s="28" t="e">
        <f t="shared" si="39"/>
        <v>#VALUE!</v>
      </c>
      <c r="S169" s="25"/>
      <c r="T169" s="25">
        <f t="shared" si="40"/>
        <v>15</v>
      </c>
      <c r="U169" s="33">
        <f>IF(PaybackCustom&gt;0, IF(PaybackCustom&lt;&gt;"Default", PaybackCustom, IF(PaybackStatus&lt;&gt;"",INDEX('Arbitrage Payback Engine'!$Y$2:$Y$6,MATCH(PaybackStatus,'Arbitrage Payback Engine'!$X$2:$X$6,FALSE)),-1)))</f>
        <v>25</v>
      </c>
      <c r="V169" s="32">
        <f t="shared" si="49"/>
        <v>15</v>
      </c>
      <c r="X169" s="29">
        <f t="shared" si="50"/>
        <v>160</v>
      </c>
      <c r="Z169" s="30">
        <f t="shared" si="41"/>
        <v>4.3829612381865495</v>
      </c>
      <c r="AA169" s="28" t="e">
        <f t="shared" si="42"/>
        <v>#N/A</v>
      </c>
      <c r="AB169" s="28" t="e">
        <f t="shared" si="43"/>
        <v>#VALUE!</v>
      </c>
      <c r="AC169" s="29">
        <f t="shared" si="44"/>
        <v>151.80265654648954</v>
      </c>
      <c r="AD169" s="28" t="e">
        <f t="shared" si="45"/>
        <v>#VALUE!</v>
      </c>
      <c r="AE169" s="28" t="e">
        <f t="shared" si="46"/>
        <v>#N/A</v>
      </c>
      <c r="AF169" s="28" t="e">
        <f t="shared" si="47"/>
        <v>#VALUE!</v>
      </c>
      <c r="AH169" s="31" t="e">
        <f t="shared" si="48"/>
        <v>#N/A</v>
      </c>
      <c r="AI169" s="25"/>
      <c r="AJ169" s="31"/>
    </row>
    <row r="170" spans="2:36" x14ac:dyDescent="0.25">
      <c r="B170" s="33">
        <f>'Arbitrage Payback Engine'!E170</f>
        <v>4.4103547459252157</v>
      </c>
      <c r="C170" s="33">
        <f t="shared" si="34"/>
        <v>1000</v>
      </c>
      <c r="D170" s="33">
        <f>'Battery Pricing Model'!$C$17</f>
        <v>1000</v>
      </c>
      <c r="E170" s="33">
        <f t="shared" si="35"/>
        <v>999</v>
      </c>
      <c r="F170" s="33" t="str">
        <f>'Peak Models'!$B$4</f>
        <v>Default</v>
      </c>
      <c r="G170" s="33" t="e">
        <f>'Peak Models'!$Q$7</f>
        <v>#VALUE!</v>
      </c>
      <c r="H170" s="33">
        <f>'Peak Models'!$P$16</f>
        <v>1.5</v>
      </c>
      <c r="I170" s="33">
        <v>12</v>
      </c>
      <c r="J170" s="33" t="e">
        <f>'Peak Models'!$P$13</f>
        <v>#N/A</v>
      </c>
      <c r="K170" s="28" t="e">
        <f t="shared" si="36"/>
        <v>#VALUE!</v>
      </c>
      <c r="L170" s="28" t="e">
        <f>INDEX('Peak Models'!$P$34:$P$64, MATCH(TRUNC(B170, 0), 'Peak Models'!$O$34:$O$64, 0))</f>
        <v>#N/A</v>
      </c>
      <c r="M170" s="28">
        <f>'Peak Models'!$P$15*INDEX('Peak Models'!$Q$34:$Q$64, MATCH(TRUNC(B170, 0),'Peak Models'!$O$34:$O$64, 0))/'Profit per cycles Model'!$E$78</f>
        <v>5.1944136029411752</v>
      </c>
      <c r="N170" s="28" t="e">
        <f t="shared" si="37"/>
        <v>#N/A</v>
      </c>
      <c r="O170" s="71" t="e">
        <f>AVERAGE($N$10:N170)</f>
        <v>#N/A</v>
      </c>
      <c r="P170" s="28" t="e">
        <f t="shared" si="38"/>
        <v>#N/A</v>
      </c>
      <c r="R170" s="28" t="e">
        <f t="shared" si="39"/>
        <v>#VALUE!</v>
      </c>
      <c r="S170" s="25"/>
      <c r="T170" s="25">
        <f t="shared" si="40"/>
        <v>15</v>
      </c>
      <c r="U170" s="33">
        <f>IF(PaybackCustom&gt;0, IF(PaybackCustom&lt;&gt;"Default", PaybackCustom, IF(PaybackStatus&lt;&gt;"",INDEX('Arbitrage Payback Engine'!$Y$2:$Y$6,MATCH(PaybackStatus,'Arbitrage Payback Engine'!$X$2:$X$6,FALSE)),-1)))</f>
        <v>25</v>
      </c>
      <c r="V170" s="32">
        <f t="shared" si="49"/>
        <v>15</v>
      </c>
      <c r="X170" s="29">
        <f t="shared" si="50"/>
        <v>161</v>
      </c>
      <c r="Z170" s="30">
        <f t="shared" si="41"/>
        <v>4.4103547459252157</v>
      </c>
      <c r="AA170" s="28" t="e">
        <f t="shared" si="42"/>
        <v>#N/A</v>
      </c>
      <c r="AB170" s="28" t="e">
        <f t="shared" si="43"/>
        <v>#VALUE!</v>
      </c>
      <c r="AC170" s="29">
        <f t="shared" si="44"/>
        <v>152.75142314990515</v>
      </c>
      <c r="AD170" s="28" t="e">
        <f t="shared" si="45"/>
        <v>#VALUE!</v>
      </c>
      <c r="AE170" s="28" t="e">
        <f t="shared" si="46"/>
        <v>#N/A</v>
      </c>
      <c r="AF170" s="28" t="e">
        <f t="shared" si="47"/>
        <v>#VALUE!</v>
      </c>
      <c r="AH170" s="31" t="e">
        <f t="shared" si="48"/>
        <v>#N/A</v>
      </c>
      <c r="AI170" s="25"/>
      <c r="AJ170" s="31"/>
    </row>
    <row r="171" spans="2:36" x14ac:dyDescent="0.25">
      <c r="B171" s="33">
        <f>'Arbitrage Payback Engine'!E171</f>
        <v>4.4377482536638819</v>
      </c>
      <c r="C171" s="33">
        <f t="shared" si="34"/>
        <v>1000</v>
      </c>
      <c r="D171" s="33">
        <f>'Battery Pricing Model'!$C$17</f>
        <v>1000</v>
      </c>
      <c r="E171" s="33">
        <f t="shared" si="35"/>
        <v>999</v>
      </c>
      <c r="F171" s="33" t="str">
        <f>'Peak Models'!$B$4</f>
        <v>Default</v>
      </c>
      <c r="G171" s="33" t="e">
        <f>'Peak Models'!$Q$7</f>
        <v>#VALUE!</v>
      </c>
      <c r="H171" s="33">
        <f>'Peak Models'!$P$16</f>
        <v>1.5</v>
      </c>
      <c r="I171" s="33">
        <v>12</v>
      </c>
      <c r="J171" s="33" t="e">
        <f>'Peak Models'!$P$13</f>
        <v>#N/A</v>
      </c>
      <c r="K171" s="28" t="e">
        <f t="shared" si="36"/>
        <v>#VALUE!</v>
      </c>
      <c r="L171" s="28" t="e">
        <f>INDEX('Peak Models'!$P$34:$P$64, MATCH(TRUNC(B171, 0), 'Peak Models'!$O$34:$O$64, 0))</f>
        <v>#N/A</v>
      </c>
      <c r="M171" s="28">
        <f>'Peak Models'!$P$15*INDEX('Peak Models'!$Q$34:$Q$64, MATCH(TRUNC(B171, 0),'Peak Models'!$O$34:$O$64, 0))/'Profit per cycles Model'!$E$78</f>
        <v>5.1944136029411752</v>
      </c>
      <c r="N171" s="28" t="e">
        <f t="shared" si="37"/>
        <v>#N/A</v>
      </c>
      <c r="O171" s="71" t="e">
        <f>AVERAGE($N$10:N171)</f>
        <v>#N/A</v>
      </c>
      <c r="P171" s="28" t="e">
        <f t="shared" si="38"/>
        <v>#N/A</v>
      </c>
      <c r="R171" s="28" t="e">
        <f t="shared" si="39"/>
        <v>#VALUE!</v>
      </c>
      <c r="S171" s="25"/>
      <c r="T171" s="25">
        <f t="shared" si="40"/>
        <v>15</v>
      </c>
      <c r="U171" s="33">
        <f>IF(PaybackCustom&gt;0, IF(PaybackCustom&lt;&gt;"Default", PaybackCustom, IF(PaybackStatus&lt;&gt;"",INDEX('Arbitrage Payback Engine'!$Y$2:$Y$6,MATCH(PaybackStatus,'Arbitrage Payback Engine'!$X$2:$X$6,FALSE)),-1)))</f>
        <v>25</v>
      </c>
      <c r="V171" s="32">
        <f t="shared" si="49"/>
        <v>15</v>
      </c>
      <c r="X171" s="29">
        <f t="shared" si="50"/>
        <v>162</v>
      </c>
      <c r="Z171" s="30">
        <f t="shared" si="41"/>
        <v>4.4377482536638819</v>
      </c>
      <c r="AA171" s="28" t="e">
        <f t="shared" si="42"/>
        <v>#N/A</v>
      </c>
      <c r="AB171" s="28" t="e">
        <f t="shared" si="43"/>
        <v>#VALUE!</v>
      </c>
      <c r="AC171" s="29">
        <f t="shared" si="44"/>
        <v>153.7001897533207</v>
      </c>
      <c r="AD171" s="28" t="e">
        <f t="shared" si="45"/>
        <v>#VALUE!</v>
      </c>
      <c r="AE171" s="28" t="e">
        <f t="shared" si="46"/>
        <v>#N/A</v>
      </c>
      <c r="AF171" s="28" t="e">
        <f t="shared" si="47"/>
        <v>#VALUE!</v>
      </c>
      <c r="AH171" s="31" t="e">
        <f t="shared" si="48"/>
        <v>#N/A</v>
      </c>
      <c r="AI171" s="25"/>
      <c r="AJ171" s="31"/>
    </row>
    <row r="172" spans="2:36" x14ac:dyDescent="0.25">
      <c r="B172" s="33">
        <f>'Arbitrage Payback Engine'!E172</f>
        <v>4.4651417614025473</v>
      </c>
      <c r="C172" s="33">
        <f t="shared" si="34"/>
        <v>1000</v>
      </c>
      <c r="D172" s="33">
        <f>'Battery Pricing Model'!$C$17</f>
        <v>1000</v>
      </c>
      <c r="E172" s="33">
        <f t="shared" si="35"/>
        <v>999</v>
      </c>
      <c r="F172" s="33" t="str">
        <f>'Peak Models'!$B$4</f>
        <v>Default</v>
      </c>
      <c r="G172" s="33" t="e">
        <f>'Peak Models'!$Q$7</f>
        <v>#VALUE!</v>
      </c>
      <c r="H172" s="33">
        <f>'Peak Models'!$P$16</f>
        <v>1.5</v>
      </c>
      <c r="I172" s="33">
        <v>12</v>
      </c>
      <c r="J172" s="33" t="e">
        <f>'Peak Models'!$P$13</f>
        <v>#N/A</v>
      </c>
      <c r="K172" s="28" t="e">
        <f t="shared" si="36"/>
        <v>#VALUE!</v>
      </c>
      <c r="L172" s="28" t="e">
        <f>INDEX('Peak Models'!$P$34:$P$64, MATCH(TRUNC(B172, 0), 'Peak Models'!$O$34:$O$64, 0))</f>
        <v>#N/A</v>
      </c>
      <c r="M172" s="28">
        <f>'Peak Models'!$P$15*INDEX('Peak Models'!$Q$34:$Q$64, MATCH(TRUNC(B172, 0),'Peak Models'!$O$34:$O$64, 0))/'Profit per cycles Model'!$E$78</f>
        <v>5.1944136029411752</v>
      </c>
      <c r="N172" s="28" t="e">
        <f t="shared" si="37"/>
        <v>#N/A</v>
      </c>
      <c r="O172" s="71" t="e">
        <f>AVERAGE($N$10:N172)</f>
        <v>#N/A</v>
      </c>
      <c r="P172" s="28" t="e">
        <f t="shared" si="38"/>
        <v>#N/A</v>
      </c>
      <c r="R172" s="28" t="e">
        <f t="shared" si="39"/>
        <v>#VALUE!</v>
      </c>
      <c r="S172" s="25"/>
      <c r="T172" s="25">
        <f t="shared" si="40"/>
        <v>15</v>
      </c>
      <c r="U172" s="33">
        <f>IF(PaybackCustom&gt;0, IF(PaybackCustom&lt;&gt;"Default", PaybackCustom, IF(PaybackStatus&lt;&gt;"",INDEX('Arbitrage Payback Engine'!$Y$2:$Y$6,MATCH(PaybackStatus,'Arbitrage Payback Engine'!$X$2:$X$6,FALSE)),-1)))</f>
        <v>25</v>
      </c>
      <c r="V172" s="32">
        <f t="shared" si="49"/>
        <v>15</v>
      </c>
      <c r="X172" s="29">
        <f t="shared" si="50"/>
        <v>163</v>
      </c>
      <c r="Z172" s="30">
        <f t="shared" si="41"/>
        <v>4.4651417614025473</v>
      </c>
      <c r="AA172" s="28" t="e">
        <f t="shared" si="42"/>
        <v>#N/A</v>
      </c>
      <c r="AB172" s="28" t="e">
        <f t="shared" si="43"/>
        <v>#VALUE!</v>
      </c>
      <c r="AC172" s="29">
        <f t="shared" si="44"/>
        <v>154.64895635673625</v>
      </c>
      <c r="AD172" s="28" t="e">
        <f t="shared" si="45"/>
        <v>#VALUE!</v>
      </c>
      <c r="AE172" s="28" t="e">
        <f t="shared" si="46"/>
        <v>#N/A</v>
      </c>
      <c r="AF172" s="28" t="e">
        <f t="shared" si="47"/>
        <v>#VALUE!</v>
      </c>
      <c r="AH172" s="31" t="e">
        <f t="shared" si="48"/>
        <v>#N/A</v>
      </c>
      <c r="AI172" s="25"/>
      <c r="AJ172" s="31"/>
    </row>
    <row r="173" spans="2:36" x14ac:dyDescent="0.25">
      <c r="B173" s="33">
        <f>'Arbitrage Payback Engine'!E173</f>
        <v>4.4925352691412135</v>
      </c>
      <c r="C173" s="33">
        <f t="shared" si="34"/>
        <v>1000</v>
      </c>
      <c r="D173" s="33">
        <f>'Battery Pricing Model'!$C$17</f>
        <v>1000</v>
      </c>
      <c r="E173" s="33">
        <f t="shared" si="35"/>
        <v>999</v>
      </c>
      <c r="F173" s="33" t="str">
        <f>'Peak Models'!$B$4</f>
        <v>Default</v>
      </c>
      <c r="G173" s="33" t="e">
        <f>'Peak Models'!$Q$7</f>
        <v>#VALUE!</v>
      </c>
      <c r="H173" s="33">
        <f>'Peak Models'!$P$16</f>
        <v>1.5</v>
      </c>
      <c r="I173" s="33">
        <v>12</v>
      </c>
      <c r="J173" s="33" t="e">
        <f>'Peak Models'!$P$13</f>
        <v>#N/A</v>
      </c>
      <c r="K173" s="28" t="e">
        <f t="shared" si="36"/>
        <v>#VALUE!</v>
      </c>
      <c r="L173" s="28" t="e">
        <f>INDEX('Peak Models'!$P$34:$P$64, MATCH(TRUNC(B173, 0), 'Peak Models'!$O$34:$O$64, 0))</f>
        <v>#N/A</v>
      </c>
      <c r="M173" s="28">
        <f>'Peak Models'!$P$15*INDEX('Peak Models'!$Q$34:$Q$64, MATCH(TRUNC(B173, 0),'Peak Models'!$O$34:$O$64, 0))/'Profit per cycles Model'!$E$78</f>
        <v>5.1944136029411752</v>
      </c>
      <c r="N173" s="28" t="e">
        <f t="shared" si="37"/>
        <v>#N/A</v>
      </c>
      <c r="O173" s="71" t="e">
        <f>AVERAGE($N$10:N173)</f>
        <v>#N/A</v>
      </c>
      <c r="P173" s="28" t="e">
        <f t="shared" si="38"/>
        <v>#N/A</v>
      </c>
      <c r="R173" s="28" t="e">
        <f t="shared" si="39"/>
        <v>#VALUE!</v>
      </c>
      <c r="S173" s="25"/>
      <c r="T173" s="25">
        <f t="shared" si="40"/>
        <v>15</v>
      </c>
      <c r="U173" s="33">
        <f>IF(PaybackCustom&gt;0, IF(PaybackCustom&lt;&gt;"Default", PaybackCustom, IF(PaybackStatus&lt;&gt;"",INDEX('Arbitrage Payback Engine'!$Y$2:$Y$6,MATCH(PaybackStatus,'Arbitrage Payback Engine'!$X$2:$X$6,FALSE)),-1)))</f>
        <v>25</v>
      </c>
      <c r="V173" s="32">
        <f t="shared" si="49"/>
        <v>15</v>
      </c>
      <c r="X173" s="29">
        <f t="shared" si="50"/>
        <v>164</v>
      </c>
      <c r="Z173" s="30">
        <f t="shared" si="41"/>
        <v>4.4925352691412135</v>
      </c>
      <c r="AA173" s="28" t="e">
        <f t="shared" si="42"/>
        <v>#N/A</v>
      </c>
      <c r="AB173" s="28" t="e">
        <f t="shared" si="43"/>
        <v>#VALUE!</v>
      </c>
      <c r="AC173" s="29">
        <f t="shared" si="44"/>
        <v>155.5977229601518</v>
      </c>
      <c r="AD173" s="28" t="e">
        <f t="shared" si="45"/>
        <v>#VALUE!</v>
      </c>
      <c r="AE173" s="28" t="e">
        <f t="shared" si="46"/>
        <v>#N/A</v>
      </c>
      <c r="AF173" s="28" t="e">
        <f t="shared" si="47"/>
        <v>#VALUE!</v>
      </c>
      <c r="AH173" s="31" t="e">
        <f t="shared" si="48"/>
        <v>#N/A</v>
      </c>
      <c r="AI173" s="25"/>
      <c r="AJ173" s="31"/>
    </row>
    <row r="174" spans="2:36" x14ac:dyDescent="0.25">
      <c r="B174" s="33">
        <f>'Arbitrage Payback Engine'!E174</f>
        <v>4.5199287768798797</v>
      </c>
      <c r="C174" s="33">
        <f t="shared" si="34"/>
        <v>1000</v>
      </c>
      <c r="D174" s="33">
        <f>'Battery Pricing Model'!$C$17</f>
        <v>1000</v>
      </c>
      <c r="E174" s="33">
        <f t="shared" si="35"/>
        <v>999</v>
      </c>
      <c r="F174" s="33" t="str">
        <f>'Peak Models'!$B$4</f>
        <v>Default</v>
      </c>
      <c r="G174" s="33" t="e">
        <f>'Peak Models'!$Q$7</f>
        <v>#VALUE!</v>
      </c>
      <c r="H174" s="33">
        <f>'Peak Models'!$P$16</f>
        <v>1.5</v>
      </c>
      <c r="I174" s="33">
        <v>12</v>
      </c>
      <c r="J174" s="33" t="e">
        <f>'Peak Models'!$P$13</f>
        <v>#N/A</v>
      </c>
      <c r="K174" s="28" t="e">
        <f t="shared" si="36"/>
        <v>#VALUE!</v>
      </c>
      <c r="L174" s="28" t="e">
        <f>INDEX('Peak Models'!$P$34:$P$64, MATCH(TRUNC(B174, 0), 'Peak Models'!$O$34:$O$64, 0))</f>
        <v>#N/A</v>
      </c>
      <c r="M174" s="28">
        <f>'Peak Models'!$P$15*INDEX('Peak Models'!$Q$34:$Q$64, MATCH(TRUNC(B174, 0),'Peak Models'!$O$34:$O$64, 0))/'Profit per cycles Model'!$E$78</f>
        <v>5.1944136029411752</v>
      </c>
      <c r="N174" s="28" t="e">
        <f t="shared" si="37"/>
        <v>#N/A</v>
      </c>
      <c r="O174" s="71" t="e">
        <f>AVERAGE($N$10:N174)</f>
        <v>#N/A</v>
      </c>
      <c r="P174" s="28" t="e">
        <f t="shared" si="38"/>
        <v>#N/A</v>
      </c>
      <c r="R174" s="28" t="e">
        <f t="shared" si="39"/>
        <v>#VALUE!</v>
      </c>
      <c r="S174" s="25"/>
      <c r="T174" s="25">
        <f t="shared" si="40"/>
        <v>15</v>
      </c>
      <c r="U174" s="33">
        <f>IF(PaybackCustom&gt;0, IF(PaybackCustom&lt;&gt;"Default", PaybackCustom, IF(PaybackStatus&lt;&gt;"",INDEX('Arbitrage Payback Engine'!$Y$2:$Y$6,MATCH(PaybackStatus,'Arbitrage Payback Engine'!$X$2:$X$6,FALSE)),-1)))</f>
        <v>25</v>
      </c>
      <c r="V174" s="32">
        <f t="shared" si="49"/>
        <v>15</v>
      </c>
      <c r="X174" s="29">
        <f t="shared" si="50"/>
        <v>165</v>
      </c>
      <c r="Z174" s="30">
        <f t="shared" si="41"/>
        <v>4.5199287768798797</v>
      </c>
      <c r="AA174" s="28" t="e">
        <f t="shared" si="42"/>
        <v>#N/A</v>
      </c>
      <c r="AB174" s="28" t="e">
        <f t="shared" si="43"/>
        <v>#VALUE!</v>
      </c>
      <c r="AC174" s="29">
        <f t="shared" si="44"/>
        <v>156.54648956356738</v>
      </c>
      <c r="AD174" s="28" t="e">
        <f t="shared" si="45"/>
        <v>#VALUE!</v>
      </c>
      <c r="AE174" s="28" t="e">
        <f t="shared" si="46"/>
        <v>#N/A</v>
      </c>
      <c r="AF174" s="28" t="e">
        <f t="shared" si="47"/>
        <v>#VALUE!</v>
      </c>
      <c r="AH174" s="31" t="e">
        <f t="shared" si="48"/>
        <v>#N/A</v>
      </c>
      <c r="AI174" s="25"/>
      <c r="AJ174" s="31"/>
    </row>
    <row r="175" spans="2:36" x14ac:dyDescent="0.25">
      <c r="B175" s="33">
        <f>'Arbitrage Payback Engine'!E175</f>
        <v>4.547322284618545</v>
      </c>
      <c r="C175" s="33">
        <f t="shared" si="34"/>
        <v>1000</v>
      </c>
      <c r="D175" s="33">
        <f>'Battery Pricing Model'!$C$17</f>
        <v>1000</v>
      </c>
      <c r="E175" s="33">
        <f t="shared" si="35"/>
        <v>999</v>
      </c>
      <c r="F175" s="33" t="str">
        <f>'Peak Models'!$B$4</f>
        <v>Default</v>
      </c>
      <c r="G175" s="33" t="e">
        <f>'Peak Models'!$Q$7</f>
        <v>#VALUE!</v>
      </c>
      <c r="H175" s="33">
        <f>'Peak Models'!$P$16</f>
        <v>1.5</v>
      </c>
      <c r="I175" s="33">
        <v>12</v>
      </c>
      <c r="J175" s="33" t="e">
        <f>'Peak Models'!$P$13</f>
        <v>#N/A</v>
      </c>
      <c r="K175" s="28" t="e">
        <f t="shared" si="36"/>
        <v>#VALUE!</v>
      </c>
      <c r="L175" s="28" t="e">
        <f>INDEX('Peak Models'!$P$34:$P$64, MATCH(TRUNC(B175, 0), 'Peak Models'!$O$34:$O$64, 0))</f>
        <v>#N/A</v>
      </c>
      <c r="M175" s="28">
        <f>'Peak Models'!$P$15*INDEX('Peak Models'!$Q$34:$Q$64, MATCH(TRUNC(B175, 0),'Peak Models'!$O$34:$O$64, 0))/'Profit per cycles Model'!$E$78</f>
        <v>5.1944136029411752</v>
      </c>
      <c r="N175" s="28" t="e">
        <f t="shared" si="37"/>
        <v>#N/A</v>
      </c>
      <c r="O175" s="71" t="e">
        <f>AVERAGE($N$10:N175)</f>
        <v>#N/A</v>
      </c>
      <c r="P175" s="28" t="e">
        <f t="shared" si="38"/>
        <v>#N/A</v>
      </c>
      <c r="R175" s="28" t="e">
        <f t="shared" si="39"/>
        <v>#VALUE!</v>
      </c>
      <c r="S175" s="25"/>
      <c r="T175" s="25">
        <f t="shared" si="40"/>
        <v>15</v>
      </c>
      <c r="U175" s="33">
        <f>IF(PaybackCustom&gt;0, IF(PaybackCustom&lt;&gt;"Default", PaybackCustom, IF(PaybackStatus&lt;&gt;"",INDEX('Arbitrage Payback Engine'!$Y$2:$Y$6,MATCH(PaybackStatus,'Arbitrage Payback Engine'!$X$2:$X$6,FALSE)),-1)))</f>
        <v>25</v>
      </c>
      <c r="V175" s="32">
        <f t="shared" si="49"/>
        <v>15</v>
      </c>
      <c r="X175" s="29">
        <f t="shared" si="50"/>
        <v>166</v>
      </c>
      <c r="Z175" s="30">
        <f t="shared" si="41"/>
        <v>4.547322284618545</v>
      </c>
      <c r="AA175" s="28" t="e">
        <f t="shared" si="42"/>
        <v>#N/A</v>
      </c>
      <c r="AB175" s="28" t="e">
        <f t="shared" si="43"/>
        <v>#VALUE!</v>
      </c>
      <c r="AC175" s="29">
        <f t="shared" si="44"/>
        <v>157.49525616698293</v>
      </c>
      <c r="AD175" s="28" t="e">
        <f t="shared" si="45"/>
        <v>#VALUE!</v>
      </c>
      <c r="AE175" s="28" t="e">
        <f t="shared" si="46"/>
        <v>#N/A</v>
      </c>
      <c r="AF175" s="28" t="e">
        <f t="shared" si="47"/>
        <v>#VALUE!</v>
      </c>
      <c r="AH175" s="31" t="e">
        <f t="shared" si="48"/>
        <v>#N/A</v>
      </c>
      <c r="AI175" s="25"/>
      <c r="AJ175" s="31"/>
    </row>
    <row r="176" spans="2:36" x14ac:dyDescent="0.25">
      <c r="B176" s="33">
        <f>'Arbitrage Payback Engine'!E176</f>
        <v>4.5747157923572113</v>
      </c>
      <c r="C176" s="33">
        <f t="shared" si="34"/>
        <v>1000</v>
      </c>
      <c r="D176" s="33">
        <f>'Battery Pricing Model'!$C$17</f>
        <v>1000</v>
      </c>
      <c r="E176" s="33">
        <f t="shared" si="35"/>
        <v>999</v>
      </c>
      <c r="F176" s="33" t="str">
        <f>'Peak Models'!$B$4</f>
        <v>Default</v>
      </c>
      <c r="G176" s="33" t="e">
        <f>'Peak Models'!$Q$7</f>
        <v>#VALUE!</v>
      </c>
      <c r="H176" s="33">
        <f>'Peak Models'!$P$16</f>
        <v>1.5</v>
      </c>
      <c r="I176" s="33">
        <v>12</v>
      </c>
      <c r="J176" s="33" t="e">
        <f>'Peak Models'!$P$13</f>
        <v>#N/A</v>
      </c>
      <c r="K176" s="28" t="e">
        <f t="shared" si="36"/>
        <v>#VALUE!</v>
      </c>
      <c r="L176" s="28" t="e">
        <f>INDEX('Peak Models'!$P$34:$P$64, MATCH(TRUNC(B176, 0), 'Peak Models'!$O$34:$O$64, 0))</f>
        <v>#N/A</v>
      </c>
      <c r="M176" s="28">
        <f>'Peak Models'!$P$15*INDEX('Peak Models'!$Q$34:$Q$64, MATCH(TRUNC(B176, 0),'Peak Models'!$O$34:$O$64, 0))/'Profit per cycles Model'!$E$78</f>
        <v>5.1944136029411752</v>
      </c>
      <c r="N176" s="28" t="e">
        <f t="shared" si="37"/>
        <v>#N/A</v>
      </c>
      <c r="O176" s="71" t="e">
        <f>AVERAGE($N$10:N176)</f>
        <v>#N/A</v>
      </c>
      <c r="P176" s="28" t="e">
        <f t="shared" si="38"/>
        <v>#N/A</v>
      </c>
      <c r="R176" s="28" t="e">
        <f t="shared" si="39"/>
        <v>#VALUE!</v>
      </c>
      <c r="S176" s="25"/>
      <c r="T176" s="25">
        <f t="shared" si="40"/>
        <v>15</v>
      </c>
      <c r="U176" s="33">
        <f>IF(PaybackCustom&gt;0, IF(PaybackCustom&lt;&gt;"Default", PaybackCustom, IF(PaybackStatus&lt;&gt;"",INDEX('Arbitrage Payback Engine'!$Y$2:$Y$6,MATCH(PaybackStatus,'Arbitrage Payback Engine'!$X$2:$X$6,FALSE)),-1)))</f>
        <v>25</v>
      </c>
      <c r="V176" s="32">
        <f t="shared" si="49"/>
        <v>15</v>
      </c>
      <c r="X176" s="29">
        <f t="shared" si="50"/>
        <v>167</v>
      </c>
      <c r="Z176" s="30">
        <f t="shared" si="41"/>
        <v>4.5747157923572113</v>
      </c>
      <c r="AA176" s="28" t="e">
        <f t="shared" si="42"/>
        <v>#N/A</v>
      </c>
      <c r="AB176" s="28" t="e">
        <f t="shared" si="43"/>
        <v>#VALUE!</v>
      </c>
      <c r="AC176" s="29">
        <f t="shared" si="44"/>
        <v>158.44402277039848</v>
      </c>
      <c r="AD176" s="28" t="e">
        <f t="shared" si="45"/>
        <v>#VALUE!</v>
      </c>
      <c r="AE176" s="28" t="e">
        <f t="shared" si="46"/>
        <v>#N/A</v>
      </c>
      <c r="AF176" s="28" t="e">
        <f t="shared" si="47"/>
        <v>#VALUE!</v>
      </c>
      <c r="AH176" s="31" t="e">
        <f t="shared" si="48"/>
        <v>#N/A</v>
      </c>
      <c r="AI176" s="25"/>
      <c r="AJ176" s="31"/>
    </row>
    <row r="177" spans="2:36" x14ac:dyDescent="0.25">
      <c r="B177" s="33">
        <f>'Arbitrage Payback Engine'!E177</f>
        <v>4.6021093000958775</v>
      </c>
      <c r="C177" s="33">
        <f t="shared" si="34"/>
        <v>1000</v>
      </c>
      <c r="D177" s="33">
        <f>'Battery Pricing Model'!$C$17</f>
        <v>1000</v>
      </c>
      <c r="E177" s="33">
        <f t="shared" si="35"/>
        <v>999</v>
      </c>
      <c r="F177" s="33" t="str">
        <f>'Peak Models'!$B$4</f>
        <v>Default</v>
      </c>
      <c r="G177" s="33" t="e">
        <f>'Peak Models'!$Q$7</f>
        <v>#VALUE!</v>
      </c>
      <c r="H177" s="33">
        <f>'Peak Models'!$P$16</f>
        <v>1.5</v>
      </c>
      <c r="I177" s="33">
        <v>12</v>
      </c>
      <c r="J177" s="33" t="e">
        <f>'Peak Models'!$P$13</f>
        <v>#N/A</v>
      </c>
      <c r="K177" s="28" t="e">
        <f t="shared" si="36"/>
        <v>#VALUE!</v>
      </c>
      <c r="L177" s="28" t="e">
        <f>INDEX('Peak Models'!$P$34:$P$64, MATCH(TRUNC(B177, 0), 'Peak Models'!$O$34:$O$64, 0))</f>
        <v>#N/A</v>
      </c>
      <c r="M177" s="28">
        <f>'Peak Models'!$P$15*INDEX('Peak Models'!$Q$34:$Q$64, MATCH(TRUNC(B177, 0),'Peak Models'!$O$34:$O$64, 0))/'Profit per cycles Model'!$E$78</f>
        <v>5.1944136029411752</v>
      </c>
      <c r="N177" s="28" t="e">
        <f t="shared" si="37"/>
        <v>#N/A</v>
      </c>
      <c r="O177" s="71" t="e">
        <f>AVERAGE($N$10:N177)</f>
        <v>#N/A</v>
      </c>
      <c r="P177" s="28" t="e">
        <f t="shared" si="38"/>
        <v>#N/A</v>
      </c>
      <c r="R177" s="28" t="e">
        <f t="shared" si="39"/>
        <v>#VALUE!</v>
      </c>
      <c r="S177" s="25"/>
      <c r="T177" s="25">
        <f t="shared" si="40"/>
        <v>15</v>
      </c>
      <c r="U177" s="33">
        <f>IF(PaybackCustom&gt;0, IF(PaybackCustom&lt;&gt;"Default", PaybackCustom, IF(PaybackStatus&lt;&gt;"",INDEX('Arbitrage Payback Engine'!$Y$2:$Y$6,MATCH(PaybackStatus,'Arbitrage Payback Engine'!$X$2:$X$6,FALSE)),-1)))</f>
        <v>25</v>
      </c>
      <c r="V177" s="32">
        <f t="shared" si="49"/>
        <v>15</v>
      </c>
      <c r="X177" s="29">
        <f t="shared" si="50"/>
        <v>168</v>
      </c>
      <c r="Z177" s="30">
        <f t="shared" si="41"/>
        <v>4.6021093000958775</v>
      </c>
      <c r="AA177" s="28" t="e">
        <f t="shared" si="42"/>
        <v>#N/A</v>
      </c>
      <c r="AB177" s="28" t="e">
        <f t="shared" si="43"/>
        <v>#VALUE!</v>
      </c>
      <c r="AC177" s="29">
        <f t="shared" si="44"/>
        <v>159.39278937381405</v>
      </c>
      <c r="AD177" s="28" t="e">
        <f t="shared" si="45"/>
        <v>#VALUE!</v>
      </c>
      <c r="AE177" s="28" t="e">
        <f t="shared" si="46"/>
        <v>#N/A</v>
      </c>
      <c r="AF177" s="28" t="e">
        <f t="shared" si="47"/>
        <v>#VALUE!</v>
      </c>
      <c r="AH177" s="31" t="e">
        <f t="shared" si="48"/>
        <v>#N/A</v>
      </c>
      <c r="AI177" s="25"/>
      <c r="AJ177" s="31"/>
    </row>
    <row r="178" spans="2:36" x14ac:dyDescent="0.25">
      <c r="B178" s="33">
        <f>'Arbitrage Payback Engine'!E178</f>
        <v>4.6295028078345428</v>
      </c>
      <c r="C178" s="33">
        <f t="shared" si="34"/>
        <v>1000</v>
      </c>
      <c r="D178" s="33">
        <f>'Battery Pricing Model'!$C$17</f>
        <v>1000</v>
      </c>
      <c r="E178" s="33">
        <f t="shared" si="35"/>
        <v>999</v>
      </c>
      <c r="F178" s="33" t="str">
        <f>'Peak Models'!$B$4</f>
        <v>Default</v>
      </c>
      <c r="G178" s="33" t="e">
        <f>'Peak Models'!$Q$7</f>
        <v>#VALUE!</v>
      </c>
      <c r="H178" s="33">
        <f>'Peak Models'!$P$16</f>
        <v>1.5</v>
      </c>
      <c r="I178" s="33">
        <v>12</v>
      </c>
      <c r="J178" s="33" t="e">
        <f>'Peak Models'!$P$13</f>
        <v>#N/A</v>
      </c>
      <c r="K178" s="28" t="e">
        <f t="shared" si="36"/>
        <v>#VALUE!</v>
      </c>
      <c r="L178" s="28" t="e">
        <f>INDEX('Peak Models'!$P$34:$P$64, MATCH(TRUNC(B178, 0), 'Peak Models'!$O$34:$O$64, 0))</f>
        <v>#N/A</v>
      </c>
      <c r="M178" s="28">
        <f>'Peak Models'!$P$15*INDEX('Peak Models'!$Q$34:$Q$64, MATCH(TRUNC(B178, 0),'Peak Models'!$O$34:$O$64, 0))/'Profit per cycles Model'!$E$78</f>
        <v>5.1944136029411752</v>
      </c>
      <c r="N178" s="28" t="e">
        <f t="shared" si="37"/>
        <v>#N/A</v>
      </c>
      <c r="O178" s="71" t="e">
        <f>AVERAGE($N$10:N178)</f>
        <v>#N/A</v>
      </c>
      <c r="P178" s="28" t="e">
        <f t="shared" si="38"/>
        <v>#N/A</v>
      </c>
      <c r="R178" s="28" t="e">
        <f t="shared" si="39"/>
        <v>#VALUE!</v>
      </c>
      <c r="S178" s="25"/>
      <c r="T178" s="25">
        <f t="shared" si="40"/>
        <v>15</v>
      </c>
      <c r="U178" s="33">
        <f>IF(PaybackCustom&gt;0, IF(PaybackCustom&lt;&gt;"Default", PaybackCustom, IF(PaybackStatus&lt;&gt;"",INDEX('Arbitrage Payback Engine'!$Y$2:$Y$6,MATCH(PaybackStatus,'Arbitrage Payback Engine'!$X$2:$X$6,FALSE)),-1)))</f>
        <v>25</v>
      </c>
      <c r="V178" s="32">
        <f t="shared" si="49"/>
        <v>15</v>
      </c>
      <c r="X178" s="29">
        <f t="shared" si="50"/>
        <v>169</v>
      </c>
      <c r="Z178" s="30">
        <f t="shared" si="41"/>
        <v>4.6295028078345428</v>
      </c>
      <c r="AA178" s="28" t="e">
        <f t="shared" si="42"/>
        <v>#N/A</v>
      </c>
      <c r="AB178" s="28" t="e">
        <f t="shared" si="43"/>
        <v>#VALUE!</v>
      </c>
      <c r="AC178" s="29">
        <f t="shared" si="44"/>
        <v>160.3415559772296</v>
      </c>
      <c r="AD178" s="28" t="e">
        <f t="shared" si="45"/>
        <v>#VALUE!</v>
      </c>
      <c r="AE178" s="28" t="e">
        <f t="shared" si="46"/>
        <v>#N/A</v>
      </c>
      <c r="AF178" s="28" t="e">
        <f t="shared" si="47"/>
        <v>#VALUE!</v>
      </c>
      <c r="AH178" s="31" t="e">
        <f t="shared" si="48"/>
        <v>#N/A</v>
      </c>
      <c r="AI178" s="25"/>
      <c r="AJ178" s="31"/>
    </row>
    <row r="179" spans="2:36" x14ac:dyDescent="0.25">
      <c r="B179" s="33">
        <f>'Arbitrage Payback Engine'!E179</f>
        <v>4.656896315573209</v>
      </c>
      <c r="C179" s="33">
        <f t="shared" si="34"/>
        <v>1000</v>
      </c>
      <c r="D179" s="33">
        <f>'Battery Pricing Model'!$C$17</f>
        <v>1000</v>
      </c>
      <c r="E179" s="33">
        <f t="shared" si="35"/>
        <v>999</v>
      </c>
      <c r="F179" s="33" t="str">
        <f>'Peak Models'!$B$4</f>
        <v>Default</v>
      </c>
      <c r="G179" s="33" t="e">
        <f>'Peak Models'!$Q$7</f>
        <v>#VALUE!</v>
      </c>
      <c r="H179" s="33">
        <f>'Peak Models'!$P$16</f>
        <v>1.5</v>
      </c>
      <c r="I179" s="33">
        <v>12</v>
      </c>
      <c r="J179" s="33" t="e">
        <f>'Peak Models'!$P$13</f>
        <v>#N/A</v>
      </c>
      <c r="K179" s="28" t="e">
        <f t="shared" si="36"/>
        <v>#VALUE!</v>
      </c>
      <c r="L179" s="28" t="e">
        <f>INDEX('Peak Models'!$P$34:$P$64, MATCH(TRUNC(B179, 0), 'Peak Models'!$O$34:$O$64, 0))</f>
        <v>#N/A</v>
      </c>
      <c r="M179" s="28">
        <f>'Peak Models'!$P$15*INDEX('Peak Models'!$Q$34:$Q$64, MATCH(TRUNC(B179, 0),'Peak Models'!$O$34:$O$64, 0))/'Profit per cycles Model'!$E$78</f>
        <v>5.1944136029411752</v>
      </c>
      <c r="N179" s="28" t="e">
        <f t="shared" si="37"/>
        <v>#N/A</v>
      </c>
      <c r="O179" s="71" t="e">
        <f>AVERAGE($N$10:N179)</f>
        <v>#N/A</v>
      </c>
      <c r="P179" s="28" t="e">
        <f t="shared" si="38"/>
        <v>#N/A</v>
      </c>
      <c r="R179" s="28" t="e">
        <f t="shared" si="39"/>
        <v>#VALUE!</v>
      </c>
      <c r="S179" s="25"/>
      <c r="T179" s="25">
        <f t="shared" si="40"/>
        <v>15</v>
      </c>
      <c r="U179" s="33">
        <f>IF(PaybackCustom&gt;0, IF(PaybackCustom&lt;&gt;"Default", PaybackCustom, IF(PaybackStatus&lt;&gt;"",INDEX('Arbitrage Payback Engine'!$Y$2:$Y$6,MATCH(PaybackStatus,'Arbitrage Payback Engine'!$X$2:$X$6,FALSE)),-1)))</f>
        <v>25</v>
      </c>
      <c r="V179" s="32">
        <f t="shared" si="49"/>
        <v>15</v>
      </c>
      <c r="X179" s="29">
        <f t="shared" si="50"/>
        <v>170</v>
      </c>
      <c r="Z179" s="30">
        <f t="shared" si="41"/>
        <v>4.656896315573209</v>
      </c>
      <c r="AA179" s="28" t="e">
        <f t="shared" si="42"/>
        <v>#N/A</v>
      </c>
      <c r="AB179" s="28" t="e">
        <f t="shared" si="43"/>
        <v>#VALUE!</v>
      </c>
      <c r="AC179" s="29">
        <f t="shared" si="44"/>
        <v>161.29032258064515</v>
      </c>
      <c r="AD179" s="28" t="e">
        <f t="shared" si="45"/>
        <v>#VALUE!</v>
      </c>
      <c r="AE179" s="28" t="e">
        <f t="shared" si="46"/>
        <v>#N/A</v>
      </c>
      <c r="AF179" s="28" t="e">
        <f t="shared" si="47"/>
        <v>#VALUE!</v>
      </c>
      <c r="AH179" s="31" t="e">
        <f t="shared" si="48"/>
        <v>#N/A</v>
      </c>
      <c r="AI179" s="25"/>
      <c r="AJ179" s="31"/>
    </row>
    <row r="180" spans="2:36" x14ac:dyDescent="0.25">
      <c r="B180" s="33">
        <f>'Arbitrage Payback Engine'!E180</f>
        <v>4.6842898233118753</v>
      </c>
      <c r="C180" s="33">
        <f t="shared" si="34"/>
        <v>1000</v>
      </c>
      <c r="D180" s="33">
        <f>'Battery Pricing Model'!$C$17</f>
        <v>1000</v>
      </c>
      <c r="E180" s="33">
        <f t="shared" si="35"/>
        <v>999</v>
      </c>
      <c r="F180" s="33" t="str">
        <f>'Peak Models'!$B$4</f>
        <v>Default</v>
      </c>
      <c r="G180" s="33" t="e">
        <f>'Peak Models'!$Q$7</f>
        <v>#VALUE!</v>
      </c>
      <c r="H180" s="33">
        <f>'Peak Models'!$P$16</f>
        <v>1.5</v>
      </c>
      <c r="I180" s="33">
        <v>12</v>
      </c>
      <c r="J180" s="33" t="e">
        <f>'Peak Models'!$P$13</f>
        <v>#N/A</v>
      </c>
      <c r="K180" s="28" t="e">
        <f t="shared" si="36"/>
        <v>#VALUE!</v>
      </c>
      <c r="L180" s="28" t="e">
        <f>INDEX('Peak Models'!$P$34:$P$64, MATCH(TRUNC(B180, 0), 'Peak Models'!$O$34:$O$64, 0))</f>
        <v>#N/A</v>
      </c>
      <c r="M180" s="28">
        <f>'Peak Models'!$P$15*INDEX('Peak Models'!$Q$34:$Q$64, MATCH(TRUNC(B180, 0),'Peak Models'!$O$34:$O$64, 0))/'Profit per cycles Model'!$E$78</f>
        <v>5.1944136029411752</v>
      </c>
      <c r="N180" s="28" t="e">
        <f t="shared" si="37"/>
        <v>#N/A</v>
      </c>
      <c r="O180" s="71" t="e">
        <f>AVERAGE($N$10:N180)</f>
        <v>#N/A</v>
      </c>
      <c r="P180" s="28" t="e">
        <f t="shared" si="38"/>
        <v>#N/A</v>
      </c>
      <c r="R180" s="28" t="e">
        <f t="shared" si="39"/>
        <v>#VALUE!</v>
      </c>
      <c r="S180" s="25"/>
      <c r="T180" s="25">
        <f t="shared" si="40"/>
        <v>15</v>
      </c>
      <c r="U180" s="33">
        <f>IF(PaybackCustom&gt;0, IF(PaybackCustom&lt;&gt;"Default", PaybackCustom, IF(PaybackStatus&lt;&gt;"",INDEX('Arbitrage Payback Engine'!$Y$2:$Y$6,MATCH(PaybackStatus,'Arbitrage Payback Engine'!$X$2:$X$6,FALSE)),-1)))</f>
        <v>25</v>
      </c>
      <c r="V180" s="32">
        <f t="shared" si="49"/>
        <v>15</v>
      </c>
      <c r="X180" s="29">
        <f t="shared" si="50"/>
        <v>171</v>
      </c>
      <c r="Z180" s="30">
        <f t="shared" si="41"/>
        <v>4.6842898233118753</v>
      </c>
      <c r="AA180" s="28" t="e">
        <f t="shared" si="42"/>
        <v>#N/A</v>
      </c>
      <c r="AB180" s="28" t="e">
        <f t="shared" si="43"/>
        <v>#VALUE!</v>
      </c>
      <c r="AC180" s="29">
        <f t="shared" si="44"/>
        <v>162.23908918406073</v>
      </c>
      <c r="AD180" s="28" t="e">
        <f t="shared" si="45"/>
        <v>#VALUE!</v>
      </c>
      <c r="AE180" s="28" t="e">
        <f t="shared" si="46"/>
        <v>#N/A</v>
      </c>
      <c r="AF180" s="28" t="e">
        <f t="shared" si="47"/>
        <v>#VALUE!</v>
      </c>
      <c r="AH180" s="31" t="e">
        <f t="shared" si="48"/>
        <v>#N/A</v>
      </c>
      <c r="AI180" s="25"/>
      <c r="AJ180" s="31"/>
    </row>
    <row r="181" spans="2:36" x14ac:dyDescent="0.25">
      <c r="B181" s="33">
        <f>'Arbitrage Payback Engine'!E181</f>
        <v>4.7116833310505406</v>
      </c>
      <c r="C181" s="33">
        <f t="shared" si="34"/>
        <v>1000</v>
      </c>
      <c r="D181" s="33">
        <f>'Battery Pricing Model'!$C$17</f>
        <v>1000</v>
      </c>
      <c r="E181" s="33">
        <f t="shared" si="35"/>
        <v>999</v>
      </c>
      <c r="F181" s="33" t="str">
        <f>'Peak Models'!$B$4</f>
        <v>Default</v>
      </c>
      <c r="G181" s="33" t="e">
        <f>'Peak Models'!$Q$7</f>
        <v>#VALUE!</v>
      </c>
      <c r="H181" s="33">
        <f>'Peak Models'!$P$16</f>
        <v>1.5</v>
      </c>
      <c r="I181" s="33">
        <v>12</v>
      </c>
      <c r="J181" s="33" t="e">
        <f>'Peak Models'!$P$13</f>
        <v>#N/A</v>
      </c>
      <c r="K181" s="28" t="e">
        <f t="shared" si="36"/>
        <v>#VALUE!</v>
      </c>
      <c r="L181" s="28" t="e">
        <f>INDEX('Peak Models'!$P$34:$P$64, MATCH(TRUNC(B181, 0), 'Peak Models'!$O$34:$O$64, 0))</f>
        <v>#N/A</v>
      </c>
      <c r="M181" s="28">
        <f>'Peak Models'!$P$15*INDEX('Peak Models'!$Q$34:$Q$64, MATCH(TRUNC(B181, 0),'Peak Models'!$O$34:$O$64, 0))/'Profit per cycles Model'!$E$78</f>
        <v>5.1944136029411752</v>
      </c>
      <c r="N181" s="28" t="e">
        <f t="shared" si="37"/>
        <v>#N/A</v>
      </c>
      <c r="O181" s="71" t="e">
        <f>AVERAGE($N$10:N181)</f>
        <v>#N/A</v>
      </c>
      <c r="P181" s="28" t="e">
        <f t="shared" si="38"/>
        <v>#N/A</v>
      </c>
      <c r="R181" s="28" t="e">
        <f t="shared" si="39"/>
        <v>#VALUE!</v>
      </c>
      <c r="S181" s="25"/>
      <c r="T181" s="25">
        <f t="shared" si="40"/>
        <v>15</v>
      </c>
      <c r="U181" s="33">
        <f>IF(PaybackCustom&gt;0, IF(PaybackCustom&lt;&gt;"Default", PaybackCustom, IF(PaybackStatus&lt;&gt;"",INDEX('Arbitrage Payback Engine'!$Y$2:$Y$6,MATCH(PaybackStatus,'Arbitrage Payback Engine'!$X$2:$X$6,FALSE)),-1)))</f>
        <v>25</v>
      </c>
      <c r="V181" s="32">
        <f t="shared" si="49"/>
        <v>15</v>
      </c>
      <c r="X181" s="29">
        <f t="shared" si="50"/>
        <v>172</v>
      </c>
      <c r="Z181" s="30">
        <f t="shared" si="41"/>
        <v>4.7116833310505406</v>
      </c>
      <c r="AA181" s="28" t="e">
        <f t="shared" si="42"/>
        <v>#N/A</v>
      </c>
      <c r="AB181" s="28" t="e">
        <f t="shared" si="43"/>
        <v>#VALUE!</v>
      </c>
      <c r="AC181" s="29">
        <f t="shared" si="44"/>
        <v>163.18785578747628</v>
      </c>
      <c r="AD181" s="28" t="e">
        <f t="shared" si="45"/>
        <v>#VALUE!</v>
      </c>
      <c r="AE181" s="28" t="e">
        <f t="shared" si="46"/>
        <v>#N/A</v>
      </c>
      <c r="AF181" s="28" t="e">
        <f t="shared" si="47"/>
        <v>#VALUE!</v>
      </c>
      <c r="AH181" s="31" t="e">
        <f t="shared" si="48"/>
        <v>#N/A</v>
      </c>
      <c r="AI181" s="25"/>
      <c r="AJ181" s="31"/>
    </row>
    <row r="182" spans="2:36" x14ac:dyDescent="0.25">
      <c r="B182" s="33">
        <f>'Arbitrage Payback Engine'!E182</f>
        <v>4.7390768387892068</v>
      </c>
      <c r="C182" s="33">
        <f t="shared" si="34"/>
        <v>1000</v>
      </c>
      <c r="D182" s="33">
        <f>'Battery Pricing Model'!$C$17</f>
        <v>1000</v>
      </c>
      <c r="E182" s="33">
        <f t="shared" si="35"/>
        <v>999</v>
      </c>
      <c r="F182" s="33" t="str">
        <f>'Peak Models'!$B$4</f>
        <v>Default</v>
      </c>
      <c r="G182" s="33" t="e">
        <f>'Peak Models'!$Q$7</f>
        <v>#VALUE!</v>
      </c>
      <c r="H182" s="33">
        <f>'Peak Models'!$P$16</f>
        <v>1.5</v>
      </c>
      <c r="I182" s="33">
        <v>12</v>
      </c>
      <c r="J182" s="33" t="e">
        <f>'Peak Models'!$P$13</f>
        <v>#N/A</v>
      </c>
      <c r="K182" s="28" t="e">
        <f t="shared" si="36"/>
        <v>#VALUE!</v>
      </c>
      <c r="L182" s="28" t="e">
        <f>INDEX('Peak Models'!$P$34:$P$64, MATCH(TRUNC(B182, 0), 'Peak Models'!$O$34:$O$64, 0))</f>
        <v>#N/A</v>
      </c>
      <c r="M182" s="28">
        <f>'Peak Models'!$P$15*INDEX('Peak Models'!$Q$34:$Q$64, MATCH(TRUNC(B182, 0),'Peak Models'!$O$34:$O$64, 0))/'Profit per cycles Model'!$E$78</f>
        <v>5.1944136029411752</v>
      </c>
      <c r="N182" s="28" t="e">
        <f t="shared" si="37"/>
        <v>#N/A</v>
      </c>
      <c r="O182" s="71" t="e">
        <f>AVERAGE($N$10:N182)</f>
        <v>#N/A</v>
      </c>
      <c r="P182" s="28" t="e">
        <f t="shared" si="38"/>
        <v>#N/A</v>
      </c>
      <c r="R182" s="28" t="e">
        <f t="shared" si="39"/>
        <v>#VALUE!</v>
      </c>
      <c r="S182" s="25"/>
      <c r="T182" s="25">
        <f t="shared" si="40"/>
        <v>15</v>
      </c>
      <c r="U182" s="33">
        <f>IF(PaybackCustom&gt;0, IF(PaybackCustom&lt;&gt;"Default", PaybackCustom, IF(PaybackStatus&lt;&gt;"",INDEX('Arbitrage Payback Engine'!$Y$2:$Y$6,MATCH(PaybackStatus,'Arbitrage Payback Engine'!$X$2:$X$6,FALSE)),-1)))</f>
        <v>25</v>
      </c>
      <c r="V182" s="32">
        <f t="shared" si="49"/>
        <v>15</v>
      </c>
      <c r="X182" s="29">
        <f t="shared" si="50"/>
        <v>173</v>
      </c>
      <c r="Z182" s="30">
        <f t="shared" si="41"/>
        <v>4.7390768387892068</v>
      </c>
      <c r="AA182" s="28" t="e">
        <f t="shared" si="42"/>
        <v>#N/A</v>
      </c>
      <c r="AB182" s="28" t="e">
        <f t="shared" si="43"/>
        <v>#VALUE!</v>
      </c>
      <c r="AC182" s="29">
        <f t="shared" si="44"/>
        <v>164.13662239089183</v>
      </c>
      <c r="AD182" s="28" t="e">
        <f t="shared" si="45"/>
        <v>#VALUE!</v>
      </c>
      <c r="AE182" s="28" t="e">
        <f t="shared" si="46"/>
        <v>#N/A</v>
      </c>
      <c r="AF182" s="28" t="e">
        <f t="shared" si="47"/>
        <v>#VALUE!</v>
      </c>
      <c r="AH182" s="31" t="e">
        <f t="shared" si="48"/>
        <v>#N/A</v>
      </c>
      <c r="AI182" s="25"/>
      <c r="AJ182" s="31"/>
    </row>
    <row r="183" spans="2:36" x14ac:dyDescent="0.25">
      <c r="B183" s="33">
        <f>'Arbitrage Payback Engine'!E183</f>
        <v>4.766470346527873</v>
      </c>
      <c r="C183" s="33">
        <f t="shared" si="34"/>
        <v>1000</v>
      </c>
      <c r="D183" s="33">
        <f>'Battery Pricing Model'!$C$17</f>
        <v>1000</v>
      </c>
      <c r="E183" s="33">
        <f t="shared" si="35"/>
        <v>999</v>
      </c>
      <c r="F183" s="33" t="str">
        <f>'Peak Models'!$B$4</f>
        <v>Default</v>
      </c>
      <c r="G183" s="33" t="e">
        <f>'Peak Models'!$Q$7</f>
        <v>#VALUE!</v>
      </c>
      <c r="H183" s="33">
        <f>'Peak Models'!$P$16</f>
        <v>1.5</v>
      </c>
      <c r="I183" s="33">
        <v>12</v>
      </c>
      <c r="J183" s="33" t="e">
        <f>'Peak Models'!$P$13</f>
        <v>#N/A</v>
      </c>
      <c r="K183" s="28" t="e">
        <f t="shared" si="36"/>
        <v>#VALUE!</v>
      </c>
      <c r="L183" s="28" t="e">
        <f>INDEX('Peak Models'!$P$34:$P$64, MATCH(TRUNC(B183, 0), 'Peak Models'!$O$34:$O$64, 0))</f>
        <v>#N/A</v>
      </c>
      <c r="M183" s="28">
        <f>'Peak Models'!$P$15*INDEX('Peak Models'!$Q$34:$Q$64, MATCH(TRUNC(B183, 0),'Peak Models'!$O$34:$O$64, 0))/'Profit per cycles Model'!$E$78</f>
        <v>5.1944136029411752</v>
      </c>
      <c r="N183" s="28" t="e">
        <f t="shared" si="37"/>
        <v>#N/A</v>
      </c>
      <c r="O183" s="71" t="e">
        <f>AVERAGE($N$10:N183)</f>
        <v>#N/A</v>
      </c>
      <c r="P183" s="28" t="e">
        <f t="shared" si="38"/>
        <v>#N/A</v>
      </c>
      <c r="R183" s="28" t="e">
        <f t="shared" si="39"/>
        <v>#VALUE!</v>
      </c>
      <c r="S183" s="25"/>
      <c r="T183" s="25">
        <f t="shared" si="40"/>
        <v>15</v>
      </c>
      <c r="U183" s="33">
        <f>IF(PaybackCustom&gt;0, IF(PaybackCustom&lt;&gt;"Default", PaybackCustom, IF(PaybackStatus&lt;&gt;"",INDEX('Arbitrage Payback Engine'!$Y$2:$Y$6,MATCH(PaybackStatus,'Arbitrage Payback Engine'!$X$2:$X$6,FALSE)),-1)))</f>
        <v>25</v>
      </c>
      <c r="V183" s="32">
        <f t="shared" si="49"/>
        <v>15</v>
      </c>
      <c r="X183" s="29">
        <f t="shared" si="50"/>
        <v>174</v>
      </c>
      <c r="Z183" s="30">
        <f t="shared" si="41"/>
        <v>4.766470346527873</v>
      </c>
      <c r="AA183" s="28" t="e">
        <f t="shared" si="42"/>
        <v>#N/A</v>
      </c>
      <c r="AB183" s="28" t="e">
        <f t="shared" si="43"/>
        <v>#VALUE!</v>
      </c>
      <c r="AC183" s="29">
        <f t="shared" si="44"/>
        <v>165.08538899430741</v>
      </c>
      <c r="AD183" s="28" t="e">
        <f t="shared" si="45"/>
        <v>#VALUE!</v>
      </c>
      <c r="AE183" s="28" t="e">
        <f t="shared" si="46"/>
        <v>#N/A</v>
      </c>
      <c r="AF183" s="28" t="e">
        <f t="shared" si="47"/>
        <v>#VALUE!</v>
      </c>
      <c r="AH183" s="31" t="e">
        <f t="shared" si="48"/>
        <v>#N/A</v>
      </c>
      <c r="AI183" s="25"/>
      <c r="AJ183" s="31"/>
    </row>
    <row r="184" spans="2:36" x14ac:dyDescent="0.25">
      <c r="B184" s="33">
        <f>'Arbitrage Payback Engine'!E184</f>
        <v>4.7938638542665384</v>
      </c>
      <c r="C184" s="33">
        <f t="shared" si="34"/>
        <v>1000</v>
      </c>
      <c r="D184" s="33">
        <f>'Battery Pricing Model'!$C$17</f>
        <v>1000</v>
      </c>
      <c r="E184" s="33">
        <f t="shared" si="35"/>
        <v>999</v>
      </c>
      <c r="F184" s="33" t="str">
        <f>'Peak Models'!$B$4</f>
        <v>Default</v>
      </c>
      <c r="G184" s="33" t="e">
        <f>'Peak Models'!$Q$7</f>
        <v>#VALUE!</v>
      </c>
      <c r="H184" s="33">
        <f>'Peak Models'!$P$16</f>
        <v>1.5</v>
      </c>
      <c r="I184" s="33">
        <v>12</v>
      </c>
      <c r="J184" s="33" t="e">
        <f>'Peak Models'!$P$13</f>
        <v>#N/A</v>
      </c>
      <c r="K184" s="28" t="e">
        <f t="shared" si="36"/>
        <v>#VALUE!</v>
      </c>
      <c r="L184" s="28" t="e">
        <f>INDEX('Peak Models'!$P$34:$P$64, MATCH(TRUNC(B184, 0), 'Peak Models'!$O$34:$O$64, 0))</f>
        <v>#N/A</v>
      </c>
      <c r="M184" s="28">
        <f>'Peak Models'!$P$15*INDEX('Peak Models'!$Q$34:$Q$64, MATCH(TRUNC(B184, 0),'Peak Models'!$O$34:$O$64, 0))/'Profit per cycles Model'!$E$78</f>
        <v>5.1944136029411752</v>
      </c>
      <c r="N184" s="28" t="e">
        <f t="shared" si="37"/>
        <v>#N/A</v>
      </c>
      <c r="O184" s="71" t="e">
        <f>AVERAGE($N$10:N184)</f>
        <v>#N/A</v>
      </c>
      <c r="P184" s="28" t="e">
        <f t="shared" si="38"/>
        <v>#N/A</v>
      </c>
      <c r="R184" s="28" t="e">
        <f t="shared" si="39"/>
        <v>#VALUE!</v>
      </c>
      <c r="S184" s="25"/>
      <c r="T184" s="25">
        <f t="shared" si="40"/>
        <v>15</v>
      </c>
      <c r="U184" s="33">
        <f>IF(PaybackCustom&gt;0, IF(PaybackCustom&lt;&gt;"Default", PaybackCustom, IF(PaybackStatus&lt;&gt;"",INDEX('Arbitrage Payback Engine'!$Y$2:$Y$6,MATCH(PaybackStatus,'Arbitrage Payback Engine'!$X$2:$X$6,FALSE)),-1)))</f>
        <v>25</v>
      </c>
      <c r="V184" s="32">
        <f t="shared" si="49"/>
        <v>15</v>
      </c>
      <c r="X184" s="29">
        <f t="shared" si="50"/>
        <v>175</v>
      </c>
      <c r="Z184" s="30">
        <f t="shared" si="41"/>
        <v>4.7938638542665384</v>
      </c>
      <c r="AA184" s="28" t="e">
        <f t="shared" si="42"/>
        <v>#N/A</v>
      </c>
      <c r="AB184" s="28" t="e">
        <f t="shared" si="43"/>
        <v>#VALUE!</v>
      </c>
      <c r="AC184" s="29">
        <f t="shared" si="44"/>
        <v>166.03415559772296</v>
      </c>
      <c r="AD184" s="28" t="e">
        <f t="shared" si="45"/>
        <v>#VALUE!</v>
      </c>
      <c r="AE184" s="28" t="e">
        <f t="shared" si="46"/>
        <v>#N/A</v>
      </c>
      <c r="AF184" s="28" t="e">
        <f t="shared" si="47"/>
        <v>#VALUE!</v>
      </c>
      <c r="AH184" s="31" t="e">
        <f t="shared" si="48"/>
        <v>#N/A</v>
      </c>
      <c r="AI184" s="25"/>
      <c r="AJ184" s="31"/>
    </row>
    <row r="185" spans="2:36" x14ac:dyDescent="0.25">
      <c r="B185" s="33">
        <f>'Arbitrage Payback Engine'!E185</f>
        <v>4.8212573620052046</v>
      </c>
      <c r="C185" s="33">
        <f t="shared" si="34"/>
        <v>1000</v>
      </c>
      <c r="D185" s="33">
        <f>'Battery Pricing Model'!$C$17</f>
        <v>1000</v>
      </c>
      <c r="E185" s="33">
        <f t="shared" si="35"/>
        <v>999</v>
      </c>
      <c r="F185" s="33" t="str">
        <f>'Peak Models'!$B$4</f>
        <v>Default</v>
      </c>
      <c r="G185" s="33" t="e">
        <f>'Peak Models'!$Q$7</f>
        <v>#VALUE!</v>
      </c>
      <c r="H185" s="33">
        <f>'Peak Models'!$P$16</f>
        <v>1.5</v>
      </c>
      <c r="I185" s="33">
        <v>12</v>
      </c>
      <c r="J185" s="33" t="e">
        <f>'Peak Models'!$P$13</f>
        <v>#N/A</v>
      </c>
      <c r="K185" s="28" t="e">
        <f t="shared" si="36"/>
        <v>#VALUE!</v>
      </c>
      <c r="L185" s="28" t="e">
        <f>INDEX('Peak Models'!$P$34:$P$64, MATCH(TRUNC(B185, 0), 'Peak Models'!$O$34:$O$64, 0))</f>
        <v>#N/A</v>
      </c>
      <c r="M185" s="28">
        <f>'Peak Models'!$P$15*INDEX('Peak Models'!$Q$34:$Q$64, MATCH(TRUNC(B185, 0),'Peak Models'!$O$34:$O$64, 0))/'Profit per cycles Model'!$E$78</f>
        <v>5.1944136029411752</v>
      </c>
      <c r="N185" s="28" t="e">
        <f t="shared" si="37"/>
        <v>#N/A</v>
      </c>
      <c r="O185" s="71" t="e">
        <f>AVERAGE($N$10:N185)</f>
        <v>#N/A</v>
      </c>
      <c r="P185" s="28" t="e">
        <f t="shared" si="38"/>
        <v>#N/A</v>
      </c>
      <c r="R185" s="28" t="e">
        <f t="shared" si="39"/>
        <v>#VALUE!</v>
      </c>
      <c r="S185" s="25"/>
      <c r="T185" s="25">
        <f t="shared" si="40"/>
        <v>15</v>
      </c>
      <c r="U185" s="33">
        <f>IF(PaybackCustom&gt;0, IF(PaybackCustom&lt;&gt;"Default", PaybackCustom, IF(PaybackStatus&lt;&gt;"",INDEX('Arbitrage Payback Engine'!$Y$2:$Y$6,MATCH(PaybackStatus,'Arbitrage Payback Engine'!$X$2:$X$6,FALSE)),-1)))</f>
        <v>25</v>
      </c>
      <c r="V185" s="32">
        <f t="shared" si="49"/>
        <v>15</v>
      </c>
      <c r="X185" s="29">
        <f t="shared" si="50"/>
        <v>176</v>
      </c>
      <c r="Z185" s="30">
        <f t="shared" si="41"/>
        <v>4.8212573620052046</v>
      </c>
      <c r="AA185" s="28" t="e">
        <f t="shared" si="42"/>
        <v>#N/A</v>
      </c>
      <c r="AB185" s="28" t="e">
        <f t="shared" si="43"/>
        <v>#VALUE!</v>
      </c>
      <c r="AC185" s="29">
        <f t="shared" si="44"/>
        <v>166.98292220113851</v>
      </c>
      <c r="AD185" s="28" t="e">
        <f t="shared" si="45"/>
        <v>#VALUE!</v>
      </c>
      <c r="AE185" s="28" t="e">
        <f t="shared" si="46"/>
        <v>#N/A</v>
      </c>
      <c r="AF185" s="28" t="e">
        <f t="shared" si="47"/>
        <v>#VALUE!</v>
      </c>
      <c r="AH185" s="31" t="e">
        <f t="shared" si="48"/>
        <v>#N/A</v>
      </c>
      <c r="AI185" s="25"/>
      <c r="AJ185" s="31"/>
    </row>
    <row r="186" spans="2:36" x14ac:dyDescent="0.25">
      <c r="B186" s="33">
        <f>'Arbitrage Payback Engine'!E186</f>
        <v>4.8486508697438708</v>
      </c>
      <c r="C186" s="33">
        <f t="shared" si="34"/>
        <v>1000</v>
      </c>
      <c r="D186" s="33">
        <f>'Battery Pricing Model'!$C$17</f>
        <v>1000</v>
      </c>
      <c r="E186" s="33">
        <f t="shared" si="35"/>
        <v>999</v>
      </c>
      <c r="F186" s="33" t="str">
        <f>'Peak Models'!$B$4</f>
        <v>Default</v>
      </c>
      <c r="G186" s="33" t="e">
        <f>'Peak Models'!$Q$7</f>
        <v>#VALUE!</v>
      </c>
      <c r="H186" s="33">
        <f>'Peak Models'!$P$16</f>
        <v>1.5</v>
      </c>
      <c r="I186" s="33">
        <v>12</v>
      </c>
      <c r="J186" s="33" t="e">
        <f>'Peak Models'!$P$13</f>
        <v>#N/A</v>
      </c>
      <c r="K186" s="28" t="e">
        <f t="shared" si="36"/>
        <v>#VALUE!</v>
      </c>
      <c r="L186" s="28" t="e">
        <f>INDEX('Peak Models'!$P$34:$P$64, MATCH(TRUNC(B186, 0), 'Peak Models'!$O$34:$O$64, 0))</f>
        <v>#N/A</v>
      </c>
      <c r="M186" s="28">
        <f>'Peak Models'!$P$15*INDEX('Peak Models'!$Q$34:$Q$64, MATCH(TRUNC(B186, 0),'Peak Models'!$O$34:$O$64, 0))/'Profit per cycles Model'!$E$78</f>
        <v>5.1944136029411752</v>
      </c>
      <c r="N186" s="28" t="e">
        <f t="shared" si="37"/>
        <v>#N/A</v>
      </c>
      <c r="O186" s="71" t="e">
        <f>AVERAGE($N$10:N186)</f>
        <v>#N/A</v>
      </c>
      <c r="P186" s="28" t="e">
        <f t="shared" si="38"/>
        <v>#N/A</v>
      </c>
      <c r="R186" s="28" t="e">
        <f t="shared" si="39"/>
        <v>#VALUE!</v>
      </c>
      <c r="S186" s="25"/>
      <c r="T186" s="25">
        <f t="shared" si="40"/>
        <v>15</v>
      </c>
      <c r="U186" s="33">
        <f>IF(PaybackCustom&gt;0, IF(PaybackCustom&lt;&gt;"Default", PaybackCustom, IF(PaybackStatus&lt;&gt;"",INDEX('Arbitrage Payback Engine'!$Y$2:$Y$6,MATCH(PaybackStatus,'Arbitrage Payback Engine'!$X$2:$X$6,FALSE)),-1)))</f>
        <v>25</v>
      </c>
      <c r="V186" s="32">
        <f t="shared" si="49"/>
        <v>15</v>
      </c>
      <c r="X186" s="29">
        <f t="shared" si="50"/>
        <v>177</v>
      </c>
      <c r="Z186" s="30">
        <f t="shared" si="41"/>
        <v>4.8486508697438708</v>
      </c>
      <c r="AA186" s="28" t="e">
        <f t="shared" si="42"/>
        <v>#N/A</v>
      </c>
      <c r="AB186" s="28" t="e">
        <f t="shared" si="43"/>
        <v>#VALUE!</v>
      </c>
      <c r="AC186" s="29">
        <f t="shared" si="44"/>
        <v>167.93168880455411</v>
      </c>
      <c r="AD186" s="28" t="e">
        <f t="shared" si="45"/>
        <v>#VALUE!</v>
      </c>
      <c r="AE186" s="28" t="e">
        <f t="shared" si="46"/>
        <v>#N/A</v>
      </c>
      <c r="AF186" s="28" t="e">
        <f t="shared" si="47"/>
        <v>#VALUE!</v>
      </c>
      <c r="AH186" s="31" t="e">
        <f t="shared" si="48"/>
        <v>#N/A</v>
      </c>
      <c r="AI186" s="25"/>
      <c r="AJ186" s="31"/>
    </row>
    <row r="187" spans="2:36" x14ac:dyDescent="0.25">
      <c r="B187" s="33">
        <f>'Arbitrage Payback Engine'!E187</f>
        <v>4.8760443774825362</v>
      </c>
      <c r="C187" s="33">
        <f t="shared" si="34"/>
        <v>1000</v>
      </c>
      <c r="D187" s="33">
        <f>'Battery Pricing Model'!$C$17</f>
        <v>1000</v>
      </c>
      <c r="E187" s="33">
        <f t="shared" si="35"/>
        <v>999</v>
      </c>
      <c r="F187" s="33" t="str">
        <f>'Peak Models'!$B$4</f>
        <v>Default</v>
      </c>
      <c r="G187" s="33" t="e">
        <f>'Peak Models'!$Q$7</f>
        <v>#VALUE!</v>
      </c>
      <c r="H187" s="33">
        <f>'Peak Models'!$P$16</f>
        <v>1.5</v>
      </c>
      <c r="I187" s="33">
        <v>12</v>
      </c>
      <c r="J187" s="33" t="e">
        <f>'Peak Models'!$P$13</f>
        <v>#N/A</v>
      </c>
      <c r="K187" s="28" t="e">
        <f t="shared" si="36"/>
        <v>#VALUE!</v>
      </c>
      <c r="L187" s="28" t="e">
        <f>INDEX('Peak Models'!$P$34:$P$64, MATCH(TRUNC(B187, 0), 'Peak Models'!$O$34:$O$64, 0))</f>
        <v>#N/A</v>
      </c>
      <c r="M187" s="28">
        <f>'Peak Models'!$P$15*INDEX('Peak Models'!$Q$34:$Q$64, MATCH(TRUNC(B187, 0),'Peak Models'!$O$34:$O$64, 0))/'Profit per cycles Model'!$E$78</f>
        <v>5.1944136029411752</v>
      </c>
      <c r="N187" s="28" t="e">
        <f t="shared" si="37"/>
        <v>#N/A</v>
      </c>
      <c r="O187" s="71" t="e">
        <f>AVERAGE($N$10:N187)</f>
        <v>#N/A</v>
      </c>
      <c r="P187" s="28" t="e">
        <f t="shared" si="38"/>
        <v>#N/A</v>
      </c>
      <c r="R187" s="28" t="e">
        <f t="shared" si="39"/>
        <v>#VALUE!</v>
      </c>
      <c r="S187" s="25"/>
      <c r="T187" s="25">
        <f t="shared" si="40"/>
        <v>15</v>
      </c>
      <c r="U187" s="33">
        <f>IF(PaybackCustom&gt;0, IF(PaybackCustom&lt;&gt;"Default", PaybackCustom, IF(PaybackStatus&lt;&gt;"",INDEX('Arbitrage Payback Engine'!$Y$2:$Y$6,MATCH(PaybackStatus,'Arbitrage Payback Engine'!$X$2:$X$6,FALSE)),-1)))</f>
        <v>25</v>
      </c>
      <c r="V187" s="32">
        <f t="shared" si="49"/>
        <v>15</v>
      </c>
      <c r="X187" s="29">
        <f t="shared" si="50"/>
        <v>178</v>
      </c>
      <c r="Z187" s="30">
        <f t="shared" si="41"/>
        <v>4.8760443774825362</v>
      </c>
      <c r="AA187" s="28" t="e">
        <f t="shared" si="42"/>
        <v>#N/A</v>
      </c>
      <c r="AB187" s="28" t="e">
        <f t="shared" si="43"/>
        <v>#VALUE!</v>
      </c>
      <c r="AC187" s="29">
        <f t="shared" si="44"/>
        <v>168.88045540796963</v>
      </c>
      <c r="AD187" s="28" t="e">
        <f t="shared" si="45"/>
        <v>#VALUE!</v>
      </c>
      <c r="AE187" s="28" t="e">
        <f t="shared" si="46"/>
        <v>#N/A</v>
      </c>
      <c r="AF187" s="28" t="e">
        <f t="shared" si="47"/>
        <v>#VALUE!</v>
      </c>
      <c r="AH187" s="31" t="e">
        <f t="shared" si="48"/>
        <v>#N/A</v>
      </c>
      <c r="AI187" s="25"/>
      <c r="AJ187" s="31"/>
    </row>
    <row r="188" spans="2:36" x14ac:dyDescent="0.25">
      <c r="B188" s="33">
        <f>'Arbitrage Payback Engine'!E188</f>
        <v>4.9034378852212024</v>
      </c>
      <c r="C188" s="33">
        <f t="shared" si="34"/>
        <v>1000</v>
      </c>
      <c r="D188" s="33">
        <f>'Battery Pricing Model'!$C$17</f>
        <v>1000</v>
      </c>
      <c r="E188" s="33">
        <f t="shared" si="35"/>
        <v>999</v>
      </c>
      <c r="F188" s="33" t="str">
        <f>'Peak Models'!$B$4</f>
        <v>Default</v>
      </c>
      <c r="G188" s="33" t="e">
        <f>'Peak Models'!$Q$7</f>
        <v>#VALUE!</v>
      </c>
      <c r="H188" s="33">
        <f>'Peak Models'!$P$16</f>
        <v>1.5</v>
      </c>
      <c r="I188" s="33">
        <v>12</v>
      </c>
      <c r="J188" s="33" t="e">
        <f>'Peak Models'!$P$13</f>
        <v>#N/A</v>
      </c>
      <c r="K188" s="28" t="e">
        <f t="shared" si="36"/>
        <v>#VALUE!</v>
      </c>
      <c r="L188" s="28" t="e">
        <f>INDEX('Peak Models'!$P$34:$P$64, MATCH(TRUNC(B188, 0), 'Peak Models'!$O$34:$O$64, 0))</f>
        <v>#N/A</v>
      </c>
      <c r="M188" s="28">
        <f>'Peak Models'!$P$15*INDEX('Peak Models'!$Q$34:$Q$64, MATCH(TRUNC(B188, 0),'Peak Models'!$O$34:$O$64, 0))/'Profit per cycles Model'!$E$78</f>
        <v>5.1944136029411752</v>
      </c>
      <c r="N188" s="28" t="e">
        <f t="shared" si="37"/>
        <v>#N/A</v>
      </c>
      <c r="O188" s="71" t="e">
        <f>AVERAGE($N$10:N188)</f>
        <v>#N/A</v>
      </c>
      <c r="P188" s="28" t="e">
        <f t="shared" si="38"/>
        <v>#N/A</v>
      </c>
      <c r="R188" s="28" t="e">
        <f t="shared" si="39"/>
        <v>#VALUE!</v>
      </c>
      <c r="S188" s="25"/>
      <c r="T188" s="25">
        <f t="shared" si="40"/>
        <v>15</v>
      </c>
      <c r="U188" s="33">
        <f>IF(PaybackCustom&gt;0, IF(PaybackCustom&lt;&gt;"Default", PaybackCustom, IF(PaybackStatus&lt;&gt;"",INDEX('Arbitrage Payback Engine'!$Y$2:$Y$6,MATCH(PaybackStatus,'Arbitrage Payback Engine'!$X$2:$X$6,FALSE)),-1)))</f>
        <v>25</v>
      </c>
      <c r="V188" s="32">
        <f t="shared" si="49"/>
        <v>15</v>
      </c>
      <c r="X188" s="29">
        <f t="shared" si="50"/>
        <v>179</v>
      </c>
      <c r="Z188" s="30">
        <f t="shared" si="41"/>
        <v>4.9034378852212024</v>
      </c>
      <c r="AA188" s="28" t="e">
        <f t="shared" si="42"/>
        <v>#N/A</v>
      </c>
      <c r="AB188" s="28" t="e">
        <f t="shared" si="43"/>
        <v>#VALUE!</v>
      </c>
      <c r="AC188" s="29">
        <f t="shared" si="44"/>
        <v>169.82922201138518</v>
      </c>
      <c r="AD188" s="28" t="e">
        <f t="shared" si="45"/>
        <v>#VALUE!</v>
      </c>
      <c r="AE188" s="28" t="e">
        <f t="shared" si="46"/>
        <v>#N/A</v>
      </c>
      <c r="AF188" s="28" t="e">
        <f t="shared" si="47"/>
        <v>#VALUE!</v>
      </c>
      <c r="AH188" s="31" t="e">
        <f t="shared" si="48"/>
        <v>#N/A</v>
      </c>
      <c r="AI188" s="25"/>
      <c r="AJ188" s="31"/>
    </row>
    <row r="189" spans="2:36" x14ac:dyDescent="0.25">
      <c r="B189" s="33">
        <f>'Arbitrage Payback Engine'!E189</f>
        <v>4.9308313929598686</v>
      </c>
      <c r="C189" s="33">
        <f t="shared" si="34"/>
        <v>1000</v>
      </c>
      <c r="D189" s="33">
        <f>'Battery Pricing Model'!$C$17</f>
        <v>1000</v>
      </c>
      <c r="E189" s="33">
        <f t="shared" si="35"/>
        <v>999</v>
      </c>
      <c r="F189" s="33" t="str">
        <f>'Peak Models'!$B$4</f>
        <v>Default</v>
      </c>
      <c r="G189" s="33" t="e">
        <f>'Peak Models'!$Q$7</f>
        <v>#VALUE!</v>
      </c>
      <c r="H189" s="33">
        <f>'Peak Models'!$P$16</f>
        <v>1.5</v>
      </c>
      <c r="I189" s="33">
        <v>12</v>
      </c>
      <c r="J189" s="33" t="e">
        <f>'Peak Models'!$P$13</f>
        <v>#N/A</v>
      </c>
      <c r="K189" s="28" t="e">
        <f t="shared" si="36"/>
        <v>#VALUE!</v>
      </c>
      <c r="L189" s="28" t="e">
        <f>INDEX('Peak Models'!$P$34:$P$64, MATCH(TRUNC(B189, 0), 'Peak Models'!$O$34:$O$64, 0))</f>
        <v>#N/A</v>
      </c>
      <c r="M189" s="28">
        <f>'Peak Models'!$P$15*INDEX('Peak Models'!$Q$34:$Q$64, MATCH(TRUNC(B189, 0),'Peak Models'!$O$34:$O$64, 0))/'Profit per cycles Model'!$E$78</f>
        <v>5.1944136029411752</v>
      </c>
      <c r="N189" s="28" t="e">
        <f t="shared" si="37"/>
        <v>#N/A</v>
      </c>
      <c r="O189" s="71" t="e">
        <f>AVERAGE($N$10:N189)</f>
        <v>#N/A</v>
      </c>
      <c r="P189" s="28" t="e">
        <f t="shared" si="38"/>
        <v>#N/A</v>
      </c>
      <c r="R189" s="28" t="e">
        <f t="shared" si="39"/>
        <v>#VALUE!</v>
      </c>
      <c r="S189" s="25"/>
      <c r="T189" s="25">
        <f t="shared" si="40"/>
        <v>15</v>
      </c>
      <c r="U189" s="33">
        <f>IF(PaybackCustom&gt;0, IF(PaybackCustom&lt;&gt;"Default", PaybackCustom, IF(PaybackStatus&lt;&gt;"",INDEX('Arbitrage Payback Engine'!$Y$2:$Y$6,MATCH(PaybackStatus,'Arbitrage Payback Engine'!$X$2:$X$6,FALSE)),-1)))</f>
        <v>25</v>
      </c>
      <c r="V189" s="32">
        <f t="shared" si="49"/>
        <v>15</v>
      </c>
      <c r="X189" s="29">
        <f t="shared" si="50"/>
        <v>180</v>
      </c>
      <c r="Z189" s="30">
        <f t="shared" si="41"/>
        <v>4.9308313929598686</v>
      </c>
      <c r="AA189" s="28" t="e">
        <f t="shared" si="42"/>
        <v>#N/A</v>
      </c>
      <c r="AB189" s="28" t="e">
        <f t="shared" si="43"/>
        <v>#VALUE!</v>
      </c>
      <c r="AC189" s="29">
        <f t="shared" si="44"/>
        <v>170.77798861480079</v>
      </c>
      <c r="AD189" s="28" t="e">
        <f t="shared" si="45"/>
        <v>#VALUE!</v>
      </c>
      <c r="AE189" s="28" t="e">
        <f t="shared" si="46"/>
        <v>#N/A</v>
      </c>
      <c r="AF189" s="28" t="e">
        <f t="shared" si="47"/>
        <v>#VALUE!</v>
      </c>
      <c r="AH189" s="31" t="e">
        <f t="shared" si="48"/>
        <v>#N/A</v>
      </c>
      <c r="AI189" s="25"/>
      <c r="AJ189" s="31"/>
    </row>
    <row r="190" spans="2:36" x14ac:dyDescent="0.25">
      <c r="B190" s="33">
        <f>'Arbitrage Payback Engine'!E190</f>
        <v>4.9582249006985339</v>
      </c>
      <c r="C190" s="33">
        <f t="shared" si="34"/>
        <v>1000</v>
      </c>
      <c r="D190" s="33">
        <f>'Battery Pricing Model'!$C$17</f>
        <v>1000</v>
      </c>
      <c r="E190" s="33">
        <f t="shared" si="35"/>
        <v>999</v>
      </c>
      <c r="F190" s="33" t="str">
        <f>'Peak Models'!$B$4</f>
        <v>Default</v>
      </c>
      <c r="G190" s="33" t="e">
        <f>'Peak Models'!$Q$7</f>
        <v>#VALUE!</v>
      </c>
      <c r="H190" s="33">
        <f>'Peak Models'!$P$16</f>
        <v>1.5</v>
      </c>
      <c r="I190" s="33">
        <v>12</v>
      </c>
      <c r="J190" s="33" t="e">
        <f>'Peak Models'!$P$13</f>
        <v>#N/A</v>
      </c>
      <c r="K190" s="28" t="e">
        <f t="shared" si="36"/>
        <v>#VALUE!</v>
      </c>
      <c r="L190" s="28" t="e">
        <f>INDEX('Peak Models'!$P$34:$P$64, MATCH(TRUNC(B190, 0), 'Peak Models'!$O$34:$O$64, 0))</f>
        <v>#N/A</v>
      </c>
      <c r="M190" s="28">
        <f>'Peak Models'!$P$15*INDEX('Peak Models'!$Q$34:$Q$64, MATCH(TRUNC(B190, 0),'Peak Models'!$O$34:$O$64, 0))/'Profit per cycles Model'!$E$78</f>
        <v>5.1944136029411752</v>
      </c>
      <c r="N190" s="28" t="e">
        <f t="shared" si="37"/>
        <v>#N/A</v>
      </c>
      <c r="O190" s="71" t="e">
        <f>AVERAGE($N$10:N190)</f>
        <v>#N/A</v>
      </c>
      <c r="P190" s="28" t="e">
        <f t="shared" si="38"/>
        <v>#N/A</v>
      </c>
      <c r="R190" s="28" t="e">
        <f t="shared" si="39"/>
        <v>#VALUE!</v>
      </c>
      <c r="S190" s="25"/>
      <c r="T190" s="25">
        <f t="shared" si="40"/>
        <v>15</v>
      </c>
      <c r="U190" s="33">
        <f>IF(PaybackCustom&gt;0, IF(PaybackCustom&lt;&gt;"Default", PaybackCustom, IF(PaybackStatus&lt;&gt;"",INDEX('Arbitrage Payback Engine'!$Y$2:$Y$6,MATCH(PaybackStatus,'Arbitrage Payback Engine'!$X$2:$X$6,FALSE)),-1)))</f>
        <v>25</v>
      </c>
      <c r="V190" s="32">
        <f t="shared" si="49"/>
        <v>15</v>
      </c>
      <c r="X190" s="29">
        <f t="shared" si="50"/>
        <v>181</v>
      </c>
      <c r="Z190" s="30">
        <f t="shared" si="41"/>
        <v>4.9582249006985339</v>
      </c>
      <c r="AA190" s="28" t="e">
        <f t="shared" si="42"/>
        <v>#N/A</v>
      </c>
      <c r="AB190" s="28" t="e">
        <f t="shared" si="43"/>
        <v>#VALUE!</v>
      </c>
      <c r="AC190" s="29">
        <f t="shared" si="44"/>
        <v>171.72675521821631</v>
      </c>
      <c r="AD190" s="28" t="e">
        <f t="shared" si="45"/>
        <v>#VALUE!</v>
      </c>
      <c r="AE190" s="28" t="e">
        <f t="shared" si="46"/>
        <v>#N/A</v>
      </c>
      <c r="AF190" s="28" t="e">
        <f t="shared" si="47"/>
        <v>#VALUE!</v>
      </c>
      <c r="AH190" s="31" t="e">
        <f t="shared" si="48"/>
        <v>#N/A</v>
      </c>
      <c r="AI190" s="25"/>
      <c r="AJ190" s="31"/>
    </row>
    <row r="191" spans="2:36" x14ac:dyDescent="0.25">
      <c r="B191" s="33">
        <f>'Arbitrage Payback Engine'!E191</f>
        <v>4.9856184084372002</v>
      </c>
      <c r="C191" s="33">
        <f t="shared" si="34"/>
        <v>1000</v>
      </c>
      <c r="D191" s="33">
        <f>'Battery Pricing Model'!$C$17</f>
        <v>1000</v>
      </c>
      <c r="E191" s="33">
        <f t="shared" si="35"/>
        <v>999</v>
      </c>
      <c r="F191" s="33" t="str">
        <f>'Peak Models'!$B$4</f>
        <v>Default</v>
      </c>
      <c r="G191" s="33" t="e">
        <f>'Peak Models'!$Q$7</f>
        <v>#VALUE!</v>
      </c>
      <c r="H191" s="33">
        <f>'Peak Models'!$P$16</f>
        <v>1.5</v>
      </c>
      <c r="I191" s="33">
        <v>12</v>
      </c>
      <c r="J191" s="33" t="e">
        <f>'Peak Models'!$P$13</f>
        <v>#N/A</v>
      </c>
      <c r="K191" s="28" t="e">
        <f t="shared" si="36"/>
        <v>#VALUE!</v>
      </c>
      <c r="L191" s="28" t="e">
        <f>INDEX('Peak Models'!$P$34:$P$64, MATCH(TRUNC(B191, 0), 'Peak Models'!$O$34:$O$64, 0))</f>
        <v>#N/A</v>
      </c>
      <c r="M191" s="28">
        <f>'Peak Models'!$P$15*INDEX('Peak Models'!$Q$34:$Q$64, MATCH(TRUNC(B191, 0),'Peak Models'!$O$34:$O$64, 0))/'Profit per cycles Model'!$E$78</f>
        <v>5.1944136029411752</v>
      </c>
      <c r="N191" s="28" t="e">
        <f t="shared" si="37"/>
        <v>#N/A</v>
      </c>
      <c r="O191" s="71" t="e">
        <f>AVERAGE($N$10:N191)</f>
        <v>#N/A</v>
      </c>
      <c r="P191" s="28" t="e">
        <f t="shared" si="38"/>
        <v>#N/A</v>
      </c>
      <c r="R191" s="28" t="e">
        <f t="shared" si="39"/>
        <v>#VALUE!</v>
      </c>
      <c r="S191" s="25"/>
      <c r="T191" s="25">
        <f t="shared" si="40"/>
        <v>15</v>
      </c>
      <c r="U191" s="33">
        <f>IF(PaybackCustom&gt;0, IF(PaybackCustom&lt;&gt;"Default", PaybackCustom, IF(PaybackStatus&lt;&gt;"",INDEX('Arbitrage Payback Engine'!$Y$2:$Y$6,MATCH(PaybackStatus,'Arbitrage Payback Engine'!$X$2:$X$6,FALSE)),-1)))</f>
        <v>25</v>
      </c>
      <c r="V191" s="32">
        <f t="shared" si="49"/>
        <v>15</v>
      </c>
      <c r="X191" s="29">
        <f t="shared" si="50"/>
        <v>182</v>
      </c>
      <c r="Z191" s="30">
        <f t="shared" si="41"/>
        <v>4.9856184084372002</v>
      </c>
      <c r="AA191" s="28" t="e">
        <f t="shared" si="42"/>
        <v>#N/A</v>
      </c>
      <c r="AB191" s="28" t="e">
        <f t="shared" si="43"/>
        <v>#VALUE!</v>
      </c>
      <c r="AC191" s="29">
        <f t="shared" si="44"/>
        <v>172.67552182163186</v>
      </c>
      <c r="AD191" s="28" t="e">
        <f t="shared" si="45"/>
        <v>#VALUE!</v>
      </c>
      <c r="AE191" s="28" t="e">
        <f t="shared" si="46"/>
        <v>#N/A</v>
      </c>
      <c r="AF191" s="28" t="e">
        <f t="shared" si="47"/>
        <v>#VALUE!</v>
      </c>
      <c r="AH191" s="31" t="e">
        <f t="shared" si="48"/>
        <v>#N/A</v>
      </c>
      <c r="AI191" s="25"/>
      <c r="AJ191" s="31"/>
    </row>
    <row r="192" spans="2:36" x14ac:dyDescent="0.25">
      <c r="B192" s="33">
        <f>'Arbitrage Payback Engine'!E192</f>
        <v>5.0130119161758664</v>
      </c>
      <c r="C192" s="33">
        <f t="shared" si="34"/>
        <v>1000</v>
      </c>
      <c r="D192" s="33">
        <f>'Battery Pricing Model'!$C$17</f>
        <v>1000</v>
      </c>
      <c r="E192" s="33">
        <f t="shared" si="35"/>
        <v>999</v>
      </c>
      <c r="F192" s="33" t="str">
        <f>'Peak Models'!$B$4</f>
        <v>Default</v>
      </c>
      <c r="G192" s="33" t="e">
        <f>'Peak Models'!$Q$7</f>
        <v>#VALUE!</v>
      </c>
      <c r="H192" s="33">
        <f>'Peak Models'!$P$16</f>
        <v>1.5</v>
      </c>
      <c r="I192" s="33">
        <v>12</v>
      </c>
      <c r="J192" s="33" t="e">
        <f>'Peak Models'!$P$13</f>
        <v>#N/A</v>
      </c>
      <c r="K192" s="28" t="e">
        <f t="shared" si="36"/>
        <v>#VALUE!</v>
      </c>
      <c r="L192" s="28" t="e">
        <f>INDEX('Peak Models'!$P$34:$P$64, MATCH(TRUNC(B192, 0), 'Peak Models'!$O$34:$O$64, 0))</f>
        <v>#N/A</v>
      </c>
      <c r="M192" s="28">
        <f>'Peak Models'!$P$15*INDEX('Peak Models'!$Q$34:$Q$64, MATCH(TRUNC(B192, 0),'Peak Models'!$O$34:$O$64, 0))/'Profit per cycles Model'!$E$78</f>
        <v>5.3242739430147044</v>
      </c>
      <c r="N192" s="28" t="e">
        <f t="shared" si="37"/>
        <v>#N/A</v>
      </c>
      <c r="O192" s="71" t="e">
        <f>AVERAGE($N$10:N192)</f>
        <v>#N/A</v>
      </c>
      <c r="P192" s="28" t="e">
        <f t="shared" si="38"/>
        <v>#N/A</v>
      </c>
      <c r="R192" s="28" t="e">
        <f t="shared" si="39"/>
        <v>#VALUE!</v>
      </c>
      <c r="S192" s="25"/>
      <c r="T192" s="25">
        <f t="shared" si="40"/>
        <v>15</v>
      </c>
      <c r="U192" s="33">
        <f>IF(PaybackCustom&gt;0, IF(PaybackCustom&lt;&gt;"Default", PaybackCustom, IF(PaybackStatus&lt;&gt;"",INDEX('Arbitrage Payback Engine'!$Y$2:$Y$6,MATCH(PaybackStatus,'Arbitrage Payback Engine'!$X$2:$X$6,FALSE)),-1)))</f>
        <v>25</v>
      </c>
      <c r="V192" s="32">
        <f t="shared" si="49"/>
        <v>15</v>
      </c>
      <c r="X192" s="29">
        <f t="shared" si="50"/>
        <v>183</v>
      </c>
      <c r="Z192" s="30">
        <f t="shared" si="41"/>
        <v>5.0130119161758664</v>
      </c>
      <c r="AA192" s="28" t="e">
        <f t="shared" si="42"/>
        <v>#N/A</v>
      </c>
      <c r="AB192" s="28" t="e">
        <f t="shared" si="43"/>
        <v>#VALUE!</v>
      </c>
      <c r="AC192" s="29">
        <f t="shared" si="44"/>
        <v>173.62428842504747</v>
      </c>
      <c r="AD192" s="28" t="e">
        <f t="shared" si="45"/>
        <v>#VALUE!</v>
      </c>
      <c r="AE192" s="28" t="e">
        <f t="shared" si="46"/>
        <v>#N/A</v>
      </c>
      <c r="AF192" s="28" t="e">
        <f t="shared" si="47"/>
        <v>#VALUE!</v>
      </c>
      <c r="AH192" s="31" t="e">
        <f t="shared" si="48"/>
        <v>#N/A</v>
      </c>
      <c r="AI192" s="25"/>
      <c r="AJ192" s="31"/>
    </row>
    <row r="193" spans="2:36" x14ac:dyDescent="0.25">
      <c r="B193" s="33">
        <f>'Arbitrage Payback Engine'!E193</f>
        <v>5.0404054239145317</v>
      </c>
      <c r="C193" s="33">
        <f t="shared" si="34"/>
        <v>1000</v>
      </c>
      <c r="D193" s="33">
        <f>'Battery Pricing Model'!$C$17</f>
        <v>1000</v>
      </c>
      <c r="E193" s="33">
        <f t="shared" si="35"/>
        <v>999</v>
      </c>
      <c r="F193" s="33" t="str">
        <f>'Peak Models'!$B$4</f>
        <v>Default</v>
      </c>
      <c r="G193" s="33" t="e">
        <f>'Peak Models'!$Q$7</f>
        <v>#VALUE!</v>
      </c>
      <c r="H193" s="33">
        <f>'Peak Models'!$P$16</f>
        <v>1.5</v>
      </c>
      <c r="I193" s="33">
        <v>12</v>
      </c>
      <c r="J193" s="33" t="e">
        <f>'Peak Models'!$P$13</f>
        <v>#N/A</v>
      </c>
      <c r="K193" s="28" t="e">
        <f t="shared" si="36"/>
        <v>#VALUE!</v>
      </c>
      <c r="L193" s="28" t="e">
        <f>INDEX('Peak Models'!$P$34:$P$64, MATCH(TRUNC(B193, 0), 'Peak Models'!$O$34:$O$64, 0))</f>
        <v>#N/A</v>
      </c>
      <c r="M193" s="28">
        <f>'Peak Models'!$P$15*INDEX('Peak Models'!$Q$34:$Q$64, MATCH(TRUNC(B193, 0),'Peak Models'!$O$34:$O$64, 0))/'Profit per cycles Model'!$E$78</f>
        <v>5.3242739430147044</v>
      </c>
      <c r="N193" s="28" t="e">
        <f t="shared" si="37"/>
        <v>#N/A</v>
      </c>
      <c r="O193" s="71" t="e">
        <f>AVERAGE($N$10:N193)</f>
        <v>#N/A</v>
      </c>
      <c r="P193" s="28" t="e">
        <f t="shared" si="38"/>
        <v>#N/A</v>
      </c>
      <c r="R193" s="28" t="e">
        <f t="shared" si="39"/>
        <v>#VALUE!</v>
      </c>
      <c r="S193" s="25"/>
      <c r="T193" s="25">
        <f t="shared" si="40"/>
        <v>15</v>
      </c>
      <c r="U193" s="33">
        <f>IF(PaybackCustom&gt;0, IF(PaybackCustom&lt;&gt;"Default", PaybackCustom, IF(PaybackStatus&lt;&gt;"",INDEX('Arbitrage Payback Engine'!$Y$2:$Y$6,MATCH(PaybackStatus,'Arbitrage Payback Engine'!$X$2:$X$6,FALSE)),-1)))</f>
        <v>25</v>
      </c>
      <c r="V193" s="32">
        <f t="shared" si="49"/>
        <v>15</v>
      </c>
      <c r="X193" s="29">
        <f t="shared" si="50"/>
        <v>184</v>
      </c>
      <c r="Z193" s="30">
        <f t="shared" si="41"/>
        <v>5.0404054239145317</v>
      </c>
      <c r="AA193" s="28" t="e">
        <f t="shared" si="42"/>
        <v>#N/A</v>
      </c>
      <c r="AB193" s="28" t="e">
        <f t="shared" si="43"/>
        <v>#VALUE!</v>
      </c>
      <c r="AC193" s="29">
        <f t="shared" si="44"/>
        <v>174.57305502846299</v>
      </c>
      <c r="AD193" s="28" t="e">
        <f t="shared" si="45"/>
        <v>#VALUE!</v>
      </c>
      <c r="AE193" s="28" t="e">
        <f t="shared" si="46"/>
        <v>#N/A</v>
      </c>
      <c r="AF193" s="28" t="e">
        <f t="shared" si="47"/>
        <v>#VALUE!</v>
      </c>
      <c r="AH193" s="31" t="e">
        <f t="shared" si="48"/>
        <v>#N/A</v>
      </c>
      <c r="AI193" s="25"/>
      <c r="AJ193" s="31"/>
    </row>
    <row r="194" spans="2:36" x14ac:dyDescent="0.25">
      <c r="B194" s="33">
        <f>'Arbitrage Payback Engine'!E194</f>
        <v>5.0677989316531979</v>
      </c>
      <c r="C194" s="33">
        <f t="shared" si="34"/>
        <v>1000</v>
      </c>
      <c r="D194" s="33">
        <f>'Battery Pricing Model'!$C$17</f>
        <v>1000</v>
      </c>
      <c r="E194" s="33">
        <f t="shared" si="35"/>
        <v>999</v>
      </c>
      <c r="F194" s="33" t="str">
        <f>'Peak Models'!$B$4</f>
        <v>Default</v>
      </c>
      <c r="G194" s="33" t="e">
        <f>'Peak Models'!$Q$7</f>
        <v>#VALUE!</v>
      </c>
      <c r="H194" s="33">
        <f>'Peak Models'!$P$16</f>
        <v>1.5</v>
      </c>
      <c r="I194" s="33">
        <v>12</v>
      </c>
      <c r="J194" s="33" t="e">
        <f>'Peak Models'!$P$13</f>
        <v>#N/A</v>
      </c>
      <c r="K194" s="28" t="e">
        <f t="shared" si="36"/>
        <v>#VALUE!</v>
      </c>
      <c r="L194" s="28" t="e">
        <f>INDEX('Peak Models'!$P$34:$P$64, MATCH(TRUNC(B194, 0), 'Peak Models'!$O$34:$O$64, 0))</f>
        <v>#N/A</v>
      </c>
      <c r="M194" s="28">
        <f>'Peak Models'!$P$15*INDEX('Peak Models'!$Q$34:$Q$64, MATCH(TRUNC(B194, 0),'Peak Models'!$O$34:$O$64, 0))/'Profit per cycles Model'!$E$78</f>
        <v>5.3242739430147044</v>
      </c>
      <c r="N194" s="28" t="e">
        <f t="shared" si="37"/>
        <v>#N/A</v>
      </c>
      <c r="O194" s="71" t="e">
        <f>AVERAGE($N$10:N194)</f>
        <v>#N/A</v>
      </c>
      <c r="P194" s="28" t="e">
        <f t="shared" si="38"/>
        <v>#N/A</v>
      </c>
      <c r="R194" s="28" t="e">
        <f t="shared" si="39"/>
        <v>#VALUE!</v>
      </c>
      <c r="S194" s="25"/>
      <c r="T194" s="25">
        <f t="shared" si="40"/>
        <v>15</v>
      </c>
      <c r="U194" s="33">
        <f>IF(PaybackCustom&gt;0, IF(PaybackCustom&lt;&gt;"Default", PaybackCustom, IF(PaybackStatus&lt;&gt;"",INDEX('Arbitrage Payback Engine'!$Y$2:$Y$6,MATCH(PaybackStatus,'Arbitrage Payback Engine'!$X$2:$X$6,FALSE)),-1)))</f>
        <v>25</v>
      </c>
      <c r="V194" s="32">
        <f t="shared" si="49"/>
        <v>15</v>
      </c>
      <c r="X194" s="29">
        <f t="shared" si="50"/>
        <v>185</v>
      </c>
      <c r="Z194" s="30">
        <f t="shared" si="41"/>
        <v>5.0677989316531979</v>
      </c>
      <c r="AA194" s="28" t="e">
        <f t="shared" si="42"/>
        <v>#N/A</v>
      </c>
      <c r="AB194" s="28" t="e">
        <f t="shared" si="43"/>
        <v>#VALUE!</v>
      </c>
      <c r="AC194" s="29">
        <f t="shared" si="44"/>
        <v>175.52182163187854</v>
      </c>
      <c r="AD194" s="28" t="e">
        <f t="shared" si="45"/>
        <v>#VALUE!</v>
      </c>
      <c r="AE194" s="28" t="e">
        <f t="shared" si="46"/>
        <v>#N/A</v>
      </c>
      <c r="AF194" s="28" t="e">
        <f t="shared" si="47"/>
        <v>#VALUE!</v>
      </c>
      <c r="AH194" s="31" t="e">
        <f t="shared" si="48"/>
        <v>#N/A</v>
      </c>
      <c r="AI194" s="25"/>
      <c r="AJ194" s="31"/>
    </row>
    <row r="195" spans="2:36" x14ac:dyDescent="0.25">
      <c r="B195" s="33">
        <f>'Arbitrage Payback Engine'!E195</f>
        <v>5.0951924393918642</v>
      </c>
      <c r="C195" s="33">
        <f t="shared" si="34"/>
        <v>1000</v>
      </c>
      <c r="D195" s="33">
        <f>'Battery Pricing Model'!$C$17</f>
        <v>1000</v>
      </c>
      <c r="E195" s="33">
        <f t="shared" si="35"/>
        <v>999</v>
      </c>
      <c r="F195" s="33" t="str">
        <f>'Peak Models'!$B$4</f>
        <v>Default</v>
      </c>
      <c r="G195" s="33" t="e">
        <f>'Peak Models'!$Q$7</f>
        <v>#VALUE!</v>
      </c>
      <c r="H195" s="33">
        <f>'Peak Models'!$P$16</f>
        <v>1.5</v>
      </c>
      <c r="I195" s="33">
        <v>12</v>
      </c>
      <c r="J195" s="33" t="e">
        <f>'Peak Models'!$P$13</f>
        <v>#N/A</v>
      </c>
      <c r="K195" s="28" t="e">
        <f t="shared" si="36"/>
        <v>#VALUE!</v>
      </c>
      <c r="L195" s="28" t="e">
        <f>INDEX('Peak Models'!$P$34:$P$64, MATCH(TRUNC(B195, 0), 'Peak Models'!$O$34:$O$64, 0))</f>
        <v>#N/A</v>
      </c>
      <c r="M195" s="28">
        <f>'Peak Models'!$P$15*INDEX('Peak Models'!$Q$34:$Q$64, MATCH(TRUNC(B195, 0),'Peak Models'!$O$34:$O$64, 0))/'Profit per cycles Model'!$E$78</f>
        <v>5.3242739430147044</v>
      </c>
      <c r="N195" s="28" t="e">
        <f t="shared" si="37"/>
        <v>#N/A</v>
      </c>
      <c r="O195" s="71" t="e">
        <f>AVERAGE($N$10:N195)</f>
        <v>#N/A</v>
      </c>
      <c r="P195" s="28" t="e">
        <f t="shared" si="38"/>
        <v>#N/A</v>
      </c>
      <c r="R195" s="28" t="e">
        <f t="shared" si="39"/>
        <v>#VALUE!</v>
      </c>
      <c r="S195" s="25"/>
      <c r="T195" s="25">
        <f t="shared" si="40"/>
        <v>15</v>
      </c>
      <c r="U195" s="33">
        <f>IF(PaybackCustom&gt;0, IF(PaybackCustom&lt;&gt;"Default", PaybackCustom, IF(PaybackStatus&lt;&gt;"",INDEX('Arbitrage Payback Engine'!$Y$2:$Y$6,MATCH(PaybackStatus,'Arbitrage Payback Engine'!$X$2:$X$6,FALSE)),-1)))</f>
        <v>25</v>
      </c>
      <c r="V195" s="32">
        <f t="shared" si="49"/>
        <v>15</v>
      </c>
      <c r="X195" s="29">
        <f t="shared" si="50"/>
        <v>186</v>
      </c>
      <c r="Z195" s="30">
        <f t="shared" si="41"/>
        <v>5.0951924393918642</v>
      </c>
      <c r="AA195" s="28" t="e">
        <f t="shared" si="42"/>
        <v>#N/A</v>
      </c>
      <c r="AB195" s="28" t="e">
        <f t="shared" si="43"/>
        <v>#VALUE!</v>
      </c>
      <c r="AC195" s="29">
        <f t="shared" si="44"/>
        <v>176.47058823529414</v>
      </c>
      <c r="AD195" s="28" t="e">
        <f t="shared" si="45"/>
        <v>#VALUE!</v>
      </c>
      <c r="AE195" s="28" t="e">
        <f t="shared" si="46"/>
        <v>#N/A</v>
      </c>
      <c r="AF195" s="28" t="e">
        <f t="shared" si="47"/>
        <v>#VALUE!</v>
      </c>
      <c r="AH195" s="31" t="e">
        <f t="shared" si="48"/>
        <v>#N/A</v>
      </c>
      <c r="AI195" s="25"/>
      <c r="AJ195" s="31"/>
    </row>
    <row r="196" spans="2:36" x14ac:dyDescent="0.25">
      <c r="B196" s="33">
        <f>'Arbitrage Payback Engine'!E196</f>
        <v>5.1225859471305295</v>
      </c>
      <c r="C196" s="33">
        <f t="shared" si="34"/>
        <v>1000</v>
      </c>
      <c r="D196" s="33">
        <f>'Battery Pricing Model'!$C$17</f>
        <v>1000</v>
      </c>
      <c r="E196" s="33">
        <f t="shared" si="35"/>
        <v>999</v>
      </c>
      <c r="F196" s="33" t="str">
        <f>'Peak Models'!$B$4</f>
        <v>Default</v>
      </c>
      <c r="G196" s="33" t="e">
        <f>'Peak Models'!$Q$7</f>
        <v>#VALUE!</v>
      </c>
      <c r="H196" s="33">
        <f>'Peak Models'!$P$16</f>
        <v>1.5</v>
      </c>
      <c r="I196" s="33">
        <v>12</v>
      </c>
      <c r="J196" s="33" t="e">
        <f>'Peak Models'!$P$13</f>
        <v>#N/A</v>
      </c>
      <c r="K196" s="28" t="e">
        <f t="shared" si="36"/>
        <v>#VALUE!</v>
      </c>
      <c r="L196" s="28" t="e">
        <f>INDEX('Peak Models'!$P$34:$P$64, MATCH(TRUNC(B196, 0), 'Peak Models'!$O$34:$O$64, 0))</f>
        <v>#N/A</v>
      </c>
      <c r="M196" s="28">
        <f>'Peak Models'!$P$15*INDEX('Peak Models'!$Q$34:$Q$64, MATCH(TRUNC(B196, 0),'Peak Models'!$O$34:$O$64, 0))/'Profit per cycles Model'!$E$78</f>
        <v>5.3242739430147044</v>
      </c>
      <c r="N196" s="28" t="e">
        <f t="shared" si="37"/>
        <v>#N/A</v>
      </c>
      <c r="O196" s="71" t="e">
        <f>AVERAGE($N$10:N196)</f>
        <v>#N/A</v>
      </c>
      <c r="P196" s="28" t="e">
        <f t="shared" si="38"/>
        <v>#N/A</v>
      </c>
      <c r="R196" s="28" t="e">
        <f t="shared" si="39"/>
        <v>#VALUE!</v>
      </c>
      <c r="S196" s="25"/>
      <c r="T196" s="25">
        <f t="shared" si="40"/>
        <v>15</v>
      </c>
      <c r="U196" s="33">
        <f>IF(PaybackCustom&gt;0, IF(PaybackCustom&lt;&gt;"Default", PaybackCustom, IF(PaybackStatus&lt;&gt;"",INDEX('Arbitrage Payback Engine'!$Y$2:$Y$6,MATCH(PaybackStatus,'Arbitrage Payback Engine'!$X$2:$X$6,FALSE)),-1)))</f>
        <v>25</v>
      </c>
      <c r="V196" s="32">
        <f t="shared" si="49"/>
        <v>15</v>
      </c>
      <c r="X196" s="29">
        <f t="shared" si="50"/>
        <v>187</v>
      </c>
      <c r="Z196" s="30">
        <f t="shared" si="41"/>
        <v>5.1225859471305295</v>
      </c>
      <c r="AA196" s="28" t="e">
        <f t="shared" si="42"/>
        <v>#N/A</v>
      </c>
      <c r="AB196" s="28" t="e">
        <f t="shared" si="43"/>
        <v>#VALUE!</v>
      </c>
      <c r="AC196" s="29">
        <f t="shared" si="44"/>
        <v>177.41935483870967</v>
      </c>
      <c r="AD196" s="28" t="e">
        <f t="shared" si="45"/>
        <v>#VALUE!</v>
      </c>
      <c r="AE196" s="28" t="e">
        <f t="shared" si="46"/>
        <v>#N/A</v>
      </c>
      <c r="AF196" s="28" t="e">
        <f t="shared" si="47"/>
        <v>#VALUE!</v>
      </c>
      <c r="AH196" s="31" t="e">
        <f t="shared" si="48"/>
        <v>#N/A</v>
      </c>
      <c r="AI196" s="25"/>
      <c r="AJ196" s="31"/>
    </row>
    <row r="197" spans="2:36" x14ac:dyDescent="0.25">
      <c r="B197" s="33">
        <f>'Arbitrage Payback Engine'!E197</f>
        <v>5.1499794548691957</v>
      </c>
      <c r="C197" s="33">
        <f t="shared" si="34"/>
        <v>1000</v>
      </c>
      <c r="D197" s="33">
        <f>'Battery Pricing Model'!$C$17</f>
        <v>1000</v>
      </c>
      <c r="E197" s="33">
        <f t="shared" si="35"/>
        <v>999</v>
      </c>
      <c r="F197" s="33" t="str">
        <f>'Peak Models'!$B$4</f>
        <v>Default</v>
      </c>
      <c r="G197" s="33" t="e">
        <f>'Peak Models'!$Q$7</f>
        <v>#VALUE!</v>
      </c>
      <c r="H197" s="33">
        <f>'Peak Models'!$P$16</f>
        <v>1.5</v>
      </c>
      <c r="I197" s="33">
        <v>12</v>
      </c>
      <c r="J197" s="33" t="e">
        <f>'Peak Models'!$P$13</f>
        <v>#N/A</v>
      </c>
      <c r="K197" s="28" t="e">
        <f t="shared" si="36"/>
        <v>#VALUE!</v>
      </c>
      <c r="L197" s="28" t="e">
        <f>INDEX('Peak Models'!$P$34:$P$64, MATCH(TRUNC(B197, 0), 'Peak Models'!$O$34:$O$64, 0))</f>
        <v>#N/A</v>
      </c>
      <c r="M197" s="28">
        <f>'Peak Models'!$P$15*INDEX('Peak Models'!$Q$34:$Q$64, MATCH(TRUNC(B197, 0),'Peak Models'!$O$34:$O$64, 0))/'Profit per cycles Model'!$E$78</f>
        <v>5.3242739430147044</v>
      </c>
      <c r="N197" s="28" t="e">
        <f t="shared" si="37"/>
        <v>#N/A</v>
      </c>
      <c r="O197" s="71" t="e">
        <f>AVERAGE($N$10:N197)</f>
        <v>#N/A</v>
      </c>
      <c r="P197" s="28" t="e">
        <f t="shared" si="38"/>
        <v>#N/A</v>
      </c>
      <c r="R197" s="28" t="e">
        <f t="shared" si="39"/>
        <v>#VALUE!</v>
      </c>
      <c r="S197" s="25"/>
      <c r="T197" s="25">
        <f t="shared" si="40"/>
        <v>15</v>
      </c>
      <c r="U197" s="33">
        <f>IF(PaybackCustom&gt;0, IF(PaybackCustom&lt;&gt;"Default", PaybackCustom, IF(PaybackStatus&lt;&gt;"",INDEX('Arbitrage Payback Engine'!$Y$2:$Y$6,MATCH(PaybackStatus,'Arbitrage Payback Engine'!$X$2:$X$6,FALSE)),-1)))</f>
        <v>25</v>
      </c>
      <c r="V197" s="32">
        <f t="shared" si="49"/>
        <v>15</v>
      </c>
      <c r="X197" s="29">
        <f t="shared" si="50"/>
        <v>188</v>
      </c>
      <c r="Z197" s="30">
        <f t="shared" si="41"/>
        <v>5.1499794548691957</v>
      </c>
      <c r="AA197" s="28" t="e">
        <f t="shared" si="42"/>
        <v>#N/A</v>
      </c>
      <c r="AB197" s="28" t="e">
        <f t="shared" si="43"/>
        <v>#VALUE!</v>
      </c>
      <c r="AC197" s="29">
        <f t="shared" si="44"/>
        <v>178.36812144212524</v>
      </c>
      <c r="AD197" s="28" t="e">
        <f t="shared" si="45"/>
        <v>#VALUE!</v>
      </c>
      <c r="AE197" s="28" t="e">
        <f t="shared" si="46"/>
        <v>#N/A</v>
      </c>
      <c r="AF197" s="28" t="e">
        <f t="shared" si="47"/>
        <v>#VALUE!</v>
      </c>
      <c r="AH197" s="31" t="e">
        <f t="shared" si="48"/>
        <v>#N/A</v>
      </c>
      <c r="AI197" s="25"/>
      <c r="AJ197" s="31"/>
    </row>
    <row r="198" spans="2:36" x14ac:dyDescent="0.25">
      <c r="B198" s="33">
        <f>'Arbitrage Payback Engine'!E198</f>
        <v>5.177372962607862</v>
      </c>
      <c r="C198" s="33">
        <f t="shared" si="34"/>
        <v>1000</v>
      </c>
      <c r="D198" s="33">
        <f>'Battery Pricing Model'!$C$17</f>
        <v>1000</v>
      </c>
      <c r="E198" s="33">
        <f t="shared" si="35"/>
        <v>999</v>
      </c>
      <c r="F198" s="33" t="str">
        <f>'Peak Models'!$B$4</f>
        <v>Default</v>
      </c>
      <c r="G198" s="33" t="e">
        <f>'Peak Models'!$Q$7</f>
        <v>#VALUE!</v>
      </c>
      <c r="H198" s="33">
        <f>'Peak Models'!$P$16</f>
        <v>1.5</v>
      </c>
      <c r="I198" s="33">
        <v>12</v>
      </c>
      <c r="J198" s="33" t="e">
        <f>'Peak Models'!$P$13</f>
        <v>#N/A</v>
      </c>
      <c r="K198" s="28" t="e">
        <f t="shared" si="36"/>
        <v>#VALUE!</v>
      </c>
      <c r="L198" s="28" t="e">
        <f>INDEX('Peak Models'!$P$34:$P$64, MATCH(TRUNC(B198, 0), 'Peak Models'!$O$34:$O$64, 0))</f>
        <v>#N/A</v>
      </c>
      <c r="M198" s="28">
        <f>'Peak Models'!$P$15*INDEX('Peak Models'!$Q$34:$Q$64, MATCH(TRUNC(B198, 0),'Peak Models'!$O$34:$O$64, 0))/'Profit per cycles Model'!$E$78</f>
        <v>5.3242739430147044</v>
      </c>
      <c r="N198" s="28" t="e">
        <f t="shared" si="37"/>
        <v>#N/A</v>
      </c>
      <c r="O198" s="71" t="e">
        <f>AVERAGE($N$10:N198)</f>
        <v>#N/A</v>
      </c>
      <c r="P198" s="28" t="e">
        <f t="shared" si="38"/>
        <v>#N/A</v>
      </c>
      <c r="R198" s="28" t="e">
        <f t="shared" si="39"/>
        <v>#VALUE!</v>
      </c>
      <c r="S198" s="25"/>
      <c r="T198" s="25">
        <f t="shared" si="40"/>
        <v>15</v>
      </c>
      <c r="U198" s="33">
        <f>IF(PaybackCustom&gt;0, IF(PaybackCustom&lt;&gt;"Default", PaybackCustom, IF(PaybackStatus&lt;&gt;"",INDEX('Arbitrage Payback Engine'!$Y$2:$Y$6,MATCH(PaybackStatus,'Arbitrage Payback Engine'!$X$2:$X$6,FALSE)),-1)))</f>
        <v>25</v>
      </c>
      <c r="V198" s="32">
        <f t="shared" si="49"/>
        <v>15</v>
      </c>
      <c r="X198" s="29">
        <f t="shared" si="50"/>
        <v>189</v>
      </c>
      <c r="Z198" s="30">
        <f t="shared" si="41"/>
        <v>5.177372962607862</v>
      </c>
      <c r="AA198" s="28" t="e">
        <f t="shared" si="42"/>
        <v>#N/A</v>
      </c>
      <c r="AB198" s="28" t="e">
        <f t="shared" si="43"/>
        <v>#VALUE!</v>
      </c>
      <c r="AC198" s="29">
        <f t="shared" si="44"/>
        <v>179.31688804554082</v>
      </c>
      <c r="AD198" s="28" t="e">
        <f t="shared" si="45"/>
        <v>#VALUE!</v>
      </c>
      <c r="AE198" s="28" t="e">
        <f t="shared" si="46"/>
        <v>#N/A</v>
      </c>
      <c r="AF198" s="28" t="e">
        <f t="shared" si="47"/>
        <v>#VALUE!</v>
      </c>
      <c r="AH198" s="31" t="e">
        <f t="shared" si="48"/>
        <v>#N/A</v>
      </c>
      <c r="AI198" s="25"/>
      <c r="AJ198" s="31"/>
    </row>
    <row r="199" spans="2:36" x14ac:dyDescent="0.25">
      <c r="B199" s="33">
        <f>'Arbitrage Payback Engine'!E199</f>
        <v>5.2047664703465273</v>
      </c>
      <c r="C199" s="33">
        <f t="shared" si="34"/>
        <v>1000</v>
      </c>
      <c r="D199" s="33">
        <f>'Battery Pricing Model'!$C$17</f>
        <v>1000</v>
      </c>
      <c r="E199" s="33">
        <f t="shared" si="35"/>
        <v>999</v>
      </c>
      <c r="F199" s="33" t="str">
        <f>'Peak Models'!$B$4</f>
        <v>Default</v>
      </c>
      <c r="G199" s="33" t="e">
        <f>'Peak Models'!$Q$7</f>
        <v>#VALUE!</v>
      </c>
      <c r="H199" s="33">
        <f>'Peak Models'!$P$16</f>
        <v>1.5</v>
      </c>
      <c r="I199" s="33">
        <v>12</v>
      </c>
      <c r="J199" s="33" t="e">
        <f>'Peak Models'!$P$13</f>
        <v>#N/A</v>
      </c>
      <c r="K199" s="28" t="e">
        <f t="shared" si="36"/>
        <v>#VALUE!</v>
      </c>
      <c r="L199" s="28" t="e">
        <f>INDEX('Peak Models'!$P$34:$P$64, MATCH(TRUNC(B199, 0), 'Peak Models'!$O$34:$O$64, 0))</f>
        <v>#N/A</v>
      </c>
      <c r="M199" s="28">
        <f>'Peak Models'!$P$15*INDEX('Peak Models'!$Q$34:$Q$64, MATCH(TRUNC(B199, 0),'Peak Models'!$O$34:$O$64, 0))/'Profit per cycles Model'!$E$78</f>
        <v>5.3242739430147044</v>
      </c>
      <c r="N199" s="28" t="e">
        <f t="shared" si="37"/>
        <v>#N/A</v>
      </c>
      <c r="O199" s="71" t="e">
        <f>AVERAGE($N$10:N199)</f>
        <v>#N/A</v>
      </c>
      <c r="P199" s="28" t="e">
        <f t="shared" si="38"/>
        <v>#N/A</v>
      </c>
      <c r="R199" s="28" t="e">
        <f t="shared" si="39"/>
        <v>#VALUE!</v>
      </c>
      <c r="S199" s="25"/>
      <c r="T199" s="25">
        <f t="shared" si="40"/>
        <v>15</v>
      </c>
      <c r="U199" s="33">
        <f>IF(PaybackCustom&gt;0, IF(PaybackCustom&lt;&gt;"Default", PaybackCustom, IF(PaybackStatus&lt;&gt;"",INDEX('Arbitrage Payback Engine'!$Y$2:$Y$6,MATCH(PaybackStatus,'Arbitrage Payback Engine'!$X$2:$X$6,FALSE)),-1)))</f>
        <v>25</v>
      </c>
      <c r="V199" s="32">
        <f t="shared" si="49"/>
        <v>15</v>
      </c>
      <c r="X199" s="29">
        <f t="shared" si="50"/>
        <v>190</v>
      </c>
      <c r="Z199" s="30">
        <f t="shared" si="41"/>
        <v>5.2047664703465273</v>
      </c>
      <c r="AA199" s="28" t="e">
        <f t="shared" si="42"/>
        <v>#N/A</v>
      </c>
      <c r="AB199" s="28" t="e">
        <f t="shared" si="43"/>
        <v>#VALUE!</v>
      </c>
      <c r="AC199" s="29">
        <f t="shared" si="44"/>
        <v>180.26565464895634</v>
      </c>
      <c r="AD199" s="28" t="e">
        <f t="shared" si="45"/>
        <v>#VALUE!</v>
      </c>
      <c r="AE199" s="28" t="e">
        <f t="shared" si="46"/>
        <v>#N/A</v>
      </c>
      <c r="AF199" s="28" t="e">
        <f t="shared" si="47"/>
        <v>#VALUE!</v>
      </c>
      <c r="AH199" s="31" t="e">
        <f t="shared" si="48"/>
        <v>#N/A</v>
      </c>
      <c r="AI199" s="25"/>
      <c r="AJ199" s="31"/>
    </row>
    <row r="200" spans="2:36" x14ac:dyDescent="0.25">
      <c r="B200" s="33">
        <f>'Arbitrage Payback Engine'!E200</f>
        <v>5.2321599780851935</v>
      </c>
      <c r="C200" s="33">
        <f t="shared" si="34"/>
        <v>1000</v>
      </c>
      <c r="D200" s="33">
        <f>'Battery Pricing Model'!$C$17</f>
        <v>1000</v>
      </c>
      <c r="E200" s="33">
        <f t="shared" si="35"/>
        <v>999</v>
      </c>
      <c r="F200" s="33" t="str">
        <f>'Peak Models'!$B$4</f>
        <v>Default</v>
      </c>
      <c r="G200" s="33" t="e">
        <f>'Peak Models'!$Q$7</f>
        <v>#VALUE!</v>
      </c>
      <c r="H200" s="33">
        <f>'Peak Models'!$P$16</f>
        <v>1.5</v>
      </c>
      <c r="I200" s="33">
        <v>12</v>
      </c>
      <c r="J200" s="33" t="e">
        <f>'Peak Models'!$P$13</f>
        <v>#N/A</v>
      </c>
      <c r="K200" s="28" t="e">
        <f t="shared" si="36"/>
        <v>#VALUE!</v>
      </c>
      <c r="L200" s="28" t="e">
        <f>INDEX('Peak Models'!$P$34:$P$64, MATCH(TRUNC(B200, 0), 'Peak Models'!$O$34:$O$64, 0))</f>
        <v>#N/A</v>
      </c>
      <c r="M200" s="28">
        <f>'Peak Models'!$P$15*INDEX('Peak Models'!$Q$34:$Q$64, MATCH(TRUNC(B200, 0),'Peak Models'!$O$34:$O$64, 0))/'Profit per cycles Model'!$E$78</f>
        <v>5.3242739430147044</v>
      </c>
      <c r="N200" s="28" t="e">
        <f t="shared" si="37"/>
        <v>#N/A</v>
      </c>
      <c r="O200" s="71" t="e">
        <f>AVERAGE($N$10:N200)</f>
        <v>#N/A</v>
      </c>
      <c r="P200" s="28" t="e">
        <f t="shared" si="38"/>
        <v>#N/A</v>
      </c>
      <c r="R200" s="28" t="e">
        <f t="shared" si="39"/>
        <v>#VALUE!</v>
      </c>
      <c r="S200" s="25"/>
      <c r="T200" s="25">
        <f t="shared" si="40"/>
        <v>15</v>
      </c>
      <c r="U200" s="33">
        <f>IF(PaybackCustom&gt;0, IF(PaybackCustom&lt;&gt;"Default", PaybackCustom, IF(PaybackStatus&lt;&gt;"",INDEX('Arbitrage Payback Engine'!$Y$2:$Y$6,MATCH(PaybackStatus,'Arbitrage Payback Engine'!$X$2:$X$6,FALSE)),-1)))</f>
        <v>25</v>
      </c>
      <c r="V200" s="32">
        <f t="shared" si="49"/>
        <v>15</v>
      </c>
      <c r="X200" s="29">
        <f t="shared" si="50"/>
        <v>191</v>
      </c>
      <c r="Z200" s="30">
        <f t="shared" si="41"/>
        <v>5.2321599780851935</v>
      </c>
      <c r="AA200" s="28" t="e">
        <f t="shared" si="42"/>
        <v>#N/A</v>
      </c>
      <c r="AB200" s="28" t="e">
        <f t="shared" si="43"/>
        <v>#VALUE!</v>
      </c>
      <c r="AC200" s="29">
        <f t="shared" si="44"/>
        <v>181.21442125237192</v>
      </c>
      <c r="AD200" s="28" t="e">
        <f t="shared" si="45"/>
        <v>#VALUE!</v>
      </c>
      <c r="AE200" s="28" t="e">
        <f t="shared" si="46"/>
        <v>#N/A</v>
      </c>
      <c r="AF200" s="28" t="e">
        <f t="shared" si="47"/>
        <v>#VALUE!</v>
      </c>
      <c r="AH200" s="31" t="e">
        <f t="shared" si="48"/>
        <v>#N/A</v>
      </c>
      <c r="AI200" s="25"/>
      <c r="AJ200" s="31"/>
    </row>
    <row r="201" spans="2:36" x14ac:dyDescent="0.25">
      <c r="B201" s="33">
        <f>'Arbitrage Payback Engine'!E201</f>
        <v>5.2595534858238597</v>
      </c>
      <c r="C201" s="33">
        <f t="shared" si="34"/>
        <v>1000</v>
      </c>
      <c r="D201" s="33">
        <f>'Battery Pricing Model'!$C$17</f>
        <v>1000</v>
      </c>
      <c r="E201" s="33">
        <f t="shared" si="35"/>
        <v>999</v>
      </c>
      <c r="F201" s="33" t="str">
        <f>'Peak Models'!$B$4</f>
        <v>Default</v>
      </c>
      <c r="G201" s="33" t="e">
        <f>'Peak Models'!$Q$7</f>
        <v>#VALUE!</v>
      </c>
      <c r="H201" s="33">
        <f>'Peak Models'!$P$16</f>
        <v>1.5</v>
      </c>
      <c r="I201" s="33">
        <v>12</v>
      </c>
      <c r="J201" s="33" t="e">
        <f>'Peak Models'!$P$13</f>
        <v>#N/A</v>
      </c>
      <c r="K201" s="28" t="e">
        <f t="shared" si="36"/>
        <v>#VALUE!</v>
      </c>
      <c r="L201" s="28" t="e">
        <f>INDEX('Peak Models'!$P$34:$P$64, MATCH(TRUNC(B201, 0), 'Peak Models'!$O$34:$O$64, 0))</f>
        <v>#N/A</v>
      </c>
      <c r="M201" s="28">
        <f>'Peak Models'!$P$15*INDEX('Peak Models'!$Q$34:$Q$64, MATCH(TRUNC(B201, 0),'Peak Models'!$O$34:$O$64, 0))/'Profit per cycles Model'!$E$78</f>
        <v>5.3242739430147044</v>
      </c>
      <c r="N201" s="28" t="e">
        <f t="shared" si="37"/>
        <v>#N/A</v>
      </c>
      <c r="O201" s="71" t="e">
        <f>AVERAGE($N$10:N201)</f>
        <v>#N/A</v>
      </c>
      <c r="P201" s="28" t="e">
        <f t="shared" si="38"/>
        <v>#N/A</v>
      </c>
      <c r="R201" s="28" t="e">
        <f t="shared" si="39"/>
        <v>#VALUE!</v>
      </c>
      <c r="S201" s="25"/>
      <c r="T201" s="25">
        <f t="shared" si="40"/>
        <v>15</v>
      </c>
      <c r="U201" s="33">
        <f>IF(PaybackCustom&gt;0, IF(PaybackCustom&lt;&gt;"Default", PaybackCustom, IF(PaybackStatus&lt;&gt;"",INDEX('Arbitrage Payback Engine'!$Y$2:$Y$6,MATCH(PaybackStatus,'Arbitrage Payback Engine'!$X$2:$X$6,FALSE)),-1)))</f>
        <v>25</v>
      </c>
      <c r="V201" s="32">
        <f t="shared" si="49"/>
        <v>15</v>
      </c>
      <c r="X201" s="29">
        <f t="shared" si="50"/>
        <v>192</v>
      </c>
      <c r="Z201" s="30">
        <f t="shared" si="41"/>
        <v>5.2595534858238597</v>
      </c>
      <c r="AA201" s="28" t="e">
        <f t="shared" si="42"/>
        <v>#N/A</v>
      </c>
      <c r="AB201" s="28" t="e">
        <f t="shared" si="43"/>
        <v>#VALUE!</v>
      </c>
      <c r="AC201" s="29">
        <f t="shared" si="44"/>
        <v>182.1631878557875</v>
      </c>
      <c r="AD201" s="28" t="e">
        <f t="shared" si="45"/>
        <v>#VALUE!</v>
      </c>
      <c r="AE201" s="28" t="e">
        <f t="shared" si="46"/>
        <v>#N/A</v>
      </c>
      <c r="AF201" s="28" t="e">
        <f t="shared" si="47"/>
        <v>#VALUE!</v>
      </c>
      <c r="AH201" s="31" t="e">
        <f t="shared" si="48"/>
        <v>#N/A</v>
      </c>
      <c r="AI201" s="25"/>
      <c r="AJ201" s="31"/>
    </row>
    <row r="202" spans="2:36" x14ac:dyDescent="0.25">
      <c r="B202" s="33">
        <f>'Arbitrage Payback Engine'!E202</f>
        <v>5.286946993562526</v>
      </c>
      <c r="C202" s="33">
        <f t="shared" ref="C202:C265" si="51">IF(OR($E$6="None", $E$6=0), D202, E202)</f>
        <v>1000</v>
      </c>
      <c r="D202" s="33">
        <f>'Battery Pricing Model'!$C$17</f>
        <v>1000</v>
      </c>
      <c r="E202" s="33">
        <f t="shared" ref="E202:E265" si="52">IF(OR($E$6="None", $E$6=0), 999, $D202*(E$6))</f>
        <v>999</v>
      </c>
      <c r="F202" s="33" t="str">
        <f>'Peak Models'!$B$4</f>
        <v>Default</v>
      </c>
      <c r="G202" s="33" t="e">
        <f>'Peak Models'!$Q$7</f>
        <v>#VALUE!</v>
      </c>
      <c r="H202" s="33">
        <f>'Peak Models'!$P$16</f>
        <v>1.5</v>
      </c>
      <c r="I202" s="33">
        <v>12</v>
      </c>
      <c r="J202" s="33" t="e">
        <f>'Peak Models'!$P$13</f>
        <v>#N/A</v>
      </c>
      <c r="K202" s="28" t="e">
        <f t="shared" ref="K202:K265" si="53">C202*G202/(H202*B202)</f>
        <v>#VALUE!</v>
      </c>
      <c r="L202" s="28" t="e">
        <f>INDEX('Peak Models'!$P$34:$P$64, MATCH(TRUNC(B202, 0), 'Peak Models'!$O$34:$O$64, 0))</f>
        <v>#N/A</v>
      </c>
      <c r="M202" s="28">
        <f>'Peak Models'!$P$15*INDEX('Peak Models'!$Q$34:$Q$64, MATCH(TRUNC(B202, 0),'Peak Models'!$O$34:$O$64, 0))/'Profit per cycles Model'!$E$78</f>
        <v>5.3242739430147044</v>
      </c>
      <c r="N202" s="28" t="e">
        <f t="shared" ref="N202:N265" si="54">L202-M202</f>
        <v>#N/A</v>
      </c>
      <c r="O202" s="71" t="e">
        <f>AVERAGE($N$10:N202)</f>
        <v>#N/A</v>
      </c>
      <c r="P202" s="28" t="e">
        <f t="shared" ref="P202:P265" si="55">IF(O202-K202&lt;0, 999, O202-K202)</f>
        <v>#N/A</v>
      </c>
      <c r="R202" s="28" t="e">
        <f t="shared" ref="R202:R265" si="56">IF(ISNA(INDEX($K$10:$K$1063,MATCH(T202,$B$10:$B$1063,1))),-1,INDEX($K$10:$K$1063,MATCH(T202,$B$10:$B$1063,1)))</f>
        <v>#VALUE!</v>
      </c>
      <c r="S202" s="25"/>
      <c r="T202" s="25">
        <f t="shared" ref="T202:T265" si="57">IF( AND(U202&gt;0, V202&gt;0), IF(U202&lt;V202, U202, V202),  IF(U202&gt;0, U202, IF(V202&gt;0, V202, -1)) )</f>
        <v>15</v>
      </c>
      <c r="U202" s="33">
        <f>IF(PaybackCustom&gt;0, IF(PaybackCustom&lt;&gt;"Default", PaybackCustom, IF(PaybackStatus&lt;&gt;"",INDEX('Arbitrage Payback Engine'!$Y$2:$Y$6,MATCH(PaybackStatus,'Arbitrage Payback Engine'!$X$2:$X$6,FALSE)),-1)))</f>
        <v>25</v>
      </c>
      <c r="V202" s="32">
        <f t="shared" si="49"/>
        <v>15</v>
      </c>
      <c r="X202" s="29">
        <f t="shared" si="50"/>
        <v>193</v>
      </c>
      <c r="Z202" s="30">
        <f t="shared" ref="Z202:Z265" si="58">B202</f>
        <v>5.286946993562526</v>
      </c>
      <c r="AA202" s="28" t="e">
        <f t="shared" ref="AA202:AA265" si="59">N202</f>
        <v>#N/A</v>
      </c>
      <c r="AB202" s="28" t="e">
        <f t="shared" ref="AB202:AB265" si="60">R202</f>
        <v>#VALUE!</v>
      </c>
      <c r="AC202" s="29">
        <f t="shared" ref="AC202:AC265" si="61">$AB$2*(Z202-$AB$3)/($AB$4-$AB$3)</f>
        <v>183.11195445920305</v>
      </c>
      <c r="AD202" s="28" t="e">
        <f t="shared" ref="AD202:AD265" si="62">MIN(AB202, AA202)</f>
        <v>#VALUE!</v>
      </c>
      <c r="AE202" s="28" t="e">
        <f t="shared" ref="AE202:AE265" si="63">IF(AND(Z202&lt;T202, AA202&gt;AB202), AA202-AB202, 0)</f>
        <v>#N/A</v>
      </c>
      <c r="AF202" s="28" t="e">
        <f t="shared" ref="AF202:AF265" si="64">IF(AND(Z202&lt;T202, AB202&gt;AA202), AB202-AA202, 0)</f>
        <v>#VALUE!</v>
      </c>
      <c r="AH202" s="31" t="e">
        <f t="shared" ref="AH202:AH265" si="65">(O202-K202)/K202</f>
        <v>#N/A</v>
      </c>
      <c r="AI202" s="25"/>
      <c r="AJ202" s="31"/>
    </row>
    <row r="203" spans="2:36" x14ac:dyDescent="0.25">
      <c r="B203" s="33">
        <f>'Arbitrage Payback Engine'!E203</f>
        <v>5.3143405013011913</v>
      </c>
      <c r="C203" s="33">
        <f t="shared" si="51"/>
        <v>1000</v>
      </c>
      <c r="D203" s="33">
        <f>'Battery Pricing Model'!$C$17</f>
        <v>1000</v>
      </c>
      <c r="E203" s="33">
        <f t="shared" si="52"/>
        <v>999</v>
      </c>
      <c r="F203" s="33" t="str">
        <f>'Peak Models'!$B$4</f>
        <v>Default</v>
      </c>
      <c r="G203" s="33" t="e">
        <f>'Peak Models'!$Q$7</f>
        <v>#VALUE!</v>
      </c>
      <c r="H203" s="33">
        <f>'Peak Models'!$P$16</f>
        <v>1.5</v>
      </c>
      <c r="I203" s="33">
        <v>12</v>
      </c>
      <c r="J203" s="33" t="e">
        <f>'Peak Models'!$P$13</f>
        <v>#N/A</v>
      </c>
      <c r="K203" s="28" t="e">
        <f t="shared" si="53"/>
        <v>#VALUE!</v>
      </c>
      <c r="L203" s="28" t="e">
        <f>INDEX('Peak Models'!$P$34:$P$64, MATCH(TRUNC(B203, 0), 'Peak Models'!$O$34:$O$64, 0))</f>
        <v>#N/A</v>
      </c>
      <c r="M203" s="28">
        <f>'Peak Models'!$P$15*INDEX('Peak Models'!$Q$34:$Q$64, MATCH(TRUNC(B203, 0),'Peak Models'!$O$34:$O$64, 0))/'Profit per cycles Model'!$E$78</f>
        <v>5.3242739430147044</v>
      </c>
      <c r="N203" s="28" t="e">
        <f t="shared" si="54"/>
        <v>#N/A</v>
      </c>
      <c r="O203" s="71" t="e">
        <f>AVERAGE($N$10:N203)</f>
        <v>#N/A</v>
      </c>
      <c r="P203" s="28" t="e">
        <f t="shared" si="55"/>
        <v>#N/A</v>
      </c>
      <c r="R203" s="28" t="e">
        <f t="shared" si="56"/>
        <v>#VALUE!</v>
      </c>
      <c r="S203" s="25"/>
      <c r="T203" s="25">
        <f t="shared" si="57"/>
        <v>15</v>
      </c>
      <c r="U203" s="33">
        <f>IF(PaybackCustom&gt;0, IF(PaybackCustom&lt;&gt;"Default", PaybackCustom, IF(PaybackStatus&lt;&gt;"",INDEX('Arbitrage Payback Engine'!$Y$2:$Y$6,MATCH(PaybackStatus,'Arbitrage Payback Engine'!$X$2:$X$6,FALSE)),-1)))</f>
        <v>25</v>
      </c>
      <c r="V203" s="32">
        <f t="shared" ref="V203:V266" si="66">IF(ISNUMBER($L$5), $L$5, 15)</f>
        <v>15</v>
      </c>
      <c r="X203" s="29">
        <f t="shared" ref="X203:X266" si="67">X202+1</f>
        <v>194</v>
      </c>
      <c r="Z203" s="30">
        <f t="shared" si="58"/>
        <v>5.3143405013011913</v>
      </c>
      <c r="AA203" s="28" t="e">
        <f t="shared" si="59"/>
        <v>#N/A</v>
      </c>
      <c r="AB203" s="28" t="e">
        <f t="shared" si="60"/>
        <v>#VALUE!</v>
      </c>
      <c r="AC203" s="29">
        <f t="shared" si="61"/>
        <v>184.0607210626186</v>
      </c>
      <c r="AD203" s="28" t="e">
        <f t="shared" si="62"/>
        <v>#VALUE!</v>
      </c>
      <c r="AE203" s="28" t="e">
        <f t="shared" si="63"/>
        <v>#N/A</v>
      </c>
      <c r="AF203" s="28" t="e">
        <f t="shared" si="64"/>
        <v>#VALUE!</v>
      </c>
      <c r="AH203" s="31" t="e">
        <f t="shared" si="65"/>
        <v>#N/A</v>
      </c>
      <c r="AI203" s="25"/>
      <c r="AJ203" s="31"/>
    </row>
    <row r="204" spans="2:36" x14ac:dyDescent="0.25">
      <c r="B204" s="33">
        <f>'Arbitrage Payback Engine'!E204</f>
        <v>5.3417340090398575</v>
      </c>
      <c r="C204" s="33">
        <f t="shared" si="51"/>
        <v>1000</v>
      </c>
      <c r="D204" s="33">
        <f>'Battery Pricing Model'!$C$17</f>
        <v>1000</v>
      </c>
      <c r="E204" s="33">
        <f t="shared" si="52"/>
        <v>999</v>
      </c>
      <c r="F204" s="33" t="str">
        <f>'Peak Models'!$B$4</f>
        <v>Default</v>
      </c>
      <c r="G204" s="33" t="e">
        <f>'Peak Models'!$Q$7</f>
        <v>#VALUE!</v>
      </c>
      <c r="H204" s="33">
        <f>'Peak Models'!$P$16</f>
        <v>1.5</v>
      </c>
      <c r="I204" s="33">
        <v>12</v>
      </c>
      <c r="J204" s="33" t="e">
        <f>'Peak Models'!$P$13</f>
        <v>#N/A</v>
      </c>
      <c r="K204" s="28" t="e">
        <f t="shared" si="53"/>
        <v>#VALUE!</v>
      </c>
      <c r="L204" s="28" t="e">
        <f>INDEX('Peak Models'!$P$34:$P$64, MATCH(TRUNC(B204, 0), 'Peak Models'!$O$34:$O$64, 0))</f>
        <v>#N/A</v>
      </c>
      <c r="M204" s="28">
        <f>'Peak Models'!$P$15*INDEX('Peak Models'!$Q$34:$Q$64, MATCH(TRUNC(B204, 0),'Peak Models'!$O$34:$O$64, 0))/'Profit per cycles Model'!$E$78</f>
        <v>5.3242739430147044</v>
      </c>
      <c r="N204" s="28" t="e">
        <f t="shared" si="54"/>
        <v>#N/A</v>
      </c>
      <c r="O204" s="71" t="e">
        <f>AVERAGE($N$10:N204)</f>
        <v>#N/A</v>
      </c>
      <c r="P204" s="28" t="e">
        <f t="shared" si="55"/>
        <v>#N/A</v>
      </c>
      <c r="R204" s="28" t="e">
        <f t="shared" si="56"/>
        <v>#VALUE!</v>
      </c>
      <c r="S204" s="25"/>
      <c r="T204" s="25">
        <f t="shared" si="57"/>
        <v>15</v>
      </c>
      <c r="U204" s="33">
        <f>IF(PaybackCustom&gt;0, IF(PaybackCustom&lt;&gt;"Default", PaybackCustom, IF(PaybackStatus&lt;&gt;"",INDEX('Arbitrage Payback Engine'!$Y$2:$Y$6,MATCH(PaybackStatus,'Arbitrage Payback Engine'!$X$2:$X$6,FALSE)),-1)))</f>
        <v>25</v>
      </c>
      <c r="V204" s="32">
        <f t="shared" si="66"/>
        <v>15</v>
      </c>
      <c r="X204" s="29">
        <f t="shared" si="67"/>
        <v>195</v>
      </c>
      <c r="Z204" s="30">
        <f t="shared" si="58"/>
        <v>5.3417340090398575</v>
      </c>
      <c r="AA204" s="28" t="e">
        <f t="shared" si="59"/>
        <v>#N/A</v>
      </c>
      <c r="AB204" s="28" t="e">
        <f t="shared" si="60"/>
        <v>#VALUE!</v>
      </c>
      <c r="AC204" s="29">
        <f t="shared" si="61"/>
        <v>185.00948766603418</v>
      </c>
      <c r="AD204" s="28" t="e">
        <f t="shared" si="62"/>
        <v>#VALUE!</v>
      </c>
      <c r="AE204" s="28" t="e">
        <f t="shared" si="63"/>
        <v>#N/A</v>
      </c>
      <c r="AF204" s="28" t="e">
        <f t="shared" si="64"/>
        <v>#VALUE!</v>
      </c>
      <c r="AH204" s="31" t="e">
        <f t="shared" si="65"/>
        <v>#N/A</v>
      </c>
      <c r="AI204" s="25"/>
      <c r="AJ204" s="31"/>
    </row>
    <row r="205" spans="2:36" x14ac:dyDescent="0.25">
      <c r="B205" s="33">
        <f>'Arbitrage Payback Engine'!E205</f>
        <v>5.3691275167785237</v>
      </c>
      <c r="C205" s="33">
        <f t="shared" si="51"/>
        <v>1000</v>
      </c>
      <c r="D205" s="33">
        <f>'Battery Pricing Model'!$C$17</f>
        <v>1000</v>
      </c>
      <c r="E205" s="33">
        <f t="shared" si="52"/>
        <v>999</v>
      </c>
      <c r="F205" s="33" t="str">
        <f>'Peak Models'!$B$4</f>
        <v>Default</v>
      </c>
      <c r="G205" s="33" t="e">
        <f>'Peak Models'!$Q$7</f>
        <v>#VALUE!</v>
      </c>
      <c r="H205" s="33">
        <f>'Peak Models'!$P$16</f>
        <v>1.5</v>
      </c>
      <c r="I205" s="33">
        <v>12</v>
      </c>
      <c r="J205" s="33" t="e">
        <f>'Peak Models'!$P$13</f>
        <v>#N/A</v>
      </c>
      <c r="K205" s="28" t="e">
        <f t="shared" si="53"/>
        <v>#VALUE!</v>
      </c>
      <c r="L205" s="28" t="e">
        <f>INDEX('Peak Models'!$P$34:$P$64, MATCH(TRUNC(B205, 0), 'Peak Models'!$O$34:$O$64, 0))</f>
        <v>#N/A</v>
      </c>
      <c r="M205" s="28">
        <f>'Peak Models'!$P$15*INDEX('Peak Models'!$Q$34:$Q$64, MATCH(TRUNC(B205, 0),'Peak Models'!$O$34:$O$64, 0))/'Profit per cycles Model'!$E$78</f>
        <v>5.3242739430147044</v>
      </c>
      <c r="N205" s="28" t="e">
        <f t="shared" si="54"/>
        <v>#N/A</v>
      </c>
      <c r="O205" s="71" t="e">
        <f>AVERAGE($N$10:N205)</f>
        <v>#N/A</v>
      </c>
      <c r="P205" s="28" t="e">
        <f t="shared" si="55"/>
        <v>#N/A</v>
      </c>
      <c r="R205" s="28" t="e">
        <f t="shared" si="56"/>
        <v>#VALUE!</v>
      </c>
      <c r="S205" s="25"/>
      <c r="T205" s="25">
        <f t="shared" si="57"/>
        <v>15</v>
      </c>
      <c r="U205" s="33">
        <f>IF(PaybackCustom&gt;0, IF(PaybackCustom&lt;&gt;"Default", PaybackCustom, IF(PaybackStatus&lt;&gt;"",INDEX('Arbitrage Payback Engine'!$Y$2:$Y$6,MATCH(PaybackStatus,'Arbitrage Payback Engine'!$X$2:$X$6,FALSE)),-1)))</f>
        <v>25</v>
      </c>
      <c r="V205" s="32">
        <f t="shared" si="66"/>
        <v>15</v>
      </c>
      <c r="X205" s="29">
        <f t="shared" si="67"/>
        <v>196</v>
      </c>
      <c r="Z205" s="30">
        <f t="shared" si="58"/>
        <v>5.3691275167785237</v>
      </c>
      <c r="AA205" s="28" t="e">
        <f t="shared" si="59"/>
        <v>#N/A</v>
      </c>
      <c r="AB205" s="28" t="e">
        <f t="shared" si="60"/>
        <v>#VALUE!</v>
      </c>
      <c r="AC205" s="29">
        <f t="shared" si="61"/>
        <v>185.95825426944972</v>
      </c>
      <c r="AD205" s="28" t="e">
        <f t="shared" si="62"/>
        <v>#VALUE!</v>
      </c>
      <c r="AE205" s="28" t="e">
        <f t="shared" si="63"/>
        <v>#N/A</v>
      </c>
      <c r="AF205" s="28" t="e">
        <f t="shared" si="64"/>
        <v>#VALUE!</v>
      </c>
      <c r="AH205" s="31" t="e">
        <f t="shared" si="65"/>
        <v>#N/A</v>
      </c>
      <c r="AI205" s="25"/>
      <c r="AJ205" s="31"/>
    </row>
    <row r="206" spans="2:36" x14ac:dyDescent="0.25">
      <c r="B206" s="33">
        <f>'Arbitrage Payback Engine'!E206</f>
        <v>5.3965210245171891</v>
      </c>
      <c r="C206" s="33">
        <f t="shared" si="51"/>
        <v>1000</v>
      </c>
      <c r="D206" s="33">
        <f>'Battery Pricing Model'!$C$17</f>
        <v>1000</v>
      </c>
      <c r="E206" s="33">
        <f t="shared" si="52"/>
        <v>999</v>
      </c>
      <c r="F206" s="33" t="str">
        <f>'Peak Models'!$B$4</f>
        <v>Default</v>
      </c>
      <c r="G206" s="33" t="e">
        <f>'Peak Models'!$Q$7</f>
        <v>#VALUE!</v>
      </c>
      <c r="H206" s="33">
        <f>'Peak Models'!$P$16</f>
        <v>1.5</v>
      </c>
      <c r="I206" s="33">
        <v>12</v>
      </c>
      <c r="J206" s="33" t="e">
        <f>'Peak Models'!$P$13</f>
        <v>#N/A</v>
      </c>
      <c r="K206" s="28" t="e">
        <f t="shared" si="53"/>
        <v>#VALUE!</v>
      </c>
      <c r="L206" s="28" t="e">
        <f>INDEX('Peak Models'!$P$34:$P$64, MATCH(TRUNC(B206, 0), 'Peak Models'!$O$34:$O$64, 0))</f>
        <v>#N/A</v>
      </c>
      <c r="M206" s="28">
        <f>'Peak Models'!$P$15*INDEX('Peak Models'!$Q$34:$Q$64, MATCH(TRUNC(B206, 0),'Peak Models'!$O$34:$O$64, 0))/'Profit per cycles Model'!$E$78</f>
        <v>5.3242739430147044</v>
      </c>
      <c r="N206" s="28" t="e">
        <f t="shared" si="54"/>
        <v>#N/A</v>
      </c>
      <c r="O206" s="71" t="e">
        <f>AVERAGE($N$10:N206)</f>
        <v>#N/A</v>
      </c>
      <c r="P206" s="28" t="e">
        <f t="shared" si="55"/>
        <v>#N/A</v>
      </c>
      <c r="R206" s="28" t="e">
        <f t="shared" si="56"/>
        <v>#VALUE!</v>
      </c>
      <c r="S206" s="25"/>
      <c r="T206" s="25">
        <f t="shared" si="57"/>
        <v>15</v>
      </c>
      <c r="U206" s="33">
        <f>IF(PaybackCustom&gt;0, IF(PaybackCustom&lt;&gt;"Default", PaybackCustom, IF(PaybackStatus&lt;&gt;"",INDEX('Arbitrage Payback Engine'!$Y$2:$Y$6,MATCH(PaybackStatus,'Arbitrage Payback Engine'!$X$2:$X$6,FALSE)),-1)))</f>
        <v>25</v>
      </c>
      <c r="V206" s="32">
        <f t="shared" si="66"/>
        <v>15</v>
      </c>
      <c r="X206" s="29">
        <f t="shared" si="67"/>
        <v>197</v>
      </c>
      <c r="Z206" s="30">
        <f t="shared" si="58"/>
        <v>5.3965210245171891</v>
      </c>
      <c r="AA206" s="28" t="e">
        <f t="shared" si="59"/>
        <v>#N/A</v>
      </c>
      <c r="AB206" s="28" t="e">
        <f t="shared" si="60"/>
        <v>#VALUE!</v>
      </c>
      <c r="AC206" s="29">
        <f t="shared" si="61"/>
        <v>186.90702087286527</v>
      </c>
      <c r="AD206" s="28" t="e">
        <f t="shared" si="62"/>
        <v>#VALUE!</v>
      </c>
      <c r="AE206" s="28" t="e">
        <f t="shared" si="63"/>
        <v>#N/A</v>
      </c>
      <c r="AF206" s="28" t="e">
        <f t="shared" si="64"/>
        <v>#VALUE!</v>
      </c>
      <c r="AH206" s="31" t="e">
        <f t="shared" si="65"/>
        <v>#N/A</v>
      </c>
      <c r="AI206" s="25"/>
      <c r="AJ206" s="31"/>
    </row>
    <row r="207" spans="2:36" x14ac:dyDescent="0.25">
      <c r="B207" s="33">
        <f>'Arbitrage Payback Engine'!E207</f>
        <v>5.4239145322558553</v>
      </c>
      <c r="C207" s="33">
        <f t="shared" si="51"/>
        <v>1000</v>
      </c>
      <c r="D207" s="33">
        <f>'Battery Pricing Model'!$C$17</f>
        <v>1000</v>
      </c>
      <c r="E207" s="33">
        <f t="shared" si="52"/>
        <v>999</v>
      </c>
      <c r="F207" s="33" t="str">
        <f>'Peak Models'!$B$4</f>
        <v>Default</v>
      </c>
      <c r="G207" s="33" t="e">
        <f>'Peak Models'!$Q$7</f>
        <v>#VALUE!</v>
      </c>
      <c r="H207" s="33">
        <f>'Peak Models'!$P$16</f>
        <v>1.5</v>
      </c>
      <c r="I207" s="33">
        <v>12</v>
      </c>
      <c r="J207" s="33" t="e">
        <f>'Peak Models'!$P$13</f>
        <v>#N/A</v>
      </c>
      <c r="K207" s="28" t="e">
        <f t="shared" si="53"/>
        <v>#VALUE!</v>
      </c>
      <c r="L207" s="28" t="e">
        <f>INDEX('Peak Models'!$P$34:$P$64, MATCH(TRUNC(B207, 0), 'Peak Models'!$O$34:$O$64, 0))</f>
        <v>#N/A</v>
      </c>
      <c r="M207" s="28">
        <f>'Peak Models'!$P$15*INDEX('Peak Models'!$Q$34:$Q$64, MATCH(TRUNC(B207, 0),'Peak Models'!$O$34:$O$64, 0))/'Profit per cycles Model'!$E$78</f>
        <v>5.3242739430147044</v>
      </c>
      <c r="N207" s="28" t="e">
        <f t="shared" si="54"/>
        <v>#N/A</v>
      </c>
      <c r="O207" s="71" t="e">
        <f>AVERAGE($N$10:N207)</f>
        <v>#N/A</v>
      </c>
      <c r="P207" s="28" t="e">
        <f t="shared" si="55"/>
        <v>#N/A</v>
      </c>
      <c r="R207" s="28" t="e">
        <f t="shared" si="56"/>
        <v>#VALUE!</v>
      </c>
      <c r="S207" s="25"/>
      <c r="T207" s="25">
        <f t="shared" si="57"/>
        <v>15</v>
      </c>
      <c r="U207" s="33">
        <f>IF(PaybackCustom&gt;0, IF(PaybackCustom&lt;&gt;"Default", PaybackCustom, IF(PaybackStatus&lt;&gt;"",INDEX('Arbitrage Payback Engine'!$Y$2:$Y$6,MATCH(PaybackStatus,'Arbitrage Payback Engine'!$X$2:$X$6,FALSE)),-1)))</f>
        <v>25</v>
      </c>
      <c r="V207" s="32">
        <f t="shared" si="66"/>
        <v>15</v>
      </c>
      <c r="X207" s="29">
        <f t="shared" si="67"/>
        <v>198</v>
      </c>
      <c r="Z207" s="30">
        <f t="shared" si="58"/>
        <v>5.4239145322558553</v>
      </c>
      <c r="AA207" s="28" t="e">
        <f t="shared" si="59"/>
        <v>#N/A</v>
      </c>
      <c r="AB207" s="28" t="e">
        <f t="shared" si="60"/>
        <v>#VALUE!</v>
      </c>
      <c r="AC207" s="29">
        <f t="shared" si="61"/>
        <v>187.85578747628085</v>
      </c>
      <c r="AD207" s="28" t="e">
        <f t="shared" si="62"/>
        <v>#VALUE!</v>
      </c>
      <c r="AE207" s="28" t="e">
        <f t="shared" si="63"/>
        <v>#N/A</v>
      </c>
      <c r="AF207" s="28" t="e">
        <f t="shared" si="64"/>
        <v>#VALUE!</v>
      </c>
      <c r="AH207" s="31" t="e">
        <f t="shared" si="65"/>
        <v>#N/A</v>
      </c>
      <c r="AI207" s="25"/>
      <c r="AJ207" s="31"/>
    </row>
    <row r="208" spans="2:36" x14ac:dyDescent="0.25">
      <c r="B208" s="33">
        <f>'Arbitrage Payback Engine'!E208</f>
        <v>5.4513080399945215</v>
      </c>
      <c r="C208" s="33">
        <f t="shared" si="51"/>
        <v>1000</v>
      </c>
      <c r="D208" s="33">
        <f>'Battery Pricing Model'!$C$17</f>
        <v>1000</v>
      </c>
      <c r="E208" s="33">
        <f t="shared" si="52"/>
        <v>999</v>
      </c>
      <c r="F208" s="33" t="str">
        <f>'Peak Models'!$B$4</f>
        <v>Default</v>
      </c>
      <c r="G208" s="33" t="e">
        <f>'Peak Models'!$Q$7</f>
        <v>#VALUE!</v>
      </c>
      <c r="H208" s="33">
        <f>'Peak Models'!$P$16</f>
        <v>1.5</v>
      </c>
      <c r="I208" s="33">
        <v>12</v>
      </c>
      <c r="J208" s="33" t="e">
        <f>'Peak Models'!$P$13</f>
        <v>#N/A</v>
      </c>
      <c r="K208" s="28" t="e">
        <f t="shared" si="53"/>
        <v>#VALUE!</v>
      </c>
      <c r="L208" s="28" t="e">
        <f>INDEX('Peak Models'!$P$34:$P$64, MATCH(TRUNC(B208, 0), 'Peak Models'!$O$34:$O$64, 0))</f>
        <v>#N/A</v>
      </c>
      <c r="M208" s="28">
        <f>'Peak Models'!$P$15*INDEX('Peak Models'!$Q$34:$Q$64, MATCH(TRUNC(B208, 0),'Peak Models'!$O$34:$O$64, 0))/'Profit per cycles Model'!$E$78</f>
        <v>5.3242739430147044</v>
      </c>
      <c r="N208" s="28" t="e">
        <f t="shared" si="54"/>
        <v>#N/A</v>
      </c>
      <c r="O208" s="71" t="e">
        <f>AVERAGE($N$10:N208)</f>
        <v>#N/A</v>
      </c>
      <c r="P208" s="28" t="e">
        <f t="shared" si="55"/>
        <v>#N/A</v>
      </c>
      <c r="R208" s="28" t="e">
        <f t="shared" si="56"/>
        <v>#VALUE!</v>
      </c>
      <c r="S208" s="25"/>
      <c r="T208" s="25">
        <f t="shared" si="57"/>
        <v>15</v>
      </c>
      <c r="U208" s="33">
        <f>IF(PaybackCustom&gt;0, IF(PaybackCustom&lt;&gt;"Default", PaybackCustom, IF(PaybackStatus&lt;&gt;"",INDEX('Arbitrage Payback Engine'!$Y$2:$Y$6,MATCH(PaybackStatus,'Arbitrage Payback Engine'!$X$2:$X$6,FALSE)),-1)))</f>
        <v>25</v>
      </c>
      <c r="V208" s="32">
        <f t="shared" si="66"/>
        <v>15</v>
      </c>
      <c r="X208" s="29">
        <f t="shared" si="67"/>
        <v>199</v>
      </c>
      <c r="Z208" s="30">
        <f t="shared" si="58"/>
        <v>5.4513080399945215</v>
      </c>
      <c r="AA208" s="28" t="e">
        <f t="shared" si="59"/>
        <v>#N/A</v>
      </c>
      <c r="AB208" s="28" t="e">
        <f t="shared" si="60"/>
        <v>#VALUE!</v>
      </c>
      <c r="AC208" s="29">
        <f t="shared" si="61"/>
        <v>188.8045540796964</v>
      </c>
      <c r="AD208" s="28" t="e">
        <f t="shared" si="62"/>
        <v>#VALUE!</v>
      </c>
      <c r="AE208" s="28" t="e">
        <f t="shared" si="63"/>
        <v>#N/A</v>
      </c>
      <c r="AF208" s="28" t="e">
        <f t="shared" si="64"/>
        <v>#VALUE!</v>
      </c>
      <c r="AH208" s="31" t="e">
        <f t="shared" si="65"/>
        <v>#N/A</v>
      </c>
      <c r="AI208" s="25"/>
      <c r="AJ208" s="31"/>
    </row>
    <row r="209" spans="2:36" x14ac:dyDescent="0.25">
      <c r="B209" s="33">
        <f>'Arbitrage Payback Engine'!E209</f>
        <v>5.4787015477331868</v>
      </c>
      <c r="C209" s="33">
        <f t="shared" si="51"/>
        <v>1000</v>
      </c>
      <c r="D209" s="33">
        <f>'Battery Pricing Model'!$C$17</f>
        <v>1000</v>
      </c>
      <c r="E209" s="33">
        <f t="shared" si="52"/>
        <v>999</v>
      </c>
      <c r="F209" s="33" t="str">
        <f>'Peak Models'!$B$4</f>
        <v>Default</v>
      </c>
      <c r="G209" s="33" t="e">
        <f>'Peak Models'!$Q$7</f>
        <v>#VALUE!</v>
      </c>
      <c r="H209" s="33">
        <f>'Peak Models'!$P$16</f>
        <v>1.5</v>
      </c>
      <c r="I209" s="33">
        <v>12</v>
      </c>
      <c r="J209" s="33" t="e">
        <f>'Peak Models'!$P$13</f>
        <v>#N/A</v>
      </c>
      <c r="K209" s="28" t="e">
        <f t="shared" si="53"/>
        <v>#VALUE!</v>
      </c>
      <c r="L209" s="28" t="e">
        <f>INDEX('Peak Models'!$P$34:$P$64, MATCH(TRUNC(B209, 0), 'Peak Models'!$O$34:$O$64, 0))</f>
        <v>#N/A</v>
      </c>
      <c r="M209" s="28">
        <f>'Peak Models'!$P$15*INDEX('Peak Models'!$Q$34:$Q$64, MATCH(TRUNC(B209, 0),'Peak Models'!$O$34:$O$64, 0))/'Profit per cycles Model'!$E$78</f>
        <v>5.3242739430147044</v>
      </c>
      <c r="N209" s="28" t="e">
        <f t="shared" si="54"/>
        <v>#N/A</v>
      </c>
      <c r="O209" s="71" t="e">
        <f>AVERAGE($N$10:N209)</f>
        <v>#N/A</v>
      </c>
      <c r="P209" s="28" t="e">
        <f t="shared" si="55"/>
        <v>#N/A</v>
      </c>
      <c r="R209" s="28" t="e">
        <f t="shared" si="56"/>
        <v>#VALUE!</v>
      </c>
      <c r="S209" s="25"/>
      <c r="T209" s="25">
        <f t="shared" si="57"/>
        <v>15</v>
      </c>
      <c r="U209" s="33">
        <f>IF(PaybackCustom&gt;0, IF(PaybackCustom&lt;&gt;"Default", PaybackCustom, IF(PaybackStatus&lt;&gt;"",INDEX('Arbitrage Payback Engine'!$Y$2:$Y$6,MATCH(PaybackStatus,'Arbitrage Payback Engine'!$X$2:$X$6,FALSE)),-1)))</f>
        <v>25</v>
      </c>
      <c r="V209" s="32">
        <f t="shared" si="66"/>
        <v>15</v>
      </c>
      <c r="X209" s="29">
        <f t="shared" si="67"/>
        <v>200</v>
      </c>
      <c r="Z209" s="30">
        <f t="shared" si="58"/>
        <v>5.4787015477331868</v>
      </c>
      <c r="AA209" s="28" t="e">
        <f t="shared" si="59"/>
        <v>#N/A</v>
      </c>
      <c r="AB209" s="28" t="e">
        <f t="shared" si="60"/>
        <v>#VALUE!</v>
      </c>
      <c r="AC209" s="29">
        <f t="shared" si="61"/>
        <v>189.75332068311195</v>
      </c>
      <c r="AD209" s="28" t="e">
        <f t="shared" si="62"/>
        <v>#VALUE!</v>
      </c>
      <c r="AE209" s="28" t="e">
        <f t="shared" si="63"/>
        <v>#N/A</v>
      </c>
      <c r="AF209" s="28" t="e">
        <f t="shared" si="64"/>
        <v>#VALUE!</v>
      </c>
      <c r="AH209" s="31" t="e">
        <f t="shared" si="65"/>
        <v>#N/A</v>
      </c>
      <c r="AI209" s="25"/>
      <c r="AJ209" s="31"/>
    </row>
    <row r="210" spans="2:36" x14ac:dyDescent="0.25">
      <c r="B210" s="33">
        <f>'Arbitrage Payback Engine'!E210</f>
        <v>5.5060950554718531</v>
      </c>
      <c r="C210" s="33">
        <f t="shared" si="51"/>
        <v>1000</v>
      </c>
      <c r="D210" s="33">
        <f>'Battery Pricing Model'!$C$17</f>
        <v>1000</v>
      </c>
      <c r="E210" s="33">
        <f t="shared" si="52"/>
        <v>999</v>
      </c>
      <c r="F210" s="33" t="str">
        <f>'Peak Models'!$B$4</f>
        <v>Default</v>
      </c>
      <c r="G210" s="33" t="e">
        <f>'Peak Models'!$Q$7</f>
        <v>#VALUE!</v>
      </c>
      <c r="H210" s="33">
        <f>'Peak Models'!$P$16</f>
        <v>1.5</v>
      </c>
      <c r="I210" s="33">
        <v>12</v>
      </c>
      <c r="J210" s="33" t="e">
        <f>'Peak Models'!$P$13</f>
        <v>#N/A</v>
      </c>
      <c r="K210" s="28" t="e">
        <f t="shared" si="53"/>
        <v>#VALUE!</v>
      </c>
      <c r="L210" s="28" t="e">
        <f>INDEX('Peak Models'!$P$34:$P$64, MATCH(TRUNC(B210, 0), 'Peak Models'!$O$34:$O$64, 0))</f>
        <v>#N/A</v>
      </c>
      <c r="M210" s="28">
        <f>'Peak Models'!$P$15*INDEX('Peak Models'!$Q$34:$Q$64, MATCH(TRUNC(B210, 0),'Peak Models'!$O$34:$O$64, 0))/'Profit per cycles Model'!$E$78</f>
        <v>5.3242739430147044</v>
      </c>
      <c r="N210" s="28" t="e">
        <f t="shared" si="54"/>
        <v>#N/A</v>
      </c>
      <c r="O210" s="71" t="e">
        <f>AVERAGE($N$10:N210)</f>
        <v>#N/A</v>
      </c>
      <c r="P210" s="28" t="e">
        <f t="shared" si="55"/>
        <v>#N/A</v>
      </c>
      <c r="R210" s="28" t="e">
        <f t="shared" si="56"/>
        <v>#VALUE!</v>
      </c>
      <c r="S210" s="25"/>
      <c r="T210" s="25">
        <f t="shared" si="57"/>
        <v>15</v>
      </c>
      <c r="U210" s="33">
        <f>IF(PaybackCustom&gt;0, IF(PaybackCustom&lt;&gt;"Default", PaybackCustom, IF(PaybackStatus&lt;&gt;"",INDEX('Arbitrage Payback Engine'!$Y$2:$Y$6,MATCH(PaybackStatus,'Arbitrage Payback Engine'!$X$2:$X$6,FALSE)),-1)))</f>
        <v>25</v>
      </c>
      <c r="V210" s="32">
        <f t="shared" si="66"/>
        <v>15</v>
      </c>
      <c r="X210" s="29">
        <f t="shared" si="67"/>
        <v>201</v>
      </c>
      <c r="Z210" s="30">
        <f t="shared" si="58"/>
        <v>5.5060950554718531</v>
      </c>
      <c r="AA210" s="28" t="e">
        <f t="shared" si="59"/>
        <v>#N/A</v>
      </c>
      <c r="AB210" s="28" t="e">
        <f t="shared" si="60"/>
        <v>#VALUE!</v>
      </c>
      <c r="AC210" s="29">
        <f t="shared" si="61"/>
        <v>190.7020872865275</v>
      </c>
      <c r="AD210" s="28" t="e">
        <f t="shared" si="62"/>
        <v>#VALUE!</v>
      </c>
      <c r="AE210" s="28" t="e">
        <f t="shared" si="63"/>
        <v>#N/A</v>
      </c>
      <c r="AF210" s="28" t="e">
        <f t="shared" si="64"/>
        <v>#VALUE!</v>
      </c>
      <c r="AH210" s="31" t="e">
        <f t="shared" si="65"/>
        <v>#N/A</v>
      </c>
      <c r="AI210" s="25"/>
      <c r="AJ210" s="31"/>
    </row>
    <row r="211" spans="2:36" x14ac:dyDescent="0.25">
      <c r="B211" s="33">
        <f>'Arbitrage Payback Engine'!E211</f>
        <v>5.5334885632105193</v>
      </c>
      <c r="C211" s="33">
        <f t="shared" si="51"/>
        <v>1000</v>
      </c>
      <c r="D211" s="33">
        <f>'Battery Pricing Model'!$C$17</f>
        <v>1000</v>
      </c>
      <c r="E211" s="33">
        <f t="shared" si="52"/>
        <v>999</v>
      </c>
      <c r="F211" s="33" t="str">
        <f>'Peak Models'!$B$4</f>
        <v>Default</v>
      </c>
      <c r="G211" s="33" t="e">
        <f>'Peak Models'!$Q$7</f>
        <v>#VALUE!</v>
      </c>
      <c r="H211" s="33">
        <f>'Peak Models'!$P$16</f>
        <v>1.5</v>
      </c>
      <c r="I211" s="33">
        <v>12</v>
      </c>
      <c r="J211" s="33" t="e">
        <f>'Peak Models'!$P$13</f>
        <v>#N/A</v>
      </c>
      <c r="K211" s="28" t="e">
        <f t="shared" si="53"/>
        <v>#VALUE!</v>
      </c>
      <c r="L211" s="28" t="e">
        <f>INDEX('Peak Models'!$P$34:$P$64, MATCH(TRUNC(B211, 0), 'Peak Models'!$O$34:$O$64, 0))</f>
        <v>#N/A</v>
      </c>
      <c r="M211" s="28">
        <f>'Peak Models'!$P$15*INDEX('Peak Models'!$Q$34:$Q$64, MATCH(TRUNC(B211, 0),'Peak Models'!$O$34:$O$64, 0))/'Profit per cycles Model'!$E$78</f>
        <v>5.3242739430147044</v>
      </c>
      <c r="N211" s="28" t="e">
        <f t="shared" si="54"/>
        <v>#N/A</v>
      </c>
      <c r="O211" s="71" t="e">
        <f>AVERAGE($N$10:N211)</f>
        <v>#N/A</v>
      </c>
      <c r="P211" s="28" t="e">
        <f t="shared" si="55"/>
        <v>#N/A</v>
      </c>
      <c r="R211" s="28" t="e">
        <f t="shared" si="56"/>
        <v>#VALUE!</v>
      </c>
      <c r="S211" s="25"/>
      <c r="T211" s="25">
        <f t="shared" si="57"/>
        <v>15</v>
      </c>
      <c r="U211" s="33">
        <f>IF(PaybackCustom&gt;0, IF(PaybackCustom&lt;&gt;"Default", PaybackCustom, IF(PaybackStatus&lt;&gt;"",INDEX('Arbitrage Payback Engine'!$Y$2:$Y$6,MATCH(PaybackStatus,'Arbitrage Payback Engine'!$X$2:$X$6,FALSE)),-1)))</f>
        <v>25</v>
      </c>
      <c r="V211" s="32">
        <f t="shared" si="66"/>
        <v>15</v>
      </c>
      <c r="X211" s="29">
        <f t="shared" si="67"/>
        <v>202</v>
      </c>
      <c r="Z211" s="30">
        <f t="shared" si="58"/>
        <v>5.5334885632105193</v>
      </c>
      <c r="AA211" s="28" t="e">
        <f t="shared" si="59"/>
        <v>#N/A</v>
      </c>
      <c r="AB211" s="28" t="e">
        <f t="shared" si="60"/>
        <v>#VALUE!</v>
      </c>
      <c r="AC211" s="29">
        <f t="shared" si="61"/>
        <v>191.65085388994311</v>
      </c>
      <c r="AD211" s="28" t="e">
        <f t="shared" si="62"/>
        <v>#VALUE!</v>
      </c>
      <c r="AE211" s="28" t="e">
        <f t="shared" si="63"/>
        <v>#N/A</v>
      </c>
      <c r="AF211" s="28" t="e">
        <f t="shared" si="64"/>
        <v>#VALUE!</v>
      </c>
      <c r="AH211" s="31" t="e">
        <f t="shared" si="65"/>
        <v>#N/A</v>
      </c>
      <c r="AI211" s="25"/>
      <c r="AJ211" s="31"/>
    </row>
    <row r="212" spans="2:36" x14ac:dyDescent="0.25">
      <c r="B212" s="33">
        <f>'Arbitrage Payback Engine'!E212</f>
        <v>5.5608820709491846</v>
      </c>
      <c r="C212" s="33">
        <f t="shared" si="51"/>
        <v>1000</v>
      </c>
      <c r="D212" s="33">
        <f>'Battery Pricing Model'!$C$17</f>
        <v>1000</v>
      </c>
      <c r="E212" s="33">
        <f t="shared" si="52"/>
        <v>999</v>
      </c>
      <c r="F212" s="33" t="str">
        <f>'Peak Models'!$B$4</f>
        <v>Default</v>
      </c>
      <c r="G212" s="33" t="e">
        <f>'Peak Models'!$Q$7</f>
        <v>#VALUE!</v>
      </c>
      <c r="H212" s="33">
        <f>'Peak Models'!$P$16</f>
        <v>1.5</v>
      </c>
      <c r="I212" s="33">
        <v>12</v>
      </c>
      <c r="J212" s="33" t="e">
        <f>'Peak Models'!$P$13</f>
        <v>#N/A</v>
      </c>
      <c r="K212" s="28" t="e">
        <f t="shared" si="53"/>
        <v>#VALUE!</v>
      </c>
      <c r="L212" s="28" t="e">
        <f>INDEX('Peak Models'!$P$34:$P$64, MATCH(TRUNC(B212, 0), 'Peak Models'!$O$34:$O$64, 0))</f>
        <v>#N/A</v>
      </c>
      <c r="M212" s="28">
        <f>'Peak Models'!$P$15*INDEX('Peak Models'!$Q$34:$Q$64, MATCH(TRUNC(B212, 0),'Peak Models'!$O$34:$O$64, 0))/'Profit per cycles Model'!$E$78</f>
        <v>5.3242739430147044</v>
      </c>
      <c r="N212" s="28" t="e">
        <f t="shared" si="54"/>
        <v>#N/A</v>
      </c>
      <c r="O212" s="71" t="e">
        <f>AVERAGE($N$10:N212)</f>
        <v>#N/A</v>
      </c>
      <c r="P212" s="28" t="e">
        <f t="shared" si="55"/>
        <v>#N/A</v>
      </c>
      <c r="R212" s="28" t="e">
        <f t="shared" si="56"/>
        <v>#VALUE!</v>
      </c>
      <c r="S212" s="25"/>
      <c r="T212" s="25">
        <f t="shared" si="57"/>
        <v>15</v>
      </c>
      <c r="U212" s="33">
        <f>IF(PaybackCustom&gt;0, IF(PaybackCustom&lt;&gt;"Default", PaybackCustom, IF(PaybackStatus&lt;&gt;"",INDEX('Arbitrage Payback Engine'!$Y$2:$Y$6,MATCH(PaybackStatus,'Arbitrage Payback Engine'!$X$2:$X$6,FALSE)),-1)))</f>
        <v>25</v>
      </c>
      <c r="V212" s="32">
        <f t="shared" si="66"/>
        <v>15</v>
      </c>
      <c r="X212" s="29">
        <f t="shared" si="67"/>
        <v>203</v>
      </c>
      <c r="Z212" s="30">
        <f t="shared" si="58"/>
        <v>5.5608820709491846</v>
      </c>
      <c r="AA212" s="28" t="e">
        <f t="shared" si="59"/>
        <v>#N/A</v>
      </c>
      <c r="AB212" s="28" t="e">
        <f t="shared" si="60"/>
        <v>#VALUE!</v>
      </c>
      <c r="AC212" s="29">
        <f t="shared" si="61"/>
        <v>192.59962049335863</v>
      </c>
      <c r="AD212" s="28" t="e">
        <f t="shared" si="62"/>
        <v>#VALUE!</v>
      </c>
      <c r="AE212" s="28" t="e">
        <f t="shared" si="63"/>
        <v>#N/A</v>
      </c>
      <c r="AF212" s="28" t="e">
        <f t="shared" si="64"/>
        <v>#VALUE!</v>
      </c>
      <c r="AH212" s="31" t="e">
        <f t="shared" si="65"/>
        <v>#N/A</v>
      </c>
      <c r="AI212" s="25"/>
      <c r="AJ212" s="31"/>
    </row>
    <row r="213" spans="2:36" x14ac:dyDescent="0.25">
      <c r="B213" s="33">
        <f>'Arbitrage Payback Engine'!E213</f>
        <v>5.5882755786878509</v>
      </c>
      <c r="C213" s="33">
        <f t="shared" si="51"/>
        <v>1000</v>
      </c>
      <c r="D213" s="33">
        <f>'Battery Pricing Model'!$C$17</f>
        <v>1000</v>
      </c>
      <c r="E213" s="33">
        <f t="shared" si="52"/>
        <v>999</v>
      </c>
      <c r="F213" s="33" t="str">
        <f>'Peak Models'!$B$4</f>
        <v>Default</v>
      </c>
      <c r="G213" s="33" t="e">
        <f>'Peak Models'!$Q$7</f>
        <v>#VALUE!</v>
      </c>
      <c r="H213" s="33">
        <f>'Peak Models'!$P$16</f>
        <v>1.5</v>
      </c>
      <c r="I213" s="33">
        <v>12</v>
      </c>
      <c r="J213" s="33" t="e">
        <f>'Peak Models'!$P$13</f>
        <v>#N/A</v>
      </c>
      <c r="K213" s="28" t="e">
        <f t="shared" si="53"/>
        <v>#VALUE!</v>
      </c>
      <c r="L213" s="28" t="e">
        <f>INDEX('Peak Models'!$P$34:$P$64, MATCH(TRUNC(B213, 0), 'Peak Models'!$O$34:$O$64, 0))</f>
        <v>#N/A</v>
      </c>
      <c r="M213" s="28">
        <f>'Peak Models'!$P$15*INDEX('Peak Models'!$Q$34:$Q$64, MATCH(TRUNC(B213, 0),'Peak Models'!$O$34:$O$64, 0))/'Profit per cycles Model'!$E$78</f>
        <v>5.3242739430147044</v>
      </c>
      <c r="N213" s="28" t="e">
        <f t="shared" si="54"/>
        <v>#N/A</v>
      </c>
      <c r="O213" s="71" t="e">
        <f>AVERAGE($N$10:N213)</f>
        <v>#N/A</v>
      </c>
      <c r="P213" s="28" t="e">
        <f t="shared" si="55"/>
        <v>#N/A</v>
      </c>
      <c r="R213" s="28" t="e">
        <f t="shared" si="56"/>
        <v>#VALUE!</v>
      </c>
      <c r="S213" s="25"/>
      <c r="T213" s="25">
        <f t="shared" si="57"/>
        <v>15</v>
      </c>
      <c r="U213" s="33">
        <f>IF(PaybackCustom&gt;0, IF(PaybackCustom&lt;&gt;"Default", PaybackCustom, IF(PaybackStatus&lt;&gt;"",INDEX('Arbitrage Payback Engine'!$Y$2:$Y$6,MATCH(PaybackStatus,'Arbitrage Payback Engine'!$X$2:$X$6,FALSE)),-1)))</f>
        <v>25</v>
      </c>
      <c r="V213" s="32">
        <f t="shared" si="66"/>
        <v>15</v>
      </c>
      <c r="X213" s="29">
        <f t="shared" si="67"/>
        <v>204</v>
      </c>
      <c r="Z213" s="30">
        <f t="shared" si="58"/>
        <v>5.5882755786878509</v>
      </c>
      <c r="AA213" s="28" t="e">
        <f t="shared" si="59"/>
        <v>#N/A</v>
      </c>
      <c r="AB213" s="28" t="e">
        <f t="shared" si="60"/>
        <v>#VALUE!</v>
      </c>
      <c r="AC213" s="29">
        <f t="shared" si="61"/>
        <v>193.54838709677418</v>
      </c>
      <c r="AD213" s="28" t="e">
        <f t="shared" si="62"/>
        <v>#VALUE!</v>
      </c>
      <c r="AE213" s="28" t="e">
        <f t="shared" si="63"/>
        <v>#N/A</v>
      </c>
      <c r="AF213" s="28" t="e">
        <f t="shared" si="64"/>
        <v>#VALUE!</v>
      </c>
      <c r="AH213" s="31" t="e">
        <f t="shared" si="65"/>
        <v>#N/A</v>
      </c>
      <c r="AI213" s="25"/>
      <c r="AJ213" s="31"/>
    </row>
    <row r="214" spans="2:36" x14ac:dyDescent="0.25">
      <c r="B214" s="33">
        <f>'Arbitrage Payback Engine'!E214</f>
        <v>5.6156690864265171</v>
      </c>
      <c r="C214" s="33">
        <f t="shared" si="51"/>
        <v>1000</v>
      </c>
      <c r="D214" s="33">
        <f>'Battery Pricing Model'!$C$17</f>
        <v>1000</v>
      </c>
      <c r="E214" s="33">
        <f t="shared" si="52"/>
        <v>999</v>
      </c>
      <c r="F214" s="33" t="str">
        <f>'Peak Models'!$B$4</f>
        <v>Default</v>
      </c>
      <c r="G214" s="33" t="e">
        <f>'Peak Models'!$Q$7</f>
        <v>#VALUE!</v>
      </c>
      <c r="H214" s="33">
        <f>'Peak Models'!$P$16</f>
        <v>1.5</v>
      </c>
      <c r="I214" s="33">
        <v>12</v>
      </c>
      <c r="J214" s="33" t="e">
        <f>'Peak Models'!$P$13</f>
        <v>#N/A</v>
      </c>
      <c r="K214" s="28" t="e">
        <f t="shared" si="53"/>
        <v>#VALUE!</v>
      </c>
      <c r="L214" s="28" t="e">
        <f>INDEX('Peak Models'!$P$34:$P$64, MATCH(TRUNC(B214, 0), 'Peak Models'!$O$34:$O$64, 0))</f>
        <v>#N/A</v>
      </c>
      <c r="M214" s="28">
        <f>'Peak Models'!$P$15*INDEX('Peak Models'!$Q$34:$Q$64, MATCH(TRUNC(B214, 0),'Peak Models'!$O$34:$O$64, 0))/'Profit per cycles Model'!$E$78</f>
        <v>5.3242739430147044</v>
      </c>
      <c r="N214" s="28" t="e">
        <f t="shared" si="54"/>
        <v>#N/A</v>
      </c>
      <c r="O214" s="71" t="e">
        <f>AVERAGE($N$10:N214)</f>
        <v>#N/A</v>
      </c>
      <c r="P214" s="28" t="e">
        <f t="shared" si="55"/>
        <v>#N/A</v>
      </c>
      <c r="R214" s="28" t="e">
        <f t="shared" si="56"/>
        <v>#VALUE!</v>
      </c>
      <c r="S214" s="25"/>
      <c r="T214" s="25">
        <f t="shared" si="57"/>
        <v>15</v>
      </c>
      <c r="U214" s="33">
        <f>IF(PaybackCustom&gt;0, IF(PaybackCustom&lt;&gt;"Default", PaybackCustom, IF(PaybackStatus&lt;&gt;"",INDEX('Arbitrage Payback Engine'!$Y$2:$Y$6,MATCH(PaybackStatus,'Arbitrage Payback Engine'!$X$2:$X$6,FALSE)),-1)))</f>
        <v>25</v>
      </c>
      <c r="V214" s="32">
        <f t="shared" si="66"/>
        <v>15</v>
      </c>
      <c r="X214" s="29">
        <f t="shared" si="67"/>
        <v>205</v>
      </c>
      <c r="Z214" s="30">
        <f t="shared" si="58"/>
        <v>5.6156690864265171</v>
      </c>
      <c r="AA214" s="28" t="e">
        <f t="shared" si="59"/>
        <v>#N/A</v>
      </c>
      <c r="AB214" s="28" t="e">
        <f t="shared" si="60"/>
        <v>#VALUE!</v>
      </c>
      <c r="AC214" s="29">
        <f t="shared" si="61"/>
        <v>194.49715370018978</v>
      </c>
      <c r="AD214" s="28" t="e">
        <f t="shared" si="62"/>
        <v>#VALUE!</v>
      </c>
      <c r="AE214" s="28" t="e">
        <f t="shared" si="63"/>
        <v>#N/A</v>
      </c>
      <c r="AF214" s="28" t="e">
        <f t="shared" si="64"/>
        <v>#VALUE!</v>
      </c>
      <c r="AH214" s="31" t="e">
        <f t="shared" si="65"/>
        <v>#N/A</v>
      </c>
      <c r="AI214" s="25"/>
      <c r="AJ214" s="31"/>
    </row>
    <row r="215" spans="2:36" x14ac:dyDescent="0.25">
      <c r="B215" s="33">
        <f>'Arbitrage Payback Engine'!E215</f>
        <v>5.6430625941651824</v>
      </c>
      <c r="C215" s="33">
        <f t="shared" si="51"/>
        <v>1000</v>
      </c>
      <c r="D215" s="33">
        <f>'Battery Pricing Model'!$C$17</f>
        <v>1000</v>
      </c>
      <c r="E215" s="33">
        <f t="shared" si="52"/>
        <v>999</v>
      </c>
      <c r="F215" s="33" t="str">
        <f>'Peak Models'!$B$4</f>
        <v>Default</v>
      </c>
      <c r="G215" s="33" t="e">
        <f>'Peak Models'!$Q$7</f>
        <v>#VALUE!</v>
      </c>
      <c r="H215" s="33">
        <f>'Peak Models'!$P$16</f>
        <v>1.5</v>
      </c>
      <c r="I215" s="33">
        <v>12</v>
      </c>
      <c r="J215" s="33" t="e">
        <f>'Peak Models'!$P$13</f>
        <v>#N/A</v>
      </c>
      <c r="K215" s="28" t="e">
        <f t="shared" si="53"/>
        <v>#VALUE!</v>
      </c>
      <c r="L215" s="28" t="e">
        <f>INDEX('Peak Models'!$P$34:$P$64, MATCH(TRUNC(B215, 0), 'Peak Models'!$O$34:$O$64, 0))</f>
        <v>#N/A</v>
      </c>
      <c r="M215" s="28">
        <f>'Peak Models'!$P$15*INDEX('Peak Models'!$Q$34:$Q$64, MATCH(TRUNC(B215, 0),'Peak Models'!$O$34:$O$64, 0))/'Profit per cycles Model'!$E$78</f>
        <v>5.3242739430147044</v>
      </c>
      <c r="N215" s="28" t="e">
        <f t="shared" si="54"/>
        <v>#N/A</v>
      </c>
      <c r="O215" s="71" t="e">
        <f>AVERAGE($N$10:N215)</f>
        <v>#N/A</v>
      </c>
      <c r="P215" s="28" t="e">
        <f t="shared" si="55"/>
        <v>#N/A</v>
      </c>
      <c r="R215" s="28" t="e">
        <f t="shared" si="56"/>
        <v>#VALUE!</v>
      </c>
      <c r="S215" s="25"/>
      <c r="T215" s="25">
        <f t="shared" si="57"/>
        <v>15</v>
      </c>
      <c r="U215" s="33">
        <f>IF(PaybackCustom&gt;0, IF(PaybackCustom&lt;&gt;"Default", PaybackCustom, IF(PaybackStatus&lt;&gt;"",INDEX('Arbitrage Payback Engine'!$Y$2:$Y$6,MATCH(PaybackStatus,'Arbitrage Payback Engine'!$X$2:$X$6,FALSE)),-1)))</f>
        <v>25</v>
      </c>
      <c r="V215" s="32">
        <f t="shared" si="66"/>
        <v>15</v>
      </c>
      <c r="X215" s="29">
        <f t="shared" si="67"/>
        <v>206</v>
      </c>
      <c r="Z215" s="30">
        <f t="shared" si="58"/>
        <v>5.6430625941651824</v>
      </c>
      <c r="AA215" s="28" t="e">
        <f t="shared" si="59"/>
        <v>#N/A</v>
      </c>
      <c r="AB215" s="28" t="e">
        <f t="shared" si="60"/>
        <v>#VALUE!</v>
      </c>
      <c r="AC215" s="29">
        <f t="shared" si="61"/>
        <v>195.44592030360531</v>
      </c>
      <c r="AD215" s="28" t="e">
        <f t="shared" si="62"/>
        <v>#VALUE!</v>
      </c>
      <c r="AE215" s="28" t="e">
        <f t="shared" si="63"/>
        <v>#N/A</v>
      </c>
      <c r="AF215" s="28" t="e">
        <f t="shared" si="64"/>
        <v>#VALUE!</v>
      </c>
      <c r="AH215" s="31" t="e">
        <f t="shared" si="65"/>
        <v>#N/A</v>
      </c>
      <c r="AI215" s="25"/>
      <c r="AJ215" s="31"/>
    </row>
    <row r="216" spans="2:36" x14ac:dyDescent="0.25">
      <c r="B216" s="33">
        <f>'Arbitrage Payback Engine'!E216</f>
        <v>5.6704561019038486</v>
      </c>
      <c r="C216" s="33">
        <f t="shared" si="51"/>
        <v>1000</v>
      </c>
      <c r="D216" s="33">
        <f>'Battery Pricing Model'!$C$17</f>
        <v>1000</v>
      </c>
      <c r="E216" s="33">
        <f t="shared" si="52"/>
        <v>999</v>
      </c>
      <c r="F216" s="33" t="str">
        <f>'Peak Models'!$B$4</f>
        <v>Default</v>
      </c>
      <c r="G216" s="33" t="e">
        <f>'Peak Models'!$Q$7</f>
        <v>#VALUE!</v>
      </c>
      <c r="H216" s="33">
        <f>'Peak Models'!$P$16</f>
        <v>1.5</v>
      </c>
      <c r="I216" s="33">
        <v>12</v>
      </c>
      <c r="J216" s="33" t="e">
        <f>'Peak Models'!$P$13</f>
        <v>#N/A</v>
      </c>
      <c r="K216" s="28" t="e">
        <f t="shared" si="53"/>
        <v>#VALUE!</v>
      </c>
      <c r="L216" s="28" t="e">
        <f>INDEX('Peak Models'!$P$34:$P$64, MATCH(TRUNC(B216, 0), 'Peak Models'!$O$34:$O$64, 0))</f>
        <v>#N/A</v>
      </c>
      <c r="M216" s="28">
        <f>'Peak Models'!$P$15*INDEX('Peak Models'!$Q$34:$Q$64, MATCH(TRUNC(B216, 0),'Peak Models'!$O$34:$O$64, 0))/'Profit per cycles Model'!$E$78</f>
        <v>5.3242739430147044</v>
      </c>
      <c r="N216" s="28" t="e">
        <f t="shared" si="54"/>
        <v>#N/A</v>
      </c>
      <c r="O216" s="71" t="e">
        <f>AVERAGE($N$10:N216)</f>
        <v>#N/A</v>
      </c>
      <c r="P216" s="28" t="e">
        <f t="shared" si="55"/>
        <v>#N/A</v>
      </c>
      <c r="R216" s="28" t="e">
        <f t="shared" si="56"/>
        <v>#VALUE!</v>
      </c>
      <c r="S216" s="25"/>
      <c r="T216" s="25">
        <f t="shared" si="57"/>
        <v>15</v>
      </c>
      <c r="U216" s="33">
        <f>IF(PaybackCustom&gt;0, IF(PaybackCustom&lt;&gt;"Default", PaybackCustom, IF(PaybackStatus&lt;&gt;"",INDEX('Arbitrage Payback Engine'!$Y$2:$Y$6,MATCH(PaybackStatus,'Arbitrage Payback Engine'!$X$2:$X$6,FALSE)),-1)))</f>
        <v>25</v>
      </c>
      <c r="V216" s="32">
        <f t="shared" si="66"/>
        <v>15</v>
      </c>
      <c r="X216" s="29">
        <f t="shared" si="67"/>
        <v>207</v>
      </c>
      <c r="Z216" s="30">
        <f t="shared" si="58"/>
        <v>5.6704561019038486</v>
      </c>
      <c r="AA216" s="28" t="e">
        <f t="shared" si="59"/>
        <v>#N/A</v>
      </c>
      <c r="AB216" s="28" t="e">
        <f t="shared" si="60"/>
        <v>#VALUE!</v>
      </c>
      <c r="AC216" s="29">
        <f t="shared" si="61"/>
        <v>196.39468690702085</v>
      </c>
      <c r="AD216" s="28" t="e">
        <f t="shared" si="62"/>
        <v>#VALUE!</v>
      </c>
      <c r="AE216" s="28" t="e">
        <f t="shared" si="63"/>
        <v>#N/A</v>
      </c>
      <c r="AF216" s="28" t="e">
        <f t="shared" si="64"/>
        <v>#VALUE!</v>
      </c>
      <c r="AH216" s="31" t="e">
        <f t="shared" si="65"/>
        <v>#N/A</v>
      </c>
      <c r="AI216" s="25"/>
      <c r="AJ216" s="31"/>
    </row>
    <row r="217" spans="2:36" x14ac:dyDescent="0.25">
      <c r="B217" s="33">
        <f>'Arbitrage Payback Engine'!E217</f>
        <v>5.6978496096425149</v>
      </c>
      <c r="C217" s="33">
        <f t="shared" si="51"/>
        <v>1000</v>
      </c>
      <c r="D217" s="33">
        <f>'Battery Pricing Model'!$C$17</f>
        <v>1000</v>
      </c>
      <c r="E217" s="33">
        <f t="shared" si="52"/>
        <v>999</v>
      </c>
      <c r="F217" s="33" t="str">
        <f>'Peak Models'!$B$4</f>
        <v>Default</v>
      </c>
      <c r="G217" s="33" t="e">
        <f>'Peak Models'!$Q$7</f>
        <v>#VALUE!</v>
      </c>
      <c r="H217" s="33">
        <f>'Peak Models'!$P$16</f>
        <v>1.5</v>
      </c>
      <c r="I217" s="33">
        <v>12</v>
      </c>
      <c r="J217" s="33" t="e">
        <f>'Peak Models'!$P$13</f>
        <v>#N/A</v>
      </c>
      <c r="K217" s="28" t="e">
        <f t="shared" si="53"/>
        <v>#VALUE!</v>
      </c>
      <c r="L217" s="28" t="e">
        <f>INDEX('Peak Models'!$P$34:$P$64, MATCH(TRUNC(B217, 0), 'Peak Models'!$O$34:$O$64, 0))</f>
        <v>#N/A</v>
      </c>
      <c r="M217" s="28">
        <f>'Peak Models'!$P$15*INDEX('Peak Models'!$Q$34:$Q$64, MATCH(TRUNC(B217, 0),'Peak Models'!$O$34:$O$64, 0))/'Profit per cycles Model'!$E$78</f>
        <v>5.3242739430147044</v>
      </c>
      <c r="N217" s="28" t="e">
        <f t="shared" si="54"/>
        <v>#N/A</v>
      </c>
      <c r="O217" s="71" t="e">
        <f>AVERAGE($N$10:N217)</f>
        <v>#N/A</v>
      </c>
      <c r="P217" s="28" t="e">
        <f t="shared" si="55"/>
        <v>#N/A</v>
      </c>
      <c r="R217" s="28" t="e">
        <f t="shared" si="56"/>
        <v>#VALUE!</v>
      </c>
      <c r="S217" s="25"/>
      <c r="T217" s="25">
        <f t="shared" si="57"/>
        <v>15</v>
      </c>
      <c r="U217" s="33">
        <f>IF(PaybackCustom&gt;0, IF(PaybackCustom&lt;&gt;"Default", PaybackCustom, IF(PaybackStatus&lt;&gt;"",INDEX('Arbitrage Payback Engine'!$Y$2:$Y$6,MATCH(PaybackStatus,'Arbitrage Payback Engine'!$X$2:$X$6,FALSE)),-1)))</f>
        <v>25</v>
      </c>
      <c r="V217" s="32">
        <f t="shared" si="66"/>
        <v>15</v>
      </c>
      <c r="X217" s="29">
        <f t="shared" si="67"/>
        <v>208</v>
      </c>
      <c r="Z217" s="30">
        <f t="shared" si="58"/>
        <v>5.6978496096425149</v>
      </c>
      <c r="AA217" s="28" t="e">
        <f t="shared" si="59"/>
        <v>#N/A</v>
      </c>
      <c r="AB217" s="28" t="e">
        <f t="shared" si="60"/>
        <v>#VALUE!</v>
      </c>
      <c r="AC217" s="29">
        <f t="shared" si="61"/>
        <v>197.34345351043646</v>
      </c>
      <c r="AD217" s="28" t="e">
        <f t="shared" si="62"/>
        <v>#VALUE!</v>
      </c>
      <c r="AE217" s="28" t="e">
        <f t="shared" si="63"/>
        <v>#N/A</v>
      </c>
      <c r="AF217" s="28" t="e">
        <f t="shared" si="64"/>
        <v>#VALUE!</v>
      </c>
      <c r="AH217" s="31" t="e">
        <f t="shared" si="65"/>
        <v>#N/A</v>
      </c>
      <c r="AI217" s="25"/>
      <c r="AJ217" s="31"/>
    </row>
    <row r="218" spans="2:36" x14ac:dyDescent="0.25">
      <c r="B218" s="33">
        <f>'Arbitrage Payback Engine'!E218</f>
        <v>5.7252431173811802</v>
      </c>
      <c r="C218" s="33">
        <f t="shared" si="51"/>
        <v>1000</v>
      </c>
      <c r="D218" s="33">
        <f>'Battery Pricing Model'!$C$17</f>
        <v>1000</v>
      </c>
      <c r="E218" s="33">
        <f t="shared" si="52"/>
        <v>999</v>
      </c>
      <c r="F218" s="33" t="str">
        <f>'Peak Models'!$B$4</f>
        <v>Default</v>
      </c>
      <c r="G218" s="33" t="e">
        <f>'Peak Models'!$Q$7</f>
        <v>#VALUE!</v>
      </c>
      <c r="H218" s="33">
        <f>'Peak Models'!$P$16</f>
        <v>1.5</v>
      </c>
      <c r="I218" s="33">
        <v>12</v>
      </c>
      <c r="J218" s="33" t="e">
        <f>'Peak Models'!$P$13</f>
        <v>#N/A</v>
      </c>
      <c r="K218" s="28" t="e">
        <f t="shared" si="53"/>
        <v>#VALUE!</v>
      </c>
      <c r="L218" s="28" t="e">
        <f>INDEX('Peak Models'!$P$34:$P$64, MATCH(TRUNC(B218, 0), 'Peak Models'!$O$34:$O$64, 0))</f>
        <v>#N/A</v>
      </c>
      <c r="M218" s="28">
        <f>'Peak Models'!$P$15*INDEX('Peak Models'!$Q$34:$Q$64, MATCH(TRUNC(B218, 0),'Peak Models'!$O$34:$O$64, 0))/'Profit per cycles Model'!$E$78</f>
        <v>5.3242739430147044</v>
      </c>
      <c r="N218" s="28" t="e">
        <f t="shared" si="54"/>
        <v>#N/A</v>
      </c>
      <c r="O218" s="71" t="e">
        <f>AVERAGE($N$10:N218)</f>
        <v>#N/A</v>
      </c>
      <c r="P218" s="28" t="e">
        <f t="shared" si="55"/>
        <v>#N/A</v>
      </c>
      <c r="R218" s="28" t="e">
        <f t="shared" si="56"/>
        <v>#VALUE!</v>
      </c>
      <c r="S218" s="25"/>
      <c r="T218" s="25">
        <f t="shared" si="57"/>
        <v>15</v>
      </c>
      <c r="U218" s="33">
        <f>IF(PaybackCustom&gt;0, IF(PaybackCustom&lt;&gt;"Default", PaybackCustom, IF(PaybackStatus&lt;&gt;"",INDEX('Arbitrage Payback Engine'!$Y$2:$Y$6,MATCH(PaybackStatus,'Arbitrage Payback Engine'!$X$2:$X$6,FALSE)),-1)))</f>
        <v>25</v>
      </c>
      <c r="V218" s="32">
        <f t="shared" si="66"/>
        <v>15</v>
      </c>
      <c r="X218" s="29">
        <f t="shared" si="67"/>
        <v>209</v>
      </c>
      <c r="Z218" s="30">
        <f t="shared" si="58"/>
        <v>5.7252431173811802</v>
      </c>
      <c r="AA218" s="28" t="e">
        <f t="shared" si="59"/>
        <v>#N/A</v>
      </c>
      <c r="AB218" s="28" t="e">
        <f t="shared" si="60"/>
        <v>#VALUE!</v>
      </c>
      <c r="AC218" s="29">
        <f t="shared" si="61"/>
        <v>198.29222011385198</v>
      </c>
      <c r="AD218" s="28" t="e">
        <f t="shared" si="62"/>
        <v>#VALUE!</v>
      </c>
      <c r="AE218" s="28" t="e">
        <f t="shared" si="63"/>
        <v>#N/A</v>
      </c>
      <c r="AF218" s="28" t="e">
        <f t="shared" si="64"/>
        <v>#VALUE!</v>
      </c>
      <c r="AH218" s="31" t="e">
        <f t="shared" si="65"/>
        <v>#N/A</v>
      </c>
      <c r="AI218" s="25"/>
      <c r="AJ218" s="31"/>
    </row>
    <row r="219" spans="2:36" x14ac:dyDescent="0.25">
      <c r="B219" s="33">
        <f>'Arbitrage Payback Engine'!E219</f>
        <v>5.7526366251198464</v>
      </c>
      <c r="C219" s="33">
        <f t="shared" si="51"/>
        <v>1000</v>
      </c>
      <c r="D219" s="33">
        <f>'Battery Pricing Model'!$C$17</f>
        <v>1000</v>
      </c>
      <c r="E219" s="33">
        <f t="shared" si="52"/>
        <v>999</v>
      </c>
      <c r="F219" s="33" t="str">
        <f>'Peak Models'!$B$4</f>
        <v>Default</v>
      </c>
      <c r="G219" s="33" t="e">
        <f>'Peak Models'!$Q$7</f>
        <v>#VALUE!</v>
      </c>
      <c r="H219" s="33">
        <f>'Peak Models'!$P$16</f>
        <v>1.5</v>
      </c>
      <c r="I219" s="33">
        <v>12</v>
      </c>
      <c r="J219" s="33" t="e">
        <f>'Peak Models'!$P$13</f>
        <v>#N/A</v>
      </c>
      <c r="K219" s="28" t="e">
        <f t="shared" si="53"/>
        <v>#VALUE!</v>
      </c>
      <c r="L219" s="28" t="e">
        <f>INDEX('Peak Models'!$P$34:$P$64, MATCH(TRUNC(B219, 0), 'Peak Models'!$O$34:$O$64, 0))</f>
        <v>#N/A</v>
      </c>
      <c r="M219" s="28">
        <f>'Peak Models'!$P$15*INDEX('Peak Models'!$Q$34:$Q$64, MATCH(TRUNC(B219, 0),'Peak Models'!$O$34:$O$64, 0))/'Profit per cycles Model'!$E$78</f>
        <v>5.3242739430147044</v>
      </c>
      <c r="N219" s="28" t="e">
        <f t="shared" si="54"/>
        <v>#N/A</v>
      </c>
      <c r="O219" s="71" t="e">
        <f>AVERAGE($N$10:N219)</f>
        <v>#N/A</v>
      </c>
      <c r="P219" s="28" t="e">
        <f t="shared" si="55"/>
        <v>#N/A</v>
      </c>
      <c r="R219" s="28" t="e">
        <f t="shared" si="56"/>
        <v>#VALUE!</v>
      </c>
      <c r="S219" s="25"/>
      <c r="T219" s="25">
        <f t="shared" si="57"/>
        <v>15</v>
      </c>
      <c r="U219" s="33">
        <f>IF(PaybackCustom&gt;0, IF(PaybackCustom&lt;&gt;"Default", PaybackCustom, IF(PaybackStatus&lt;&gt;"",INDEX('Arbitrage Payback Engine'!$Y$2:$Y$6,MATCH(PaybackStatus,'Arbitrage Payback Engine'!$X$2:$X$6,FALSE)),-1)))</f>
        <v>25</v>
      </c>
      <c r="V219" s="32">
        <f t="shared" si="66"/>
        <v>15</v>
      </c>
      <c r="X219" s="29">
        <f t="shared" si="67"/>
        <v>210</v>
      </c>
      <c r="Z219" s="30">
        <f t="shared" si="58"/>
        <v>5.7526366251198464</v>
      </c>
      <c r="AA219" s="28" t="e">
        <f t="shared" si="59"/>
        <v>#N/A</v>
      </c>
      <c r="AB219" s="28" t="e">
        <f t="shared" si="60"/>
        <v>#VALUE!</v>
      </c>
      <c r="AC219" s="29">
        <f t="shared" si="61"/>
        <v>199.24098671726753</v>
      </c>
      <c r="AD219" s="28" t="e">
        <f t="shared" si="62"/>
        <v>#VALUE!</v>
      </c>
      <c r="AE219" s="28" t="e">
        <f t="shared" si="63"/>
        <v>#N/A</v>
      </c>
      <c r="AF219" s="28" t="e">
        <f t="shared" si="64"/>
        <v>#VALUE!</v>
      </c>
      <c r="AH219" s="31" t="e">
        <f t="shared" si="65"/>
        <v>#N/A</v>
      </c>
      <c r="AI219" s="25"/>
      <c r="AJ219" s="31"/>
    </row>
    <row r="220" spans="2:36" x14ac:dyDescent="0.25">
      <c r="B220" s="33">
        <f>'Arbitrage Payback Engine'!E220</f>
        <v>5.7800301328585126</v>
      </c>
      <c r="C220" s="33">
        <f t="shared" si="51"/>
        <v>1000</v>
      </c>
      <c r="D220" s="33">
        <f>'Battery Pricing Model'!$C$17</f>
        <v>1000</v>
      </c>
      <c r="E220" s="33">
        <f t="shared" si="52"/>
        <v>999</v>
      </c>
      <c r="F220" s="33" t="str">
        <f>'Peak Models'!$B$4</f>
        <v>Default</v>
      </c>
      <c r="G220" s="33" t="e">
        <f>'Peak Models'!$Q$7</f>
        <v>#VALUE!</v>
      </c>
      <c r="H220" s="33">
        <f>'Peak Models'!$P$16</f>
        <v>1.5</v>
      </c>
      <c r="I220" s="33">
        <v>12</v>
      </c>
      <c r="J220" s="33" t="e">
        <f>'Peak Models'!$P$13</f>
        <v>#N/A</v>
      </c>
      <c r="K220" s="28" t="e">
        <f t="shared" si="53"/>
        <v>#VALUE!</v>
      </c>
      <c r="L220" s="28" t="e">
        <f>INDEX('Peak Models'!$P$34:$P$64, MATCH(TRUNC(B220, 0), 'Peak Models'!$O$34:$O$64, 0))</f>
        <v>#N/A</v>
      </c>
      <c r="M220" s="28">
        <f>'Peak Models'!$P$15*INDEX('Peak Models'!$Q$34:$Q$64, MATCH(TRUNC(B220, 0),'Peak Models'!$O$34:$O$64, 0))/'Profit per cycles Model'!$E$78</f>
        <v>5.3242739430147044</v>
      </c>
      <c r="N220" s="28" t="e">
        <f t="shared" si="54"/>
        <v>#N/A</v>
      </c>
      <c r="O220" s="71" t="e">
        <f>AVERAGE($N$10:N220)</f>
        <v>#N/A</v>
      </c>
      <c r="P220" s="28" t="e">
        <f t="shared" si="55"/>
        <v>#N/A</v>
      </c>
      <c r="R220" s="28" t="e">
        <f t="shared" si="56"/>
        <v>#VALUE!</v>
      </c>
      <c r="S220" s="25"/>
      <c r="T220" s="25">
        <f t="shared" si="57"/>
        <v>15</v>
      </c>
      <c r="U220" s="33">
        <f>IF(PaybackCustom&gt;0, IF(PaybackCustom&lt;&gt;"Default", PaybackCustom, IF(PaybackStatus&lt;&gt;"",INDEX('Arbitrage Payback Engine'!$Y$2:$Y$6,MATCH(PaybackStatus,'Arbitrage Payback Engine'!$X$2:$X$6,FALSE)),-1)))</f>
        <v>25</v>
      </c>
      <c r="V220" s="32">
        <f t="shared" si="66"/>
        <v>15</v>
      </c>
      <c r="X220" s="29">
        <f t="shared" si="67"/>
        <v>211</v>
      </c>
      <c r="Z220" s="30">
        <f t="shared" si="58"/>
        <v>5.7800301328585126</v>
      </c>
      <c r="AA220" s="28" t="e">
        <f t="shared" si="59"/>
        <v>#N/A</v>
      </c>
      <c r="AB220" s="28" t="e">
        <f t="shared" si="60"/>
        <v>#VALUE!</v>
      </c>
      <c r="AC220" s="29">
        <f t="shared" si="61"/>
        <v>200.18975332068314</v>
      </c>
      <c r="AD220" s="28" t="e">
        <f t="shared" si="62"/>
        <v>#VALUE!</v>
      </c>
      <c r="AE220" s="28" t="e">
        <f t="shared" si="63"/>
        <v>#N/A</v>
      </c>
      <c r="AF220" s="28" t="e">
        <f t="shared" si="64"/>
        <v>#VALUE!</v>
      </c>
      <c r="AH220" s="31" t="e">
        <f t="shared" si="65"/>
        <v>#N/A</v>
      </c>
      <c r="AI220" s="25"/>
      <c r="AJ220" s="31"/>
    </row>
    <row r="221" spans="2:36" x14ac:dyDescent="0.25">
      <c r="B221" s="33">
        <f>'Arbitrage Payback Engine'!E221</f>
        <v>5.807423640597178</v>
      </c>
      <c r="C221" s="33">
        <f t="shared" si="51"/>
        <v>1000</v>
      </c>
      <c r="D221" s="33">
        <f>'Battery Pricing Model'!$C$17</f>
        <v>1000</v>
      </c>
      <c r="E221" s="33">
        <f t="shared" si="52"/>
        <v>999</v>
      </c>
      <c r="F221" s="33" t="str">
        <f>'Peak Models'!$B$4</f>
        <v>Default</v>
      </c>
      <c r="G221" s="33" t="e">
        <f>'Peak Models'!$Q$7</f>
        <v>#VALUE!</v>
      </c>
      <c r="H221" s="33">
        <f>'Peak Models'!$P$16</f>
        <v>1.5</v>
      </c>
      <c r="I221" s="33">
        <v>12</v>
      </c>
      <c r="J221" s="33" t="e">
        <f>'Peak Models'!$P$13</f>
        <v>#N/A</v>
      </c>
      <c r="K221" s="28" t="e">
        <f t="shared" si="53"/>
        <v>#VALUE!</v>
      </c>
      <c r="L221" s="28" t="e">
        <f>INDEX('Peak Models'!$P$34:$P$64, MATCH(TRUNC(B221, 0), 'Peak Models'!$O$34:$O$64, 0))</f>
        <v>#N/A</v>
      </c>
      <c r="M221" s="28">
        <f>'Peak Models'!$P$15*INDEX('Peak Models'!$Q$34:$Q$64, MATCH(TRUNC(B221, 0),'Peak Models'!$O$34:$O$64, 0))/'Profit per cycles Model'!$E$78</f>
        <v>5.3242739430147044</v>
      </c>
      <c r="N221" s="28" t="e">
        <f t="shared" si="54"/>
        <v>#N/A</v>
      </c>
      <c r="O221" s="71" t="e">
        <f>AVERAGE($N$10:N221)</f>
        <v>#N/A</v>
      </c>
      <c r="P221" s="28" t="e">
        <f t="shared" si="55"/>
        <v>#N/A</v>
      </c>
      <c r="R221" s="28" t="e">
        <f t="shared" si="56"/>
        <v>#VALUE!</v>
      </c>
      <c r="S221" s="25"/>
      <c r="T221" s="25">
        <f t="shared" si="57"/>
        <v>15</v>
      </c>
      <c r="U221" s="33">
        <f>IF(PaybackCustom&gt;0, IF(PaybackCustom&lt;&gt;"Default", PaybackCustom, IF(PaybackStatus&lt;&gt;"",INDEX('Arbitrage Payback Engine'!$Y$2:$Y$6,MATCH(PaybackStatus,'Arbitrage Payback Engine'!$X$2:$X$6,FALSE)),-1)))</f>
        <v>25</v>
      </c>
      <c r="V221" s="32">
        <f t="shared" si="66"/>
        <v>15</v>
      </c>
      <c r="X221" s="29">
        <f t="shared" si="67"/>
        <v>212</v>
      </c>
      <c r="Z221" s="30">
        <f t="shared" si="58"/>
        <v>5.807423640597178</v>
      </c>
      <c r="AA221" s="28" t="e">
        <f t="shared" si="59"/>
        <v>#N/A</v>
      </c>
      <c r="AB221" s="28" t="e">
        <f t="shared" si="60"/>
        <v>#VALUE!</v>
      </c>
      <c r="AC221" s="29">
        <f t="shared" si="61"/>
        <v>201.13851992409866</v>
      </c>
      <c r="AD221" s="28" t="e">
        <f t="shared" si="62"/>
        <v>#VALUE!</v>
      </c>
      <c r="AE221" s="28" t="e">
        <f t="shared" si="63"/>
        <v>#N/A</v>
      </c>
      <c r="AF221" s="28" t="e">
        <f t="shared" si="64"/>
        <v>#VALUE!</v>
      </c>
      <c r="AH221" s="31" t="e">
        <f t="shared" si="65"/>
        <v>#N/A</v>
      </c>
      <c r="AI221" s="25"/>
      <c r="AJ221" s="31"/>
    </row>
    <row r="222" spans="2:36" x14ac:dyDescent="0.25">
      <c r="B222" s="33">
        <f>'Arbitrage Payback Engine'!E222</f>
        <v>5.8348171483358442</v>
      </c>
      <c r="C222" s="33">
        <f t="shared" si="51"/>
        <v>1000</v>
      </c>
      <c r="D222" s="33">
        <f>'Battery Pricing Model'!$C$17</f>
        <v>1000</v>
      </c>
      <c r="E222" s="33">
        <f t="shared" si="52"/>
        <v>999</v>
      </c>
      <c r="F222" s="33" t="str">
        <f>'Peak Models'!$B$4</f>
        <v>Default</v>
      </c>
      <c r="G222" s="33" t="e">
        <f>'Peak Models'!$Q$7</f>
        <v>#VALUE!</v>
      </c>
      <c r="H222" s="33">
        <f>'Peak Models'!$P$16</f>
        <v>1.5</v>
      </c>
      <c r="I222" s="33">
        <v>12</v>
      </c>
      <c r="J222" s="33" t="e">
        <f>'Peak Models'!$P$13</f>
        <v>#N/A</v>
      </c>
      <c r="K222" s="28" t="e">
        <f t="shared" si="53"/>
        <v>#VALUE!</v>
      </c>
      <c r="L222" s="28" t="e">
        <f>INDEX('Peak Models'!$P$34:$P$64, MATCH(TRUNC(B222, 0), 'Peak Models'!$O$34:$O$64, 0))</f>
        <v>#N/A</v>
      </c>
      <c r="M222" s="28">
        <f>'Peak Models'!$P$15*INDEX('Peak Models'!$Q$34:$Q$64, MATCH(TRUNC(B222, 0),'Peak Models'!$O$34:$O$64, 0))/'Profit per cycles Model'!$E$78</f>
        <v>5.3242739430147044</v>
      </c>
      <c r="N222" s="28" t="e">
        <f t="shared" si="54"/>
        <v>#N/A</v>
      </c>
      <c r="O222" s="71" t="e">
        <f>AVERAGE($N$10:N222)</f>
        <v>#N/A</v>
      </c>
      <c r="P222" s="28" t="e">
        <f t="shared" si="55"/>
        <v>#N/A</v>
      </c>
      <c r="R222" s="28" t="e">
        <f t="shared" si="56"/>
        <v>#VALUE!</v>
      </c>
      <c r="S222" s="25"/>
      <c r="T222" s="25">
        <f t="shared" si="57"/>
        <v>15</v>
      </c>
      <c r="U222" s="33">
        <f>IF(PaybackCustom&gt;0, IF(PaybackCustom&lt;&gt;"Default", PaybackCustom, IF(PaybackStatus&lt;&gt;"",INDEX('Arbitrage Payback Engine'!$Y$2:$Y$6,MATCH(PaybackStatus,'Arbitrage Payback Engine'!$X$2:$X$6,FALSE)),-1)))</f>
        <v>25</v>
      </c>
      <c r="V222" s="32">
        <f t="shared" si="66"/>
        <v>15</v>
      </c>
      <c r="X222" s="29">
        <f t="shared" si="67"/>
        <v>213</v>
      </c>
      <c r="Z222" s="30">
        <f t="shared" si="58"/>
        <v>5.8348171483358442</v>
      </c>
      <c r="AA222" s="28" t="e">
        <f t="shared" si="59"/>
        <v>#N/A</v>
      </c>
      <c r="AB222" s="28" t="e">
        <f t="shared" si="60"/>
        <v>#VALUE!</v>
      </c>
      <c r="AC222" s="29">
        <f t="shared" si="61"/>
        <v>202.08728652751421</v>
      </c>
      <c r="AD222" s="28" t="e">
        <f t="shared" si="62"/>
        <v>#VALUE!</v>
      </c>
      <c r="AE222" s="28" t="e">
        <f t="shared" si="63"/>
        <v>#N/A</v>
      </c>
      <c r="AF222" s="28" t="e">
        <f t="shared" si="64"/>
        <v>#VALUE!</v>
      </c>
      <c r="AH222" s="31" t="e">
        <f t="shared" si="65"/>
        <v>#N/A</v>
      </c>
      <c r="AI222" s="25"/>
      <c r="AJ222" s="31"/>
    </row>
    <row r="223" spans="2:36" x14ac:dyDescent="0.25">
      <c r="B223" s="33">
        <f>'Arbitrage Payback Engine'!E223</f>
        <v>5.8622106560745104</v>
      </c>
      <c r="C223" s="33">
        <f t="shared" si="51"/>
        <v>1000</v>
      </c>
      <c r="D223" s="33">
        <f>'Battery Pricing Model'!$C$17</f>
        <v>1000</v>
      </c>
      <c r="E223" s="33">
        <f t="shared" si="52"/>
        <v>999</v>
      </c>
      <c r="F223" s="33" t="str">
        <f>'Peak Models'!$B$4</f>
        <v>Default</v>
      </c>
      <c r="G223" s="33" t="e">
        <f>'Peak Models'!$Q$7</f>
        <v>#VALUE!</v>
      </c>
      <c r="H223" s="33">
        <f>'Peak Models'!$P$16</f>
        <v>1.5</v>
      </c>
      <c r="I223" s="33">
        <v>12</v>
      </c>
      <c r="J223" s="33" t="e">
        <f>'Peak Models'!$P$13</f>
        <v>#N/A</v>
      </c>
      <c r="K223" s="28" t="e">
        <f t="shared" si="53"/>
        <v>#VALUE!</v>
      </c>
      <c r="L223" s="28" t="e">
        <f>INDEX('Peak Models'!$P$34:$P$64, MATCH(TRUNC(B223, 0), 'Peak Models'!$O$34:$O$64, 0))</f>
        <v>#N/A</v>
      </c>
      <c r="M223" s="28">
        <f>'Peak Models'!$P$15*INDEX('Peak Models'!$Q$34:$Q$64, MATCH(TRUNC(B223, 0),'Peak Models'!$O$34:$O$64, 0))/'Profit per cycles Model'!$E$78</f>
        <v>5.3242739430147044</v>
      </c>
      <c r="N223" s="28" t="e">
        <f t="shared" si="54"/>
        <v>#N/A</v>
      </c>
      <c r="O223" s="71" t="e">
        <f>AVERAGE($N$10:N223)</f>
        <v>#N/A</v>
      </c>
      <c r="P223" s="28" t="e">
        <f t="shared" si="55"/>
        <v>#N/A</v>
      </c>
      <c r="R223" s="28" t="e">
        <f t="shared" si="56"/>
        <v>#VALUE!</v>
      </c>
      <c r="S223" s="25"/>
      <c r="T223" s="25">
        <f t="shared" si="57"/>
        <v>15</v>
      </c>
      <c r="U223" s="33">
        <f>IF(PaybackCustom&gt;0, IF(PaybackCustom&lt;&gt;"Default", PaybackCustom, IF(PaybackStatus&lt;&gt;"",INDEX('Arbitrage Payback Engine'!$Y$2:$Y$6,MATCH(PaybackStatus,'Arbitrage Payback Engine'!$X$2:$X$6,FALSE)),-1)))</f>
        <v>25</v>
      </c>
      <c r="V223" s="32">
        <f t="shared" si="66"/>
        <v>15</v>
      </c>
      <c r="X223" s="29">
        <f t="shared" si="67"/>
        <v>214</v>
      </c>
      <c r="Z223" s="30">
        <f t="shared" si="58"/>
        <v>5.8622106560745104</v>
      </c>
      <c r="AA223" s="28" t="e">
        <f t="shared" si="59"/>
        <v>#N/A</v>
      </c>
      <c r="AB223" s="28" t="e">
        <f t="shared" si="60"/>
        <v>#VALUE!</v>
      </c>
      <c r="AC223" s="29">
        <f t="shared" si="61"/>
        <v>203.03605313092982</v>
      </c>
      <c r="AD223" s="28" t="e">
        <f t="shared" si="62"/>
        <v>#VALUE!</v>
      </c>
      <c r="AE223" s="28" t="e">
        <f t="shared" si="63"/>
        <v>#N/A</v>
      </c>
      <c r="AF223" s="28" t="e">
        <f t="shared" si="64"/>
        <v>#VALUE!</v>
      </c>
      <c r="AH223" s="31" t="e">
        <f t="shared" si="65"/>
        <v>#N/A</v>
      </c>
      <c r="AI223" s="25"/>
      <c r="AJ223" s="31"/>
    </row>
    <row r="224" spans="2:36" x14ac:dyDescent="0.25">
      <c r="B224" s="33">
        <f>'Arbitrage Payback Engine'!E224</f>
        <v>5.8896041638131758</v>
      </c>
      <c r="C224" s="33">
        <f t="shared" si="51"/>
        <v>1000</v>
      </c>
      <c r="D224" s="33">
        <f>'Battery Pricing Model'!$C$17</f>
        <v>1000</v>
      </c>
      <c r="E224" s="33">
        <f t="shared" si="52"/>
        <v>999</v>
      </c>
      <c r="F224" s="33" t="str">
        <f>'Peak Models'!$B$4</f>
        <v>Default</v>
      </c>
      <c r="G224" s="33" t="e">
        <f>'Peak Models'!$Q$7</f>
        <v>#VALUE!</v>
      </c>
      <c r="H224" s="33">
        <f>'Peak Models'!$P$16</f>
        <v>1.5</v>
      </c>
      <c r="I224" s="33">
        <v>12</v>
      </c>
      <c r="J224" s="33" t="e">
        <f>'Peak Models'!$P$13</f>
        <v>#N/A</v>
      </c>
      <c r="K224" s="28" t="e">
        <f t="shared" si="53"/>
        <v>#VALUE!</v>
      </c>
      <c r="L224" s="28" t="e">
        <f>INDEX('Peak Models'!$P$34:$P$64, MATCH(TRUNC(B224, 0), 'Peak Models'!$O$34:$O$64, 0))</f>
        <v>#N/A</v>
      </c>
      <c r="M224" s="28">
        <f>'Peak Models'!$P$15*INDEX('Peak Models'!$Q$34:$Q$64, MATCH(TRUNC(B224, 0),'Peak Models'!$O$34:$O$64, 0))/'Profit per cycles Model'!$E$78</f>
        <v>5.3242739430147044</v>
      </c>
      <c r="N224" s="28" t="e">
        <f t="shared" si="54"/>
        <v>#N/A</v>
      </c>
      <c r="O224" s="71" t="e">
        <f>AVERAGE($N$10:N224)</f>
        <v>#N/A</v>
      </c>
      <c r="P224" s="28" t="e">
        <f t="shared" si="55"/>
        <v>#N/A</v>
      </c>
      <c r="R224" s="28" t="e">
        <f t="shared" si="56"/>
        <v>#VALUE!</v>
      </c>
      <c r="S224" s="25"/>
      <c r="T224" s="25">
        <f t="shared" si="57"/>
        <v>15</v>
      </c>
      <c r="U224" s="33">
        <f>IF(PaybackCustom&gt;0, IF(PaybackCustom&lt;&gt;"Default", PaybackCustom, IF(PaybackStatus&lt;&gt;"",INDEX('Arbitrage Payback Engine'!$Y$2:$Y$6,MATCH(PaybackStatus,'Arbitrage Payback Engine'!$X$2:$X$6,FALSE)),-1)))</f>
        <v>25</v>
      </c>
      <c r="V224" s="32">
        <f t="shared" si="66"/>
        <v>15</v>
      </c>
      <c r="X224" s="29">
        <f t="shared" si="67"/>
        <v>215</v>
      </c>
      <c r="Z224" s="30">
        <f t="shared" si="58"/>
        <v>5.8896041638131758</v>
      </c>
      <c r="AA224" s="28" t="e">
        <f t="shared" si="59"/>
        <v>#N/A</v>
      </c>
      <c r="AB224" s="28" t="e">
        <f t="shared" si="60"/>
        <v>#VALUE!</v>
      </c>
      <c r="AC224" s="29">
        <f t="shared" si="61"/>
        <v>203.98481973434534</v>
      </c>
      <c r="AD224" s="28" t="e">
        <f t="shared" si="62"/>
        <v>#VALUE!</v>
      </c>
      <c r="AE224" s="28" t="e">
        <f t="shared" si="63"/>
        <v>#N/A</v>
      </c>
      <c r="AF224" s="28" t="e">
        <f t="shared" si="64"/>
        <v>#VALUE!</v>
      </c>
      <c r="AH224" s="31" t="e">
        <f t="shared" si="65"/>
        <v>#N/A</v>
      </c>
      <c r="AI224" s="25"/>
      <c r="AJ224" s="31"/>
    </row>
    <row r="225" spans="2:36" x14ac:dyDescent="0.25">
      <c r="B225" s="33">
        <f>'Arbitrage Payback Engine'!E225</f>
        <v>5.916997671551842</v>
      </c>
      <c r="C225" s="33">
        <f t="shared" si="51"/>
        <v>1000</v>
      </c>
      <c r="D225" s="33">
        <f>'Battery Pricing Model'!$C$17</f>
        <v>1000</v>
      </c>
      <c r="E225" s="33">
        <f t="shared" si="52"/>
        <v>999</v>
      </c>
      <c r="F225" s="33" t="str">
        <f>'Peak Models'!$B$4</f>
        <v>Default</v>
      </c>
      <c r="G225" s="33" t="e">
        <f>'Peak Models'!$Q$7</f>
        <v>#VALUE!</v>
      </c>
      <c r="H225" s="33">
        <f>'Peak Models'!$P$16</f>
        <v>1.5</v>
      </c>
      <c r="I225" s="33">
        <v>12</v>
      </c>
      <c r="J225" s="33" t="e">
        <f>'Peak Models'!$P$13</f>
        <v>#N/A</v>
      </c>
      <c r="K225" s="28" t="e">
        <f t="shared" si="53"/>
        <v>#VALUE!</v>
      </c>
      <c r="L225" s="28" t="e">
        <f>INDEX('Peak Models'!$P$34:$P$64, MATCH(TRUNC(B225, 0), 'Peak Models'!$O$34:$O$64, 0))</f>
        <v>#N/A</v>
      </c>
      <c r="M225" s="28">
        <f>'Peak Models'!$P$15*INDEX('Peak Models'!$Q$34:$Q$64, MATCH(TRUNC(B225, 0),'Peak Models'!$O$34:$O$64, 0))/'Profit per cycles Model'!$E$78</f>
        <v>5.3242739430147044</v>
      </c>
      <c r="N225" s="28" t="e">
        <f t="shared" si="54"/>
        <v>#N/A</v>
      </c>
      <c r="O225" s="71" t="e">
        <f>AVERAGE($N$10:N225)</f>
        <v>#N/A</v>
      </c>
      <c r="P225" s="28" t="e">
        <f t="shared" si="55"/>
        <v>#N/A</v>
      </c>
      <c r="R225" s="28" t="e">
        <f t="shared" si="56"/>
        <v>#VALUE!</v>
      </c>
      <c r="S225" s="25"/>
      <c r="T225" s="25">
        <f t="shared" si="57"/>
        <v>15</v>
      </c>
      <c r="U225" s="33">
        <f>IF(PaybackCustom&gt;0, IF(PaybackCustom&lt;&gt;"Default", PaybackCustom, IF(PaybackStatus&lt;&gt;"",INDEX('Arbitrage Payback Engine'!$Y$2:$Y$6,MATCH(PaybackStatus,'Arbitrage Payback Engine'!$X$2:$X$6,FALSE)),-1)))</f>
        <v>25</v>
      </c>
      <c r="V225" s="32">
        <f t="shared" si="66"/>
        <v>15</v>
      </c>
      <c r="X225" s="29">
        <f t="shared" si="67"/>
        <v>216</v>
      </c>
      <c r="Z225" s="30">
        <f t="shared" si="58"/>
        <v>5.916997671551842</v>
      </c>
      <c r="AA225" s="28" t="e">
        <f t="shared" si="59"/>
        <v>#N/A</v>
      </c>
      <c r="AB225" s="28" t="e">
        <f t="shared" si="60"/>
        <v>#VALUE!</v>
      </c>
      <c r="AC225" s="29">
        <f t="shared" si="61"/>
        <v>204.93358633776091</v>
      </c>
      <c r="AD225" s="28" t="e">
        <f t="shared" si="62"/>
        <v>#VALUE!</v>
      </c>
      <c r="AE225" s="28" t="e">
        <f t="shared" si="63"/>
        <v>#N/A</v>
      </c>
      <c r="AF225" s="28" t="e">
        <f t="shared" si="64"/>
        <v>#VALUE!</v>
      </c>
      <c r="AH225" s="31" t="e">
        <f t="shared" si="65"/>
        <v>#N/A</v>
      </c>
      <c r="AI225" s="25"/>
      <c r="AJ225" s="31"/>
    </row>
    <row r="226" spans="2:36" x14ac:dyDescent="0.25">
      <c r="B226" s="33">
        <f>'Arbitrage Payback Engine'!E226</f>
        <v>5.9443911792905082</v>
      </c>
      <c r="C226" s="33">
        <f t="shared" si="51"/>
        <v>1000</v>
      </c>
      <c r="D226" s="33">
        <f>'Battery Pricing Model'!$C$17</f>
        <v>1000</v>
      </c>
      <c r="E226" s="33">
        <f t="shared" si="52"/>
        <v>999</v>
      </c>
      <c r="F226" s="33" t="str">
        <f>'Peak Models'!$B$4</f>
        <v>Default</v>
      </c>
      <c r="G226" s="33" t="e">
        <f>'Peak Models'!$Q$7</f>
        <v>#VALUE!</v>
      </c>
      <c r="H226" s="33">
        <f>'Peak Models'!$P$16</f>
        <v>1.5</v>
      </c>
      <c r="I226" s="33">
        <v>12</v>
      </c>
      <c r="J226" s="33" t="e">
        <f>'Peak Models'!$P$13</f>
        <v>#N/A</v>
      </c>
      <c r="K226" s="28" t="e">
        <f t="shared" si="53"/>
        <v>#VALUE!</v>
      </c>
      <c r="L226" s="28" t="e">
        <f>INDEX('Peak Models'!$P$34:$P$64, MATCH(TRUNC(B226, 0), 'Peak Models'!$O$34:$O$64, 0))</f>
        <v>#N/A</v>
      </c>
      <c r="M226" s="28">
        <f>'Peak Models'!$P$15*INDEX('Peak Models'!$Q$34:$Q$64, MATCH(TRUNC(B226, 0),'Peak Models'!$O$34:$O$64, 0))/'Profit per cycles Model'!$E$78</f>
        <v>5.3242739430147044</v>
      </c>
      <c r="N226" s="28" t="e">
        <f t="shared" si="54"/>
        <v>#N/A</v>
      </c>
      <c r="O226" s="71" t="e">
        <f>AVERAGE($N$10:N226)</f>
        <v>#N/A</v>
      </c>
      <c r="P226" s="28" t="e">
        <f t="shared" si="55"/>
        <v>#N/A</v>
      </c>
      <c r="R226" s="28" t="e">
        <f t="shared" si="56"/>
        <v>#VALUE!</v>
      </c>
      <c r="S226" s="25"/>
      <c r="T226" s="25">
        <f t="shared" si="57"/>
        <v>15</v>
      </c>
      <c r="U226" s="33">
        <f>IF(PaybackCustom&gt;0, IF(PaybackCustom&lt;&gt;"Default", PaybackCustom, IF(PaybackStatus&lt;&gt;"",INDEX('Arbitrage Payback Engine'!$Y$2:$Y$6,MATCH(PaybackStatus,'Arbitrage Payback Engine'!$X$2:$X$6,FALSE)),-1)))</f>
        <v>25</v>
      </c>
      <c r="V226" s="32">
        <f t="shared" si="66"/>
        <v>15</v>
      </c>
      <c r="X226" s="29">
        <f t="shared" si="67"/>
        <v>217</v>
      </c>
      <c r="Z226" s="30">
        <f t="shared" si="58"/>
        <v>5.9443911792905082</v>
      </c>
      <c r="AA226" s="28" t="e">
        <f t="shared" si="59"/>
        <v>#N/A</v>
      </c>
      <c r="AB226" s="28" t="e">
        <f t="shared" si="60"/>
        <v>#VALUE!</v>
      </c>
      <c r="AC226" s="29">
        <f t="shared" si="61"/>
        <v>205.88235294117649</v>
      </c>
      <c r="AD226" s="28" t="e">
        <f t="shared" si="62"/>
        <v>#VALUE!</v>
      </c>
      <c r="AE226" s="28" t="e">
        <f t="shared" si="63"/>
        <v>#N/A</v>
      </c>
      <c r="AF226" s="28" t="e">
        <f t="shared" si="64"/>
        <v>#VALUE!</v>
      </c>
      <c r="AH226" s="31" t="e">
        <f t="shared" si="65"/>
        <v>#N/A</v>
      </c>
      <c r="AI226" s="25"/>
      <c r="AJ226" s="31"/>
    </row>
    <row r="227" spans="2:36" x14ac:dyDescent="0.25">
      <c r="B227" s="33">
        <f>'Arbitrage Payback Engine'!E227</f>
        <v>5.9717846870291735</v>
      </c>
      <c r="C227" s="33">
        <f t="shared" si="51"/>
        <v>1000</v>
      </c>
      <c r="D227" s="33">
        <f>'Battery Pricing Model'!$C$17</f>
        <v>1000</v>
      </c>
      <c r="E227" s="33">
        <f t="shared" si="52"/>
        <v>999</v>
      </c>
      <c r="F227" s="33" t="str">
        <f>'Peak Models'!$B$4</f>
        <v>Default</v>
      </c>
      <c r="G227" s="33" t="e">
        <f>'Peak Models'!$Q$7</f>
        <v>#VALUE!</v>
      </c>
      <c r="H227" s="33">
        <f>'Peak Models'!$P$16</f>
        <v>1.5</v>
      </c>
      <c r="I227" s="33">
        <v>12</v>
      </c>
      <c r="J227" s="33" t="e">
        <f>'Peak Models'!$P$13</f>
        <v>#N/A</v>
      </c>
      <c r="K227" s="28" t="e">
        <f t="shared" si="53"/>
        <v>#VALUE!</v>
      </c>
      <c r="L227" s="28" t="e">
        <f>INDEX('Peak Models'!$P$34:$P$64, MATCH(TRUNC(B227, 0), 'Peak Models'!$O$34:$O$64, 0))</f>
        <v>#N/A</v>
      </c>
      <c r="M227" s="28">
        <f>'Peak Models'!$P$15*INDEX('Peak Models'!$Q$34:$Q$64, MATCH(TRUNC(B227, 0),'Peak Models'!$O$34:$O$64, 0))/'Profit per cycles Model'!$E$78</f>
        <v>5.3242739430147044</v>
      </c>
      <c r="N227" s="28" t="e">
        <f t="shared" si="54"/>
        <v>#N/A</v>
      </c>
      <c r="O227" s="71" t="e">
        <f>AVERAGE($N$10:N227)</f>
        <v>#N/A</v>
      </c>
      <c r="P227" s="28" t="e">
        <f t="shared" si="55"/>
        <v>#N/A</v>
      </c>
      <c r="R227" s="28" t="e">
        <f t="shared" si="56"/>
        <v>#VALUE!</v>
      </c>
      <c r="S227" s="25"/>
      <c r="T227" s="25">
        <f t="shared" si="57"/>
        <v>15</v>
      </c>
      <c r="U227" s="33">
        <f>IF(PaybackCustom&gt;0, IF(PaybackCustom&lt;&gt;"Default", PaybackCustom, IF(PaybackStatus&lt;&gt;"",INDEX('Arbitrage Payback Engine'!$Y$2:$Y$6,MATCH(PaybackStatus,'Arbitrage Payback Engine'!$X$2:$X$6,FALSE)),-1)))</f>
        <v>25</v>
      </c>
      <c r="V227" s="32">
        <f t="shared" si="66"/>
        <v>15</v>
      </c>
      <c r="X227" s="29">
        <f t="shared" si="67"/>
        <v>218</v>
      </c>
      <c r="Z227" s="30">
        <f t="shared" si="58"/>
        <v>5.9717846870291735</v>
      </c>
      <c r="AA227" s="28" t="e">
        <f t="shared" si="59"/>
        <v>#N/A</v>
      </c>
      <c r="AB227" s="28" t="e">
        <f t="shared" si="60"/>
        <v>#VALUE!</v>
      </c>
      <c r="AC227" s="29">
        <f t="shared" si="61"/>
        <v>206.83111954459201</v>
      </c>
      <c r="AD227" s="28" t="e">
        <f t="shared" si="62"/>
        <v>#VALUE!</v>
      </c>
      <c r="AE227" s="28" t="e">
        <f t="shared" si="63"/>
        <v>#N/A</v>
      </c>
      <c r="AF227" s="28" t="e">
        <f t="shared" si="64"/>
        <v>#VALUE!</v>
      </c>
      <c r="AH227" s="31" t="e">
        <f t="shared" si="65"/>
        <v>#N/A</v>
      </c>
      <c r="AI227" s="25"/>
      <c r="AJ227" s="31"/>
    </row>
    <row r="228" spans="2:36" x14ac:dyDescent="0.25">
      <c r="B228" s="33">
        <f>'Arbitrage Payback Engine'!E228</f>
        <v>5.9991781947678398</v>
      </c>
      <c r="C228" s="33">
        <f t="shared" si="51"/>
        <v>1000</v>
      </c>
      <c r="D228" s="33">
        <f>'Battery Pricing Model'!$C$17</f>
        <v>1000</v>
      </c>
      <c r="E228" s="33">
        <f t="shared" si="52"/>
        <v>999</v>
      </c>
      <c r="F228" s="33" t="str">
        <f>'Peak Models'!$B$4</f>
        <v>Default</v>
      </c>
      <c r="G228" s="33" t="e">
        <f>'Peak Models'!$Q$7</f>
        <v>#VALUE!</v>
      </c>
      <c r="H228" s="33">
        <f>'Peak Models'!$P$16</f>
        <v>1.5</v>
      </c>
      <c r="I228" s="33">
        <v>12</v>
      </c>
      <c r="J228" s="33" t="e">
        <f>'Peak Models'!$P$13</f>
        <v>#N/A</v>
      </c>
      <c r="K228" s="28" t="e">
        <f t="shared" si="53"/>
        <v>#VALUE!</v>
      </c>
      <c r="L228" s="28" t="e">
        <f>INDEX('Peak Models'!$P$34:$P$64, MATCH(TRUNC(B228, 0), 'Peak Models'!$O$34:$O$64, 0))</f>
        <v>#N/A</v>
      </c>
      <c r="M228" s="28">
        <f>'Peak Models'!$P$15*INDEX('Peak Models'!$Q$34:$Q$64, MATCH(TRUNC(B228, 0),'Peak Models'!$O$34:$O$64, 0))/'Profit per cycles Model'!$E$78</f>
        <v>5.3242739430147044</v>
      </c>
      <c r="N228" s="28" t="e">
        <f t="shared" si="54"/>
        <v>#N/A</v>
      </c>
      <c r="O228" s="71" t="e">
        <f>AVERAGE($N$10:N228)</f>
        <v>#N/A</v>
      </c>
      <c r="P228" s="28" t="e">
        <f t="shared" si="55"/>
        <v>#N/A</v>
      </c>
      <c r="R228" s="28" t="e">
        <f t="shared" si="56"/>
        <v>#VALUE!</v>
      </c>
      <c r="S228" s="25"/>
      <c r="T228" s="25">
        <f t="shared" si="57"/>
        <v>15</v>
      </c>
      <c r="U228" s="33">
        <f>IF(PaybackCustom&gt;0, IF(PaybackCustom&lt;&gt;"Default", PaybackCustom, IF(PaybackStatus&lt;&gt;"",INDEX('Arbitrage Payback Engine'!$Y$2:$Y$6,MATCH(PaybackStatus,'Arbitrage Payback Engine'!$X$2:$X$6,FALSE)),-1)))</f>
        <v>25</v>
      </c>
      <c r="V228" s="32">
        <f t="shared" si="66"/>
        <v>15</v>
      </c>
      <c r="X228" s="29">
        <f t="shared" si="67"/>
        <v>219</v>
      </c>
      <c r="Z228" s="30">
        <f t="shared" si="58"/>
        <v>5.9991781947678398</v>
      </c>
      <c r="AA228" s="28" t="e">
        <f t="shared" si="59"/>
        <v>#N/A</v>
      </c>
      <c r="AB228" s="28" t="e">
        <f t="shared" si="60"/>
        <v>#VALUE!</v>
      </c>
      <c r="AC228" s="29">
        <f t="shared" si="61"/>
        <v>207.77988614800759</v>
      </c>
      <c r="AD228" s="28" t="e">
        <f t="shared" si="62"/>
        <v>#VALUE!</v>
      </c>
      <c r="AE228" s="28" t="e">
        <f t="shared" si="63"/>
        <v>#N/A</v>
      </c>
      <c r="AF228" s="28" t="e">
        <f t="shared" si="64"/>
        <v>#VALUE!</v>
      </c>
      <c r="AH228" s="31" t="e">
        <f t="shared" si="65"/>
        <v>#N/A</v>
      </c>
      <c r="AI228" s="25"/>
      <c r="AJ228" s="31"/>
    </row>
    <row r="229" spans="2:36" x14ac:dyDescent="0.25">
      <c r="B229" s="33">
        <f>'Arbitrage Payback Engine'!E229</f>
        <v>6.026571702506506</v>
      </c>
      <c r="C229" s="33">
        <f t="shared" si="51"/>
        <v>1000</v>
      </c>
      <c r="D229" s="33">
        <f>'Battery Pricing Model'!$C$17</f>
        <v>1000</v>
      </c>
      <c r="E229" s="33">
        <f t="shared" si="52"/>
        <v>999</v>
      </c>
      <c r="F229" s="33" t="str">
        <f>'Peak Models'!$B$4</f>
        <v>Default</v>
      </c>
      <c r="G229" s="33" t="e">
        <f>'Peak Models'!$Q$7</f>
        <v>#VALUE!</v>
      </c>
      <c r="H229" s="33">
        <f>'Peak Models'!$P$16</f>
        <v>1.5</v>
      </c>
      <c r="I229" s="33">
        <v>12</v>
      </c>
      <c r="J229" s="33" t="e">
        <f>'Peak Models'!$P$13</f>
        <v>#N/A</v>
      </c>
      <c r="K229" s="28" t="e">
        <f t="shared" si="53"/>
        <v>#VALUE!</v>
      </c>
      <c r="L229" s="28" t="e">
        <f>INDEX('Peak Models'!$P$34:$P$64, MATCH(TRUNC(B229, 0), 'Peak Models'!$O$34:$O$64, 0))</f>
        <v>#N/A</v>
      </c>
      <c r="M229" s="28">
        <f>'Peak Models'!$P$15*INDEX('Peak Models'!$Q$34:$Q$64, MATCH(TRUNC(B229, 0),'Peak Models'!$O$34:$O$64, 0))/'Profit per cycles Model'!$E$78</f>
        <v>5.4573807915900714</v>
      </c>
      <c r="N229" s="28" t="e">
        <f t="shared" si="54"/>
        <v>#N/A</v>
      </c>
      <c r="O229" s="71" t="e">
        <f>AVERAGE($N$10:N229)</f>
        <v>#N/A</v>
      </c>
      <c r="P229" s="28" t="e">
        <f t="shared" si="55"/>
        <v>#N/A</v>
      </c>
      <c r="R229" s="28" t="e">
        <f t="shared" si="56"/>
        <v>#VALUE!</v>
      </c>
      <c r="S229" s="25"/>
      <c r="T229" s="25">
        <f t="shared" si="57"/>
        <v>15</v>
      </c>
      <c r="U229" s="33">
        <f>IF(PaybackCustom&gt;0, IF(PaybackCustom&lt;&gt;"Default", PaybackCustom, IF(PaybackStatus&lt;&gt;"",INDEX('Arbitrage Payback Engine'!$Y$2:$Y$6,MATCH(PaybackStatus,'Arbitrage Payback Engine'!$X$2:$X$6,FALSE)),-1)))</f>
        <v>25</v>
      </c>
      <c r="V229" s="32">
        <f t="shared" si="66"/>
        <v>15</v>
      </c>
      <c r="X229" s="29">
        <f t="shared" si="67"/>
        <v>220</v>
      </c>
      <c r="Z229" s="30">
        <f t="shared" si="58"/>
        <v>6.026571702506506</v>
      </c>
      <c r="AA229" s="28" t="e">
        <f t="shared" si="59"/>
        <v>#N/A</v>
      </c>
      <c r="AB229" s="28" t="e">
        <f t="shared" si="60"/>
        <v>#VALUE!</v>
      </c>
      <c r="AC229" s="29">
        <f t="shared" si="61"/>
        <v>208.72865275142317</v>
      </c>
      <c r="AD229" s="28" t="e">
        <f t="shared" si="62"/>
        <v>#VALUE!</v>
      </c>
      <c r="AE229" s="28" t="e">
        <f t="shared" si="63"/>
        <v>#N/A</v>
      </c>
      <c r="AF229" s="28" t="e">
        <f t="shared" si="64"/>
        <v>#VALUE!</v>
      </c>
      <c r="AH229" s="31" t="e">
        <f t="shared" si="65"/>
        <v>#N/A</v>
      </c>
      <c r="AI229" s="25"/>
      <c r="AJ229" s="31"/>
    </row>
    <row r="230" spans="2:36" x14ac:dyDescent="0.25">
      <c r="B230" s="33">
        <f>'Arbitrage Payback Engine'!E230</f>
        <v>6.0539652102451713</v>
      </c>
      <c r="C230" s="33">
        <f t="shared" si="51"/>
        <v>1000</v>
      </c>
      <c r="D230" s="33">
        <f>'Battery Pricing Model'!$C$17</f>
        <v>1000</v>
      </c>
      <c r="E230" s="33">
        <f t="shared" si="52"/>
        <v>999</v>
      </c>
      <c r="F230" s="33" t="str">
        <f>'Peak Models'!$B$4</f>
        <v>Default</v>
      </c>
      <c r="G230" s="33" t="e">
        <f>'Peak Models'!$Q$7</f>
        <v>#VALUE!</v>
      </c>
      <c r="H230" s="33">
        <f>'Peak Models'!$P$16</f>
        <v>1.5</v>
      </c>
      <c r="I230" s="33">
        <v>12</v>
      </c>
      <c r="J230" s="33" t="e">
        <f>'Peak Models'!$P$13</f>
        <v>#N/A</v>
      </c>
      <c r="K230" s="28" t="e">
        <f t="shared" si="53"/>
        <v>#VALUE!</v>
      </c>
      <c r="L230" s="28" t="e">
        <f>INDEX('Peak Models'!$P$34:$P$64, MATCH(TRUNC(B230, 0), 'Peak Models'!$O$34:$O$64, 0))</f>
        <v>#N/A</v>
      </c>
      <c r="M230" s="28">
        <f>'Peak Models'!$P$15*INDEX('Peak Models'!$Q$34:$Q$64, MATCH(TRUNC(B230, 0),'Peak Models'!$O$34:$O$64, 0))/'Profit per cycles Model'!$E$78</f>
        <v>5.4573807915900714</v>
      </c>
      <c r="N230" s="28" t="e">
        <f t="shared" si="54"/>
        <v>#N/A</v>
      </c>
      <c r="O230" s="71" t="e">
        <f>AVERAGE($N$10:N230)</f>
        <v>#N/A</v>
      </c>
      <c r="P230" s="28" t="e">
        <f t="shared" si="55"/>
        <v>#N/A</v>
      </c>
      <c r="R230" s="28" t="e">
        <f t="shared" si="56"/>
        <v>#VALUE!</v>
      </c>
      <c r="S230" s="25"/>
      <c r="T230" s="25">
        <f t="shared" si="57"/>
        <v>15</v>
      </c>
      <c r="U230" s="33">
        <f>IF(PaybackCustom&gt;0, IF(PaybackCustom&lt;&gt;"Default", PaybackCustom, IF(PaybackStatus&lt;&gt;"",INDEX('Arbitrage Payback Engine'!$Y$2:$Y$6,MATCH(PaybackStatus,'Arbitrage Payback Engine'!$X$2:$X$6,FALSE)),-1)))</f>
        <v>25</v>
      </c>
      <c r="V230" s="32">
        <f t="shared" si="66"/>
        <v>15</v>
      </c>
      <c r="X230" s="29">
        <f t="shared" si="67"/>
        <v>221</v>
      </c>
      <c r="Z230" s="30">
        <f t="shared" si="58"/>
        <v>6.0539652102451713</v>
      </c>
      <c r="AA230" s="28" t="e">
        <f t="shared" si="59"/>
        <v>#N/A</v>
      </c>
      <c r="AB230" s="28" t="e">
        <f t="shared" si="60"/>
        <v>#VALUE!</v>
      </c>
      <c r="AC230" s="29">
        <f t="shared" si="61"/>
        <v>209.67741935483869</v>
      </c>
      <c r="AD230" s="28" t="e">
        <f t="shared" si="62"/>
        <v>#VALUE!</v>
      </c>
      <c r="AE230" s="28" t="e">
        <f t="shared" si="63"/>
        <v>#N/A</v>
      </c>
      <c r="AF230" s="28" t="e">
        <f t="shared" si="64"/>
        <v>#VALUE!</v>
      </c>
      <c r="AH230" s="31" t="e">
        <f t="shared" si="65"/>
        <v>#N/A</v>
      </c>
      <c r="AI230" s="25"/>
      <c r="AJ230" s="31"/>
    </row>
    <row r="231" spans="2:36" x14ac:dyDescent="0.25">
      <c r="B231" s="33">
        <f>'Arbitrage Payback Engine'!E231</f>
        <v>6.0813587179838375</v>
      </c>
      <c r="C231" s="33">
        <f t="shared" si="51"/>
        <v>1000</v>
      </c>
      <c r="D231" s="33">
        <f>'Battery Pricing Model'!$C$17</f>
        <v>1000</v>
      </c>
      <c r="E231" s="33">
        <f t="shared" si="52"/>
        <v>999</v>
      </c>
      <c r="F231" s="33" t="str">
        <f>'Peak Models'!$B$4</f>
        <v>Default</v>
      </c>
      <c r="G231" s="33" t="e">
        <f>'Peak Models'!$Q$7</f>
        <v>#VALUE!</v>
      </c>
      <c r="H231" s="33">
        <f>'Peak Models'!$P$16</f>
        <v>1.5</v>
      </c>
      <c r="I231" s="33">
        <v>12</v>
      </c>
      <c r="J231" s="33" t="e">
        <f>'Peak Models'!$P$13</f>
        <v>#N/A</v>
      </c>
      <c r="K231" s="28" t="e">
        <f t="shared" si="53"/>
        <v>#VALUE!</v>
      </c>
      <c r="L231" s="28" t="e">
        <f>INDEX('Peak Models'!$P$34:$P$64, MATCH(TRUNC(B231, 0), 'Peak Models'!$O$34:$O$64, 0))</f>
        <v>#N/A</v>
      </c>
      <c r="M231" s="28">
        <f>'Peak Models'!$P$15*INDEX('Peak Models'!$Q$34:$Q$64, MATCH(TRUNC(B231, 0),'Peak Models'!$O$34:$O$64, 0))/'Profit per cycles Model'!$E$78</f>
        <v>5.4573807915900714</v>
      </c>
      <c r="N231" s="28" t="e">
        <f t="shared" si="54"/>
        <v>#N/A</v>
      </c>
      <c r="O231" s="71" t="e">
        <f>AVERAGE($N$10:N231)</f>
        <v>#N/A</v>
      </c>
      <c r="P231" s="28" t="e">
        <f t="shared" si="55"/>
        <v>#N/A</v>
      </c>
      <c r="R231" s="28" t="e">
        <f t="shared" si="56"/>
        <v>#VALUE!</v>
      </c>
      <c r="S231" s="25"/>
      <c r="T231" s="25">
        <f t="shared" si="57"/>
        <v>15</v>
      </c>
      <c r="U231" s="33">
        <f>IF(PaybackCustom&gt;0, IF(PaybackCustom&lt;&gt;"Default", PaybackCustom, IF(PaybackStatus&lt;&gt;"",INDEX('Arbitrage Payback Engine'!$Y$2:$Y$6,MATCH(PaybackStatus,'Arbitrage Payback Engine'!$X$2:$X$6,FALSE)),-1)))</f>
        <v>25</v>
      </c>
      <c r="V231" s="32">
        <f t="shared" si="66"/>
        <v>15</v>
      </c>
      <c r="X231" s="29">
        <f t="shared" si="67"/>
        <v>222</v>
      </c>
      <c r="Z231" s="30">
        <f t="shared" si="58"/>
        <v>6.0813587179838375</v>
      </c>
      <c r="AA231" s="28" t="e">
        <f t="shared" si="59"/>
        <v>#N/A</v>
      </c>
      <c r="AB231" s="28" t="e">
        <f t="shared" si="60"/>
        <v>#VALUE!</v>
      </c>
      <c r="AC231" s="29">
        <f t="shared" si="61"/>
        <v>210.62618595825427</v>
      </c>
      <c r="AD231" s="28" t="e">
        <f t="shared" si="62"/>
        <v>#VALUE!</v>
      </c>
      <c r="AE231" s="28" t="e">
        <f t="shared" si="63"/>
        <v>#N/A</v>
      </c>
      <c r="AF231" s="28" t="e">
        <f t="shared" si="64"/>
        <v>#VALUE!</v>
      </c>
      <c r="AH231" s="31" t="e">
        <f t="shared" si="65"/>
        <v>#N/A</v>
      </c>
      <c r="AI231" s="25"/>
      <c r="AJ231" s="31"/>
    </row>
    <row r="232" spans="2:36" x14ac:dyDescent="0.25">
      <c r="B232" s="33">
        <f>'Arbitrage Payback Engine'!E232</f>
        <v>6.1087522257225038</v>
      </c>
      <c r="C232" s="33">
        <f t="shared" si="51"/>
        <v>1000</v>
      </c>
      <c r="D232" s="33">
        <f>'Battery Pricing Model'!$C$17</f>
        <v>1000</v>
      </c>
      <c r="E232" s="33">
        <f t="shared" si="52"/>
        <v>999</v>
      </c>
      <c r="F232" s="33" t="str">
        <f>'Peak Models'!$B$4</f>
        <v>Default</v>
      </c>
      <c r="G232" s="33" t="e">
        <f>'Peak Models'!$Q$7</f>
        <v>#VALUE!</v>
      </c>
      <c r="H232" s="33">
        <f>'Peak Models'!$P$16</f>
        <v>1.5</v>
      </c>
      <c r="I232" s="33">
        <v>12</v>
      </c>
      <c r="J232" s="33" t="e">
        <f>'Peak Models'!$P$13</f>
        <v>#N/A</v>
      </c>
      <c r="K232" s="28" t="e">
        <f t="shared" si="53"/>
        <v>#VALUE!</v>
      </c>
      <c r="L232" s="28" t="e">
        <f>INDEX('Peak Models'!$P$34:$P$64, MATCH(TRUNC(B232, 0), 'Peak Models'!$O$34:$O$64, 0))</f>
        <v>#N/A</v>
      </c>
      <c r="M232" s="28">
        <f>'Peak Models'!$P$15*INDEX('Peak Models'!$Q$34:$Q$64, MATCH(TRUNC(B232, 0),'Peak Models'!$O$34:$O$64, 0))/'Profit per cycles Model'!$E$78</f>
        <v>5.4573807915900714</v>
      </c>
      <c r="N232" s="28" t="e">
        <f t="shared" si="54"/>
        <v>#N/A</v>
      </c>
      <c r="O232" s="71" t="e">
        <f>AVERAGE($N$10:N232)</f>
        <v>#N/A</v>
      </c>
      <c r="P232" s="28" t="e">
        <f t="shared" si="55"/>
        <v>#N/A</v>
      </c>
      <c r="R232" s="28" t="e">
        <f t="shared" si="56"/>
        <v>#VALUE!</v>
      </c>
      <c r="S232" s="25"/>
      <c r="T232" s="25">
        <f t="shared" si="57"/>
        <v>15</v>
      </c>
      <c r="U232" s="33">
        <f>IF(PaybackCustom&gt;0, IF(PaybackCustom&lt;&gt;"Default", PaybackCustom, IF(PaybackStatus&lt;&gt;"",INDEX('Arbitrage Payback Engine'!$Y$2:$Y$6,MATCH(PaybackStatus,'Arbitrage Payback Engine'!$X$2:$X$6,FALSE)),-1)))</f>
        <v>25</v>
      </c>
      <c r="V232" s="32">
        <f t="shared" si="66"/>
        <v>15</v>
      </c>
      <c r="X232" s="29">
        <f t="shared" si="67"/>
        <v>223</v>
      </c>
      <c r="Z232" s="30">
        <f t="shared" si="58"/>
        <v>6.1087522257225038</v>
      </c>
      <c r="AA232" s="28" t="e">
        <f t="shared" si="59"/>
        <v>#N/A</v>
      </c>
      <c r="AB232" s="28" t="e">
        <f t="shared" si="60"/>
        <v>#VALUE!</v>
      </c>
      <c r="AC232" s="29">
        <f t="shared" si="61"/>
        <v>211.57495256166985</v>
      </c>
      <c r="AD232" s="28" t="e">
        <f t="shared" si="62"/>
        <v>#VALUE!</v>
      </c>
      <c r="AE232" s="28" t="e">
        <f t="shared" si="63"/>
        <v>#N/A</v>
      </c>
      <c r="AF232" s="28" t="e">
        <f t="shared" si="64"/>
        <v>#VALUE!</v>
      </c>
      <c r="AH232" s="31" t="e">
        <f t="shared" si="65"/>
        <v>#N/A</v>
      </c>
      <c r="AI232" s="25"/>
      <c r="AJ232" s="31"/>
    </row>
    <row r="233" spans="2:36" x14ac:dyDescent="0.25">
      <c r="B233" s="33">
        <f>'Arbitrage Payback Engine'!E233</f>
        <v>6.1361457334611691</v>
      </c>
      <c r="C233" s="33">
        <f t="shared" si="51"/>
        <v>1000</v>
      </c>
      <c r="D233" s="33">
        <f>'Battery Pricing Model'!$C$17</f>
        <v>1000</v>
      </c>
      <c r="E233" s="33">
        <f t="shared" si="52"/>
        <v>999</v>
      </c>
      <c r="F233" s="33" t="str">
        <f>'Peak Models'!$B$4</f>
        <v>Default</v>
      </c>
      <c r="G233" s="33" t="e">
        <f>'Peak Models'!$Q$7</f>
        <v>#VALUE!</v>
      </c>
      <c r="H233" s="33">
        <f>'Peak Models'!$P$16</f>
        <v>1.5</v>
      </c>
      <c r="I233" s="33">
        <v>12</v>
      </c>
      <c r="J233" s="33" t="e">
        <f>'Peak Models'!$P$13</f>
        <v>#N/A</v>
      </c>
      <c r="K233" s="28" t="e">
        <f t="shared" si="53"/>
        <v>#VALUE!</v>
      </c>
      <c r="L233" s="28" t="e">
        <f>INDEX('Peak Models'!$P$34:$P$64, MATCH(TRUNC(B233, 0), 'Peak Models'!$O$34:$O$64, 0))</f>
        <v>#N/A</v>
      </c>
      <c r="M233" s="28">
        <f>'Peak Models'!$P$15*INDEX('Peak Models'!$Q$34:$Q$64, MATCH(TRUNC(B233, 0),'Peak Models'!$O$34:$O$64, 0))/'Profit per cycles Model'!$E$78</f>
        <v>5.4573807915900714</v>
      </c>
      <c r="N233" s="28" t="e">
        <f t="shared" si="54"/>
        <v>#N/A</v>
      </c>
      <c r="O233" s="71" t="e">
        <f>AVERAGE($N$10:N233)</f>
        <v>#N/A</v>
      </c>
      <c r="P233" s="28" t="e">
        <f t="shared" si="55"/>
        <v>#N/A</v>
      </c>
      <c r="R233" s="28" t="e">
        <f t="shared" si="56"/>
        <v>#VALUE!</v>
      </c>
      <c r="S233" s="25"/>
      <c r="T233" s="25">
        <f t="shared" si="57"/>
        <v>15</v>
      </c>
      <c r="U233" s="33">
        <f>IF(PaybackCustom&gt;0, IF(PaybackCustom&lt;&gt;"Default", PaybackCustom, IF(PaybackStatus&lt;&gt;"",INDEX('Arbitrage Payback Engine'!$Y$2:$Y$6,MATCH(PaybackStatus,'Arbitrage Payback Engine'!$X$2:$X$6,FALSE)),-1)))</f>
        <v>25</v>
      </c>
      <c r="V233" s="32">
        <f t="shared" si="66"/>
        <v>15</v>
      </c>
      <c r="X233" s="29">
        <f t="shared" si="67"/>
        <v>224</v>
      </c>
      <c r="Z233" s="30">
        <f t="shared" si="58"/>
        <v>6.1361457334611691</v>
      </c>
      <c r="AA233" s="28" t="e">
        <f t="shared" si="59"/>
        <v>#N/A</v>
      </c>
      <c r="AB233" s="28" t="e">
        <f t="shared" si="60"/>
        <v>#VALUE!</v>
      </c>
      <c r="AC233" s="29">
        <f t="shared" si="61"/>
        <v>212.52371916508537</v>
      </c>
      <c r="AD233" s="28" t="e">
        <f t="shared" si="62"/>
        <v>#VALUE!</v>
      </c>
      <c r="AE233" s="28" t="e">
        <f t="shared" si="63"/>
        <v>#N/A</v>
      </c>
      <c r="AF233" s="28" t="e">
        <f t="shared" si="64"/>
        <v>#VALUE!</v>
      </c>
      <c r="AH233" s="31" t="e">
        <f t="shared" si="65"/>
        <v>#N/A</v>
      </c>
      <c r="AI233" s="25"/>
      <c r="AJ233" s="31"/>
    </row>
    <row r="234" spans="2:36" x14ac:dyDescent="0.25">
      <c r="B234" s="33">
        <f>'Arbitrage Payback Engine'!E234</f>
        <v>6.1635392411998353</v>
      </c>
      <c r="C234" s="33">
        <f t="shared" si="51"/>
        <v>1000</v>
      </c>
      <c r="D234" s="33">
        <f>'Battery Pricing Model'!$C$17</f>
        <v>1000</v>
      </c>
      <c r="E234" s="33">
        <f t="shared" si="52"/>
        <v>999</v>
      </c>
      <c r="F234" s="33" t="str">
        <f>'Peak Models'!$B$4</f>
        <v>Default</v>
      </c>
      <c r="G234" s="33" t="e">
        <f>'Peak Models'!$Q$7</f>
        <v>#VALUE!</v>
      </c>
      <c r="H234" s="33">
        <f>'Peak Models'!$P$16</f>
        <v>1.5</v>
      </c>
      <c r="I234" s="33">
        <v>12</v>
      </c>
      <c r="J234" s="33" t="e">
        <f>'Peak Models'!$P$13</f>
        <v>#N/A</v>
      </c>
      <c r="K234" s="28" t="e">
        <f t="shared" si="53"/>
        <v>#VALUE!</v>
      </c>
      <c r="L234" s="28" t="e">
        <f>INDEX('Peak Models'!$P$34:$P$64, MATCH(TRUNC(B234, 0), 'Peak Models'!$O$34:$O$64, 0))</f>
        <v>#N/A</v>
      </c>
      <c r="M234" s="28">
        <f>'Peak Models'!$P$15*INDEX('Peak Models'!$Q$34:$Q$64, MATCH(TRUNC(B234, 0),'Peak Models'!$O$34:$O$64, 0))/'Profit per cycles Model'!$E$78</f>
        <v>5.4573807915900714</v>
      </c>
      <c r="N234" s="28" t="e">
        <f t="shared" si="54"/>
        <v>#N/A</v>
      </c>
      <c r="O234" s="71" t="e">
        <f>AVERAGE($N$10:N234)</f>
        <v>#N/A</v>
      </c>
      <c r="P234" s="28" t="e">
        <f t="shared" si="55"/>
        <v>#N/A</v>
      </c>
      <c r="R234" s="28" t="e">
        <f t="shared" si="56"/>
        <v>#VALUE!</v>
      </c>
      <c r="S234" s="25"/>
      <c r="T234" s="25">
        <f t="shared" si="57"/>
        <v>15</v>
      </c>
      <c r="U234" s="33">
        <f>IF(PaybackCustom&gt;0, IF(PaybackCustom&lt;&gt;"Default", PaybackCustom, IF(PaybackStatus&lt;&gt;"",INDEX('Arbitrage Payback Engine'!$Y$2:$Y$6,MATCH(PaybackStatus,'Arbitrage Payback Engine'!$X$2:$X$6,FALSE)),-1)))</f>
        <v>25</v>
      </c>
      <c r="V234" s="32">
        <f t="shared" si="66"/>
        <v>15</v>
      </c>
      <c r="X234" s="29">
        <f t="shared" si="67"/>
        <v>225</v>
      </c>
      <c r="Z234" s="30">
        <f t="shared" si="58"/>
        <v>6.1635392411998353</v>
      </c>
      <c r="AA234" s="28" t="e">
        <f t="shared" si="59"/>
        <v>#N/A</v>
      </c>
      <c r="AB234" s="28" t="e">
        <f t="shared" si="60"/>
        <v>#VALUE!</v>
      </c>
      <c r="AC234" s="29">
        <f t="shared" si="61"/>
        <v>213.47248576850095</v>
      </c>
      <c r="AD234" s="28" t="e">
        <f t="shared" si="62"/>
        <v>#VALUE!</v>
      </c>
      <c r="AE234" s="28" t="e">
        <f t="shared" si="63"/>
        <v>#N/A</v>
      </c>
      <c r="AF234" s="28" t="e">
        <f t="shared" si="64"/>
        <v>#VALUE!</v>
      </c>
      <c r="AH234" s="31" t="e">
        <f t="shared" si="65"/>
        <v>#N/A</v>
      </c>
      <c r="AI234" s="25"/>
      <c r="AJ234" s="31"/>
    </row>
    <row r="235" spans="2:36" x14ac:dyDescent="0.25">
      <c r="B235" s="33">
        <f>'Arbitrage Payback Engine'!E235</f>
        <v>6.1909327489385015</v>
      </c>
      <c r="C235" s="33">
        <f t="shared" si="51"/>
        <v>1000</v>
      </c>
      <c r="D235" s="33">
        <f>'Battery Pricing Model'!$C$17</f>
        <v>1000</v>
      </c>
      <c r="E235" s="33">
        <f t="shared" si="52"/>
        <v>999</v>
      </c>
      <c r="F235" s="33" t="str">
        <f>'Peak Models'!$B$4</f>
        <v>Default</v>
      </c>
      <c r="G235" s="33" t="e">
        <f>'Peak Models'!$Q$7</f>
        <v>#VALUE!</v>
      </c>
      <c r="H235" s="33">
        <f>'Peak Models'!$P$16</f>
        <v>1.5</v>
      </c>
      <c r="I235" s="33">
        <v>12</v>
      </c>
      <c r="J235" s="33" t="e">
        <f>'Peak Models'!$P$13</f>
        <v>#N/A</v>
      </c>
      <c r="K235" s="28" t="e">
        <f t="shared" si="53"/>
        <v>#VALUE!</v>
      </c>
      <c r="L235" s="28" t="e">
        <f>INDEX('Peak Models'!$P$34:$P$64, MATCH(TRUNC(B235, 0), 'Peak Models'!$O$34:$O$64, 0))</f>
        <v>#N/A</v>
      </c>
      <c r="M235" s="28">
        <f>'Peak Models'!$P$15*INDEX('Peak Models'!$Q$34:$Q$64, MATCH(TRUNC(B235, 0),'Peak Models'!$O$34:$O$64, 0))/'Profit per cycles Model'!$E$78</f>
        <v>5.4573807915900714</v>
      </c>
      <c r="N235" s="28" t="e">
        <f t="shared" si="54"/>
        <v>#N/A</v>
      </c>
      <c r="O235" s="71" t="e">
        <f>AVERAGE($N$10:N235)</f>
        <v>#N/A</v>
      </c>
      <c r="P235" s="28" t="e">
        <f t="shared" si="55"/>
        <v>#N/A</v>
      </c>
      <c r="R235" s="28" t="e">
        <f t="shared" si="56"/>
        <v>#VALUE!</v>
      </c>
      <c r="S235" s="25"/>
      <c r="T235" s="25">
        <f t="shared" si="57"/>
        <v>15</v>
      </c>
      <c r="U235" s="33">
        <f>IF(PaybackCustom&gt;0, IF(PaybackCustom&lt;&gt;"Default", PaybackCustom, IF(PaybackStatus&lt;&gt;"",INDEX('Arbitrage Payback Engine'!$Y$2:$Y$6,MATCH(PaybackStatus,'Arbitrage Payback Engine'!$X$2:$X$6,FALSE)),-1)))</f>
        <v>25</v>
      </c>
      <c r="V235" s="32">
        <f t="shared" si="66"/>
        <v>15</v>
      </c>
      <c r="X235" s="29">
        <f t="shared" si="67"/>
        <v>226</v>
      </c>
      <c r="Z235" s="30">
        <f t="shared" si="58"/>
        <v>6.1909327489385015</v>
      </c>
      <c r="AA235" s="28" t="e">
        <f t="shared" si="59"/>
        <v>#N/A</v>
      </c>
      <c r="AB235" s="28" t="e">
        <f t="shared" si="60"/>
        <v>#VALUE!</v>
      </c>
      <c r="AC235" s="29">
        <f t="shared" si="61"/>
        <v>214.42125237191652</v>
      </c>
      <c r="AD235" s="28" t="e">
        <f t="shared" si="62"/>
        <v>#VALUE!</v>
      </c>
      <c r="AE235" s="28" t="e">
        <f t="shared" si="63"/>
        <v>#N/A</v>
      </c>
      <c r="AF235" s="28" t="e">
        <f t="shared" si="64"/>
        <v>#VALUE!</v>
      </c>
      <c r="AH235" s="31" t="e">
        <f t="shared" si="65"/>
        <v>#N/A</v>
      </c>
      <c r="AI235" s="25"/>
      <c r="AJ235" s="31"/>
    </row>
    <row r="236" spans="2:36" x14ac:dyDescent="0.25">
      <c r="B236" s="33">
        <f>'Arbitrage Payback Engine'!E236</f>
        <v>6.2183262566771669</v>
      </c>
      <c r="C236" s="33">
        <f t="shared" si="51"/>
        <v>1000</v>
      </c>
      <c r="D236" s="33">
        <f>'Battery Pricing Model'!$C$17</f>
        <v>1000</v>
      </c>
      <c r="E236" s="33">
        <f t="shared" si="52"/>
        <v>999</v>
      </c>
      <c r="F236" s="33" t="str">
        <f>'Peak Models'!$B$4</f>
        <v>Default</v>
      </c>
      <c r="G236" s="33" t="e">
        <f>'Peak Models'!$Q$7</f>
        <v>#VALUE!</v>
      </c>
      <c r="H236" s="33">
        <f>'Peak Models'!$P$16</f>
        <v>1.5</v>
      </c>
      <c r="I236" s="33">
        <v>12</v>
      </c>
      <c r="J236" s="33" t="e">
        <f>'Peak Models'!$P$13</f>
        <v>#N/A</v>
      </c>
      <c r="K236" s="28" t="e">
        <f t="shared" si="53"/>
        <v>#VALUE!</v>
      </c>
      <c r="L236" s="28" t="e">
        <f>INDEX('Peak Models'!$P$34:$P$64, MATCH(TRUNC(B236, 0), 'Peak Models'!$O$34:$O$64, 0))</f>
        <v>#N/A</v>
      </c>
      <c r="M236" s="28">
        <f>'Peak Models'!$P$15*INDEX('Peak Models'!$Q$34:$Q$64, MATCH(TRUNC(B236, 0),'Peak Models'!$O$34:$O$64, 0))/'Profit per cycles Model'!$E$78</f>
        <v>5.4573807915900714</v>
      </c>
      <c r="N236" s="28" t="e">
        <f t="shared" si="54"/>
        <v>#N/A</v>
      </c>
      <c r="O236" s="71" t="e">
        <f>AVERAGE($N$10:N236)</f>
        <v>#N/A</v>
      </c>
      <c r="P236" s="28" t="e">
        <f t="shared" si="55"/>
        <v>#N/A</v>
      </c>
      <c r="R236" s="28" t="e">
        <f t="shared" si="56"/>
        <v>#VALUE!</v>
      </c>
      <c r="S236" s="25"/>
      <c r="T236" s="25">
        <f t="shared" si="57"/>
        <v>15</v>
      </c>
      <c r="U236" s="33">
        <f>IF(PaybackCustom&gt;0, IF(PaybackCustom&lt;&gt;"Default", PaybackCustom, IF(PaybackStatus&lt;&gt;"",INDEX('Arbitrage Payback Engine'!$Y$2:$Y$6,MATCH(PaybackStatus,'Arbitrage Payback Engine'!$X$2:$X$6,FALSE)),-1)))</f>
        <v>25</v>
      </c>
      <c r="V236" s="32">
        <f t="shared" si="66"/>
        <v>15</v>
      </c>
      <c r="X236" s="29">
        <f t="shared" si="67"/>
        <v>227</v>
      </c>
      <c r="Z236" s="30">
        <f t="shared" si="58"/>
        <v>6.2183262566771669</v>
      </c>
      <c r="AA236" s="28" t="e">
        <f t="shared" si="59"/>
        <v>#N/A</v>
      </c>
      <c r="AB236" s="28" t="e">
        <f t="shared" si="60"/>
        <v>#VALUE!</v>
      </c>
      <c r="AC236" s="29">
        <f t="shared" si="61"/>
        <v>215.37001897533207</v>
      </c>
      <c r="AD236" s="28" t="e">
        <f t="shared" si="62"/>
        <v>#VALUE!</v>
      </c>
      <c r="AE236" s="28" t="e">
        <f t="shared" si="63"/>
        <v>#N/A</v>
      </c>
      <c r="AF236" s="28" t="e">
        <f t="shared" si="64"/>
        <v>#VALUE!</v>
      </c>
      <c r="AH236" s="31" t="e">
        <f t="shared" si="65"/>
        <v>#N/A</v>
      </c>
      <c r="AI236" s="25"/>
      <c r="AJ236" s="31"/>
    </row>
    <row r="237" spans="2:36" x14ac:dyDescent="0.25">
      <c r="B237" s="33">
        <f>'Arbitrage Payback Engine'!E237</f>
        <v>6.2457197644158331</v>
      </c>
      <c r="C237" s="33">
        <f t="shared" si="51"/>
        <v>1000</v>
      </c>
      <c r="D237" s="33">
        <f>'Battery Pricing Model'!$C$17</f>
        <v>1000</v>
      </c>
      <c r="E237" s="33">
        <f t="shared" si="52"/>
        <v>999</v>
      </c>
      <c r="F237" s="33" t="str">
        <f>'Peak Models'!$B$4</f>
        <v>Default</v>
      </c>
      <c r="G237" s="33" t="e">
        <f>'Peak Models'!$Q$7</f>
        <v>#VALUE!</v>
      </c>
      <c r="H237" s="33">
        <f>'Peak Models'!$P$16</f>
        <v>1.5</v>
      </c>
      <c r="I237" s="33">
        <v>12</v>
      </c>
      <c r="J237" s="33" t="e">
        <f>'Peak Models'!$P$13</f>
        <v>#N/A</v>
      </c>
      <c r="K237" s="28" t="e">
        <f t="shared" si="53"/>
        <v>#VALUE!</v>
      </c>
      <c r="L237" s="28" t="e">
        <f>INDEX('Peak Models'!$P$34:$P$64, MATCH(TRUNC(B237, 0), 'Peak Models'!$O$34:$O$64, 0))</f>
        <v>#N/A</v>
      </c>
      <c r="M237" s="28">
        <f>'Peak Models'!$P$15*INDEX('Peak Models'!$Q$34:$Q$64, MATCH(TRUNC(B237, 0),'Peak Models'!$O$34:$O$64, 0))/'Profit per cycles Model'!$E$78</f>
        <v>5.4573807915900714</v>
      </c>
      <c r="N237" s="28" t="e">
        <f t="shared" si="54"/>
        <v>#N/A</v>
      </c>
      <c r="O237" s="71" t="e">
        <f>AVERAGE($N$10:N237)</f>
        <v>#N/A</v>
      </c>
      <c r="P237" s="28" t="e">
        <f t="shared" si="55"/>
        <v>#N/A</v>
      </c>
      <c r="R237" s="28" t="e">
        <f t="shared" si="56"/>
        <v>#VALUE!</v>
      </c>
      <c r="S237" s="25"/>
      <c r="T237" s="25">
        <f t="shared" si="57"/>
        <v>15</v>
      </c>
      <c r="U237" s="33">
        <f>IF(PaybackCustom&gt;0, IF(PaybackCustom&lt;&gt;"Default", PaybackCustom, IF(PaybackStatus&lt;&gt;"",INDEX('Arbitrage Payback Engine'!$Y$2:$Y$6,MATCH(PaybackStatus,'Arbitrage Payback Engine'!$X$2:$X$6,FALSE)),-1)))</f>
        <v>25</v>
      </c>
      <c r="V237" s="32">
        <f t="shared" si="66"/>
        <v>15</v>
      </c>
      <c r="X237" s="29">
        <f t="shared" si="67"/>
        <v>228</v>
      </c>
      <c r="Z237" s="30">
        <f t="shared" si="58"/>
        <v>6.2457197644158331</v>
      </c>
      <c r="AA237" s="28" t="e">
        <f t="shared" si="59"/>
        <v>#N/A</v>
      </c>
      <c r="AB237" s="28" t="e">
        <f t="shared" si="60"/>
        <v>#VALUE!</v>
      </c>
      <c r="AC237" s="29">
        <f t="shared" si="61"/>
        <v>216.31878557874762</v>
      </c>
      <c r="AD237" s="28" t="e">
        <f t="shared" si="62"/>
        <v>#VALUE!</v>
      </c>
      <c r="AE237" s="28" t="e">
        <f t="shared" si="63"/>
        <v>#N/A</v>
      </c>
      <c r="AF237" s="28" t="e">
        <f t="shared" si="64"/>
        <v>#VALUE!</v>
      </c>
      <c r="AH237" s="31" t="e">
        <f t="shared" si="65"/>
        <v>#N/A</v>
      </c>
      <c r="AI237" s="25"/>
      <c r="AJ237" s="31"/>
    </row>
    <row r="238" spans="2:36" x14ac:dyDescent="0.25">
      <c r="B238" s="33">
        <f>'Arbitrage Payback Engine'!E238</f>
        <v>6.2731132721544993</v>
      </c>
      <c r="C238" s="33">
        <f t="shared" si="51"/>
        <v>1000</v>
      </c>
      <c r="D238" s="33">
        <f>'Battery Pricing Model'!$C$17</f>
        <v>1000</v>
      </c>
      <c r="E238" s="33">
        <f t="shared" si="52"/>
        <v>999</v>
      </c>
      <c r="F238" s="33" t="str">
        <f>'Peak Models'!$B$4</f>
        <v>Default</v>
      </c>
      <c r="G238" s="33" t="e">
        <f>'Peak Models'!$Q$7</f>
        <v>#VALUE!</v>
      </c>
      <c r="H238" s="33">
        <f>'Peak Models'!$P$16</f>
        <v>1.5</v>
      </c>
      <c r="I238" s="33">
        <v>12</v>
      </c>
      <c r="J238" s="33" t="e">
        <f>'Peak Models'!$P$13</f>
        <v>#N/A</v>
      </c>
      <c r="K238" s="28" t="e">
        <f t="shared" si="53"/>
        <v>#VALUE!</v>
      </c>
      <c r="L238" s="28" t="e">
        <f>INDEX('Peak Models'!$P$34:$P$64, MATCH(TRUNC(B238, 0), 'Peak Models'!$O$34:$O$64, 0))</f>
        <v>#N/A</v>
      </c>
      <c r="M238" s="28">
        <f>'Peak Models'!$P$15*INDEX('Peak Models'!$Q$34:$Q$64, MATCH(TRUNC(B238, 0),'Peak Models'!$O$34:$O$64, 0))/'Profit per cycles Model'!$E$78</f>
        <v>5.4573807915900714</v>
      </c>
      <c r="N238" s="28" t="e">
        <f t="shared" si="54"/>
        <v>#N/A</v>
      </c>
      <c r="O238" s="71" t="e">
        <f>AVERAGE($N$10:N238)</f>
        <v>#N/A</v>
      </c>
      <c r="P238" s="28" t="e">
        <f t="shared" si="55"/>
        <v>#N/A</v>
      </c>
      <c r="R238" s="28" t="e">
        <f t="shared" si="56"/>
        <v>#VALUE!</v>
      </c>
      <c r="S238" s="25"/>
      <c r="T238" s="25">
        <f t="shared" si="57"/>
        <v>15</v>
      </c>
      <c r="U238" s="33">
        <f>IF(PaybackCustom&gt;0, IF(PaybackCustom&lt;&gt;"Default", PaybackCustom, IF(PaybackStatus&lt;&gt;"",INDEX('Arbitrage Payback Engine'!$Y$2:$Y$6,MATCH(PaybackStatus,'Arbitrage Payback Engine'!$X$2:$X$6,FALSE)),-1)))</f>
        <v>25</v>
      </c>
      <c r="V238" s="32">
        <f t="shared" si="66"/>
        <v>15</v>
      </c>
      <c r="X238" s="29">
        <f t="shared" si="67"/>
        <v>229</v>
      </c>
      <c r="Z238" s="30">
        <f t="shared" si="58"/>
        <v>6.2731132721544993</v>
      </c>
      <c r="AA238" s="28" t="e">
        <f t="shared" si="59"/>
        <v>#N/A</v>
      </c>
      <c r="AB238" s="28" t="e">
        <f t="shared" si="60"/>
        <v>#VALUE!</v>
      </c>
      <c r="AC238" s="29">
        <f t="shared" si="61"/>
        <v>217.2675521821632</v>
      </c>
      <c r="AD238" s="28" t="e">
        <f t="shared" si="62"/>
        <v>#VALUE!</v>
      </c>
      <c r="AE238" s="28" t="e">
        <f t="shared" si="63"/>
        <v>#N/A</v>
      </c>
      <c r="AF238" s="28" t="e">
        <f t="shared" si="64"/>
        <v>#VALUE!</v>
      </c>
      <c r="AH238" s="31" t="e">
        <f t="shared" si="65"/>
        <v>#N/A</v>
      </c>
      <c r="AI238" s="25"/>
      <c r="AJ238" s="31"/>
    </row>
    <row r="239" spans="2:36" x14ac:dyDescent="0.25">
      <c r="B239" s="33">
        <f>'Arbitrage Payback Engine'!E239</f>
        <v>6.3005067798931655</v>
      </c>
      <c r="C239" s="33">
        <f t="shared" si="51"/>
        <v>1000</v>
      </c>
      <c r="D239" s="33">
        <f>'Battery Pricing Model'!$C$17</f>
        <v>1000</v>
      </c>
      <c r="E239" s="33">
        <f t="shared" si="52"/>
        <v>999</v>
      </c>
      <c r="F239" s="33" t="str">
        <f>'Peak Models'!$B$4</f>
        <v>Default</v>
      </c>
      <c r="G239" s="33" t="e">
        <f>'Peak Models'!$Q$7</f>
        <v>#VALUE!</v>
      </c>
      <c r="H239" s="33">
        <f>'Peak Models'!$P$16</f>
        <v>1.5</v>
      </c>
      <c r="I239" s="33">
        <v>12</v>
      </c>
      <c r="J239" s="33" t="e">
        <f>'Peak Models'!$P$13</f>
        <v>#N/A</v>
      </c>
      <c r="K239" s="28" t="e">
        <f t="shared" si="53"/>
        <v>#VALUE!</v>
      </c>
      <c r="L239" s="28" t="e">
        <f>INDEX('Peak Models'!$P$34:$P$64, MATCH(TRUNC(B239, 0), 'Peak Models'!$O$34:$O$64, 0))</f>
        <v>#N/A</v>
      </c>
      <c r="M239" s="28">
        <f>'Peak Models'!$P$15*INDEX('Peak Models'!$Q$34:$Q$64, MATCH(TRUNC(B239, 0),'Peak Models'!$O$34:$O$64, 0))/'Profit per cycles Model'!$E$78</f>
        <v>5.4573807915900714</v>
      </c>
      <c r="N239" s="28" t="e">
        <f t="shared" si="54"/>
        <v>#N/A</v>
      </c>
      <c r="O239" s="71" t="e">
        <f>AVERAGE($N$10:N239)</f>
        <v>#N/A</v>
      </c>
      <c r="P239" s="28" t="e">
        <f t="shared" si="55"/>
        <v>#N/A</v>
      </c>
      <c r="R239" s="28" t="e">
        <f t="shared" si="56"/>
        <v>#VALUE!</v>
      </c>
      <c r="S239" s="25"/>
      <c r="T239" s="25">
        <f t="shared" si="57"/>
        <v>15</v>
      </c>
      <c r="U239" s="33">
        <f>IF(PaybackCustom&gt;0, IF(PaybackCustom&lt;&gt;"Default", PaybackCustom, IF(PaybackStatus&lt;&gt;"",INDEX('Arbitrage Payback Engine'!$Y$2:$Y$6,MATCH(PaybackStatus,'Arbitrage Payback Engine'!$X$2:$X$6,FALSE)),-1)))</f>
        <v>25</v>
      </c>
      <c r="V239" s="32">
        <f t="shared" si="66"/>
        <v>15</v>
      </c>
      <c r="X239" s="29">
        <f t="shared" si="67"/>
        <v>230</v>
      </c>
      <c r="Z239" s="30">
        <f t="shared" si="58"/>
        <v>6.3005067798931655</v>
      </c>
      <c r="AA239" s="28" t="e">
        <f t="shared" si="59"/>
        <v>#N/A</v>
      </c>
      <c r="AB239" s="28" t="e">
        <f t="shared" si="60"/>
        <v>#VALUE!</v>
      </c>
      <c r="AC239" s="29">
        <f t="shared" si="61"/>
        <v>218.21631878557878</v>
      </c>
      <c r="AD239" s="28" t="e">
        <f t="shared" si="62"/>
        <v>#VALUE!</v>
      </c>
      <c r="AE239" s="28" t="e">
        <f t="shared" si="63"/>
        <v>#N/A</v>
      </c>
      <c r="AF239" s="28" t="e">
        <f t="shared" si="64"/>
        <v>#VALUE!</v>
      </c>
      <c r="AH239" s="31" t="e">
        <f t="shared" si="65"/>
        <v>#N/A</v>
      </c>
      <c r="AI239" s="25"/>
      <c r="AJ239" s="31"/>
    </row>
    <row r="240" spans="2:36" x14ac:dyDescent="0.25">
      <c r="B240" s="33">
        <f>'Arbitrage Payback Engine'!E240</f>
        <v>6.3279002876318309</v>
      </c>
      <c r="C240" s="33">
        <f t="shared" si="51"/>
        <v>1000</v>
      </c>
      <c r="D240" s="33">
        <f>'Battery Pricing Model'!$C$17</f>
        <v>1000</v>
      </c>
      <c r="E240" s="33">
        <f t="shared" si="52"/>
        <v>999</v>
      </c>
      <c r="F240" s="33" t="str">
        <f>'Peak Models'!$B$4</f>
        <v>Default</v>
      </c>
      <c r="G240" s="33" t="e">
        <f>'Peak Models'!$Q$7</f>
        <v>#VALUE!</v>
      </c>
      <c r="H240" s="33">
        <f>'Peak Models'!$P$16</f>
        <v>1.5</v>
      </c>
      <c r="I240" s="33">
        <v>12</v>
      </c>
      <c r="J240" s="33" t="e">
        <f>'Peak Models'!$P$13</f>
        <v>#N/A</v>
      </c>
      <c r="K240" s="28" t="e">
        <f t="shared" si="53"/>
        <v>#VALUE!</v>
      </c>
      <c r="L240" s="28" t="e">
        <f>INDEX('Peak Models'!$P$34:$P$64, MATCH(TRUNC(B240, 0), 'Peak Models'!$O$34:$O$64, 0))</f>
        <v>#N/A</v>
      </c>
      <c r="M240" s="28">
        <f>'Peak Models'!$P$15*INDEX('Peak Models'!$Q$34:$Q$64, MATCH(TRUNC(B240, 0),'Peak Models'!$O$34:$O$64, 0))/'Profit per cycles Model'!$E$78</f>
        <v>5.4573807915900714</v>
      </c>
      <c r="N240" s="28" t="e">
        <f t="shared" si="54"/>
        <v>#N/A</v>
      </c>
      <c r="O240" s="71" t="e">
        <f>AVERAGE($N$10:N240)</f>
        <v>#N/A</v>
      </c>
      <c r="P240" s="28" t="e">
        <f t="shared" si="55"/>
        <v>#N/A</v>
      </c>
      <c r="R240" s="28" t="e">
        <f t="shared" si="56"/>
        <v>#VALUE!</v>
      </c>
      <c r="S240" s="25"/>
      <c r="T240" s="25">
        <f t="shared" si="57"/>
        <v>15</v>
      </c>
      <c r="U240" s="33">
        <f>IF(PaybackCustom&gt;0, IF(PaybackCustom&lt;&gt;"Default", PaybackCustom, IF(PaybackStatus&lt;&gt;"",INDEX('Arbitrage Payback Engine'!$Y$2:$Y$6,MATCH(PaybackStatus,'Arbitrage Payback Engine'!$X$2:$X$6,FALSE)),-1)))</f>
        <v>25</v>
      </c>
      <c r="V240" s="32">
        <f t="shared" si="66"/>
        <v>15</v>
      </c>
      <c r="X240" s="29">
        <f t="shared" si="67"/>
        <v>231</v>
      </c>
      <c r="Z240" s="30">
        <f t="shared" si="58"/>
        <v>6.3279002876318309</v>
      </c>
      <c r="AA240" s="28" t="e">
        <f t="shared" si="59"/>
        <v>#N/A</v>
      </c>
      <c r="AB240" s="28" t="e">
        <f t="shared" si="60"/>
        <v>#VALUE!</v>
      </c>
      <c r="AC240" s="29">
        <f t="shared" si="61"/>
        <v>219.1650853889943</v>
      </c>
      <c r="AD240" s="28" t="e">
        <f t="shared" si="62"/>
        <v>#VALUE!</v>
      </c>
      <c r="AE240" s="28" t="e">
        <f t="shared" si="63"/>
        <v>#N/A</v>
      </c>
      <c r="AF240" s="28" t="e">
        <f t="shared" si="64"/>
        <v>#VALUE!</v>
      </c>
      <c r="AH240" s="31" t="e">
        <f t="shared" si="65"/>
        <v>#N/A</v>
      </c>
      <c r="AI240" s="25"/>
      <c r="AJ240" s="31"/>
    </row>
    <row r="241" spans="2:36" x14ac:dyDescent="0.25">
      <c r="B241" s="33">
        <f>'Arbitrage Payback Engine'!E241</f>
        <v>6.3552937953704971</v>
      </c>
      <c r="C241" s="33">
        <f t="shared" si="51"/>
        <v>1000</v>
      </c>
      <c r="D241" s="33">
        <f>'Battery Pricing Model'!$C$17</f>
        <v>1000</v>
      </c>
      <c r="E241" s="33">
        <f t="shared" si="52"/>
        <v>999</v>
      </c>
      <c r="F241" s="33" t="str">
        <f>'Peak Models'!$B$4</f>
        <v>Default</v>
      </c>
      <c r="G241" s="33" t="e">
        <f>'Peak Models'!$Q$7</f>
        <v>#VALUE!</v>
      </c>
      <c r="H241" s="33">
        <f>'Peak Models'!$P$16</f>
        <v>1.5</v>
      </c>
      <c r="I241" s="33">
        <v>12</v>
      </c>
      <c r="J241" s="33" t="e">
        <f>'Peak Models'!$P$13</f>
        <v>#N/A</v>
      </c>
      <c r="K241" s="28" t="e">
        <f t="shared" si="53"/>
        <v>#VALUE!</v>
      </c>
      <c r="L241" s="28" t="e">
        <f>INDEX('Peak Models'!$P$34:$P$64, MATCH(TRUNC(B241, 0), 'Peak Models'!$O$34:$O$64, 0))</f>
        <v>#N/A</v>
      </c>
      <c r="M241" s="28">
        <f>'Peak Models'!$P$15*INDEX('Peak Models'!$Q$34:$Q$64, MATCH(TRUNC(B241, 0),'Peak Models'!$O$34:$O$64, 0))/'Profit per cycles Model'!$E$78</f>
        <v>5.4573807915900714</v>
      </c>
      <c r="N241" s="28" t="e">
        <f t="shared" si="54"/>
        <v>#N/A</v>
      </c>
      <c r="O241" s="71" t="e">
        <f>AVERAGE($N$10:N241)</f>
        <v>#N/A</v>
      </c>
      <c r="P241" s="28" t="e">
        <f t="shared" si="55"/>
        <v>#N/A</v>
      </c>
      <c r="R241" s="28" t="e">
        <f t="shared" si="56"/>
        <v>#VALUE!</v>
      </c>
      <c r="S241" s="25"/>
      <c r="T241" s="25">
        <f t="shared" si="57"/>
        <v>15</v>
      </c>
      <c r="U241" s="33">
        <f>IF(PaybackCustom&gt;0, IF(PaybackCustom&lt;&gt;"Default", PaybackCustom, IF(PaybackStatus&lt;&gt;"",INDEX('Arbitrage Payback Engine'!$Y$2:$Y$6,MATCH(PaybackStatus,'Arbitrage Payback Engine'!$X$2:$X$6,FALSE)),-1)))</f>
        <v>25</v>
      </c>
      <c r="V241" s="32">
        <f t="shared" si="66"/>
        <v>15</v>
      </c>
      <c r="X241" s="29">
        <f t="shared" si="67"/>
        <v>232</v>
      </c>
      <c r="Z241" s="30">
        <f t="shared" si="58"/>
        <v>6.3552937953704971</v>
      </c>
      <c r="AA241" s="28" t="e">
        <f t="shared" si="59"/>
        <v>#N/A</v>
      </c>
      <c r="AB241" s="28" t="e">
        <f t="shared" si="60"/>
        <v>#VALUE!</v>
      </c>
      <c r="AC241" s="29">
        <f t="shared" si="61"/>
        <v>220.11385199240988</v>
      </c>
      <c r="AD241" s="28" t="e">
        <f t="shared" si="62"/>
        <v>#VALUE!</v>
      </c>
      <c r="AE241" s="28" t="e">
        <f t="shared" si="63"/>
        <v>#N/A</v>
      </c>
      <c r="AF241" s="28" t="e">
        <f t="shared" si="64"/>
        <v>#VALUE!</v>
      </c>
      <c r="AH241" s="31" t="e">
        <f t="shared" si="65"/>
        <v>#N/A</v>
      </c>
      <c r="AI241" s="25"/>
      <c r="AJ241" s="31"/>
    </row>
    <row r="242" spans="2:36" x14ac:dyDescent="0.25">
      <c r="B242" s="33">
        <f>'Arbitrage Payback Engine'!E242</f>
        <v>6.3826873031091633</v>
      </c>
      <c r="C242" s="33">
        <f t="shared" si="51"/>
        <v>1000</v>
      </c>
      <c r="D242" s="33">
        <f>'Battery Pricing Model'!$C$17</f>
        <v>1000</v>
      </c>
      <c r="E242" s="33">
        <f t="shared" si="52"/>
        <v>999</v>
      </c>
      <c r="F242" s="33" t="str">
        <f>'Peak Models'!$B$4</f>
        <v>Default</v>
      </c>
      <c r="G242" s="33" t="e">
        <f>'Peak Models'!$Q$7</f>
        <v>#VALUE!</v>
      </c>
      <c r="H242" s="33">
        <f>'Peak Models'!$P$16</f>
        <v>1.5</v>
      </c>
      <c r="I242" s="33">
        <v>12</v>
      </c>
      <c r="J242" s="33" t="e">
        <f>'Peak Models'!$P$13</f>
        <v>#N/A</v>
      </c>
      <c r="K242" s="28" t="e">
        <f t="shared" si="53"/>
        <v>#VALUE!</v>
      </c>
      <c r="L242" s="28" t="e">
        <f>INDEX('Peak Models'!$P$34:$P$64, MATCH(TRUNC(B242, 0), 'Peak Models'!$O$34:$O$64, 0))</f>
        <v>#N/A</v>
      </c>
      <c r="M242" s="28">
        <f>'Peak Models'!$P$15*INDEX('Peak Models'!$Q$34:$Q$64, MATCH(TRUNC(B242, 0),'Peak Models'!$O$34:$O$64, 0))/'Profit per cycles Model'!$E$78</f>
        <v>5.4573807915900714</v>
      </c>
      <c r="N242" s="28" t="e">
        <f t="shared" si="54"/>
        <v>#N/A</v>
      </c>
      <c r="O242" s="71" t="e">
        <f>AVERAGE($N$10:N242)</f>
        <v>#N/A</v>
      </c>
      <c r="P242" s="28" t="e">
        <f t="shared" si="55"/>
        <v>#N/A</v>
      </c>
      <c r="R242" s="28" t="e">
        <f t="shared" si="56"/>
        <v>#VALUE!</v>
      </c>
      <c r="S242" s="25"/>
      <c r="T242" s="25">
        <f t="shared" si="57"/>
        <v>15</v>
      </c>
      <c r="U242" s="33">
        <f>IF(PaybackCustom&gt;0, IF(PaybackCustom&lt;&gt;"Default", PaybackCustom, IF(PaybackStatus&lt;&gt;"",INDEX('Arbitrage Payback Engine'!$Y$2:$Y$6,MATCH(PaybackStatus,'Arbitrage Payback Engine'!$X$2:$X$6,FALSE)),-1)))</f>
        <v>25</v>
      </c>
      <c r="V242" s="32">
        <f t="shared" si="66"/>
        <v>15</v>
      </c>
      <c r="X242" s="29">
        <f t="shared" si="67"/>
        <v>233</v>
      </c>
      <c r="Z242" s="30">
        <f t="shared" si="58"/>
        <v>6.3826873031091633</v>
      </c>
      <c r="AA242" s="28" t="e">
        <f t="shared" si="59"/>
        <v>#N/A</v>
      </c>
      <c r="AB242" s="28" t="e">
        <f t="shared" si="60"/>
        <v>#VALUE!</v>
      </c>
      <c r="AC242" s="29">
        <f t="shared" si="61"/>
        <v>221.06261859582546</v>
      </c>
      <c r="AD242" s="28" t="e">
        <f t="shared" si="62"/>
        <v>#VALUE!</v>
      </c>
      <c r="AE242" s="28" t="e">
        <f t="shared" si="63"/>
        <v>#N/A</v>
      </c>
      <c r="AF242" s="28" t="e">
        <f t="shared" si="64"/>
        <v>#VALUE!</v>
      </c>
      <c r="AH242" s="31" t="e">
        <f t="shared" si="65"/>
        <v>#N/A</v>
      </c>
      <c r="AI242" s="25"/>
      <c r="AJ242" s="31"/>
    </row>
    <row r="243" spans="2:36" x14ac:dyDescent="0.25">
      <c r="B243" s="33">
        <f>'Arbitrage Payback Engine'!E243</f>
        <v>6.4100808108478287</v>
      </c>
      <c r="C243" s="33">
        <f t="shared" si="51"/>
        <v>1000</v>
      </c>
      <c r="D243" s="33">
        <f>'Battery Pricing Model'!$C$17</f>
        <v>1000</v>
      </c>
      <c r="E243" s="33">
        <f t="shared" si="52"/>
        <v>999</v>
      </c>
      <c r="F243" s="33" t="str">
        <f>'Peak Models'!$B$4</f>
        <v>Default</v>
      </c>
      <c r="G243" s="33" t="e">
        <f>'Peak Models'!$Q$7</f>
        <v>#VALUE!</v>
      </c>
      <c r="H243" s="33">
        <f>'Peak Models'!$P$16</f>
        <v>1.5</v>
      </c>
      <c r="I243" s="33">
        <v>12</v>
      </c>
      <c r="J243" s="33" t="e">
        <f>'Peak Models'!$P$13</f>
        <v>#N/A</v>
      </c>
      <c r="K243" s="28" t="e">
        <f t="shared" si="53"/>
        <v>#VALUE!</v>
      </c>
      <c r="L243" s="28" t="e">
        <f>INDEX('Peak Models'!$P$34:$P$64, MATCH(TRUNC(B243, 0), 'Peak Models'!$O$34:$O$64, 0))</f>
        <v>#N/A</v>
      </c>
      <c r="M243" s="28">
        <f>'Peak Models'!$P$15*INDEX('Peak Models'!$Q$34:$Q$64, MATCH(TRUNC(B243, 0),'Peak Models'!$O$34:$O$64, 0))/'Profit per cycles Model'!$E$78</f>
        <v>5.4573807915900714</v>
      </c>
      <c r="N243" s="28" t="e">
        <f t="shared" si="54"/>
        <v>#N/A</v>
      </c>
      <c r="O243" s="71" t="e">
        <f>AVERAGE($N$10:N243)</f>
        <v>#N/A</v>
      </c>
      <c r="P243" s="28" t="e">
        <f t="shared" si="55"/>
        <v>#N/A</v>
      </c>
      <c r="R243" s="28" t="e">
        <f t="shared" si="56"/>
        <v>#VALUE!</v>
      </c>
      <c r="S243" s="25"/>
      <c r="T243" s="25">
        <f t="shared" si="57"/>
        <v>15</v>
      </c>
      <c r="U243" s="33">
        <f>IF(PaybackCustom&gt;0, IF(PaybackCustom&lt;&gt;"Default", PaybackCustom, IF(PaybackStatus&lt;&gt;"",INDEX('Arbitrage Payback Engine'!$Y$2:$Y$6,MATCH(PaybackStatus,'Arbitrage Payback Engine'!$X$2:$X$6,FALSE)),-1)))</f>
        <v>25</v>
      </c>
      <c r="V243" s="32">
        <f t="shared" si="66"/>
        <v>15</v>
      </c>
      <c r="X243" s="29">
        <f t="shared" si="67"/>
        <v>234</v>
      </c>
      <c r="Z243" s="30">
        <f t="shared" si="58"/>
        <v>6.4100808108478287</v>
      </c>
      <c r="AA243" s="28" t="e">
        <f t="shared" si="59"/>
        <v>#N/A</v>
      </c>
      <c r="AB243" s="28" t="e">
        <f t="shared" si="60"/>
        <v>#VALUE!</v>
      </c>
      <c r="AC243" s="29">
        <f t="shared" si="61"/>
        <v>222.01138519924098</v>
      </c>
      <c r="AD243" s="28" t="e">
        <f t="shared" si="62"/>
        <v>#VALUE!</v>
      </c>
      <c r="AE243" s="28" t="e">
        <f t="shared" si="63"/>
        <v>#N/A</v>
      </c>
      <c r="AF243" s="28" t="e">
        <f t="shared" si="64"/>
        <v>#VALUE!</v>
      </c>
      <c r="AH243" s="31" t="e">
        <f t="shared" si="65"/>
        <v>#N/A</v>
      </c>
      <c r="AI243" s="25"/>
      <c r="AJ243" s="31"/>
    </row>
    <row r="244" spans="2:36" x14ac:dyDescent="0.25">
      <c r="B244" s="33">
        <f>'Arbitrage Payback Engine'!E244</f>
        <v>6.4374743185864949</v>
      </c>
      <c r="C244" s="33">
        <f t="shared" si="51"/>
        <v>1000</v>
      </c>
      <c r="D244" s="33">
        <f>'Battery Pricing Model'!$C$17</f>
        <v>1000</v>
      </c>
      <c r="E244" s="33">
        <f t="shared" si="52"/>
        <v>999</v>
      </c>
      <c r="F244" s="33" t="str">
        <f>'Peak Models'!$B$4</f>
        <v>Default</v>
      </c>
      <c r="G244" s="33" t="e">
        <f>'Peak Models'!$Q$7</f>
        <v>#VALUE!</v>
      </c>
      <c r="H244" s="33">
        <f>'Peak Models'!$P$16</f>
        <v>1.5</v>
      </c>
      <c r="I244" s="33">
        <v>12</v>
      </c>
      <c r="J244" s="33" t="e">
        <f>'Peak Models'!$P$13</f>
        <v>#N/A</v>
      </c>
      <c r="K244" s="28" t="e">
        <f t="shared" si="53"/>
        <v>#VALUE!</v>
      </c>
      <c r="L244" s="28" t="e">
        <f>INDEX('Peak Models'!$P$34:$P$64, MATCH(TRUNC(B244, 0), 'Peak Models'!$O$34:$O$64, 0))</f>
        <v>#N/A</v>
      </c>
      <c r="M244" s="28">
        <f>'Peak Models'!$P$15*INDEX('Peak Models'!$Q$34:$Q$64, MATCH(TRUNC(B244, 0),'Peak Models'!$O$34:$O$64, 0))/'Profit per cycles Model'!$E$78</f>
        <v>5.4573807915900714</v>
      </c>
      <c r="N244" s="28" t="e">
        <f t="shared" si="54"/>
        <v>#N/A</v>
      </c>
      <c r="O244" s="71" t="e">
        <f>AVERAGE($N$10:N244)</f>
        <v>#N/A</v>
      </c>
      <c r="P244" s="28" t="e">
        <f t="shared" si="55"/>
        <v>#N/A</v>
      </c>
      <c r="R244" s="28" t="e">
        <f t="shared" si="56"/>
        <v>#VALUE!</v>
      </c>
      <c r="S244" s="25"/>
      <c r="T244" s="25">
        <f t="shared" si="57"/>
        <v>15</v>
      </c>
      <c r="U244" s="33">
        <f>IF(PaybackCustom&gt;0, IF(PaybackCustom&lt;&gt;"Default", PaybackCustom, IF(PaybackStatus&lt;&gt;"",INDEX('Arbitrage Payback Engine'!$Y$2:$Y$6,MATCH(PaybackStatus,'Arbitrage Payback Engine'!$X$2:$X$6,FALSE)),-1)))</f>
        <v>25</v>
      </c>
      <c r="V244" s="32">
        <f t="shared" si="66"/>
        <v>15</v>
      </c>
      <c r="X244" s="29">
        <f t="shared" si="67"/>
        <v>235</v>
      </c>
      <c r="Z244" s="30">
        <f t="shared" si="58"/>
        <v>6.4374743185864949</v>
      </c>
      <c r="AA244" s="28" t="e">
        <f t="shared" si="59"/>
        <v>#N/A</v>
      </c>
      <c r="AB244" s="28" t="e">
        <f t="shared" si="60"/>
        <v>#VALUE!</v>
      </c>
      <c r="AC244" s="29">
        <f t="shared" si="61"/>
        <v>222.96015180265655</v>
      </c>
      <c r="AD244" s="28" t="e">
        <f t="shared" si="62"/>
        <v>#VALUE!</v>
      </c>
      <c r="AE244" s="28" t="e">
        <f t="shared" si="63"/>
        <v>#N/A</v>
      </c>
      <c r="AF244" s="28" t="e">
        <f t="shared" si="64"/>
        <v>#VALUE!</v>
      </c>
      <c r="AH244" s="31" t="e">
        <f t="shared" si="65"/>
        <v>#N/A</v>
      </c>
      <c r="AI244" s="25"/>
      <c r="AJ244" s="31"/>
    </row>
    <row r="245" spans="2:36" x14ac:dyDescent="0.25">
      <c r="B245" s="33">
        <f>'Arbitrage Payback Engine'!E245</f>
        <v>6.4648678263251611</v>
      </c>
      <c r="C245" s="33">
        <f t="shared" si="51"/>
        <v>1000</v>
      </c>
      <c r="D245" s="33">
        <f>'Battery Pricing Model'!$C$17</f>
        <v>1000</v>
      </c>
      <c r="E245" s="33">
        <f t="shared" si="52"/>
        <v>999</v>
      </c>
      <c r="F245" s="33" t="str">
        <f>'Peak Models'!$B$4</f>
        <v>Default</v>
      </c>
      <c r="G245" s="33" t="e">
        <f>'Peak Models'!$Q$7</f>
        <v>#VALUE!</v>
      </c>
      <c r="H245" s="33">
        <f>'Peak Models'!$P$16</f>
        <v>1.5</v>
      </c>
      <c r="I245" s="33">
        <v>12</v>
      </c>
      <c r="J245" s="33" t="e">
        <f>'Peak Models'!$P$13</f>
        <v>#N/A</v>
      </c>
      <c r="K245" s="28" t="e">
        <f t="shared" si="53"/>
        <v>#VALUE!</v>
      </c>
      <c r="L245" s="28" t="e">
        <f>INDEX('Peak Models'!$P$34:$P$64, MATCH(TRUNC(B245, 0), 'Peak Models'!$O$34:$O$64, 0))</f>
        <v>#N/A</v>
      </c>
      <c r="M245" s="28">
        <f>'Peak Models'!$P$15*INDEX('Peak Models'!$Q$34:$Q$64, MATCH(TRUNC(B245, 0),'Peak Models'!$O$34:$O$64, 0))/'Profit per cycles Model'!$E$78</f>
        <v>5.4573807915900714</v>
      </c>
      <c r="N245" s="28" t="e">
        <f t="shared" si="54"/>
        <v>#N/A</v>
      </c>
      <c r="O245" s="71" t="e">
        <f>AVERAGE($N$10:N245)</f>
        <v>#N/A</v>
      </c>
      <c r="P245" s="28" t="e">
        <f t="shared" si="55"/>
        <v>#N/A</v>
      </c>
      <c r="R245" s="28" t="e">
        <f t="shared" si="56"/>
        <v>#VALUE!</v>
      </c>
      <c r="S245" s="25"/>
      <c r="T245" s="25">
        <f t="shared" si="57"/>
        <v>15</v>
      </c>
      <c r="U245" s="33">
        <f>IF(PaybackCustom&gt;0, IF(PaybackCustom&lt;&gt;"Default", PaybackCustom, IF(PaybackStatus&lt;&gt;"",INDEX('Arbitrage Payback Engine'!$Y$2:$Y$6,MATCH(PaybackStatus,'Arbitrage Payback Engine'!$X$2:$X$6,FALSE)),-1)))</f>
        <v>25</v>
      </c>
      <c r="V245" s="32">
        <f t="shared" si="66"/>
        <v>15</v>
      </c>
      <c r="X245" s="29">
        <f t="shared" si="67"/>
        <v>236</v>
      </c>
      <c r="Z245" s="30">
        <f t="shared" si="58"/>
        <v>6.4648678263251611</v>
      </c>
      <c r="AA245" s="28" t="e">
        <f t="shared" si="59"/>
        <v>#N/A</v>
      </c>
      <c r="AB245" s="28" t="e">
        <f t="shared" si="60"/>
        <v>#VALUE!</v>
      </c>
      <c r="AC245" s="29">
        <f t="shared" si="61"/>
        <v>223.90891840607213</v>
      </c>
      <c r="AD245" s="28" t="e">
        <f t="shared" si="62"/>
        <v>#VALUE!</v>
      </c>
      <c r="AE245" s="28" t="e">
        <f t="shared" si="63"/>
        <v>#N/A</v>
      </c>
      <c r="AF245" s="28" t="e">
        <f t="shared" si="64"/>
        <v>#VALUE!</v>
      </c>
      <c r="AH245" s="31" t="e">
        <f t="shared" si="65"/>
        <v>#N/A</v>
      </c>
      <c r="AI245" s="25"/>
      <c r="AJ245" s="31"/>
    </row>
    <row r="246" spans="2:36" x14ac:dyDescent="0.25">
      <c r="B246" s="33">
        <f>'Arbitrage Payback Engine'!E246</f>
        <v>6.4922613340638264</v>
      </c>
      <c r="C246" s="33">
        <f t="shared" si="51"/>
        <v>1000</v>
      </c>
      <c r="D246" s="33">
        <f>'Battery Pricing Model'!$C$17</f>
        <v>1000</v>
      </c>
      <c r="E246" s="33">
        <f t="shared" si="52"/>
        <v>999</v>
      </c>
      <c r="F246" s="33" t="str">
        <f>'Peak Models'!$B$4</f>
        <v>Default</v>
      </c>
      <c r="G246" s="33" t="e">
        <f>'Peak Models'!$Q$7</f>
        <v>#VALUE!</v>
      </c>
      <c r="H246" s="33">
        <f>'Peak Models'!$P$16</f>
        <v>1.5</v>
      </c>
      <c r="I246" s="33">
        <v>12</v>
      </c>
      <c r="J246" s="33" t="e">
        <f>'Peak Models'!$P$13</f>
        <v>#N/A</v>
      </c>
      <c r="K246" s="28" t="e">
        <f t="shared" si="53"/>
        <v>#VALUE!</v>
      </c>
      <c r="L246" s="28" t="e">
        <f>INDEX('Peak Models'!$P$34:$P$64, MATCH(TRUNC(B246, 0), 'Peak Models'!$O$34:$O$64, 0))</f>
        <v>#N/A</v>
      </c>
      <c r="M246" s="28">
        <f>'Peak Models'!$P$15*INDEX('Peak Models'!$Q$34:$Q$64, MATCH(TRUNC(B246, 0),'Peak Models'!$O$34:$O$64, 0))/'Profit per cycles Model'!$E$78</f>
        <v>5.4573807915900714</v>
      </c>
      <c r="N246" s="28" t="e">
        <f t="shared" si="54"/>
        <v>#N/A</v>
      </c>
      <c r="O246" s="71" t="e">
        <f>AVERAGE($N$10:N246)</f>
        <v>#N/A</v>
      </c>
      <c r="P246" s="28" t="e">
        <f t="shared" si="55"/>
        <v>#N/A</v>
      </c>
      <c r="R246" s="28" t="e">
        <f t="shared" si="56"/>
        <v>#VALUE!</v>
      </c>
      <c r="S246" s="25"/>
      <c r="T246" s="25">
        <f t="shared" si="57"/>
        <v>15</v>
      </c>
      <c r="U246" s="33">
        <f>IF(PaybackCustom&gt;0, IF(PaybackCustom&lt;&gt;"Default", PaybackCustom, IF(PaybackStatus&lt;&gt;"",INDEX('Arbitrage Payback Engine'!$Y$2:$Y$6,MATCH(PaybackStatus,'Arbitrage Payback Engine'!$X$2:$X$6,FALSE)),-1)))</f>
        <v>25</v>
      </c>
      <c r="V246" s="32">
        <f t="shared" si="66"/>
        <v>15</v>
      </c>
      <c r="X246" s="29">
        <f t="shared" si="67"/>
        <v>237</v>
      </c>
      <c r="Z246" s="30">
        <f t="shared" si="58"/>
        <v>6.4922613340638264</v>
      </c>
      <c r="AA246" s="28" t="e">
        <f t="shared" si="59"/>
        <v>#N/A</v>
      </c>
      <c r="AB246" s="28" t="e">
        <f t="shared" si="60"/>
        <v>#VALUE!</v>
      </c>
      <c r="AC246" s="29">
        <f t="shared" si="61"/>
        <v>224.85768500948765</v>
      </c>
      <c r="AD246" s="28" t="e">
        <f t="shared" si="62"/>
        <v>#VALUE!</v>
      </c>
      <c r="AE246" s="28" t="e">
        <f t="shared" si="63"/>
        <v>#N/A</v>
      </c>
      <c r="AF246" s="28" t="e">
        <f t="shared" si="64"/>
        <v>#VALUE!</v>
      </c>
      <c r="AH246" s="31" t="e">
        <f t="shared" si="65"/>
        <v>#N/A</v>
      </c>
      <c r="AI246" s="25"/>
      <c r="AJ246" s="31"/>
    </row>
    <row r="247" spans="2:36" x14ac:dyDescent="0.25">
      <c r="B247" s="33">
        <f>'Arbitrage Payback Engine'!E247</f>
        <v>6.5196548418024927</v>
      </c>
      <c r="C247" s="33">
        <f t="shared" si="51"/>
        <v>1000</v>
      </c>
      <c r="D247" s="33">
        <f>'Battery Pricing Model'!$C$17</f>
        <v>1000</v>
      </c>
      <c r="E247" s="33">
        <f t="shared" si="52"/>
        <v>999</v>
      </c>
      <c r="F247" s="33" t="str">
        <f>'Peak Models'!$B$4</f>
        <v>Default</v>
      </c>
      <c r="G247" s="33" t="e">
        <f>'Peak Models'!$Q$7</f>
        <v>#VALUE!</v>
      </c>
      <c r="H247" s="33">
        <f>'Peak Models'!$P$16</f>
        <v>1.5</v>
      </c>
      <c r="I247" s="33">
        <v>12</v>
      </c>
      <c r="J247" s="33" t="e">
        <f>'Peak Models'!$P$13</f>
        <v>#N/A</v>
      </c>
      <c r="K247" s="28" t="e">
        <f t="shared" si="53"/>
        <v>#VALUE!</v>
      </c>
      <c r="L247" s="28" t="e">
        <f>INDEX('Peak Models'!$P$34:$P$64, MATCH(TRUNC(B247, 0), 'Peak Models'!$O$34:$O$64, 0))</f>
        <v>#N/A</v>
      </c>
      <c r="M247" s="28">
        <f>'Peak Models'!$P$15*INDEX('Peak Models'!$Q$34:$Q$64, MATCH(TRUNC(B247, 0),'Peak Models'!$O$34:$O$64, 0))/'Profit per cycles Model'!$E$78</f>
        <v>5.4573807915900714</v>
      </c>
      <c r="N247" s="28" t="e">
        <f t="shared" si="54"/>
        <v>#N/A</v>
      </c>
      <c r="O247" s="71" t="e">
        <f>AVERAGE($N$10:N247)</f>
        <v>#N/A</v>
      </c>
      <c r="P247" s="28" t="e">
        <f t="shared" si="55"/>
        <v>#N/A</v>
      </c>
      <c r="R247" s="28" t="e">
        <f t="shared" si="56"/>
        <v>#VALUE!</v>
      </c>
      <c r="S247" s="25"/>
      <c r="T247" s="25">
        <f t="shared" si="57"/>
        <v>15</v>
      </c>
      <c r="U247" s="33">
        <f>IF(PaybackCustom&gt;0, IF(PaybackCustom&lt;&gt;"Default", PaybackCustom, IF(PaybackStatus&lt;&gt;"",INDEX('Arbitrage Payback Engine'!$Y$2:$Y$6,MATCH(PaybackStatus,'Arbitrage Payback Engine'!$X$2:$X$6,FALSE)),-1)))</f>
        <v>25</v>
      </c>
      <c r="V247" s="32">
        <f t="shared" si="66"/>
        <v>15</v>
      </c>
      <c r="X247" s="29">
        <f t="shared" si="67"/>
        <v>238</v>
      </c>
      <c r="Z247" s="30">
        <f t="shared" si="58"/>
        <v>6.5196548418024927</v>
      </c>
      <c r="AA247" s="28" t="e">
        <f t="shared" si="59"/>
        <v>#N/A</v>
      </c>
      <c r="AB247" s="28" t="e">
        <f t="shared" si="60"/>
        <v>#VALUE!</v>
      </c>
      <c r="AC247" s="29">
        <f t="shared" si="61"/>
        <v>225.80645161290323</v>
      </c>
      <c r="AD247" s="28" t="e">
        <f t="shared" si="62"/>
        <v>#VALUE!</v>
      </c>
      <c r="AE247" s="28" t="e">
        <f t="shared" si="63"/>
        <v>#N/A</v>
      </c>
      <c r="AF247" s="28" t="e">
        <f t="shared" si="64"/>
        <v>#VALUE!</v>
      </c>
      <c r="AH247" s="31" t="e">
        <f t="shared" si="65"/>
        <v>#N/A</v>
      </c>
      <c r="AI247" s="25"/>
      <c r="AJ247" s="31"/>
    </row>
    <row r="248" spans="2:36" x14ac:dyDescent="0.25">
      <c r="B248" s="33">
        <f>'Arbitrage Payback Engine'!E248</f>
        <v>6.5470483495411589</v>
      </c>
      <c r="C248" s="33">
        <f t="shared" si="51"/>
        <v>1000</v>
      </c>
      <c r="D248" s="33">
        <f>'Battery Pricing Model'!$C$17</f>
        <v>1000</v>
      </c>
      <c r="E248" s="33">
        <f t="shared" si="52"/>
        <v>999</v>
      </c>
      <c r="F248" s="33" t="str">
        <f>'Peak Models'!$B$4</f>
        <v>Default</v>
      </c>
      <c r="G248" s="33" t="e">
        <f>'Peak Models'!$Q$7</f>
        <v>#VALUE!</v>
      </c>
      <c r="H248" s="33">
        <f>'Peak Models'!$P$16</f>
        <v>1.5</v>
      </c>
      <c r="I248" s="33">
        <v>12</v>
      </c>
      <c r="J248" s="33" t="e">
        <f>'Peak Models'!$P$13</f>
        <v>#N/A</v>
      </c>
      <c r="K248" s="28" t="e">
        <f t="shared" si="53"/>
        <v>#VALUE!</v>
      </c>
      <c r="L248" s="28" t="e">
        <f>INDEX('Peak Models'!$P$34:$P$64, MATCH(TRUNC(B248, 0), 'Peak Models'!$O$34:$O$64, 0))</f>
        <v>#N/A</v>
      </c>
      <c r="M248" s="28">
        <f>'Peak Models'!$P$15*INDEX('Peak Models'!$Q$34:$Q$64, MATCH(TRUNC(B248, 0),'Peak Models'!$O$34:$O$64, 0))/'Profit per cycles Model'!$E$78</f>
        <v>5.4573807915900714</v>
      </c>
      <c r="N248" s="28" t="e">
        <f t="shared" si="54"/>
        <v>#N/A</v>
      </c>
      <c r="O248" s="71" t="e">
        <f>AVERAGE($N$10:N248)</f>
        <v>#N/A</v>
      </c>
      <c r="P248" s="28" t="e">
        <f t="shared" si="55"/>
        <v>#N/A</v>
      </c>
      <c r="R248" s="28" t="e">
        <f t="shared" si="56"/>
        <v>#VALUE!</v>
      </c>
      <c r="S248" s="25"/>
      <c r="T248" s="25">
        <f t="shared" si="57"/>
        <v>15</v>
      </c>
      <c r="U248" s="33">
        <f>IF(PaybackCustom&gt;0, IF(PaybackCustom&lt;&gt;"Default", PaybackCustom, IF(PaybackStatus&lt;&gt;"",INDEX('Arbitrage Payback Engine'!$Y$2:$Y$6,MATCH(PaybackStatus,'Arbitrage Payback Engine'!$X$2:$X$6,FALSE)),-1)))</f>
        <v>25</v>
      </c>
      <c r="V248" s="32">
        <f t="shared" si="66"/>
        <v>15</v>
      </c>
      <c r="X248" s="29">
        <f t="shared" si="67"/>
        <v>239</v>
      </c>
      <c r="Z248" s="30">
        <f t="shared" si="58"/>
        <v>6.5470483495411589</v>
      </c>
      <c r="AA248" s="28" t="e">
        <f t="shared" si="59"/>
        <v>#N/A</v>
      </c>
      <c r="AB248" s="28" t="e">
        <f t="shared" si="60"/>
        <v>#VALUE!</v>
      </c>
      <c r="AC248" s="29">
        <f t="shared" si="61"/>
        <v>226.75521821631881</v>
      </c>
      <c r="AD248" s="28" t="e">
        <f t="shared" si="62"/>
        <v>#VALUE!</v>
      </c>
      <c r="AE248" s="28" t="e">
        <f t="shared" si="63"/>
        <v>#N/A</v>
      </c>
      <c r="AF248" s="28" t="e">
        <f t="shared" si="64"/>
        <v>#VALUE!</v>
      </c>
      <c r="AH248" s="31" t="e">
        <f t="shared" si="65"/>
        <v>#N/A</v>
      </c>
      <c r="AI248" s="25"/>
      <c r="AJ248" s="31"/>
    </row>
    <row r="249" spans="2:36" x14ac:dyDescent="0.25">
      <c r="B249" s="33">
        <f>'Arbitrage Payback Engine'!E249</f>
        <v>6.5744418572798242</v>
      </c>
      <c r="C249" s="33">
        <f t="shared" si="51"/>
        <v>1000</v>
      </c>
      <c r="D249" s="33">
        <f>'Battery Pricing Model'!$C$17</f>
        <v>1000</v>
      </c>
      <c r="E249" s="33">
        <f t="shared" si="52"/>
        <v>999</v>
      </c>
      <c r="F249" s="33" t="str">
        <f>'Peak Models'!$B$4</f>
        <v>Default</v>
      </c>
      <c r="G249" s="33" t="e">
        <f>'Peak Models'!$Q$7</f>
        <v>#VALUE!</v>
      </c>
      <c r="H249" s="33">
        <f>'Peak Models'!$P$16</f>
        <v>1.5</v>
      </c>
      <c r="I249" s="33">
        <v>12</v>
      </c>
      <c r="J249" s="33" t="e">
        <f>'Peak Models'!$P$13</f>
        <v>#N/A</v>
      </c>
      <c r="K249" s="28" t="e">
        <f t="shared" si="53"/>
        <v>#VALUE!</v>
      </c>
      <c r="L249" s="28" t="e">
        <f>INDEX('Peak Models'!$P$34:$P$64, MATCH(TRUNC(B249, 0), 'Peak Models'!$O$34:$O$64, 0))</f>
        <v>#N/A</v>
      </c>
      <c r="M249" s="28">
        <f>'Peak Models'!$P$15*INDEX('Peak Models'!$Q$34:$Q$64, MATCH(TRUNC(B249, 0),'Peak Models'!$O$34:$O$64, 0))/'Profit per cycles Model'!$E$78</f>
        <v>5.4573807915900714</v>
      </c>
      <c r="N249" s="28" t="e">
        <f t="shared" si="54"/>
        <v>#N/A</v>
      </c>
      <c r="O249" s="71" t="e">
        <f>AVERAGE($N$10:N249)</f>
        <v>#N/A</v>
      </c>
      <c r="P249" s="28" t="e">
        <f t="shared" si="55"/>
        <v>#N/A</v>
      </c>
      <c r="R249" s="28" t="e">
        <f t="shared" si="56"/>
        <v>#VALUE!</v>
      </c>
      <c r="S249" s="25"/>
      <c r="T249" s="25">
        <f t="shared" si="57"/>
        <v>15</v>
      </c>
      <c r="U249" s="33">
        <f>IF(PaybackCustom&gt;0, IF(PaybackCustom&lt;&gt;"Default", PaybackCustom, IF(PaybackStatus&lt;&gt;"",INDEX('Arbitrage Payback Engine'!$Y$2:$Y$6,MATCH(PaybackStatus,'Arbitrage Payback Engine'!$X$2:$X$6,FALSE)),-1)))</f>
        <v>25</v>
      </c>
      <c r="V249" s="32">
        <f t="shared" si="66"/>
        <v>15</v>
      </c>
      <c r="X249" s="29">
        <f t="shared" si="67"/>
        <v>240</v>
      </c>
      <c r="Z249" s="30">
        <f t="shared" si="58"/>
        <v>6.5744418572798242</v>
      </c>
      <c r="AA249" s="28" t="e">
        <f t="shared" si="59"/>
        <v>#N/A</v>
      </c>
      <c r="AB249" s="28" t="e">
        <f t="shared" si="60"/>
        <v>#VALUE!</v>
      </c>
      <c r="AC249" s="29">
        <f t="shared" si="61"/>
        <v>227.70398481973433</v>
      </c>
      <c r="AD249" s="28" t="e">
        <f t="shared" si="62"/>
        <v>#VALUE!</v>
      </c>
      <c r="AE249" s="28" t="e">
        <f t="shared" si="63"/>
        <v>#N/A</v>
      </c>
      <c r="AF249" s="28" t="e">
        <f t="shared" si="64"/>
        <v>#VALUE!</v>
      </c>
      <c r="AH249" s="31" t="e">
        <f t="shared" si="65"/>
        <v>#N/A</v>
      </c>
      <c r="AI249" s="25"/>
      <c r="AJ249" s="31"/>
    </row>
    <row r="250" spans="2:36" x14ac:dyDescent="0.25">
      <c r="B250" s="33">
        <f>'Arbitrage Payback Engine'!E250</f>
        <v>6.6018353650184904</v>
      </c>
      <c r="C250" s="33">
        <f t="shared" si="51"/>
        <v>1000</v>
      </c>
      <c r="D250" s="33">
        <f>'Battery Pricing Model'!$C$17</f>
        <v>1000</v>
      </c>
      <c r="E250" s="33">
        <f t="shared" si="52"/>
        <v>999</v>
      </c>
      <c r="F250" s="33" t="str">
        <f>'Peak Models'!$B$4</f>
        <v>Default</v>
      </c>
      <c r="G250" s="33" t="e">
        <f>'Peak Models'!$Q$7</f>
        <v>#VALUE!</v>
      </c>
      <c r="H250" s="33">
        <f>'Peak Models'!$P$16</f>
        <v>1.5</v>
      </c>
      <c r="I250" s="33">
        <v>12</v>
      </c>
      <c r="J250" s="33" t="e">
        <f>'Peak Models'!$P$13</f>
        <v>#N/A</v>
      </c>
      <c r="K250" s="28" t="e">
        <f t="shared" si="53"/>
        <v>#VALUE!</v>
      </c>
      <c r="L250" s="28" t="e">
        <f>INDEX('Peak Models'!$P$34:$P$64, MATCH(TRUNC(B250, 0), 'Peak Models'!$O$34:$O$64, 0))</f>
        <v>#N/A</v>
      </c>
      <c r="M250" s="28">
        <f>'Peak Models'!$P$15*INDEX('Peak Models'!$Q$34:$Q$64, MATCH(TRUNC(B250, 0),'Peak Models'!$O$34:$O$64, 0))/'Profit per cycles Model'!$E$78</f>
        <v>5.4573807915900714</v>
      </c>
      <c r="N250" s="28" t="e">
        <f t="shared" si="54"/>
        <v>#N/A</v>
      </c>
      <c r="O250" s="71" t="e">
        <f>AVERAGE($N$10:N250)</f>
        <v>#N/A</v>
      </c>
      <c r="P250" s="28" t="e">
        <f t="shared" si="55"/>
        <v>#N/A</v>
      </c>
      <c r="R250" s="28" t="e">
        <f t="shared" si="56"/>
        <v>#VALUE!</v>
      </c>
      <c r="S250" s="25"/>
      <c r="T250" s="25">
        <f t="shared" si="57"/>
        <v>15</v>
      </c>
      <c r="U250" s="33">
        <f>IF(PaybackCustom&gt;0, IF(PaybackCustom&lt;&gt;"Default", PaybackCustom, IF(PaybackStatus&lt;&gt;"",INDEX('Arbitrage Payback Engine'!$Y$2:$Y$6,MATCH(PaybackStatus,'Arbitrage Payback Engine'!$X$2:$X$6,FALSE)),-1)))</f>
        <v>25</v>
      </c>
      <c r="V250" s="32">
        <f t="shared" si="66"/>
        <v>15</v>
      </c>
      <c r="X250" s="29">
        <f t="shared" si="67"/>
        <v>241</v>
      </c>
      <c r="Z250" s="30">
        <f t="shared" si="58"/>
        <v>6.6018353650184904</v>
      </c>
      <c r="AA250" s="28" t="e">
        <f t="shared" si="59"/>
        <v>#N/A</v>
      </c>
      <c r="AB250" s="28" t="e">
        <f t="shared" si="60"/>
        <v>#VALUE!</v>
      </c>
      <c r="AC250" s="29">
        <f t="shared" si="61"/>
        <v>228.65275142314994</v>
      </c>
      <c r="AD250" s="28" t="e">
        <f t="shared" si="62"/>
        <v>#VALUE!</v>
      </c>
      <c r="AE250" s="28" t="e">
        <f t="shared" si="63"/>
        <v>#N/A</v>
      </c>
      <c r="AF250" s="28" t="e">
        <f t="shared" si="64"/>
        <v>#VALUE!</v>
      </c>
      <c r="AH250" s="31" t="e">
        <f t="shared" si="65"/>
        <v>#N/A</v>
      </c>
      <c r="AI250" s="25"/>
      <c r="AJ250" s="31"/>
    </row>
    <row r="251" spans="2:36" x14ac:dyDescent="0.25">
      <c r="B251" s="33">
        <f>'Arbitrage Payback Engine'!E251</f>
        <v>6.6292288727571567</v>
      </c>
      <c r="C251" s="33">
        <f t="shared" si="51"/>
        <v>1000</v>
      </c>
      <c r="D251" s="33">
        <f>'Battery Pricing Model'!$C$17</f>
        <v>1000</v>
      </c>
      <c r="E251" s="33">
        <f t="shared" si="52"/>
        <v>999</v>
      </c>
      <c r="F251" s="33" t="str">
        <f>'Peak Models'!$B$4</f>
        <v>Default</v>
      </c>
      <c r="G251" s="33" t="e">
        <f>'Peak Models'!$Q$7</f>
        <v>#VALUE!</v>
      </c>
      <c r="H251" s="33">
        <f>'Peak Models'!$P$16</f>
        <v>1.5</v>
      </c>
      <c r="I251" s="33">
        <v>12</v>
      </c>
      <c r="J251" s="33" t="e">
        <f>'Peak Models'!$P$13</f>
        <v>#N/A</v>
      </c>
      <c r="K251" s="28" t="e">
        <f t="shared" si="53"/>
        <v>#VALUE!</v>
      </c>
      <c r="L251" s="28" t="e">
        <f>INDEX('Peak Models'!$P$34:$P$64, MATCH(TRUNC(B251, 0), 'Peak Models'!$O$34:$O$64, 0))</f>
        <v>#N/A</v>
      </c>
      <c r="M251" s="28">
        <f>'Peak Models'!$P$15*INDEX('Peak Models'!$Q$34:$Q$64, MATCH(TRUNC(B251, 0),'Peak Models'!$O$34:$O$64, 0))/'Profit per cycles Model'!$E$78</f>
        <v>5.4573807915900714</v>
      </c>
      <c r="N251" s="28" t="e">
        <f t="shared" si="54"/>
        <v>#N/A</v>
      </c>
      <c r="O251" s="71" t="e">
        <f>AVERAGE($N$10:N251)</f>
        <v>#N/A</v>
      </c>
      <c r="P251" s="28" t="e">
        <f t="shared" si="55"/>
        <v>#N/A</v>
      </c>
      <c r="R251" s="28" t="e">
        <f t="shared" si="56"/>
        <v>#VALUE!</v>
      </c>
      <c r="S251" s="25"/>
      <c r="T251" s="25">
        <f t="shared" si="57"/>
        <v>15</v>
      </c>
      <c r="U251" s="33">
        <f>IF(PaybackCustom&gt;0, IF(PaybackCustom&lt;&gt;"Default", PaybackCustom, IF(PaybackStatus&lt;&gt;"",INDEX('Arbitrage Payback Engine'!$Y$2:$Y$6,MATCH(PaybackStatus,'Arbitrage Payback Engine'!$X$2:$X$6,FALSE)),-1)))</f>
        <v>25</v>
      </c>
      <c r="V251" s="32">
        <f t="shared" si="66"/>
        <v>15</v>
      </c>
      <c r="X251" s="29">
        <f t="shared" si="67"/>
        <v>242</v>
      </c>
      <c r="Z251" s="30">
        <f t="shared" si="58"/>
        <v>6.6292288727571567</v>
      </c>
      <c r="AA251" s="28" t="e">
        <f t="shared" si="59"/>
        <v>#N/A</v>
      </c>
      <c r="AB251" s="28" t="e">
        <f t="shared" si="60"/>
        <v>#VALUE!</v>
      </c>
      <c r="AC251" s="29">
        <f t="shared" si="61"/>
        <v>229.60151802656549</v>
      </c>
      <c r="AD251" s="28" t="e">
        <f t="shared" si="62"/>
        <v>#VALUE!</v>
      </c>
      <c r="AE251" s="28" t="e">
        <f t="shared" si="63"/>
        <v>#N/A</v>
      </c>
      <c r="AF251" s="28" t="e">
        <f t="shared" si="64"/>
        <v>#VALUE!</v>
      </c>
      <c r="AH251" s="31" t="e">
        <f t="shared" si="65"/>
        <v>#N/A</v>
      </c>
      <c r="AI251" s="25"/>
      <c r="AJ251" s="31"/>
    </row>
    <row r="252" spans="2:36" x14ac:dyDescent="0.25">
      <c r="B252" s="33">
        <f>'Arbitrage Payback Engine'!E252</f>
        <v>6.656622380495822</v>
      </c>
      <c r="C252" s="33">
        <f t="shared" si="51"/>
        <v>1000</v>
      </c>
      <c r="D252" s="33">
        <f>'Battery Pricing Model'!$C$17</f>
        <v>1000</v>
      </c>
      <c r="E252" s="33">
        <f t="shared" si="52"/>
        <v>999</v>
      </c>
      <c r="F252" s="33" t="str">
        <f>'Peak Models'!$B$4</f>
        <v>Default</v>
      </c>
      <c r="G252" s="33" t="e">
        <f>'Peak Models'!$Q$7</f>
        <v>#VALUE!</v>
      </c>
      <c r="H252" s="33">
        <f>'Peak Models'!$P$16</f>
        <v>1.5</v>
      </c>
      <c r="I252" s="33">
        <v>12</v>
      </c>
      <c r="J252" s="33" t="e">
        <f>'Peak Models'!$P$13</f>
        <v>#N/A</v>
      </c>
      <c r="K252" s="28" t="e">
        <f t="shared" si="53"/>
        <v>#VALUE!</v>
      </c>
      <c r="L252" s="28" t="e">
        <f>INDEX('Peak Models'!$P$34:$P$64, MATCH(TRUNC(B252, 0), 'Peak Models'!$O$34:$O$64, 0))</f>
        <v>#N/A</v>
      </c>
      <c r="M252" s="28">
        <f>'Peak Models'!$P$15*INDEX('Peak Models'!$Q$34:$Q$64, MATCH(TRUNC(B252, 0),'Peak Models'!$O$34:$O$64, 0))/'Profit per cycles Model'!$E$78</f>
        <v>5.4573807915900714</v>
      </c>
      <c r="N252" s="28" t="e">
        <f t="shared" si="54"/>
        <v>#N/A</v>
      </c>
      <c r="O252" s="71" t="e">
        <f>AVERAGE($N$10:N252)</f>
        <v>#N/A</v>
      </c>
      <c r="P252" s="28" t="e">
        <f t="shared" si="55"/>
        <v>#N/A</v>
      </c>
      <c r="R252" s="28" t="e">
        <f t="shared" si="56"/>
        <v>#VALUE!</v>
      </c>
      <c r="S252" s="25"/>
      <c r="T252" s="25">
        <f t="shared" si="57"/>
        <v>15</v>
      </c>
      <c r="U252" s="33">
        <f>IF(PaybackCustom&gt;0, IF(PaybackCustom&lt;&gt;"Default", PaybackCustom, IF(PaybackStatus&lt;&gt;"",INDEX('Arbitrage Payback Engine'!$Y$2:$Y$6,MATCH(PaybackStatus,'Arbitrage Payback Engine'!$X$2:$X$6,FALSE)),-1)))</f>
        <v>25</v>
      </c>
      <c r="V252" s="32">
        <f t="shared" si="66"/>
        <v>15</v>
      </c>
      <c r="X252" s="29">
        <f t="shared" si="67"/>
        <v>243</v>
      </c>
      <c r="Z252" s="30">
        <f t="shared" si="58"/>
        <v>6.656622380495822</v>
      </c>
      <c r="AA252" s="28" t="e">
        <f t="shared" si="59"/>
        <v>#N/A</v>
      </c>
      <c r="AB252" s="28" t="e">
        <f t="shared" si="60"/>
        <v>#VALUE!</v>
      </c>
      <c r="AC252" s="29">
        <f t="shared" si="61"/>
        <v>230.55028462998101</v>
      </c>
      <c r="AD252" s="28" t="e">
        <f t="shared" si="62"/>
        <v>#VALUE!</v>
      </c>
      <c r="AE252" s="28" t="e">
        <f t="shared" si="63"/>
        <v>#N/A</v>
      </c>
      <c r="AF252" s="28" t="e">
        <f t="shared" si="64"/>
        <v>#VALUE!</v>
      </c>
      <c r="AH252" s="31" t="e">
        <f t="shared" si="65"/>
        <v>#N/A</v>
      </c>
      <c r="AI252" s="25"/>
      <c r="AJ252" s="31"/>
    </row>
    <row r="253" spans="2:36" x14ac:dyDescent="0.25">
      <c r="B253" s="33">
        <f>'Arbitrage Payback Engine'!E253</f>
        <v>6.6840158882344882</v>
      </c>
      <c r="C253" s="33">
        <f t="shared" si="51"/>
        <v>1000</v>
      </c>
      <c r="D253" s="33">
        <f>'Battery Pricing Model'!$C$17</f>
        <v>1000</v>
      </c>
      <c r="E253" s="33">
        <f t="shared" si="52"/>
        <v>999</v>
      </c>
      <c r="F253" s="33" t="str">
        <f>'Peak Models'!$B$4</f>
        <v>Default</v>
      </c>
      <c r="G253" s="33" t="e">
        <f>'Peak Models'!$Q$7</f>
        <v>#VALUE!</v>
      </c>
      <c r="H253" s="33">
        <f>'Peak Models'!$P$16</f>
        <v>1.5</v>
      </c>
      <c r="I253" s="33">
        <v>12</v>
      </c>
      <c r="J253" s="33" t="e">
        <f>'Peak Models'!$P$13</f>
        <v>#N/A</v>
      </c>
      <c r="K253" s="28" t="e">
        <f t="shared" si="53"/>
        <v>#VALUE!</v>
      </c>
      <c r="L253" s="28" t="e">
        <f>INDEX('Peak Models'!$P$34:$P$64, MATCH(TRUNC(B253, 0), 'Peak Models'!$O$34:$O$64, 0))</f>
        <v>#N/A</v>
      </c>
      <c r="M253" s="28">
        <f>'Peak Models'!$P$15*INDEX('Peak Models'!$Q$34:$Q$64, MATCH(TRUNC(B253, 0),'Peak Models'!$O$34:$O$64, 0))/'Profit per cycles Model'!$E$78</f>
        <v>5.4573807915900714</v>
      </c>
      <c r="N253" s="28" t="e">
        <f t="shared" si="54"/>
        <v>#N/A</v>
      </c>
      <c r="O253" s="71" t="e">
        <f>AVERAGE($N$10:N253)</f>
        <v>#N/A</v>
      </c>
      <c r="P253" s="28" t="e">
        <f t="shared" si="55"/>
        <v>#N/A</v>
      </c>
      <c r="R253" s="28" t="e">
        <f t="shared" si="56"/>
        <v>#VALUE!</v>
      </c>
      <c r="S253" s="25"/>
      <c r="T253" s="25">
        <f t="shared" si="57"/>
        <v>15</v>
      </c>
      <c r="U253" s="33">
        <f>IF(PaybackCustom&gt;0, IF(PaybackCustom&lt;&gt;"Default", PaybackCustom, IF(PaybackStatus&lt;&gt;"",INDEX('Arbitrage Payback Engine'!$Y$2:$Y$6,MATCH(PaybackStatus,'Arbitrage Payback Engine'!$X$2:$X$6,FALSE)),-1)))</f>
        <v>25</v>
      </c>
      <c r="V253" s="32">
        <f t="shared" si="66"/>
        <v>15</v>
      </c>
      <c r="X253" s="29">
        <f t="shared" si="67"/>
        <v>244</v>
      </c>
      <c r="Z253" s="30">
        <f t="shared" si="58"/>
        <v>6.6840158882344882</v>
      </c>
      <c r="AA253" s="28" t="e">
        <f t="shared" si="59"/>
        <v>#N/A</v>
      </c>
      <c r="AB253" s="28" t="e">
        <f t="shared" si="60"/>
        <v>#VALUE!</v>
      </c>
      <c r="AC253" s="29">
        <f t="shared" si="61"/>
        <v>231.49905123339661</v>
      </c>
      <c r="AD253" s="28" t="e">
        <f t="shared" si="62"/>
        <v>#VALUE!</v>
      </c>
      <c r="AE253" s="28" t="e">
        <f t="shared" si="63"/>
        <v>#N/A</v>
      </c>
      <c r="AF253" s="28" t="e">
        <f t="shared" si="64"/>
        <v>#VALUE!</v>
      </c>
      <c r="AH253" s="31" t="e">
        <f t="shared" si="65"/>
        <v>#N/A</v>
      </c>
      <c r="AI253" s="25"/>
      <c r="AJ253" s="31"/>
    </row>
    <row r="254" spans="2:36" x14ac:dyDescent="0.25">
      <c r="B254" s="33">
        <f>'Arbitrage Payback Engine'!E254</f>
        <v>6.7114093959731544</v>
      </c>
      <c r="C254" s="33">
        <f t="shared" si="51"/>
        <v>1000</v>
      </c>
      <c r="D254" s="33">
        <f>'Battery Pricing Model'!$C$17</f>
        <v>1000</v>
      </c>
      <c r="E254" s="33">
        <f t="shared" si="52"/>
        <v>999</v>
      </c>
      <c r="F254" s="33" t="str">
        <f>'Peak Models'!$B$4</f>
        <v>Default</v>
      </c>
      <c r="G254" s="33" t="e">
        <f>'Peak Models'!$Q$7</f>
        <v>#VALUE!</v>
      </c>
      <c r="H254" s="33">
        <f>'Peak Models'!$P$16</f>
        <v>1.5</v>
      </c>
      <c r="I254" s="33">
        <v>12</v>
      </c>
      <c r="J254" s="33" t="e">
        <f>'Peak Models'!$P$13</f>
        <v>#N/A</v>
      </c>
      <c r="K254" s="28" t="e">
        <f t="shared" si="53"/>
        <v>#VALUE!</v>
      </c>
      <c r="L254" s="28" t="e">
        <f>INDEX('Peak Models'!$P$34:$P$64, MATCH(TRUNC(B254, 0), 'Peak Models'!$O$34:$O$64, 0))</f>
        <v>#N/A</v>
      </c>
      <c r="M254" s="28">
        <f>'Peak Models'!$P$15*INDEX('Peak Models'!$Q$34:$Q$64, MATCH(TRUNC(B254, 0),'Peak Models'!$O$34:$O$64, 0))/'Profit per cycles Model'!$E$78</f>
        <v>5.4573807915900714</v>
      </c>
      <c r="N254" s="28" t="e">
        <f t="shared" si="54"/>
        <v>#N/A</v>
      </c>
      <c r="O254" s="71" t="e">
        <f>AVERAGE($N$10:N254)</f>
        <v>#N/A</v>
      </c>
      <c r="P254" s="28" t="e">
        <f t="shared" si="55"/>
        <v>#N/A</v>
      </c>
      <c r="R254" s="28" t="e">
        <f t="shared" si="56"/>
        <v>#VALUE!</v>
      </c>
      <c r="S254" s="25"/>
      <c r="T254" s="25">
        <f t="shared" si="57"/>
        <v>15</v>
      </c>
      <c r="U254" s="33">
        <f>IF(PaybackCustom&gt;0, IF(PaybackCustom&lt;&gt;"Default", PaybackCustom, IF(PaybackStatus&lt;&gt;"",INDEX('Arbitrage Payback Engine'!$Y$2:$Y$6,MATCH(PaybackStatus,'Arbitrage Payback Engine'!$X$2:$X$6,FALSE)),-1)))</f>
        <v>25</v>
      </c>
      <c r="V254" s="32">
        <f t="shared" si="66"/>
        <v>15</v>
      </c>
      <c r="X254" s="29">
        <f t="shared" si="67"/>
        <v>245</v>
      </c>
      <c r="Z254" s="30">
        <f t="shared" si="58"/>
        <v>6.7114093959731544</v>
      </c>
      <c r="AA254" s="28" t="e">
        <f t="shared" si="59"/>
        <v>#N/A</v>
      </c>
      <c r="AB254" s="28" t="e">
        <f t="shared" si="60"/>
        <v>#VALUE!</v>
      </c>
      <c r="AC254" s="29">
        <f t="shared" si="61"/>
        <v>232.44781783681216</v>
      </c>
      <c r="AD254" s="28" t="e">
        <f t="shared" si="62"/>
        <v>#VALUE!</v>
      </c>
      <c r="AE254" s="28" t="e">
        <f t="shared" si="63"/>
        <v>#N/A</v>
      </c>
      <c r="AF254" s="28" t="e">
        <f t="shared" si="64"/>
        <v>#VALUE!</v>
      </c>
      <c r="AH254" s="31" t="e">
        <f t="shared" si="65"/>
        <v>#N/A</v>
      </c>
      <c r="AI254" s="25"/>
      <c r="AJ254" s="31"/>
    </row>
    <row r="255" spans="2:36" x14ac:dyDescent="0.25">
      <c r="B255" s="33">
        <f>'Arbitrage Payback Engine'!E255</f>
        <v>6.7388029037118198</v>
      </c>
      <c r="C255" s="33">
        <f t="shared" si="51"/>
        <v>1000</v>
      </c>
      <c r="D255" s="33">
        <f>'Battery Pricing Model'!$C$17</f>
        <v>1000</v>
      </c>
      <c r="E255" s="33">
        <f t="shared" si="52"/>
        <v>999</v>
      </c>
      <c r="F255" s="33" t="str">
        <f>'Peak Models'!$B$4</f>
        <v>Default</v>
      </c>
      <c r="G255" s="33" t="e">
        <f>'Peak Models'!$Q$7</f>
        <v>#VALUE!</v>
      </c>
      <c r="H255" s="33">
        <f>'Peak Models'!$P$16</f>
        <v>1.5</v>
      </c>
      <c r="I255" s="33">
        <v>12</v>
      </c>
      <c r="J255" s="33" t="e">
        <f>'Peak Models'!$P$13</f>
        <v>#N/A</v>
      </c>
      <c r="K255" s="28" t="e">
        <f t="shared" si="53"/>
        <v>#VALUE!</v>
      </c>
      <c r="L255" s="28" t="e">
        <f>INDEX('Peak Models'!$P$34:$P$64, MATCH(TRUNC(B255, 0), 'Peak Models'!$O$34:$O$64, 0))</f>
        <v>#N/A</v>
      </c>
      <c r="M255" s="28">
        <f>'Peak Models'!$P$15*INDEX('Peak Models'!$Q$34:$Q$64, MATCH(TRUNC(B255, 0),'Peak Models'!$O$34:$O$64, 0))/'Profit per cycles Model'!$E$78</f>
        <v>5.4573807915900714</v>
      </c>
      <c r="N255" s="28" t="e">
        <f t="shared" si="54"/>
        <v>#N/A</v>
      </c>
      <c r="O255" s="71" t="e">
        <f>AVERAGE($N$10:N255)</f>
        <v>#N/A</v>
      </c>
      <c r="P255" s="28" t="e">
        <f t="shared" si="55"/>
        <v>#N/A</v>
      </c>
      <c r="R255" s="28" t="e">
        <f t="shared" si="56"/>
        <v>#VALUE!</v>
      </c>
      <c r="S255" s="25"/>
      <c r="T255" s="25">
        <f t="shared" si="57"/>
        <v>15</v>
      </c>
      <c r="U255" s="33">
        <f>IF(PaybackCustom&gt;0, IF(PaybackCustom&lt;&gt;"Default", PaybackCustom, IF(PaybackStatus&lt;&gt;"",INDEX('Arbitrage Payback Engine'!$Y$2:$Y$6,MATCH(PaybackStatus,'Arbitrage Payback Engine'!$X$2:$X$6,FALSE)),-1)))</f>
        <v>25</v>
      </c>
      <c r="V255" s="32">
        <f t="shared" si="66"/>
        <v>15</v>
      </c>
      <c r="X255" s="29">
        <f t="shared" si="67"/>
        <v>246</v>
      </c>
      <c r="Z255" s="30">
        <f t="shared" si="58"/>
        <v>6.7388029037118198</v>
      </c>
      <c r="AA255" s="28" t="e">
        <f t="shared" si="59"/>
        <v>#N/A</v>
      </c>
      <c r="AB255" s="28" t="e">
        <f t="shared" si="60"/>
        <v>#VALUE!</v>
      </c>
      <c r="AC255" s="29">
        <f t="shared" si="61"/>
        <v>233.39658444022768</v>
      </c>
      <c r="AD255" s="28" t="e">
        <f t="shared" si="62"/>
        <v>#VALUE!</v>
      </c>
      <c r="AE255" s="28" t="e">
        <f t="shared" si="63"/>
        <v>#N/A</v>
      </c>
      <c r="AF255" s="28" t="e">
        <f t="shared" si="64"/>
        <v>#VALUE!</v>
      </c>
      <c r="AH255" s="31" t="e">
        <f t="shared" si="65"/>
        <v>#N/A</v>
      </c>
      <c r="AI255" s="25"/>
      <c r="AJ255" s="31"/>
    </row>
    <row r="256" spans="2:36" x14ac:dyDescent="0.25">
      <c r="B256" s="33">
        <f>'Arbitrage Payback Engine'!E256</f>
        <v>6.766196411450486</v>
      </c>
      <c r="C256" s="33">
        <f t="shared" si="51"/>
        <v>1000</v>
      </c>
      <c r="D256" s="33">
        <f>'Battery Pricing Model'!$C$17</f>
        <v>1000</v>
      </c>
      <c r="E256" s="33">
        <f t="shared" si="52"/>
        <v>999</v>
      </c>
      <c r="F256" s="33" t="str">
        <f>'Peak Models'!$B$4</f>
        <v>Default</v>
      </c>
      <c r="G256" s="33" t="e">
        <f>'Peak Models'!$Q$7</f>
        <v>#VALUE!</v>
      </c>
      <c r="H256" s="33">
        <f>'Peak Models'!$P$16</f>
        <v>1.5</v>
      </c>
      <c r="I256" s="33">
        <v>12</v>
      </c>
      <c r="J256" s="33" t="e">
        <f>'Peak Models'!$P$13</f>
        <v>#N/A</v>
      </c>
      <c r="K256" s="28" t="e">
        <f t="shared" si="53"/>
        <v>#VALUE!</v>
      </c>
      <c r="L256" s="28" t="e">
        <f>INDEX('Peak Models'!$P$34:$P$64, MATCH(TRUNC(B256, 0), 'Peak Models'!$O$34:$O$64, 0))</f>
        <v>#N/A</v>
      </c>
      <c r="M256" s="28">
        <f>'Peak Models'!$P$15*INDEX('Peak Models'!$Q$34:$Q$64, MATCH(TRUNC(B256, 0),'Peak Models'!$O$34:$O$64, 0))/'Profit per cycles Model'!$E$78</f>
        <v>5.4573807915900714</v>
      </c>
      <c r="N256" s="28" t="e">
        <f t="shared" si="54"/>
        <v>#N/A</v>
      </c>
      <c r="O256" s="71" t="e">
        <f>AVERAGE($N$10:N256)</f>
        <v>#N/A</v>
      </c>
      <c r="P256" s="28" t="e">
        <f t="shared" si="55"/>
        <v>#N/A</v>
      </c>
      <c r="R256" s="28" t="e">
        <f t="shared" si="56"/>
        <v>#VALUE!</v>
      </c>
      <c r="S256" s="25"/>
      <c r="T256" s="25">
        <f t="shared" si="57"/>
        <v>15</v>
      </c>
      <c r="U256" s="33">
        <f>IF(PaybackCustom&gt;0, IF(PaybackCustom&lt;&gt;"Default", PaybackCustom, IF(PaybackStatus&lt;&gt;"",INDEX('Arbitrage Payback Engine'!$Y$2:$Y$6,MATCH(PaybackStatus,'Arbitrage Payback Engine'!$X$2:$X$6,FALSE)),-1)))</f>
        <v>25</v>
      </c>
      <c r="V256" s="32">
        <f t="shared" si="66"/>
        <v>15</v>
      </c>
      <c r="X256" s="29">
        <f t="shared" si="67"/>
        <v>247</v>
      </c>
      <c r="Z256" s="30">
        <f t="shared" si="58"/>
        <v>6.766196411450486</v>
      </c>
      <c r="AA256" s="28" t="e">
        <f t="shared" si="59"/>
        <v>#N/A</v>
      </c>
      <c r="AB256" s="28" t="e">
        <f t="shared" si="60"/>
        <v>#VALUE!</v>
      </c>
      <c r="AC256" s="29">
        <f t="shared" si="61"/>
        <v>234.34535104364329</v>
      </c>
      <c r="AD256" s="28" t="e">
        <f t="shared" si="62"/>
        <v>#VALUE!</v>
      </c>
      <c r="AE256" s="28" t="e">
        <f t="shared" si="63"/>
        <v>#N/A</v>
      </c>
      <c r="AF256" s="28" t="e">
        <f t="shared" si="64"/>
        <v>#VALUE!</v>
      </c>
      <c r="AH256" s="31" t="e">
        <f t="shared" si="65"/>
        <v>#N/A</v>
      </c>
      <c r="AI256" s="25"/>
      <c r="AJ256" s="31"/>
    </row>
    <row r="257" spans="2:36" x14ac:dyDescent="0.25">
      <c r="B257" s="33">
        <f>'Arbitrage Payback Engine'!E257</f>
        <v>6.7935899191891522</v>
      </c>
      <c r="C257" s="33">
        <f t="shared" si="51"/>
        <v>1000</v>
      </c>
      <c r="D257" s="33">
        <f>'Battery Pricing Model'!$C$17</f>
        <v>1000</v>
      </c>
      <c r="E257" s="33">
        <f t="shared" si="52"/>
        <v>999</v>
      </c>
      <c r="F257" s="33" t="str">
        <f>'Peak Models'!$B$4</f>
        <v>Default</v>
      </c>
      <c r="G257" s="33" t="e">
        <f>'Peak Models'!$Q$7</f>
        <v>#VALUE!</v>
      </c>
      <c r="H257" s="33">
        <f>'Peak Models'!$P$16</f>
        <v>1.5</v>
      </c>
      <c r="I257" s="33">
        <v>12</v>
      </c>
      <c r="J257" s="33" t="e">
        <f>'Peak Models'!$P$13</f>
        <v>#N/A</v>
      </c>
      <c r="K257" s="28" t="e">
        <f t="shared" si="53"/>
        <v>#VALUE!</v>
      </c>
      <c r="L257" s="28" t="e">
        <f>INDEX('Peak Models'!$P$34:$P$64, MATCH(TRUNC(B257, 0), 'Peak Models'!$O$34:$O$64, 0))</f>
        <v>#N/A</v>
      </c>
      <c r="M257" s="28">
        <f>'Peak Models'!$P$15*INDEX('Peak Models'!$Q$34:$Q$64, MATCH(TRUNC(B257, 0),'Peak Models'!$O$34:$O$64, 0))/'Profit per cycles Model'!$E$78</f>
        <v>5.4573807915900714</v>
      </c>
      <c r="N257" s="28" t="e">
        <f t="shared" si="54"/>
        <v>#N/A</v>
      </c>
      <c r="O257" s="71" t="e">
        <f>AVERAGE($N$10:N257)</f>
        <v>#N/A</v>
      </c>
      <c r="P257" s="28" t="e">
        <f t="shared" si="55"/>
        <v>#N/A</v>
      </c>
      <c r="R257" s="28" t="e">
        <f t="shared" si="56"/>
        <v>#VALUE!</v>
      </c>
      <c r="S257" s="25"/>
      <c r="T257" s="25">
        <f t="shared" si="57"/>
        <v>15</v>
      </c>
      <c r="U257" s="33">
        <f>IF(PaybackCustom&gt;0, IF(PaybackCustom&lt;&gt;"Default", PaybackCustom, IF(PaybackStatus&lt;&gt;"",INDEX('Arbitrage Payback Engine'!$Y$2:$Y$6,MATCH(PaybackStatus,'Arbitrage Payback Engine'!$X$2:$X$6,FALSE)),-1)))</f>
        <v>25</v>
      </c>
      <c r="V257" s="32">
        <f t="shared" si="66"/>
        <v>15</v>
      </c>
      <c r="X257" s="29">
        <f t="shared" si="67"/>
        <v>248</v>
      </c>
      <c r="Z257" s="30">
        <f t="shared" si="58"/>
        <v>6.7935899191891522</v>
      </c>
      <c r="AA257" s="28" t="e">
        <f t="shared" si="59"/>
        <v>#N/A</v>
      </c>
      <c r="AB257" s="28" t="e">
        <f t="shared" si="60"/>
        <v>#VALUE!</v>
      </c>
      <c r="AC257" s="29">
        <f t="shared" si="61"/>
        <v>235.29411764705884</v>
      </c>
      <c r="AD257" s="28" t="e">
        <f t="shared" si="62"/>
        <v>#VALUE!</v>
      </c>
      <c r="AE257" s="28" t="e">
        <f t="shared" si="63"/>
        <v>#N/A</v>
      </c>
      <c r="AF257" s="28" t="e">
        <f t="shared" si="64"/>
        <v>#VALUE!</v>
      </c>
      <c r="AH257" s="31" t="e">
        <f t="shared" si="65"/>
        <v>#N/A</v>
      </c>
      <c r="AI257" s="25"/>
      <c r="AJ257" s="31"/>
    </row>
    <row r="258" spans="2:36" x14ac:dyDescent="0.25">
      <c r="B258" s="33">
        <f>'Arbitrage Payback Engine'!E258</f>
        <v>6.8209834269278176</v>
      </c>
      <c r="C258" s="33">
        <f t="shared" si="51"/>
        <v>1000</v>
      </c>
      <c r="D258" s="33">
        <f>'Battery Pricing Model'!$C$17</f>
        <v>1000</v>
      </c>
      <c r="E258" s="33">
        <f t="shared" si="52"/>
        <v>999</v>
      </c>
      <c r="F258" s="33" t="str">
        <f>'Peak Models'!$B$4</f>
        <v>Default</v>
      </c>
      <c r="G258" s="33" t="e">
        <f>'Peak Models'!$Q$7</f>
        <v>#VALUE!</v>
      </c>
      <c r="H258" s="33">
        <f>'Peak Models'!$P$16</f>
        <v>1.5</v>
      </c>
      <c r="I258" s="33">
        <v>12</v>
      </c>
      <c r="J258" s="33" t="e">
        <f>'Peak Models'!$P$13</f>
        <v>#N/A</v>
      </c>
      <c r="K258" s="28" t="e">
        <f t="shared" si="53"/>
        <v>#VALUE!</v>
      </c>
      <c r="L258" s="28" t="e">
        <f>INDEX('Peak Models'!$P$34:$P$64, MATCH(TRUNC(B258, 0), 'Peak Models'!$O$34:$O$64, 0))</f>
        <v>#N/A</v>
      </c>
      <c r="M258" s="28">
        <f>'Peak Models'!$P$15*INDEX('Peak Models'!$Q$34:$Q$64, MATCH(TRUNC(B258, 0),'Peak Models'!$O$34:$O$64, 0))/'Profit per cycles Model'!$E$78</f>
        <v>5.4573807915900714</v>
      </c>
      <c r="N258" s="28" t="e">
        <f t="shared" si="54"/>
        <v>#N/A</v>
      </c>
      <c r="O258" s="71" t="e">
        <f>AVERAGE($N$10:N258)</f>
        <v>#N/A</v>
      </c>
      <c r="P258" s="28" t="e">
        <f t="shared" si="55"/>
        <v>#N/A</v>
      </c>
      <c r="R258" s="28" t="e">
        <f t="shared" si="56"/>
        <v>#VALUE!</v>
      </c>
      <c r="S258" s="25"/>
      <c r="T258" s="25">
        <f t="shared" si="57"/>
        <v>15</v>
      </c>
      <c r="U258" s="33">
        <f>IF(PaybackCustom&gt;0, IF(PaybackCustom&lt;&gt;"Default", PaybackCustom, IF(PaybackStatus&lt;&gt;"",INDEX('Arbitrage Payback Engine'!$Y$2:$Y$6,MATCH(PaybackStatus,'Arbitrage Payback Engine'!$X$2:$X$6,FALSE)),-1)))</f>
        <v>25</v>
      </c>
      <c r="V258" s="32">
        <f t="shared" si="66"/>
        <v>15</v>
      </c>
      <c r="X258" s="29">
        <f t="shared" si="67"/>
        <v>249</v>
      </c>
      <c r="Z258" s="30">
        <f t="shared" si="58"/>
        <v>6.8209834269278176</v>
      </c>
      <c r="AA258" s="28" t="e">
        <f t="shared" si="59"/>
        <v>#N/A</v>
      </c>
      <c r="AB258" s="28" t="e">
        <f t="shared" si="60"/>
        <v>#VALUE!</v>
      </c>
      <c r="AC258" s="29">
        <f t="shared" si="61"/>
        <v>236.24288425047436</v>
      </c>
      <c r="AD258" s="28" t="e">
        <f t="shared" si="62"/>
        <v>#VALUE!</v>
      </c>
      <c r="AE258" s="28" t="e">
        <f t="shared" si="63"/>
        <v>#N/A</v>
      </c>
      <c r="AF258" s="28" t="e">
        <f t="shared" si="64"/>
        <v>#VALUE!</v>
      </c>
      <c r="AH258" s="31" t="e">
        <f t="shared" si="65"/>
        <v>#N/A</v>
      </c>
      <c r="AI258" s="25"/>
      <c r="AJ258" s="31"/>
    </row>
    <row r="259" spans="2:36" x14ac:dyDescent="0.25">
      <c r="B259" s="33">
        <f>'Arbitrage Payback Engine'!E259</f>
        <v>6.8483769346664838</v>
      </c>
      <c r="C259" s="33">
        <f t="shared" si="51"/>
        <v>1000</v>
      </c>
      <c r="D259" s="33">
        <f>'Battery Pricing Model'!$C$17</f>
        <v>1000</v>
      </c>
      <c r="E259" s="33">
        <f t="shared" si="52"/>
        <v>999</v>
      </c>
      <c r="F259" s="33" t="str">
        <f>'Peak Models'!$B$4</f>
        <v>Default</v>
      </c>
      <c r="G259" s="33" t="e">
        <f>'Peak Models'!$Q$7</f>
        <v>#VALUE!</v>
      </c>
      <c r="H259" s="33">
        <f>'Peak Models'!$P$16</f>
        <v>1.5</v>
      </c>
      <c r="I259" s="33">
        <v>12</v>
      </c>
      <c r="J259" s="33" t="e">
        <f>'Peak Models'!$P$13</f>
        <v>#N/A</v>
      </c>
      <c r="K259" s="28" t="e">
        <f t="shared" si="53"/>
        <v>#VALUE!</v>
      </c>
      <c r="L259" s="28" t="e">
        <f>INDEX('Peak Models'!$P$34:$P$64, MATCH(TRUNC(B259, 0), 'Peak Models'!$O$34:$O$64, 0))</f>
        <v>#N/A</v>
      </c>
      <c r="M259" s="28">
        <f>'Peak Models'!$P$15*INDEX('Peak Models'!$Q$34:$Q$64, MATCH(TRUNC(B259, 0),'Peak Models'!$O$34:$O$64, 0))/'Profit per cycles Model'!$E$78</f>
        <v>5.4573807915900714</v>
      </c>
      <c r="N259" s="28" t="e">
        <f t="shared" si="54"/>
        <v>#N/A</v>
      </c>
      <c r="O259" s="71" t="e">
        <f>AVERAGE($N$10:N259)</f>
        <v>#N/A</v>
      </c>
      <c r="P259" s="28" t="e">
        <f t="shared" si="55"/>
        <v>#N/A</v>
      </c>
      <c r="R259" s="28" t="e">
        <f t="shared" si="56"/>
        <v>#VALUE!</v>
      </c>
      <c r="S259" s="25"/>
      <c r="T259" s="25">
        <f t="shared" si="57"/>
        <v>15</v>
      </c>
      <c r="U259" s="33">
        <f>IF(PaybackCustom&gt;0, IF(PaybackCustom&lt;&gt;"Default", PaybackCustom, IF(PaybackStatus&lt;&gt;"",INDEX('Arbitrage Payback Engine'!$Y$2:$Y$6,MATCH(PaybackStatus,'Arbitrage Payback Engine'!$X$2:$X$6,FALSE)),-1)))</f>
        <v>25</v>
      </c>
      <c r="V259" s="32">
        <f t="shared" si="66"/>
        <v>15</v>
      </c>
      <c r="X259" s="29">
        <f t="shared" si="67"/>
        <v>250</v>
      </c>
      <c r="Z259" s="30">
        <f t="shared" si="58"/>
        <v>6.8483769346664838</v>
      </c>
      <c r="AA259" s="28" t="e">
        <f t="shared" si="59"/>
        <v>#N/A</v>
      </c>
      <c r="AB259" s="28" t="e">
        <f t="shared" si="60"/>
        <v>#VALUE!</v>
      </c>
      <c r="AC259" s="29">
        <f t="shared" si="61"/>
        <v>237.19165085388994</v>
      </c>
      <c r="AD259" s="28" t="e">
        <f t="shared" si="62"/>
        <v>#VALUE!</v>
      </c>
      <c r="AE259" s="28" t="e">
        <f t="shared" si="63"/>
        <v>#N/A</v>
      </c>
      <c r="AF259" s="28" t="e">
        <f t="shared" si="64"/>
        <v>#VALUE!</v>
      </c>
      <c r="AH259" s="31" t="e">
        <f t="shared" si="65"/>
        <v>#N/A</v>
      </c>
      <c r="AI259" s="25"/>
      <c r="AJ259" s="31"/>
    </row>
    <row r="260" spans="2:36" x14ac:dyDescent="0.25">
      <c r="B260" s="33">
        <f>'Arbitrage Payback Engine'!E260</f>
        <v>6.87577044240515</v>
      </c>
      <c r="C260" s="33">
        <f t="shared" si="51"/>
        <v>1000</v>
      </c>
      <c r="D260" s="33">
        <f>'Battery Pricing Model'!$C$17</f>
        <v>1000</v>
      </c>
      <c r="E260" s="33">
        <f t="shared" si="52"/>
        <v>999</v>
      </c>
      <c r="F260" s="33" t="str">
        <f>'Peak Models'!$B$4</f>
        <v>Default</v>
      </c>
      <c r="G260" s="33" t="e">
        <f>'Peak Models'!$Q$7</f>
        <v>#VALUE!</v>
      </c>
      <c r="H260" s="33">
        <f>'Peak Models'!$P$16</f>
        <v>1.5</v>
      </c>
      <c r="I260" s="33">
        <v>12</v>
      </c>
      <c r="J260" s="33" t="e">
        <f>'Peak Models'!$P$13</f>
        <v>#N/A</v>
      </c>
      <c r="K260" s="28" t="e">
        <f t="shared" si="53"/>
        <v>#VALUE!</v>
      </c>
      <c r="L260" s="28" t="e">
        <f>INDEX('Peak Models'!$P$34:$P$64, MATCH(TRUNC(B260, 0), 'Peak Models'!$O$34:$O$64, 0))</f>
        <v>#N/A</v>
      </c>
      <c r="M260" s="28">
        <f>'Peak Models'!$P$15*INDEX('Peak Models'!$Q$34:$Q$64, MATCH(TRUNC(B260, 0),'Peak Models'!$O$34:$O$64, 0))/'Profit per cycles Model'!$E$78</f>
        <v>5.4573807915900714</v>
      </c>
      <c r="N260" s="28" t="e">
        <f t="shared" si="54"/>
        <v>#N/A</v>
      </c>
      <c r="O260" s="71" t="e">
        <f>AVERAGE($N$10:N260)</f>
        <v>#N/A</v>
      </c>
      <c r="P260" s="28" t="e">
        <f t="shared" si="55"/>
        <v>#N/A</v>
      </c>
      <c r="R260" s="28" t="e">
        <f t="shared" si="56"/>
        <v>#VALUE!</v>
      </c>
      <c r="S260" s="25"/>
      <c r="T260" s="25">
        <f t="shared" si="57"/>
        <v>15</v>
      </c>
      <c r="U260" s="33">
        <f>IF(PaybackCustom&gt;0, IF(PaybackCustom&lt;&gt;"Default", PaybackCustom, IF(PaybackStatus&lt;&gt;"",INDEX('Arbitrage Payback Engine'!$Y$2:$Y$6,MATCH(PaybackStatus,'Arbitrage Payback Engine'!$X$2:$X$6,FALSE)),-1)))</f>
        <v>25</v>
      </c>
      <c r="V260" s="32">
        <f t="shared" si="66"/>
        <v>15</v>
      </c>
      <c r="X260" s="29">
        <f t="shared" si="67"/>
        <v>251</v>
      </c>
      <c r="Z260" s="30">
        <f t="shared" si="58"/>
        <v>6.87577044240515</v>
      </c>
      <c r="AA260" s="28" t="e">
        <f t="shared" si="59"/>
        <v>#N/A</v>
      </c>
      <c r="AB260" s="28" t="e">
        <f t="shared" si="60"/>
        <v>#VALUE!</v>
      </c>
      <c r="AC260" s="29">
        <f t="shared" si="61"/>
        <v>238.14041745730552</v>
      </c>
      <c r="AD260" s="28" t="e">
        <f t="shared" si="62"/>
        <v>#VALUE!</v>
      </c>
      <c r="AE260" s="28" t="e">
        <f t="shared" si="63"/>
        <v>#N/A</v>
      </c>
      <c r="AF260" s="28" t="e">
        <f t="shared" si="64"/>
        <v>#VALUE!</v>
      </c>
      <c r="AH260" s="31" t="e">
        <f t="shared" si="65"/>
        <v>#N/A</v>
      </c>
      <c r="AI260" s="25"/>
      <c r="AJ260" s="31"/>
    </row>
    <row r="261" spans="2:36" x14ac:dyDescent="0.25">
      <c r="B261" s="33">
        <f>'Arbitrage Payback Engine'!E261</f>
        <v>6.9031639501438153</v>
      </c>
      <c r="C261" s="33">
        <f t="shared" si="51"/>
        <v>1000</v>
      </c>
      <c r="D261" s="33">
        <f>'Battery Pricing Model'!$C$17</f>
        <v>1000</v>
      </c>
      <c r="E261" s="33">
        <f t="shared" si="52"/>
        <v>999</v>
      </c>
      <c r="F261" s="33" t="str">
        <f>'Peak Models'!$B$4</f>
        <v>Default</v>
      </c>
      <c r="G261" s="33" t="e">
        <f>'Peak Models'!$Q$7</f>
        <v>#VALUE!</v>
      </c>
      <c r="H261" s="33">
        <f>'Peak Models'!$P$16</f>
        <v>1.5</v>
      </c>
      <c r="I261" s="33">
        <v>12</v>
      </c>
      <c r="J261" s="33" t="e">
        <f>'Peak Models'!$P$13</f>
        <v>#N/A</v>
      </c>
      <c r="K261" s="28" t="e">
        <f t="shared" si="53"/>
        <v>#VALUE!</v>
      </c>
      <c r="L261" s="28" t="e">
        <f>INDEX('Peak Models'!$P$34:$P$64, MATCH(TRUNC(B261, 0), 'Peak Models'!$O$34:$O$64, 0))</f>
        <v>#N/A</v>
      </c>
      <c r="M261" s="28">
        <f>'Peak Models'!$P$15*INDEX('Peak Models'!$Q$34:$Q$64, MATCH(TRUNC(B261, 0),'Peak Models'!$O$34:$O$64, 0))/'Profit per cycles Model'!$E$78</f>
        <v>5.4573807915900714</v>
      </c>
      <c r="N261" s="28" t="e">
        <f t="shared" si="54"/>
        <v>#N/A</v>
      </c>
      <c r="O261" s="71" t="e">
        <f>AVERAGE($N$10:N261)</f>
        <v>#N/A</v>
      </c>
      <c r="P261" s="28" t="e">
        <f t="shared" si="55"/>
        <v>#N/A</v>
      </c>
      <c r="R261" s="28" t="e">
        <f t="shared" si="56"/>
        <v>#VALUE!</v>
      </c>
      <c r="S261" s="25"/>
      <c r="T261" s="25">
        <f t="shared" si="57"/>
        <v>15</v>
      </c>
      <c r="U261" s="33">
        <f>IF(PaybackCustom&gt;0, IF(PaybackCustom&lt;&gt;"Default", PaybackCustom, IF(PaybackStatus&lt;&gt;"",INDEX('Arbitrage Payback Engine'!$Y$2:$Y$6,MATCH(PaybackStatus,'Arbitrage Payback Engine'!$X$2:$X$6,FALSE)),-1)))</f>
        <v>25</v>
      </c>
      <c r="V261" s="32">
        <f t="shared" si="66"/>
        <v>15</v>
      </c>
      <c r="X261" s="29">
        <f t="shared" si="67"/>
        <v>252</v>
      </c>
      <c r="Z261" s="30">
        <f t="shared" si="58"/>
        <v>6.9031639501438153</v>
      </c>
      <c r="AA261" s="28" t="e">
        <f t="shared" si="59"/>
        <v>#N/A</v>
      </c>
      <c r="AB261" s="28" t="e">
        <f t="shared" si="60"/>
        <v>#VALUE!</v>
      </c>
      <c r="AC261" s="29">
        <f t="shared" si="61"/>
        <v>239.08918406072107</v>
      </c>
      <c r="AD261" s="28" t="e">
        <f t="shared" si="62"/>
        <v>#VALUE!</v>
      </c>
      <c r="AE261" s="28" t="e">
        <f t="shared" si="63"/>
        <v>#N/A</v>
      </c>
      <c r="AF261" s="28" t="e">
        <f t="shared" si="64"/>
        <v>#VALUE!</v>
      </c>
      <c r="AH261" s="31" t="e">
        <f t="shared" si="65"/>
        <v>#N/A</v>
      </c>
      <c r="AI261" s="25"/>
      <c r="AJ261" s="31"/>
    </row>
    <row r="262" spans="2:36" x14ac:dyDescent="0.25">
      <c r="B262" s="33">
        <f>'Arbitrage Payback Engine'!E262</f>
        <v>6.9305574578824816</v>
      </c>
      <c r="C262" s="33">
        <f t="shared" si="51"/>
        <v>1000</v>
      </c>
      <c r="D262" s="33">
        <f>'Battery Pricing Model'!$C$17</f>
        <v>1000</v>
      </c>
      <c r="E262" s="33">
        <f t="shared" si="52"/>
        <v>999</v>
      </c>
      <c r="F262" s="33" t="str">
        <f>'Peak Models'!$B$4</f>
        <v>Default</v>
      </c>
      <c r="G262" s="33" t="e">
        <f>'Peak Models'!$Q$7</f>
        <v>#VALUE!</v>
      </c>
      <c r="H262" s="33">
        <f>'Peak Models'!$P$16</f>
        <v>1.5</v>
      </c>
      <c r="I262" s="33">
        <v>12</v>
      </c>
      <c r="J262" s="33" t="e">
        <f>'Peak Models'!$P$13</f>
        <v>#N/A</v>
      </c>
      <c r="K262" s="28" t="e">
        <f t="shared" si="53"/>
        <v>#VALUE!</v>
      </c>
      <c r="L262" s="28" t="e">
        <f>INDEX('Peak Models'!$P$34:$P$64, MATCH(TRUNC(B262, 0), 'Peak Models'!$O$34:$O$64, 0))</f>
        <v>#N/A</v>
      </c>
      <c r="M262" s="28">
        <f>'Peak Models'!$P$15*INDEX('Peak Models'!$Q$34:$Q$64, MATCH(TRUNC(B262, 0),'Peak Models'!$O$34:$O$64, 0))/'Profit per cycles Model'!$E$78</f>
        <v>5.4573807915900714</v>
      </c>
      <c r="N262" s="28" t="e">
        <f t="shared" si="54"/>
        <v>#N/A</v>
      </c>
      <c r="O262" s="71" t="e">
        <f>AVERAGE($N$10:N262)</f>
        <v>#N/A</v>
      </c>
      <c r="P262" s="28" t="e">
        <f t="shared" si="55"/>
        <v>#N/A</v>
      </c>
      <c r="R262" s="28" t="e">
        <f t="shared" si="56"/>
        <v>#VALUE!</v>
      </c>
      <c r="S262" s="25"/>
      <c r="T262" s="25">
        <f t="shared" si="57"/>
        <v>15</v>
      </c>
      <c r="U262" s="33">
        <f>IF(PaybackCustom&gt;0, IF(PaybackCustom&lt;&gt;"Default", PaybackCustom, IF(PaybackStatus&lt;&gt;"",INDEX('Arbitrage Payback Engine'!$Y$2:$Y$6,MATCH(PaybackStatus,'Arbitrage Payback Engine'!$X$2:$X$6,FALSE)),-1)))</f>
        <v>25</v>
      </c>
      <c r="V262" s="32">
        <f t="shared" si="66"/>
        <v>15</v>
      </c>
      <c r="X262" s="29">
        <f t="shared" si="67"/>
        <v>253</v>
      </c>
      <c r="Z262" s="30">
        <f t="shared" si="58"/>
        <v>6.9305574578824816</v>
      </c>
      <c r="AA262" s="28" t="e">
        <f t="shared" si="59"/>
        <v>#N/A</v>
      </c>
      <c r="AB262" s="28" t="e">
        <f t="shared" si="60"/>
        <v>#VALUE!</v>
      </c>
      <c r="AC262" s="29">
        <f t="shared" si="61"/>
        <v>240.03795066413662</v>
      </c>
      <c r="AD262" s="28" t="e">
        <f t="shared" si="62"/>
        <v>#VALUE!</v>
      </c>
      <c r="AE262" s="28" t="e">
        <f t="shared" si="63"/>
        <v>#N/A</v>
      </c>
      <c r="AF262" s="28" t="e">
        <f t="shared" si="64"/>
        <v>#VALUE!</v>
      </c>
      <c r="AH262" s="31" t="e">
        <f t="shared" si="65"/>
        <v>#N/A</v>
      </c>
      <c r="AI262" s="25"/>
      <c r="AJ262" s="31"/>
    </row>
    <row r="263" spans="2:36" x14ac:dyDescent="0.25">
      <c r="B263" s="33">
        <f>'Arbitrage Payback Engine'!E263</f>
        <v>6.9579509656211478</v>
      </c>
      <c r="C263" s="33">
        <f t="shared" si="51"/>
        <v>1000</v>
      </c>
      <c r="D263" s="33">
        <f>'Battery Pricing Model'!$C$17</f>
        <v>1000</v>
      </c>
      <c r="E263" s="33">
        <f t="shared" si="52"/>
        <v>999</v>
      </c>
      <c r="F263" s="33" t="str">
        <f>'Peak Models'!$B$4</f>
        <v>Default</v>
      </c>
      <c r="G263" s="33" t="e">
        <f>'Peak Models'!$Q$7</f>
        <v>#VALUE!</v>
      </c>
      <c r="H263" s="33">
        <f>'Peak Models'!$P$16</f>
        <v>1.5</v>
      </c>
      <c r="I263" s="33">
        <v>12</v>
      </c>
      <c r="J263" s="33" t="e">
        <f>'Peak Models'!$P$13</f>
        <v>#N/A</v>
      </c>
      <c r="K263" s="28" t="e">
        <f t="shared" si="53"/>
        <v>#VALUE!</v>
      </c>
      <c r="L263" s="28" t="e">
        <f>INDEX('Peak Models'!$P$34:$P$64, MATCH(TRUNC(B263, 0), 'Peak Models'!$O$34:$O$64, 0))</f>
        <v>#N/A</v>
      </c>
      <c r="M263" s="28">
        <f>'Peak Models'!$P$15*INDEX('Peak Models'!$Q$34:$Q$64, MATCH(TRUNC(B263, 0),'Peak Models'!$O$34:$O$64, 0))/'Profit per cycles Model'!$E$78</f>
        <v>5.4573807915900714</v>
      </c>
      <c r="N263" s="28" t="e">
        <f t="shared" si="54"/>
        <v>#N/A</v>
      </c>
      <c r="O263" s="71" t="e">
        <f>AVERAGE($N$10:N263)</f>
        <v>#N/A</v>
      </c>
      <c r="P263" s="28" t="e">
        <f t="shared" si="55"/>
        <v>#N/A</v>
      </c>
      <c r="R263" s="28" t="e">
        <f t="shared" si="56"/>
        <v>#VALUE!</v>
      </c>
      <c r="S263" s="25"/>
      <c r="T263" s="25">
        <f t="shared" si="57"/>
        <v>15</v>
      </c>
      <c r="U263" s="33">
        <f>IF(PaybackCustom&gt;0, IF(PaybackCustom&lt;&gt;"Default", PaybackCustom, IF(PaybackStatus&lt;&gt;"",INDEX('Arbitrage Payback Engine'!$Y$2:$Y$6,MATCH(PaybackStatus,'Arbitrage Payback Engine'!$X$2:$X$6,FALSE)),-1)))</f>
        <v>25</v>
      </c>
      <c r="V263" s="32">
        <f t="shared" si="66"/>
        <v>15</v>
      </c>
      <c r="X263" s="29">
        <f t="shared" si="67"/>
        <v>254</v>
      </c>
      <c r="Z263" s="30">
        <f t="shared" si="58"/>
        <v>6.9579509656211478</v>
      </c>
      <c r="AA263" s="28" t="e">
        <f t="shared" si="59"/>
        <v>#N/A</v>
      </c>
      <c r="AB263" s="28" t="e">
        <f t="shared" si="60"/>
        <v>#VALUE!</v>
      </c>
      <c r="AC263" s="29">
        <f t="shared" si="61"/>
        <v>240.98671726755219</v>
      </c>
      <c r="AD263" s="28" t="e">
        <f t="shared" si="62"/>
        <v>#VALUE!</v>
      </c>
      <c r="AE263" s="28" t="e">
        <f t="shared" si="63"/>
        <v>#N/A</v>
      </c>
      <c r="AF263" s="28" t="e">
        <f t="shared" si="64"/>
        <v>#VALUE!</v>
      </c>
      <c r="AH263" s="31" t="e">
        <f t="shared" si="65"/>
        <v>#N/A</v>
      </c>
      <c r="AI263" s="25"/>
      <c r="AJ263" s="31"/>
    </row>
    <row r="264" spans="2:36" x14ac:dyDescent="0.25">
      <c r="B264" s="33">
        <f>'Arbitrage Payback Engine'!E264</f>
        <v>6.9853444733598131</v>
      </c>
      <c r="C264" s="33">
        <f t="shared" si="51"/>
        <v>1000</v>
      </c>
      <c r="D264" s="33">
        <f>'Battery Pricing Model'!$C$17</f>
        <v>1000</v>
      </c>
      <c r="E264" s="33">
        <f t="shared" si="52"/>
        <v>999</v>
      </c>
      <c r="F264" s="33" t="str">
        <f>'Peak Models'!$B$4</f>
        <v>Default</v>
      </c>
      <c r="G264" s="33" t="e">
        <f>'Peak Models'!$Q$7</f>
        <v>#VALUE!</v>
      </c>
      <c r="H264" s="33">
        <f>'Peak Models'!$P$16</f>
        <v>1.5</v>
      </c>
      <c r="I264" s="33">
        <v>12</v>
      </c>
      <c r="J264" s="33" t="e">
        <f>'Peak Models'!$P$13</f>
        <v>#N/A</v>
      </c>
      <c r="K264" s="28" t="e">
        <f t="shared" si="53"/>
        <v>#VALUE!</v>
      </c>
      <c r="L264" s="28" t="e">
        <f>INDEX('Peak Models'!$P$34:$P$64, MATCH(TRUNC(B264, 0), 'Peak Models'!$O$34:$O$64, 0))</f>
        <v>#N/A</v>
      </c>
      <c r="M264" s="28">
        <f>'Peak Models'!$P$15*INDEX('Peak Models'!$Q$34:$Q$64, MATCH(TRUNC(B264, 0),'Peak Models'!$O$34:$O$64, 0))/'Profit per cycles Model'!$E$78</f>
        <v>5.4573807915900714</v>
      </c>
      <c r="N264" s="28" t="e">
        <f t="shared" si="54"/>
        <v>#N/A</v>
      </c>
      <c r="O264" s="71" t="e">
        <f>AVERAGE($N$10:N264)</f>
        <v>#N/A</v>
      </c>
      <c r="P264" s="28" t="e">
        <f t="shared" si="55"/>
        <v>#N/A</v>
      </c>
      <c r="R264" s="28" t="e">
        <f t="shared" si="56"/>
        <v>#VALUE!</v>
      </c>
      <c r="S264" s="25"/>
      <c r="T264" s="25">
        <f t="shared" si="57"/>
        <v>15</v>
      </c>
      <c r="U264" s="33">
        <f>IF(PaybackCustom&gt;0, IF(PaybackCustom&lt;&gt;"Default", PaybackCustom, IF(PaybackStatus&lt;&gt;"",INDEX('Arbitrage Payback Engine'!$Y$2:$Y$6,MATCH(PaybackStatus,'Arbitrage Payback Engine'!$X$2:$X$6,FALSE)),-1)))</f>
        <v>25</v>
      </c>
      <c r="V264" s="32">
        <f t="shared" si="66"/>
        <v>15</v>
      </c>
      <c r="X264" s="29">
        <f t="shared" si="67"/>
        <v>255</v>
      </c>
      <c r="Z264" s="30">
        <f t="shared" si="58"/>
        <v>6.9853444733598131</v>
      </c>
      <c r="AA264" s="28" t="e">
        <f t="shared" si="59"/>
        <v>#N/A</v>
      </c>
      <c r="AB264" s="28" t="e">
        <f t="shared" si="60"/>
        <v>#VALUE!</v>
      </c>
      <c r="AC264" s="29">
        <f t="shared" si="61"/>
        <v>241.93548387096774</v>
      </c>
      <c r="AD264" s="28" t="e">
        <f t="shared" si="62"/>
        <v>#VALUE!</v>
      </c>
      <c r="AE264" s="28" t="e">
        <f t="shared" si="63"/>
        <v>#N/A</v>
      </c>
      <c r="AF264" s="28" t="e">
        <f t="shared" si="64"/>
        <v>#VALUE!</v>
      </c>
      <c r="AH264" s="31" t="e">
        <f t="shared" si="65"/>
        <v>#N/A</v>
      </c>
      <c r="AI264" s="25"/>
      <c r="AJ264" s="31"/>
    </row>
    <row r="265" spans="2:36" x14ac:dyDescent="0.25">
      <c r="B265" s="33">
        <f>'Arbitrage Payback Engine'!E265</f>
        <v>7.0127379810984793</v>
      </c>
      <c r="C265" s="33">
        <f t="shared" si="51"/>
        <v>1000</v>
      </c>
      <c r="D265" s="33">
        <f>'Battery Pricing Model'!$C$17</f>
        <v>1000</v>
      </c>
      <c r="E265" s="33">
        <f t="shared" si="52"/>
        <v>999</v>
      </c>
      <c r="F265" s="33" t="str">
        <f>'Peak Models'!$B$4</f>
        <v>Default</v>
      </c>
      <c r="G265" s="33" t="e">
        <f>'Peak Models'!$Q$7</f>
        <v>#VALUE!</v>
      </c>
      <c r="H265" s="33">
        <f>'Peak Models'!$P$16</f>
        <v>1.5</v>
      </c>
      <c r="I265" s="33">
        <v>12</v>
      </c>
      <c r="J265" s="33" t="e">
        <f>'Peak Models'!$P$13</f>
        <v>#N/A</v>
      </c>
      <c r="K265" s="28" t="e">
        <f t="shared" si="53"/>
        <v>#VALUE!</v>
      </c>
      <c r="L265" s="28" t="e">
        <f>INDEX('Peak Models'!$P$34:$P$64, MATCH(TRUNC(B265, 0), 'Peak Models'!$O$34:$O$64, 0))</f>
        <v>#N/A</v>
      </c>
      <c r="M265" s="28">
        <f>'Peak Models'!$P$15*INDEX('Peak Models'!$Q$34:$Q$64, MATCH(TRUNC(B265, 0),'Peak Models'!$O$34:$O$64, 0))/'Profit per cycles Model'!$E$78</f>
        <v>5.5938153113798235</v>
      </c>
      <c r="N265" s="28" t="e">
        <f t="shared" si="54"/>
        <v>#N/A</v>
      </c>
      <c r="O265" s="71" t="e">
        <f>AVERAGE($N$10:N265)</f>
        <v>#N/A</v>
      </c>
      <c r="P265" s="28" t="e">
        <f t="shared" si="55"/>
        <v>#N/A</v>
      </c>
      <c r="R265" s="28" t="e">
        <f t="shared" si="56"/>
        <v>#VALUE!</v>
      </c>
      <c r="S265" s="25"/>
      <c r="T265" s="25">
        <f t="shared" si="57"/>
        <v>15</v>
      </c>
      <c r="U265" s="33">
        <f>IF(PaybackCustom&gt;0, IF(PaybackCustom&lt;&gt;"Default", PaybackCustom, IF(PaybackStatus&lt;&gt;"",INDEX('Arbitrage Payback Engine'!$Y$2:$Y$6,MATCH(PaybackStatus,'Arbitrage Payback Engine'!$X$2:$X$6,FALSE)),-1)))</f>
        <v>25</v>
      </c>
      <c r="V265" s="32">
        <f t="shared" si="66"/>
        <v>15</v>
      </c>
      <c r="X265" s="29">
        <f t="shared" si="67"/>
        <v>256</v>
      </c>
      <c r="Z265" s="30">
        <f t="shared" si="58"/>
        <v>7.0127379810984793</v>
      </c>
      <c r="AA265" s="28" t="e">
        <f t="shared" si="59"/>
        <v>#N/A</v>
      </c>
      <c r="AB265" s="28" t="e">
        <f t="shared" si="60"/>
        <v>#VALUE!</v>
      </c>
      <c r="AC265" s="29">
        <f t="shared" si="61"/>
        <v>242.88425047438329</v>
      </c>
      <c r="AD265" s="28" t="e">
        <f t="shared" si="62"/>
        <v>#VALUE!</v>
      </c>
      <c r="AE265" s="28" t="e">
        <f t="shared" si="63"/>
        <v>#N/A</v>
      </c>
      <c r="AF265" s="28" t="e">
        <f t="shared" si="64"/>
        <v>#VALUE!</v>
      </c>
      <c r="AH265" s="31" t="e">
        <f t="shared" si="65"/>
        <v>#N/A</v>
      </c>
      <c r="AI265" s="25"/>
      <c r="AJ265" s="31"/>
    </row>
    <row r="266" spans="2:36" x14ac:dyDescent="0.25">
      <c r="B266" s="33">
        <f>'Arbitrage Payback Engine'!E266</f>
        <v>7.0401314888371456</v>
      </c>
      <c r="C266" s="33">
        <f t="shared" ref="C266:C329" si="68">IF(OR($E$6="None", $E$6=0), D266, E266)</f>
        <v>1000</v>
      </c>
      <c r="D266" s="33">
        <f>'Battery Pricing Model'!$C$17</f>
        <v>1000</v>
      </c>
      <c r="E266" s="33">
        <f t="shared" ref="E266:E329" si="69">IF(OR($E$6="None", $E$6=0), 999, $D266*(E$6))</f>
        <v>999</v>
      </c>
      <c r="F266" s="33" t="str">
        <f>'Peak Models'!$B$4</f>
        <v>Default</v>
      </c>
      <c r="G266" s="33" t="e">
        <f>'Peak Models'!$Q$7</f>
        <v>#VALUE!</v>
      </c>
      <c r="H266" s="33">
        <f>'Peak Models'!$P$16</f>
        <v>1.5</v>
      </c>
      <c r="I266" s="33">
        <v>12</v>
      </c>
      <c r="J266" s="33" t="e">
        <f>'Peak Models'!$P$13</f>
        <v>#N/A</v>
      </c>
      <c r="K266" s="28" t="e">
        <f t="shared" ref="K266:K329" si="70">C266*G266/(H266*B266)</f>
        <v>#VALUE!</v>
      </c>
      <c r="L266" s="28" t="e">
        <f>INDEX('Peak Models'!$P$34:$P$64, MATCH(TRUNC(B266, 0), 'Peak Models'!$O$34:$O$64, 0))</f>
        <v>#N/A</v>
      </c>
      <c r="M266" s="28">
        <f>'Peak Models'!$P$15*INDEX('Peak Models'!$Q$34:$Q$64, MATCH(TRUNC(B266, 0),'Peak Models'!$O$34:$O$64, 0))/'Profit per cycles Model'!$E$78</f>
        <v>5.5938153113798235</v>
      </c>
      <c r="N266" s="28" t="e">
        <f t="shared" ref="N266:N329" si="71">L266-M266</f>
        <v>#N/A</v>
      </c>
      <c r="O266" s="71" t="e">
        <f>AVERAGE($N$10:N266)</f>
        <v>#N/A</v>
      </c>
      <c r="P266" s="28" t="e">
        <f t="shared" ref="P266:P329" si="72">IF(O266-K266&lt;0, 999, O266-K266)</f>
        <v>#N/A</v>
      </c>
      <c r="R266" s="28" t="e">
        <f t="shared" ref="R266:R329" si="73">IF(ISNA(INDEX($K$10:$K$1063,MATCH(T266,$B$10:$B$1063,1))),-1,INDEX($K$10:$K$1063,MATCH(T266,$B$10:$B$1063,1)))</f>
        <v>#VALUE!</v>
      </c>
      <c r="S266" s="25"/>
      <c r="T266" s="25">
        <f t="shared" ref="T266:T329" si="74">IF( AND(U266&gt;0, V266&gt;0), IF(U266&lt;V266, U266, V266),  IF(U266&gt;0, U266, IF(V266&gt;0, V266, -1)) )</f>
        <v>15</v>
      </c>
      <c r="U266" s="33">
        <f>IF(PaybackCustom&gt;0, IF(PaybackCustom&lt;&gt;"Default", PaybackCustom, IF(PaybackStatus&lt;&gt;"",INDEX('Arbitrage Payback Engine'!$Y$2:$Y$6,MATCH(PaybackStatus,'Arbitrage Payback Engine'!$X$2:$X$6,FALSE)),-1)))</f>
        <v>25</v>
      </c>
      <c r="V266" s="32">
        <f t="shared" si="66"/>
        <v>15</v>
      </c>
      <c r="X266" s="29">
        <f t="shared" si="67"/>
        <v>257</v>
      </c>
      <c r="Z266" s="30">
        <f t="shared" ref="Z266:Z329" si="75">B266</f>
        <v>7.0401314888371456</v>
      </c>
      <c r="AA266" s="28" t="e">
        <f t="shared" ref="AA266:AA329" si="76">N266</f>
        <v>#N/A</v>
      </c>
      <c r="AB266" s="28" t="e">
        <f t="shared" ref="AB266:AB329" si="77">R266</f>
        <v>#VALUE!</v>
      </c>
      <c r="AC266" s="29">
        <f t="shared" ref="AC266:AC329" si="78">$AB$2*(Z266-$AB$3)/($AB$4-$AB$3)</f>
        <v>243.83301707779887</v>
      </c>
      <c r="AD266" s="28" t="e">
        <f t="shared" ref="AD266:AD329" si="79">MIN(AB266, AA266)</f>
        <v>#VALUE!</v>
      </c>
      <c r="AE266" s="28" t="e">
        <f t="shared" ref="AE266:AE329" si="80">IF(AND(Z266&lt;T266, AA266&gt;AB266), AA266-AB266, 0)</f>
        <v>#N/A</v>
      </c>
      <c r="AF266" s="28" t="e">
        <f t="shared" ref="AF266:AF329" si="81">IF(AND(Z266&lt;T266, AB266&gt;AA266), AB266-AA266, 0)</f>
        <v>#VALUE!</v>
      </c>
      <c r="AH266" s="31" t="e">
        <f t="shared" ref="AH266:AH329" si="82">(O266-K266)/K266</f>
        <v>#N/A</v>
      </c>
      <c r="AI266" s="25"/>
      <c r="AJ266" s="31"/>
    </row>
    <row r="267" spans="2:36" x14ac:dyDescent="0.25">
      <c r="B267" s="33">
        <f>'Arbitrage Payback Engine'!E267</f>
        <v>7.0675249965758109</v>
      </c>
      <c r="C267" s="33">
        <f t="shared" si="68"/>
        <v>1000</v>
      </c>
      <c r="D267" s="33">
        <f>'Battery Pricing Model'!$C$17</f>
        <v>1000</v>
      </c>
      <c r="E267" s="33">
        <f t="shared" si="69"/>
        <v>999</v>
      </c>
      <c r="F267" s="33" t="str">
        <f>'Peak Models'!$B$4</f>
        <v>Default</v>
      </c>
      <c r="G267" s="33" t="e">
        <f>'Peak Models'!$Q$7</f>
        <v>#VALUE!</v>
      </c>
      <c r="H267" s="33">
        <f>'Peak Models'!$P$16</f>
        <v>1.5</v>
      </c>
      <c r="I267" s="33">
        <v>12</v>
      </c>
      <c r="J267" s="33" t="e">
        <f>'Peak Models'!$P$13</f>
        <v>#N/A</v>
      </c>
      <c r="K267" s="28" t="e">
        <f t="shared" si="70"/>
        <v>#VALUE!</v>
      </c>
      <c r="L267" s="28" t="e">
        <f>INDEX('Peak Models'!$P$34:$P$64, MATCH(TRUNC(B267, 0), 'Peak Models'!$O$34:$O$64, 0))</f>
        <v>#N/A</v>
      </c>
      <c r="M267" s="28">
        <f>'Peak Models'!$P$15*INDEX('Peak Models'!$Q$34:$Q$64, MATCH(TRUNC(B267, 0),'Peak Models'!$O$34:$O$64, 0))/'Profit per cycles Model'!$E$78</f>
        <v>5.5938153113798235</v>
      </c>
      <c r="N267" s="28" t="e">
        <f t="shared" si="71"/>
        <v>#N/A</v>
      </c>
      <c r="O267" s="71" t="e">
        <f>AVERAGE($N$10:N267)</f>
        <v>#N/A</v>
      </c>
      <c r="P267" s="28" t="e">
        <f t="shared" si="72"/>
        <v>#N/A</v>
      </c>
      <c r="R267" s="28" t="e">
        <f t="shared" si="73"/>
        <v>#VALUE!</v>
      </c>
      <c r="S267" s="25"/>
      <c r="T267" s="25">
        <f t="shared" si="74"/>
        <v>15</v>
      </c>
      <c r="U267" s="33">
        <f>IF(PaybackCustom&gt;0, IF(PaybackCustom&lt;&gt;"Default", PaybackCustom, IF(PaybackStatus&lt;&gt;"",INDEX('Arbitrage Payback Engine'!$Y$2:$Y$6,MATCH(PaybackStatus,'Arbitrage Payback Engine'!$X$2:$X$6,FALSE)),-1)))</f>
        <v>25</v>
      </c>
      <c r="V267" s="32">
        <f t="shared" ref="V267:V330" si="83">IF(ISNUMBER($L$5), $L$5, 15)</f>
        <v>15</v>
      </c>
      <c r="X267" s="29">
        <f t="shared" ref="X267:X330" si="84">X266+1</f>
        <v>258</v>
      </c>
      <c r="Z267" s="30">
        <f t="shared" si="75"/>
        <v>7.0675249965758109</v>
      </c>
      <c r="AA267" s="28" t="e">
        <f t="shared" si="76"/>
        <v>#N/A</v>
      </c>
      <c r="AB267" s="28" t="e">
        <f t="shared" si="77"/>
        <v>#VALUE!</v>
      </c>
      <c r="AC267" s="29">
        <f t="shared" si="78"/>
        <v>244.78178368121442</v>
      </c>
      <c r="AD267" s="28" t="e">
        <f t="shared" si="79"/>
        <v>#VALUE!</v>
      </c>
      <c r="AE267" s="28" t="e">
        <f t="shared" si="80"/>
        <v>#N/A</v>
      </c>
      <c r="AF267" s="28" t="e">
        <f t="shared" si="81"/>
        <v>#VALUE!</v>
      </c>
      <c r="AH267" s="31" t="e">
        <f t="shared" si="82"/>
        <v>#N/A</v>
      </c>
      <c r="AI267" s="25"/>
      <c r="AJ267" s="31"/>
    </row>
    <row r="268" spans="2:36" x14ac:dyDescent="0.25">
      <c r="B268" s="33">
        <f>'Arbitrage Payback Engine'!E268</f>
        <v>7.0949185043144771</v>
      </c>
      <c r="C268" s="33">
        <f t="shared" si="68"/>
        <v>1000</v>
      </c>
      <c r="D268" s="33">
        <f>'Battery Pricing Model'!$C$17</f>
        <v>1000</v>
      </c>
      <c r="E268" s="33">
        <f t="shared" si="69"/>
        <v>999</v>
      </c>
      <c r="F268" s="33" t="str">
        <f>'Peak Models'!$B$4</f>
        <v>Default</v>
      </c>
      <c r="G268" s="33" t="e">
        <f>'Peak Models'!$Q$7</f>
        <v>#VALUE!</v>
      </c>
      <c r="H268" s="33">
        <f>'Peak Models'!$P$16</f>
        <v>1.5</v>
      </c>
      <c r="I268" s="33">
        <v>12</v>
      </c>
      <c r="J268" s="33" t="e">
        <f>'Peak Models'!$P$13</f>
        <v>#N/A</v>
      </c>
      <c r="K268" s="28" t="e">
        <f t="shared" si="70"/>
        <v>#VALUE!</v>
      </c>
      <c r="L268" s="28" t="e">
        <f>INDEX('Peak Models'!$P$34:$P$64, MATCH(TRUNC(B268, 0), 'Peak Models'!$O$34:$O$64, 0))</f>
        <v>#N/A</v>
      </c>
      <c r="M268" s="28">
        <f>'Peak Models'!$P$15*INDEX('Peak Models'!$Q$34:$Q$64, MATCH(TRUNC(B268, 0),'Peak Models'!$O$34:$O$64, 0))/'Profit per cycles Model'!$E$78</f>
        <v>5.5938153113798235</v>
      </c>
      <c r="N268" s="28" t="e">
        <f t="shared" si="71"/>
        <v>#N/A</v>
      </c>
      <c r="O268" s="71" t="e">
        <f>AVERAGE($N$10:N268)</f>
        <v>#N/A</v>
      </c>
      <c r="P268" s="28" t="e">
        <f t="shared" si="72"/>
        <v>#N/A</v>
      </c>
      <c r="R268" s="28" t="e">
        <f t="shared" si="73"/>
        <v>#VALUE!</v>
      </c>
      <c r="S268" s="25"/>
      <c r="T268" s="25">
        <f t="shared" si="74"/>
        <v>15</v>
      </c>
      <c r="U268" s="33">
        <f>IF(PaybackCustom&gt;0, IF(PaybackCustom&lt;&gt;"Default", PaybackCustom, IF(PaybackStatus&lt;&gt;"",INDEX('Arbitrage Payback Engine'!$Y$2:$Y$6,MATCH(PaybackStatus,'Arbitrage Payback Engine'!$X$2:$X$6,FALSE)),-1)))</f>
        <v>25</v>
      </c>
      <c r="V268" s="32">
        <f t="shared" si="83"/>
        <v>15</v>
      </c>
      <c r="X268" s="29">
        <f t="shared" si="84"/>
        <v>259</v>
      </c>
      <c r="Z268" s="30">
        <f t="shared" si="75"/>
        <v>7.0949185043144771</v>
      </c>
      <c r="AA268" s="28" t="e">
        <f t="shared" si="76"/>
        <v>#N/A</v>
      </c>
      <c r="AB268" s="28" t="e">
        <f t="shared" si="77"/>
        <v>#VALUE!</v>
      </c>
      <c r="AC268" s="29">
        <f t="shared" si="78"/>
        <v>245.73055028462997</v>
      </c>
      <c r="AD268" s="28" t="e">
        <f t="shared" si="79"/>
        <v>#VALUE!</v>
      </c>
      <c r="AE268" s="28" t="e">
        <f t="shared" si="80"/>
        <v>#N/A</v>
      </c>
      <c r="AF268" s="28" t="e">
        <f t="shared" si="81"/>
        <v>#VALUE!</v>
      </c>
      <c r="AH268" s="31" t="e">
        <f t="shared" si="82"/>
        <v>#N/A</v>
      </c>
      <c r="AI268" s="25"/>
      <c r="AJ268" s="31"/>
    </row>
    <row r="269" spans="2:36" x14ac:dyDescent="0.25">
      <c r="B269" s="33">
        <f>'Arbitrage Payback Engine'!E269</f>
        <v>7.1223120120531433</v>
      </c>
      <c r="C269" s="33">
        <f t="shared" si="68"/>
        <v>1000</v>
      </c>
      <c r="D269" s="33">
        <f>'Battery Pricing Model'!$C$17</f>
        <v>1000</v>
      </c>
      <c r="E269" s="33">
        <f t="shared" si="69"/>
        <v>999</v>
      </c>
      <c r="F269" s="33" t="str">
        <f>'Peak Models'!$B$4</f>
        <v>Default</v>
      </c>
      <c r="G269" s="33" t="e">
        <f>'Peak Models'!$Q$7</f>
        <v>#VALUE!</v>
      </c>
      <c r="H269" s="33">
        <f>'Peak Models'!$P$16</f>
        <v>1.5</v>
      </c>
      <c r="I269" s="33">
        <v>12</v>
      </c>
      <c r="J269" s="33" t="e">
        <f>'Peak Models'!$P$13</f>
        <v>#N/A</v>
      </c>
      <c r="K269" s="28" t="e">
        <f t="shared" si="70"/>
        <v>#VALUE!</v>
      </c>
      <c r="L269" s="28" t="e">
        <f>INDEX('Peak Models'!$P$34:$P$64, MATCH(TRUNC(B269, 0), 'Peak Models'!$O$34:$O$64, 0))</f>
        <v>#N/A</v>
      </c>
      <c r="M269" s="28">
        <f>'Peak Models'!$P$15*INDEX('Peak Models'!$Q$34:$Q$64, MATCH(TRUNC(B269, 0),'Peak Models'!$O$34:$O$64, 0))/'Profit per cycles Model'!$E$78</f>
        <v>5.5938153113798235</v>
      </c>
      <c r="N269" s="28" t="e">
        <f t="shared" si="71"/>
        <v>#N/A</v>
      </c>
      <c r="O269" s="71" t="e">
        <f>AVERAGE($N$10:N269)</f>
        <v>#N/A</v>
      </c>
      <c r="P269" s="28" t="e">
        <f t="shared" si="72"/>
        <v>#N/A</v>
      </c>
      <c r="R269" s="28" t="e">
        <f t="shared" si="73"/>
        <v>#VALUE!</v>
      </c>
      <c r="S269" s="25"/>
      <c r="T269" s="25">
        <f t="shared" si="74"/>
        <v>15</v>
      </c>
      <c r="U269" s="33">
        <f>IF(PaybackCustom&gt;0, IF(PaybackCustom&lt;&gt;"Default", PaybackCustom, IF(PaybackStatus&lt;&gt;"",INDEX('Arbitrage Payback Engine'!$Y$2:$Y$6,MATCH(PaybackStatus,'Arbitrage Payback Engine'!$X$2:$X$6,FALSE)),-1)))</f>
        <v>25</v>
      </c>
      <c r="V269" s="32">
        <f t="shared" si="83"/>
        <v>15</v>
      </c>
      <c r="X269" s="29">
        <f t="shared" si="84"/>
        <v>260</v>
      </c>
      <c r="Z269" s="30">
        <f t="shared" si="75"/>
        <v>7.1223120120531433</v>
      </c>
      <c r="AA269" s="28" t="e">
        <f t="shared" si="76"/>
        <v>#N/A</v>
      </c>
      <c r="AB269" s="28" t="e">
        <f t="shared" si="77"/>
        <v>#VALUE!</v>
      </c>
      <c r="AC269" s="29">
        <f t="shared" si="78"/>
        <v>246.67931688804555</v>
      </c>
      <c r="AD269" s="28" t="e">
        <f t="shared" si="79"/>
        <v>#VALUE!</v>
      </c>
      <c r="AE269" s="28" t="e">
        <f t="shared" si="80"/>
        <v>#N/A</v>
      </c>
      <c r="AF269" s="28" t="e">
        <f t="shared" si="81"/>
        <v>#VALUE!</v>
      </c>
      <c r="AH269" s="31" t="e">
        <f t="shared" si="82"/>
        <v>#N/A</v>
      </c>
      <c r="AI269" s="25"/>
      <c r="AJ269" s="31"/>
    </row>
    <row r="270" spans="2:36" x14ac:dyDescent="0.25">
      <c r="B270" s="33">
        <f>'Arbitrage Payback Engine'!E270</f>
        <v>7.1497055197918087</v>
      </c>
      <c r="C270" s="33">
        <f t="shared" si="68"/>
        <v>1000</v>
      </c>
      <c r="D270" s="33">
        <f>'Battery Pricing Model'!$C$17</f>
        <v>1000</v>
      </c>
      <c r="E270" s="33">
        <f t="shared" si="69"/>
        <v>999</v>
      </c>
      <c r="F270" s="33" t="str">
        <f>'Peak Models'!$B$4</f>
        <v>Default</v>
      </c>
      <c r="G270" s="33" t="e">
        <f>'Peak Models'!$Q$7</f>
        <v>#VALUE!</v>
      </c>
      <c r="H270" s="33">
        <f>'Peak Models'!$P$16</f>
        <v>1.5</v>
      </c>
      <c r="I270" s="33">
        <v>12</v>
      </c>
      <c r="J270" s="33" t="e">
        <f>'Peak Models'!$P$13</f>
        <v>#N/A</v>
      </c>
      <c r="K270" s="28" t="e">
        <f t="shared" si="70"/>
        <v>#VALUE!</v>
      </c>
      <c r="L270" s="28" t="e">
        <f>INDEX('Peak Models'!$P$34:$P$64, MATCH(TRUNC(B270, 0), 'Peak Models'!$O$34:$O$64, 0))</f>
        <v>#N/A</v>
      </c>
      <c r="M270" s="28">
        <f>'Peak Models'!$P$15*INDEX('Peak Models'!$Q$34:$Q$64, MATCH(TRUNC(B270, 0),'Peak Models'!$O$34:$O$64, 0))/'Profit per cycles Model'!$E$78</f>
        <v>5.5938153113798235</v>
      </c>
      <c r="N270" s="28" t="e">
        <f t="shared" si="71"/>
        <v>#N/A</v>
      </c>
      <c r="O270" s="71" t="e">
        <f>AVERAGE($N$10:N270)</f>
        <v>#N/A</v>
      </c>
      <c r="P270" s="28" t="e">
        <f t="shared" si="72"/>
        <v>#N/A</v>
      </c>
      <c r="R270" s="28" t="e">
        <f t="shared" si="73"/>
        <v>#VALUE!</v>
      </c>
      <c r="S270" s="25"/>
      <c r="T270" s="25">
        <f t="shared" si="74"/>
        <v>15</v>
      </c>
      <c r="U270" s="33">
        <f>IF(PaybackCustom&gt;0, IF(PaybackCustom&lt;&gt;"Default", PaybackCustom, IF(PaybackStatus&lt;&gt;"",INDEX('Arbitrage Payback Engine'!$Y$2:$Y$6,MATCH(PaybackStatus,'Arbitrage Payback Engine'!$X$2:$X$6,FALSE)),-1)))</f>
        <v>25</v>
      </c>
      <c r="V270" s="32">
        <f t="shared" si="83"/>
        <v>15</v>
      </c>
      <c r="X270" s="29">
        <f t="shared" si="84"/>
        <v>261</v>
      </c>
      <c r="Z270" s="30">
        <f t="shared" si="75"/>
        <v>7.1497055197918087</v>
      </c>
      <c r="AA270" s="28" t="e">
        <f t="shared" si="76"/>
        <v>#N/A</v>
      </c>
      <c r="AB270" s="28" t="e">
        <f t="shared" si="77"/>
        <v>#VALUE!</v>
      </c>
      <c r="AC270" s="29">
        <f t="shared" si="78"/>
        <v>247.6280834914611</v>
      </c>
      <c r="AD270" s="28" t="e">
        <f t="shared" si="79"/>
        <v>#VALUE!</v>
      </c>
      <c r="AE270" s="28" t="e">
        <f t="shared" si="80"/>
        <v>#N/A</v>
      </c>
      <c r="AF270" s="28" t="e">
        <f t="shared" si="81"/>
        <v>#VALUE!</v>
      </c>
      <c r="AH270" s="31" t="e">
        <f t="shared" si="82"/>
        <v>#N/A</v>
      </c>
      <c r="AI270" s="25"/>
      <c r="AJ270" s="31"/>
    </row>
    <row r="271" spans="2:36" x14ac:dyDescent="0.25">
      <c r="B271" s="33">
        <f>'Arbitrage Payback Engine'!E271</f>
        <v>7.1770990275304749</v>
      </c>
      <c r="C271" s="33">
        <f t="shared" si="68"/>
        <v>1000</v>
      </c>
      <c r="D271" s="33">
        <f>'Battery Pricing Model'!$C$17</f>
        <v>1000</v>
      </c>
      <c r="E271" s="33">
        <f t="shared" si="69"/>
        <v>999</v>
      </c>
      <c r="F271" s="33" t="str">
        <f>'Peak Models'!$B$4</f>
        <v>Default</v>
      </c>
      <c r="G271" s="33" t="e">
        <f>'Peak Models'!$Q$7</f>
        <v>#VALUE!</v>
      </c>
      <c r="H271" s="33">
        <f>'Peak Models'!$P$16</f>
        <v>1.5</v>
      </c>
      <c r="I271" s="33">
        <v>12</v>
      </c>
      <c r="J271" s="33" t="e">
        <f>'Peak Models'!$P$13</f>
        <v>#N/A</v>
      </c>
      <c r="K271" s="28" t="e">
        <f t="shared" si="70"/>
        <v>#VALUE!</v>
      </c>
      <c r="L271" s="28" t="e">
        <f>INDEX('Peak Models'!$P$34:$P$64, MATCH(TRUNC(B271, 0), 'Peak Models'!$O$34:$O$64, 0))</f>
        <v>#N/A</v>
      </c>
      <c r="M271" s="28">
        <f>'Peak Models'!$P$15*INDEX('Peak Models'!$Q$34:$Q$64, MATCH(TRUNC(B271, 0),'Peak Models'!$O$34:$O$64, 0))/'Profit per cycles Model'!$E$78</f>
        <v>5.5938153113798235</v>
      </c>
      <c r="N271" s="28" t="e">
        <f t="shared" si="71"/>
        <v>#N/A</v>
      </c>
      <c r="O271" s="71" t="e">
        <f>AVERAGE($N$10:N271)</f>
        <v>#N/A</v>
      </c>
      <c r="P271" s="28" t="e">
        <f t="shared" si="72"/>
        <v>#N/A</v>
      </c>
      <c r="R271" s="28" t="e">
        <f t="shared" si="73"/>
        <v>#VALUE!</v>
      </c>
      <c r="S271" s="25"/>
      <c r="T271" s="25">
        <f t="shared" si="74"/>
        <v>15</v>
      </c>
      <c r="U271" s="33">
        <f>IF(PaybackCustom&gt;0, IF(PaybackCustom&lt;&gt;"Default", PaybackCustom, IF(PaybackStatus&lt;&gt;"",INDEX('Arbitrage Payback Engine'!$Y$2:$Y$6,MATCH(PaybackStatus,'Arbitrage Payback Engine'!$X$2:$X$6,FALSE)),-1)))</f>
        <v>25</v>
      </c>
      <c r="V271" s="32">
        <f t="shared" si="83"/>
        <v>15</v>
      </c>
      <c r="X271" s="29">
        <f t="shared" si="84"/>
        <v>262</v>
      </c>
      <c r="Z271" s="30">
        <f t="shared" si="75"/>
        <v>7.1770990275304749</v>
      </c>
      <c r="AA271" s="28" t="e">
        <f t="shared" si="76"/>
        <v>#N/A</v>
      </c>
      <c r="AB271" s="28" t="e">
        <f t="shared" si="77"/>
        <v>#VALUE!</v>
      </c>
      <c r="AC271" s="29">
        <f t="shared" si="78"/>
        <v>248.57685009487665</v>
      </c>
      <c r="AD271" s="28" t="e">
        <f t="shared" si="79"/>
        <v>#VALUE!</v>
      </c>
      <c r="AE271" s="28" t="e">
        <f t="shared" si="80"/>
        <v>#N/A</v>
      </c>
      <c r="AF271" s="28" t="e">
        <f t="shared" si="81"/>
        <v>#VALUE!</v>
      </c>
      <c r="AH271" s="31" t="e">
        <f t="shared" si="82"/>
        <v>#N/A</v>
      </c>
      <c r="AI271" s="25"/>
      <c r="AJ271" s="31"/>
    </row>
    <row r="272" spans="2:36" x14ac:dyDescent="0.25">
      <c r="B272" s="33">
        <f>'Arbitrage Payback Engine'!E272</f>
        <v>7.2044925352691411</v>
      </c>
      <c r="C272" s="33">
        <f t="shared" si="68"/>
        <v>1000</v>
      </c>
      <c r="D272" s="33">
        <f>'Battery Pricing Model'!$C$17</f>
        <v>1000</v>
      </c>
      <c r="E272" s="33">
        <f t="shared" si="69"/>
        <v>999</v>
      </c>
      <c r="F272" s="33" t="str">
        <f>'Peak Models'!$B$4</f>
        <v>Default</v>
      </c>
      <c r="G272" s="33" t="e">
        <f>'Peak Models'!$Q$7</f>
        <v>#VALUE!</v>
      </c>
      <c r="H272" s="33">
        <f>'Peak Models'!$P$16</f>
        <v>1.5</v>
      </c>
      <c r="I272" s="33">
        <v>12</v>
      </c>
      <c r="J272" s="33" t="e">
        <f>'Peak Models'!$P$13</f>
        <v>#N/A</v>
      </c>
      <c r="K272" s="28" t="e">
        <f t="shared" si="70"/>
        <v>#VALUE!</v>
      </c>
      <c r="L272" s="28" t="e">
        <f>INDEX('Peak Models'!$P$34:$P$64, MATCH(TRUNC(B272, 0), 'Peak Models'!$O$34:$O$64, 0))</f>
        <v>#N/A</v>
      </c>
      <c r="M272" s="28">
        <f>'Peak Models'!$P$15*INDEX('Peak Models'!$Q$34:$Q$64, MATCH(TRUNC(B272, 0),'Peak Models'!$O$34:$O$64, 0))/'Profit per cycles Model'!$E$78</f>
        <v>5.5938153113798235</v>
      </c>
      <c r="N272" s="28" t="e">
        <f t="shared" si="71"/>
        <v>#N/A</v>
      </c>
      <c r="O272" s="71" t="e">
        <f>AVERAGE($N$10:N272)</f>
        <v>#N/A</v>
      </c>
      <c r="P272" s="28" t="e">
        <f t="shared" si="72"/>
        <v>#N/A</v>
      </c>
      <c r="R272" s="28" t="e">
        <f t="shared" si="73"/>
        <v>#VALUE!</v>
      </c>
      <c r="S272" s="25"/>
      <c r="T272" s="25">
        <f t="shared" si="74"/>
        <v>15</v>
      </c>
      <c r="U272" s="33">
        <f>IF(PaybackCustom&gt;0, IF(PaybackCustom&lt;&gt;"Default", PaybackCustom, IF(PaybackStatus&lt;&gt;"",INDEX('Arbitrage Payback Engine'!$Y$2:$Y$6,MATCH(PaybackStatus,'Arbitrage Payback Engine'!$X$2:$X$6,FALSE)),-1)))</f>
        <v>25</v>
      </c>
      <c r="V272" s="32">
        <f t="shared" si="83"/>
        <v>15</v>
      </c>
      <c r="X272" s="29">
        <f t="shared" si="84"/>
        <v>263</v>
      </c>
      <c r="Z272" s="30">
        <f t="shared" si="75"/>
        <v>7.2044925352691411</v>
      </c>
      <c r="AA272" s="28" t="e">
        <f t="shared" si="76"/>
        <v>#N/A</v>
      </c>
      <c r="AB272" s="28" t="e">
        <f t="shared" si="77"/>
        <v>#VALUE!</v>
      </c>
      <c r="AC272" s="29">
        <f t="shared" si="78"/>
        <v>249.52561669829223</v>
      </c>
      <c r="AD272" s="28" t="e">
        <f t="shared" si="79"/>
        <v>#VALUE!</v>
      </c>
      <c r="AE272" s="28" t="e">
        <f t="shared" si="80"/>
        <v>#N/A</v>
      </c>
      <c r="AF272" s="28" t="e">
        <f t="shared" si="81"/>
        <v>#VALUE!</v>
      </c>
      <c r="AH272" s="31" t="e">
        <f t="shared" si="82"/>
        <v>#N/A</v>
      </c>
      <c r="AI272" s="25"/>
      <c r="AJ272" s="31"/>
    </row>
    <row r="273" spans="2:36" x14ac:dyDescent="0.25">
      <c r="B273" s="33">
        <f>'Arbitrage Payback Engine'!E273</f>
        <v>7.2318860430078074</v>
      </c>
      <c r="C273" s="33">
        <f t="shared" si="68"/>
        <v>1000</v>
      </c>
      <c r="D273" s="33">
        <f>'Battery Pricing Model'!$C$17</f>
        <v>1000</v>
      </c>
      <c r="E273" s="33">
        <f t="shared" si="69"/>
        <v>999</v>
      </c>
      <c r="F273" s="33" t="str">
        <f>'Peak Models'!$B$4</f>
        <v>Default</v>
      </c>
      <c r="G273" s="33" t="e">
        <f>'Peak Models'!$Q$7</f>
        <v>#VALUE!</v>
      </c>
      <c r="H273" s="33">
        <f>'Peak Models'!$P$16</f>
        <v>1.5</v>
      </c>
      <c r="I273" s="33">
        <v>12</v>
      </c>
      <c r="J273" s="33" t="e">
        <f>'Peak Models'!$P$13</f>
        <v>#N/A</v>
      </c>
      <c r="K273" s="28" t="e">
        <f t="shared" si="70"/>
        <v>#VALUE!</v>
      </c>
      <c r="L273" s="28" t="e">
        <f>INDEX('Peak Models'!$P$34:$P$64, MATCH(TRUNC(B273, 0), 'Peak Models'!$O$34:$O$64, 0))</f>
        <v>#N/A</v>
      </c>
      <c r="M273" s="28">
        <f>'Peak Models'!$P$15*INDEX('Peak Models'!$Q$34:$Q$64, MATCH(TRUNC(B273, 0),'Peak Models'!$O$34:$O$64, 0))/'Profit per cycles Model'!$E$78</f>
        <v>5.5938153113798235</v>
      </c>
      <c r="N273" s="28" t="e">
        <f t="shared" si="71"/>
        <v>#N/A</v>
      </c>
      <c r="O273" s="71" t="e">
        <f>AVERAGE($N$10:N273)</f>
        <v>#N/A</v>
      </c>
      <c r="P273" s="28" t="e">
        <f t="shared" si="72"/>
        <v>#N/A</v>
      </c>
      <c r="R273" s="28" t="e">
        <f t="shared" si="73"/>
        <v>#VALUE!</v>
      </c>
      <c r="S273" s="25"/>
      <c r="T273" s="25">
        <f t="shared" si="74"/>
        <v>15</v>
      </c>
      <c r="U273" s="33">
        <f>IF(PaybackCustom&gt;0, IF(PaybackCustom&lt;&gt;"Default", PaybackCustom, IF(PaybackStatus&lt;&gt;"",INDEX('Arbitrage Payback Engine'!$Y$2:$Y$6,MATCH(PaybackStatus,'Arbitrage Payback Engine'!$X$2:$X$6,FALSE)),-1)))</f>
        <v>25</v>
      </c>
      <c r="V273" s="32">
        <f t="shared" si="83"/>
        <v>15</v>
      </c>
      <c r="X273" s="29">
        <f t="shared" si="84"/>
        <v>264</v>
      </c>
      <c r="Z273" s="30">
        <f t="shared" si="75"/>
        <v>7.2318860430078074</v>
      </c>
      <c r="AA273" s="28" t="e">
        <f t="shared" si="76"/>
        <v>#N/A</v>
      </c>
      <c r="AB273" s="28" t="e">
        <f t="shared" si="77"/>
        <v>#VALUE!</v>
      </c>
      <c r="AC273" s="29">
        <f t="shared" si="78"/>
        <v>250.4743833017078</v>
      </c>
      <c r="AD273" s="28" t="e">
        <f t="shared" si="79"/>
        <v>#VALUE!</v>
      </c>
      <c r="AE273" s="28" t="e">
        <f t="shared" si="80"/>
        <v>#N/A</v>
      </c>
      <c r="AF273" s="28" t="e">
        <f t="shared" si="81"/>
        <v>#VALUE!</v>
      </c>
      <c r="AH273" s="31" t="e">
        <f t="shared" si="82"/>
        <v>#N/A</v>
      </c>
      <c r="AI273" s="25"/>
      <c r="AJ273" s="31"/>
    </row>
    <row r="274" spans="2:36" x14ac:dyDescent="0.25">
      <c r="B274" s="33">
        <f>'Arbitrage Payback Engine'!E274</f>
        <v>7.2592795507464727</v>
      </c>
      <c r="C274" s="33">
        <f t="shared" si="68"/>
        <v>1000</v>
      </c>
      <c r="D274" s="33">
        <f>'Battery Pricing Model'!$C$17</f>
        <v>1000</v>
      </c>
      <c r="E274" s="33">
        <f t="shared" si="69"/>
        <v>999</v>
      </c>
      <c r="F274" s="33" t="str">
        <f>'Peak Models'!$B$4</f>
        <v>Default</v>
      </c>
      <c r="G274" s="33" t="e">
        <f>'Peak Models'!$Q$7</f>
        <v>#VALUE!</v>
      </c>
      <c r="H274" s="33">
        <f>'Peak Models'!$P$16</f>
        <v>1.5</v>
      </c>
      <c r="I274" s="33">
        <v>12</v>
      </c>
      <c r="J274" s="33" t="e">
        <f>'Peak Models'!$P$13</f>
        <v>#N/A</v>
      </c>
      <c r="K274" s="28" t="e">
        <f t="shared" si="70"/>
        <v>#VALUE!</v>
      </c>
      <c r="L274" s="28" t="e">
        <f>INDEX('Peak Models'!$P$34:$P$64, MATCH(TRUNC(B274, 0), 'Peak Models'!$O$34:$O$64, 0))</f>
        <v>#N/A</v>
      </c>
      <c r="M274" s="28">
        <f>'Peak Models'!$P$15*INDEX('Peak Models'!$Q$34:$Q$64, MATCH(TRUNC(B274, 0),'Peak Models'!$O$34:$O$64, 0))/'Profit per cycles Model'!$E$78</f>
        <v>5.5938153113798235</v>
      </c>
      <c r="N274" s="28" t="e">
        <f t="shared" si="71"/>
        <v>#N/A</v>
      </c>
      <c r="O274" s="71" t="e">
        <f>AVERAGE($N$10:N274)</f>
        <v>#N/A</v>
      </c>
      <c r="P274" s="28" t="e">
        <f t="shared" si="72"/>
        <v>#N/A</v>
      </c>
      <c r="R274" s="28" t="e">
        <f t="shared" si="73"/>
        <v>#VALUE!</v>
      </c>
      <c r="S274" s="25"/>
      <c r="T274" s="25">
        <f t="shared" si="74"/>
        <v>15</v>
      </c>
      <c r="U274" s="33">
        <f>IF(PaybackCustom&gt;0, IF(PaybackCustom&lt;&gt;"Default", PaybackCustom, IF(PaybackStatus&lt;&gt;"",INDEX('Arbitrage Payback Engine'!$Y$2:$Y$6,MATCH(PaybackStatus,'Arbitrage Payback Engine'!$X$2:$X$6,FALSE)),-1)))</f>
        <v>25</v>
      </c>
      <c r="V274" s="32">
        <f t="shared" si="83"/>
        <v>15</v>
      </c>
      <c r="X274" s="29">
        <f t="shared" si="84"/>
        <v>265</v>
      </c>
      <c r="Z274" s="30">
        <f t="shared" si="75"/>
        <v>7.2592795507464727</v>
      </c>
      <c r="AA274" s="28" t="e">
        <f t="shared" si="76"/>
        <v>#N/A</v>
      </c>
      <c r="AB274" s="28" t="e">
        <f t="shared" si="77"/>
        <v>#VALUE!</v>
      </c>
      <c r="AC274" s="29">
        <f t="shared" si="78"/>
        <v>251.42314990512332</v>
      </c>
      <c r="AD274" s="28" t="e">
        <f t="shared" si="79"/>
        <v>#VALUE!</v>
      </c>
      <c r="AE274" s="28" t="e">
        <f t="shared" si="80"/>
        <v>#N/A</v>
      </c>
      <c r="AF274" s="28" t="e">
        <f t="shared" si="81"/>
        <v>#VALUE!</v>
      </c>
      <c r="AH274" s="31" t="e">
        <f t="shared" si="82"/>
        <v>#N/A</v>
      </c>
      <c r="AI274" s="25"/>
      <c r="AJ274" s="31"/>
    </row>
    <row r="275" spans="2:36" x14ac:dyDescent="0.25">
      <c r="B275" s="33">
        <f>'Arbitrage Payback Engine'!E275</f>
        <v>7.2866730584851389</v>
      </c>
      <c r="C275" s="33">
        <f t="shared" si="68"/>
        <v>1000</v>
      </c>
      <c r="D275" s="33">
        <f>'Battery Pricing Model'!$C$17</f>
        <v>1000</v>
      </c>
      <c r="E275" s="33">
        <f t="shared" si="69"/>
        <v>999</v>
      </c>
      <c r="F275" s="33" t="str">
        <f>'Peak Models'!$B$4</f>
        <v>Default</v>
      </c>
      <c r="G275" s="33" t="e">
        <f>'Peak Models'!$Q$7</f>
        <v>#VALUE!</v>
      </c>
      <c r="H275" s="33">
        <f>'Peak Models'!$P$16</f>
        <v>1.5</v>
      </c>
      <c r="I275" s="33">
        <v>12</v>
      </c>
      <c r="J275" s="33" t="e">
        <f>'Peak Models'!$P$13</f>
        <v>#N/A</v>
      </c>
      <c r="K275" s="28" t="e">
        <f t="shared" si="70"/>
        <v>#VALUE!</v>
      </c>
      <c r="L275" s="28" t="e">
        <f>INDEX('Peak Models'!$P$34:$P$64, MATCH(TRUNC(B275, 0), 'Peak Models'!$O$34:$O$64, 0))</f>
        <v>#N/A</v>
      </c>
      <c r="M275" s="28">
        <f>'Peak Models'!$P$15*INDEX('Peak Models'!$Q$34:$Q$64, MATCH(TRUNC(B275, 0),'Peak Models'!$O$34:$O$64, 0))/'Profit per cycles Model'!$E$78</f>
        <v>5.5938153113798235</v>
      </c>
      <c r="N275" s="28" t="e">
        <f t="shared" si="71"/>
        <v>#N/A</v>
      </c>
      <c r="O275" s="71" t="e">
        <f>AVERAGE($N$10:N275)</f>
        <v>#N/A</v>
      </c>
      <c r="P275" s="28" t="e">
        <f t="shared" si="72"/>
        <v>#N/A</v>
      </c>
      <c r="R275" s="28" t="e">
        <f t="shared" si="73"/>
        <v>#VALUE!</v>
      </c>
      <c r="S275" s="25"/>
      <c r="T275" s="25">
        <f t="shared" si="74"/>
        <v>15</v>
      </c>
      <c r="U275" s="33">
        <f>IF(PaybackCustom&gt;0, IF(PaybackCustom&lt;&gt;"Default", PaybackCustom, IF(PaybackStatus&lt;&gt;"",INDEX('Arbitrage Payback Engine'!$Y$2:$Y$6,MATCH(PaybackStatus,'Arbitrage Payback Engine'!$X$2:$X$6,FALSE)),-1)))</f>
        <v>25</v>
      </c>
      <c r="V275" s="32">
        <f t="shared" si="83"/>
        <v>15</v>
      </c>
      <c r="X275" s="29">
        <f t="shared" si="84"/>
        <v>266</v>
      </c>
      <c r="Z275" s="30">
        <f t="shared" si="75"/>
        <v>7.2866730584851389</v>
      </c>
      <c r="AA275" s="28" t="e">
        <f t="shared" si="76"/>
        <v>#N/A</v>
      </c>
      <c r="AB275" s="28" t="e">
        <f t="shared" si="77"/>
        <v>#VALUE!</v>
      </c>
      <c r="AC275" s="29">
        <f t="shared" si="78"/>
        <v>252.37191650853893</v>
      </c>
      <c r="AD275" s="28" t="e">
        <f t="shared" si="79"/>
        <v>#VALUE!</v>
      </c>
      <c r="AE275" s="28" t="e">
        <f t="shared" si="80"/>
        <v>#N/A</v>
      </c>
      <c r="AF275" s="28" t="e">
        <f t="shared" si="81"/>
        <v>#VALUE!</v>
      </c>
      <c r="AH275" s="31" t="e">
        <f t="shared" si="82"/>
        <v>#N/A</v>
      </c>
      <c r="AI275" s="25"/>
      <c r="AJ275" s="31"/>
    </row>
    <row r="276" spans="2:36" x14ac:dyDescent="0.25">
      <c r="B276" s="33">
        <f>'Arbitrage Payback Engine'!E276</f>
        <v>7.3140665662238051</v>
      </c>
      <c r="C276" s="33">
        <f t="shared" si="68"/>
        <v>1000</v>
      </c>
      <c r="D276" s="33">
        <f>'Battery Pricing Model'!$C$17</f>
        <v>1000</v>
      </c>
      <c r="E276" s="33">
        <f t="shared" si="69"/>
        <v>999</v>
      </c>
      <c r="F276" s="33" t="str">
        <f>'Peak Models'!$B$4</f>
        <v>Default</v>
      </c>
      <c r="G276" s="33" t="e">
        <f>'Peak Models'!$Q$7</f>
        <v>#VALUE!</v>
      </c>
      <c r="H276" s="33">
        <f>'Peak Models'!$P$16</f>
        <v>1.5</v>
      </c>
      <c r="I276" s="33">
        <v>12</v>
      </c>
      <c r="J276" s="33" t="e">
        <f>'Peak Models'!$P$13</f>
        <v>#N/A</v>
      </c>
      <c r="K276" s="28" t="e">
        <f t="shared" si="70"/>
        <v>#VALUE!</v>
      </c>
      <c r="L276" s="28" t="e">
        <f>INDEX('Peak Models'!$P$34:$P$64, MATCH(TRUNC(B276, 0), 'Peak Models'!$O$34:$O$64, 0))</f>
        <v>#N/A</v>
      </c>
      <c r="M276" s="28">
        <f>'Peak Models'!$P$15*INDEX('Peak Models'!$Q$34:$Q$64, MATCH(TRUNC(B276, 0),'Peak Models'!$O$34:$O$64, 0))/'Profit per cycles Model'!$E$78</f>
        <v>5.5938153113798235</v>
      </c>
      <c r="N276" s="28" t="e">
        <f t="shared" si="71"/>
        <v>#N/A</v>
      </c>
      <c r="O276" s="71" t="e">
        <f>AVERAGE($N$10:N276)</f>
        <v>#N/A</v>
      </c>
      <c r="P276" s="28" t="e">
        <f t="shared" si="72"/>
        <v>#N/A</v>
      </c>
      <c r="R276" s="28" t="e">
        <f t="shared" si="73"/>
        <v>#VALUE!</v>
      </c>
      <c r="S276" s="25"/>
      <c r="T276" s="25">
        <f t="shared" si="74"/>
        <v>15</v>
      </c>
      <c r="U276" s="33">
        <f>IF(PaybackCustom&gt;0, IF(PaybackCustom&lt;&gt;"Default", PaybackCustom, IF(PaybackStatus&lt;&gt;"",INDEX('Arbitrage Payback Engine'!$Y$2:$Y$6,MATCH(PaybackStatus,'Arbitrage Payback Engine'!$X$2:$X$6,FALSE)),-1)))</f>
        <v>25</v>
      </c>
      <c r="V276" s="32">
        <f t="shared" si="83"/>
        <v>15</v>
      </c>
      <c r="X276" s="29">
        <f t="shared" si="84"/>
        <v>267</v>
      </c>
      <c r="Z276" s="30">
        <f t="shared" si="75"/>
        <v>7.3140665662238051</v>
      </c>
      <c r="AA276" s="28" t="e">
        <f t="shared" si="76"/>
        <v>#N/A</v>
      </c>
      <c r="AB276" s="28" t="e">
        <f t="shared" si="77"/>
        <v>#VALUE!</v>
      </c>
      <c r="AC276" s="29">
        <f t="shared" si="78"/>
        <v>253.32068311195448</v>
      </c>
      <c r="AD276" s="28" t="e">
        <f t="shared" si="79"/>
        <v>#VALUE!</v>
      </c>
      <c r="AE276" s="28" t="e">
        <f t="shared" si="80"/>
        <v>#N/A</v>
      </c>
      <c r="AF276" s="28" t="e">
        <f t="shared" si="81"/>
        <v>#VALUE!</v>
      </c>
      <c r="AH276" s="31" t="e">
        <f t="shared" si="82"/>
        <v>#N/A</v>
      </c>
      <c r="AI276" s="25"/>
      <c r="AJ276" s="31"/>
    </row>
    <row r="277" spans="2:36" x14ac:dyDescent="0.25">
      <c r="B277" s="33">
        <f>'Arbitrage Payback Engine'!E277</f>
        <v>7.3414600739624705</v>
      </c>
      <c r="C277" s="33">
        <f t="shared" si="68"/>
        <v>1000</v>
      </c>
      <c r="D277" s="33">
        <f>'Battery Pricing Model'!$C$17</f>
        <v>1000</v>
      </c>
      <c r="E277" s="33">
        <f t="shared" si="69"/>
        <v>999</v>
      </c>
      <c r="F277" s="33" t="str">
        <f>'Peak Models'!$B$4</f>
        <v>Default</v>
      </c>
      <c r="G277" s="33" t="e">
        <f>'Peak Models'!$Q$7</f>
        <v>#VALUE!</v>
      </c>
      <c r="H277" s="33">
        <f>'Peak Models'!$P$16</f>
        <v>1.5</v>
      </c>
      <c r="I277" s="33">
        <v>12</v>
      </c>
      <c r="J277" s="33" t="e">
        <f>'Peak Models'!$P$13</f>
        <v>#N/A</v>
      </c>
      <c r="K277" s="28" t="e">
        <f t="shared" si="70"/>
        <v>#VALUE!</v>
      </c>
      <c r="L277" s="28" t="e">
        <f>INDEX('Peak Models'!$P$34:$P$64, MATCH(TRUNC(B277, 0), 'Peak Models'!$O$34:$O$64, 0))</f>
        <v>#N/A</v>
      </c>
      <c r="M277" s="28">
        <f>'Peak Models'!$P$15*INDEX('Peak Models'!$Q$34:$Q$64, MATCH(TRUNC(B277, 0),'Peak Models'!$O$34:$O$64, 0))/'Profit per cycles Model'!$E$78</f>
        <v>5.5938153113798235</v>
      </c>
      <c r="N277" s="28" t="e">
        <f t="shared" si="71"/>
        <v>#N/A</v>
      </c>
      <c r="O277" s="71" t="e">
        <f>AVERAGE($N$10:N277)</f>
        <v>#N/A</v>
      </c>
      <c r="P277" s="28" t="e">
        <f t="shared" si="72"/>
        <v>#N/A</v>
      </c>
      <c r="R277" s="28" t="e">
        <f t="shared" si="73"/>
        <v>#VALUE!</v>
      </c>
      <c r="S277" s="25"/>
      <c r="T277" s="25">
        <f t="shared" si="74"/>
        <v>15</v>
      </c>
      <c r="U277" s="33">
        <f>IF(PaybackCustom&gt;0, IF(PaybackCustom&lt;&gt;"Default", PaybackCustom, IF(PaybackStatus&lt;&gt;"",INDEX('Arbitrage Payback Engine'!$Y$2:$Y$6,MATCH(PaybackStatus,'Arbitrage Payback Engine'!$X$2:$X$6,FALSE)),-1)))</f>
        <v>25</v>
      </c>
      <c r="V277" s="32">
        <f t="shared" si="83"/>
        <v>15</v>
      </c>
      <c r="X277" s="29">
        <f t="shared" si="84"/>
        <v>268</v>
      </c>
      <c r="Z277" s="30">
        <f t="shared" si="75"/>
        <v>7.3414600739624705</v>
      </c>
      <c r="AA277" s="28" t="e">
        <f t="shared" si="76"/>
        <v>#N/A</v>
      </c>
      <c r="AB277" s="28" t="e">
        <f t="shared" si="77"/>
        <v>#VALUE!</v>
      </c>
      <c r="AC277" s="29">
        <f t="shared" si="78"/>
        <v>254.26944971537</v>
      </c>
      <c r="AD277" s="28" t="e">
        <f t="shared" si="79"/>
        <v>#VALUE!</v>
      </c>
      <c r="AE277" s="28" t="e">
        <f t="shared" si="80"/>
        <v>#N/A</v>
      </c>
      <c r="AF277" s="28" t="e">
        <f t="shared" si="81"/>
        <v>#VALUE!</v>
      </c>
      <c r="AH277" s="31" t="e">
        <f t="shared" si="82"/>
        <v>#N/A</v>
      </c>
      <c r="AI277" s="25"/>
      <c r="AJ277" s="31"/>
    </row>
    <row r="278" spans="2:36" x14ac:dyDescent="0.25">
      <c r="B278" s="33">
        <f>'Arbitrage Payback Engine'!E278</f>
        <v>7.3688535817011367</v>
      </c>
      <c r="C278" s="33">
        <f t="shared" si="68"/>
        <v>1000</v>
      </c>
      <c r="D278" s="33">
        <f>'Battery Pricing Model'!$C$17</f>
        <v>1000</v>
      </c>
      <c r="E278" s="33">
        <f t="shared" si="69"/>
        <v>999</v>
      </c>
      <c r="F278" s="33" t="str">
        <f>'Peak Models'!$B$4</f>
        <v>Default</v>
      </c>
      <c r="G278" s="33" t="e">
        <f>'Peak Models'!$Q$7</f>
        <v>#VALUE!</v>
      </c>
      <c r="H278" s="33">
        <f>'Peak Models'!$P$16</f>
        <v>1.5</v>
      </c>
      <c r="I278" s="33">
        <v>12</v>
      </c>
      <c r="J278" s="33" t="e">
        <f>'Peak Models'!$P$13</f>
        <v>#N/A</v>
      </c>
      <c r="K278" s="28" t="e">
        <f t="shared" si="70"/>
        <v>#VALUE!</v>
      </c>
      <c r="L278" s="28" t="e">
        <f>INDEX('Peak Models'!$P$34:$P$64, MATCH(TRUNC(B278, 0), 'Peak Models'!$O$34:$O$64, 0))</f>
        <v>#N/A</v>
      </c>
      <c r="M278" s="28">
        <f>'Peak Models'!$P$15*INDEX('Peak Models'!$Q$34:$Q$64, MATCH(TRUNC(B278, 0),'Peak Models'!$O$34:$O$64, 0))/'Profit per cycles Model'!$E$78</f>
        <v>5.5938153113798235</v>
      </c>
      <c r="N278" s="28" t="e">
        <f t="shared" si="71"/>
        <v>#N/A</v>
      </c>
      <c r="O278" s="71" t="e">
        <f>AVERAGE($N$10:N278)</f>
        <v>#N/A</v>
      </c>
      <c r="P278" s="28" t="e">
        <f t="shared" si="72"/>
        <v>#N/A</v>
      </c>
      <c r="R278" s="28" t="e">
        <f t="shared" si="73"/>
        <v>#VALUE!</v>
      </c>
      <c r="S278" s="25"/>
      <c r="T278" s="25">
        <f t="shared" si="74"/>
        <v>15</v>
      </c>
      <c r="U278" s="33">
        <f>IF(PaybackCustom&gt;0, IF(PaybackCustom&lt;&gt;"Default", PaybackCustom, IF(PaybackStatus&lt;&gt;"",INDEX('Arbitrage Payback Engine'!$Y$2:$Y$6,MATCH(PaybackStatus,'Arbitrage Payback Engine'!$X$2:$X$6,FALSE)),-1)))</f>
        <v>25</v>
      </c>
      <c r="V278" s="32">
        <f t="shared" si="83"/>
        <v>15</v>
      </c>
      <c r="X278" s="29">
        <f t="shared" si="84"/>
        <v>269</v>
      </c>
      <c r="Z278" s="30">
        <f t="shared" si="75"/>
        <v>7.3688535817011367</v>
      </c>
      <c r="AA278" s="28" t="e">
        <f t="shared" si="76"/>
        <v>#N/A</v>
      </c>
      <c r="AB278" s="28" t="e">
        <f t="shared" si="77"/>
        <v>#VALUE!</v>
      </c>
      <c r="AC278" s="29">
        <f t="shared" si="78"/>
        <v>255.21821631878561</v>
      </c>
      <c r="AD278" s="28" t="e">
        <f t="shared" si="79"/>
        <v>#VALUE!</v>
      </c>
      <c r="AE278" s="28" t="e">
        <f t="shared" si="80"/>
        <v>#N/A</v>
      </c>
      <c r="AF278" s="28" t="e">
        <f t="shared" si="81"/>
        <v>#VALUE!</v>
      </c>
      <c r="AH278" s="31" t="e">
        <f t="shared" si="82"/>
        <v>#N/A</v>
      </c>
      <c r="AI278" s="25"/>
      <c r="AJ278" s="31"/>
    </row>
    <row r="279" spans="2:36" x14ac:dyDescent="0.25">
      <c r="B279" s="33">
        <f>'Arbitrage Payback Engine'!E279</f>
        <v>7.3962470894398029</v>
      </c>
      <c r="C279" s="33">
        <f t="shared" si="68"/>
        <v>1000</v>
      </c>
      <c r="D279" s="33">
        <f>'Battery Pricing Model'!$C$17</f>
        <v>1000</v>
      </c>
      <c r="E279" s="33">
        <f t="shared" si="69"/>
        <v>999</v>
      </c>
      <c r="F279" s="33" t="str">
        <f>'Peak Models'!$B$4</f>
        <v>Default</v>
      </c>
      <c r="G279" s="33" t="e">
        <f>'Peak Models'!$Q$7</f>
        <v>#VALUE!</v>
      </c>
      <c r="H279" s="33">
        <f>'Peak Models'!$P$16</f>
        <v>1.5</v>
      </c>
      <c r="I279" s="33">
        <v>12</v>
      </c>
      <c r="J279" s="33" t="e">
        <f>'Peak Models'!$P$13</f>
        <v>#N/A</v>
      </c>
      <c r="K279" s="28" t="e">
        <f t="shared" si="70"/>
        <v>#VALUE!</v>
      </c>
      <c r="L279" s="28" t="e">
        <f>INDEX('Peak Models'!$P$34:$P$64, MATCH(TRUNC(B279, 0), 'Peak Models'!$O$34:$O$64, 0))</f>
        <v>#N/A</v>
      </c>
      <c r="M279" s="28">
        <f>'Peak Models'!$P$15*INDEX('Peak Models'!$Q$34:$Q$64, MATCH(TRUNC(B279, 0),'Peak Models'!$O$34:$O$64, 0))/'Profit per cycles Model'!$E$78</f>
        <v>5.5938153113798235</v>
      </c>
      <c r="N279" s="28" t="e">
        <f t="shared" si="71"/>
        <v>#N/A</v>
      </c>
      <c r="O279" s="71" t="e">
        <f>AVERAGE($N$10:N279)</f>
        <v>#N/A</v>
      </c>
      <c r="P279" s="28" t="e">
        <f t="shared" si="72"/>
        <v>#N/A</v>
      </c>
      <c r="R279" s="28" t="e">
        <f t="shared" si="73"/>
        <v>#VALUE!</v>
      </c>
      <c r="S279" s="25"/>
      <c r="T279" s="25">
        <f t="shared" si="74"/>
        <v>15</v>
      </c>
      <c r="U279" s="33">
        <f>IF(PaybackCustom&gt;0, IF(PaybackCustom&lt;&gt;"Default", PaybackCustom, IF(PaybackStatus&lt;&gt;"",INDEX('Arbitrage Payback Engine'!$Y$2:$Y$6,MATCH(PaybackStatus,'Arbitrage Payback Engine'!$X$2:$X$6,FALSE)),-1)))</f>
        <v>25</v>
      </c>
      <c r="V279" s="32">
        <f t="shared" si="83"/>
        <v>15</v>
      </c>
      <c r="X279" s="29">
        <f t="shared" si="84"/>
        <v>270</v>
      </c>
      <c r="Z279" s="30">
        <f t="shared" si="75"/>
        <v>7.3962470894398029</v>
      </c>
      <c r="AA279" s="28" t="e">
        <f t="shared" si="76"/>
        <v>#N/A</v>
      </c>
      <c r="AB279" s="28" t="e">
        <f t="shared" si="77"/>
        <v>#VALUE!</v>
      </c>
      <c r="AC279" s="29">
        <f t="shared" si="78"/>
        <v>256.16698292220116</v>
      </c>
      <c r="AD279" s="28" t="e">
        <f t="shared" si="79"/>
        <v>#VALUE!</v>
      </c>
      <c r="AE279" s="28" t="e">
        <f t="shared" si="80"/>
        <v>#N/A</v>
      </c>
      <c r="AF279" s="28" t="e">
        <f t="shared" si="81"/>
        <v>#VALUE!</v>
      </c>
      <c r="AH279" s="31" t="e">
        <f t="shared" si="82"/>
        <v>#N/A</v>
      </c>
      <c r="AI279" s="25"/>
      <c r="AJ279" s="31"/>
    </row>
    <row r="280" spans="2:36" x14ac:dyDescent="0.25">
      <c r="B280" s="33">
        <f>'Arbitrage Payback Engine'!E280</f>
        <v>7.4236405971784682</v>
      </c>
      <c r="C280" s="33">
        <f t="shared" si="68"/>
        <v>1000</v>
      </c>
      <c r="D280" s="33">
        <f>'Battery Pricing Model'!$C$17</f>
        <v>1000</v>
      </c>
      <c r="E280" s="33">
        <f t="shared" si="69"/>
        <v>999</v>
      </c>
      <c r="F280" s="33" t="str">
        <f>'Peak Models'!$B$4</f>
        <v>Default</v>
      </c>
      <c r="G280" s="33" t="e">
        <f>'Peak Models'!$Q$7</f>
        <v>#VALUE!</v>
      </c>
      <c r="H280" s="33">
        <f>'Peak Models'!$P$16</f>
        <v>1.5</v>
      </c>
      <c r="I280" s="33">
        <v>12</v>
      </c>
      <c r="J280" s="33" t="e">
        <f>'Peak Models'!$P$13</f>
        <v>#N/A</v>
      </c>
      <c r="K280" s="28" t="e">
        <f t="shared" si="70"/>
        <v>#VALUE!</v>
      </c>
      <c r="L280" s="28" t="e">
        <f>INDEX('Peak Models'!$P$34:$P$64, MATCH(TRUNC(B280, 0), 'Peak Models'!$O$34:$O$64, 0))</f>
        <v>#N/A</v>
      </c>
      <c r="M280" s="28">
        <f>'Peak Models'!$P$15*INDEX('Peak Models'!$Q$34:$Q$64, MATCH(TRUNC(B280, 0),'Peak Models'!$O$34:$O$64, 0))/'Profit per cycles Model'!$E$78</f>
        <v>5.5938153113798235</v>
      </c>
      <c r="N280" s="28" t="e">
        <f t="shared" si="71"/>
        <v>#N/A</v>
      </c>
      <c r="O280" s="71" t="e">
        <f>AVERAGE($N$10:N280)</f>
        <v>#N/A</v>
      </c>
      <c r="P280" s="28" t="e">
        <f t="shared" si="72"/>
        <v>#N/A</v>
      </c>
      <c r="R280" s="28" t="e">
        <f t="shared" si="73"/>
        <v>#VALUE!</v>
      </c>
      <c r="S280" s="25"/>
      <c r="T280" s="25">
        <f t="shared" si="74"/>
        <v>15</v>
      </c>
      <c r="U280" s="33">
        <f>IF(PaybackCustom&gt;0, IF(PaybackCustom&lt;&gt;"Default", PaybackCustom, IF(PaybackStatus&lt;&gt;"",INDEX('Arbitrage Payback Engine'!$Y$2:$Y$6,MATCH(PaybackStatus,'Arbitrage Payback Engine'!$X$2:$X$6,FALSE)),-1)))</f>
        <v>25</v>
      </c>
      <c r="V280" s="32">
        <f t="shared" si="83"/>
        <v>15</v>
      </c>
      <c r="X280" s="29">
        <f t="shared" si="84"/>
        <v>271</v>
      </c>
      <c r="Z280" s="30">
        <f t="shared" si="75"/>
        <v>7.4236405971784682</v>
      </c>
      <c r="AA280" s="28" t="e">
        <f t="shared" si="76"/>
        <v>#N/A</v>
      </c>
      <c r="AB280" s="28" t="e">
        <f t="shared" si="77"/>
        <v>#VALUE!</v>
      </c>
      <c r="AC280" s="29">
        <f t="shared" si="78"/>
        <v>257.11574952561671</v>
      </c>
      <c r="AD280" s="28" t="e">
        <f t="shared" si="79"/>
        <v>#VALUE!</v>
      </c>
      <c r="AE280" s="28" t="e">
        <f t="shared" si="80"/>
        <v>#N/A</v>
      </c>
      <c r="AF280" s="28" t="e">
        <f t="shared" si="81"/>
        <v>#VALUE!</v>
      </c>
      <c r="AH280" s="31" t="e">
        <f t="shared" si="82"/>
        <v>#N/A</v>
      </c>
      <c r="AI280" s="25"/>
      <c r="AJ280" s="31"/>
    </row>
    <row r="281" spans="2:36" x14ac:dyDescent="0.25">
      <c r="B281" s="33">
        <f>'Arbitrage Payback Engine'!E281</f>
        <v>7.4510341049171345</v>
      </c>
      <c r="C281" s="33">
        <f t="shared" si="68"/>
        <v>1000</v>
      </c>
      <c r="D281" s="33">
        <f>'Battery Pricing Model'!$C$17</f>
        <v>1000</v>
      </c>
      <c r="E281" s="33">
        <f t="shared" si="69"/>
        <v>999</v>
      </c>
      <c r="F281" s="33" t="str">
        <f>'Peak Models'!$B$4</f>
        <v>Default</v>
      </c>
      <c r="G281" s="33" t="e">
        <f>'Peak Models'!$Q$7</f>
        <v>#VALUE!</v>
      </c>
      <c r="H281" s="33">
        <f>'Peak Models'!$P$16</f>
        <v>1.5</v>
      </c>
      <c r="I281" s="33">
        <v>12</v>
      </c>
      <c r="J281" s="33" t="e">
        <f>'Peak Models'!$P$13</f>
        <v>#N/A</v>
      </c>
      <c r="K281" s="28" t="e">
        <f t="shared" si="70"/>
        <v>#VALUE!</v>
      </c>
      <c r="L281" s="28" t="e">
        <f>INDEX('Peak Models'!$P$34:$P$64, MATCH(TRUNC(B281, 0), 'Peak Models'!$O$34:$O$64, 0))</f>
        <v>#N/A</v>
      </c>
      <c r="M281" s="28">
        <f>'Peak Models'!$P$15*INDEX('Peak Models'!$Q$34:$Q$64, MATCH(TRUNC(B281, 0),'Peak Models'!$O$34:$O$64, 0))/'Profit per cycles Model'!$E$78</f>
        <v>5.5938153113798235</v>
      </c>
      <c r="N281" s="28" t="e">
        <f t="shared" si="71"/>
        <v>#N/A</v>
      </c>
      <c r="O281" s="71" t="e">
        <f>AVERAGE($N$10:N281)</f>
        <v>#N/A</v>
      </c>
      <c r="P281" s="28" t="e">
        <f t="shared" si="72"/>
        <v>#N/A</v>
      </c>
      <c r="R281" s="28" t="e">
        <f t="shared" si="73"/>
        <v>#VALUE!</v>
      </c>
      <c r="S281" s="25"/>
      <c r="T281" s="25">
        <f t="shared" si="74"/>
        <v>15</v>
      </c>
      <c r="U281" s="33">
        <f>IF(PaybackCustom&gt;0, IF(PaybackCustom&lt;&gt;"Default", PaybackCustom, IF(PaybackStatus&lt;&gt;"",INDEX('Arbitrage Payback Engine'!$Y$2:$Y$6,MATCH(PaybackStatus,'Arbitrage Payback Engine'!$X$2:$X$6,FALSE)),-1)))</f>
        <v>25</v>
      </c>
      <c r="V281" s="32">
        <f t="shared" si="83"/>
        <v>15</v>
      </c>
      <c r="X281" s="29">
        <f t="shared" si="84"/>
        <v>272</v>
      </c>
      <c r="Z281" s="30">
        <f t="shared" si="75"/>
        <v>7.4510341049171345</v>
      </c>
      <c r="AA281" s="28" t="e">
        <f t="shared" si="76"/>
        <v>#N/A</v>
      </c>
      <c r="AB281" s="28" t="e">
        <f t="shared" si="77"/>
        <v>#VALUE!</v>
      </c>
      <c r="AC281" s="29">
        <f t="shared" si="78"/>
        <v>258.06451612903226</v>
      </c>
      <c r="AD281" s="28" t="e">
        <f t="shared" si="79"/>
        <v>#VALUE!</v>
      </c>
      <c r="AE281" s="28" t="e">
        <f t="shared" si="80"/>
        <v>#N/A</v>
      </c>
      <c r="AF281" s="28" t="e">
        <f t="shared" si="81"/>
        <v>#VALUE!</v>
      </c>
      <c r="AH281" s="31" t="e">
        <f t="shared" si="82"/>
        <v>#N/A</v>
      </c>
      <c r="AI281" s="25"/>
      <c r="AJ281" s="31"/>
    </row>
    <row r="282" spans="2:36" x14ac:dyDescent="0.25">
      <c r="B282" s="33">
        <f>'Arbitrage Payback Engine'!E282</f>
        <v>7.4784276126558007</v>
      </c>
      <c r="C282" s="33">
        <f t="shared" si="68"/>
        <v>1000</v>
      </c>
      <c r="D282" s="33">
        <f>'Battery Pricing Model'!$C$17</f>
        <v>1000</v>
      </c>
      <c r="E282" s="33">
        <f t="shared" si="69"/>
        <v>999</v>
      </c>
      <c r="F282" s="33" t="str">
        <f>'Peak Models'!$B$4</f>
        <v>Default</v>
      </c>
      <c r="G282" s="33" t="e">
        <f>'Peak Models'!$Q$7</f>
        <v>#VALUE!</v>
      </c>
      <c r="H282" s="33">
        <f>'Peak Models'!$P$16</f>
        <v>1.5</v>
      </c>
      <c r="I282" s="33">
        <v>12</v>
      </c>
      <c r="J282" s="33" t="e">
        <f>'Peak Models'!$P$13</f>
        <v>#N/A</v>
      </c>
      <c r="K282" s="28" t="e">
        <f t="shared" si="70"/>
        <v>#VALUE!</v>
      </c>
      <c r="L282" s="28" t="e">
        <f>INDEX('Peak Models'!$P$34:$P$64, MATCH(TRUNC(B282, 0), 'Peak Models'!$O$34:$O$64, 0))</f>
        <v>#N/A</v>
      </c>
      <c r="M282" s="28">
        <f>'Peak Models'!$P$15*INDEX('Peak Models'!$Q$34:$Q$64, MATCH(TRUNC(B282, 0),'Peak Models'!$O$34:$O$64, 0))/'Profit per cycles Model'!$E$78</f>
        <v>5.5938153113798235</v>
      </c>
      <c r="N282" s="28" t="e">
        <f t="shared" si="71"/>
        <v>#N/A</v>
      </c>
      <c r="O282" s="71" t="e">
        <f>AVERAGE($N$10:N282)</f>
        <v>#N/A</v>
      </c>
      <c r="P282" s="28" t="e">
        <f t="shared" si="72"/>
        <v>#N/A</v>
      </c>
      <c r="R282" s="28" t="e">
        <f t="shared" si="73"/>
        <v>#VALUE!</v>
      </c>
      <c r="S282" s="25"/>
      <c r="T282" s="25">
        <f t="shared" si="74"/>
        <v>15</v>
      </c>
      <c r="U282" s="33">
        <f>IF(PaybackCustom&gt;0, IF(PaybackCustom&lt;&gt;"Default", PaybackCustom, IF(PaybackStatus&lt;&gt;"",INDEX('Arbitrage Payback Engine'!$Y$2:$Y$6,MATCH(PaybackStatus,'Arbitrage Payback Engine'!$X$2:$X$6,FALSE)),-1)))</f>
        <v>25</v>
      </c>
      <c r="V282" s="32">
        <f t="shared" si="83"/>
        <v>15</v>
      </c>
      <c r="X282" s="29">
        <f t="shared" si="84"/>
        <v>273</v>
      </c>
      <c r="Z282" s="30">
        <f t="shared" si="75"/>
        <v>7.4784276126558007</v>
      </c>
      <c r="AA282" s="28" t="e">
        <f t="shared" si="76"/>
        <v>#N/A</v>
      </c>
      <c r="AB282" s="28" t="e">
        <f t="shared" si="77"/>
        <v>#VALUE!</v>
      </c>
      <c r="AC282" s="29">
        <f t="shared" si="78"/>
        <v>259.01328273244786</v>
      </c>
      <c r="AD282" s="28" t="e">
        <f t="shared" si="79"/>
        <v>#VALUE!</v>
      </c>
      <c r="AE282" s="28" t="e">
        <f t="shared" si="80"/>
        <v>#N/A</v>
      </c>
      <c r="AF282" s="28" t="e">
        <f t="shared" si="81"/>
        <v>#VALUE!</v>
      </c>
      <c r="AH282" s="31" t="e">
        <f t="shared" si="82"/>
        <v>#N/A</v>
      </c>
      <c r="AI282" s="25"/>
      <c r="AJ282" s="31"/>
    </row>
    <row r="283" spans="2:36" x14ac:dyDescent="0.25">
      <c r="B283" s="33">
        <f>'Arbitrage Payback Engine'!E283</f>
        <v>7.505821120394466</v>
      </c>
      <c r="C283" s="33">
        <f t="shared" si="68"/>
        <v>1000</v>
      </c>
      <c r="D283" s="33">
        <f>'Battery Pricing Model'!$C$17</f>
        <v>1000</v>
      </c>
      <c r="E283" s="33">
        <f t="shared" si="69"/>
        <v>999</v>
      </c>
      <c r="F283" s="33" t="str">
        <f>'Peak Models'!$B$4</f>
        <v>Default</v>
      </c>
      <c r="G283" s="33" t="e">
        <f>'Peak Models'!$Q$7</f>
        <v>#VALUE!</v>
      </c>
      <c r="H283" s="33">
        <f>'Peak Models'!$P$16</f>
        <v>1.5</v>
      </c>
      <c r="I283" s="33">
        <v>12</v>
      </c>
      <c r="J283" s="33" t="e">
        <f>'Peak Models'!$P$13</f>
        <v>#N/A</v>
      </c>
      <c r="K283" s="28" t="e">
        <f t="shared" si="70"/>
        <v>#VALUE!</v>
      </c>
      <c r="L283" s="28" t="e">
        <f>INDEX('Peak Models'!$P$34:$P$64, MATCH(TRUNC(B283, 0), 'Peak Models'!$O$34:$O$64, 0))</f>
        <v>#N/A</v>
      </c>
      <c r="M283" s="28">
        <f>'Peak Models'!$P$15*INDEX('Peak Models'!$Q$34:$Q$64, MATCH(TRUNC(B283, 0),'Peak Models'!$O$34:$O$64, 0))/'Profit per cycles Model'!$E$78</f>
        <v>5.5938153113798235</v>
      </c>
      <c r="N283" s="28" t="e">
        <f t="shared" si="71"/>
        <v>#N/A</v>
      </c>
      <c r="O283" s="71" t="e">
        <f>AVERAGE($N$10:N283)</f>
        <v>#N/A</v>
      </c>
      <c r="P283" s="28" t="e">
        <f t="shared" si="72"/>
        <v>#N/A</v>
      </c>
      <c r="R283" s="28" t="e">
        <f t="shared" si="73"/>
        <v>#VALUE!</v>
      </c>
      <c r="S283" s="25"/>
      <c r="T283" s="25">
        <f t="shared" si="74"/>
        <v>15</v>
      </c>
      <c r="U283" s="33">
        <f>IF(PaybackCustom&gt;0, IF(PaybackCustom&lt;&gt;"Default", PaybackCustom, IF(PaybackStatus&lt;&gt;"",INDEX('Arbitrage Payback Engine'!$Y$2:$Y$6,MATCH(PaybackStatus,'Arbitrage Payback Engine'!$X$2:$X$6,FALSE)),-1)))</f>
        <v>25</v>
      </c>
      <c r="V283" s="32">
        <f t="shared" si="83"/>
        <v>15</v>
      </c>
      <c r="X283" s="29">
        <f t="shared" si="84"/>
        <v>274</v>
      </c>
      <c r="Z283" s="30">
        <f t="shared" si="75"/>
        <v>7.505821120394466</v>
      </c>
      <c r="AA283" s="28" t="e">
        <f t="shared" si="76"/>
        <v>#N/A</v>
      </c>
      <c r="AB283" s="28" t="e">
        <f t="shared" si="77"/>
        <v>#VALUE!</v>
      </c>
      <c r="AC283" s="29">
        <f t="shared" si="78"/>
        <v>259.96204933586336</v>
      </c>
      <c r="AD283" s="28" t="e">
        <f t="shared" si="79"/>
        <v>#VALUE!</v>
      </c>
      <c r="AE283" s="28" t="e">
        <f t="shared" si="80"/>
        <v>#N/A</v>
      </c>
      <c r="AF283" s="28" t="e">
        <f t="shared" si="81"/>
        <v>#VALUE!</v>
      </c>
      <c r="AH283" s="31" t="e">
        <f t="shared" si="82"/>
        <v>#N/A</v>
      </c>
      <c r="AI283" s="25"/>
      <c r="AJ283" s="31"/>
    </row>
    <row r="284" spans="2:36" x14ac:dyDescent="0.25">
      <c r="B284" s="33">
        <f>'Arbitrage Payback Engine'!E284</f>
        <v>7.5332146281331323</v>
      </c>
      <c r="C284" s="33">
        <f t="shared" si="68"/>
        <v>1000</v>
      </c>
      <c r="D284" s="33">
        <f>'Battery Pricing Model'!$C$17</f>
        <v>1000</v>
      </c>
      <c r="E284" s="33">
        <f t="shared" si="69"/>
        <v>999</v>
      </c>
      <c r="F284" s="33" t="str">
        <f>'Peak Models'!$B$4</f>
        <v>Default</v>
      </c>
      <c r="G284" s="33" t="e">
        <f>'Peak Models'!$Q$7</f>
        <v>#VALUE!</v>
      </c>
      <c r="H284" s="33">
        <f>'Peak Models'!$P$16</f>
        <v>1.5</v>
      </c>
      <c r="I284" s="33">
        <v>12</v>
      </c>
      <c r="J284" s="33" t="e">
        <f>'Peak Models'!$P$13</f>
        <v>#N/A</v>
      </c>
      <c r="K284" s="28" t="e">
        <f t="shared" si="70"/>
        <v>#VALUE!</v>
      </c>
      <c r="L284" s="28" t="e">
        <f>INDEX('Peak Models'!$P$34:$P$64, MATCH(TRUNC(B284, 0), 'Peak Models'!$O$34:$O$64, 0))</f>
        <v>#N/A</v>
      </c>
      <c r="M284" s="28">
        <f>'Peak Models'!$P$15*INDEX('Peak Models'!$Q$34:$Q$64, MATCH(TRUNC(B284, 0),'Peak Models'!$O$34:$O$64, 0))/'Profit per cycles Model'!$E$78</f>
        <v>5.5938153113798235</v>
      </c>
      <c r="N284" s="28" t="e">
        <f t="shared" si="71"/>
        <v>#N/A</v>
      </c>
      <c r="O284" s="71" t="e">
        <f>AVERAGE($N$10:N284)</f>
        <v>#N/A</v>
      </c>
      <c r="P284" s="28" t="e">
        <f t="shared" si="72"/>
        <v>#N/A</v>
      </c>
      <c r="R284" s="28" t="e">
        <f t="shared" si="73"/>
        <v>#VALUE!</v>
      </c>
      <c r="S284" s="25"/>
      <c r="T284" s="25">
        <f t="shared" si="74"/>
        <v>15</v>
      </c>
      <c r="U284" s="33">
        <f>IF(PaybackCustom&gt;0, IF(PaybackCustom&lt;&gt;"Default", PaybackCustom, IF(PaybackStatus&lt;&gt;"",INDEX('Arbitrage Payback Engine'!$Y$2:$Y$6,MATCH(PaybackStatus,'Arbitrage Payback Engine'!$X$2:$X$6,FALSE)),-1)))</f>
        <v>25</v>
      </c>
      <c r="V284" s="32">
        <f t="shared" si="83"/>
        <v>15</v>
      </c>
      <c r="X284" s="29">
        <f t="shared" si="84"/>
        <v>275</v>
      </c>
      <c r="Z284" s="30">
        <f t="shared" si="75"/>
        <v>7.5332146281331323</v>
      </c>
      <c r="AA284" s="28" t="e">
        <f t="shared" si="76"/>
        <v>#N/A</v>
      </c>
      <c r="AB284" s="28" t="e">
        <f t="shared" si="77"/>
        <v>#VALUE!</v>
      </c>
      <c r="AC284" s="29">
        <f t="shared" si="78"/>
        <v>260.91081593927896</v>
      </c>
      <c r="AD284" s="28" t="e">
        <f t="shared" si="79"/>
        <v>#VALUE!</v>
      </c>
      <c r="AE284" s="28" t="e">
        <f t="shared" si="80"/>
        <v>#N/A</v>
      </c>
      <c r="AF284" s="28" t="e">
        <f t="shared" si="81"/>
        <v>#VALUE!</v>
      </c>
      <c r="AH284" s="31" t="e">
        <f t="shared" si="82"/>
        <v>#N/A</v>
      </c>
      <c r="AI284" s="25"/>
      <c r="AJ284" s="31"/>
    </row>
    <row r="285" spans="2:36" x14ac:dyDescent="0.25">
      <c r="B285" s="33">
        <f>'Arbitrage Payback Engine'!E285</f>
        <v>7.5606081358717985</v>
      </c>
      <c r="C285" s="33">
        <f t="shared" si="68"/>
        <v>1000</v>
      </c>
      <c r="D285" s="33">
        <f>'Battery Pricing Model'!$C$17</f>
        <v>1000</v>
      </c>
      <c r="E285" s="33">
        <f t="shared" si="69"/>
        <v>999</v>
      </c>
      <c r="F285" s="33" t="str">
        <f>'Peak Models'!$B$4</f>
        <v>Default</v>
      </c>
      <c r="G285" s="33" t="e">
        <f>'Peak Models'!$Q$7</f>
        <v>#VALUE!</v>
      </c>
      <c r="H285" s="33">
        <f>'Peak Models'!$P$16</f>
        <v>1.5</v>
      </c>
      <c r="I285" s="33">
        <v>12</v>
      </c>
      <c r="J285" s="33" t="e">
        <f>'Peak Models'!$P$13</f>
        <v>#N/A</v>
      </c>
      <c r="K285" s="28" t="e">
        <f t="shared" si="70"/>
        <v>#VALUE!</v>
      </c>
      <c r="L285" s="28" t="e">
        <f>INDEX('Peak Models'!$P$34:$P$64, MATCH(TRUNC(B285, 0), 'Peak Models'!$O$34:$O$64, 0))</f>
        <v>#N/A</v>
      </c>
      <c r="M285" s="28">
        <f>'Peak Models'!$P$15*INDEX('Peak Models'!$Q$34:$Q$64, MATCH(TRUNC(B285, 0),'Peak Models'!$O$34:$O$64, 0))/'Profit per cycles Model'!$E$78</f>
        <v>5.5938153113798235</v>
      </c>
      <c r="N285" s="28" t="e">
        <f t="shared" si="71"/>
        <v>#N/A</v>
      </c>
      <c r="O285" s="71" t="e">
        <f>AVERAGE($N$10:N285)</f>
        <v>#N/A</v>
      </c>
      <c r="P285" s="28" t="e">
        <f t="shared" si="72"/>
        <v>#N/A</v>
      </c>
      <c r="R285" s="28" t="e">
        <f t="shared" si="73"/>
        <v>#VALUE!</v>
      </c>
      <c r="S285" s="25"/>
      <c r="T285" s="25">
        <f t="shared" si="74"/>
        <v>15</v>
      </c>
      <c r="U285" s="33">
        <f>IF(PaybackCustom&gt;0, IF(PaybackCustom&lt;&gt;"Default", PaybackCustom, IF(PaybackStatus&lt;&gt;"",INDEX('Arbitrage Payback Engine'!$Y$2:$Y$6,MATCH(PaybackStatus,'Arbitrage Payback Engine'!$X$2:$X$6,FALSE)),-1)))</f>
        <v>25</v>
      </c>
      <c r="V285" s="32">
        <f t="shared" si="83"/>
        <v>15</v>
      </c>
      <c r="X285" s="29">
        <f t="shared" si="84"/>
        <v>276</v>
      </c>
      <c r="Z285" s="30">
        <f t="shared" si="75"/>
        <v>7.5606081358717985</v>
      </c>
      <c r="AA285" s="28" t="e">
        <f t="shared" si="76"/>
        <v>#N/A</v>
      </c>
      <c r="AB285" s="28" t="e">
        <f t="shared" si="77"/>
        <v>#VALUE!</v>
      </c>
      <c r="AC285" s="29">
        <f t="shared" si="78"/>
        <v>261.85958254269451</v>
      </c>
      <c r="AD285" s="28" t="e">
        <f t="shared" si="79"/>
        <v>#VALUE!</v>
      </c>
      <c r="AE285" s="28" t="e">
        <f t="shared" si="80"/>
        <v>#N/A</v>
      </c>
      <c r="AF285" s="28" t="e">
        <f t="shared" si="81"/>
        <v>#VALUE!</v>
      </c>
      <c r="AH285" s="31" t="e">
        <f t="shared" si="82"/>
        <v>#N/A</v>
      </c>
      <c r="AI285" s="25"/>
      <c r="AJ285" s="31"/>
    </row>
    <row r="286" spans="2:36" x14ac:dyDescent="0.25">
      <c r="B286" s="33">
        <f>'Arbitrage Payback Engine'!E286</f>
        <v>7.5880016436104638</v>
      </c>
      <c r="C286" s="33">
        <f t="shared" si="68"/>
        <v>1000</v>
      </c>
      <c r="D286" s="33">
        <f>'Battery Pricing Model'!$C$17</f>
        <v>1000</v>
      </c>
      <c r="E286" s="33">
        <f t="shared" si="69"/>
        <v>999</v>
      </c>
      <c r="F286" s="33" t="str">
        <f>'Peak Models'!$B$4</f>
        <v>Default</v>
      </c>
      <c r="G286" s="33" t="e">
        <f>'Peak Models'!$Q$7</f>
        <v>#VALUE!</v>
      </c>
      <c r="H286" s="33">
        <f>'Peak Models'!$P$16</f>
        <v>1.5</v>
      </c>
      <c r="I286" s="33">
        <v>12</v>
      </c>
      <c r="J286" s="33" t="e">
        <f>'Peak Models'!$P$13</f>
        <v>#N/A</v>
      </c>
      <c r="K286" s="28" t="e">
        <f t="shared" si="70"/>
        <v>#VALUE!</v>
      </c>
      <c r="L286" s="28" t="e">
        <f>INDEX('Peak Models'!$P$34:$P$64, MATCH(TRUNC(B286, 0), 'Peak Models'!$O$34:$O$64, 0))</f>
        <v>#N/A</v>
      </c>
      <c r="M286" s="28">
        <f>'Peak Models'!$P$15*INDEX('Peak Models'!$Q$34:$Q$64, MATCH(TRUNC(B286, 0),'Peak Models'!$O$34:$O$64, 0))/'Profit per cycles Model'!$E$78</f>
        <v>5.5938153113798235</v>
      </c>
      <c r="N286" s="28" t="e">
        <f t="shared" si="71"/>
        <v>#N/A</v>
      </c>
      <c r="O286" s="71" t="e">
        <f>AVERAGE($N$10:N286)</f>
        <v>#N/A</v>
      </c>
      <c r="P286" s="28" t="e">
        <f t="shared" si="72"/>
        <v>#N/A</v>
      </c>
      <c r="R286" s="28" t="e">
        <f t="shared" si="73"/>
        <v>#VALUE!</v>
      </c>
      <c r="S286" s="25"/>
      <c r="T286" s="25">
        <f t="shared" si="74"/>
        <v>15</v>
      </c>
      <c r="U286" s="33">
        <f>IF(PaybackCustom&gt;0, IF(PaybackCustom&lt;&gt;"Default", PaybackCustom, IF(PaybackStatus&lt;&gt;"",INDEX('Arbitrage Payback Engine'!$Y$2:$Y$6,MATCH(PaybackStatus,'Arbitrage Payback Engine'!$X$2:$X$6,FALSE)),-1)))</f>
        <v>25</v>
      </c>
      <c r="V286" s="32">
        <f t="shared" si="83"/>
        <v>15</v>
      </c>
      <c r="X286" s="29">
        <f t="shared" si="84"/>
        <v>277</v>
      </c>
      <c r="Z286" s="30">
        <f t="shared" si="75"/>
        <v>7.5880016436104638</v>
      </c>
      <c r="AA286" s="28" t="e">
        <f t="shared" si="76"/>
        <v>#N/A</v>
      </c>
      <c r="AB286" s="28" t="e">
        <f t="shared" si="77"/>
        <v>#VALUE!</v>
      </c>
      <c r="AC286" s="29">
        <f t="shared" si="78"/>
        <v>262.80834914611006</v>
      </c>
      <c r="AD286" s="28" t="e">
        <f t="shared" si="79"/>
        <v>#VALUE!</v>
      </c>
      <c r="AE286" s="28" t="e">
        <f t="shared" si="80"/>
        <v>#N/A</v>
      </c>
      <c r="AF286" s="28" t="e">
        <f t="shared" si="81"/>
        <v>#VALUE!</v>
      </c>
      <c r="AH286" s="31" t="e">
        <f t="shared" si="82"/>
        <v>#N/A</v>
      </c>
      <c r="AI286" s="25"/>
      <c r="AJ286" s="31"/>
    </row>
    <row r="287" spans="2:36" x14ac:dyDescent="0.25">
      <c r="B287" s="33">
        <f>'Arbitrage Payback Engine'!E287</f>
        <v>7.61539515134913</v>
      </c>
      <c r="C287" s="33">
        <f t="shared" si="68"/>
        <v>1000</v>
      </c>
      <c r="D287" s="33">
        <f>'Battery Pricing Model'!$C$17</f>
        <v>1000</v>
      </c>
      <c r="E287" s="33">
        <f t="shared" si="69"/>
        <v>999</v>
      </c>
      <c r="F287" s="33" t="str">
        <f>'Peak Models'!$B$4</f>
        <v>Default</v>
      </c>
      <c r="G287" s="33" t="e">
        <f>'Peak Models'!$Q$7</f>
        <v>#VALUE!</v>
      </c>
      <c r="H287" s="33">
        <f>'Peak Models'!$P$16</f>
        <v>1.5</v>
      </c>
      <c r="I287" s="33">
        <v>12</v>
      </c>
      <c r="J287" s="33" t="e">
        <f>'Peak Models'!$P$13</f>
        <v>#N/A</v>
      </c>
      <c r="K287" s="28" t="e">
        <f t="shared" si="70"/>
        <v>#VALUE!</v>
      </c>
      <c r="L287" s="28" t="e">
        <f>INDEX('Peak Models'!$P$34:$P$64, MATCH(TRUNC(B287, 0), 'Peak Models'!$O$34:$O$64, 0))</f>
        <v>#N/A</v>
      </c>
      <c r="M287" s="28">
        <f>'Peak Models'!$P$15*INDEX('Peak Models'!$Q$34:$Q$64, MATCH(TRUNC(B287, 0),'Peak Models'!$O$34:$O$64, 0))/'Profit per cycles Model'!$E$78</f>
        <v>5.5938153113798235</v>
      </c>
      <c r="N287" s="28" t="e">
        <f t="shared" si="71"/>
        <v>#N/A</v>
      </c>
      <c r="O287" s="71" t="e">
        <f>AVERAGE($N$10:N287)</f>
        <v>#N/A</v>
      </c>
      <c r="P287" s="28" t="e">
        <f t="shared" si="72"/>
        <v>#N/A</v>
      </c>
      <c r="R287" s="28" t="e">
        <f t="shared" si="73"/>
        <v>#VALUE!</v>
      </c>
      <c r="S287" s="25"/>
      <c r="T287" s="25">
        <f t="shared" si="74"/>
        <v>15</v>
      </c>
      <c r="U287" s="33">
        <f>IF(PaybackCustom&gt;0, IF(PaybackCustom&lt;&gt;"Default", PaybackCustom, IF(PaybackStatus&lt;&gt;"",INDEX('Arbitrage Payback Engine'!$Y$2:$Y$6,MATCH(PaybackStatus,'Arbitrage Payback Engine'!$X$2:$X$6,FALSE)),-1)))</f>
        <v>25</v>
      </c>
      <c r="V287" s="32">
        <f t="shared" si="83"/>
        <v>15</v>
      </c>
      <c r="X287" s="29">
        <f t="shared" si="84"/>
        <v>278</v>
      </c>
      <c r="Z287" s="30">
        <f t="shared" si="75"/>
        <v>7.61539515134913</v>
      </c>
      <c r="AA287" s="28" t="e">
        <f t="shared" si="76"/>
        <v>#N/A</v>
      </c>
      <c r="AB287" s="28" t="e">
        <f t="shared" si="77"/>
        <v>#VALUE!</v>
      </c>
      <c r="AC287" s="29">
        <f t="shared" si="78"/>
        <v>263.75711574952561</v>
      </c>
      <c r="AD287" s="28" t="e">
        <f t="shared" si="79"/>
        <v>#VALUE!</v>
      </c>
      <c r="AE287" s="28" t="e">
        <f t="shared" si="80"/>
        <v>#N/A</v>
      </c>
      <c r="AF287" s="28" t="e">
        <f t="shared" si="81"/>
        <v>#VALUE!</v>
      </c>
      <c r="AH287" s="31" t="e">
        <f t="shared" si="82"/>
        <v>#N/A</v>
      </c>
      <c r="AI287" s="25"/>
      <c r="AJ287" s="31"/>
    </row>
    <row r="288" spans="2:36" x14ac:dyDescent="0.25">
      <c r="B288" s="33">
        <f>'Arbitrage Payback Engine'!E288</f>
        <v>7.6427886590877963</v>
      </c>
      <c r="C288" s="33">
        <f t="shared" si="68"/>
        <v>1000</v>
      </c>
      <c r="D288" s="33">
        <f>'Battery Pricing Model'!$C$17</f>
        <v>1000</v>
      </c>
      <c r="E288" s="33">
        <f t="shared" si="69"/>
        <v>999</v>
      </c>
      <c r="F288" s="33" t="str">
        <f>'Peak Models'!$B$4</f>
        <v>Default</v>
      </c>
      <c r="G288" s="33" t="e">
        <f>'Peak Models'!$Q$7</f>
        <v>#VALUE!</v>
      </c>
      <c r="H288" s="33">
        <f>'Peak Models'!$P$16</f>
        <v>1.5</v>
      </c>
      <c r="I288" s="33">
        <v>12</v>
      </c>
      <c r="J288" s="33" t="e">
        <f>'Peak Models'!$P$13</f>
        <v>#N/A</v>
      </c>
      <c r="K288" s="28" t="e">
        <f t="shared" si="70"/>
        <v>#VALUE!</v>
      </c>
      <c r="L288" s="28" t="e">
        <f>INDEX('Peak Models'!$P$34:$P$64, MATCH(TRUNC(B288, 0), 'Peak Models'!$O$34:$O$64, 0))</f>
        <v>#N/A</v>
      </c>
      <c r="M288" s="28">
        <f>'Peak Models'!$P$15*INDEX('Peak Models'!$Q$34:$Q$64, MATCH(TRUNC(B288, 0),'Peak Models'!$O$34:$O$64, 0))/'Profit per cycles Model'!$E$78</f>
        <v>5.5938153113798235</v>
      </c>
      <c r="N288" s="28" t="e">
        <f t="shared" si="71"/>
        <v>#N/A</v>
      </c>
      <c r="O288" s="71" t="e">
        <f>AVERAGE($N$10:N288)</f>
        <v>#N/A</v>
      </c>
      <c r="P288" s="28" t="e">
        <f t="shared" si="72"/>
        <v>#N/A</v>
      </c>
      <c r="R288" s="28" t="e">
        <f t="shared" si="73"/>
        <v>#VALUE!</v>
      </c>
      <c r="S288" s="25"/>
      <c r="T288" s="25">
        <f t="shared" si="74"/>
        <v>15</v>
      </c>
      <c r="U288" s="33">
        <f>IF(PaybackCustom&gt;0, IF(PaybackCustom&lt;&gt;"Default", PaybackCustom, IF(PaybackStatus&lt;&gt;"",INDEX('Arbitrage Payback Engine'!$Y$2:$Y$6,MATCH(PaybackStatus,'Arbitrage Payback Engine'!$X$2:$X$6,FALSE)),-1)))</f>
        <v>25</v>
      </c>
      <c r="V288" s="32">
        <f t="shared" si="83"/>
        <v>15</v>
      </c>
      <c r="X288" s="29">
        <f t="shared" si="84"/>
        <v>279</v>
      </c>
      <c r="Z288" s="30">
        <f t="shared" si="75"/>
        <v>7.6427886590877963</v>
      </c>
      <c r="AA288" s="28" t="e">
        <f t="shared" si="76"/>
        <v>#N/A</v>
      </c>
      <c r="AB288" s="28" t="e">
        <f t="shared" si="77"/>
        <v>#VALUE!</v>
      </c>
      <c r="AC288" s="29">
        <f t="shared" si="78"/>
        <v>264.70588235294116</v>
      </c>
      <c r="AD288" s="28" t="e">
        <f t="shared" si="79"/>
        <v>#VALUE!</v>
      </c>
      <c r="AE288" s="28" t="e">
        <f t="shared" si="80"/>
        <v>#N/A</v>
      </c>
      <c r="AF288" s="28" t="e">
        <f t="shared" si="81"/>
        <v>#VALUE!</v>
      </c>
      <c r="AH288" s="31" t="e">
        <f t="shared" si="82"/>
        <v>#N/A</v>
      </c>
      <c r="AI288" s="25"/>
      <c r="AJ288" s="31"/>
    </row>
    <row r="289" spans="2:36" x14ac:dyDescent="0.25">
      <c r="B289" s="33">
        <f>'Arbitrage Payback Engine'!E289</f>
        <v>7.6701821668264616</v>
      </c>
      <c r="C289" s="33">
        <f t="shared" si="68"/>
        <v>1000</v>
      </c>
      <c r="D289" s="33">
        <f>'Battery Pricing Model'!$C$17</f>
        <v>1000</v>
      </c>
      <c r="E289" s="33">
        <f t="shared" si="69"/>
        <v>999</v>
      </c>
      <c r="F289" s="33" t="str">
        <f>'Peak Models'!$B$4</f>
        <v>Default</v>
      </c>
      <c r="G289" s="33" t="e">
        <f>'Peak Models'!$Q$7</f>
        <v>#VALUE!</v>
      </c>
      <c r="H289" s="33">
        <f>'Peak Models'!$P$16</f>
        <v>1.5</v>
      </c>
      <c r="I289" s="33">
        <v>12</v>
      </c>
      <c r="J289" s="33" t="e">
        <f>'Peak Models'!$P$13</f>
        <v>#N/A</v>
      </c>
      <c r="K289" s="28" t="e">
        <f t="shared" si="70"/>
        <v>#VALUE!</v>
      </c>
      <c r="L289" s="28" t="e">
        <f>INDEX('Peak Models'!$P$34:$P$64, MATCH(TRUNC(B289, 0), 'Peak Models'!$O$34:$O$64, 0))</f>
        <v>#N/A</v>
      </c>
      <c r="M289" s="28">
        <f>'Peak Models'!$P$15*INDEX('Peak Models'!$Q$34:$Q$64, MATCH(TRUNC(B289, 0),'Peak Models'!$O$34:$O$64, 0))/'Profit per cycles Model'!$E$78</f>
        <v>5.5938153113798235</v>
      </c>
      <c r="N289" s="28" t="e">
        <f t="shared" si="71"/>
        <v>#N/A</v>
      </c>
      <c r="O289" s="71" t="e">
        <f>AVERAGE($N$10:N289)</f>
        <v>#N/A</v>
      </c>
      <c r="P289" s="28" t="e">
        <f t="shared" si="72"/>
        <v>#N/A</v>
      </c>
      <c r="R289" s="28" t="e">
        <f t="shared" si="73"/>
        <v>#VALUE!</v>
      </c>
      <c r="S289" s="25"/>
      <c r="T289" s="25">
        <f t="shared" si="74"/>
        <v>15</v>
      </c>
      <c r="U289" s="33">
        <f>IF(PaybackCustom&gt;0, IF(PaybackCustom&lt;&gt;"Default", PaybackCustom, IF(PaybackStatus&lt;&gt;"",INDEX('Arbitrage Payback Engine'!$Y$2:$Y$6,MATCH(PaybackStatus,'Arbitrage Payback Engine'!$X$2:$X$6,FALSE)),-1)))</f>
        <v>25</v>
      </c>
      <c r="V289" s="32">
        <f t="shared" si="83"/>
        <v>15</v>
      </c>
      <c r="X289" s="29">
        <f t="shared" si="84"/>
        <v>280</v>
      </c>
      <c r="Z289" s="30">
        <f t="shared" si="75"/>
        <v>7.6701821668264616</v>
      </c>
      <c r="AA289" s="28" t="e">
        <f t="shared" si="76"/>
        <v>#N/A</v>
      </c>
      <c r="AB289" s="28" t="e">
        <f t="shared" si="77"/>
        <v>#VALUE!</v>
      </c>
      <c r="AC289" s="29">
        <f t="shared" si="78"/>
        <v>265.65464895635677</v>
      </c>
      <c r="AD289" s="28" t="e">
        <f t="shared" si="79"/>
        <v>#VALUE!</v>
      </c>
      <c r="AE289" s="28" t="e">
        <f t="shared" si="80"/>
        <v>#N/A</v>
      </c>
      <c r="AF289" s="28" t="e">
        <f t="shared" si="81"/>
        <v>#VALUE!</v>
      </c>
      <c r="AH289" s="31" t="e">
        <f t="shared" si="82"/>
        <v>#N/A</v>
      </c>
      <c r="AI289" s="25"/>
      <c r="AJ289" s="31"/>
    </row>
    <row r="290" spans="2:36" x14ac:dyDescent="0.25">
      <c r="B290" s="33">
        <f>'Arbitrage Payback Engine'!E290</f>
        <v>7.6975756745651278</v>
      </c>
      <c r="C290" s="33">
        <f t="shared" si="68"/>
        <v>1000</v>
      </c>
      <c r="D290" s="33">
        <f>'Battery Pricing Model'!$C$17</f>
        <v>1000</v>
      </c>
      <c r="E290" s="33">
        <f t="shared" si="69"/>
        <v>999</v>
      </c>
      <c r="F290" s="33" t="str">
        <f>'Peak Models'!$B$4</f>
        <v>Default</v>
      </c>
      <c r="G290" s="33" t="e">
        <f>'Peak Models'!$Q$7</f>
        <v>#VALUE!</v>
      </c>
      <c r="H290" s="33">
        <f>'Peak Models'!$P$16</f>
        <v>1.5</v>
      </c>
      <c r="I290" s="33">
        <v>12</v>
      </c>
      <c r="J290" s="33" t="e">
        <f>'Peak Models'!$P$13</f>
        <v>#N/A</v>
      </c>
      <c r="K290" s="28" t="e">
        <f t="shared" si="70"/>
        <v>#VALUE!</v>
      </c>
      <c r="L290" s="28" t="e">
        <f>INDEX('Peak Models'!$P$34:$P$64, MATCH(TRUNC(B290, 0), 'Peak Models'!$O$34:$O$64, 0))</f>
        <v>#N/A</v>
      </c>
      <c r="M290" s="28">
        <f>'Peak Models'!$P$15*INDEX('Peak Models'!$Q$34:$Q$64, MATCH(TRUNC(B290, 0),'Peak Models'!$O$34:$O$64, 0))/'Profit per cycles Model'!$E$78</f>
        <v>5.5938153113798235</v>
      </c>
      <c r="N290" s="28" t="e">
        <f t="shared" si="71"/>
        <v>#N/A</v>
      </c>
      <c r="O290" s="71" t="e">
        <f>AVERAGE($N$10:N290)</f>
        <v>#N/A</v>
      </c>
      <c r="P290" s="28" t="e">
        <f t="shared" si="72"/>
        <v>#N/A</v>
      </c>
      <c r="R290" s="28" t="e">
        <f t="shared" si="73"/>
        <v>#VALUE!</v>
      </c>
      <c r="S290" s="25"/>
      <c r="T290" s="25">
        <f t="shared" si="74"/>
        <v>15</v>
      </c>
      <c r="U290" s="33">
        <f>IF(PaybackCustom&gt;0, IF(PaybackCustom&lt;&gt;"Default", PaybackCustom, IF(PaybackStatus&lt;&gt;"",INDEX('Arbitrage Payback Engine'!$Y$2:$Y$6,MATCH(PaybackStatus,'Arbitrage Payback Engine'!$X$2:$X$6,FALSE)),-1)))</f>
        <v>25</v>
      </c>
      <c r="V290" s="32">
        <f t="shared" si="83"/>
        <v>15</v>
      </c>
      <c r="X290" s="29">
        <f t="shared" si="84"/>
        <v>281</v>
      </c>
      <c r="Z290" s="30">
        <f t="shared" si="75"/>
        <v>7.6975756745651278</v>
      </c>
      <c r="AA290" s="28" t="e">
        <f t="shared" si="76"/>
        <v>#N/A</v>
      </c>
      <c r="AB290" s="28" t="e">
        <f t="shared" si="77"/>
        <v>#VALUE!</v>
      </c>
      <c r="AC290" s="29">
        <f t="shared" si="78"/>
        <v>266.60341555977232</v>
      </c>
      <c r="AD290" s="28" t="e">
        <f t="shared" si="79"/>
        <v>#VALUE!</v>
      </c>
      <c r="AE290" s="28" t="e">
        <f t="shared" si="80"/>
        <v>#N/A</v>
      </c>
      <c r="AF290" s="28" t="e">
        <f t="shared" si="81"/>
        <v>#VALUE!</v>
      </c>
      <c r="AH290" s="31" t="e">
        <f t="shared" si="82"/>
        <v>#N/A</v>
      </c>
      <c r="AI290" s="25"/>
      <c r="AJ290" s="31"/>
    </row>
    <row r="291" spans="2:36" x14ac:dyDescent="0.25">
      <c r="B291" s="33">
        <f>'Arbitrage Payback Engine'!E291</f>
        <v>7.724969182303794</v>
      </c>
      <c r="C291" s="33">
        <f t="shared" si="68"/>
        <v>1000</v>
      </c>
      <c r="D291" s="33">
        <f>'Battery Pricing Model'!$C$17</f>
        <v>1000</v>
      </c>
      <c r="E291" s="33">
        <f t="shared" si="69"/>
        <v>999</v>
      </c>
      <c r="F291" s="33" t="str">
        <f>'Peak Models'!$B$4</f>
        <v>Default</v>
      </c>
      <c r="G291" s="33" t="e">
        <f>'Peak Models'!$Q$7</f>
        <v>#VALUE!</v>
      </c>
      <c r="H291" s="33">
        <f>'Peak Models'!$P$16</f>
        <v>1.5</v>
      </c>
      <c r="I291" s="33">
        <v>12</v>
      </c>
      <c r="J291" s="33" t="e">
        <f>'Peak Models'!$P$13</f>
        <v>#N/A</v>
      </c>
      <c r="K291" s="28" t="e">
        <f t="shared" si="70"/>
        <v>#VALUE!</v>
      </c>
      <c r="L291" s="28" t="e">
        <f>INDEX('Peak Models'!$P$34:$P$64, MATCH(TRUNC(B291, 0), 'Peak Models'!$O$34:$O$64, 0))</f>
        <v>#N/A</v>
      </c>
      <c r="M291" s="28">
        <f>'Peak Models'!$P$15*INDEX('Peak Models'!$Q$34:$Q$64, MATCH(TRUNC(B291, 0),'Peak Models'!$O$34:$O$64, 0))/'Profit per cycles Model'!$E$78</f>
        <v>5.5938153113798235</v>
      </c>
      <c r="N291" s="28" t="e">
        <f t="shared" si="71"/>
        <v>#N/A</v>
      </c>
      <c r="O291" s="71" t="e">
        <f>AVERAGE($N$10:N291)</f>
        <v>#N/A</v>
      </c>
      <c r="P291" s="28" t="e">
        <f t="shared" si="72"/>
        <v>#N/A</v>
      </c>
      <c r="R291" s="28" t="e">
        <f t="shared" si="73"/>
        <v>#VALUE!</v>
      </c>
      <c r="S291" s="25"/>
      <c r="T291" s="25">
        <f t="shared" si="74"/>
        <v>15</v>
      </c>
      <c r="U291" s="33">
        <f>IF(PaybackCustom&gt;0, IF(PaybackCustom&lt;&gt;"Default", PaybackCustom, IF(PaybackStatus&lt;&gt;"",INDEX('Arbitrage Payback Engine'!$Y$2:$Y$6,MATCH(PaybackStatus,'Arbitrage Payback Engine'!$X$2:$X$6,FALSE)),-1)))</f>
        <v>25</v>
      </c>
      <c r="V291" s="32">
        <f t="shared" si="83"/>
        <v>15</v>
      </c>
      <c r="X291" s="29">
        <f t="shared" si="84"/>
        <v>282</v>
      </c>
      <c r="Z291" s="30">
        <f t="shared" si="75"/>
        <v>7.724969182303794</v>
      </c>
      <c r="AA291" s="28" t="e">
        <f t="shared" si="76"/>
        <v>#N/A</v>
      </c>
      <c r="AB291" s="28" t="e">
        <f t="shared" si="77"/>
        <v>#VALUE!</v>
      </c>
      <c r="AC291" s="29">
        <f t="shared" si="78"/>
        <v>267.55218216318787</v>
      </c>
      <c r="AD291" s="28" t="e">
        <f t="shared" si="79"/>
        <v>#VALUE!</v>
      </c>
      <c r="AE291" s="28" t="e">
        <f t="shared" si="80"/>
        <v>#N/A</v>
      </c>
      <c r="AF291" s="28" t="e">
        <f t="shared" si="81"/>
        <v>#VALUE!</v>
      </c>
      <c r="AH291" s="31" t="e">
        <f t="shared" si="82"/>
        <v>#N/A</v>
      </c>
      <c r="AI291" s="25"/>
      <c r="AJ291" s="31"/>
    </row>
    <row r="292" spans="2:36" x14ac:dyDescent="0.25">
      <c r="B292" s="33">
        <f>'Arbitrage Payback Engine'!E292</f>
        <v>7.7523626900424594</v>
      </c>
      <c r="C292" s="33">
        <f t="shared" si="68"/>
        <v>1000</v>
      </c>
      <c r="D292" s="33">
        <f>'Battery Pricing Model'!$C$17</f>
        <v>1000</v>
      </c>
      <c r="E292" s="33">
        <f t="shared" si="69"/>
        <v>999</v>
      </c>
      <c r="F292" s="33" t="str">
        <f>'Peak Models'!$B$4</f>
        <v>Default</v>
      </c>
      <c r="G292" s="33" t="e">
        <f>'Peak Models'!$Q$7</f>
        <v>#VALUE!</v>
      </c>
      <c r="H292" s="33">
        <f>'Peak Models'!$P$16</f>
        <v>1.5</v>
      </c>
      <c r="I292" s="33">
        <v>12</v>
      </c>
      <c r="J292" s="33" t="e">
        <f>'Peak Models'!$P$13</f>
        <v>#N/A</v>
      </c>
      <c r="K292" s="28" t="e">
        <f t="shared" si="70"/>
        <v>#VALUE!</v>
      </c>
      <c r="L292" s="28" t="e">
        <f>INDEX('Peak Models'!$P$34:$P$64, MATCH(TRUNC(B292, 0), 'Peak Models'!$O$34:$O$64, 0))</f>
        <v>#N/A</v>
      </c>
      <c r="M292" s="28">
        <f>'Peak Models'!$P$15*INDEX('Peak Models'!$Q$34:$Q$64, MATCH(TRUNC(B292, 0),'Peak Models'!$O$34:$O$64, 0))/'Profit per cycles Model'!$E$78</f>
        <v>5.5938153113798235</v>
      </c>
      <c r="N292" s="28" t="e">
        <f t="shared" si="71"/>
        <v>#N/A</v>
      </c>
      <c r="O292" s="71" t="e">
        <f>AVERAGE($N$10:N292)</f>
        <v>#N/A</v>
      </c>
      <c r="P292" s="28" t="e">
        <f t="shared" si="72"/>
        <v>#N/A</v>
      </c>
      <c r="R292" s="28" t="e">
        <f t="shared" si="73"/>
        <v>#VALUE!</v>
      </c>
      <c r="S292" s="25"/>
      <c r="T292" s="25">
        <f t="shared" si="74"/>
        <v>15</v>
      </c>
      <c r="U292" s="33">
        <f>IF(PaybackCustom&gt;0, IF(PaybackCustom&lt;&gt;"Default", PaybackCustom, IF(PaybackStatus&lt;&gt;"",INDEX('Arbitrage Payback Engine'!$Y$2:$Y$6,MATCH(PaybackStatus,'Arbitrage Payback Engine'!$X$2:$X$6,FALSE)),-1)))</f>
        <v>25</v>
      </c>
      <c r="V292" s="32">
        <f t="shared" si="83"/>
        <v>15</v>
      </c>
      <c r="X292" s="29">
        <f t="shared" si="84"/>
        <v>283</v>
      </c>
      <c r="Z292" s="30">
        <f t="shared" si="75"/>
        <v>7.7523626900424594</v>
      </c>
      <c r="AA292" s="28" t="e">
        <f t="shared" si="76"/>
        <v>#N/A</v>
      </c>
      <c r="AB292" s="28" t="e">
        <f t="shared" si="77"/>
        <v>#VALUE!</v>
      </c>
      <c r="AC292" s="29">
        <f t="shared" si="78"/>
        <v>268.50094876660341</v>
      </c>
      <c r="AD292" s="28" t="e">
        <f t="shared" si="79"/>
        <v>#VALUE!</v>
      </c>
      <c r="AE292" s="28" t="e">
        <f t="shared" si="80"/>
        <v>#N/A</v>
      </c>
      <c r="AF292" s="28" t="e">
        <f t="shared" si="81"/>
        <v>#VALUE!</v>
      </c>
      <c r="AH292" s="31" t="e">
        <f t="shared" si="82"/>
        <v>#N/A</v>
      </c>
      <c r="AI292" s="25"/>
      <c r="AJ292" s="31"/>
    </row>
    <row r="293" spans="2:36" x14ac:dyDescent="0.25">
      <c r="B293" s="33">
        <f>'Arbitrage Payback Engine'!E293</f>
        <v>7.7797561977811256</v>
      </c>
      <c r="C293" s="33">
        <f t="shared" si="68"/>
        <v>1000</v>
      </c>
      <c r="D293" s="33">
        <f>'Battery Pricing Model'!$C$17</f>
        <v>1000</v>
      </c>
      <c r="E293" s="33">
        <f t="shared" si="69"/>
        <v>999</v>
      </c>
      <c r="F293" s="33" t="str">
        <f>'Peak Models'!$B$4</f>
        <v>Default</v>
      </c>
      <c r="G293" s="33" t="e">
        <f>'Peak Models'!$Q$7</f>
        <v>#VALUE!</v>
      </c>
      <c r="H293" s="33">
        <f>'Peak Models'!$P$16</f>
        <v>1.5</v>
      </c>
      <c r="I293" s="33">
        <v>12</v>
      </c>
      <c r="J293" s="33" t="e">
        <f>'Peak Models'!$P$13</f>
        <v>#N/A</v>
      </c>
      <c r="K293" s="28" t="e">
        <f t="shared" si="70"/>
        <v>#VALUE!</v>
      </c>
      <c r="L293" s="28" t="e">
        <f>INDEX('Peak Models'!$P$34:$P$64, MATCH(TRUNC(B293, 0), 'Peak Models'!$O$34:$O$64, 0))</f>
        <v>#N/A</v>
      </c>
      <c r="M293" s="28">
        <f>'Peak Models'!$P$15*INDEX('Peak Models'!$Q$34:$Q$64, MATCH(TRUNC(B293, 0),'Peak Models'!$O$34:$O$64, 0))/'Profit per cycles Model'!$E$78</f>
        <v>5.5938153113798235</v>
      </c>
      <c r="N293" s="28" t="e">
        <f t="shared" si="71"/>
        <v>#N/A</v>
      </c>
      <c r="O293" s="71" t="e">
        <f>AVERAGE($N$10:N293)</f>
        <v>#N/A</v>
      </c>
      <c r="P293" s="28" t="e">
        <f t="shared" si="72"/>
        <v>#N/A</v>
      </c>
      <c r="R293" s="28" t="e">
        <f t="shared" si="73"/>
        <v>#VALUE!</v>
      </c>
      <c r="S293" s="25"/>
      <c r="T293" s="25">
        <f t="shared" si="74"/>
        <v>15</v>
      </c>
      <c r="U293" s="33">
        <f>IF(PaybackCustom&gt;0, IF(PaybackCustom&lt;&gt;"Default", PaybackCustom, IF(PaybackStatus&lt;&gt;"",INDEX('Arbitrage Payback Engine'!$Y$2:$Y$6,MATCH(PaybackStatus,'Arbitrage Payback Engine'!$X$2:$X$6,FALSE)),-1)))</f>
        <v>25</v>
      </c>
      <c r="V293" s="32">
        <f t="shared" si="83"/>
        <v>15</v>
      </c>
      <c r="X293" s="29">
        <f t="shared" si="84"/>
        <v>284</v>
      </c>
      <c r="Z293" s="30">
        <f t="shared" si="75"/>
        <v>7.7797561977811256</v>
      </c>
      <c r="AA293" s="28" t="e">
        <f t="shared" si="76"/>
        <v>#N/A</v>
      </c>
      <c r="AB293" s="28" t="e">
        <f t="shared" si="77"/>
        <v>#VALUE!</v>
      </c>
      <c r="AC293" s="29">
        <f t="shared" si="78"/>
        <v>269.44971537001896</v>
      </c>
      <c r="AD293" s="28" t="e">
        <f t="shared" si="79"/>
        <v>#VALUE!</v>
      </c>
      <c r="AE293" s="28" t="e">
        <f t="shared" si="80"/>
        <v>#N/A</v>
      </c>
      <c r="AF293" s="28" t="e">
        <f t="shared" si="81"/>
        <v>#VALUE!</v>
      </c>
      <c r="AH293" s="31" t="e">
        <f t="shared" si="82"/>
        <v>#N/A</v>
      </c>
      <c r="AI293" s="25"/>
      <c r="AJ293" s="31"/>
    </row>
    <row r="294" spans="2:36" x14ac:dyDescent="0.25">
      <c r="B294" s="33">
        <f>'Arbitrage Payback Engine'!E294</f>
        <v>7.8071497055197918</v>
      </c>
      <c r="C294" s="33">
        <f t="shared" si="68"/>
        <v>1000</v>
      </c>
      <c r="D294" s="33">
        <f>'Battery Pricing Model'!$C$17</f>
        <v>1000</v>
      </c>
      <c r="E294" s="33">
        <f t="shared" si="69"/>
        <v>999</v>
      </c>
      <c r="F294" s="33" t="str">
        <f>'Peak Models'!$B$4</f>
        <v>Default</v>
      </c>
      <c r="G294" s="33" t="e">
        <f>'Peak Models'!$Q$7</f>
        <v>#VALUE!</v>
      </c>
      <c r="H294" s="33">
        <f>'Peak Models'!$P$16</f>
        <v>1.5</v>
      </c>
      <c r="I294" s="33">
        <v>12</v>
      </c>
      <c r="J294" s="33" t="e">
        <f>'Peak Models'!$P$13</f>
        <v>#N/A</v>
      </c>
      <c r="K294" s="28" t="e">
        <f t="shared" si="70"/>
        <v>#VALUE!</v>
      </c>
      <c r="L294" s="28" t="e">
        <f>INDEX('Peak Models'!$P$34:$P$64, MATCH(TRUNC(B294, 0), 'Peak Models'!$O$34:$O$64, 0))</f>
        <v>#N/A</v>
      </c>
      <c r="M294" s="28">
        <f>'Peak Models'!$P$15*INDEX('Peak Models'!$Q$34:$Q$64, MATCH(TRUNC(B294, 0),'Peak Models'!$O$34:$O$64, 0))/'Profit per cycles Model'!$E$78</f>
        <v>5.5938153113798235</v>
      </c>
      <c r="N294" s="28" t="e">
        <f t="shared" si="71"/>
        <v>#N/A</v>
      </c>
      <c r="O294" s="71" t="e">
        <f>AVERAGE($N$10:N294)</f>
        <v>#N/A</v>
      </c>
      <c r="P294" s="28" t="e">
        <f t="shared" si="72"/>
        <v>#N/A</v>
      </c>
      <c r="R294" s="28" t="e">
        <f t="shared" si="73"/>
        <v>#VALUE!</v>
      </c>
      <c r="S294" s="25"/>
      <c r="T294" s="25">
        <f t="shared" si="74"/>
        <v>15</v>
      </c>
      <c r="U294" s="33">
        <f>IF(PaybackCustom&gt;0, IF(PaybackCustom&lt;&gt;"Default", PaybackCustom, IF(PaybackStatus&lt;&gt;"",INDEX('Arbitrage Payback Engine'!$Y$2:$Y$6,MATCH(PaybackStatus,'Arbitrage Payback Engine'!$X$2:$X$6,FALSE)),-1)))</f>
        <v>25</v>
      </c>
      <c r="V294" s="32">
        <f t="shared" si="83"/>
        <v>15</v>
      </c>
      <c r="X294" s="29">
        <f t="shared" si="84"/>
        <v>285</v>
      </c>
      <c r="Z294" s="30">
        <f t="shared" si="75"/>
        <v>7.8071497055197918</v>
      </c>
      <c r="AA294" s="28" t="e">
        <f t="shared" si="76"/>
        <v>#N/A</v>
      </c>
      <c r="AB294" s="28" t="e">
        <f t="shared" si="77"/>
        <v>#VALUE!</v>
      </c>
      <c r="AC294" s="29">
        <f t="shared" si="78"/>
        <v>270.39848197343451</v>
      </c>
      <c r="AD294" s="28" t="e">
        <f t="shared" si="79"/>
        <v>#VALUE!</v>
      </c>
      <c r="AE294" s="28" t="e">
        <f t="shared" si="80"/>
        <v>#N/A</v>
      </c>
      <c r="AF294" s="28" t="e">
        <f t="shared" si="81"/>
        <v>#VALUE!</v>
      </c>
      <c r="AH294" s="31" t="e">
        <f t="shared" si="82"/>
        <v>#N/A</v>
      </c>
      <c r="AI294" s="25"/>
      <c r="AJ294" s="31"/>
    </row>
    <row r="295" spans="2:36" x14ac:dyDescent="0.25">
      <c r="B295" s="33">
        <f>'Arbitrage Payback Engine'!E295</f>
        <v>7.8345432132584572</v>
      </c>
      <c r="C295" s="33">
        <f t="shared" si="68"/>
        <v>1000</v>
      </c>
      <c r="D295" s="33">
        <f>'Battery Pricing Model'!$C$17</f>
        <v>1000</v>
      </c>
      <c r="E295" s="33">
        <f t="shared" si="69"/>
        <v>999</v>
      </c>
      <c r="F295" s="33" t="str">
        <f>'Peak Models'!$B$4</f>
        <v>Default</v>
      </c>
      <c r="G295" s="33" t="e">
        <f>'Peak Models'!$Q$7</f>
        <v>#VALUE!</v>
      </c>
      <c r="H295" s="33">
        <f>'Peak Models'!$P$16</f>
        <v>1.5</v>
      </c>
      <c r="I295" s="33">
        <v>12</v>
      </c>
      <c r="J295" s="33" t="e">
        <f>'Peak Models'!$P$13</f>
        <v>#N/A</v>
      </c>
      <c r="K295" s="28" t="e">
        <f t="shared" si="70"/>
        <v>#VALUE!</v>
      </c>
      <c r="L295" s="28" t="e">
        <f>INDEX('Peak Models'!$P$34:$P$64, MATCH(TRUNC(B295, 0), 'Peak Models'!$O$34:$O$64, 0))</f>
        <v>#N/A</v>
      </c>
      <c r="M295" s="28">
        <f>'Peak Models'!$P$15*INDEX('Peak Models'!$Q$34:$Q$64, MATCH(TRUNC(B295, 0),'Peak Models'!$O$34:$O$64, 0))/'Profit per cycles Model'!$E$78</f>
        <v>5.5938153113798235</v>
      </c>
      <c r="N295" s="28" t="e">
        <f t="shared" si="71"/>
        <v>#N/A</v>
      </c>
      <c r="O295" s="71" t="e">
        <f>AVERAGE($N$10:N295)</f>
        <v>#N/A</v>
      </c>
      <c r="P295" s="28" t="e">
        <f t="shared" si="72"/>
        <v>#N/A</v>
      </c>
      <c r="R295" s="28" t="e">
        <f t="shared" si="73"/>
        <v>#VALUE!</v>
      </c>
      <c r="S295" s="25"/>
      <c r="T295" s="25">
        <f t="shared" si="74"/>
        <v>15</v>
      </c>
      <c r="U295" s="33">
        <f>IF(PaybackCustom&gt;0, IF(PaybackCustom&lt;&gt;"Default", PaybackCustom, IF(PaybackStatus&lt;&gt;"",INDEX('Arbitrage Payback Engine'!$Y$2:$Y$6,MATCH(PaybackStatus,'Arbitrage Payback Engine'!$X$2:$X$6,FALSE)),-1)))</f>
        <v>25</v>
      </c>
      <c r="V295" s="32">
        <f t="shared" si="83"/>
        <v>15</v>
      </c>
      <c r="X295" s="29">
        <f t="shared" si="84"/>
        <v>286</v>
      </c>
      <c r="Z295" s="30">
        <f t="shared" si="75"/>
        <v>7.8345432132584572</v>
      </c>
      <c r="AA295" s="28" t="e">
        <f t="shared" si="76"/>
        <v>#N/A</v>
      </c>
      <c r="AB295" s="28" t="e">
        <f t="shared" si="77"/>
        <v>#VALUE!</v>
      </c>
      <c r="AC295" s="29">
        <f t="shared" si="78"/>
        <v>271.34724857685012</v>
      </c>
      <c r="AD295" s="28" t="e">
        <f t="shared" si="79"/>
        <v>#VALUE!</v>
      </c>
      <c r="AE295" s="28" t="e">
        <f t="shared" si="80"/>
        <v>#N/A</v>
      </c>
      <c r="AF295" s="28" t="e">
        <f t="shared" si="81"/>
        <v>#VALUE!</v>
      </c>
      <c r="AH295" s="31" t="e">
        <f t="shared" si="82"/>
        <v>#N/A</v>
      </c>
      <c r="AI295" s="25"/>
      <c r="AJ295" s="31"/>
    </row>
    <row r="296" spans="2:36" x14ac:dyDescent="0.25">
      <c r="B296" s="33">
        <f>'Arbitrage Payback Engine'!E296</f>
        <v>7.8619367209971234</v>
      </c>
      <c r="C296" s="33">
        <f t="shared" si="68"/>
        <v>1000</v>
      </c>
      <c r="D296" s="33">
        <f>'Battery Pricing Model'!$C$17</f>
        <v>1000</v>
      </c>
      <c r="E296" s="33">
        <f t="shared" si="69"/>
        <v>999</v>
      </c>
      <c r="F296" s="33" t="str">
        <f>'Peak Models'!$B$4</f>
        <v>Default</v>
      </c>
      <c r="G296" s="33" t="e">
        <f>'Peak Models'!$Q$7</f>
        <v>#VALUE!</v>
      </c>
      <c r="H296" s="33">
        <f>'Peak Models'!$P$16</f>
        <v>1.5</v>
      </c>
      <c r="I296" s="33">
        <v>12</v>
      </c>
      <c r="J296" s="33" t="e">
        <f>'Peak Models'!$P$13</f>
        <v>#N/A</v>
      </c>
      <c r="K296" s="28" t="e">
        <f t="shared" si="70"/>
        <v>#VALUE!</v>
      </c>
      <c r="L296" s="28" t="e">
        <f>INDEX('Peak Models'!$P$34:$P$64, MATCH(TRUNC(B296, 0), 'Peak Models'!$O$34:$O$64, 0))</f>
        <v>#N/A</v>
      </c>
      <c r="M296" s="28">
        <f>'Peak Models'!$P$15*INDEX('Peak Models'!$Q$34:$Q$64, MATCH(TRUNC(B296, 0),'Peak Models'!$O$34:$O$64, 0))/'Profit per cycles Model'!$E$78</f>
        <v>5.5938153113798235</v>
      </c>
      <c r="N296" s="28" t="e">
        <f t="shared" si="71"/>
        <v>#N/A</v>
      </c>
      <c r="O296" s="71" t="e">
        <f>AVERAGE($N$10:N296)</f>
        <v>#N/A</v>
      </c>
      <c r="P296" s="28" t="e">
        <f t="shared" si="72"/>
        <v>#N/A</v>
      </c>
      <c r="R296" s="28" t="e">
        <f t="shared" si="73"/>
        <v>#VALUE!</v>
      </c>
      <c r="S296" s="25"/>
      <c r="T296" s="25">
        <f t="shared" si="74"/>
        <v>15</v>
      </c>
      <c r="U296" s="33">
        <f>IF(PaybackCustom&gt;0, IF(PaybackCustom&lt;&gt;"Default", PaybackCustom, IF(PaybackStatus&lt;&gt;"",INDEX('Arbitrage Payback Engine'!$Y$2:$Y$6,MATCH(PaybackStatus,'Arbitrage Payback Engine'!$X$2:$X$6,FALSE)),-1)))</f>
        <v>25</v>
      </c>
      <c r="V296" s="32">
        <f t="shared" si="83"/>
        <v>15</v>
      </c>
      <c r="X296" s="29">
        <f t="shared" si="84"/>
        <v>287</v>
      </c>
      <c r="Z296" s="30">
        <f t="shared" si="75"/>
        <v>7.8619367209971234</v>
      </c>
      <c r="AA296" s="28" t="e">
        <f t="shared" si="76"/>
        <v>#N/A</v>
      </c>
      <c r="AB296" s="28" t="e">
        <f t="shared" si="77"/>
        <v>#VALUE!</v>
      </c>
      <c r="AC296" s="29">
        <f t="shared" si="78"/>
        <v>272.29601518026567</v>
      </c>
      <c r="AD296" s="28" t="e">
        <f t="shared" si="79"/>
        <v>#VALUE!</v>
      </c>
      <c r="AE296" s="28" t="e">
        <f t="shared" si="80"/>
        <v>#N/A</v>
      </c>
      <c r="AF296" s="28" t="e">
        <f t="shared" si="81"/>
        <v>#VALUE!</v>
      </c>
      <c r="AH296" s="31" t="e">
        <f t="shared" si="82"/>
        <v>#N/A</v>
      </c>
      <c r="AI296" s="25"/>
      <c r="AJ296" s="31"/>
    </row>
    <row r="297" spans="2:36" x14ac:dyDescent="0.25">
      <c r="B297" s="33">
        <f>'Arbitrage Payback Engine'!E297</f>
        <v>7.8893302287357896</v>
      </c>
      <c r="C297" s="33">
        <f t="shared" si="68"/>
        <v>1000</v>
      </c>
      <c r="D297" s="33">
        <f>'Battery Pricing Model'!$C$17</f>
        <v>1000</v>
      </c>
      <c r="E297" s="33">
        <f t="shared" si="69"/>
        <v>999</v>
      </c>
      <c r="F297" s="33" t="str">
        <f>'Peak Models'!$B$4</f>
        <v>Default</v>
      </c>
      <c r="G297" s="33" t="e">
        <f>'Peak Models'!$Q$7</f>
        <v>#VALUE!</v>
      </c>
      <c r="H297" s="33">
        <f>'Peak Models'!$P$16</f>
        <v>1.5</v>
      </c>
      <c r="I297" s="33">
        <v>12</v>
      </c>
      <c r="J297" s="33" t="e">
        <f>'Peak Models'!$P$13</f>
        <v>#N/A</v>
      </c>
      <c r="K297" s="28" t="e">
        <f t="shared" si="70"/>
        <v>#VALUE!</v>
      </c>
      <c r="L297" s="28" t="e">
        <f>INDEX('Peak Models'!$P$34:$P$64, MATCH(TRUNC(B297, 0), 'Peak Models'!$O$34:$O$64, 0))</f>
        <v>#N/A</v>
      </c>
      <c r="M297" s="28">
        <f>'Peak Models'!$P$15*INDEX('Peak Models'!$Q$34:$Q$64, MATCH(TRUNC(B297, 0),'Peak Models'!$O$34:$O$64, 0))/'Profit per cycles Model'!$E$78</f>
        <v>5.5938153113798235</v>
      </c>
      <c r="N297" s="28" t="e">
        <f t="shared" si="71"/>
        <v>#N/A</v>
      </c>
      <c r="O297" s="71" t="e">
        <f>AVERAGE($N$10:N297)</f>
        <v>#N/A</v>
      </c>
      <c r="P297" s="28" t="e">
        <f t="shared" si="72"/>
        <v>#N/A</v>
      </c>
      <c r="R297" s="28" t="e">
        <f t="shared" si="73"/>
        <v>#VALUE!</v>
      </c>
      <c r="S297" s="25"/>
      <c r="T297" s="25">
        <f t="shared" si="74"/>
        <v>15</v>
      </c>
      <c r="U297" s="33">
        <f>IF(PaybackCustom&gt;0, IF(PaybackCustom&lt;&gt;"Default", PaybackCustom, IF(PaybackStatus&lt;&gt;"",INDEX('Arbitrage Payback Engine'!$Y$2:$Y$6,MATCH(PaybackStatus,'Arbitrage Payback Engine'!$X$2:$X$6,FALSE)),-1)))</f>
        <v>25</v>
      </c>
      <c r="V297" s="32">
        <f t="shared" si="83"/>
        <v>15</v>
      </c>
      <c r="X297" s="29">
        <f t="shared" si="84"/>
        <v>288</v>
      </c>
      <c r="Z297" s="30">
        <f t="shared" si="75"/>
        <v>7.8893302287357896</v>
      </c>
      <c r="AA297" s="28" t="e">
        <f t="shared" si="76"/>
        <v>#N/A</v>
      </c>
      <c r="AB297" s="28" t="e">
        <f t="shared" si="77"/>
        <v>#VALUE!</v>
      </c>
      <c r="AC297" s="29">
        <f t="shared" si="78"/>
        <v>273.24478178368122</v>
      </c>
      <c r="AD297" s="28" t="e">
        <f t="shared" si="79"/>
        <v>#VALUE!</v>
      </c>
      <c r="AE297" s="28" t="e">
        <f t="shared" si="80"/>
        <v>#N/A</v>
      </c>
      <c r="AF297" s="28" t="e">
        <f t="shared" si="81"/>
        <v>#VALUE!</v>
      </c>
      <c r="AH297" s="31" t="e">
        <f t="shared" si="82"/>
        <v>#N/A</v>
      </c>
      <c r="AI297" s="25"/>
      <c r="AJ297" s="31"/>
    </row>
    <row r="298" spans="2:36" x14ac:dyDescent="0.25">
      <c r="B298" s="33">
        <f>'Arbitrage Payback Engine'!E298</f>
        <v>7.9167237364744549</v>
      </c>
      <c r="C298" s="33">
        <f t="shared" si="68"/>
        <v>1000</v>
      </c>
      <c r="D298" s="33">
        <f>'Battery Pricing Model'!$C$17</f>
        <v>1000</v>
      </c>
      <c r="E298" s="33">
        <f t="shared" si="69"/>
        <v>999</v>
      </c>
      <c r="F298" s="33" t="str">
        <f>'Peak Models'!$B$4</f>
        <v>Default</v>
      </c>
      <c r="G298" s="33" t="e">
        <f>'Peak Models'!$Q$7</f>
        <v>#VALUE!</v>
      </c>
      <c r="H298" s="33">
        <f>'Peak Models'!$P$16</f>
        <v>1.5</v>
      </c>
      <c r="I298" s="33">
        <v>12</v>
      </c>
      <c r="J298" s="33" t="e">
        <f>'Peak Models'!$P$13</f>
        <v>#N/A</v>
      </c>
      <c r="K298" s="28" t="e">
        <f t="shared" si="70"/>
        <v>#VALUE!</v>
      </c>
      <c r="L298" s="28" t="e">
        <f>INDEX('Peak Models'!$P$34:$P$64, MATCH(TRUNC(B298, 0), 'Peak Models'!$O$34:$O$64, 0))</f>
        <v>#N/A</v>
      </c>
      <c r="M298" s="28">
        <f>'Peak Models'!$P$15*INDEX('Peak Models'!$Q$34:$Q$64, MATCH(TRUNC(B298, 0),'Peak Models'!$O$34:$O$64, 0))/'Profit per cycles Model'!$E$78</f>
        <v>5.5938153113798235</v>
      </c>
      <c r="N298" s="28" t="e">
        <f t="shared" si="71"/>
        <v>#N/A</v>
      </c>
      <c r="O298" s="71" t="e">
        <f>AVERAGE($N$10:N298)</f>
        <v>#N/A</v>
      </c>
      <c r="P298" s="28" t="e">
        <f t="shared" si="72"/>
        <v>#N/A</v>
      </c>
      <c r="R298" s="28" t="e">
        <f t="shared" si="73"/>
        <v>#VALUE!</v>
      </c>
      <c r="S298" s="25"/>
      <c r="T298" s="25">
        <f t="shared" si="74"/>
        <v>15</v>
      </c>
      <c r="U298" s="33">
        <f>IF(PaybackCustom&gt;0, IF(PaybackCustom&lt;&gt;"Default", PaybackCustom, IF(PaybackStatus&lt;&gt;"",INDEX('Arbitrage Payback Engine'!$Y$2:$Y$6,MATCH(PaybackStatus,'Arbitrage Payback Engine'!$X$2:$X$6,FALSE)),-1)))</f>
        <v>25</v>
      </c>
      <c r="V298" s="32">
        <f t="shared" si="83"/>
        <v>15</v>
      </c>
      <c r="X298" s="29">
        <f t="shared" si="84"/>
        <v>289</v>
      </c>
      <c r="Z298" s="30">
        <f t="shared" si="75"/>
        <v>7.9167237364744549</v>
      </c>
      <c r="AA298" s="28" t="e">
        <f t="shared" si="76"/>
        <v>#N/A</v>
      </c>
      <c r="AB298" s="28" t="e">
        <f t="shared" si="77"/>
        <v>#VALUE!</v>
      </c>
      <c r="AC298" s="29">
        <f t="shared" si="78"/>
        <v>274.19354838709677</v>
      </c>
      <c r="AD298" s="28" t="e">
        <f t="shared" si="79"/>
        <v>#VALUE!</v>
      </c>
      <c r="AE298" s="28" t="e">
        <f t="shared" si="80"/>
        <v>#N/A</v>
      </c>
      <c r="AF298" s="28" t="e">
        <f t="shared" si="81"/>
        <v>#VALUE!</v>
      </c>
      <c r="AH298" s="31" t="e">
        <f t="shared" si="82"/>
        <v>#N/A</v>
      </c>
      <c r="AI298" s="25"/>
      <c r="AJ298" s="31"/>
    </row>
    <row r="299" spans="2:36" x14ac:dyDescent="0.25">
      <c r="B299" s="33">
        <f>'Arbitrage Payback Engine'!E299</f>
        <v>7.9441172442131212</v>
      </c>
      <c r="C299" s="33">
        <f t="shared" si="68"/>
        <v>1000</v>
      </c>
      <c r="D299" s="33">
        <f>'Battery Pricing Model'!$C$17</f>
        <v>1000</v>
      </c>
      <c r="E299" s="33">
        <f t="shared" si="69"/>
        <v>999</v>
      </c>
      <c r="F299" s="33" t="str">
        <f>'Peak Models'!$B$4</f>
        <v>Default</v>
      </c>
      <c r="G299" s="33" t="e">
        <f>'Peak Models'!$Q$7</f>
        <v>#VALUE!</v>
      </c>
      <c r="H299" s="33">
        <f>'Peak Models'!$P$16</f>
        <v>1.5</v>
      </c>
      <c r="I299" s="33">
        <v>12</v>
      </c>
      <c r="J299" s="33" t="e">
        <f>'Peak Models'!$P$13</f>
        <v>#N/A</v>
      </c>
      <c r="K299" s="28" t="e">
        <f t="shared" si="70"/>
        <v>#VALUE!</v>
      </c>
      <c r="L299" s="28" t="e">
        <f>INDEX('Peak Models'!$P$34:$P$64, MATCH(TRUNC(B299, 0), 'Peak Models'!$O$34:$O$64, 0))</f>
        <v>#N/A</v>
      </c>
      <c r="M299" s="28">
        <f>'Peak Models'!$P$15*INDEX('Peak Models'!$Q$34:$Q$64, MATCH(TRUNC(B299, 0),'Peak Models'!$O$34:$O$64, 0))/'Profit per cycles Model'!$E$78</f>
        <v>5.5938153113798235</v>
      </c>
      <c r="N299" s="28" t="e">
        <f t="shared" si="71"/>
        <v>#N/A</v>
      </c>
      <c r="O299" s="71" t="e">
        <f>AVERAGE($N$10:N299)</f>
        <v>#N/A</v>
      </c>
      <c r="P299" s="28" t="e">
        <f t="shared" si="72"/>
        <v>#N/A</v>
      </c>
      <c r="R299" s="28" t="e">
        <f t="shared" si="73"/>
        <v>#VALUE!</v>
      </c>
      <c r="S299" s="25"/>
      <c r="T299" s="25">
        <f t="shared" si="74"/>
        <v>15</v>
      </c>
      <c r="U299" s="33">
        <f>IF(PaybackCustom&gt;0, IF(PaybackCustom&lt;&gt;"Default", PaybackCustom, IF(PaybackStatus&lt;&gt;"",INDEX('Arbitrage Payback Engine'!$Y$2:$Y$6,MATCH(PaybackStatus,'Arbitrage Payback Engine'!$X$2:$X$6,FALSE)),-1)))</f>
        <v>25</v>
      </c>
      <c r="V299" s="32">
        <f t="shared" si="83"/>
        <v>15</v>
      </c>
      <c r="X299" s="29">
        <f t="shared" si="84"/>
        <v>290</v>
      </c>
      <c r="Z299" s="30">
        <f t="shared" si="75"/>
        <v>7.9441172442131212</v>
      </c>
      <c r="AA299" s="28" t="e">
        <f t="shared" si="76"/>
        <v>#N/A</v>
      </c>
      <c r="AB299" s="28" t="e">
        <f t="shared" si="77"/>
        <v>#VALUE!</v>
      </c>
      <c r="AC299" s="29">
        <f t="shared" si="78"/>
        <v>275.14231499051232</v>
      </c>
      <c r="AD299" s="28" t="e">
        <f t="shared" si="79"/>
        <v>#VALUE!</v>
      </c>
      <c r="AE299" s="28" t="e">
        <f t="shared" si="80"/>
        <v>#N/A</v>
      </c>
      <c r="AF299" s="28" t="e">
        <f t="shared" si="81"/>
        <v>#VALUE!</v>
      </c>
      <c r="AH299" s="31" t="e">
        <f t="shared" si="82"/>
        <v>#N/A</v>
      </c>
      <c r="AI299" s="25"/>
      <c r="AJ299" s="31"/>
    </row>
    <row r="300" spans="2:36" x14ac:dyDescent="0.25">
      <c r="B300" s="33">
        <f>'Arbitrage Payback Engine'!E300</f>
        <v>7.9715107519517874</v>
      </c>
      <c r="C300" s="33">
        <f t="shared" si="68"/>
        <v>1000</v>
      </c>
      <c r="D300" s="33">
        <f>'Battery Pricing Model'!$C$17</f>
        <v>1000</v>
      </c>
      <c r="E300" s="33">
        <f t="shared" si="69"/>
        <v>999</v>
      </c>
      <c r="F300" s="33" t="str">
        <f>'Peak Models'!$B$4</f>
        <v>Default</v>
      </c>
      <c r="G300" s="33" t="e">
        <f>'Peak Models'!$Q$7</f>
        <v>#VALUE!</v>
      </c>
      <c r="H300" s="33">
        <f>'Peak Models'!$P$16</f>
        <v>1.5</v>
      </c>
      <c r="I300" s="33">
        <v>12</v>
      </c>
      <c r="J300" s="33" t="e">
        <f>'Peak Models'!$P$13</f>
        <v>#N/A</v>
      </c>
      <c r="K300" s="28" t="e">
        <f t="shared" si="70"/>
        <v>#VALUE!</v>
      </c>
      <c r="L300" s="28" t="e">
        <f>INDEX('Peak Models'!$P$34:$P$64, MATCH(TRUNC(B300, 0), 'Peak Models'!$O$34:$O$64, 0))</f>
        <v>#N/A</v>
      </c>
      <c r="M300" s="28">
        <f>'Peak Models'!$P$15*INDEX('Peak Models'!$Q$34:$Q$64, MATCH(TRUNC(B300, 0),'Peak Models'!$O$34:$O$64, 0))/'Profit per cycles Model'!$E$78</f>
        <v>5.5938153113798235</v>
      </c>
      <c r="N300" s="28" t="e">
        <f t="shared" si="71"/>
        <v>#N/A</v>
      </c>
      <c r="O300" s="71" t="e">
        <f>AVERAGE($N$10:N300)</f>
        <v>#N/A</v>
      </c>
      <c r="P300" s="28" t="e">
        <f t="shared" si="72"/>
        <v>#N/A</v>
      </c>
      <c r="R300" s="28" t="e">
        <f t="shared" si="73"/>
        <v>#VALUE!</v>
      </c>
      <c r="S300" s="25"/>
      <c r="T300" s="25">
        <f t="shared" si="74"/>
        <v>15</v>
      </c>
      <c r="U300" s="33">
        <f>IF(PaybackCustom&gt;0, IF(PaybackCustom&lt;&gt;"Default", PaybackCustom, IF(PaybackStatus&lt;&gt;"",INDEX('Arbitrage Payback Engine'!$Y$2:$Y$6,MATCH(PaybackStatus,'Arbitrage Payback Engine'!$X$2:$X$6,FALSE)),-1)))</f>
        <v>25</v>
      </c>
      <c r="V300" s="32">
        <f t="shared" si="83"/>
        <v>15</v>
      </c>
      <c r="X300" s="29">
        <f t="shared" si="84"/>
        <v>291</v>
      </c>
      <c r="Z300" s="30">
        <f t="shared" si="75"/>
        <v>7.9715107519517874</v>
      </c>
      <c r="AA300" s="28" t="e">
        <f t="shared" si="76"/>
        <v>#N/A</v>
      </c>
      <c r="AB300" s="28" t="e">
        <f t="shared" si="77"/>
        <v>#VALUE!</v>
      </c>
      <c r="AC300" s="29">
        <f t="shared" si="78"/>
        <v>276.09108159392792</v>
      </c>
      <c r="AD300" s="28" t="e">
        <f t="shared" si="79"/>
        <v>#VALUE!</v>
      </c>
      <c r="AE300" s="28" t="e">
        <f t="shared" si="80"/>
        <v>#N/A</v>
      </c>
      <c r="AF300" s="28" t="e">
        <f t="shared" si="81"/>
        <v>#VALUE!</v>
      </c>
      <c r="AH300" s="31" t="e">
        <f t="shared" si="82"/>
        <v>#N/A</v>
      </c>
      <c r="AI300" s="25"/>
      <c r="AJ300" s="31"/>
    </row>
    <row r="301" spans="2:36" x14ac:dyDescent="0.25">
      <c r="B301" s="33">
        <f>'Arbitrage Payback Engine'!E301</f>
        <v>7.9989042596904527</v>
      </c>
      <c r="C301" s="33">
        <f t="shared" si="68"/>
        <v>1000</v>
      </c>
      <c r="D301" s="33">
        <f>'Battery Pricing Model'!$C$17</f>
        <v>1000</v>
      </c>
      <c r="E301" s="33">
        <f t="shared" si="69"/>
        <v>999</v>
      </c>
      <c r="F301" s="33" t="str">
        <f>'Peak Models'!$B$4</f>
        <v>Default</v>
      </c>
      <c r="G301" s="33" t="e">
        <f>'Peak Models'!$Q$7</f>
        <v>#VALUE!</v>
      </c>
      <c r="H301" s="33">
        <f>'Peak Models'!$P$16</f>
        <v>1.5</v>
      </c>
      <c r="I301" s="33">
        <v>12</v>
      </c>
      <c r="J301" s="33" t="e">
        <f>'Peak Models'!$P$13</f>
        <v>#N/A</v>
      </c>
      <c r="K301" s="28" t="e">
        <f t="shared" si="70"/>
        <v>#VALUE!</v>
      </c>
      <c r="L301" s="28" t="e">
        <f>INDEX('Peak Models'!$P$34:$P$64, MATCH(TRUNC(B301, 0), 'Peak Models'!$O$34:$O$64, 0))</f>
        <v>#N/A</v>
      </c>
      <c r="M301" s="28">
        <f>'Peak Models'!$P$15*INDEX('Peak Models'!$Q$34:$Q$64, MATCH(TRUNC(B301, 0),'Peak Models'!$O$34:$O$64, 0))/'Profit per cycles Model'!$E$78</f>
        <v>5.5938153113798235</v>
      </c>
      <c r="N301" s="28" t="e">
        <f t="shared" si="71"/>
        <v>#N/A</v>
      </c>
      <c r="O301" s="71" t="e">
        <f>AVERAGE($N$10:N301)</f>
        <v>#N/A</v>
      </c>
      <c r="P301" s="28" t="e">
        <f t="shared" si="72"/>
        <v>#N/A</v>
      </c>
      <c r="R301" s="28" t="e">
        <f t="shared" si="73"/>
        <v>#VALUE!</v>
      </c>
      <c r="S301" s="25"/>
      <c r="T301" s="25">
        <f t="shared" si="74"/>
        <v>15</v>
      </c>
      <c r="U301" s="33">
        <f>IF(PaybackCustom&gt;0, IF(PaybackCustom&lt;&gt;"Default", PaybackCustom, IF(PaybackStatus&lt;&gt;"",INDEX('Arbitrage Payback Engine'!$Y$2:$Y$6,MATCH(PaybackStatus,'Arbitrage Payback Engine'!$X$2:$X$6,FALSE)),-1)))</f>
        <v>25</v>
      </c>
      <c r="V301" s="32">
        <f t="shared" si="83"/>
        <v>15</v>
      </c>
      <c r="X301" s="29">
        <f t="shared" si="84"/>
        <v>292</v>
      </c>
      <c r="Z301" s="30">
        <f t="shared" si="75"/>
        <v>7.9989042596904527</v>
      </c>
      <c r="AA301" s="28" t="e">
        <f t="shared" si="76"/>
        <v>#N/A</v>
      </c>
      <c r="AB301" s="28" t="e">
        <f t="shared" si="77"/>
        <v>#VALUE!</v>
      </c>
      <c r="AC301" s="29">
        <f t="shared" si="78"/>
        <v>277.03984819734347</v>
      </c>
      <c r="AD301" s="28" t="e">
        <f t="shared" si="79"/>
        <v>#VALUE!</v>
      </c>
      <c r="AE301" s="28" t="e">
        <f t="shared" si="80"/>
        <v>#N/A</v>
      </c>
      <c r="AF301" s="28" t="e">
        <f t="shared" si="81"/>
        <v>#VALUE!</v>
      </c>
      <c r="AH301" s="31" t="e">
        <f t="shared" si="82"/>
        <v>#N/A</v>
      </c>
      <c r="AI301" s="25"/>
      <c r="AJ301" s="31"/>
    </row>
    <row r="302" spans="2:36" x14ac:dyDescent="0.25">
      <c r="B302" s="33">
        <f>'Arbitrage Payback Engine'!E302</f>
        <v>8.0262977674291189</v>
      </c>
      <c r="C302" s="33">
        <f t="shared" si="68"/>
        <v>1000</v>
      </c>
      <c r="D302" s="33">
        <f>'Battery Pricing Model'!$C$17</f>
        <v>1000</v>
      </c>
      <c r="E302" s="33">
        <f t="shared" si="69"/>
        <v>999</v>
      </c>
      <c r="F302" s="33" t="str">
        <f>'Peak Models'!$B$4</f>
        <v>Default</v>
      </c>
      <c r="G302" s="33" t="e">
        <f>'Peak Models'!$Q$7</f>
        <v>#VALUE!</v>
      </c>
      <c r="H302" s="33">
        <f>'Peak Models'!$P$16</f>
        <v>1.5</v>
      </c>
      <c r="I302" s="33">
        <v>12</v>
      </c>
      <c r="J302" s="33" t="e">
        <f>'Peak Models'!$P$13</f>
        <v>#N/A</v>
      </c>
      <c r="K302" s="28" t="e">
        <f t="shared" si="70"/>
        <v>#VALUE!</v>
      </c>
      <c r="L302" s="28" t="e">
        <f>INDEX('Peak Models'!$P$34:$P$64, MATCH(TRUNC(B302, 0), 'Peak Models'!$O$34:$O$64, 0))</f>
        <v>#N/A</v>
      </c>
      <c r="M302" s="28">
        <f>'Peak Models'!$P$15*INDEX('Peak Models'!$Q$34:$Q$64, MATCH(TRUNC(B302, 0),'Peak Models'!$O$34:$O$64, 0))/'Profit per cycles Model'!$E$78</f>
        <v>5.7336606941643184</v>
      </c>
      <c r="N302" s="28" t="e">
        <f t="shared" si="71"/>
        <v>#N/A</v>
      </c>
      <c r="O302" s="71" t="e">
        <f>AVERAGE($N$10:N302)</f>
        <v>#N/A</v>
      </c>
      <c r="P302" s="28" t="e">
        <f t="shared" si="72"/>
        <v>#N/A</v>
      </c>
      <c r="R302" s="28" t="e">
        <f t="shared" si="73"/>
        <v>#VALUE!</v>
      </c>
      <c r="S302" s="25"/>
      <c r="T302" s="25">
        <f t="shared" si="74"/>
        <v>15</v>
      </c>
      <c r="U302" s="33">
        <f>IF(PaybackCustom&gt;0, IF(PaybackCustom&lt;&gt;"Default", PaybackCustom, IF(PaybackStatus&lt;&gt;"",INDEX('Arbitrage Payback Engine'!$Y$2:$Y$6,MATCH(PaybackStatus,'Arbitrage Payback Engine'!$X$2:$X$6,FALSE)),-1)))</f>
        <v>25</v>
      </c>
      <c r="V302" s="32">
        <f t="shared" si="83"/>
        <v>15</v>
      </c>
      <c r="X302" s="29">
        <f t="shared" si="84"/>
        <v>293</v>
      </c>
      <c r="Z302" s="30">
        <f t="shared" si="75"/>
        <v>8.0262977674291189</v>
      </c>
      <c r="AA302" s="28" t="e">
        <f t="shared" si="76"/>
        <v>#N/A</v>
      </c>
      <c r="AB302" s="28" t="e">
        <f t="shared" si="77"/>
        <v>#VALUE!</v>
      </c>
      <c r="AC302" s="29">
        <f t="shared" si="78"/>
        <v>277.98861480075902</v>
      </c>
      <c r="AD302" s="28" t="e">
        <f t="shared" si="79"/>
        <v>#VALUE!</v>
      </c>
      <c r="AE302" s="28" t="e">
        <f t="shared" si="80"/>
        <v>#N/A</v>
      </c>
      <c r="AF302" s="28" t="e">
        <f t="shared" si="81"/>
        <v>#VALUE!</v>
      </c>
      <c r="AH302" s="31" t="e">
        <f t="shared" si="82"/>
        <v>#N/A</v>
      </c>
      <c r="AI302" s="25"/>
      <c r="AJ302" s="31"/>
    </row>
    <row r="303" spans="2:36" x14ac:dyDescent="0.25">
      <c r="B303" s="33">
        <f>'Arbitrage Payback Engine'!E303</f>
        <v>8.0536912751677843</v>
      </c>
      <c r="C303" s="33">
        <f t="shared" si="68"/>
        <v>1000</v>
      </c>
      <c r="D303" s="33">
        <f>'Battery Pricing Model'!$C$17</f>
        <v>1000</v>
      </c>
      <c r="E303" s="33">
        <f t="shared" si="69"/>
        <v>999</v>
      </c>
      <c r="F303" s="33" t="str">
        <f>'Peak Models'!$B$4</f>
        <v>Default</v>
      </c>
      <c r="G303" s="33" t="e">
        <f>'Peak Models'!$Q$7</f>
        <v>#VALUE!</v>
      </c>
      <c r="H303" s="33">
        <f>'Peak Models'!$P$16</f>
        <v>1.5</v>
      </c>
      <c r="I303" s="33">
        <v>12</v>
      </c>
      <c r="J303" s="33" t="e">
        <f>'Peak Models'!$P$13</f>
        <v>#N/A</v>
      </c>
      <c r="K303" s="28" t="e">
        <f t="shared" si="70"/>
        <v>#VALUE!</v>
      </c>
      <c r="L303" s="28" t="e">
        <f>INDEX('Peak Models'!$P$34:$P$64, MATCH(TRUNC(B303, 0), 'Peak Models'!$O$34:$O$64, 0))</f>
        <v>#N/A</v>
      </c>
      <c r="M303" s="28">
        <f>'Peak Models'!$P$15*INDEX('Peak Models'!$Q$34:$Q$64, MATCH(TRUNC(B303, 0),'Peak Models'!$O$34:$O$64, 0))/'Profit per cycles Model'!$E$78</f>
        <v>5.7336606941643184</v>
      </c>
      <c r="N303" s="28" t="e">
        <f t="shared" si="71"/>
        <v>#N/A</v>
      </c>
      <c r="O303" s="71" t="e">
        <f>AVERAGE($N$10:N303)</f>
        <v>#N/A</v>
      </c>
      <c r="P303" s="28" t="e">
        <f t="shared" si="72"/>
        <v>#N/A</v>
      </c>
      <c r="R303" s="28" t="e">
        <f t="shared" si="73"/>
        <v>#VALUE!</v>
      </c>
      <c r="S303" s="25"/>
      <c r="T303" s="25">
        <f t="shared" si="74"/>
        <v>15</v>
      </c>
      <c r="U303" s="33">
        <f>IF(PaybackCustom&gt;0, IF(PaybackCustom&lt;&gt;"Default", PaybackCustom, IF(PaybackStatus&lt;&gt;"",INDEX('Arbitrage Payback Engine'!$Y$2:$Y$6,MATCH(PaybackStatus,'Arbitrage Payback Engine'!$X$2:$X$6,FALSE)),-1)))</f>
        <v>25</v>
      </c>
      <c r="V303" s="32">
        <f t="shared" si="83"/>
        <v>15</v>
      </c>
      <c r="X303" s="29">
        <f t="shared" si="84"/>
        <v>294</v>
      </c>
      <c r="Z303" s="30">
        <f t="shared" si="75"/>
        <v>8.0536912751677843</v>
      </c>
      <c r="AA303" s="28" t="e">
        <f t="shared" si="76"/>
        <v>#N/A</v>
      </c>
      <c r="AB303" s="28" t="e">
        <f t="shared" si="77"/>
        <v>#VALUE!</v>
      </c>
      <c r="AC303" s="29">
        <f t="shared" si="78"/>
        <v>278.93738140417457</v>
      </c>
      <c r="AD303" s="28" t="e">
        <f t="shared" si="79"/>
        <v>#VALUE!</v>
      </c>
      <c r="AE303" s="28" t="e">
        <f t="shared" si="80"/>
        <v>#N/A</v>
      </c>
      <c r="AF303" s="28" t="e">
        <f t="shared" si="81"/>
        <v>#VALUE!</v>
      </c>
      <c r="AH303" s="31" t="e">
        <f t="shared" si="82"/>
        <v>#N/A</v>
      </c>
      <c r="AI303" s="25"/>
      <c r="AJ303" s="31"/>
    </row>
    <row r="304" spans="2:36" x14ac:dyDescent="0.25">
      <c r="B304" s="33">
        <f>'Arbitrage Payback Engine'!E304</f>
        <v>8.0810847829064514</v>
      </c>
      <c r="C304" s="33">
        <f t="shared" si="68"/>
        <v>1000</v>
      </c>
      <c r="D304" s="33">
        <f>'Battery Pricing Model'!$C$17</f>
        <v>1000</v>
      </c>
      <c r="E304" s="33">
        <f t="shared" si="69"/>
        <v>999</v>
      </c>
      <c r="F304" s="33" t="str">
        <f>'Peak Models'!$B$4</f>
        <v>Default</v>
      </c>
      <c r="G304" s="33" t="e">
        <f>'Peak Models'!$Q$7</f>
        <v>#VALUE!</v>
      </c>
      <c r="H304" s="33">
        <f>'Peak Models'!$P$16</f>
        <v>1.5</v>
      </c>
      <c r="I304" s="33">
        <v>12</v>
      </c>
      <c r="J304" s="33" t="e">
        <f>'Peak Models'!$P$13</f>
        <v>#N/A</v>
      </c>
      <c r="K304" s="28" t="e">
        <f t="shared" si="70"/>
        <v>#VALUE!</v>
      </c>
      <c r="L304" s="28" t="e">
        <f>INDEX('Peak Models'!$P$34:$P$64, MATCH(TRUNC(B304, 0), 'Peak Models'!$O$34:$O$64, 0))</f>
        <v>#N/A</v>
      </c>
      <c r="M304" s="28">
        <f>'Peak Models'!$P$15*INDEX('Peak Models'!$Q$34:$Q$64, MATCH(TRUNC(B304, 0),'Peak Models'!$O$34:$O$64, 0))/'Profit per cycles Model'!$E$78</f>
        <v>5.7336606941643184</v>
      </c>
      <c r="N304" s="28" t="e">
        <f t="shared" si="71"/>
        <v>#N/A</v>
      </c>
      <c r="O304" s="71" t="e">
        <f>AVERAGE($N$10:N304)</f>
        <v>#N/A</v>
      </c>
      <c r="P304" s="28" t="e">
        <f t="shared" si="72"/>
        <v>#N/A</v>
      </c>
      <c r="R304" s="28" t="e">
        <f t="shared" si="73"/>
        <v>#VALUE!</v>
      </c>
      <c r="S304" s="25"/>
      <c r="T304" s="25">
        <f t="shared" si="74"/>
        <v>15</v>
      </c>
      <c r="U304" s="33">
        <f>IF(PaybackCustom&gt;0, IF(PaybackCustom&lt;&gt;"Default", PaybackCustom, IF(PaybackStatus&lt;&gt;"",INDEX('Arbitrage Payback Engine'!$Y$2:$Y$6,MATCH(PaybackStatus,'Arbitrage Payback Engine'!$X$2:$X$6,FALSE)),-1)))</f>
        <v>25</v>
      </c>
      <c r="V304" s="32">
        <f t="shared" si="83"/>
        <v>15</v>
      </c>
      <c r="X304" s="29">
        <f t="shared" si="84"/>
        <v>295</v>
      </c>
      <c r="Z304" s="30">
        <f t="shared" si="75"/>
        <v>8.0810847829064514</v>
      </c>
      <c r="AA304" s="28" t="e">
        <f t="shared" si="76"/>
        <v>#N/A</v>
      </c>
      <c r="AB304" s="28" t="e">
        <f t="shared" si="77"/>
        <v>#VALUE!</v>
      </c>
      <c r="AC304" s="29">
        <f t="shared" si="78"/>
        <v>279.88614800759018</v>
      </c>
      <c r="AD304" s="28" t="e">
        <f t="shared" si="79"/>
        <v>#VALUE!</v>
      </c>
      <c r="AE304" s="28" t="e">
        <f t="shared" si="80"/>
        <v>#N/A</v>
      </c>
      <c r="AF304" s="28" t="e">
        <f t="shared" si="81"/>
        <v>#VALUE!</v>
      </c>
      <c r="AH304" s="31" t="e">
        <f t="shared" si="82"/>
        <v>#N/A</v>
      </c>
      <c r="AI304" s="25"/>
      <c r="AJ304" s="31"/>
    </row>
    <row r="305" spans="2:36" x14ac:dyDescent="0.25">
      <c r="B305" s="33">
        <f>'Arbitrage Payback Engine'!E305</f>
        <v>8.1084782906451167</v>
      </c>
      <c r="C305" s="33">
        <f t="shared" si="68"/>
        <v>1000</v>
      </c>
      <c r="D305" s="33">
        <f>'Battery Pricing Model'!$C$17</f>
        <v>1000</v>
      </c>
      <c r="E305" s="33">
        <f t="shared" si="69"/>
        <v>999</v>
      </c>
      <c r="F305" s="33" t="str">
        <f>'Peak Models'!$B$4</f>
        <v>Default</v>
      </c>
      <c r="G305" s="33" t="e">
        <f>'Peak Models'!$Q$7</f>
        <v>#VALUE!</v>
      </c>
      <c r="H305" s="33">
        <f>'Peak Models'!$P$16</f>
        <v>1.5</v>
      </c>
      <c r="I305" s="33">
        <v>12</v>
      </c>
      <c r="J305" s="33" t="e">
        <f>'Peak Models'!$P$13</f>
        <v>#N/A</v>
      </c>
      <c r="K305" s="28" t="e">
        <f t="shared" si="70"/>
        <v>#VALUE!</v>
      </c>
      <c r="L305" s="28" t="e">
        <f>INDEX('Peak Models'!$P$34:$P$64, MATCH(TRUNC(B305, 0), 'Peak Models'!$O$34:$O$64, 0))</f>
        <v>#N/A</v>
      </c>
      <c r="M305" s="28">
        <f>'Peak Models'!$P$15*INDEX('Peak Models'!$Q$34:$Q$64, MATCH(TRUNC(B305, 0),'Peak Models'!$O$34:$O$64, 0))/'Profit per cycles Model'!$E$78</f>
        <v>5.7336606941643184</v>
      </c>
      <c r="N305" s="28" t="e">
        <f t="shared" si="71"/>
        <v>#N/A</v>
      </c>
      <c r="O305" s="71" t="e">
        <f>AVERAGE($N$10:N305)</f>
        <v>#N/A</v>
      </c>
      <c r="P305" s="28" t="e">
        <f t="shared" si="72"/>
        <v>#N/A</v>
      </c>
      <c r="R305" s="28" t="e">
        <f t="shared" si="73"/>
        <v>#VALUE!</v>
      </c>
      <c r="S305" s="25"/>
      <c r="T305" s="25">
        <f t="shared" si="74"/>
        <v>15</v>
      </c>
      <c r="U305" s="33">
        <f>IF(PaybackCustom&gt;0, IF(PaybackCustom&lt;&gt;"Default", PaybackCustom, IF(PaybackStatus&lt;&gt;"",INDEX('Arbitrage Payback Engine'!$Y$2:$Y$6,MATCH(PaybackStatus,'Arbitrage Payback Engine'!$X$2:$X$6,FALSE)),-1)))</f>
        <v>25</v>
      </c>
      <c r="V305" s="32">
        <f t="shared" si="83"/>
        <v>15</v>
      </c>
      <c r="X305" s="29">
        <f t="shared" si="84"/>
        <v>296</v>
      </c>
      <c r="Z305" s="30">
        <f t="shared" si="75"/>
        <v>8.1084782906451167</v>
      </c>
      <c r="AA305" s="28" t="e">
        <f t="shared" si="76"/>
        <v>#N/A</v>
      </c>
      <c r="AB305" s="28" t="e">
        <f t="shared" si="77"/>
        <v>#VALUE!</v>
      </c>
      <c r="AC305" s="29">
        <f t="shared" si="78"/>
        <v>280.83491461100567</v>
      </c>
      <c r="AD305" s="28" t="e">
        <f t="shared" si="79"/>
        <v>#VALUE!</v>
      </c>
      <c r="AE305" s="28" t="e">
        <f t="shared" si="80"/>
        <v>#N/A</v>
      </c>
      <c r="AF305" s="28" t="e">
        <f t="shared" si="81"/>
        <v>#VALUE!</v>
      </c>
      <c r="AH305" s="31" t="e">
        <f t="shared" si="82"/>
        <v>#N/A</v>
      </c>
      <c r="AI305" s="25"/>
      <c r="AJ305" s="31"/>
    </row>
    <row r="306" spans="2:36" x14ac:dyDescent="0.25">
      <c r="B306" s="33">
        <f>'Arbitrage Payback Engine'!E306</f>
        <v>8.135871798383782</v>
      </c>
      <c r="C306" s="33">
        <f t="shared" si="68"/>
        <v>1000</v>
      </c>
      <c r="D306" s="33">
        <f>'Battery Pricing Model'!$C$17</f>
        <v>1000</v>
      </c>
      <c r="E306" s="33">
        <f t="shared" si="69"/>
        <v>999</v>
      </c>
      <c r="F306" s="33" t="str">
        <f>'Peak Models'!$B$4</f>
        <v>Default</v>
      </c>
      <c r="G306" s="33" t="e">
        <f>'Peak Models'!$Q$7</f>
        <v>#VALUE!</v>
      </c>
      <c r="H306" s="33">
        <f>'Peak Models'!$P$16</f>
        <v>1.5</v>
      </c>
      <c r="I306" s="33">
        <v>12</v>
      </c>
      <c r="J306" s="33" t="e">
        <f>'Peak Models'!$P$13</f>
        <v>#N/A</v>
      </c>
      <c r="K306" s="28" t="e">
        <f t="shared" si="70"/>
        <v>#VALUE!</v>
      </c>
      <c r="L306" s="28" t="e">
        <f>INDEX('Peak Models'!$P$34:$P$64, MATCH(TRUNC(B306, 0), 'Peak Models'!$O$34:$O$64, 0))</f>
        <v>#N/A</v>
      </c>
      <c r="M306" s="28">
        <f>'Peak Models'!$P$15*INDEX('Peak Models'!$Q$34:$Q$64, MATCH(TRUNC(B306, 0),'Peak Models'!$O$34:$O$64, 0))/'Profit per cycles Model'!$E$78</f>
        <v>5.7336606941643184</v>
      </c>
      <c r="N306" s="28" t="e">
        <f t="shared" si="71"/>
        <v>#N/A</v>
      </c>
      <c r="O306" s="71" t="e">
        <f>AVERAGE($N$10:N306)</f>
        <v>#N/A</v>
      </c>
      <c r="P306" s="28" t="e">
        <f t="shared" si="72"/>
        <v>#N/A</v>
      </c>
      <c r="R306" s="28" t="e">
        <f t="shared" si="73"/>
        <v>#VALUE!</v>
      </c>
      <c r="S306" s="25"/>
      <c r="T306" s="25">
        <f t="shared" si="74"/>
        <v>15</v>
      </c>
      <c r="U306" s="33">
        <f>IF(PaybackCustom&gt;0, IF(PaybackCustom&lt;&gt;"Default", PaybackCustom, IF(PaybackStatus&lt;&gt;"",INDEX('Arbitrage Payback Engine'!$Y$2:$Y$6,MATCH(PaybackStatus,'Arbitrage Payback Engine'!$X$2:$X$6,FALSE)),-1)))</f>
        <v>25</v>
      </c>
      <c r="V306" s="32">
        <f t="shared" si="83"/>
        <v>15</v>
      </c>
      <c r="X306" s="29">
        <f t="shared" si="84"/>
        <v>297</v>
      </c>
      <c r="Z306" s="30">
        <f t="shared" si="75"/>
        <v>8.135871798383782</v>
      </c>
      <c r="AA306" s="28" t="e">
        <f t="shared" si="76"/>
        <v>#N/A</v>
      </c>
      <c r="AB306" s="28" t="e">
        <f t="shared" si="77"/>
        <v>#VALUE!</v>
      </c>
      <c r="AC306" s="29">
        <f t="shared" si="78"/>
        <v>281.78368121442122</v>
      </c>
      <c r="AD306" s="28" t="e">
        <f t="shared" si="79"/>
        <v>#VALUE!</v>
      </c>
      <c r="AE306" s="28" t="e">
        <f t="shared" si="80"/>
        <v>#N/A</v>
      </c>
      <c r="AF306" s="28" t="e">
        <f t="shared" si="81"/>
        <v>#VALUE!</v>
      </c>
      <c r="AH306" s="31" t="e">
        <f t="shared" si="82"/>
        <v>#N/A</v>
      </c>
      <c r="AI306" s="25"/>
      <c r="AJ306" s="31"/>
    </row>
    <row r="307" spans="2:36" x14ac:dyDescent="0.25">
      <c r="B307" s="33">
        <f>'Arbitrage Payback Engine'!E307</f>
        <v>8.1632653061224492</v>
      </c>
      <c r="C307" s="33">
        <f t="shared" si="68"/>
        <v>1000</v>
      </c>
      <c r="D307" s="33">
        <f>'Battery Pricing Model'!$C$17</f>
        <v>1000</v>
      </c>
      <c r="E307" s="33">
        <f t="shared" si="69"/>
        <v>999</v>
      </c>
      <c r="F307" s="33" t="str">
        <f>'Peak Models'!$B$4</f>
        <v>Default</v>
      </c>
      <c r="G307" s="33" t="e">
        <f>'Peak Models'!$Q$7</f>
        <v>#VALUE!</v>
      </c>
      <c r="H307" s="33">
        <f>'Peak Models'!$P$16</f>
        <v>1.5</v>
      </c>
      <c r="I307" s="33">
        <v>12</v>
      </c>
      <c r="J307" s="33" t="e">
        <f>'Peak Models'!$P$13</f>
        <v>#N/A</v>
      </c>
      <c r="K307" s="28" t="e">
        <f t="shared" si="70"/>
        <v>#VALUE!</v>
      </c>
      <c r="L307" s="28" t="e">
        <f>INDEX('Peak Models'!$P$34:$P$64, MATCH(TRUNC(B307, 0), 'Peak Models'!$O$34:$O$64, 0))</f>
        <v>#N/A</v>
      </c>
      <c r="M307" s="28">
        <f>'Peak Models'!$P$15*INDEX('Peak Models'!$Q$34:$Q$64, MATCH(TRUNC(B307, 0),'Peak Models'!$O$34:$O$64, 0))/'Profit per cycles Model'!$E$78</f>
        <v>5.7336606941643184</v>
      </c>
      <c r="N307" s="28" t="e">
        <f t="shared" si="71"/>
        <v>#N/A</v>
      </c>
      <c r="O307" s="71" t="e">
        <f>AVERAGE($N$10:N307)</f>
        <v>#N/A</v>
      </c>
      <c r="P307" s="28" t="e">
        <f t="shared" si="72"/>
        <v>#N/A</v>
      </c>
      <c r="R307" s="28" t="e">
        <f t="shared" si="73"/>
        <v>#VALUE!</v>
      </c>
      <c r="S307" s="25"/>
      <c r="T307" s="25">
        <f t="shared" si="74"/>
        <v>15</v>
      </c>
      <c r="U307" s="33">
        <f>IF(PaybackCustom&gt;0, IF(PaybackCustom&lt;&gt;"Default", PaybackCustom, IF(PaybackStatus&lt;&gt;"",INDEX('Arbitrage Payback Engine'!$Y$2:$Y$6,MATCH(PaybackStatus,'Arbitrage Payback Engine'!$X$2:$X$6,FALSE)),-1)))</f>
        <v>25</v>
      </c>
      <c r="V307" s="32">
        <f t="shared" si="83"/>
        <v>15</v>
      </c>
      <c r="X307" s="29">
        <f t="shared" si="84"/>
        <v>298</v>
      </c>
      <c r="Z307" s="30">
        <f t="shared" si="75"/>
        <v>8.1632653061224492</v>
      </c>
      <c r="AA307" s="28" t="e">
        <f t="shared" si="76"/>
        <v>#N/A</v>
      </c>
      <c r="AB307" s="28" t="e">
        <f t="shared" si="77"/>
        <v>#VALUE!</v>
      </c>
      <c r="AC307" s="29">
        <f t="shared" si="78"/>
        <v>282.73244781783683</v>
      </c>
      <c r="AD307" s="28" t="e">
        <f t="shared" si="79"/>
        <v>#VALUE!</v>
      </c>
      <c r="AE307" s="28" t="e">
        <f t="shared" si="80"/>
        <v>#N/A</v>
      </c>
      <c r="AF307" s="28" t="e">
        <f t="shared" si="81"/>
        <v>#VALUE!</v>
      </c>
      <c r="AH307" s="31" t="e">
        <f t="shared" si="82"/>
        <v>#N/A</v>
      </c>
      <c r="AI307" s="25"/>
      <c r="AJ307" s="31"/>
    </row>
    <row r="308" spans="2:36" x14ac:dyDescent="0.25">
      <c r="B308" s="33">
        <f>'Arbitrage Payback Engine'!E308</f>
        <v>8.1906588138611145</v>
      </c>
      <c r="C308" s="33">
        <f t="shared" si="68"/>
        <v>1000</v>
      </c>
      <c r="D308" s="33">
        <f>'Battery Pricing Model'!$C$17</f>
        <v>1000</v>
      </c>
      <c r="E308" s="33">
        <f t="shared" si="69"/>
        <v>999</v>
      </c>
      <c r="F308" s="33" t="str">
        <f>'Peak Models'!$B$4</f>
        <v>Default</v>
      </c>
      <c r="G308" s="33" t="e">
        <f>'Peak Models'!$Q$7</f>
        <v>#VALUE!</v>
      </c>
      <c r="H308" s="33">
        <f>'Peak Models'!$P$16</f>
        <v>1.5</v>
      </c>
      <c r="I308" s="33">
        <v>12</v>
      </c>
      <c r="J308" s="33" t="e">
        <f>'Peak Models'!$P$13</f>
        <v>#N/A</v>
      </c>
      <c r="K308" s="28" t="e">
        <f t="shared" si="70"/>
        <v>#VALUE!</v>
      </c>
      <c r="L308" s="28" t="e">
        <f>INDEX('Peak Models'!$P$34:$P$64, MATCH(TRUNC(B308, 0), 'Peak Models'!$O$34:$O$64, 0))</f>
        <v>#N/A</v>
      </c>
      <c r="M308" s="28">
        <f>'Peak Models'!$P$15*INDEX('Peak Models'!$Q$34:$Q$64, MATCH(TRUNC(B308, 0),'Peak Models'!$O$34:$O$64, 0))/'Profit per cycles Model'!$E$78</f>
        <v>5.7336606941643184</v>
      </c>
      <c r="N308" s="28" t="e">
        <f t="shared" si="71"/>
        <v>#N/A</v>
      </c>
      <c r="O308" s="71" t="e">
        <f>AVERAGE($N$10:N308)</f>
        <v>#N/A</v>
      </c>
      <c r="P308" s="28" t="e">
        <f t="shared" si="72"/>
        <v>#N/A</v>
      </c>
      <c r="R308" s="28" t="e">
        <f t="shared" si="73"/>
        <v>#VALUE!</v>
      </c>
      <c r="S308" s="25"/>
      <c r="T308" s="25">
        <f t="shared" si="74"/>
        <v>15</v>
      </c>
      <c r="U308" s="33">
        <f>IF(PaybackCustom&gt;0, IF(PaybackCustom&lt;&gt;"Default", PaybackCustom, IF(PaybackStatus&lt;&gt;"",INDEX('Arbitrage Payback Engine'!$Y$2:$Y$6,MATCH(PaybackStatus,'Arbitrage Payback Engine'!$X$2:$X$6,FALSE)),-1)))</f>
        <v>25</v>
      </c>
      <c r="V308" s="32">
        <f t="shared" si="83"/>
        <v>15</v>
      </c>
      <c r="X308" s="29">
        <f t="shared" si="84"/>
        <v>299</v>
      </c>
      <c r="Z308" s="30">
        <f t="shared" si="75"/>
        <v>8.1906588138611145</v>
      </c>
      <c r="AA308" s="28" t="e">
        <f t="shared" si="76"/>
        <v>#N/A</v>
      </c>
      <c r="AB308" s="28" t="e">
        <f t="shared" si="77"/>
        <v>#VALUE!</v>
      </c>
      <c r="AC308" s="29">
        <f t="shared" si="78"/>
        <v>283.68121442125238</v>
      </c>
      <c r="AD308" s="28" t="e">
        <f t="shared" si="79"/>
        <v>#VALUE!</v>
      </c>
      <c r="AE308" s="28" t="e">
        <f t="shared" si="80"/>
        <v>#N/A</v>
      </c>
      <c r="AF308" s="28" t="e">
        <f t="shared" si="81"/>
        <v>#VALUE!</v>
      </c>
      <c r="AH308" s="31" t="e">
        <f t="shared" si="82"/>
        <v>#N/A</v>
      </c>
      <c r="AI308" s="25"/>
      <c r="AJ308" s="31"/>
    </row>
    <row r="309" spans="2:36" x14ac:dyDescent="0.25">
      <c r="B309" s="33">
        <f>'Arbitrage Payback Engine'!E309</f>
        <v>8.2180523215997798</v>
      </c>
      <c r="C309" s="33">
        <f t="shared" si="68"/>
        <v>1000</v>
      </c>
      <c r="D309" s="33">
        <f>'Battery Pricing Model'!$C$17</f>
        <v>1000</v>
      </c>
      <c r="E309" s="33">
        <f t="shared" si="69"/>
        <v>999</v>
      </c>
      <c r="F309" s="33" t="str">
        <f>'Peak Models'!$B$4</f>
        <v>Default</v>
      </c>
      <c r="G309" s="33" t="e">
        <f>'Peak Models'!$Q$7</f>
        <v>#VALUE!</v>
      </c>
      <c r="H309" s="33">
        <f>'Peak Models'!$P$16</f>
        <v>1.5</v>
      </c>
      <c r="I309" s="33">
        <v>12</v>
      </c>
      <c r="J309" s="33" t="e">
        <f>'Peak Models'!$P$13</f>
        <v>#N/A</v>
      </c>
      <c r="K309" s="28" t="e">
        <f t="shared" si="70"/>
        <v>#VALUE!</v>
      </c>
      <c r="L309" s="28" t="e">
        <f>INDEX('Peak Models'!$P$34:$P$64, MATCH(TRUNC(B309, 0), 'Peak Models'!$O$34:$O$64, 0))</f>
        <v>#N/A</v>
      </c>
      <c r="M309" s="28">
        <f>'Peak Models'!$P$15*INDEX('Peak Models'!$Q$34:$Q$64, MATCH(TRUNC(B309, 0),'Peak Models'!$O$34:$O$64, 0))/'Profit per cycles Model'!$E$78</f>
        <v>5.7336606941643184</v>
      </c>
      <c r="N309" s="28" t="e">
        <f t="shared" si="71"/>
        <v>#N/A</v>
      </c>
      <c r="O309" s="71" t="e">
        <f>AVERAGE($N$10:N309)</f>
        <v>#N/A</v>
      </c>
      <c r="P309" s="28" t="e">
        <f t="shared" si="72"/>
        <v>#N/A</v>
      </c>
      <c r="R309" s="28" t="e">
        <f t="shared" si="73"/>
        <v>#VALUE!</v>
      </c>
      <c r="S309" s="25"/>
      <c r="T309" s="25">
        <f t="shared" si="74"/>
        <v>15</v>
      </c>
      <c r="U309" s="33">
        <f>IF(PaybackCustom&gt;0, IF(PaybackCustom&lt;&gt;"Default", PaybackCustom, IF(PaybackStatus&lt;&gt;"",INDEX('Arbitrage Payback Engine'!$Y$2:$Y$6,MATCH(PaybackStatus,'Arbitrage Payback Engine'!$X$2:$X$6,FALSE)),-1)))</f>
        <v>25</v>
      </c>
      <c r="V309" s="32">
        <f t="shared" si="83"/>
        <v>15</v>
      </c>
      <c r="X309" s="29">
        <f t="shared" si="84"/>
        <v>300</v>
      </c>
      <c r="Z309" s="30">
        <f t="shared" si="75"/>
        <v>8.2180523215997798</v>
      </c>
      <c r="AA309" s="28" t="e">
        <f t="shared" si="76"/>
        <v>#N/A</v>
      </c>
      <c r="AB309" s="28" t="e">
        <f t="shared" si="77"/>
        <v>#VALUE!</v>
      </c>
      <c r="AC309" s="29">
        <f t="shared" si="78"/>
        <v>284.62998102466793</v>
      </c>
      <c r="AD309" s="28" t="e">
        <f t="shared" si="79"/>
        <v>#VALUE!</v>
      </c>
      <c r="AE309" s="28" t="e">
        <f t="shared" si="80"/>
        <v>#N/A</v>
      </c>
      <c r="AF309" s="28" t="e">
        <f t="shared" si="81"/>
        <v>#VALUE!</v>
      </c>
      <c r="AH309" s="31" t="e">
        <f t="shared" si="82"/>
        <v>#N/A</v>
      </c>
      <c r="AI309" s="25"/>
      <c r="AJ309" s="31"/>
    </row>
    <row r="310" spans="2:36" x14ac:dyDescent="0.25">
      <c r="B310" s="33">
        <f>'Arbitrage Payback Engine'!E310</f>
        <v>8.2454458293384469</v>
      </c>
      <c r="C310" s="33">
        <f t="shared" si="68"/>
        <v>1000</v>
      </c>
      <c r="D310" s="33">
        <f>'Battery Pricing Model'!$C$17</f>
        <v>1000</v>
      </c>
      <c r="E310" s="33">
        <f t="shared" si="69"/>
        <v>999</v>
      </c>
      <c r="F310" s="33" t="str">
        <f>'Peak Models'!$B$4</f>
        <v>Default</v>
      </c>
      <c r="G310" s="33" t="e">
        <f>'Peak Models'!$Q$7</f>
        <v>#VALUE!</v>
      </c>
      <c r="H310" s="33">
        <f>'Peak Models'!$P$16</f>
        <v>1.5</v>
      </c>
      <c r="I310" s="33">
        <v>12</v>
      </c>
      <c r="J310" s="33" t="e">
        <f>'Peak Models'!$P$13</f>
        <v>#N/A</v>
      </c>
      <c r="K310" s="28" t="e">
        <f t="shared" si="70"/>
        <v>#VALUE!</v>
      </c>
      <c r="L310" s="28" t="e">
        <f>INDEX('Peak Models'!$P$34:$P$64, MATCH(TRUNC(B310, 0), 'Peak Models'!$O$34:$O$64, 0))</f>
        <v>#N/A</v>
      </c>
      <c r="M310" s="28">
        <f>'Peak Models'!$P$15*INDEX('Peak Models'!$Q$34:$Q$64, MATCH(TRUNC(B310, 0),'Peak Models'!$O$34:$O$64, 0))/'Profit per cycles Model'!$E$78</f>
        <v>5.7336606941643184</v>
      </c>
      <c r="N310" s="28" t="e">
        <f t="shared" si="71"/>
        <v>#N/A</v>
      </c>
      <c r="O310" s="71" t="e">
        <f>AVERAGE($N$10:N310)</f>
        <v>#N/A</v>
      </c>
      <c r="P310" s="28" t="e">
        <f t="shared" si="72"/>
        <v>#N/A</v>
      </c>
      <c r="R310" s="28" t="e">
        <f t="shared" si="73"/>
        <v>#VALUE!</v>
      </c>
      <c r="S310" s="25"/>
      <c r="T310" s="25">
        <f t="shared" si="74"/>
        <v>15</v>
      </c>
      <c r="U310" s="33">
        <f>IF(PaybackCustom&gt;0, IF(PaybackCustom&lt;&gt;"Default", PaybackCustom, IF(PaybackStatus&lt;&gt;"",INDEX('Arbitrage Payback Engine'!$Y$2:$Y$6,MATCH(PaybackStatus,'Arbitrage Payback Engine'!$X$2:$X$6,FALSE)),-1)))</f>
        <v>25</v>
      </c>
      <c r="V310" s="32">
        <f t="shared" si="83"/>
        <v>15</v>
      </c>
      <c r="X310" s="29">
        <f t="shared" si="84"/>
        <v>301</v>
      </c>
      <c r="Z310" s="30">
        <f t="shared" si="75"/>
        <v>8.2454458293384469</v>
      </c>
      <c r="AA310" s="28" t="e">
        <f t="shared" si="76"/>
        <v>#N/A</v>
      </c>
      <c r="AB310" s="28" t="e">
        <f t="shared" si="77"/>
        <v>#VALUE!</v>
      </c>
      <c r="AC310" s="29">
        <f t="shared" si="78"/>
        <v>285.57874762808353</v>
      </c>
      <c r="AD310" s="28" t="e">
        <f t="shared" si="79"/>
        <v>#VALUE!</v>
      </c>
      <c r="AE310" s="28" t="e">
        <f t="shared" si="80"/>
        <v>#N/A</v>
      </c>
      <c r="AF310" s="28" t="e">
        <f t="shared" si="81"/>
        <v>#VALUE!</v>
      </c>
      <c r="AH310" s="31" t="e">
        <f t="shared" si="82"/>
        <v>#N/A</v>
      </c>
      <c r="AI310" s="25"/>
      <c r="AJ310" s="31"/>
    </row>
    <row r="311" spans="2:36" x14ac:dyDescent="0.25">
      <c r="B311" s="33">
        <f>'Arbitrage Payback Engine'!E311</f>
        <v>8.2728393370771123</v>
      </c>
      <c r="C311" s="33">
        <f t="shared" si="68"/>
        <v>1000</v>
      </c>
      <c r="D311" s="33">
        <f>'Battery Pricing Model'!$C$17</f>
        <v>1000</v>
      </c>
      <c r="E311" s="33">
        <f t="shared" si="69"/>
        <v>999</v>
      </c>
      <c r="F311" s="33" t="str">
        <f>'Peak Models'!$B$4</f>
        <v>Default</v>
      </c>
      <c r="G311" s="33" t="e">
        <f>'Peak Models'!$Q$7</f>
        <v>#VALUE!</v>
      </c>
      <c r="H311" s="33">
        <f>'Peak Models'!$P$16</f>
        <v>1.5</v>
      </c>
      <c r="I311" s="33">
        <v>12</v>
      </c>
      <c r="J311" s="33" t="e">
        <f>'Peak Models'!$P$13</f>
        <v>#N/A</v>
      </c>
      <c r="K311" s="28" t="e">
        <f t="shared" si="70"/>
        <v>#VALUE!</v>
      </c>
      <c r="L311" s="28" t="e">
        <f>INDEX('Peak Models'!$P$34:$P$64, MATCH(TRUNC(B311, 0), 'Peak Models'!$O$34:$O$64, 0))</f>
        <v>#N/A</v>
      </c>
      <c r="M311" s="28">
        <f>'Peak Models'!$P$15*INDEX('Peak Models'!$Q$34:$Q$64, MATCH(TRUNC(B311, 0),'Peak Models'!$O$34:$O$64, 0))/'Profit per cycles Model'!$E$78</f>
        <v>5.7336606941643184</v>
      </c>
      <c r="N311" s="28" t="e">
        <f t="shared" si="71"/>
        <v>#N/A</v>
      </c>
      <c r="O311" s="71" t="e">
        <f>AVERAGE($N$10:N311)</f>
        <v>#N/A</v>
      </c>
      <c r="P311" s="28" t="e">
        <f t="shared" si="72"/>
        <v>#N/A</v>
      </c>
      <c r="R311" s="28" t="e">
        <f t="shared" si="73"/>
        <v>#VALUE!</v>
      </c>
      <c r="S311" s="25"/>
      <c r="T311" s="25">
        <f t="shared" si="74"/>
        <v>15</v>
      </c>
      <c r="U311" s="33">
        <f>IF(PaybackCustom&gt;0, IF(PaybackCustom&lt;&gt;"Default", PaybackCustom, IF(PaybackStatus&lt;&gt;"",INDEX('Arbitrage Payback Engine'!$Y$2:$Y$6,MATCH(PaybackStatus,'Arbitrage Payback Engine'!$X$2:$X$6,FALSE)),-1)))</f>
        <v>25</v>
      </c>
      <c r="V311" s="32">
        <f t="shared" si="83"/>
        <v>15</v>
      </c>
      <c r="X311" s="29">
        <f t="shared" si="84"/>
        <v>302</v>
      </c>
      <c r="Z311" s="30">
        <f t="shared" si="75"/>
        <v>8.2728393370771123</v>
      </c>
      <c r="AA311" s="28" t="e">
        <f t="shared" si="76"/>
        <v>#N/A</v>
      </c>
      <c r="AB311" s="28" t="e">
        <f t="shared" si="77"/>
        <v>#VALUE!</v>
      </c>
      <c r="AC311" s="29">
        <f t="shared" si="78"/>
        <v>286.52751423149903</v>
      </c>
      <c r="AD311" s="28" t="e">
        <f t="shared" si="79"/>
        <v>#VALUE!</v>
      </c>
      <c r="AE311" s="28" t="e">
        <f t="shared" si="80"/>
        <v>#N/A</v>
      </c>
      <c r="AF311" s="28" t="e">
        <f t="shared" si="81"/>
        <v>#VALUE!</v>
      </c>
      <c r="AH311" s="31" t="e">
        <f t="shared" si="82"/>
        <v>#N/A</v>
      </c>
      <c r="AI311" s="25"/>
      <c r="AJ311" s="31"/>
    </row>
    <row r="312" spans="2:36" x14ac:dyDescent="0.25">
      <c r="B312" s="33">
        <f>'Arbitrage Payback Engine'!E312</f>
        <v>8.3002328448157776</v>
      </c>
      <c r="C312" s="33">
        <f t="shared" si="68"/>
        <v>1000</v>
      </c>
      <c r="D312" s="33">
        <f>'Battery Pricing Model'!$C$17</f>
        <v>1000</v>
      </c>
      <c r="E312" s="33">
        <f t="shared" si="69"/>
        <v>999</v>
      </c>
      <c r="F312" s="33" t="str">
        <f>'Peak Models'!$B$4</f>
        <v>Default</v>
      </c>
      <c r="G312" s="33" t="e">
        <f>'Peak Models'!$Q$7</f>
        <v>#VALUE!</v>
      </c>
      <c r="H312" s="33">
        <f>'Peak Models'!$P$16</f>
        <v>1.5</v>
      </c>
      <c r="I312" s="33">
        <v>12</v>
      </c>
      <c r="J312" s="33" t="e">
        <f>'Peak Models'!$P$13</f>
        <v>#N/A</v>
      </c>
      <c r="K312" s="28" t="e">
        <f t="shared" si="70"/>
        <v>#VALUE!</v>
      </c>
      <c r="L312" s="28" t="e">
        <f>INDEX('Peak Models'!$P$34:$P$64, MATCH(TRUNC(B312, 0), 'Peak Models'!$O$34:$O$64, 0))</f>
        <v>#N/A</v>
      </c>
      <c r="M312" s="28">
        <f>'Peak Models'!$P$15*INDEX('Peak Models'!$Q$34:$Q$64, MATCH(TRUNC(B312, 0),'Peak Models'!$O$34:$O$64, 0))/'Profit per cycles Model'!$E$78</f>
        <v>5.7336606941643184</v>
      </c>
      <c r="N312" s="28" t="e">
        <f t="shared" si="71"/>
        <v>#N/A</v>
      </c>
      <c r="O312" s="71" t="e">
        <f>AVERAGE($N$10:N312)</f>
        <v>#N/A</v>
      </c>
      <c r="P312" s="28" t="e">
        <f t="shared" si="72"/>
        <v>#N/A</v>
      </c>
      <c r="R312" s="28" t="e">
        <f t="shared" si="73"/>
        <v>#VALUE!</v>
      </c>
      <c r="S312" s="25"/>
      <c r="T312" s="25">
        <f t="shared" si="74"/>
        <v>15</v>
      </c>
      <c r="U312" s="33">
        <f>IF(PaybackCustom&gt;0, IF(PaybackCustom&lt;&gt;"Default", PaybackCustom, IF(PaybackStatus&lt;&gt;"",INDEX('Arbitrage Payback Engine'!$Y$2:$Y$6,MATCH(PaybackStatus,'Arbitrage Payback Engine'!$X$2:$X$6,FALSE)),-1)))</f>
        <v>25</v>
      </c>
      <c r="V312" s="32">
        <f t="shared" si="83"/>
        <v>15</v>
      </c>
      <c r="X312" s="29">
        <f t="shared" si="84"/>
        <v>303</v>
      </c>
      <c r="Z312" s="30">
        <f t="shared" si="75"/>
        <v>8.3002328448157776</v>
      </c>
      <c r="AA312" s="28" t="e">
        <f t="shared" si="76"/>
        <v>#N/A</v>
      </c>
      <c r="AB312" s="28" t="e">
        <f t="shared" si="77"/>
        <v>#VALUE!</v>
      </c>
      <c r="AC312" s="29">
        <f t="shared" si="78"/>
        <v>287.47628083491458</v>
      </c>
      <c r="AD312" s="28" t="e">
        <f t="shared" si="79"/>
        <v>#VALUE!</v>
      </c>
      <c r="AE312" s="28" t="e">
        <f t="shared" si="80"/>
        <v>#N/A</v>
      </c>
      <c r="AF312" s="28" t="e">
        <f t="shared" si="81"/>
        <v>#VALUE!</v>
      </c>
      <c r="AH312" s="31" t="e">
        <f t="shared" si="82"/>
        <v>#N/A</v>
      </c>
      <c r="AI312" s="25"/>
      <c r="AJ312" s="31"/>
    </row>
    <row r="313" spans="2:36" x14ac:dyDescent="0.25">
      <c r="B313" s="33">
        <f>'Arbitrage Payback Engine'!E313</f>
        <v>8.3276263525544447</v>
      </c>
      <c r="C313" s="33">
        <f t="shared" si="68"/>
        <v>1000</v>
      </c>
      <c r="D313" s="33">
        <f>'Battery Pricing Model'!$C$17</f>
        <v>1000</v>
      </c>
      <c r="E313" s="33">
        <f t="shared" si="69"/>
        <v>999</v>
      </c>
      <c r="F313" s="33" t="str">
        <f>'Peak Models'!$B$4</f>
        <v>Default</v>
      </c>
      <c r="G313" s="33" t="e">
        <f>'Peak Models'!$Q$7</f>
        <v>#VALUE!</v>
      </c>
      <c r="H313" s="33">
        <f>'Peak Models'!$P$16</f>
        <v>1.5</v>
      </c>
      <c r="I313" s="33">
        <v>12</v>
      </c>
      <c r="J313" s="33" t="e">
        <f>'Peak Models'!$P$13</f>
        <v>#N/A</v>
      </c>
      <c r="K313" s="28" t="e">
        <f t="shared" si="70"/>
        <v>#VALUE!</v>
      </c>
      <c r="L313" s="28" t="e">
        <f>INDEX('Peak Models'!$P$34:$P$64, MATCH(TRUNC(B313, 0), 'Peak Models'!$O$34:$O$64, 0))</f>
        <v>#N/A</v>
      </c>
      <c r="M313" s="28">
        <f>'Peak Models'!$P$15*INDEX('Peak Models'!$Q$34:$Q$64, MATCH(TRUNC(B313, 0),'Peak Models'!$O$34:$O$64, 0))/'Profit per cycles Model'!$E$78</f>
        <v>5.7336606941643184</v>
      </c>
      <c r="N313" s="28" t="e">
        <f t="shared" si="71"/>
        <v>#N/A</v>
      </c>
      <c r="O313" s="71" t="e">
        <f>AVERAGE($N$10:N313)</f>
        <v>#N/A</v>
      </c>
      <c r="P313" s="28" t="e">
        <f t="shared" si="72"/>
        <v>#N/A</v>
      </c>
      <c r="R313" s="28" t="e">
        <f t="shared" si="73"/>
        <v>#VALUE!</v>
      </c>
      <c r="S313" s="25"/>
      <c r="T313" s="25">
        <f t="shared" si="74"/>
        <v>15</v>
      </c>
      <c r="U313" s="33">
        <f>IF(PaybackCustom&gt;0, IF(PaybackCustom&lt;&gt;"Default", PaybackCustom, IF(PaybackStatus&lt;&gt;"",INDEX('Arbitrage Payback Engine'!$Y$2:$Y$6,MATCH(PaybackStatus,'Arbitrage Payback Engine'!$X$2:$X$6,FALSE)),-1)))</f>
        <v>25</v>
      </c>
      <c r="V313" s="32">
        <f t="shared" si="83"/>
        <v>15</v>
      </c>
      <c r="X313" s="29">
        <f t="shared" si="84"/>
        <v>304</v>
      </c>
      <c r="Z313" s="30">
        <f t="shared" si="75"/>
        <v>8.3276263525544447</v>
      </c>
      <c r="AA313" s="28" t="e">
        <f t="shared" si="76"/>
        <v>#N/A</v>
      </c>
      <c r="AB313" s="28" t="e">
        <f t="shared" si="77"/>
        <v>#VALUE!</v>
      </c>
      <c r="AC313" s="29">
        <f t="shared" si="78"/>
        <v>288.42504743833024</v>
      </c>
      <c r="AD313" s="28" t="e">
        <f t="shared" si="79"/>
        <v>#VALUE!</v>
      </c>
      <c r="AE313" s="28" t="e">
        <f t="shared" si="80"/>
        <v>#N/A</v>
      </c>
      <c r="AF313" s="28" t="e">
        <f t="shared" si="81"/>
        <v>#VALUE!</v>
      </c>
      <c r="AH313" s="31" t="e">
        <f t="shared" si="82"/>
        <v>#N/A</v>
      </c>
      <c r="AI313" s="25"/>
      <c r="AJ313" s="31"/>
    </row>
    <row r="314" spans="2:36" x14ac:dyDescent="0.25">
      <c r="B314" s="33">
        <f>'Arbitrage Payback Engine'!E314</f>
        <v>8.3550198602931101</v>
      </c>
      <c r="C314" s="33">
        <f t="shared" si="68"/>
        <v>1000</v>
      </c>
      <c r="D314" s="33">
        <f>'Battery Pricing Model'!$C$17</f>
        <v>1000</v>
      </c>
      <c r="E314" s="33">
        <f t="shared" si="69"/>
        <v>999</v>
      </c>
      <c r="F314" s="33" t="str">
        <f>'Peak Models'!$B$4</f>
        <v>Default</v>
      </c>
      <c r="G314" s="33" t="e">
        <f>'Peak Models'!$Q$7</f>
        <v>#VALUE!</v>
      </c>
      <c r="H314" s="33">
        <f>'Peak Models'!$P$16</f>
        <v>1.5</v>
      </c>
      <c r="I314" s="33">
        <v>12</v>
      </c>
      <c r="J314" s="33" t="e">
        <f>'Peak Models'!$P$13</f>
        <v>#N/A</v>
      </c>
      <c r="K314" s="28" t="e">
        <f t="shared" si="70"/>
        <v>#VALUE!</v>
      </c>
      <c r="L314" s="28" t="e">
        <f>INDEX('Peak Models'!$P$34:$P$64, MATCH(TRUNC(B314, 0), 'Peak Models'!$O$34:$O$64, 0))</f>
        <v>#N/A</v>
      </c>
      <c r="M314" s="28">
        <f>'Peak Models'!$P$15*INDEX('Peak Models'!$Q$34:$Q$64, MATCH(TRUNC(B314, 0),'Peak Models'!$O$34:$O$64, 0))/'Profit per cycles Model'!$E$78</f>
        <v>5.7336606941643184</v>
      </c>
      <c r="N314" s="28" t="e">
        <f t="shared" si="71"/>
        <v>#N/A</v>
      </c>
      <c r="O314" s="71" t="e">
        <f>AVERAGE($N$10:N314)</f>
        <v>#N/A</v>
      </c>
      <c r="P314" s="28" t="e">
        <f t="shared" si="72"/>
        <v>#N/A</v>
      </c>
      <c r="R314" s="28" t="e">
        <f t="shared" si="73"/>
        <v>#VALUE!</v>
      </c>
      <c r="S314" s="25"/>
      <c r="T314" s="25">
        <f t="shared" si="74"/>
        <v>15</v>
      </c>
      <c r="U314" s="33">
        <f>IF(PaybackCustom&gt;0, IF(PaybackCustom&lt;&gt;"Default", PaybackCustom, IF(PaybackStatus&lt;&gt;"",INDEX('Arbitrage Payback Engine'!$Y$2:$Y$6,MATCH(PaybackStatus,'Arbitrage Payback Engine'!$X$2:$X$6,FALSE)),-1)))</f>
        <v>25</v>
      </c>
      <c r="V314" s="32">
        <f t="shared" si="83"/>
        <v>15</v>
      </c>
      <c r="X314" s="29">
        <f t="shared" si="84"/>
        <v>305</v>
      </c>
      <c r="Z314" s="30">
        <f t="shared" si="75"/>
        <v>8.3550198602931101</v>
      </c>
      <c r="AA314" s="28" t="e">
        <f t="shared" si="76"/>
        <v>#N/A</v>
      </c>
      <c r="AB314" s="28" t="e">
        <f t="shared" si="77"/>
        <v>#VALUE!</v>
      </c>
      <c r="AC314" s="29">
        <f t="shared" si="78"/>
        <v>289.37381404174573</v>
      </c>
      <c r="AD314" s="28" t="e">
        <f t="shared" si="79"/>
        <v>#VALUE!</v>
      </c>
      <c r="AE314" s="28" t="e">
        <f t="shared" si="80"/>
        <v>#N/A</v>
      </c>
      <c r="AF314" s="28" t="e">
        <f t="shared" si="81"/>
        <v>#VALUE!</v>
      </c>
      <c r="AH314" s="31" t="e">
        <f t="shared" si="82"/>
        <v>#N/A</v>
      </c>
      <c r="AI314" s="25"/>
      <c r="AJ314" s="31"/>
    </row>
    <row r="315" spans="2:36" x14ac:dyDescent="0.25">
      <c r="B315" s="33">
        <f>'Arbitrage Payback Engine'!E315</f>
        <v>8.3824133680317754</v>
      </c>
      <c r="C315" s="33">
        <f t="shared" si="68"/>
        <v>1000</v>
      </c>
      <c r="D315" s="33">
        <f>'Battery Pricing Model'!$C$17</f>
        <v>1000</v>
      </c>
      <c r="E315" s="33">
        <f t="shared" si="69"/>
        <v>999</v>
      </c>
      <c r="F315" s="33" t="str">
        <f>'Peak Models'!$B$4</f>
        <v>Default</v>
      </c>
      <c r="G315" s="33" t="e">
        <f>'Peak Models'!$Q$7</f>
        <v>#VALUE!</v>
      </c>
      <c r="H315" s="33">
        <f>'Peak Models'!$P$16</f>
        <v>1.5</v>
      </c>
      <c r="I315" s="33">
        <v>12</v>
      </c>
      <c r="J315" s="33" t="e">
        <f>'Peak Models'!$P$13</f>
        <v>#N/A</v>
      </c>
      <c r="K315" s="28" t="e">
        <f t="shared" si="70"/>
        <v>#VALUE!</v>
      </c>
      <c r="L315" s="28" t="e">
        <f>INDEX('Peak Models'!$P$34:$P$64, MATCH(TRUNC(B315, 0), 'Peak Models'!$O$34:$O$64, 0))</f>
        <v>#N/A</v>
      </c>
      <c r="M315" s="28">
        <f>'Peak Models'!$P$15*INDEX('Peak Models'!$Q$34:$Q$64, MATCH(TRUNC(B315, 0),'Peak Models'!$O$34:$O$64, 0))/'Profit per cycles Model'!$E$78</f>
        <v>5.7336606941643184</v>
      </c>
      <c r="N315" s="28" t="e">
        <f t="shared" si="71"/>
        <v>#N/A</v>
      </c>
      <c r="O315" s="71" t="e">
        <f>AVERAGE($N$10:N315)</f>
        <v>#N/A</v>
      </c>
      <c r="P315" s="28" t="e">
        <f t="shared" si="72"/>
        <v>#N/A</v>
      </c>
      <c r="R315" s="28" t="e">
        <f t="shared" si="73"/>
        <v>#VALUE!</v>
      </c>
      <c r="S315" s="25"/>
      <c r="T315" s="25">
        <f t="shared" si="74"/>
        <v>15</v>
      </c>
      <c r="U315" s="33">
        <f>IF(PaybackCustom&gt;0, IF(PaybackCustom&lt;&gt;"Default", PaybackCustom, IF(PaybackStatus&lt;&gt;"",INDEX('Arbitrage Payback Engine'!$Y$2:$Y$6,MATCH(PaybackStatus,'Arbitrage Payback Engine'!$X$2:$X$6,FALSE)),-1)))</f>
        <v>25</v>
      </c>
      <c r="V315" s="32">
        <f t="shared" si="83"/>
        <v>15</v>
      </c>
      <c r="X315" s="29">
        <f t="shared" si="84"/>
        <v>306</v>
      </c>
      <c r="Z315" s="30">
        <f t="shared" si="75"/>
        <v>8.3824133680317754</v>
      </c>
      <c r="AA315" s="28" t="e">
        <f t="shared" si="76"/>
        <v>#N/A</v>
      </c>
      <c r="AB315" s="28" t="e">
        <f t="shared" si="77"/>
        <v>#VALUE!</v>
      </c>
      <c r="AC315" s="29">
        <f t="shared" si="78"/>
        <v>290.32258064516128</v>
      </c>
      <c r="AD315" s="28" t="e">
        <f t="shared" si="79"/>
        <v>#VALUE!</v>
      </c>
      <c r="AE315" s="28" t="e">
        <f t="shared" si="80"/>
        <v>#N/A</v>
      </c>
      <c r="AF315" s="28" t="e">
        <f t="shared" si="81"/>
        <v>#VALUE!</v>
      </c>
      <c r="AH315" s="31" t="e">
        <f t="shared" si="82"/>
        <v>#N/A</v>
      </c>
      <c r="AI315" s="25"/>
      <c r="AJ315" s="31"/>
    </row>
    <row r="316" spans="2:36" x14ac:dyDescent="0.25">
      <c r="B316" s="33">
        <f>'Arbitrage Payback Engine'!E316</f>
        <v>8.4098068757704425</v>
      </c>
      <c r="C316" s="33">
        <f t="shared" si="68"/>
        <v>1000</v>
      </c>
      <c r="D316" s="33">
        <f>'Battery Pricing Model'!$C$17</f>
        <v>1000</v>
      </c>
      <c r="E316" s="33">
        <f t="shared" si="69"/>
        <v>999</v>
      </c>
      <c r="F316" s="33" t="str">
        <f>'Peak Models'!$B$4</f>
        <v>Default</v>
      </c>
      <c r="G316" s="33" t="e">
        <f>'Peak Models'!$Q$7</f>
        <v>#VALUE!</v>
      </c>
      <c r="H316" s="33">
        <f>'Peak Models'!$P$16</f>
        <v>1.5</v>
      </c>
      <c r="I316" s="33">
        <v>12</v>
      </c>
      <c r="J316" s="33" t="e">
        <f>'Peak Models'!$P$13</f>
        <v>#N/A</v>
      </c>
      <c r="K316" s="28" t="e">
        <f t="shared" si="70"/>
        <v>#VALUE!</v>
      </c>
      <c r="L316" s="28" t="e">
        <f>INDEX('Peak Models'!$P$34:$P$64, MATCH(TRUNC(B316, 0), 'Peak Models'!$O$34:$O$64, 0))</f>
        <v>#N/A</v>
      </c>
      <c r="M316" s="28">
        <f>'Peak Models'!$P$15*INDEX('Peak Models'!$Q$34:$Q$64, MATCH(TRUNC(B316, 0),'Peak Models'!$O$34:$O$64, 0))/'Profit per cycles Model'!$E$78</f>
        <v>5.7336606941643184</v>
      </c>
      <c r="N316" s="28" t="e">
        <f t="shared" si="71"/>
        <v>#N/A</v>
      </c>
      <c r="O316" s="71" t="e">
        <f>AVERAGE($N$10:N316)</f>
        <v>#N/A</v>
      </c>
      <c r="P316" s="28" t="e">
        <f t="shared" si="72"/>
        <v>#N/A</v>
      </c>
      <c r="R316" s="28" t="e">
        <f t="shared" si="73"/>
        <v>#VALUE!</v>
      </c>
      <c r="S316" s="25"/>
      <c r="T316" s="25">
        <f t="shared" si="74"/>
        <v>15</v>
      </c>
      <c r="U316" s="33">
        <f>IF(PaybackCustom&gt;0, IF(PaybackCustom&lt;&gt;"Default", PaybackCustom, IF(PaybackStatus&lt;&gt;"",INDEX('Arbitrage Payback Engine'!$Y$2:$Y$6,MATCH(PaybackStatus,'Arbitrage Payback Engine'!$X$2:$X$6,FALSE)),-1)))</f>
        <v>25</v>
      </c>
      <c r="V316" s="32">
        <f t="shared" si="83"/>
        <v>15</v>
      </c>
      <c r="X316" s="29">
        <f t="shared" si="84"/>
        <v>307</v>
      </c>
      <c r="Z316" s="30">
        <f t="shared" si="75"/>
        <v>8.4098068757704425</v>
      </c>
      <c r="AA316" s="28" t="e">
        <f t="shared" si="76"/>
        <v>#N/A</v>
      </c>
      <c r="AB316" s="28" t="e">
        <f t="shared" si="77"/>
        <v>#VALUE!</v>
      </c>
      <c r="AC316" s="29">
        <f t="shared" si="78"/>
        <v>291.27134724857689</v>
      </c>
      <c r="AD316" s="28" t="e">
        <f t="shared" si="79"/>
        <v>#VALUE!</v>
      </c>
      <c r="AE316" s="28" t="e">
        <f t="shared" si="80"/>
        <v>#N/A</v>
      </c>
      <c r="AF316" s="28" t="e">
        <f t="shared" si="81"/>
        <v>#VALUE!</v>
      </c>
      <c r="AH316" s="31" t="e">
        <f t="shared" si="82"/>
        <v>#N/A</v>
      </c>
      <c r="AI316" s="25"/>
      <c r="AJ316" s="31"/>
    </row>
    <row r="317" spans="2:36" x14ac:dyDescent="0.25">
      <c r="B317" s="33">
        <f>'Arbitrage Payback Engine'!E317</f>
        <v>8.4372003835091078</v>
      </c>
      <c r="C317" s="33">
        <f t="shared" si="68"/>
        <v>1000</v>
      </c>
      <c r="D317" s="33">
        <f>'Battery Pricing Model'!$C$17</f>
        <v>1000</v>
      </c>
      <c r="E317" s="33">
        <f t="shared" si="69"/>
        <v>999</v>
      </c>
      <c r="F317" s="33" t="str">
        <f>'Peak Models'!$B$4</f>
        <v>Default</v>
      </c>
      <c r="G317" s="33" t="e">
        <f>'Peak Models'!$Q$7</f>
        <v>#VALUE!</v>
      </c>
      <c r="H317" s="33">
        <f>'Peak Models'!$P$16</f>
        <v>1.5</v>
      </c>
      <c r="I317" s="33">
        <v>12</v>
      </c>
      <c r="J317" s="33" t="e">
        <f>'Peak Models'!$P$13</f>
        <v>#N/A</v>
      </c>
      <c r="K317" s="28" t="e">
        <f t="shared" si="70"/>
        <v>#VALUE!</v>
      </c>
      <c r="L317" s="28" t="e">
        <f>INDEX('Peak Models'!$P$34:$P$64, MATCH(TRUNC(B317, 0), 'Peak Models'!$O$34:$O$64, 0))</f>
        <v>#N/A</v>
      </c>
      <c r="M317" s="28">
        <f>'Peak Models'!$P$15*INDEX('Peak Models'!$Q$34:$Q$64, MATCH(TRUNC(B317, 0),'Peak Models'!$O$34:$O$64, 0))/'Profit per cycles Model'!$E$78</f>
        <v>5.7336606941643184</v>
      </c>
      <c r="N317" s="28" t="e">
        <f t="shared" si="71"/>
        <v>#N/A</v>
      </c>
      <c r="O317" s="71" t="e">
        <f>AVERAGE($N$10:N317)</f>
        <v>#N/A</v>
      </c>
      <c r="P317" s="28" t="e">
        <f t="shared" si="72"/>
        <v>#N/A</v>
      </c>
      <c r="R317" s="28" t="e">
        <f t="shared" si="73"/>
        <v>#VALUE!</v>
      </c>
      <c r="S317" s="25"/>
      <c r="T317" s="25">
        <f t="shared" si="74"/>
        <v>15</v>
      </c>
      <c r="U317" s="33">
        <f>IF(PaybackCustom&gt;0, IF(PaybackCustom&lt;&gt;"Default", PaybackCustom, IF(PaybackStatus&lt;&gt;"",INDEX('Arbitrage Payback Engine'!$Y$2:$Y$6,MATCH(PaybackStatus,'Arbitrage Payback Engine'!$X$2:$X$6,FALSE)),-1)))</f>
        <v>25</v>
      </c>
      <c r="V317" s="32">
        <f t="shared" si="83"/>
        <v>15</v>
      </c>
      <c r="X317" s="29">
        <f t="shared" si="84"/>
        <v>308</v>
      </c>
      <c r="Z317" s="30">
        <f t="shared" si="75"/>
        <v>8.4372003835091078</v>
      </c>
      <c r="AA317" s="28" t="e">
        <f t="shared" si="76"/>
        <v>#N/A</v>
      </c>
      <c r="AB317" s="28" t="e">
        <f t="shared" si="77"/>
        <v>#VALUE!</v>
      </c>
      <c r="AC317" s="29">
        <f t="shared" si="78"/>
        <v>292.22011385199238</v>
      </c>
      <c r="AD317" s="28" t="e">
        <f t="shared" si="79"/>
        <v>#VALUE!</v>
      </c>
      <c r="AE317" s="28" t="e">
        <f t="shared" si="80"/>
        <v>#N/A</v>
      </c>
      <c r="AF317" s="28" t="e">
        <f t="shared" si="81"/>
        <v>#VALUE!</v>
      </c>
      <c r="AH317" s="31" t="e">
        <f t="shared" si="82"/>
        <v>#N/A</v>
      </c>
      <c r="AI317" s="25"/>
      <c r="AJ317" s="31"/>
    </row>
    <row r="318" spans="2:36" x14ac:dyDescent="0.25">
      <c r="B318" s="33">
        <f>'Arbitrage Payback Engine'!E318</f>
        <v>8.4645938912477732</v>
      </c>
      <c r="C318" s="33">
        <f t="shared" si="68"/>
        <v>1000</v>
      </c>
      <c r="D318" s="33">
        <f>'Battery Pricing Model'!$C$17</f>
        <v>1000</v>
      </c>
      <c r="E318" s="33">
        <f t="shared" si="69"/>
        <v>999</v>
      </c>
      <c r="F318" s="33" t="str">
        <f>'Peak Models'!$B$4</f>
        <v>Default</v>
      </c>
      <c r="G318" s="33" t="e">
        <f>'Peak Models'!$Q$7</f>
        <v>#VALUE!</v>
      </c>
      <c r="H318" s="33">
        <f>'Peak Models'!$P$16</f>
        <v>1.5</v>
      </c>
      <c r="I318" s="33">
        <v>12</v>
      </c>
      <c r="J318" s="33" t="e">
        <f>'Peak Models'!$P$13</f>
        <v>#N/A</v>
      </c>
      <c r="K318" s="28" t="e">
        <f t="shared" si="70"/>
        <v>#VALUE!</v>
      </c>
      <c r="L318" s="28" t="e">
        <f>INDEX('Peak Models'!$P$34:$P$64, MATCH(TRUNC(B318, 0), 'Peak Models'!$O$34:$O$64, 0))</f>
        <v>#N/A</v>
      </c>
      <c r="M318" s="28">
        <f>'Peak Models'!$P$15*INDEX('Peak Models'!$Q$34:$Q$64, MATCH(TRUNC(B318, 0),'Peak Models'!$O$34:$O$64, 0))/'Profit per cycles Model'!$E$78</f>
        <v>5.7336606941643184</v>
      </c>
      <c r="N318" s="28" t="e">
        <f t="shared" si="71"/>
        <v>#N/A</v>
      </c>
      <c r="O318" s="71" t="e">
        <f>AVERAGE($N$10:N318)</f>
        <v>#N/A</v>
      </c>
      <c r="P318" s="28" t="e">
        <f t="shared" si="72"/>
        <v>#N/A</v>
      </c>
      <c r="R318" s="28" t="e">
        <f t="shared" si="73"/>
        <v>#VALUE!</v>
      </c>
      <c r="S318" s="25"/>
      <c r="T318" s="25">
        <f t="shared" si="74"/>
        <v>15</v>
      </c>
      <c r="U318" s="33">
        <f>IF(PaybackCustom&gt;0, IF(PaybackCustom&lt;&gt;"Default", PaybackCustom, IF(PaybackStatus&lt;&gt;"",INDEX('Arbitrage Payback Engine'!$Y$2:$Y$6,MATCH(PaybackStatus,'Arbitrage Payback Engine'!$X$2:$X$6,FALSE)),-1)))</f>
        <v>25</v>
      </c>
      <c r="V318" s="32">
        <f t="shared" si="83"/>
        <v>15</v>
      </c>
      <c r="X318" s="29">
        <f t="shared" si="84"/>
        <v>309</v>
      </c>
      <c r="Z318" s="30">
        <f t="shared" si="75"/>
        <v>8.4645938912477732</v>
      </c>
      <c r="AA318" s="28" t="e">
        <f t="shared" si="76"/>
        <v>#N/A</v>
      </c>
      <c r="AB318" s="28" t="e">
        <f t="shared" si="77"/>
        <v>#VALUE!</v>
      </c>
      <c r="AC318" s="29">
        <f t="shared" si="78"/>
        <v>293.16888045540793</v>
      </c>
      <c r="AD318" s="28" t="e">
        <f t="shared" si="79"/>
        <v>#VALUE!</v>
      </c>
      <c r="AE318" s="28" t="e">
        <f t="shared" si="80"/>
        <v>#N/A</v>
      </c>
      <c r="AF318" s="28" t="e">
        <f t="shared" si="81"/>
        <v>#VALUE!</v>
      </c>
      <c r="AH318" s="31" t="e">
        <f t="shared" si="82"/>
        <v>#N/A</v>
      </c>
      <c r="AI318" s="25"/>
      <c r="AJ318" s="31"/>
    </row>
    <row r="319" spans="2:36" x14ac:dyDescent="0.25">
      <c r="B319" s="33">
        <f>'Arbitrage Payback Engine'!E319</f>
        <v>8.4919873989864403</v>
      </c>
      <c r="C319" s="33">
        <f t="shared" si="68"/>
        <v>1000</v>
      </c>
      <c r="D319" s="33">
        <f>'Battery Pricing Model'!$C$17</f>
        <v>1000</v>
      </c>
      <c r="E319" s="33">
        <f t="shared" si="69"/>
        <v>999</v>
      </c>
      <c r="F319" s="33" t="str">
        <f>'Peak Models'!$B$4</f>
        <v>Default</v>
      </c>
      <c r="G319" s="33" t="e">
        <f>'Peak Models'!$Q$7</f>
        <v>#VALUE!</v>
      </c>
      <c r="H319" s="33">
        <f>'Peak Models'!$P$16</f>
        <v>1.5</v>
      </c>
      <c r="I319" s="33">
        <v>12</v>
      </c>
      <c r="J319" s="33" t="e">
        <f>'Peak Models'!$P$13</f>
        <v>#N/A</v>
      </c>
      <c r="K319" s="28" t="e">
        <f t="shared" si="70"/>
        <v>#VALUE!</v>
      </c>
      <c r="L319" s="28" t="e">
        <f>INDEX('Peak Models'!$P$34:$P$64, MATCH(TRUNC(B319, 0), 'Peak Models'!$O$34:$O$64, 0))</f>
        <v>#N/A</v>
      </c>
      <c r="M319" s="28">
        <f>'Peak Models'!$P$15*INDEX('Peak Models'!$Q$34:$Q$64, MATCH(TRUNC(B319, 0),'Peak Models'!$O$34:$O$64, 0))/'Profit per cycles Model'!$E$78</f>
        <v>5.7336606941643184</v>
      </c>
      <c r="N319" s="28" t="e">
        <f t="shared" si="71"/>
        <v>#N/A</v>
      </c>
      <c r="O319" s="71" t="e">
        <f>AVERAGE($N$10:N319)</f>
        <v>#N/A</v>
      </c>
      <c r="P319" s="28" t="e">
        <f t="shared" si="72"/>
        <v>#N/A</v>
      </c>
      <c r="R319" s="28" t="e">
        <f t="shared" si="73"/>
        <v>#VALUE!</v>
      </c>
      <c r="S319" s="25"/>
      <c r="T319" s="25">
        <f t="shared" si="74"/>
        <v>15</v>
      </c>
      <c r="U319" s="33">
        <f>IF(PaybackCustom&gt;0, IF(PaybackCustom&lt;&gt;"Default", PaybackCustom, IF(PaybackStatus&lt;&gt;"",INDEX('Arbitrage Payback Engine'!$Y$2:$Y$6,MATCH(PaybackStatus,'Arbitrage Payback Engine'!$X$2:$X$6,FALSE)),-1)))</f>
        <v>25</v>
      </c>
      <c r="V319" s="32">
        <f t="shared" si="83"/>
        <v>15</v>
      </c>
      <c r="X319" s="29">
        <f t="shared" si="84"/>
        <v>310</v>
      </c>
      <c r="Z319" s="30">
        <f t="shared" si="75"/>
        <v>8.4919873989864403</v>
      </c>
      <c r="AA319" s="28" t="e">
        <f t="shared" si="76"/>
        <v>#N/A</v>
      </c>
      <c r="AB319" s="28" t="e">
        <f t="shared" si="77"/>
        <v>#VALUE!</v>
      </c>
      <c r="AC319" s="29">
        <f t="shared" si="78"/>
        <v>294.11764705882359</v>
      </c>
      <c r="AD319" s="28" t="e">
        <f t="shared" si="79"/>
        <v>#VALUE!</v>
      </c>
      <c r="AE319" s="28" t="e">
        <f t="shared" si="80"/>
        <v>#N/A</v>
      </c>
      <c r="AF319" s="28" t="e">
        <f t="shared" si="81"/>
        <v>#VALUE!</v>
      </c>
      <c r="AH319" s="31" t="e">
        <f t="shared" si="82"/>
        <v>#N/A</v>
      </c>
      <c r="AI319" s="25"/>
      <c r="AJ319" s="31"/>
    </row>
    <row r="320" spans="2:36" x14ac:dyDescent="0.25">
      <c r="B320" s="33">
        <f>'Arbitrage Payback Engine'!E320</f>
        <v>8.5193809067251056</v>
      </c>
      <c r="C320" s="33">
        <f t="shared" si="68"/>
        <v>1000</v>
      </c>
      <c r="D320" s="33">
        <f>'Battery Pricing Model'!$C$17</f>
        <v>1000</v>
      </c>
      <c r="E320" s="33">
        <f t="shared" si="69"/>
        <v>999</v>
      </c>
      <c r="F320" s="33" t="str">
        <f>'Peak Models'!$B$4</f>
        <v>Default</v>
      </c>
      <c r="G320" s="33" t="e">
        <f>'Peak Models'!$Q$7</f>
        <v>#VALUE!</v>
      </c>
      <c r="H320" s="33">
        <f>'Peak Models'!$P$16</f>
        <v>1.5</v>
      </c>
      <c r="I320" s="33">
        <v>12</v>
      </c>
      <c r="J320" s="33" t="e">
        <f>'Peak Models'!$P$13</f>
        <v>#N/A</v>
      </c>
      <c r="K320" s="28" t="e">
        <f t="shared" si="70"/>
        <v>#VALUE!</v>
      </c>
      <c r="L320" s="28" t="e">
        <f>INDEX('Peak Models'!$P$34:$P$64, MATCH(TRUNC(B320, 0), 'Peak Models'!$O$34:$O$64, 0))</f>
        <v>#N/A</v>
      </c>
      <c r="M320" s="28">
        <f>'Peak Models'!$P$15*INDEX('Peak Models'!$Q$34:$Q$64, MATCH(TRUNC(B320, 0),'Peak Models'!$O$34:$O$64, 0))/'Profit per cycles Model'!$E$78</f>
        <v>5.7336606941643184</v>
      </c>
      <c r="N320" s="28" t="e">
        <f t="shared" si="71"/>
        <v>#N/A</v>
      </c>
      <c r="O320" s="71" t="e">
        <f>AVERAGE($N$10:N320)</f>
        <v>#N/A</v>
      </c>
      <c r="P320" s="28" t="e">
        <f t="shared" si="72"/>
        <v>#N/A</v>
      </c>
      <c r="R320" s="28" t="e">
        <f t="shared" si="73"/>
        <v>#VALUE!</v>
      </c>
      <c r="S320" s="25"/>
      <c r="T320" s="25">
        <f t="shared" si="74"/>
        <v>15</v>
      </c>
      <c r="U320" s="33">
        <f>IF(PaybackCustom&gt;0, IF(PaybackCustom&lt;&gt;"Default", PaybackCustom, IF(PaybackStatus&lt;&gt;"",INDEX('Arbitrage Payback Engine'!$Y$2:$Y$6,MATCH(PaybackStatus,'Arbitrage Payback Engine'!$X$2:$X$6,FALSE)),-1)))</f>
        <v>25</v>
      </c>
      <c r="V320" s="32">
        <f t="shared" si="83"/>
        <v>15</v>
      </c>
      <c r="X320" s="29">
        <f t="shared" si="84"/>
        <v>311</v>
      </c>
      <c r="Z320" s="30">
        <f t="shared" si="75"/>
        <v>8.5193809067251056</v>
      </c>
      <c r="AA320" s="28" t="e">
        <f t="shared" si="76"/>
        <v>#N/A</v>
      </c>
      <c r="AB320" s="28" t="e">
        <f t="shared" si="77"/>
        <v>#VALUE!</v>
      </c>
      <c r="AC320" s="29">
        <f t="shared" si="78"/>
        <v>295.06641366223909</v>
      </c>
      <c r="AD320" s="28" t="e">
        <f t="shared" si="79"/>
        <v>#VALUE!</v>
      </c>
      <c r="AE320" s="28" t="e">
        <f t="shared" si="80"/>
        <v>#N/A</v>
      </c>
      <c r="AF320" s="28" t="e">
        <f t="shared" si="81"/>
        <v>#VALUE!</v>
      </c>
      <c r="AH320" s="31" t="e">
        <f t="shared" si="82"/>
        <v>#N/A</v>
      </c>
      <c r="AI320" s="25"/>
      <c r="AJ320" s="31"/>
    </row>
    <row r="321" spans="2:36" x14ac:dyDescent="0.25">
      <c r="B321" s="33">
        <f>'Arbitrage Payback Engine'!E321</f>
        <v>8.546774414463771</v>
      </c>
      <c r="C321" s="33">
        <f t="shared" si="68"/>
        <v>1000</v>
      </c>
      <c r="D321" s="33">
        <f>'Battery Pricing Model'!$C$17</f>
        <v>1000</v>
      </c>
      <c r="E321" s="33">
        <f t="shared" si="69"/>
        <v>999</v>
      </c>
      <c r="F321" s="33" t="str">
        <f>'Peak Models'!$B$4</f>
        <v>Default</v>
      </c>
      <c r="G321" s="33" t="e">
        <f>'Peak Models'!$Q$7</f>
        <v>#VALUE!</v>
      </c>
      <c r="H321" s="33">
        <f>'Peak Models'!$P$16</f>
        <v>1.5</v>
      </c>
      <c r="I321" s="33">
        <v>12</v>
      </c>
      <c r="J321" s="33" t="e">
        <f>'Peak Models'!$P$13</f>
        <v>#N/A</v>
      </c>
      <c r="K321" s="28" t="e">
        <f t="shared" si="70"/>
        <v>#VALUE!</v>
      </c>
      <c r="L321" s="28" t="e">
        <f>INDEX('Peak Models'!$P$34:$P$64, MATCH(TRUNC(B321, 0), 'Peak Models'!$O$34:$O$64, 0))</f>
        <v>#N/A</v>
      </c>
      <c r="M321" s="28">
        <f>'Peak Models'!$P$15*INDEX('Peak Models'!$Q$34:$Q$64, MATCH(TRUNC(B321, 0),'Peak Models'!$O$34:$O$64, 0))/'Profit per cycles Model'!$E$78</f>
        <v>5.7336606941643184</v>
      </c>
      <c r="N321" s="28" t="e">
        <f t="shared" si="71"/>
        <v>#N/A</v>
      </c>
      <c r="O321" s="71" t="e">
        <f>AVERAGE($N$10:N321)</f>
        <v>#N/A</v>
      </c>
      <c r="P321" s="28" t="e">
        <f t="shared" si="72"/>
        <v>#N/A</v>
      </c>
      <c r="R321" s="28" t="e">
        <f t="shared" si="73"/>
        <v>#VALUE!</v>
      </c>
      <c r="S321" s="25"/>
      <c r="T321" s="25">
        <f t="shared" si="74"/>
        <v>15</v>
      </c>
      <c r="U321" s="33">
        <f>IF(PaybackCustom&gt;0, IF(PaybackCustom&lt;&gt;"Default", PaybackCustom, IF(PaybackStatus&lt;&gt;"",INDEX('Arbitrage Payback Engine'!$Y$2:$Y$6,MATCH(PaybackStatus,'Arbitrage Payback Engine'!$X$2:$X$6,FALSE)),-1)))</f>
        <v>25</v>
      </c>
      <c r="V321" s="32">
        <f t="shared" si="83"/>
        <v>15</v>
      </c>
      <c r="X321" s="29">
        <f t="shared" si="84"/>
        <v>312</v>
      </c>
      <c r="Z321" s="30">
        <f t="shared" si="75"/>
        <v>8.546774414463771</v>
      </c>
      <c r="AA321" s="28" t="e">
        <f t="shared" si="76"/>
        <v>#N/A</v>
      </c>
      <c r="AB321" s="28" t="e">
        <f t="shared" si="77"/>
        <v>#VALUE!</v>
      </c>
      <c r="AC321" s="29">
        <f t="shared" si="78"/>
        <v>296.01518026565464</v>
      </c>
      <c r="AD321" s="28" t="e">
        <f t="shared" si="79"/>
        <v>#VALUE!</v>
      </c>
      <c r="AE321" s="28" t="e">
        <f t="shared" si="80"/>
        <v>#N/A</v>
      </c>
      <c r="AF321" s="28" t="e">
        <f t="shared" si="81"/>
        <v>#VALUE!</v>
      </c>
      <c r="AH321" s="31" t="e">
        <f t="shared" si="82"/>
        <v>#N/A</v>
      </c>
      <c r="AI321" s="25"/>
      <c r="AJ321" s="31"/>
    </row>
    <row r="322" spans="2:36" x14ac:dyDescent="0.25">
      <c r="B322" s="33">
        <f>'Arbitrage Payback Engine'!E322</f>
        <v>8.5741679222024381</v>
      </c>
      <c r="C322" s="33">
        <f t="shared" si="68"/>
        <v>1000</v>
      </c>
      <c r="D322" s="33">
        <f>'Battery Pricing Model'!$C$17</f>
        <v>1000</v>
      </c>
      <c r="E322" s="33">
        <f t="shared" si="69"/>
        <v>999</v>
      </c>
      <c r="F322" s="33" t="str">
        <f>'Peak Models'!$B$4</f>
        <v>Default</v>
      </c>
      <c r="G322" s="33" t="e">
        <f>'Peak Models'!$Q$7</f>
        <v>#VALUE!</v>
      </c>
      <c r="H322" s="33">
        <f>'Peak Models'!$P$16</f>
        <v>1.5</v>
      </c>
      <c r="I322" s="33">
        <v>12</v>
      </c>
      <c r="J322" s="33" t="e">
        <f>'Peak Models'!$P$13</f>
        <v>#N/A</v>
      </c>
      <c r="K322" s="28" t="e">
        <f t="shared" si="70"/>
        <v>#VALUE!</v>
      </c>
      <c r="L322" s="28" t="e">
        <f>INDEX('Peak Models'!$P$34:$P$64, MATCH(TRUNC(B322, 0), 'Peak Models'!$O$34:$O$64, 0))</f>
        <v>#N/A</v>
      </c>
      <c r="M322" s="28">
        <f>'Peak Models'!$P$15*INDEX('Peak Models'!$Q$34:$Q$64, MATCH(TRUNC(B322, 0),'Peak Models'!$O$34:$O$64, 0))/'Profit per cycles Model'!$E$78</f>
        <v>5.7336606941643184</v>
      </c>
      <c r="N322" s="28" t="e">
        <f t="shared" si="71"/>
        <v>#N/A</v>
      </c>
      <c r="O322" s="71" t="e">
        <f>AVERAGE($N$10:N322)</f>
        <v>#N/A</v>
      </c>
      <c r="P322" s="28" t="e">
        <f t="shared" si="72"/>
        <v>#N/A</v>
      </c>
      <c r="R322" s="28" t="e">
        <f t="shared" si="73"/>
        <v>#VALUE!</v>
      </c>
      <c r="S322" s="25"/>
      <c r="T322" s="25">
        <f t="shared" si="74"/>
        <v>15</v>
      </c>
      <c r="U322" s="33">
        <f>IF(PaybackCustom&gt;0, IF(PaybackCustom&lt;&gt;"Default", PaybackCustom, IF(PaybackStatus&lt;&gt;"",INDEX('Arbitrage Payback Engine'!$Y$2:$Y$6,MATCH(PaybackStatus,'Arbitrage Payback Engine'!$X$2:$X$6,FALSE)),-1)))</f>
        <v>25</v>
      </c>
      <c r="V322" s="32">
        <f t="shared" si="83"/>
        <v>15</v>
      </c>
      <c r="X322" s="29">
        <f t="shared" si="84"/>
        <v>313</v>
      </c>
      <c r="Z322" s="30">
        <f t="shared" si="75"/>
        <v>8.5741679222024381</v>
      </c>
      <c r="AA322" s="28" t="e">
        <f t="shared" si="76"/>
        <v>#N/A</v>
      </c>
      <c r="AB322" s="28" t="e">
        <f t="shared" si="77"/>
        <v>#VALUE!</v>
      </c>
      <c r="AC322" s="29">
        <f t="shared" si="78"/>
        <v>296.96394686907024</v>
      </c>
      <c r="AD322" s="28" t="e">
        <f t="shared" si="79"/>
        <v>#VALUE!</v>
      </c>
      <c r="AE322" s="28" t="e">
        <f t="shared" si="80"/>
        <v>#N/A</v>
      </c>
      <c r="AF322" s="28" t="e">
        <f t="shared" si="81"/>
        <v>#VALUE!</v>
      </c>
      <c r="AH322" s="31" t="e">
        <f t="shared" si="82"/>
        <v>#N/A</v>
      </c>
      <c r="AI322" s="25"/>
      <c r="AJ322" s="31"/>
    </row>
    <row r="323" spans="2:36" x14ac:dyDescent="0.25">
      <c r="B323" s="33">
        <f>'Arbitrage Payback Engine'!E323</f>
        <v>8.6015614299411034</v>
      </c>
      <c r="C323" s="33">
        <f t="shared" si="68"/>
        <v>1000</v>
      </c>
      <c r="D323" s="33">
        <f>'Battery Pricing Model'!$C$17</f>
        <v>1000</v>
      </c>
      <c r="E323" s="33">
        <f t="shared" si="69"/>
        <v>999</v>
      </c>
      <c r="F323" s="33" t="str">
        <f>'Peak Models'!$B$4</f>
        <v>Default</v>
      </c>
      <c r="G323" s="33" t="e">
        <f>'Peak Models'!$Q$7</f>
        <v>#VALUE!</v>
      </c>
      <c r="H323" s="33">
        <f>'Peak Models'!$P$16</f>
        <v>1.5</v>
      </c>
      <c r="I323" s="33">
        <v>12</v>
      </c>
      <c r="J323" s="33" t="e">
        <f>'Peak Models'!$P$13</f>
        <v>#N/A</v>
      </c>
      <c r="K323" s="28" t="e">
        <f t="shared" si="70"/>
        <v>#VALUE!</v>
      </c>
      <c r="L323" s="28" t="e">
        <f>INDEX('Peak Models'!$P$34:$P$64, MATCH(TRUNC(B323, 0), 'Peak Models'!$O$34:$O$64, 0))</f>
        <v>#N/A</v>
      </c>
      <c r="M323" s="28">
        <f>'Peak Models'!$P$15*INDEX('Peak Models'!$Q$34:$Q$64, MATCH(TRUNC(B323, 0),'Peak Models'!$O$34:$O$64, 0))/'Profit per cycles Model'!$E$78</f>
        <v>5.7336606941643184</v>
      </c>
      <c r="N323" s="28" t="e">
        <f t="shared" si="71"/>
        <v>#N/A</v>
      </c>
      <c r="O323" s="71" t="e">
        <f>AVERAGE($N$10:N323)</f>
        <v>#N/A</v>
      </c>
      <c r="P323" s="28" t="e">
        <f t="shared" si="72"/>
        <v>#N/A</v>
      </c>
      <c r="R323" s="28" t="e">
        <f t="shared" si="73"/>
        <v>#VALUE!</v>
      </c>
      <c r="S323" s="25"/>
      <c r="T323" s="25">
        <f t="shared" si="74"/>
        <v>15</v>
      </c>
      <c r="U323" s="33">
        <f>IF(PaybackCustom&gt;0, IF(PaybackCustom&lt;&gt;"Default", PaybackCustom, IF(PaybackStatus&lt;&gt;"",INDEX('Arbitrage Payback Engine'!$Y$2:$Y$6,MATCH(PaybackStatus,'Arbitrage Payback Engine'!$X$2:$X$6,FALSE)),-1)))</f>
        <v>25</v>
      </c>
      <c r="V323" s="32">
        <f t="shared" si="83"/>
        <v>15</v>
      </c>
      <c r="X323" s="29">
        <f t="shared" si="84"/>
        <v>314</v>
      </c>
      <c r="Z323" s="30">
        <f t="shared" si="75"/>
        <v>8.6015614299411034</v>
      </c>
      <c r="AA323" s="28" t="e">
        <f t="shared" si="76"/>
        <v>#N/A</v>
      </c>
      <c r="AB323" s="28" t="e">
        <f t="shared" si="77"/>
        <v>#VALUE!</v>
      </c>
      <c r="AC323" s="29">
        <f t="shared" si="78"/>
        <v>297.91271347248573</v>
      </c>
      <c r="AD323" s="28" t="e">
        <f t="shared" si="79"/>
        <v>#VALUE!</v>
      </c>
      <c r="AE323" s="28" t="e">
        <f t="shared" si="80"/>
        <v>#N/A</v>
      </c>
      <c r="AF323" s="28" t="e">
        <f t="shared" si="81"/>
        <v>#VALUE!</v>
      </c>
      <c r="AH323" s="31" t="e">
        <f t="shared" si="82"/>
        <v>#N/A</v>
      </c>
      <c r="AI323" s="25"/>
      <c r="AJ323" s="31"/>
    </row>
    <row r="324" spans="2:36" x14ac:dyDescent="0.25">
      <c r="B324" s="33">
        <f>'Arbitrage Payback Engine'!E324</f>
        <v>8.6289549376797705</v>
      </c>
      <c r="C324" s="33">
        <f t="shared" si="68"/>
        <v>1000</v>
      </c>
      <c r="D324" s="33">
        <f>'Battery Pricing Model'!$C$17</f>
        <v>1000</v>
      </c>
      <c r="E324" s="33">
        <f t="shared" si="69"/>
        <v>999</v>
      </c>
      <c r="F324" s="33" t="str">
        <f>'Peak Models'!$B$4</f>
        <v>Default</v>
      </c>
      <c r="G324" s="33" t="e">
        <f>'Peak Models'!$Q$7</f>
        <v>#VALUE!</v>
      </c>
      <c r="H324" s="33">
        <f>'Peak Models'!$P$16</f>
        <v>1.5</v>
      </c>
      <c r="I324" s="33">
        <v>12</v>
      </c>
      <c r="J324" s="33" t="e">
        <f>'Peak Models'!$P$13</f>
        <v>#N/A</v>
      </c>
      <c r="K324" s="28" t="e">
        <f t="shared" si="70"/>
        <v>#VALUE!</v>
      </c>
      <c r="L324" s="28" t="e">
        <f>INDEX('Peak Models'!$P$34:$P$64, MATCH(TRUNC(B324, 0), 'Peak Models'!$O$34:$O$64, 0))</f>
        <v>#N/A</v>
      </c>
      <c r="M324" s="28">
        <f>'Peak Models'!$P$15*INDEX('Peak Models'!$Q$34:$Q$64, MATCH(TRUNC(B324, 0),'Peak Models'!$O$34:$O$64, 0))/'Profit per cycles Model'!$E$78</f>
        <v>5.7336606941643184</v>
      </c>
      <c r="N324" s="28" t="e">
        <f t="shared" si="71"/>
        <v>#N/A</v>
      </c>
      <c r="O324" s="71" t="e">
        <f>AVERAGE($N$10:N324)</f>
        <v>#N/A</v>
      </c>
      <c r="P324" s="28" t="e">
        <f t="shared" si="72"/>
        <v>#N/A</v>
      </c>
      <c r="R324" s="28" t="e">
        <f t="shared" si="73"/>
        <v>#VALUE!</v>
      </c>
      <c r="S324" s="25"/>
      <c r="T324" s="25">
        <f t="shared" si="74"/>
        <v>15</v>
      </c>
      <c r="U324" s="33">
        <f>IF(PaybackCustom&gt;0, IF(PaybackCustom&lt;&gt;"Default", PaybackCustom, IF(PaybackStatus&lt;&gt;"",INDEX('Arbitrage Payback Engine'!$Y$2:$Y$6,MATCH(PaybackStatus,'Arbitrage Payback Engine'!$X$2:$X$6,FALSE)),-1)))</f>
        <v>25</v>
      </c>
      <c r="V324" s="32">
        <f t="shared" si="83"/>
        <v>15</v>
      </c>
      <c r="X324" s="29">
        <f t="shared" si="84"/>
        <v>315</v>
      </c>
      <c r="Z324" s="30">
        <f t="shared" si="75"/>
        <v>8.6289549376797705</v>
      </c>
      <c r="AA324" s="28" t="e">
        <f t="shared" si="76"/>
        <v>#N/A</v>
      </c>
      <c r="AB324" s="28" t="e">
        <f t="shared" si="77"/>
        <v>#VALUE!</v>
      </c>
      <c r="AC324" s="29">
        <f t="shared" si="78"/>
        <v>298.8614800759014</v>
      </c>
      <c r="AD324" s="28" t="e">
        <f t="shared" si="79"/>
        <v>#VALUE!</v>
      </c>
      <c r="AE324" s="28" t="e">
        <f t="shared" si="80"/>
        <v>#N/A</v>
      </c>
      <c r="AF324" s="28" t="e">
        <f t="shared" si="81"/>
        <v>#VALUE!</v>
      </c>
      <c r="AH324" s="31" t="e">
        <f t="shared" si="82"/>
        <v>#N/A</v>
      </c>
      <c r="AI324" s="25"/>
      <c r="AJ324" s="31"/>
    </row>
    <row r="325" spans="2:36" x14ac:dyDescent="0.25">
      <c r="B325" s="33">
        <f>'Arbitrage Payback Engine'!E325</f>
        <v>8.6563484454184358</v>
      </c>
      <c r="C325" s="33">
        <f t="shared" si="68"/>
        <v>1000</v>
      </c>
      <c r="D325" s="33">
        <f>'Battery Pricing Model'!$C$17</f>
        <v>1000</v>
      </c>
      <c r="E325" s="33">
        <f t="shared" si="69"/>
        <v>999</v>
      </c>
      <c r="F325" s="33" t="str">
        <f>'Peak Models'!$B$4</f>
        <v>Default</v>
      </c>
      <c r="G325" s="33" t="e">
        <f>'Peak Models'!$Q$7</f>
        <v>#VALUE!</v>
      </c>
      <c r="H325" s="33">
        <f>'Peak Models'!$P$16</f>
        <v>1.5</v>
      </c>
      <c r="I325" s="33">
        <v>12</v>
      </c>
      <c r="J325" s="33" t="e">
        <f>'Peak Models'!$P$13</f>
        <v>#N/A</v>
      </c>
      <c r="K325" s="28" t="e">
        <f t="shared" si="70"/>
        <v>#VALUE!</v>
      </c>
      <c r="L325" s="28" t="e">
        <f>INDEX('Peak Models'!$P$34:$P$64, MATCH(TRUNC(B325, 0), 'Peak Models'!$O$34:$O$64, 0))</f>
        <v>#N/A</v>
      </c>
      <c r="M325" s="28">
        <f>'Peak Models'!$P$15*INDEX('Peak Models'!$Q$34:$Q$64, MATCH(TRUNC(B325, 0),'Peak Models'!$O$34:$O$64, 0))/'Profit per cycles Model'!$E$78</f>
        <v>5.7336606941643184</v>
      </c>
      <c r="N325" s="28" t="e">
        <f t="shared" si="71"/>
        <v>#N/A</v>
      </c>
      <c r="O325" s="71" t="e">
        <f>AVERAGE($N$10:N325)</f>
        <v>#N/A</v>
      </c>
      <c r="P325" s="28" t="e">
        <f t="shared" si="72"/>
        <v>#N/A</v>
      </c>
      <c r="R325" s="28" t="e">
        <f t="shared" si="73"/>
        <v>#VALUE!</v>
      </c>
      <c r="S325" s="25"/>
      <c r="T325" s="25">
        <f t="shared" si="74"/>
        <v>15</v>
      </c>
      <c r="U325" s="33">
        <f>IF(PaybackCustom&gt;0, IF(PaybackCustom&lt;&gt;"Default", PaybackCustom, IF(PaybackStatus&lt;&gt;"",INDEX('Arbitrage Payback Engine'!$Y$2:$Y$6,MATCH(PaybackStatus,'Arbitrage Payback Engine'!$X$2:$X$6,FALSE)),-1)))</f>
        <v>25</v>
      </c>
      <c r="V325" s="32">
        <f t="shared" si="83"/>
        <v>15</v>
      </c>
      <c r="X325" s="29">
        <f t="shared" si="84"/>
        <v>316</v>
      </c>
      <c r="Z325" s="30">
        <f t="shared" si="75"/>
        <v>8.6563484454184358</v>
      </c>
      <c r="AA325" s="28" t="e">
        <f t="shared" si="76"/>
        <v>#N/A</v>
      </c>
      <c r="AB325" s="28" t="e">
        <f t="shared" si="77"/>
        <v>#VALUE!</v>
      </c>
      <c r="AC325" s="29">
        <f t="shared" si="78"/>
        <v>299.81024667931695</v>
      </c>
      <c r="AD325" s="28" t="e">
        <f t="shared" si="79"/>
        <v>#VALUE!</v>
      </c>
      <c r="AE325" s="28" t="e">
        <f t="shared" si="80"/>
        <v>#N/A</v>
      </c>
      <c r="AF325" s="28" t="e">
        <f t="shared" si="81"/>
        <v>#VALUE!</v>
      </c>
      <c r="AH325" s="31" t="e">
        <f t="shared" si="82"/>
        <v>#N/A</v>
      </c>
      <c r="AI325" s="25"/>
      <c r="AJ325" s="31"/>
    </row>
    <row r="326" spans="2:36" x14ac:dyDescent="0.25">
      <c r="B326" s="33">
        <f>'Arbitrage Payback Engine'!E326</f>
        <v>8.6837419531571012</v>
      </c>
      <c r="C326" s="33">
        <f t="shared" si="68"/>
        <v>1000</v>
      </c>
      <c r="D326" s="33">
        <f>'Battery Pricing Model'!$C$17</f>
        <v>1000</v>
      </c>
      <c r="E326" s="33">
        <f t="shared" si="69"/>
        <v>999</v>
      </c>
      <c r="F326" s="33" t="str">
        <f>'Peak Models'!$B$4</f>
        <v>Default</v>
      </c>
      <c r="G326" s="33" t="e">
        <f>'Peak Models'!$Q$7</f>
        <v>#VALUE!</v>
      </c>
      <c r="H326" s="33">
        <f>'Peak Models'!$P$16</f>
        <v>1.5</v>
      </c>
      <c r="I326" s="33">
        <v>12</v>
      </c>
      <c r="J326" s="33" t="e">
        <f>'Peak Models'!$P$13</f>
        <v>#N/A</v>
      </c>
      <c r="K326" s="28" t="e">
        <f t="shared" si="70"/>
        <v>#VALUE!</v>
      </c>
      <c r="L326" s="28" t="e">
        <f>INDEX('Peak Models'!$P$34:$P$64, MATCH(TRUNC(B326, 0), 'Peak Models'!$O$34:$O$64, 0))</f>
        <v>#N/A</v>
      </c>
      <c r="M326" s="28">
        <f>'Peak Models'!$P$15*INDEX('Peak Models'!$Q$34:$Q$64, MATCH(TRUNC(B326, 0),'Peak Models'!$O$34:$O$64, 0))/'Profit per cycles Model'!$E$78</f>
        <v>5.7336606941643184</v>
      </c>
      <c r="N326" s="28" t="e">
        <f t="shared" si="71"/>
        <v>#N/A</v>
      </c>
      <c r="O326" s="71" t="e">
        <f>AVERAGE($N$10:N326)</f>
        <v>#N/A</v>
      </c>
      <c r="P326" s="28" t="e">
        <f t="shared" si="72"/>
        <v>#N/A</v>
      </c>
      <c r="R326" s="28" t="e">
        <f t="shared" si="73"/>
        <v>#VALUE!</v>
      </c>
      <c r="S326" s="25"/>
      <c r="T326" s="25">
        <f t="shared" si="74"/>
        <v>15</v>
      </c>
      <c r="U326" s="33">
        <f>IF(PaybackCustom&gt;0, IF(PaybackCustom&lt;&gt;"Default", PaybackCustom, IF(PaybackStatus&lt;&gt;"",INDEX('Arbitrage Payback Engine'!$Y$2:$Y$6,MATCH(PaybackStatus,'Arbitrage Payback Engine'!$X$2:$X$6,FALSE)),-1)))</f>
        <v>25</v>
      </c>
      <c r="V326" s="32">
        <f t="shared" si="83"/>
        <v>15</v>
      </c>
      <c r="X326" s="29">
        <f t="shared" si="84"/>
        <v>317</v>
      </c>
      <c r="Z326" s="30">
        <f t="shared" si="75"/>
        <v>8.6837419531571012</v>
      </c>
      <c r="AA326" s="28" t="e">
        <f t="shared" si="76"/>
        <v>#N/A</v>
      </c>
      <c r="AB326" s="28" t="e">
        <f t="shared" si="77"/>
        <v>#VALUE!</v>
      </c>
      <c r="AC326" s="29">
        <f t="shared" si="78"/>
        <v>300.75901328273244</v>
      </c>
      <c r="AD326" s="28" t="e">
        <f t="shared" si="79"/>
        <v>#VALUE!</v>
      </c>
      <c r="AE326" s="28" t="e">
        <f t="shared" si="80"/>
        <v>#N/A</v>
      </c>
      <c r="AF326" s="28" t="e">
        <f t="shared" si="81"/>
        <v>#VALUE!</v>
      </c>
      <c r="AH326" s="31" t="e">
        <f t="shared" si="82"/>
        <v>#N/A</v>
      </c>
      <c r="AI326" s="25"/>
      <c r="AJ326" s="31"/>
    </row>
    <row r="327" spans="2:36" x14ac:dyDescent="0.25">
      <c r="B327" s="33">
        <f>'Arbitrage Payback Engine'!E327</f>
        <v>8.7111354608957683</v>
      </c>
      <c r="C327" s="33">
        <f t="shared" si="68"/>
        <v>1000</v>
      </c>
      <c r="D327" s="33">
        <f>'Battery Pricing Model'!$C$17</f>
        <v>1000</v>
      </c>
      <c r="E327" s="33">
        <f t="shared" si="69"/>
        <v>999</v>
      </c>
      <c r="F327" s="33" t="str">
        <f>'Peak Models'!$B$4</f>
        <v>Default</v>
      </c>
      <c r="G327" s="33" t="e">
        <f>'Peak Models'!$Q$7</f>
        <v>#VALUE!</v>
      </c>
      <c r="H327" s="33">
        <f>'Peak Models'!$P$16</f>
        <v>1.5</v>
      </c>
      <c r="I327" s="33">
        <v>12</v>
      </c>
      <c r="J327" s="33" t="e">
        <f>'Peak Models'!$P$13</f>
        <v>#N/A</v>
      </c>
      <c r="K327" s="28" t="e">
        <f t="shared" si="70"/>
        <v>#VALUE!</v>
      </c>
      <c r="L327" s="28" t="e">
        <f>INDEX('Peak Models'!$P$34:$P$64, MATCH(TRUNC(B327, 0), 'Peak Models'!$O$34:$O$64, 0))</f>
        <v>#N/A</v>
      </c>
      <c r="M327" s="28">
        <f>'Peak Models'!$P$15*INDEX('Peak Models'!$Q$34:$Q$64, MATCH(TRUNC(B327, 0),'Peak Models'!$O$34:$O$64, 0))/'Profit per cycles Model'!$E$78</f>
        <v>5.7336606941643184</v>
      </c>
      <c r="N327" s="28" t="e">
        <f t="shared" si="71"/>
        <v>#N/A</v>
      </c>
      <c r="O327" s="71" t="e">
        <f>AVERAGE($N$10:N327)</f>
        <v>#N/A</v>
      </c>
      <c r="P327" s="28" t="e">
        <f t="shared" si="72"/>
        <v>#N/A</v>
      </c>
      <c r="R327" s="28" t="e">
        <f t="shared" si="73"/>
        <v>#VALUE!</v>
      </c>
      <c r="S327" s="25"/>
      <c r="T327" s="25">
        <f t="shared" si="74"/>
        <v>15</v>
      </c>
      <c r="U327" s="33">
        <f>IF(PaybackCustom&gt;0, IF(PaybackCustom&lt;&gt;"Default", PaybackCustom, IF(PaybackStatus&lt;&gt;"",INDEX('Arbitrage Payback Engine'!$Y$2:$Y$6,MATCH(PaybackStatus,'Arbitrage Payback Engine'!$X$2:$X$6,FALSE)),-1)))</f>
        <v>25</v>
      </c>
      <c r="V327" s="32">
        <f t="shared" si="83"/>
        <v>15</v>
      </c>
      <c r="X327" s="29">
        <f t="shared" si="84"/>
        <v>318</v>
      </c>
      <c r="Z327" s="30">
        <f t="shared" si="75"/>
        <v>8.7111354608957683</v>
      </c>
      <c r="AA327" s="28" t="e">
        <f t="shared" si="76"/>
        <v>#N/A</v>
      </c>
      <c r="AB327" s="28" t="e">
        <f t="shared" si="77"/>
        <v>#VALUE!</v>
      </c>
      <c r="AC327" s="29">
        <f t="shared" si="78"/>
        <v>301.70777988614805</v>
      </c>
      <c r="AD327" s="28" t="e">
        <f t="shared" si="79"/>
        <v>#VALUE!</v>
      </c>
      <c r="AE327" s="28" t="e">
        <f t="shared" si="80"/>
        <v>#N/A</v>
      </c>
      <c r="AF327" s="28" t="e">
        <f t="shared" si="81"/>
        <v>#VALUE!</v>
      </c>
      <c r="AH327" s="31" t="e">
        <f t="shared" si="82"/>
        <v>#N/A</v>
      </c>
      <c r="AI327" s="25"/>
      <c r="AJ327" s="31"/>
    </row>
    <row r="328" spans="2:36" x14ac:dyDescent="0.25">
      <c r="B328" s="33">
        <f>'Arbitrage Payback Engine'!E328</f>
        <v>8.7385289686344336</v>
      </c>
      <c r="C328" s="33">
        <f t="shared" si="68"/>
        <v>1000</v>
      </c>
      <c r="D328" s="33">
        <f>'Battery Pricing Model'!$C$17</f>
        <v>1000</v>
      </c>
      <c r="E328" s="33">
        <f t="shared" si="69"/>
        <v>999</v>
      </c>
      <c r="F328" s="33" t="str">
        <f>'Peak Models'!$B$4</f>
        <v>Default</v>
      </c>
      <c r="G328" s="33" t="e">
        <f>'Peak Models'!$Q$7</f>
        <v>#VALUE!</v>
      </c>
      <c r="H328" s="33">
        <f>'Peak Models'!$P$16</f>
        <v>1.5</v>
      </c>
      <c r="I328" s="33">
        <v>12</v>
      </c>
      <c r="J328" s="33" t="e">
        <f>'Peak Models'!$P$13</f>
        <v>#N/A</v>
      </c>
      <c r="K328" s="28" t="e">
        <f t="shared" si="70"/>
        <v>#VALUE!</v>
      </c>
      <c r="L328" s="28" t="e">
        <f>INDEX('Peak Models'!$P$34:$P$64, MATCH(TRUNC(B328, 0), 'Peak Models'!$O$34:$O$64, 0))</f>
        <v>#N/A</v>
      </c>
      <c r="M328" s="28">
        <f>'Peak Models'!$P$15*INDEX('Peak Models'!$Q$34:$Q$64, MATCH(TRUNC(B328, 0),'Peak Models'!$O$34:$O$64, 0))/'Profit per cycles Model'!$E$78</f>
        <v>5.7336606941643184</v>
      </c>
      <c r="N328" s="28" t="e">
        <f t="shared" si="71"/>
        <v>#N/A</v>
      </c>
      <c r="O328" s="71" t="e">
        <f>AVERAGE($N$10:N328)</f>
        <v>#N/A</v>
      </c>
      <c r="P328" s="28" t="e">
        <f t="shared" si="72"/>
        <v>#N/A</v>
      </c>
      <c r="R328" s="28" t="e">
        <f t="shared" si="73"/>
        <v>#VALUE!</v>
      </c>
      <c r="S328" s="25"/>
      <c r="T328" s="25">
        <f t="shared" si="74"/>
        <v>15</v>
      </c>
      <c r="U328" s="33">
        <f>IF(PaybackCustom&gt;0, IF(PaybackCustom&lt;&gt;"Default", PaybackCustom, IF(PaybackStatus&lt;&gt;"",INDEX('Arbitrage Payback Engine'!$Y$2:$Y$6,MATCH(PaybackStatus,'Arbitrage Payback Engine'!$X$2:$X$6,FALSE)),-1)))</f>
        <v>25</v>
      </c>
      <c r="V328" s="32">
        <f t="shared" si="83"/>
        <v>15</v>
      </c>
      <c r="X328" s="29">
        <f t="shared" si="84"/>
        <v>319</v>
      </c>
      <c r="Z328" s="30">
        <f t="shared" si="75"/>
        <v>8.7385289686344336</v>
      </c>
      <c r="AA328" s="28" t="e">
        <f t="shared" si="76"/>
        <v>#N/A</v>
      </c>
      <c r="AB328" s="28" t="e">
        <f t="shared" si="77"/>
        <v>#VALUE!</v>
      </c>
      <c r="AC328" s="29">
        <f t="shared" si="78"/>
        <v>302.65654648956354</v>
      </c>
      <c r="AD328" s="28" t="e">
        <f t="shared" si="79"/>
        <v>#VALUE!</v>
      </c>
      <c r="AE328" s="28" t="e">
        <f t="shared" si="80"/>
        <v>#N/A</v>
      </c>
      <c r="AF328" s="28" t="e">
        <f t="shared" si="81"/>
        <v>#VALUE!</v>
      </c>
      <c r="AH328" s="31" t="e">
        <f t="shared" si="82"/>
        <v>#N/A</v>
      </c>
      <c r="AI328" s="25"/>
      <c r="AJ328" s="31"/>
    </row>
    <row r="329" spans="2:36" x14ac:dyDescent="0.25">
      <c r="B329" s="33">
        <f>'Arbitrage Payback Engine'!E329</f>
        <v>8.765922476373099</v>
      </c>
      <c r="C329" s="33">
        <f t="shared" si="68"/>
        <v>1000</v>
      </c>
      <c r="D329" s="33">
        <f>'Battery Pricing Model'!$C$17</f>
        <v>1000</v>
      </c>
      <c r="E329" s="33">
        <f t="shared" si="69"/>
        <v>999</v>
      </c>
      <c r="F329" s="33" t="str">
        <f>'Peak Models'!$B$4</f>
        <v>Default</v>
      </c>
      <c r="G329" s="33" t="e">
        <f>'Peak Models'!$Q$7</f>
        <v>#VALUE!</v>
      </c>
      <c r="H329" s="33">
        <f>'Peak Models'!$P$16</f>
        <v>1.5</v>
      </c>
      <c r="I329" s="33">
        <v>12</v>
      </c>
      <c r="J329" s="33" t="e">
        <f>'Peak Models'!$P$13</f>
        <v>#N/A</v>
      </c>
      <c r="K329" s="28" t="e">
        <f t="shared" si="70"/>
        <v>#VALUE!</v>
      </c>
      <c r="L329" s="28" t="e">
        <f>INDEX('Peak Models'!$P$34:$P$64, MATCH(TRUNC(B329, 0), 'Peak Models'!$O$34:$O$64, 0))</f>
        <v>#N/A</v>
      </c>
      <c r="M329" s="28">
        <f>'Peak Models'!$P$15*INDEX('Peak Models'!$Q$34:$Q$64, MATCH(TRUNC(B329, 0),'Peak Models'!$O$34:$O$64, 0))/'Profit per cycles Model'!$E$78</f>
        <v>5.7336606941643184</v>
      </c>
      <c r="N329" s="28" t="e">
        <f t="shared" si="71"/>
        <v>#N/A</v>
      </c>
      <c r="O329" s="71" t="e">
        <f>AVERAGE($N$10:N329)</f>
        <v>#N/A</v>
      </c>
      <c r="P329" s="28" t="e">
        <f t="shared" si="72"/>
        <v>#N/A</v>
      </c>
      <c r="R329" s="28" t="e">
        <f t="shared" si="73"/>
        <v>#VALUE!</v>
      </c>
      <c r="S329" s="25"/>
      <c r="T329" s="25">
        <f t="shared" si="74"/>
        <v>15</v>
      </c>
      <c r="U329" s="33">
        <f>IF(PaybackCustom&gt;0, IF(PaybackCustom&lt;&gt;"Default", PaybackCustom, IF(PaybackStatus&lt;&gt;"",INDEX('Arbitrage Payback Engine'!$Y$2:$Y$6,MATCH(PaybackStatus,'Arbitrage Payback Engine'!$X$2:$X$6,FALSE)),-1)))</f>
        <v>25</v>
      </c>
      <c r="V329" s="32">
        <f t="shared" si="83"/>
        <v>15</v>
      </c>
      <c r="X329" s="29">
        <f t="shared" si="84"/>
        <v>320</v>
      </c>
      <c r="Z329" s="30">
        <f t="shared" si="75"/>
        <v>8.765922476373099</v>
      </c>
      <c r="AA329" s="28" t="e">
        <f t="shared" si="76"/>
        <v>#N/A</v>
      </c>
      <c r="AB329" s="28" t="e">
        <f t="shared" si="77"/>
        <v>#VALUE!</v>
      </c>
      <c r="AC329" s="29">
        <f t="shared" si="78"/>
        <v>303.60531309297909</v>
      </c>
      <c r="AD329" s="28" t="e">
        <f t="shared" si="79"/>
        <v>#VALUE!</v>
      </c>
      <c r="AE329" s="28" t="e">
        <f t="shared" si="80"/>
        <v>#N/A</v>
      </c>
      <c r="AF329" s="28" t="e">
        <f t="shared" si="81"/>
        <v>#VALUE!</v>
      </c>
      <c r="AH329" s="31" t="e">
        <f t="shared" si="82"/>
        <v>#N/A</v>
      </c>
      <c r="AI329" s="25"/>
      <c r="AJ329" s="31"/>
    </row>
    <row r="330" spans="2:36" x14ac:dyDescent="0.25">
      <c r="B330" s="33">
        <f>'Arbitrage Payback Engine'!E330</f>
        <v>8.7933159841117661</v>
      </c>
      <c r="C330" s="33">
        <f t="shared" ref="C330:C393" si="85">IF(OR($E$6="None", $E$6=0), D330, E330)</f>
        <v>1000</v>
      </c>
      <c r="D330" s="33">
        <f>'Battery Pricing Model'!$C$17</f>
        <v>1000</v>
      </c>
      <c r="E330" s="33">
        <f t="shared" ref="E330:E393" si="86">IF(OR($E$6="None", $E$6=0), 999, $D330*(E$6))</f>
        <v>999</v>
      </c>
      <c r="F330" s="33" t="str">
        <f>'Peak Models'!$B$4</f>
        <v>Default</v>
      </c>
      <c r="G330" s="33" t="e">
        <f>'Peak Models'!$Q$7</f>
        <v>#VALUE!</v>
      </c>
      <c r="H330" s="33">
        <f>'Peak Models'!$P$16</f>
        <v>1.5</v>
      </c>
      <c r="I330" s="33">
        <v>12</v>
      </c>
      <c r="J330" s="33" t="e">
        <f>'Peak Models'!$P$13</f>
        <v>#N/A</v>
      </c>
      <c r="K330" s="28" t="e">
        <f t="shared" ref="K330:K393" si="87">C330*G330/(H330*B330)</f>
        <v>#VALUE!</v>
      </c>
      <c r="L330" s="28" t="e">
        <f>INDEX('Peak Models'!$P$34:$P$64, MATCH(TRUNC(B330, 0), 'Peak Models'!$O$34:$O$64, 0))</f>
        <v>#N/A</v>
      </c>
      <c r="M330" s="28">
        <f>'Peak Models'!$P$15*INDEX('Peak Models'!$Q$34:$Q$64, MATCH(TRUNC(B330, 0),'Peak Models'!$O$34:$O$64, 0))/'Profit per cycles Model'!$E$78</f>
        <v>5.7336606941643184</v>
      </c>
      <c r="N330" s="28" t="e">
        <f t="shared" ref="N330:N393" si="88">L330-M330</f>
        <v>#N/A</v>
      </c>
      <c r="O330" s="71" t="e">
        <f>AVERAGE($N$10:N330)</f>
        <v>#N/A</v>
      </c>
      <c r="P330" s="28" t="e">
        <f t="shared" ref="P330:P393" si="89">IF(O330-K330&lt;0, 999, O330-K330)</f>
        <v>#N/A</v>
      </c>
      <c r="R330" s="28" t="e">
        <f t="shared" ref="R330:R393" si="90">IF(ISNA(INDEX($K$10:$K$1063,MATCH(T330,$B$10:$B$1063,1))),-1,INDEX($K$10:$K$1063,MATCH(T330,$B$10:$B$1063,1)))</f>
        <v>#VALUE!</v>
      </c>
      <c r="S330" s="25"/>
      <c r="T330" s="25">
        <f t="shared" ref="T330:T393" si="91">IF( AND(U330&gt;0, V330&gt;0), IF(U330&lt;V330, U330, V330),  IF(U330&gt;0, U330, IF(V330&gt;0, V330, -1)) )</f>
        <v>15</v>
      </c>
      <c r="U330" s="33">
        <f>IF(PaybackCustom&gt;0, IF(PaybackCustom&lt;&gt;"Default", PaybackCustom, IF(PaybackStatus&lt;&gt;"",INDEX('Arbitrage Payback Engine'!$Y$2:$Y$6,MATCH(PaybackStatus,'Arbitrage Payback Engine'!$X$2:$X$6,FALSE)),-1)))</f>
        <v>25</v>
      </c>
      <c r="V330" s="32">
        <f t="shared" si="83"/>
        <v>15</v>
      </c>
      <c r="X330" s="29">
        <f t="shared" si="84"/>
        <v>321</v>
      </c>
      <c r="Z330" s="30">
        <f t="shared" ref="Z330:Z393" si="92">B330</f>
        <v>8.7933159841117661</v>
      </c>
      <c r="AA330" s="28" t="e">
        <f t="shared" ref="AA330:AA393" si="93">N330</f>
        <v>#N/A</v>
      </c>
      <c r="AB330" s="28" t="e">
        <f t="shared" ref="AB330:AB393" si="94">R330</f>
        <v>#VALUE!</v>
      </c>
      <c r="AC330" s="29">
        <f t="shared" ref="AC330:AC393" si="95">$AB$2*(Z330-$AB$3)/($AB$4-$AB$3)</f>
        <v>304.55407969639475</v>
      </c>
      <c r="AD330" s="28" t="e">
        <f t="shared" ref="AD330:AD393" si="96">MIN(AB330, AA330)</f>
        <v>#VALUE!</v>
      </c>
      <c r="AE330" s="28" t="e">
        <f t="shared" ref="AE330:AE393" si="97">IF(AND(Z330&lt;T330, AA330&gt;AB330), AA330-AB330, 0)</f>
        <v>#N/A</v>
      </c>
      <c r="AF330" s="28" t="e">
        <f t="shared" ref="AF330:AF393" si="98">IF(AND(Z330&lt;T330, AB330&gt;AA330), AB330-AA330, 0)</f>
        <v>#VALUE!</v>
      </c>
      <c r="AH330" s="31" t="e">
        <f t="shared" ref="AH330:AH393" si="99">(O330-K330)/K330</f>
        <v>#N/A</v>
      </c>
      <c r="AI330" s="25"/>
      <c r="AJ330" s="31"/>
    </row>
    <row r="331" spans="2:36" x14ac:dyDescent="0.25">
      <c r="B331" s="33">
        <f>'Arbitrage Payback Engine'!E331</f>
        <v>8.8207094918504314</v>
      </c>
      <c r="C331" s="33">
        <f t="shared" si="85"/>
        <v>1000</v>
      </c>
      <c r="D331" s="33">
        <f>'Battery Pricing Model'!$C$17</f>
        <v>1000</v>
      </c>
      <c r="E331" s="33">
        <f t="shared" si="86"/>
        <v>999</v>
      </c>
      <c r="F331" s="33" t="str">
        <f>'Peak Models'!$B$4</f>
        <v>Default</v>
      </c>
      <c r="G331" s="33" t="e">
        <f>'Peak Models'!$Q$7</f>
        <v>#VALUE!</v>
      </c>
      <c r="H331" s="33">
        <f>'Peak Models'!$P$16</f>
        <v>1.5</v>
      </c>
      <c r="I331" s="33">
        <v>12</v>
      </c>
      <c r="J331" s="33" t="e">
        <f>'Peak Models'!$P$13</f>
        <v>#N/A</v>
      </c>
      <c r="K331" s="28" t="e">
        <f t="shared" si="87"/>
        <v>#VALUE!</v>
      </c>
      <c r="L331" s="28" t="e">
        <f>INDEX('Peak Models'!$P$34:$P$64, MATCH(TRUNC(B331, 0), 'Peak Models'!$O$34:$O$64, 0))</f>
        <v>#N/A</v>
      </c>
      <c r="M331" s="28">
        <f>'Peak Models'!$P$15*INDEX('Peak Models'!$Q$34:$Q$64, MATCH(TRUNC(B331, 0),'Peak Models'!$O$34:$O$64, 0))/'Profit per cycles Model'!$E$78</f>
        <v>5.7336606941643184</v>
      </c>
      <c r="N331" s="28" t="e">
        <f t="shared" si="88"/>
        <v>#N/A</v>
      </c>
      <c r="O331" s="71" t="e">
        <f>AVERAGE($N$10:N331)</f>
        <v>#N/A</v>
      </c>
      <c r="P331" s="28" t="e">
        <f t="shared" si="89"/>
        <v>#N/A</v>
      </c>
      <c r="R331" s="28" t="e">
        <f t="shared" si="90"/>
        <v>#VALUE!</v>
      </c>
      <c r="S331" s="25"/>
      <c r="T331" s="25">
        <f t="shared" si="91"/>
        <v>15</v>
      </c>
      <c r="U331" s="33">
        <f>IF(PaybackCustom&gt;0, IF(PaybackCustom&lt;&gt;"Default", PaybackCustom, IF(PaybackStatus&lt;&gt;"",INDEX('Arbitrage Payback Engine'!$Y$2:$Y$6,MATCH(PaybackStatus,'Arbitrage Payback Engine'!$X$2:$X$6,FALSE)),-1)))</f>
        <v>25</v>
      </c>
      <c r="V331" s="32">
        <f t="shared" ref="V331:V394" si="100">IF(ISNUMBER($L$5), $L$5, 15)</f>
        <v>15</v>
      </c>
      <c r="X331" s="29">
        <f t="shared" ref="X331:X394" si="101">X330+1</f>
        <v>322</v>
      </c>
      <c r="Z331" s="30">
        <f t="shared" si="92"/>
        <v>8.8207094918504314</v>
      </c>
      <c r="AA331" s="28" t="e">
        <f t="shared" si="93"/>
        <v>#N/A</v>
      </c>
      <c r="AB331" s="28" t="e">
        <f t="shared" si="94"/>
        <v>#VALUE!</v>
      </c>
      <c r="AC331" s="29">
        <f t="shared" si="95"/>
        <v>305.5028462998103</v>
      </c>
      <c r="AD331" s="28" t="e">
        <f t="shared" si="96"/>
        <v>#VALUE!</v>
      </c>
      <c r="AE331" s="28" t="e">
        <f t="shared" si="97"/>
        <v>#N/A</v>
      </c>
      <c r="AF331" s="28" t="e">
        <f t="shared" si="98"/>
        <v>#VALUE!</v>
      </c>
      <c r="AH331" s="31" t="e">
        <f t="shared" si="99"/>
        <v>#N/A</v>
      </c>
      <c r="AI331" s="25"/>
      <c r="AJ331" s="31"/>
    </row>
    <row r="332" spans="2:36" x14ac:dyDescent="0.25">
      <c r="B332" s="33">
        <f>'Arbitrage Payback Engine'!E332</f>
        <v>8.8481029995890967</v>
      </c>
      <c r="C332" s="33">
        <f t="shared" si="85"/>
        <v>1000</v>
      </c>
      <c r="D332" s="33">
        <f>'Battery Pricing Model'!$C$17</f>
        <v>1000</v>
      </c>
      <c r="E332" s="33">
        <f t="shared" si="86"/>
        <v>999</v>
      </c>
      <c r="F332" s="33" t="str">
        <f>'Peak Models'!$B$4</f>
        <v>Default</v>
      </c>
      <c r="G332" s="33" t="e">
        <f>'Peak Models'!$Q$7</f>
        <v>#VALUE!</v>
      </c>
      <c r="H332" s="33">
        <f>'Peak Models'!$P$16</f>
        <v>1.5</v>
      </c>
      <c r="I332" s="33">
        <v>12</v>
      </c>
      <c r="J332" s="33" t="e">
        <f>'Peak Models'!$P$13</f>
        <v>#N/A</v>
      </c>
      <c r="K332" s="28" t="e">
        <f t="shared" si="87"/>
        <v>#VALUE!</v>
      </c>
      <c r="L332" s="28" t="e">
        <f>INDEX('Peak Models'!$P$34:$P$64, MATCH(TRUNC(B332, 0), 'Peak Models'!$O$34:$O$64, 0))</f>
        <v>#N/A</v>
      </c>
      <c r="M332" s="28">
        <f>'Peak Models'!$P$15*INDEX('Peak Models'!$Q$34:$Q$64, MATCH(TRUNC(B332, 0),'Peak Models'!$O$34:$O$64, 0))/'Profit per cycles Model'!$E$78</f>
        <v>5.7336606941643184</v>
      </c>
      <c r="N332" s="28" t="e">
        <f t="shared" si="88"/>
        <v>#N/A</v>
      </c>
      <c r="O332" s="71" t="e">
        <f>AVERAGE($N$10:N332)</f>
        <v>#N/A</v>
      </c>
      <c r="P332" s="28" t="e">
        <f t="shared" si="89"/>
        <v>#N/A</v>
      </c>
      <c r="R332" s="28" t="e">
        <f t="shared" si="90"/>
        <v>#VALUE!</v>
      </c>
      <c r="S332" s="25"/>
      <c r="T332" s="25">
        <f t="shared" si="91"/>
        <v>15</v>
      </c>
      <c r="U332" s="33">
        <f>IF(PaybackCustom&gt;0, IF(PaybackCustom&lt;&gt;"Default", PaybackCustom, IF(PaybackStatus&lt;&gt;"",INDEX('Arbitrage Payback Engine'!$Y$2:$Y$6,MATCH(PaybackStatus,'Arbitrage Payback Engine'!$X$2:$X$6,FALSE)),-1)))</f>
        <v>25</v>
      </c>
      <c r="V332" s="32">
        <f t="shared" si="100"/>
        <v>15</v>
      </c>
      <c r="X332" s="29">
        <f t="shared" si="101"/>
        <v>323</v>
      </c>
      <c r="Z332" s="30">
        <f t="shared" si="92"/>
        <v>8.8481029995890967</v>
      </c>
      <c r="AA332" s="28" t="e">
        <f t="shared" si="93"/>
        <v>#N/A</v>
      </c>
      <c r="AB332" s="28" t="e">
        <f t="shared" si="94"/>
        <v>#VALUE!</v>
      </c>
      <c r="AC332" s="29">
        <f t="shared" si="95"/>
        <v>306.45161290322579</v>
      </c>
      <c r="AD332" s="28" t="e">
        <f t="shared" si="96"/>
        <v>#VALUE!</v>
      </c>
      <c r="AE332" s="28" t="e">
        <f t="shared" si="97"/>
        <v>#N/A</v>
      </c>
      <c r="AF332" s="28" t="e">
        <f t="shared" si="98"/>
        <v>#VALUE!</v>
      </c>
      <c r="AH332" s="31" t="e">
        <f t="shared" si="99"/>
        <v>#N/A</v>
      </c>
      <c r="AI332" s="25"/>
      <c r="AJ332" s="31"/>
    </row>
    <row r="333" spans="2:36" x14ac:dyDescent="0.25">
      <c r="B333" s="33">
        <f>'Arbitrage Payback Engine'!E333</f>
        <v>8.8754965073277639</v>
      </c>
      <c r="C333" s="33">
        <f t="shared" si="85"/>
        <v>1000</v>
      </c>
      <c r="D333" s="33">
        <f>'Battery Pricing Model'!$C$17</f>
        <v>1000</v>
      </c>
      <c r="E333" s="33">
        <f t="shared" si="86"/>
        <v>999</v>
      </c>
      <c r="F333" s="33" t="str">
        <f>'Peak Models'!$B$4</f>
        <v>Default</v>
      </c>
      <c r="G333" s="33" t="e">
        <f>'Peak Models'!$Q$7</f>
        <v>#VALUE!</v>
      </c>
      <c r="H333" s="33">
        <f>'Peak Models'!$P$16</f>
        <v>1.5</v>
      </c>
      <c r="I333" s="33">
        <v>12</v>
      </c>
      <c r="J333" s="33" t="e">
        <f>'Peak Models'!$P$13</f>
        <v>#N/A</v>
      </c>
      <c r="K333" s="28" t="e">
        <f t="shared" si="87"/>
        <v>#VALUE!</v>
      </c>
      <c r="L333" s="28" t="e">
        <f>INDEX('Peak Models'!$P$34:$P$64, MATCH(TRUNC(B333, 0), 'Peak Models'!$O$34:$O$64, 0))</f>
        <v>#N/A</v>
      </c>
      <c r="M333" s="28">
        <f>'Peak Models'!$P$15*INDEX('Peak Models'!$Q$34:$Q$64, MATCH(TRUNC(B333, 0),'Peak Models'!$O$34:$O$64, 0))/'Profit per cycles Model'!$E$78</f>
        <v>5.7336606941643184</v>
      </c>
      <c r="N333" s="28" t="e">
        <f t="shared" si="88"/>
        <v>#N/A</v>
      </c>
      <c r="O333" s="71" t="e">
        <f>AVERAGE($N$10:N333)</f>
        <v>#N/A</v>
      </c>
      <c r="P333" s="28" t="e">
        <f t="shared" si="89"/>
        <v>#N/A</v>
      </c>
      <c r="R333" s="28" t="e">
        <f t="shared" si="90"/>
        <v>#VALUE!</v>
      </c>
      <c r="S333" s="25"/>
      <c r="T333" s="25">
        <f t="shared" si="91"/>
        <v>15</v>
      </c>
      <c r="U333" s="33">
        <f>IF(PaybackCustom&gt;0, IF(PaybackCustom&lt;&gt;"Default", PaybackCustom, IF(PaybackStatus&lt;&gt;"",INDEX('Arbitrage Payback Engine'!$Y$2:$Y$6,MATCH(PaybackStatus,'Arbitrage Payback Engine'!$X$2:$X$6,FALSE)),-1)))</f>
        <v>25</v>
      </c>
      <c r="V333" s="32">
        <f t="shared" si="100"/>
        <v>15</v>
      </c>
      <c r="X333" s="29">
        <f t="shared" si="101"/>
        <v>324</v>
      </c>
      <c r="Z333" s="30">
        <f t="shared" si="92"/>
        <v>8.8754965073277639</v>
      </c>
      <c r="AA333" s="28" t="e">
        <f t="shared" si="93"/>
        <v>#N/A</v>
      </c>
      <c r="AB333" s="28" t="e">
        <f t="shared" si="94"/>
        <v>#VALUE!</v>
      </c>
      <c r="AC333" s="29">
        <f t="shared" si="95"/>
        <v>307.4003795066414</v>
      </c>
      <c r="AD333" s="28" t="e">
        <f t="shared" si="96"/>
        <v>#VALUE!</v>
      </c>
      <c r="AE333" s="28" t="e">
        <f t="shared" si="97"/>
        <v>#N/A</v>
      </c>
      <c r="AF333" s="28" t="e">
        <f t="shared" si="98"/>
        <v>#VALUE!</v>
      </c>
      <c r="AH333" s="31" t="e">
        <f t="shared" si="99"/>
        <v>#N/A</v>
      </c>
      <c r="AI333" s="25"/>
      <c r="AJ333" s="31"/>
    </row>
    <row r="334" spans="2:36" x14ac:dyDescent="0.25">
      <c r="B334" s="33">
        <f>'Arbitrage Payback Engine'!E334</f>
        <v>8.9028900150664292</v>
      </c>
      <c r="C334" s="33">
        <f t="shared" si="85"/>
        <v>1000</v>
      </c>
      <c r="D334" s="33">
        <f>'Battery Pricing Model'!$C$17</f>
        <v>1000</v>
      </c>
      <c r="E334" s="33">
        <f t="shared" si="86"/>
        <v>999</v>
      </c>
      <c r="F334" s="33" t="str">
        <f>'Peak Models'!$B$4</f>
        <v>Default</v>
      </c>
      <c r="G334" s="33" t="e">
        <f>'Peak Models'!$Q$7</f>
        <v>#VALUE!</v>
      </c>
      <c r="H334" s="33">
        <f>'Peak Models'!$P$16</f>
        <v>1.5</v>
      </c>
      <c r="I334" s="33">
        <v>12</v>
      </c>
      <c r="J334" s="33" t="e">
        <f>'Peak Models'!$P$13</f>
        <v>#N/A</v>
      </c>
      <c r="K334" s="28" t="e">
        <f t="shared" si="87"/>
        <v>#VALUE!</v>
      </c>
      <c r="L334" s="28" t="e">
        <f>INDEX('Peak Models'!$P$34:$P$64, MATCH(TRUNC(B334, 0), 'Peak Models'!$O$34:$O$64, 0))</f>
        <v>#N/A</v>
      </c>
      <c r="M334" s="28">
        <f>'Peak Models'!$P$15*INDEX('Peak Models'!$Q$34:$Q$64, MATCH(TRUNC(B334, 0),'Peak Models'!$O$34:$O$64, 0))/'Profit per cycles Model'!$E$78</f>
        <v>5.7336606941643184</v>
      </c>
      <c r="N334" s="28" t="e">
        <f t="shared" si="88"/>
        <v>#N/A</v>
      </c>
      <c r="O334" s="71" t="e">
        <f>AVERAGE($N$10:N334)</f>
        <v>#N/A</v>
      </c>
      <c r="P334" s="28" t="e">
        <f t="shared" si="89"/>
        <v>#N/A</v>
      </c>
      <c r="R334" s="28" t="e">
        <f t="shared" si="90"/>
        <v>#VALUE!</v>
      </c>
      <c r="S334" s="25"/>
      <c r="T334" s="25">
        <f t="shared" si="91"/>
        <v>15</v>
      </c>
      <c r="U334" s="33">
        <f>IF(PaybackCustom&gt;0, IF(PaybackCustom&lt;&gt;"Default", PaybackCustom, IF(PaybackStatus&lt;&gt;"",INDEX('Arbitrage Payback Engine'!$Y$2:$Y$6,MATCH(PaybackStatus,'Arbitrage Payback Engine'!$X$2:$X$6,FALSE)),-1)))</f>
        <v>25</v>
      </c>
      <c r="V334" s="32">
        <f t="shared" si="100"/>
        <v>15</v>
      </c>
      <c r="X334" s="29">
        <f t="shared" si="101"/>
        <v>325</v>
      </c>
      <c r="Z334" s="30">
        <f t="shared" si="92"/>
        <v>8.9028900150664292</v>
      </c>
      <c r="AA334" s="28" t="e">
        <f t="shared" si="93"/>
        <v>#N/A</v>
      </c>
      <c r="AB334" s="28" t="e">
        <f t="shared" si="94"/>
        <v>#VALUE!</v>
      </c>
      <c r="AC334" s="29">
        <f t="shared" si="95"/>
        <v>308.34914611005689</v>
      </c>
      <c r="AD334" s="28" t="e">
        <f t="shared" si="96"/>
        <v>#VALUE!</v>
      </c>
      <c r="AE334" s="28" t="e">
        <f t="shared" si="97"/>
        <v>#N/A</v>
      </c>
      <c r="AF334" s="28" t="e">
        <f t="shared" si="98"/>
        <v>#VALUE!</v>
      </c>
      <c r="AH334" s="31" t="e">
        <f t="shared" si="99"/>
        <v>#N/A</v>
      </c>
      <c r="AI334" s="25"/>
      <c r="AJ334" s="31"/>
    </row>
    <row r="335" spans="2:36" x14ac:dyDescent="0.25">
      <c r="B335" s="33">
        <f>'Arbitrage Payback Engine'!E335</f>
        <v>8.9302835228050945</v>
      </c>
      <c r="C335" s="33">
        <f t="shared" si="85"/>
        <v>1000</v>
      </c>
      <c r="D335" s="33">
        <f>'Battery Pricing Model'!$C$17</f>
        <v>1000</v>
      </c>
      <c r="E335" s="33">
        <f t="shared" si="86"/>
        <v>999</v>
      </c>
      <c r="F335" s="33" t="str">
        <f>'Peak Models'!$B$4</f>
        <v>Default</v>
      </c>
      <c r="G335" s="33" t="e">
        <f>'Peak Models'!$Q$7</f>
        <v>#VALUE!</v>
      </c>
      <c r="H335" s="33">
        <f>'Peak Models'!$P$16</f>
        <v>1.5</v>
      </c>
      <c r="I335" s="33">
        <v>12</v>
      </c>
      <c r="J335" s="33" t="e">
        <f>'Peak Models'!$P$13</f>
        <v>#N/A</v>
      </c>
      <c r="K335" s="28" t="e">
        <f t="shared" si="87"/>
        <v>#VALUE!</v>
      </c>
      <c r="L335" s="28" t="e">
        <f>INDEX('Peak Models'!$P$34:$P$64, MATCH(TRUNC(B335, 0), 'Peak Models'!$O$34:$O$64, 0))</f>
        <v>#N/A</v>
      </c>
      <c r="M335" s="28">
        <f>'Peak Models'!$P$15*INDEX('Peak Models'!$Q$34:$Q$64, MATCH(TRUNC(B335, 0),'Peak Models'!$O$34:$O$64, 0))/'Profit per cycles Model'!$E$78</f>
        <v>5.7336606941643184</v>
      </c>
      <c r="N335" s="28" t="e">
        <f t="shared" si="88"/>
        <v>#N/A</v>
      </c>
      <c r="O335" s="71" t="e">
        <f>AVERAGE($N$10:N335)</f>
        <v>#N/A</v>
      </c>
      <c r="P335" s="28" t="e">
        <f t="shared" si="89"/>
        <v>#N/A</v>
      </c>
      <c r="R335" s="28" t="e">
        <f t="shared" si="90"/>
        <v>#VALUE!</v>
      </c>
      <c r="S335" s="25"/>
      <c r="T335" s="25">
        <f t="shared" si="91"/>
        <v>15</v>
      </c>
      <c r="U335" s="33">
        <f>IF(PaybackCustom&gt;0, IF(PaybackCustom&lt;&gt;"Default", PaybackCustom, IF(PaybackStatus&lt;&gt;"",INDEX('Arbitrage Payback Engine'!$Y$2:$Y$6,MATCH(PaybackStatus,'Arbitrage Payback Engine'!$X$2:$X$6,FALSE)),-1)))</f>
        <v>25</v>
      </c>
      <c r="V335" s="32">
        <f t="shared" si="100"/>
        <v>15</v>
      </c>
      <c r="X335" s="29">
        <f t="shared" si="101"/>
        <v>326</v>
      </c>
      <c r="Z335" s="30">
        <f t="shared" si="92"/>
        <v>8.9302835228050945</v>
      </c>
      <c r="AA335" s="28" t="e">
        <f t="shared" si="93"/>
        <v>#N/A</v>
      </c>
      <c r="AB335" s="28" t="e">
        <f t="shared" si="94"/>
        <v>#VALUE!</v>
      </c>
      <c r="AC335" s="29">
        <f t="shared" si="95"/>
        <v>309.2979127134725</v>
      </c>
      <c r="AD335" s="28" t="e">
        <f t="shared" si="96"/>
        <v>#VALUE!</v>
      </c>
      <c r="AE335" s="28" t="e">
        <f t="shared" si="97"/>
        <v>#N/A</v>
      </c>
      <c r="AF335" s="28" t="e">
        <f t="shared" si="98"/>
        <v>#VALUE!</v>
      </c>
      <c r="AH335" s="31" t="e">
        <f t="shared" si="99"/>
        <v>#N/A</v>
      </c>
      <c r="AI335" s="25"/>
      <c r="AJ335" s="31"/>
    </row>
    <row r="336" spans="2:36" x14ac:dyDescent="0.25">
      <c r="B336" s="33">
        <f>'Arbitrage Payback Engine'!E336</f>
        <v>8.9576770305437616</v>
      </c>
      <c r="C336" s="33">
        <f t="shared" si="85"/>
        <v>1000</v>
      </c>
      <c r="D336" s="33">
        <f>'Battery Pricing Model'!$C$17</f>
        <v>1000</v>
      </c>
      <c r="E336" s="33">
        <f t="shared" si="86"/>
        <v>999</v>
      </c>
      <c r="F336" s="33" t="str">
        <f>'Peak Models'!$B$4</f>
        <v>Default</v>
      </c>
      <c r="G336" s="33" t="e">
        <f>'Peak Models'!$Q$7</f>
        <v>#VALUE!</v>
      </c>
      <c r="H336" s="33">
        <f>'Peak Models'!$P$16</f>
        <v>1.5</v>
      </c>
      <c r="I336" s="33">
        <v>12</v>
      </c>
      <c r="J336" s="33" t="e">
        <f>'Peak Models'!$P$13</f>
        <v>#N/A</v>
      </c>
      <c r="K336" s="28" t="e">
        <f t="shared" si="87"/>
        <v>#VALUE!</v>
      </c>
      <c r="L336" s="28" t="e">
        <f>INDEX('Peak Models'!$P$34:$P$64, MATCH(TRUNC(B336, 0), 'Peak Models'!$O$34:$O$64, 0))</f>
        <v>#N/A</v>
      </c>
      <c r="M336" s="28">
        <f>'Peak Models'!$P$15*INDEX('Peak Models'!$Q$34:$Q$64, MATCH(TRUNC(B336, 0),'Peak Models'!$O$34:$O$64, 0))/'Profit per cycles Model'!$E$78</f>
        <v>5.7336606941643184</v>
      </c>
      <c r="N336" s="28" t="e">
        <f t="shared" si="88"/>
        <v>#N/A</v>
      </c>
      <c r="O336" s="71" t="e">
        <f>AVERAGE($N$10:N336)</f>
        <v>#N/A</v>
      </c>
      <c r="P336" s="28" t="e">
        <f t="shared" si="89"/>
        <v>#N/A</v>
      </c>
      <c r="R336" s="28" t="e">
        <f t="shared" si="90"/>
        <v>#VALUE!</v>
      </c>
      <c r="S336" s="25"/>
      <c r="T336" s="25">
        <f t="shared" si="91"/>
        <v>15</v>
      </c>
      <c r="U336" s="33">
        <f>IF(PaybackCustom&gt;0, IF(PaybackCustom&lt;&gt;"Default", PaybackCustom, IF(PaybackStatus&lt;&gt;"",INDEX('Arbitrage Payback Engine'!$Y$2:$Y$6,MATCH(PaybackStatus,'Arbitrage Payback Engine'!$X$2:$X$6,FALSE)),-1)))</f>
        <v>25</v>
      </c>
      <c r="V336" s="32">
        <f t="shared" si="100"/>
        <v>15</v>
      </c>
      <c r="X336" s="29">
        <f t="shared" si="101"/>
        <v>327</v>
      </c>
      <c r="Z336" s="30">
        <f t="shared" si="92"/>
        <v>8.9576770305437616</v>
      </c>
      <c r="AA336" s="28" t="e">
        <f t="shared" si="93"/>
        <v>#N/A</v>
      </c>
      <c r="AB336" s="28" t="e">
        <f t="shared" si="94"/>
        <v>#VALUE!</v>
      </c>
      <c r="AC336" s="29">
        <f t="shared" si="95"/>
        <v>310.24667931688811</v>
      </c>
      <c r="AD336" s="28" t="e">
        <f t="shared" si="96"/>
        <v>#VALUE!</v>
      </c>
      <c r="AE336" s="28" t="e">
        <f t="shared" si="97"/>
        <v>#N/A</v>
      </c>
      <c r="AF336" s="28" t="e">
        <f t="shared" si="98"/>
        <v>#VALUE!</v>
      </c>
      <c r="AH336" s="31" t="e">
        <f t="shared" si="99"/>
        <v>#N/A</v>
      </c>
      <c r="AI336" s="25"/>
      <c r="AJ336" s="31"/>
    </row>
    <row r="337" spans="2:36" x14ac:dyDescent="0.25">
      <c r="B337" s="33">
        <f>'Arbitrage Payback Engine'!E337</f>
        <v>8.985070538282427</v>
      </c>
      <c r="C337" s="33">
        <f t="shared" si="85"/>
        <v>1000</v>
      </c>
      <c r="D337" s="33">
        <f>'Battery Pricing Model'!$C$17</f>
        <v>1000</v>
      </c>
      <c r="E337" s="33">
        <f t="shared" si="86"/>
        <v>999</v>
      </c>
      <c r="F337" s="33" t="str">
        <f>'Peak Models'!$B$4</f>
        <v>Default</v>
      </c>
      <c r="G337" s="33" t="e">
        <f>'Peak Models'!$Q$7</f>
        <v>#VALUE!</v>
      </c>
      <c r="H337" s="33">
        <f>'Peak Models'!$P$16</f>
        <v>1.5</v>
      </c>
      <c r="I337" s="33">
        <v>12</v>
      </c>
      <c r="J337" s="33" t="e">
        <f>'Peak Models'!$P$13</f>
        <v>#N/A</v>
      </c>
      <c r="K337" s="28" t="e">
        <f t="shared" si="87"/>
        <v>#VALUE!</v>
      </c>
      <c r="L337" s="28" t="e">
        <f>INDEX('Peak Models'!$P$34:$P$64, MATCH(TRUNC(B337, 0), 'Peak Models'!$O$34:$O$64, 0))</f>
        <v>#N/A</v>
      </c>
      <c r="M337" s="28">
        <f>'Peak Models'!$P$15*INDEX('Peak Models'!$Q$34:$Q$64, MATCH(TRUNC(B337, 0),'Peak Models'!$O$34:$O$64, 0))/'Profit per cycles Model'!$E$78</f>
        <v>5.7336606941643184</v>
      </c>
      <c r="N337" s="28" t="e">
        <f t="shared" si="88"/>
        <v>#N/A</v>
      </c>
      <c r="O337" s="71" t="e">
        <f>AVERAGE($N$10:N337)</f>
        <v>#N/A</v>
      </c>
      <c r="P337" s="28" t="e">
        <f t="shared" si="89"/>
        <v>#N/A</v>
      </c>
      <c r="R337" s="28" t="e">
        <f t="shared" si="90"/>
        <v>#VALUE!</v>
      </c>
      <c r="S337" s="25"/>
      <c r="T337" s="25">
        <f t="shared" si="91"/>
        <v>15</v>
      </c>
      <c r="U337" s="33">
        <f>IF(PaybackCustom&gt;0, IF(PaybackCustom&lt;&gt;"Default", PaybackCustom, IF(PaybackStatus&lt;&gt;"",INDEX('Arbitrage Payback Engine'!$Y$2:$Y$6,MATCH(PaybackStatus,'Arbitrage Payback Engine'!$X$2:$X$6,FALSE)),-1)))</f>
        <v>25</v>
      </c>
      <c r="V337" s="32">
        <f t="shared" si="100"/>
        <v>15</v>
      </c>
      <c r="X337" s="29">
        <f t="shared" si="101"/>
        <v>328</v>
      </c>
      <c r="Z337" s="30">
        <f t="shared" si="92"/>
        <v>8.985070538282427</v>
      </c>
      <c r="AA337" s="28" t="e">
        <f t="shared" si="93"/>
        <v>#N/A</v>
      </c>
      <c r="AB337" s="28" t="e">
        <f t="shared" si="94"/>
        <v>#VALUE!</v>
      </c>
      <c r="AC337" s="29">
        <f t="shared" si="95"/>
        <v>311.1954459203036</v>
      </c>
      <c r="AD337" s="28" t="e">
        <f t="shared" si="96"/>
        <v>#VALUE!</v>
      </c>
      <c r="AE337" s="28" t="e">
        <f t="shared" si="97"/>
        <v>#N/A</v>
      </c>
      <c r="AF337" s="28" t="e">
        <f t="shared" si="98"/>
        <v>#VALUE!</v>
      </c>
      <c r="AH337" s="31" t="e">
        <f t="shared" si="99"/>
        <v>#N/A</v>
      </c>
      <c r="AI337" s="25"/>
      <c r="AJ337" s="31"/>
    </row>
    <row r="338" spans="2:36" x14ac:dyDescent="0.25">
      <c r="B338" s="33">
        <f>'Arbitrage Payback Engine'!E338</f>
        <v>9.0124640460210923</v>
      </c>
      <c r="C338" s="33">
        <f t="shared" si="85"/>
        <v>1000</v>
      </c>
      <c r="D338" s="33">
        <f>'Battery Pricing Model'!$C$17</f>
        <v>1000</v>
      </c>
      <c r="E338" s="33">
        <f t="shared" si="86"/>
        <v>999</v>
      </c>
      <c r="F338" s="33" t="str">
        <f>'Peak Models'!$B$4</f>
        <v>Default</v>
      </c>
      <c r="G338" s="33" t="e">
        <f>'Peak Models'!$Q$7</f>
        <v>#VALUE!</v>
      </c>
      <c r="H338" s="33">
        <f>'Peak Models'!$P$16</f>
        <v>1.5</v>
      </c>
      <c r="I338" s="33">
        <v>12</v>
      </c>
      <c r="J338" s="33" t="e">
        <f>'Peak Models'!$P$13</f>
        <v>#N/A</v>
      </c>
      <c r="K338" s="28" t="e">
        <f t="shared" si="87"/>
        <v>#VALUE!</v>
      </c>
      <c r="L338" s="28" t="e">
        <f>INDEX('Peak Models'!$P$34:$P$64, MATCH(TRUNC(B338, 0), 'Peak Models'!$O$34:$O$64, 0))</f>
        <v>#N/A</v>
      </c>
      <c r="M338" s="28">
        <f>'Peak Models'!$P$15*INDEX('Peak Models'!$Q$34:$Q$64, MATCH(TRUNC(B338, 0),'Peak Models'!$O$34:$O$64, 0))/'Profit per cycles Model'!$E$78</f>
        <v>5.8770022115184268</v>
      </c>
      <c r="N338" s="28" t="e">
        <f t="shared" si="88"/>
        <v>#N/A</v>
      </c>
      <c r="O338" s="71" t="e">
        <f>AVERAGE($N$10:N338)</f>
        <v>#N/A</v>
      </c>
      <c r="P338" s="28" t="e">
        <f t="shared" si="89"/>
        <v>#N/A</v>
      </c>
      <c r="R338" s="28" t="e">
        <f t="shared" si="90"/>
        <v>#VALUE!</v>
      </c>
      <c r="S338" s="25"/>
      <c r="T338" s="25">
        <f t="shared" si="91"/>
        <v>15</v>
      </c>
      <c r="U338" s="33">
        <f>IF(PaybackCustom&gt;0, IF(PaybackCustom&lt;&gt;"Default", PaybackCustom, IF(PaybackStatus&lt;&gt;"",INDEX('Arbitrage Payback Engine'!$Y$2:$Y$6,MATCH(PaybackStatus,'Arbitrage Payback Engine'!$X$2:$X$6,FALSE)),-1)))</f>
        <v>25</v>
      </c>
      <c r="V338" s="32">
        <f t="shared" si="100"/>
        <v>15</v>
      </c>
      <c r="X338" s="29">
        <f t="shared" si="101"/>
        <v>329</v>
      </c>
      <c r="Z338" s="30">
        <f t="shared" si="92"/>
        <v>9.0124640460210923</v>
      </c>
      <c r="AA338" s="28" t="e">
        <f t="shared" si="93"/>
        <v>#N/A</v>
      </c>
      <c r="AB338" s="28" t="e">
        <f t="shared" si="94"/>
        <v>#VALUE!</v>
      </c>
      <c r="AC338" s="29">
        <f t="shared" si="95"/>
        <v>312.14421252371915</v>
      </c>
      <c r="AD338" s="28" t="e">
        <f t="shared" si="96"/>
        <v>#VALUE!</v>
      </c>
      <c r="AE338" s="28" t="e">
        <f t="shared" si="97"/>
        <v>#N/A</v>
      </c>
      <c r="AF338" s="28" t="e">
        <f t="shared" si="98"/>
        <v>#VALUE!</v>
      </c>
      <c r="AH338" s="31" t="e">
        <f t="shared" si="99"/>
        <v>#N/A</v>
      </c>
      <c r="AI338" s="25"/>
      <c r="AJ338" s="31"/>
    </row>
    <row r="339" spans="2:36" x14ac:dyDescent="0.25">
      <c r="B339" s="33">
        <f>'Arbitrage Payback Engine'!E339</f>
        <v>9.0398575537597594</v>
      </c>
      <c r="C339" s="33">
        <f t="shared" si="85"/>
        <v>1000</v>
      </c>
      <c r="D339" s="33">
        <f>'Battery Pricing Model'!$C$17</f>
        <v>1000</v>
      </c>
      <c r="E339" s="33">
        <f t="shared" si="86"/>
        <v>999</v>
      </c>
      <c r="F339" s="33" t="str">
        <f>'Peak Models'!$B$4</f>
        <v>Default</v>
      </c>
      <c r="G339" s="33" t="e">
        <f>'Peak Models'!$Q$7</f>
        <v>#VALUE!</v>
      </c>
      <c r="H339" s="33">
        <f>'Peak Models'!$P$16</f>
        <v>1.5</v>
      </c>
      <c r="I339" s="33">
        <v>12</v>
      </c>
      <c r="J339" s="33" t="e">
        <f>'Peak Models'!$P$13</f>
        <v>#N/A</v>
      </c>
      <c r="K339" s="28" t="e">
        <f t="shared" si="87"/>
        <v>#VALUE!</v>
      </c>
      <c r="L339" s="28" t="e">
        <f>INDEX('Peak Models'!$P$34:$P$64, MATCH(TRUNC(B339, 0), 'Peak Models'!$O$34:$O$64, 0))</f>
        <v>#N/A</v>
      </c>
      <c r="M339" s="28">
        <f>'Peak Models'!$P$15*INDEX('Peak Models'!$Q$34:$Q$64, MATCH(TRUNC(B339, 0),'Peak Models'!$O$34:$O$64, 0))/'Profit per cycles Model'!$E$78</f>
        <v>5.8770022115184268</v>
      </c>
      <c r="N339" s="28" t="e">
        <f t="shared" si="88"/>
        <v>#N/A</v>
      </c>
      <c r="O339" s="71" t="e">
        <f>AVERAGE($N$10:N339)</f>
        <v>#N/A</v>
      </c>
      <c r="P339" s="28" t="e">
        <f t="shared" si="89"/>
        <v>#N/A</v>
      </c>
      <c r="R339" s="28" t="e">
        <f t="shared" si="90"/>
        <v>#VALUE!</v>
      </c>
      <c r="S339" s="25"/>
      <c r="T339" s="25">
        <f t="shared" si="91"/>
        <v>15</v>
      </c>
      <c r="U339" s="33">
        <f>IF(PaybackCustom&gt;0, IF(PaybackCustom&lt;&gt;"Default", PaybackCustom, IF(PaybackStatus&lt;&gt;"",INDEX('Arbitrage Payback Engine'!$Y$2:$Y$6,MATCH(PaybackStatus,'Arbitrage Payback Engine'!$X$2:$X$6,FALSE)),-1)))</f>
        <v>25</v>
      </c>
      <c r="V339" s="32">
        <f t="shared" si="100"/>
        <v>15</v>
      </c>
      <c r="X339" s="29">
        <f t="shared" si="101"/>
        <v>330</v>
      </c>
      <c r="Z339" s="30">
        <f t="shared" si="92"/>
        <v>9.0398575537597594</v>
      </c>
      <c r="AA339" s="28" t="e">
        <f t="shared" si="93"/>
        <v>#N/A</v>
      </c>
      <c r="AB339" s="28" t="e">
        <f t="shared" si="94"/>
        <v>#VALUE!</v>
      </c>
      <c r="AC339" s="29">
        <f t="shared" si="95"/>
        <v>313.09297912713475</v>
      </c>
      <c r="AD339" s="28" t="e">
        <f t="shared" si="96"/>
        <v>#VALUE!</v>
      </c>
      <c r="AE339" s="28" t="e">
        <f t="shared" si="97"/>
        <v>#N/A</v>
      </c>
      <c r="AF339" s="28" t="e">
        <f t="shared" si="98"/>
        <v>#VALUE!</v>
      </c>
      <c r="AH339" s="31" t="e">
        <f t="shared" si="99"/>
        <v>#N/A</v>
      </c>
      <c r="AI339" s="25"/>
      <c r="AJ339" s="31"/>
    </row>
    <row r="340" spans="2:36" x14ac:dyDescent="0.25">
      <c r="B340" s="33">
        <f>'Arbitrage Payback Engine'!E340</f>
        <v>9.0672510614984247</v>
      </c>
      <c r="C340" s="33">
        <f t="shared" si="85"/>
        <v>1000</v>
      </c>
      <c r="D340" s="33">
        <f>'Battery Pricing Model'!$C$17</f>
        <v>1000</v>
      </c>
      <c r="E340" s="33">
        <f t="shared" si="86"/>
        <v>999</v>
      </c>
      <c r="F340" s="33" t="str">
        <f>'Peak Models'!$B$4</f>
        <v>Default</v>
      </c>
      <c r="G340" s="33" t="e">
        <f>'Peak Models'!$Q$7</f>
        <v>#VALUE!</v>
      </c>
      <c r="H340" s="33">
        <f>'Peak Models'!$P$16</f>
        <v>1.5</v>
      </c>
      <c r="I340" s="33">
        <v>12</v>
      </c>
      <c r="J340" s="33" t="e">
        <f>'Peak Models'!$P$13</f>
        <v>#N/A</v>
      </c>
      <c r="K340" s="28" t="e">
        <f t="shared" si="87"/>
        <v>#VALUE!</v>
      </c>
      <c r="L340" s="28" t="e">
        <f>INDEX('Peak Models'!$P$34:$P$64, MATCH(TRUNC(B340, 0), 'Peak Models'!$O$34:$O$64, 0))</f>
        <v>#N/A</v>
      </c>
      <c r="M340" s="28">
        <f>'Peak Models'!$P$15*INDEX('Peak Models'!$Q$34:$Q$64, MATCH(TRUNC(B340, 0),'Peak Models'!$O$34:$O$64, 0))/'Profit per cycles Model'!$E$78</f>
        <v>5.8770022115184268</v>
      </c>
      <c r="N340" s="28" t="e">
        <f t="shared" si="88"/>
        <v>#N/A</v>
      </c>
      <c r="O340" s="71" t="e">
        <f>AVERAGE($N$10:N340)</f>
        <v>#N/A</v>
      </c>
      <c r="P340" s="28" t="e">
        <f t="shared" si="89"/>
        <v>#N/A</v>
      </c>
      <c r="R340" s="28" t="e">
        <f t="shared" si="90"/>
        <v>#VALUE!</v>
      </c>
      <c r="S340" s="25"/>
      <c r="T340" s="25">
        <f t="shared" si="91"/>
        <v>15</v>
      </c>
      <c r="U340" s="33">
        <f>IF(PaybackCustom&gt;0, IF(PaybackCustom&lt;&gt;"Default", PaybackCustom, IF(PaybackStatus&lt;&gt;"",INDEX('Arbitrage Payback Engine'!$Y$2:$Y$6,MATCH(PaybackStatus,'Arbitrage Payback Engine'!$X$2:$X$6,FALSE)),-1)))</f>
        <v>25</v>
      </c>
      <c r="V340" s="32">
        <f t="shared" si="100"/>
        <v>15</v>
      </c>
      <c r="X340" s="29">
        <f t="shared" si="101"/>
        <v>331</v>
      </c>
      <c r="Z340" s="30">
        <f t="shared" si="92"/>
        <v>9.0672510614984247</v>
      </c>
      <c r="AA340" s="28" t="e">
        <f t="shared" si="93"/>
        <v>#N/A</v>
      </c>
      <c r="AB340" s="28" t="e">
        <f t="shared" si="94"/>
        <v>#VALUE!</v>
      </c>
      <c r="AC340" s="29">
        <f t="shared" si="95"/>
        <v>314.04174573055025</v>
      </c>
      <c r="AD340" s="28" t="e">
        <f t="shared" si="96"/>
        <v>#VALUE!</v>
      </c>
      <c r="AE340" s="28" t="e">
        <f t="shared" si="97"/>
        <v>#N/A</v>
      </c>
      <c r="AF340" s="28" t="e">
        <f t="shared" si="98"/>
        <v>#VALUE!</v>
      </c>
      <c r="AH340" s="31" t="e">
        <f t="shared" si="99"/>
        <v>#N/A</v>
      </c>
      <c r="AI340" s="25"/>
      <c r="AJ340" s="31"/>
    </row>
    <row r="341" spans="2:36" x14ac:dyDescent="0.25">
      <c r="B341" s="33">
        <f>'Arbitrage Payback Engine'!E341</f>
        <v>9.0946445692370901</v>
      </c>
      <c r="C341" s="33">
        <f t="shared" si="85"/>
        <v>1000</v>
      </c>
      <c r="D341" s="33">
        <f>'Battery Pricing Model'!$C$17</f>
        <v>1000</v>
      </c>
      <c r="E341" s="33">
        <f t="shared" si="86"/>
        <v>999</v>
      </c>
      <c r="F341" s="33" t="str">
        <f>'Peak Models'!$B$4</f>
        <v>Default</v>
      </c>
      <c r="G341" s="33" t="e">
        <f>'Peak Models'!$Q$7</f>
        <v>#VALUE!</v>
      </c>
      <c r="H341" s="33">
        <f>'Peak Models'!$P$16</f>
        <v>1.5</v>
      </c>
      <c r="I341" s="33">
        <v>12</v>
      </c>
      <c r="J341" s="33" t="e">
        <f>'Peak Models'!$P$13</f>
        <v>#N/A</v>
      </c>
      <c r="K341" s="28" t="e">
        <f t="shared" si="87"/>
        <v>#VALUE!</v>
      </c>
      <c r="L341" s="28" t="e">
        <f>INDEX('Peak Models'!$P$34:$P$64, MATCH(TRUNC(B341, 0), 'Peak Models'!$O$34:$O$64, 0))</f>
        <v>#N/A</v>
      </c>
      <c r="M341" s="28">
        <f>'Peak Models'!$P$15*INDEX('Peak Models'!$Q$34:$Q$64, MATCH(TRUNC(B341, 0),'Peak Models'!$O$34:$O$64, 0))/'Profit per cycles Model'!$E$78</f>
        <v>5.8770022115184268</v>
      </c>
      <c r="N341" s="28" t="e">
        <f t="shared" si="88"/>
        <v>#N/A</v>
      </c>
      <c r="O341" s="71" t="e">
        <f>AVERAGE($N$10:N341)</f>
        <v>#N/A</v>
      </c>
      <c r="P341" s="28" t="e">
        <f t="shared" si="89"/>
        <v>#N/A</v>
      </c>
      <c r="R341" s="28" t="e">
        <f t="shared" si="90"/>
        <v>#VALUE!</v>
      </c>
      <c r="S341" s="25"/>
      <c r="T341" s="25">
        <f t="shared" si="91"/>
        <v>15</v>
      </c>
      <c r="U341" s="33">
        <f>IF(PaybackCustom&gt;0, IF(PaybackCustom&lt;&gt;"Default", PaybackCustom, IF(PaybackStatus&lt;&gt;"",INDEX('Arbitrage Payback Engine'!$Y$2:$Y$6,MATCH(PaybackStatus,'Arbitrage Payback Engine'!$X$2:$X$6,FALSE)),-1)))</f>
        <v>25</v>
      </c>
      <c r="V341" s="32">
        <f t="shared" si="100"/>
        <v>15</v>
      </c>
      <c r="X341" s="29">
        <f t="shared" si="101"/>
        <v>332</v>
      </c>
      <c r="Z341" s="30">
        <f t="shared" si="92"/>
        <v>9.0946445692370901</v>
      </c>
      <c r="AA341" s="28" t="e">
        <f t="shared" si="93"/>
        <v>#N/A</v>
      </c>
      <c r="AB341" s="28" t="e">
        <f t="shared" si="94"/>
        <v>#VALUE!</v>
      </c>
      <c r="AC341" s="29">
        <f t="shared" si="95"/>
        <v>314.99051233396585</v>
      </c>
      <c r="AD341" s="28" t="e">
        <f t="shared" si="96"/>
        <v>#VALUE!</v>
      </c>
      <c r="AE341" s="28" t="e">
        <f t="shared" si="97"/>
        <v>#N/A</v>
      </c>
      <c r="AF341" s="28" t="e">
        <f t="shared" si="98"/>
        <v>#VALUE!</v>
      </c>
      <c r="AH341" s="31" t="e">
        <f t="shared" si="99"/>
        <v>#N/A</v>
      </c>
      <c r="AI341" s="25"/>
      <c r="AJ341" s="31"/>
    </row>
    <row r="342" spans="2:36" x14ac:dyDescent="0.25">
      <c r="B342" s="33">
        <f>'Arbitrage Payback Engine'!E342</f>
        <v>9.1220380769757572</v>
      </c>
      <c r="C342" s="33">
        <f t="shared" si="85"/>
        <v>1000</v>
      </c>
      <c r="D342" s="33">
        <f>'Battery Pricing Model'!$C$17</f>
        <v>1000</v>
      </c>
      <c r="E342" s="33">
        <f t="shared" si="86"/>
        <v>999</v>
      </c>
      <c r="F342" s="33" t="str">
        <f>'Peak Models'!$B$4</f>
        <v>Default</v>
      </c>
      <c r="G342" s="33" t="e">
        <f>'Peak Models'!$Q$7</f>
        <v>#VALUE!</v>
      </c>
      <c r="H342" s="33">
        <f>'Peak Models'!$P$16</f>
        <v>1.5</v>
      </c>
      <c r="I342" s="33">
        <v>12</v>
      </c>
      <c r="J342" s="33" t="e">
        <f>'Peak Models'!$P$13</f>
        <v>#N/A</v>
      </c>
      <c r="K342" s="28" t="e">
        <f t="shared" si="87"/>
        <v>#VALUE!</v>
      </c>
      <c r="L342" s="28" t="e">
        <f>INDEX('Peak Models'!$P$34:$P$64, MATCH(TRUNC(B342, 0), 'Peak Models'!$O$34:$O$64, 0))</f>
        <v>#N/A</v>
      </c>
      <c r="M342" s="28">
        <f>'Peak Models'!$P$15*INDEX('Peak Models'!$Q$34:$Q$64, MATCH(TRUNC(B342, 0),'Peak Models'!$O$34:$O$64, 0))/'Profit per cycles Model'!$E$78</f>
        <v>5.8770022115184268</v>
      </c>
      <c r="N342" s="28" t="e">
        <f t="shared" si="88"/>
        <v>#N/A</v>
      </c>
      <c r="O342" s="71" t="e">
        <f>AVERAGE($N$10:N342)</f>
        <v>#N/A</v>
      </c>
      <c r="P342" s="28" t="e">
        <f t="shared" si="89"/>
        <v>#N/A</v>
      </c>
      <c r="R342" s="28" t="e">
        <f t="shared" si="90"/>
        <v>#VALUE!</v>
      </c>
      <c r="S342" s="25"/>
      <c r="T342" s="25">
        <f t="shared" si="91"/>
        <v>15</v>
      </c>
      <c r="U342" s="33">
        <f>IF(PaybackCustom&gt;0, IF(PaybackCustom&lt;&gt;"Default", PaybackCustom, IF(PaybackStatus&lt;&gt;"",INDEX('Arbitrage Payback Engine'!$Y$2:$Y$6,MATCH(PaybackStatus,'Arbitrage Payback Engine'!$X$2:$X$6,FALSE)),-1)))</f>
        <v>25</v>
      </c>
      <c r="V342" s="32">
        <f t="shared" si="100"/>
        <v>15</v>
      </c>
      <c r="X342" s="29">
        <f t="shared" si="101"/>
        <v>333</v>
      </c>
      <c r="Z342" s="30">
        <f t="shared" si="92"/>
        <v>9.1220380769757572</v>
      </c>
      <c r="AA342" s="28" t="e">
        <f t="shared" si="93"/>
        <v>#N/A</v>
      </c>
      <c r="AB342" s="28" t="e">
        <f t="shared" si="94"/>
        <v>#VALUE!</v>
      </c>
      <c r="AC342" s="29">
        <f t="shared" si="95"/>
        <v>315.93927893738146</v>
      </c>
      <c r="AD342" s="28" t="e">
        <f t="shared" si="96"/>
        <v>#VALUE!</v>
      </c>
      <c r="AE342" s="28" t="e">
        <f t="shared" si="97"/>
        <v>#N/A</v>
      </c>
      <c r="AF342" s="28" t="e">
        <f t="shared" si="98"/>
        <v>#VALUE!</v>
      </c>
      <c r="AH342" s="31" t="e">
        <f t="shared" si="99"/>
        <v>#N/A</v>
      </c>
      <c r="AI342" s="25"/>
      <c r="AJ342" s="31"/>
    </row>
    <row r="343" spans="2:36" x14ac:dyDescent="0.25">
      <c r="B343" s="33">
        <f>'Arbitrage Payback Engine'!E343</f>
        <v>9.1494315847144225</v>
      </c>
      <c r="C343" s="33">
        <f t="shared" si="85"/>
        <v>1000</v>
      </c>
      <c r="D343" s="33">
        <f>'Battery Pricing Model'!$C$17</f>
        <v>1000</v>
      </c>
      <c r="E343" s="33">
        <f t="shared" si="86"/>
        <v>999</v>
      </c>
      <c r="F343" s="33" t="str">
        <f>'Peak Models'!$B$4</f>
        <v>Default</v>
      </c>
      <c r="G343" s="33" t="e">
        <f>'Peak Models'!$Q$7</f>
        <v>#VALUE!</v>
      </c>
      <c r="H343" s="33">
        <f>'Peak Models'!$P$16</f>
        <v>1.5</v>
      </c>
      <c r="I343" s="33">
        <v>12</v>
      </c>
      <c r="J343" s="33" t="e">
        <f>'Peak Models'!$P$13</f>
        <v>#N/A</v>
      </c>
      <c r="K343" s="28" t="e">
        <f t="shared" si="87"/>
        <v>#VALUE!</v>
      </c>
      <c r="L343" s="28" t="e">
        <f>INDEX('Peak Models'!$P$34:$P$64, MATCH(TRUNC(B343, 0), 'Peak Models'!$O$34:$O$64, 0))</f>
        <v>#N/A</v>
      </c>
      <c r="M343" s="28">
        <f>'Peak Models'!$P$15*INDEX('Peak Models'!$Q$34:$Q$64, MATCH(TRUNC(B343, 0),'Peak Models'!$O$34:$O$64, 0))/'Profit per cycles Model'!$E$78</f>
        <v>5.8770022115184268</v>
      </c>
      <c r="N343" s="28" t="e">
        <f t="shared" si="88"/>
        <v>#N/A</v>
      </c>
      <c r="O343" s="71" t="e">
        <f>AVERAGE($N$10:N343)</f>
        <v>#N/A</v>
      </c>
      <c r="P343" s="28" t="e">
        <f t="shared" si="89"/>
        <v>#N/A</v>
      </c>
      <c r="R343" s="28" t="e">
        <f t="shared" si="90"/>
        <v>#VALUE!</v>
      </c>
      <c r="S343" s="25"/>
      <c r="T343" s="25">
        <f t="shared" si="91"/>
        <v>15</v>
      </c>
      <c r="U343" s="33">
        <f>IF(PaybackCustom&gt;0, IF(PaybackCustom&lt;&gt;"Default", PaybackCustom, IF(PaybackStatus&lt;&gt;"",INDEX('Arbitrage Payback Engine'!$Y$2:$Y$6,MATCH(PaybackStatus,'Arbitrage Payback Engine'!$X$2:$X$6,FALSE)),-1)))</f>
        <v>25</v>
      </c>
      <c r="V343" s="32">
        <f t="shared" si="100"/>
        <v>15</v>
      </c>
      <c r="X343" s="29">
        <f t="shared" si="101"/>
        <v>334</v>
      </c>
      <c r="Z343" s="30">
        <f t="shared" si="92"/>
        <v>9.1494315847144225</v>
      </c>
      <c r="AA343" s="28" t="e">
        <f t="shared" si="93"/>
        <v>#N/A</v>
      </c>
      <c r="AB343" s="28" t="e">
        <f t="shared" si="94"/>
        <v>#VALUE!</v>
      </c>
      <c r="AC343" s="29">
        <f t="shared" si="95"/>
        <v>316.88804554079695</v>
      </c>
      <c r="AD343" s="28" t="e">
        <f t="shared" si="96"/>
        <v>#VALUE!</v>
      </c>
      <c r="AE343" s="28" t="e">
        <f t="shared" si="97"/>
        <v>#N/A</v>
      </c>
      <c r="AF343" s="28" t="e">
        <f t="shared" si="98"/>
        <v>#VALUE!</v>
      </c>
      <c r="AH343" s="31" t="e">
        <f t="shared" si="99"/>
        <v>#N/A</v>
      </c>
      <c r="AI343" s="25"/>
      <c r="AJ343" s="31"/>
    </row>
    <row r="344" spans="2:36" x14ac:dyDescent="0.25">
      <c r="B344" s="33">
        <f>'Arbitrage Payback Engine'!E344</f>
        <v>9.1768250924530879</v>
      </c>
      <c r="C344" s="33">
        <f t="shared" si="85"/>
        <v>1000</v>
      </c>
      <c r="D344" s="33">
        <f>'Battery Pricing Model'!$C$17</f>
        <v>1000</v>
      </c>
      <c r="E344" s="33">
        <f t="shared" si="86"/>
        <v>999</v>
      </c>
      <c r="F344" s="33" t="str">
        <f>'Peak Models'!$B$4</f>
        <v>Default</v>
      </c>
      <c r="G344" s="33" t="e">
        <f>'Peak Models'!$Q$7</f>
        <v>#VALUE!</v>
      </c>
      <c r="H344" s="33">
        <f>'Peak Models'!$P$16</f>
        <v>1.5</v>
      </c>
      <c r="I344" s="33">
        <v>12</v>
      </c>
      <c r="J344" s="33" t="e">
        <f>'Peak Models'!$P$13</f>
        <v>#N/A</v>
      </c>
      <c r="K344" s="28" t="e">
        <f t="shared" si="87"/>
        <v>#VALUE!</v>
      </c>
      <c r="L344" s="28" t="e">
        <f>INDEX('Peak Models'!$P$34:$P$64, MATCH(TRUNC(B344, 0), 'Peak Models'!$O$34:$O$64, 0))</f>
        <v>#N/A</v>
      </c>
      <c r="M344" s="28">
        <f>'Peak Models'!$P$15*INDEX('Peak Models'!$Q$34:$Q$64, MATCH(TRUNC(B344, 0),'Peak Models'!$O$34:$O$64, 0))/'Profit per cycles Model'!$E$78</f>
        <v>5.8770022115184268</v>
      </c>
      <c r="N344" s="28" t="e">
        <f t="shared" si="88"/>
        <v>#N/A</v>
      </c>
      <c r="O344" s="71" t="e">
        <f>AVERAGE($N$10:N344)</f>
        <v>#N/A</v>
      </c>
      <c r="P344" s="28" t="e">
        <f t="shared" si="89"/>
        <v>#N/A</v>
      </c>
      <c r="R344" s="28" t="e">
        <f t="shared" si="90"/>
        <v>#VALUE!</v>
      </c>
      <c r="S344" s="25"/>
      <c r="T344" s="25">
        <f t="shared" si="91"/>
        <v>15</v>
      </c>
      <c r="U344" s="33">
        <f>IF(PaybackCustom&gt;0, IF(PaybackCustom&lt;&gt;"Default", PaybackCustom, IF(PaybackStatus&lt;&gt;"",INDEX('Arbitrage Payback Engine'!$Y$2:$Y$6,MATCH(PaybackStatus,'Arbitrage Payback Engine'!$X$2:$X$6,FALSE)),-1)))</f>
        <v>25</v>
      </c>
      <c r="V344" s="32">
        <f t="shared" si="100"/>
        <v>15</v>
      </c>
      <c r="X344" s="29">
        <f t="shared" si="101"/>
        <v>335</v>
      </c>
      <c r="Z344" s="30">
        <f t="shared" si="92"/>
        <v>9.1768250924530879</v>
      </c>
      <c r="AA344" s="28" t="e">
        <f t="shared" si="93"/>
        <v>#N/A</v>
      </c>
      <c r="AB344" s="28" t="e">
        <f t="shared" si="94"/>
        <v>#VALUE!</v>
      </c>
      <c r="AC344" s="29">
        <f t="shared" si="95"/>
        <v>317.8368121442125</v>
      </c>
      <c r="AD344" s="28" t="e">
        <f t="shared" si="96"/>
        <v>#VALUE!</v>
      </c>
      <c r="AE344" s="28" t="e">
        <f t="shared" si="97"/>
        <v>#N/A</v>
      </c>
      <c r="AF344" s="28" t="e">
        <f t="shared" si="98"/>
        <v>#VALUE!</v>
      </c>
      <c r="AH344" s="31" t="e">
        <f t="shared" si="99"/>
        <v>#N/A</v>
      </c>
      <c r="AI344" s="25"/>
      <c r="AJ344" s="31"/>
    </row>
    <row r="345" spans="2:36" x14ac:dyDescent="0.25">
      <c r="B345" s="33">
        <f>'Arbitrage Payback Engine'!E345</f>
        <v>9.204218600191755</v>
      </c>
      <c r="C345" s="33">
        <f t="shared" si="85"/>
        <v>1000</v>
      </c>
      <c r="D345" s="33">
        <f>'Battery Pricing Model'!$C$17</f>
        <v>1000</v>
      </c>
      <c r="E345" s="33">
        <f t="shared" si="86"/>
        <v>999</v>
      </c>
      <c r="F345" s="33" t="str">
        <f>'Peak Models'!$B$4</f>
        <v>Default</v>
      </c>
      <c r="G345" s="33" t="e">
        <f>'Peak Models'!$Q$7</f>
        <v>#VALUE!</v>
      </c>
      <c r="H345" s="33">
        <f>'Peak Models'!$P$16</f>
        <v>1.5</v>
      </c>
      <c r="I345" s="33">
        <v>12</v>
      </c>
      <c r="J345" s="33" t="e">
        <f>'Peak Models'!$P$13</f>
        <v>#N/A</v>
      </c>
      <c r="K345" s="28" t="e">
        <f t="shared" si="87"/>
        <v>#VALUE!</v>
      </c>
      <c r="L345" s="28" t="e">
        <f>INDEX('Peak Models'!$P$34:$P$64, MATCH(TRUNC(B345, 0), 'Peak Models'!$O$34:$O$64, 0))</f>
        <v>#N/A</v>
      </c>
      <c r="M345" s="28">
        <f>'Peak Models'!$P$15*INDEX('Peak Models'!$Q$34:$Q$64, MATCH(TRUNC(B345, 0),'Peak Models'!$O$34:$O$64, 0))/'Profit per cycles Model'!$E$78</f>
        <v>5.8770022115184268</v>
      </c>
      <c r="N345" s="28" t="e">
        <f t="shared" si="88"/>
        <v>#N/A</v>
      </c>
      <c r="O345" s="71" t="e">
        <f>AVERAGE($N$10:N345)</f>
        <v>#N/A</v>
      </c>
      <c r="P345" s="28" t="e">
        <f t="shared" si="89"/>
        <v>#N/A</v>
      </c>
      <c r="R345" s="28" t="e">
        <f t="shared" si="90"/>
        <v>#VALUE!</v>
      </c>
      <c r="S345" s="25"/>
      <c r="T345" s="25">
        <f t="shared" si="91"/>
        <v>15</v>
      </c>
      <c r="U345" s="33">
        <f>IF(PaybackCustom&gt;0, IF(PaybackCustom&lt;&gt;"Default", PaybackCustom, IF(PaybackStatus&lt;&gt;"",INDEX('Arbitrage Payback Engine'!$Y$2:$Y$6,MATCH(PaybackStatus,'Arbitrage Payback Engine'!$X$2:$X$6,FALSE)),-1)))</f>
        <v>25</v>
      </c>
      <c r="V345" s="32">
        <f t="shared" si="100"/>
        <v>15</v>
      </c>
      <c r="X345" s="29">
        <f t="shared" si="101"/>
        <v>336</v>
      </c>
      <c r="Z345" s="30">
        <f t="shared" si="92"/>
        <v>9.204218600191755</v>
      </c>
      <c r="AA345" s="28" t="e">
        <f t="shared" si="93"/>
        <v>#N/A</v>
      </c>
      <c r="AB345" s="28" t="e">
        <f t="shared" si="94"/>
        <v>#VALUE!</v>
      </c>
      <c r="AC345" s="29">
        <f t="shared" si="95"/>
        <v>318.78557874762811</v>
      </c>
      <c r="AD345" s="28" t="e">
        <f t="shared" si="96"/>
        <v>#VALUE!</v>
      </c>
      <c r="AE345" s="28" t="e">
        <f t="shared" si="97"/>
        <v>#N/A</v>
      </c>
      <c r="AF345" s="28" t="e">
        <f t="shared" si="98"/>
        <v>#VALUE!</v>
      </c>
      <c r="AH345" s="31" t="e">
        <f t="shared" si="99"/>
        <v>#N/A</v>
      </c>
      <c r="AI345" s="25"/>
      <c r="AJ345" s="31"/>
    </row>
    <row r="346" spans="2:36" x14ac:dyDescent="0.25">
      <c r="B346" s="33">
        <f>'Arbitrage Payback Engine'!E346</f>
        <v>9.2316121079304203</v>
      </c>
      <c r="C346" s="33">
        <f t="shared" si="85"/>
        <v>1000</v>
      </c>
      <c r="D346" s="33">
        <f>'Battery Pricing Model'!$C$17</f>
        <v>1000</v>
      </c>
      <c r="E346" s="33">
        <f t="shared" si="86"/>
        <v>999</v>
      </c>
      <c r="F346" s="33" t="str">
        <f>'Peak Models'!$B$4</f>
        <v>Default</v>
      </c>
      <c r="G346" s="33" t="e">
        <f>'Peak Models'!$Q$7</f>
        <v>#VALUE!</v>
      </c>
      <c r="H346" s="33">
        <f>'Peak Models'!$P$16</f>
        <v>1.5</v>
      </c>
      <c r="I346" s="33">
        <v>12</v>
      </c>
      <c r="J346" s="33" t="e">
        <f>'Peak Models'!$P$13</f>
        <v>#N/A</v>
      </c>
      <c r="K346" s="28" t="e">
        <f t="shared" si="87"/>
        <v>#VALUE!</v>
      </c>
      <c r="L346" s="28" t="e">
        <f>INDEX('Peak Models'!$P$34:$P$64, MATCH(TRUNC(B346, 0), 'Peak Models'!$O$34:$O$64, 0))</f>
        <v>#N/A</v>
      </c>
      <c r="M346" s="28">
        <f>'Peak Models'!$P$15*INDEX('Peak Models'!$Q$34:$Q$64, MATCH(TRUNC(B346, 0),'Peak Models'!$O$34:$O$64, 0))/'Profit per cycles Model'!$E$78</f>
        <v>5.8770022115184268</v>
      </c>
      <c r="N346" s="28" t="e">
        <f t="shared" si="88"/>
        <v>#N/A</v>
      </c>
      <c r="O346" s="71" t="e">
        <f>AVERAGE($N$10:N346)</f>
        <v>#N/A</v>
      </c>
      <c r="P346" s="28" t="e">
        <f t="shared" si="89"/>
        <v>#N/A</v>
      </c>
      <c r="R346" s="28" t="e">
        <f t="shared" si="90"/>
        <v>#VALUE!</v>
      </c>
      <c r="S346" s="25"/>
      <c r="T346" s="25">
        <f t="shared" si="91"/>
        <v>15</v>
      </c>
      <c r="U346" s="33">
        <f>IF(PaybackCustom&gt;0, IF(PaybackCustom&lt;&gt;"Default", PaybackCustom, IF(PaybackStatus&lt;&gt;"",INDEX('Arbitrage Payback Engine'!$Y$2:$Y$6,MATCH(PaybackStatus,'Arbitrage Payback Engine'!$X$2:$X$6,FALSE)),-1)))</f>
        <v>25</v>
      </c>
      <c r="V346" s="32">
        <f t="shared" si="100"/>
        <v>15</v>
      </c>
      <c r="X346" s="29">
        <f t="shared" si="101"/>
        <v>337</v>
      </c>
      <c r="Z346" s="30">
        <f t="shared" si="92"/>
        <v>9.2316121079304203</v>
      </c>
      <c r="AA346" s="28" t="e">
        <f t="shared" si="93"/>
        <v>#N/A</v>
      </c>
      <c r="AB346" s="28" t="e">
        <f t="shared" si="94"/>
        <v>#VALUE!</v>
      </c>
      <c r="AC346" s="29">
        <f t="shared" si="95"/>
        <v>319.73434535104366</v>
      </c>
      <c r="AD346" s="28" t="e">
        <f t="shared" si="96"/>
        <v>#VALUE!</v>
      </c>
      <c r="AE346" s="28" t="e">
        <f t="shared" si="97"/>
        <v>#N/A</v>
      </c>
      <c r="AF346" s="28" t="e">
        <f t="shared" si="98"/>
        <v>#VALUE!</v>
      </c>
      <c r="AH346" s="31" t="e">
        <f t="shared" si="99"/>
        <v>#N/A</v>
      </c>
      <c r="AI346" s="25"/>
      <c r="AJ346" s="31"/>
    </row>
    <row r="347" spans="2:36" x14ac:dyDescent="0.25">
      <c r="B347" s="33">
        <f>'Arbitrage Payback Engine'!E347</f>
        <v>9.2590056156690856</v>
      </c>
      <c r="C347" s="33">
        <f t="shared" si="85"/>
        <v>1000</v>
      </c>
      <c r="D347" s="33">
        <f>'Battery Pricing Model'!$C$17</f>
        <v>1000</v>
      </c>
      <c r="E347" s="33">
        <f t="shared" si="86"/>
        <v>999</v>
      </c>
      <c r="F347" s="33" t="str">
        <f>'Peak Models'!$B$4</f>
        <v>Default</v>
      </c>
      <c r="G347" s="33" t="e">
        <f>'Peak Models'!$Q$7</f>
        <v>#VALUE!</v>
      </c>
      <c r="H347" s="33">
        <f>'Peak Models'!$P$16</f>
        <v>1.5</v>
      </c>
      <c r="I347" s="33">
        <v>12</v>
      </c>
      <c r="J347" s="33" t="e">
        <f>'Peak Models'!$P$13</f>
        <v>#N/A</v>
      </c>
      <c r="K347" s="28" t="e">
        <f t="shared" si="87"/>
        <v>#VALUE!</v>
      </c>
      <c r="L347" s="28" t="e">
        <f>INDEX('Peak Models'!$P$34:$P$64, MATCH(TRUNC(B347, 0), 'Peak Models'!$O$34:$O$64, 0))</f>
        <v>#N/A</v>
      </c>
      <c r="M347" s="28">
        <f>'Peak Models'!$P$15*INDEX('Peak Models'!$Q$34:$Q$64, MATCH(TRUNC(B347, 0),'Peak Models'!$O$34:$O$64, 0))/'Profit per cycles Model'!$E$78</f>
        <v>5.8770022115184268</v>
      </c>
      <c r="N347" s="28" t="e">
        <f t="shared" si="88"/>
        <v>#N/A</v>
      </c>
      <c r="O347" s="71" t="e">
        <f>AVERAGE($N$10:N347)</f>
        <v>#N/A</v>
      </c>
      <c r="P347" s="28" t="e">
        <f t="shared" si="89"/>
        <v>#N/A</v>
      </c>
      <c r="R347" s="28" t="e">
        <f t="shared" si="90"/>
        <v>#VALUE!</v>
      </c>
      <c r="S347" s="25"/>
      <c r="T347" s="25">
        <f t="shared" si="91"/>
        <v>15</v>
      </c>
      <c r="U347" s="33">
        <f>IF(PaybackCustom&gt;0, IF(PaybackCustom&lt;&gt;"Default", PaybackCustom, IF(PaybackStatus&lt;&gt;"",INDEX('Arbitrage Payback Engine'!$Y$2:$Y$6,MATCH(PaybackStatus,'Arbitrage Payback Engine'!$X$2:$X$6,FALSE)),-1)))</f>
        <v>25</v>
      </c>
      <c r="V347" s="32">
        <f t="shared" si="100"/>
        <v>15</v>
      </c>
      <c r="X347" s="29">
        <f t="shared" si="101"/>
        <v>338</v>
      </c>
      <c r="Z347" s="30">
        <f t="shared" si="92"/>
        <v>9.2590056156690856</v>
      </c>
      <c r="AA347" s="28" t="e">
        <f t="shared" si="93"/>
        <v>#N/A</v>
      </c>
      <c r="AB347" s="28" t="e">
        <f t="shared" si="94"/>
        <v>#VALUE!</v>
      </c>
      <c r="AC347" s="29">
        <f t="shared" si="95"/>
        <v>320.68311195445921</v>
      </c>
      <c r="AD347" s="28" t="e">
        <f t="shared" si="96"/>
        <v>#VALUE!</v>
      </c>
      <c r="AE347" s="28" t="e">
        <f t="shared" si="97"/>
        <v>#N/A</v>
      </c>
      <c r="AF347" s="28" t="e">
        <f t="shared" si="98"/>
        <v>#VALUE!</v>
      </c>
      <c r="AH347" s="31" t="e">
        <f t="shared" si="99"/>
        <v>#N/A</v>
      </c>
      <c r="AI347" s="25"/>
      <c r="AJ347" s="31"/>
    </row>
    <row r="348" spans="2:36" x14ac:dyDescent="0.25">
      <c r="B348" s="33">
        <f>'Arbitrage Payback Engine'!E348</f>
        <v>9.2863991234077528</v>
      </c>
      <c r="C348" s="33">
        <f t="shared" si="85"/>
        <v>1000</v>
      </c>
      <c r="D348" s="33">
        <f>'Battery Pricing Model'!$C$17</f>
        <v>1000</v>
      </c>
      <c r="E348" s="33">
        <f t="shared" si="86"/>
        <v>999</v>
      </c>
      <c r="F348" s="33" t="str">
        <f>'Peak Models'!$B$4</f>
        <v>Default</v>
      </c>
      <c r="G348" s="33" t="e">
        <f>'Peak Models'!$Q$7</f>
        <v>#VALUE!</v>
      </c>
      <c r="H348" s="33">
        <f>'Peak Models'!$P$16</f>
        <v>1.5</v>
      </c>
      <c r="I348" s="33">
        <v>12</v>
      </c>
      <c r="J348" s="33" t="e">
        <f>'Peak Models'!$P$13</f>
        <v>#N/A</v>
      </c>
      <c r="K348" s="28" t="e">
        <f t="shared" si="87"/>
        <v>#VALUE!</v>
      </c>
      <c r="L348" s="28" t="e">
        <f>INDEX('Peak Models'!$P$34:$P$64, MATCH(TRUNC(B348, 0), 'Peak Models'!$O$34:$O$64, 0))</f>
        <v>#N/A</v>
      </c>
      <c r="M348" s="28">
        <f>'Peak Models'!$P$15*INDEX('Peak Models'!$Q$34:$Q$64, MATCH(TRUNC(B348, 0),'Peak Models'!$O$34:$O$64, 0))/'Profit per cycles Model'!$E$78</f>
        <v>5.8770022115184268</v>
      </c>
      <c r="N348" s="28" t="e">
        <f t="shared" si="88"/>
        <v>#N/A</v>
      </c>
      <c r="O348" s="71" t="e">
        <f>AVERAGE($N$10:N348)</f>
        <v>#N/A</v>
      </c>
      <c r="P348" s="28" t="e">
        <f t="shared" si="89"/>
        <v>#N/A</v>
      </c>
      <c r="R348" s="28" t="e">
        <f t="shared" si="90"/>
        <v>#VALUE!</v>
      </c>
      <c r="S348" s="25"/>
      <c r="T348" s="25">
        <f t="shared" si="91"/>
        <v>15</v>
      </c>
      <c r="U348" s="33">
        <f>IF(PaybackCustom&gt;0, IF(PaybackCustom&lt;&gt;"Default", PaybackCustom, IF(PaybackStatus&lt;&gt;"",INDEX('Arbitrage Payback Engine'!$Y$2:$Y$6,MATCH(PaybackStatus,'Arbitrage Payback Engine'!$X$2:$X$6,FALSE)),-1)))</f>
        <v>25</v>
      </c>
      <c r="V348" s="32">
        <f t="shared" si="100"/>
        <v>15</v>
      </c>
      <c r="X348" s="29">
        <f t="shared" si="101"/>
        <v>339</v>
      </c>
      <c r="Z348" s="30">
        <f t="shared" si="92"/>
        <v>9.2863991234077528</v>
      </c>
      <c r="AA348" s="28" t="e">
        <f t="shared" si="93"/>
        <v>#N/A</v>
      </c>
      <c r="AB348" s="28" t="e">
        <f t="shared" si="94"/>
        <v>#VALUE!</v>
      </c>
      <c r="AC348" s="29">
        <f t="shared" si="95"/>
        <v>321.63187855787481</v>
      </c>
      <c r="AD348" s="28" t="e">
        <f t="shared" si="96"/>
        <v>#VALUE!</v>
      </c>
      <c r="AE348" s="28" t="e">
        <f t="shared" si="97"/>
        <v>#N/A</v>
      </c>
      <c r="AF348" s="28" t="e">
        <f t="shared" si="98"/>
        <v>#VALUE!</v>
      </c>
      <c r="AH348" s="31" t="e">
        <f t="shared" si="99"/>
        <v>#N/A</v>
      </c>
      <c r="AI348" s="25"/>
      <c r="AJ348" s="31"/>
    </row>
    <row r="349" spans="2:36" x14ac:dyDescent="0.25">
      <c r="B349" s="33">
        <f>'Arbitrage Payback Engine'!E349</f>
        <v>9.3137926311464181</v>
      </c>
      <c r="C349" s="33">
        <f t="shared" si="85"/>
        <v>1000</v>
      </c>
      <c r="D349" s="33">
        <f>'Battery Pricing Model'!$C$17</f>
        <v>1000</v>
      </c>
      <c r="E349" s="33">
        <f t="shared" si="86"/>
        <v>999</v>
      </c>
      <c r="F349" s="33" t="str">
        <f>'Peak Models'!$B$4</f>
        <v>Default</v>
      </c>
      <c r="G349" s="33" t="e">
        <f>'Peak Models'!$Q$7</f>
        <v>#VALUE!</v>
      </c>
      <c r="H349" s="33">
        <f>'Peak Models'!$P$16</f>
        <v>1.5</v>
      </c>
      <c r="I349" s="33">
        <v>12</v>
      </c>
      <c r="J349" s="33" t="e">
        <f>'Peak Models'!$P$13</f>
        <v>#N/A</v>
      </c>
      <c r="K349" s="28" t="e">
        <f t="shared" si="87"/>
        <v>#VALUE!</v>
      </c>
      <c r="L349" s="28" t="e">
        <f>INDEX('Peak Models'!$P$34:$P$64, MATCH(TRUNC(B349, 0), 'Peak Models'!$O$34:$O$64, 0))</f>
        <v>#N/A</v>
      </c>
      <c r="M349" s="28">
        <f>'Peak Models'!$P$15*INDEX('Peak Models'!$Q$34:$Q$64, MATCH(TRUNC(B349, 0),'Peak Models'!$O$34:$O$64, 0))/'Profit per cycles Model'!$E$78</f>
        <v>5.8770022115184268</v>
      </c>
      <c r="N349" s="28" t="e">
        <f t="shared" si="88"/>
        <v>#N/A</v>
      </c>
      <c r="O349" s="71" t="e">
        <f>AVERAGE($N$10:N349)</f>
        <v>#N/A</v>
      </c>
      <c r="P349" s="28" t="e">
        <f t="shared" si="89"/>
        <v>#N/A</v>
      </c>
      <c r="R349" s="28" t="e">
        <f t="shared" si="90"/>
        <v>#VALUE!</v>
      </c>
      <c r="S349" s="25"/>
      <c r="T349" s="25">
        <f t="shared" si="91"/>
        <v>15</v>
      </c>
      <c r="U349" s="33">
        <f>IF(PaybackCustom&gt;0, IF(PaybackCustom&lt;&gt;"Default", PaybackCustom, IF(PaybackStatus&lt;&gt;"",INDEX('Arbitrage Payback Engine'!$Y$2:$Y$6,MATCH(PaybackStatus,'Arbitrage Payback Engine'!$X$2:$X$6,FALSE)),-1)))</f>
        <v>25</v>
      </c>
      <c r="V349" s="32">
        <f t="shared" si="100"/>
        <v>15</v>
      </c>
      <c r="X349" s="29">
        <f t="shared" si="101"/>
        <v>340</v>
      </c>
      <c r="Z349" s="30">
        <f t="shared" si="92"/>
        <v>9.3137926311464181</v>
      </c>
      <c r="AA349" s="28" t="e">
        <f t="shared" si="93"/>
        <v>#N/A</v>
      </c>
      <c r="AB349" s="28" t="e">
        <f t="shared" si="94"/>
        <v>#VALUE!</v>
      </c>
      <c r="AC349" s="29">
        <f t="shared" si="95"/>
        <v>322.58064516129031</v>
      </c>
      <c r="AD349" s="28" t="e">
        <f t="shared" si="96"/>
        <v>#VALUE!</v>
      </c>
      <c r="AE349" s="28" t="e">
        <f t="shared" si="97"/>
        <v>#N/A</v>
      </c>
      <c r="AF349" s="28" t="e">
        <f t="shared" si="98"/>
        <v>#VALUE!</v>
      </c>
      <c r="AH349" s="31" t="e">
        <f t="shared" si="99"/>
        <v>#N/A</v>
      </c>
      <c r="AI349" s="25"/>
      <c r="AJ349" s="31"/>
    </row>
    <row r="350" spans="2:36" x14ac:dyDescent="0.25">
      <c r="B350" s="33">
        <f>'Arbitrage Payback Engine'!E350</f>
        <v>9.3411861388850834</v>
      </c>
      <c r="C350" s="33">
        <f t="shared" si="85"/>
        <v>1000</v>
      </c>
      <c r="D350" s="33">
        <f>'Battery Pricing Model'!$C$17</f>
        <v>1000</v>
      </c>
      <c r="E350" s="33">
        <f t="shared" si="86"/>
        <v>999</v>
      </c>
      <c r="F350" s="33" t="str">
        <f>'Peak Models'!$B$4</f>
        <v>Default</v>
      </c>
      <c r="G350" s="33" t="e">
        <f>'Peak Models'!$Q$7</f>
        <v>#VALUE!</v>
      </c>
      <c r="H350" s="33">
        <f>'Peak Models'!$P$16</f>
        <v>1.5</v>
      </c>
      <c r="I350" s="33">
        <v>12</v>
      </c>
      <c r="J350" s="33" t="e">
        <f>'Peak Models'!$P$13</f>
        <v>#N/A</v>
      </c>
      <c r="K350" s="28" t="e">
        <f t="shared" si="87"/>
        <v>#VALUE!</v>
      </c>
      <c r="L350" s="28" t="e">
        <f>INDEX('Peak Models'!$P$34:$P$64, MATCH(TRUNC(B350, 0), 'Peak Models'!$O$34:$O$64, 0))</f>
        <v>#N/A</v>
      </c>
      <c r="M350" s="28">
        <f>'Peak Models'!$P$15*INDEX('Peak Models'!$Q$34:$Q$64, MATCH(TRUNC(B350, 0),'Peak Models'!$O$34:$O$64, 0))/'Profit per cycles Model'!$E$78</f>
        <v>5.8770022115184268</v>
      </c>
      <c r="N350" s="28" t="e">
        <f t="shared" si="88"/>
        <v>#N/A</v>
      </c>
      <c r="O350" s="71" t="e">
        <f>AVERAGE($N$10:N350)</f>
        <v>#N/A</v>
      </c>
      <c r="P350" s="28" t="e">
        <f t="shared" si="89"/>
        <v>#N/A</v>
      </c>
      <c r="R350" s="28" t="e">
        <f t="shared" si="90"/>
        <v>#VALUE!</v>
      </c>
      <c r="S350" s="25"/>
      <c r="T350" s="25">
        <f t="shared" si="91"/>
        <v>15</v>
      </c>
      <c r="U350" s="33">
        <f>IF(PaybackCustom&gt;0, IF(PaybackCustom&lt;&gt;"Default", PaybackCustom, IF(PaybackStatus&lt;&gt;"",INDEX('Arbitrage Payback Engine'!$Y$2:$Y$6,MATCH(PaybackStatus,'Arbitrage Payback Engine'!$X$2:$X$6,FALSE)),-1)))</f>
        <v>25</v>
      </c>
      <c r="V350" s="32">
        <f t="shared" si="100"/>
        <v>15</v>
      </c>
      <c r="X350" s="29">
        <f t="shared" si="101"/>
        <v>341</v>
      </c>
      <c r="Z350" s="30">
        <f t="shared" si="92"/>
        <v>9.3411861388850834</v>
      </c>
      <c r="AA350" s="28" t="e">
        <f t="shared" si="93"/>
        <v>#N/A</v>
      </c>
      <c r="AB350" s="28" t="e">
        <f t="shared" si="94"/>
        <v>#VALUE!</v>
      </c>
      <c r="AC350" s="29">
        <f t="shared" si="95"/>
        <v>323.52941176470586</v>
      </c>
      <c r="AD350" s="28" t="e">
        <f t="shared" si="96"/>
        <v>#VALUE!</v>
      </c>
      <c r="AE350" s="28" t="e">
        <f t="shared" si="97"/>
        <v>#N/A</v>
      </c>
      <c r="AF350" s="28" t="e">
        <f t="shared" si="98"/>
        <v>#VALUE!</v>
      </c>
      <c r="AH350" s="31" t="e">
        <f t="shared" si="99"/>
        <v>#N/A</v>
      </c>
      <c r="AI350" s="25"/>
      <c r="AJ350" s="31"/>
    </row>
    <row r="351" spans="2:36" x14ac:dyDescent="0.25">
      <c r="B351" s="33">
        <f>'Arbitrage Payback Engine'!E351</f>
        <v>9.3685796466237505</v>
      </c>
      <c r="C351" s="33">
        <f t="shared" si="85"/>
        <v>1000</v>
      </c>
      <c r="D351" s="33">
        <f>'Battery Pricing Model'!$C$17</f>
        <v>1000</v>
      </c>
      <c r="E351" s="33">
        <f t="shared" si="86"/>
        <v>999</v>
      </c>
      <c r="F351" s="33" t="str">
        <f>'Peak Models'!$B$4</f>
        <v>Default</v>
      </c>
      <c r="G351" s="33" t="e">
        <f>'Peak Models'!$Q$7</f>
        <v>#VALUE!</v>
      </c>
      <c r="H351" s="33">
        <f>'Peak Models'!$P$16</f>
        <v>1.5</v>
      </c>
      <c r="I351" s="33">
        <v>12</v>
      </c>
      <c r="J351" s="33" t="e">
        <f>'Peak Models'!$P$13</f>
        <v>#N/A</v>
      </c>
      <c r="K351" s="28" t="e">
        <f t="shared" si="87"/>
        <v>#VALUE!</v>
      </c>
      <c r="L351" s="28" t="e">
        <f>INDEX('Peak Models'!$P$34:$P$64, MATCH(TRUNC(B351, 0), 'Peak Models'!$O$34:$O$64, 0))</f>
        <v>#N/A</v>
      </c>
      <c r="M351" s="28">
        <f>'Peak Models'!$P$15*INDEX('Peak Models'!$Q$34:$Q$64, MATCH(TRUNC(B351, 0),'Peak Models'!$O$34:$O$64, 0))/'Profit per cycles Model'!$E$78</f>
        <v>5.8770022115184268</v>
      </c>
      <c r="N351" s="28" t="e">
        <f t="shared" si="88"/>
        <v>#N/A</v>
      </c>
      <c r="O351" s="71" t="e">
        <f>AVERAGE($N$10:N351)</f>
        <v>#N/A</v>
      </c>
      <c r="P351" s="28" t="e">
        <f t="shared" si="89"/>
        <v>#N/A</v>
      </c>
      <c r="R351" s="28" t="e">
        <f t="shared" si="90"/>
        <v>#VALUE!</v>
      </c>
      <c r="S351" s="25"/>
      <c r="T351" s="25">
        <f t="shared" si="91"/>
        <v>15</v>
      </c>
      <c r="U351" s="33">
        <f>IF(PaybackCustom&gt;0, IF(PaybackCustom&lt;&gt;"Default", PaybackCustom, IF(PaybackStatus&lt;&gt;"",INDEX('Arbitrage Payback Engine'!$Y$2:$Y$6,MATCH(PaybackStatus,'Arbitrage Payback Engine'!$X$2:$X$6,FALSE)),-1)))</f>
        <v>25</v>
      </c>
      <c r="V351" s="32">
        <f t="shared" si="100"/>
        <v>15</v>
      </c>
      <c r="X351" s="29">
        <f t="shared" si="101"/>
        <v>342</v>
      </c>
      <c r="Z351" s="30">
        <f t="shared" si="92"/>
        <v>9.3685796466237505</v>
      </c>
      <c r="AA351" s="28" t="e">
        <f t="shared" si="93"/>
        <v>#N/A</v>
      </c>
      <c r="AB351" s="28" t="e">
        <f t="shared" si="94"/>
        <v>#VALUE!</v>
      </c>
      <c r="AC351" s="29">
        <f t="shared" si="95"/>
        <v>324.47817836812146</v>
      </c>
      <c r="AD351" s="28" t="e">
        <f t="shared" si="96"/>
        <v>#VALUE!</v>
      </c>
      <c r="AE351" s="28" t="e">
        <f t="shared" si="97"/>
        <v>#N/A</v>
      </c>
      <c r="AF351" s="28" t="e">
        <f t="shared" si="98"/>
        <v>#VALUE!</v>
      </c>
      <c r="AH351" s="31" t="e">
        <f t="shared" si="99"/>
        <v>#N/A</v>
      </c>
      <c r="AI351" s="25"/>
      <c r="AJ351" s="31"/>
    </row>
    <row r="352" spans="2:36" x14ac:dyDescent="0.25">
      <c r="B352" s="33">
        <f>'Arbitrage Payback Engine'!E352</f>
        <v>9.3959731543624159</v>
      </c>
      <c r="C352" s="33">
        <f t="shared" si="85"/>
        <v>1000</v>
      </c>
      <c r="D352" s="33">
        <f>'Battery Pricing Model'!$C$17</f>
        <v>1000</v>
      </c>
      <c r="E352" s="33">
        <f t="shared" si="86"/>
        <v>999</v>
      </c>
      <c r="F352" s="33" t="str">
        <f>'Peak Models'!$B$4</f>
        <v>Default</v>
      </c>
      <c r="G352" s="33" t="e">
        <f>'Peak Models'!$Q$7</f>
        <v>#VALUE!</v>
      </c>
      <c r="H352" s="33">
        <f>'Peak Models'!$P$16</f>
        <v>1.5</v>
      </c>
      <c r="I352" s="33">
        <v>12</v>
      </c>
      <c r="J352" s="33" t="e">
        <f>'Peak Models'!$P$13</f>
        <v>#N/A</v>
      </c>
      <c r="K352" s="28" t="e">
        <f t="shared" si="87"/>
        <v>#VALUE!</v>
      </c>
      <c r="L352" s="28" t="e">
        <f>INDEX('Peak Models'!$P$34:$P$64, MATCH(TRUNC(B352, 0), 'Peak Models'!$O$34:$O$64, 0))</f>
        <v>#N/A</v>
      </c>
      <c r="M352" s="28">
        <f>'Peak Models'!$P$15*INDEX('Peak Models'!$Q$34:$Q$64, MATCH(TRUNC(B352, 0),'Peak Models'!$O$34:$O$64, 0))/'Profit per cycles Model'!$E$78</f>
        <v>5.8770022115184268</v>
      </c>
      <c r="N352" s="28" t="e">
        <f t="shared" si="88"/>
        <v>#N/A</v>
      </c>
      <c r="O352" s="71" t="e">
        <f>AVERAGE($N$10:N352)</f>
        <v>#N/A</v>
      </c>
      <c r="P352" s="28" t="e">
        <f t="shared" si="89"/>
        <v>#N/A</v>
      </c>
      <c r="R352" s="28" t="e">
        <f t="shared" si="90"/>
        <v>#VALUE!</v>
      </c>
      <c r="S352" s="25"/>
      <c r="T352" s="25">
        <f t="shared" si="91"/>
        <v>15</v>
      </c>
      <c r="U352" s="33">
        <f>IF(PaybackCustom&gt;0, IF(PaybackCustom&lt;&gt;"Default", PaybackCustom, IF(PaybackStatus&lt;&gt;"",INDEX('Arbitrage Payback Engine'!$Y$2:$Y$6,MATCH(PaybackStatus,'Arbitrage Payback Engine'!$X$2:$X$6,FALSE)),-1)))</f>
        <v>25</v>
      </c>
      <c r="V352" s="32">
        <f t="shared" si="100"/>
        <v>15</v>
      </c>
      <c r="X352" s="29">
        <f t="shared" si="101"/>
        <v>343</v>
      </c>
      <c r="Z352" s="30">
        <f t="shared" si="92"/>
        <v>9.3959731543624159</v>
      </c>
      <c r="AA352" s="28" t="e">
        <f t="shared" si="93"/>
        <v>#N/A</v>
      </c>
      <c r="AB352" s="28" t="e">
        <f t="shared" si="94"/>
        <v>#VALUE!</v>
      </c>
      <c r="AC352" s="29">
        <f t="shared" si="95"/>
        <v>325.42694497153701</v>
      </c>
      <c r="AD352" s="28" t="e">
        <f t="shared" si="96"/>
        <v>#VALUE!</v>
      </c>
      <c r="AE352" s="28" t="e">
        <f t="shared" si="97"/>
        <v>#N/A</v>
      </c>
      <c r="AF352" s="28" t="e">
        <f t="shared" si="98"/>
        <v>#VALUE!</v>
      </c>
      <c r="AH352" s="31" t="e">
        <f t="shared" si="99"/>
        <v>#N/A</v>
      </c>
      <c r="AI352" s="25"/>
      <c r="AJ352" s="31"/>
    </row>
    <row r="353" spans="2:36" x14ac:dyDescent="0.25">
      <c r="B353" s="33">
        <f>'Arbitrage Payback Engine'!E353</f>
        <v>9.4233666621010812</v>
      </c>
      <c r="C353" s="33">
        <f t="shared" si="85"/>
        <v>1000</v>
      </c>
      <c r="D353" s="33">
        <f>'Battery Pricing Model'!$C$17</f>
        <v>1000</v>
      </c>
      <c r="E353" s="33">
        <f t="shared" si="86"/>
        <v>999</v>
      </c>
      <c r="F353" s="33" t="str">
        <f>'Peak Models'!$B$4</f>
        <v>Default</v>
      </c>
      <c r="G353" s="33" t="e">
        <f>'Peak Models'!$Q$7</f>
        <v>#VALUE!</v>
      </c>
      <c r="H353" s="33">
        <f>'Peak Models'!$P$16</f>
        <v>1.5</v>
      </c>
      <c r="I353" s="33">
        <v>12</v>
      </c>
      <c r="J353" s="33" t="e">
        <f>'Peak Models'!$P$13</f>
        <v>#N/A</v>
      </c>
      <c r="K353" s="28" t="e">
        <f t="shared" si="87"/>
        <v>#VALUE!</v>
      </c>
      <c r="L353" s="28" t="e">
        <f>INDEX('Peak Models'!$P$34:$P$64, MATCH(TRUNC(B353, 0), 'Peak Models'!$O$34:$O$64, 0))</f>
        <v>#N/A</v>
      </c>
      <c r="M353" s="28">
        <f>'Peak Models'!$P$15*INDEX('Peak Models'!$Q$34:$Q$64, MATCH(TRUNC(B353, 0),'Peak Models'!$O$34:$O$64, 0))/'Profit per cycles Model'!$E$78</f>
        <v>5.8770022115184268</v>
      </c>
      <c r="N353" s="28" t="e">
        <f t="shared" si="88"/>
        <v>#N/A</v>
      </c>
      <c r="O353" s="71" t="e">
        <f>AVERAGE($N$10:N353)</f>
        <v>#N/A</v>
      </c>
      <c r="P353" s="28" t="e">
        <f t="shared" si="89"/>
        <v>#N/A</v>
      </c>
      <c r="R353" s="28" t="e">
        <f t="shared" si="90"/>
        <v>#VALUE!</v>
      </c>
      <c r="S353" s="25"/>
      <c r="T353" s="25">
        <f t="shared" si="91"/>
        <v>15</v>
      </c>
      <c r="U353" s="33">
        <f>IF(PaybackCustom&gt;0, IF(PaybackCustom&lt;&gt;"Default", PaybackCustom, IF(PaybackStatus&lt;&gt;"",INDEX('Arbitrage Payback Engine'!$Y$2:$Y$6,MATCH(PaybackStatus,'Arbitrage Payback Engine'!$X$2:$X$6,FALSE)),-1)))</f>
        <v>25</v>
      </c>
      <c r="V353" s="32">
        <f t="shared" si="100"/>
        <v>15</v>
      </c>
      <c r="X353" s="29">
        <f t="shared" si="101"/>
        <v>344</v>
      </c>
      <c r="Z353" s="30">
        <f t="shared" si="92"/>
        <v>9.4233666621010812</v>
      </c>
      <c r="AA353" s="28" t="e">
        <f t="shared" si="93"/>
        <v>#N/A</v>
      </c>
      <c r="AB353" s="28" t="e">
        <f t="shared" si="94"/>
        <v>#VALUE!</v>
      </c>
      <c r="AC353" s="29">
        <f t="shared" si="95"/>
        <v>326.37571157495256</v>
      </c>
      <c r="AD353" s="28" t="e">
        <f t="shared" si="96"/>
        <v>#VALUE!</v>
      </c>
      <c r="AE353" s="28" t="e">
        <f t="shared" si="97"/>
        <v>#N/A</v>
      </c>
      <c r="AF353" s="28" t="e">
        <f t="shared" si="98"/>
        <v>#VALUE!</v>
      </c>
      <c r="AH353" s="31" t="e">
        <f t="shared" si="99"/>
        <v>#N/A</v>
      </c>
      <c r="AI353" s="25"/>
      <c r="AJ353" s="31"/>
    </row>
    <row r="354" spans="2:36" x14ac:dyDescent="0.25">
      <c r="B354" s="33">
        <f>'Arbitrage Payback Engine'!E354</f>
        <v>9.4507601698397483</v>
      </c>
      <c r="C354" s="33">
        <f t="shared" si="85"/>
        <v>1000</v>
      </c>
      <c r="D354" s="33">
        <f>'Battery Pricing Model'!$C$17</f>
        <v>1000</v>
      </c>
      <c r="E354" s="33">
        <f t="shared" si="86"/>
        <v>999</v>
      </c>
      <c r="F354" s="33" t="str">
        <f>'Peak Models'!$B$4</f>
        <v>Default</v>
      </c>
      <c r="G354" s="33" t="e">
        <f>'Peak Models'!$Q$7</f>
        <v>#VALUE!</v>
      </c>
      <c r="H354" s="33">
        <f>'Peak Models'!$P$16</f>
        <v>1.5</v>
      </c>
      <c r="I354" s="33">
        <v>12</v>
      </c>
      <c r="J354" s="33" t="e">
        <f>'Peak Models'!$P$13</f>
        <v>#N/A</v>
      </c>
      <c r="K354" s="28" t="e">
        <f t="shared" si="87"/>
        <v>#VALUE!</v>
      </c>
      <c r="L354" s="28" t="e">
        <f>INDEX('Peak Models'!$P$34:$P$64, MATCH(TRUNC(B354, 0), 'Peak Models'!$O$34:$O$64, 0))</f>
        <v>#N/A</v>
      </c>
      <c r="M354" s="28">
        <f>'Peak Models'!$P$15*INDEX('Peak Models'!$Q$34:$Q$64, MATCH(TRUNC(B354, 0),'Peak Models'!$O$34:$O$64, 0))/'Profit per cycles Model'!$E$78</f>
        <v>5.8770022115184268</v>
      </c>
      <c r="N354" s="28" t="e">
        <f t="shared" si="88"/>
        <v>#N/A</v>
      </c>
      <c r="O354" s="71" t="e">
        <f>AVERAGE($N$10:N354)</f>
        <v>#N/A</v>
      </c>
      <c r="P354" s="28" t="e">
        <f t="shared" si="89"/>
        <v>#N/A</v>
      </c>
      <c r="R354" s="28" t="e">
        <f t="shared" si="90"/>
        <v>#VALUE!</v>
      </c>
      <c r="S354" s="25"/>
      <c r="T354" s="25">
        <f t="shared" si="91"/>
        <v>15</v>
      </c>
      <c r="U354" s="33">
        <f>IF(PaybackCustom&gt;0, IF(PaybackCustom&lt;&gt;"Default", PaybackCustom, IF(PaybackStatus&lt;&gt;"",INDEX('Arbitrage Payback Engine'!$Y$2:$Y$6,MATCH(PaybackStatus,'Arbitrage Payback Engine'!$X$2:$X$6,FALSE)),-1)))</f>
        <v>25</v>
      </c>
      <c r="V354" s="32">
        <f t="shared" si="100"/>
        <v>15</v>
      </c>
      <c r="X354" s="29">
        <f t="shared" si="101"/>
        <v>345</v>
      </c>
      <c r="Z354" s="30">
        <f t="shared" si="92"/>
        <v>9.4507601698397483</v>
      </c>
      <c r="AA354" s="28" t="e">
        <f t="shared" si="93"/>
        <v>#N/A</v>
      </c>
      <c r="AB354" s="28" t="e">
        <f t="shared" si="94"/>
        <v>#VALUE!</v>
      </c>
      <c r="AC354" s="29">
        <f t="shared" si="95"/>
        <v>327.32447817836817</v>
      </c>
      <c r="AD354" s="28" t="e">
        <f t="shared" si="96"/>
        <v>#VALUE!</v>
      </c>
      <c r="AE354" s="28" t="e">
        <f t="shared" si="97"/>
        <v>#N/A</v>
      </c>
      <c r="AF354" s="28" t="e">
        <f t="shared" si="98"/>
        <v>#VALUE!</v>
      </c>
      <c r="AH354" s="31" t="e">
        <f t="shared" si="99"/>
        <v>#N/A</v>
      </c>
      <c r="AI354" s="25"/>
      <c r="AJ354" s="31"/>
    </row>
    <row r="355" spans="2:36" x14ac:dyDescent="0.25">
      <c r="B355" s="33">
        <f>'Arbitrage Payback Engine'!E355</f>
        <v>9.4781536775784136</v>
      </c>
      <c r="C355" s="33">
        <f t="shared" si="85"/>
        <v>1000</v>
      </c>
      <c r="D355" s="33">
        <f>'Battery Pricing Model'!$C$17</f>
        <v>1000</v>
      </c>
      <c r="E355" s="33">
        <f t="shared" si="86"/>
        <v>999</v>
      </c>
      <c r="F355" s="33" t="str">
        <f>'Peak Models'!$B$4</f>
        <v>Default</v>
      </c>
      <c r="G355" s="33" t="e">
        <f>'Peak Models'!$Q$7</f>
        <v>#VALUE!</v>
      </c>
      <c r="H355" s="33">
        <f>'Peak Models'!$P$16</f>
        <v>1.5</v>
      </c>
      <c r="I355" s="33">
        <v>12</v>
      </c>
      <c r="J355" s="33" t="e">
        <f>'Peak Models'!$P$13</f>
        <v>#N/A</v>
      </c>
      <c r="K355" s="28" t="e">
        <f t="shared" si="87"/>
        <v>#VALUE!</v>
      </c>
      <c r="L355" s="28" t="e">
        <f>INDEX('Peak Models'!$P$34:$P$64, MATCH(TRUNC(B355, 0), 'Peak Models'!$O$34:$O$64, 0))</f>
        <v>#N/A</v>
      </c>
      <c r="M355" s="28">
        <f>'Peak Models'!$P$15*INDEX('Peak Models'!$Q$34:$Q$64, MATCH(TRUNC(B355, 0),'Peak Models'!$O$34:$O$64, 0))/'Profit per cycles Model'!$E$78</f>
        <v>5.8770022115184268</v>
      </c>
      <c r="N355" s="28" t="e">
        <f t="shared" si="88"/>
        <v>#N/A</v>
      </c>
      <c r="O355" s="71" t="e">
        <f>AVERAGE($N$10:N355)</f>
        <v>#N/A</v>
      </c>
      <c r="P355" s="28" t="e">
        <f t="shared" si="89"/>
        <v>#N/A</v>
      </c>
      <c r="R355" s="28" t="e">
        <f t="shared" si="90"/>
        <v>#VALUE!</v>
      </c>
      <c r="S355" s="25"/>
      <c r="T355" s="25">
        <f t="shared" si="91"/>
        <v>15</v>
      </c>
      <c r="U355" s="33">
        <f>IF(PaybackCustom&gt;0, IF(PaybackCustom&lt;&gt;"Default", PaybackCustom, IF(PaybackStatus&lt;&gt;"",INDEX('Arbitrage Payback Engine'!$Y$2:$Y$6,MATCH(PaybackStatus,'Arbitrage Payback Engine'!$X$2:$X$6,FALSE)),-1)))</f>
        <v>25</v>
      </c>
      <c r="V355" s="32">
        <f t="shared" si="100"/>
        <v>15</v>
      </c>
      <c r="X355" s="29">
        <f t="shared" si="101"/>
        <v>346</v>
      </c>
      <c r="Z355" s="30">
        <f t="shared" si="92"/>
        <v>9.4781536775784136</v>
      </c>
      <c r="AA355" s="28" t="e">
        <f t="shared" si="93"/>
        <v>#N/A</v>
      </c>
      <c r="AB355" s="28" t="e">
        <f t="shared" si="94"/>
        <v>#VALUE!</v>
      </c>
      <c r="AC355" s="29">
        <f t="shared" si="95"/>
        <v>328.27324478178366</v>
      </c>
      <c r="AD355" s="28" t="e">
        <f t="shared" si="96"/>
        <v>#VALUE!</v>
      </c>
      <c r="AE355" s="28" t="e">
        <f t="shared" si="97"/>
        <v>#N/A</v>
      </c>
      <c r="AF355" s="28" t="e">
        <f t="shared" si="98"/>
        <v>#VALUE!</v>
      </c>
      <c r="AH355" s="31" t="e">
        <f t="shared" si="99"/>
        <v>#N/A</v>
      </c>
      <c r="AI355" s="25"/>
      <c r="AJ355" s="31"/>
    </row>
    <row r="356" spans="2:36" x14ac:dyDescent="0.25">
      <c r="B356" s="33">
        <f>'Arbitrage Payback Engine'!E356</f>
        <v>9.505547185317079</v>
      </c>
      <c r="C356" s="33">
        <f t="shared" si="85"/>
        <v>1000</v>
      </c>
      <c r="D356" s="33">
        <f>'Battery Pricing Model'!$C$17</f>
        <v>1000</v>
      </c>
      <c r="E356" s="33">
        <f t="shared" si="86"/>
        <v>999</v>
      </c>
      <c r="F356" s="33" t="str">
        <f>'Peak Models'!$B$4</f>
        <v>Default</v>
      </c>
      <c r="G356" s="33" t="e">
        <f>'Peak Models'!$Q$7</f>
        <v>#VALUE!</v>
      </c>
      <c r="H356" s="33">
        <f>'Peak Models'!$P$16</f>
        <v>1.5</v>
      </c>
      <c r="I356" s="33">
        <v>12</v>
      </c>
      <c r="J356" s="33" t="e">
        <f>'Peak Models'!$P$13</f>
        <v>#N/A</v>
      </c>
      <c r="K356" s="28" t="e">
        <f t="shared" si="87"/>
        <v>#VALUE!</v>
      </c>
      <c r="L356" s="28" t="e">
        <f>INDEX('Peak Models'!$P$34:$P$64, MATCH(TRUNC(B356, 0), 'Peak Models'!$O$34:$O$64, 0))</f>
        <v>#N/A</v>
      </c>
      <c r="M356" s="28">
        <f>'Peak Models'!$P$15*INDEX('Peak Models'!$Q$34:$Q$64, MATCH(TRUNC(B356, 0),'Peak Models'!$O$34:$O$64, 0))/'Profit per cycles Model'!$E$78</f>
        <v>5.8770022115184268</v>
      </c>
      <c r="N356" s="28" t="e">
        <f t="shared" si="88"/>
        <v>#N/A</v>
      </c>
      <c r="O356" s="71" t="e">
        <f>AVERAGE($N$10:N356)</f>
        <v>#N/A</v>
      </c>
      <c r="P356" s="28" t="e">
        <f t="shared" si="89"/>
        <v>#N/A</v>
      </c>
      <c r="R356" s="28" t="e">
        <f t="shared" si="90"/>
        <v>#VALUE!</v>
      </c>
      <c r="S356" s="25"/>
      <c r="T356" s="25">
        <f t="shared" si="91"/>
        <v>15</v>
      </c>
      <c r="U356" s="33">
        <f>IF(PaybackCustom&gt;0, IF(PaybackCustom&lt;&gt;"Default", PaybackCustom, IF(PaybackStatus&lt;&gt;"",INDEX('Arbitrage Payback Engine'!$Y$2:$Y$6,MATCH(PaybackStatus,'Arbitrage Payback Engine'!$X$2:$X$6,FALSE)),-1)))</f>
        <v>25</v>
      </c>
      <c r="V356" s="32">
        <f t="shared" si="100"/>
        <v>15</v>
      </c>
      <c r="X356" s="29">
        <f t="shared" si="101"/>
        <v>347</v>
      </c>
      <c r="Z356" s="30">
        <f t="shared" si="92"/>
        <v>9.505547185317079</v>
      </c>
      <c r="AA356" s="28" t="e">
        <f t="shared" si="93"/>
        <v>#N/A</v>
      </c>
      <c r="AB356" s="28" t="e">
        <f t="shared" si="94"/>
        <v>#VALUE!</v>
      </c>
      <c r="AC356" s="29">
        <f t="shared" si="95"/>
        <v>329.22201138519921</v>
      </c>
      <c r="AD356" s="28" t="e">
        <f t="shared" si="96"/>
        <v>#VALUE!</v>
      </c>
      <c r="AE356" s="28" t="e">
        <f t="shared" si="97"/>
        <v>#N/A</v>
      </c>
      <c r="AF356" s="28" t="e">
        <f t="shared" si="98"/>
        <v>#VALUE!</v>
      </c>
      <c r="AH356" s="31" t="e">
        <f t="shared" si="99"/>
        <v>#N/A</v>
      </c>
      <c r="AI356" s="25"/>
      <c r="AJ356" s="31"/>
    </row>
    <row r="357" spans="2:36" x14ac:dyDescent="0.25">
      <c r="B357" s="33">
        <f>'Arbitrage Payback Engine'!E357</f>
        <v>9.5329406930557461</v>
      </c>
      <c r="C357" s="33">
        <f t="shared" si="85"/>
        <v>1000</v>
      </c>
      <c r="D357" s="33">
        <f>'Battery Pricing Model'!$C$17</f>
        <v>1000</v>
      </c>
      <c r="E357" s="33">
        <f t="shared" si="86"/>
        <v>999</v>
      </c>
      <c r="F357" s="33" t="str">
        <f>'Peak Models'!$B$4</f>
        <v>Default</v>
      </c>
      <c r="G357" s="33" t="e">
        <f>'Peak Models'!$Q$7</f>
        <v>#VALUE!</v>
      </c>
      <c r="H357" s="33">
        <f>'Peak Models'!$P$16</f>
        <v>1.5</v>
      </c>
      <c r="I357" s="33">
        <v>12</v>
      </c>
      <c r="J357" s="33" t="e">
        <f>'Peak Models'!$P$13</f>
        <v>#N/A</v>
      </c>
      <c r="K357" s="28" t="e">
        <f t="shared" si="87"/>
        <v>#VALUE!</v>
      </c>
      <c r="L357" s="28" t="e">
        <f>INDEX('Peak Models'!$P$34:$P$64, MATCH(TRUNC(B357, 0), 'Peak Models'!$O$34:$O$64, 0))</f>
        <v>#N/A</v>
      </c>
      <c r="M357" s="28">
        <f>'Peak Models'!$P$15*INDEX('Peak Models'!$Q$34:$Q$64, MATCH(TRUNC(B357, 0),'Peak Models'!$O$34:$O$64, 0))/'Profit per cycles Model'!$E$78</f>
        <v>5.8770022115184268</v>
      </c>
      <c r="N357" s="28" t="e">
        <f t="shared" si="88"/>
        <v>#N/A</v>
      </c>
      <c r="O357" s="71" t="e">
        <f>AVERAGE($N$10:N357)</f>
        <v>#N/A</v>
      </c>
      <c r="P357" s="28" t="e">
        <f t="shared" si="89"/>
        <v>#N/A</v>
      </c>
      <c r="R357" s="28" t="e">
        <f t="shared" si="90"/>
        <v>#VALUE!</v>
      </c>
      <c r="S357" s="25"/>
      <c r="T357" s="25">
        <f t="shared" si="91"/>
        <v>15</v>
      </c>
      <c r="U357" s="33">
        <f>IF(PaybackCustom&gt;0, IF(PaybackCustom&lt;&gt;"Default", PaybackCustom, IF(PaybackStatus&lt;&gt;"",INDEX('Arbitrage Payback Engine'!$Y$2:$Y$6,MATCH(PaybackStatus,'Arbitrage Payback Engine'!$X$2:$X$6,FALSE)),-1)))</f>
        <v>25</v>
      </c>
      <c r="V357" s="32">
        <f t="shared" si="100"/>
        <v>15</v>
      </c>
      <c r="X357" s="29">
        <f t="shared" si="101"/>
        <v>348</v>
      </c>
      <c r="Z357" s="30">
        <f t="shared" si="92"/>
        <v>9.5329406930557461</v>
      </c>
      <c r="AA357" s="28" t="e">
        <f t="shared" si="93"/>
        <v>#N/A</v>
      </c>
      <c r="AB357" s="28" t="e">
        <f t="shared" si="94"/>
        <v>#VALUE!</v>
      </c>
      <c r="AC357" s="29">
        <f t="shared" si="95"/>
        <v>330.17077798861482</v>
      </c>
      <c r="AD357" s="28" t="e">
        <f t="shared" si="96"/>
        <v>#VALUE!</v>
      </c>
      <c r="AE357" s="28" t="e">
        <f t="shared" si="97"/>
        <v>#N/A</v>
      </c>
      <c r="AF357" s="28" t="e">
        <f t="shared" si="98"/>
        <v>#VALUE!</v>
      </c>
      <c r="AH357" s="31" t="e">
        <f t="shared" si="99"/>
        <v>#N/A</v>
      </c>
      <c r="AI357" s="25"/>
      <c r="AJ357" s="31"/>
    </row>
    <row r="358" spans="2:36" x14ac:dyDescent="0.25">
      <c r="B358" s="33">
        <f>'Arbitrage Payback Engine'!E358</f>
        <v>9.5603342007944114</v>
      </c>
      <c r="C358" s="33">
        <f t="shared" si="85"/>
        <v>1000</v>
      </c>
      <c r="D358" s="33">
        <f>'Battery Pricing Model'!$C$17</f>
        <v>1000</v>
      </c>
      <c r="E358" s="33">
        <f t="shared" si="86"/>
        <v>999</v>
      </c>
      <c r="F358" s="33" t="str">
        <f>'Peak Models'!$B$4</f>
        <v>Default</v>
      </c>
      <c r="G358" s="33" t="e">
        <f>'Peak Models'!$Q$7</f>
        <v>#VALUE!</v>
      </c>
      <c r="H358" s="33">
        <f>'Peak Models'!$P$16</f>
        <v>1.5</v>
      </c>
      <c r="I358" s="33">
        <v>12</v>
      </c>
      <c r="J358" s="33" t="e">
        <f>'Peak Models'!$P$13</f>
        <v>#N/A</v>
      </c>
      <c r="K358" s="28" t="e">
        <f t="shared" si="87"/>
        <v>#VALUE!</v>
      </c>
      <c r="L358" s="28" t="e">
        <f>INDEX('Peak Models'!$P$34:$P$64, MATCH(TRUNC(B358, 0), 'Peak Models'!$O$34:$O$64, 0))</f>
        <v>#N/A</v>
      </c>
      <c r="M358" s="28">
        <f>'Peak Models'!$P$15*INDEX('Peak Models'!$Q$34:$Q$64, MATCH(TRUNC(B358, 0),'Peak Models'!$O$34:$O$64, 0))/'Profit per cycles Model'!$E$78</f>
        <v>5.8770022115184268</v>
      </c>
      <c r="N358" s="28" t="e">
        <f t="shared" si="88"/>
        <v>#N/A</v>
      </c>
      <c r="O358" s="71" t="e">
        <f>AVERAGE($N$10:N358)</f>
        <v>#N/A</v>
      </c>
      <c r="P358" s="28" t="e">
        <f t="shared" si="89"/>
        <v>#N/A</v>
      </c>
      <c r="R358" s="28" t="e">
        <f t="shared" si="90"/>
        <v>#VALUE!</v>
      </c>
      <c r="S358" s="25"/>
      <c r="T358" s="25">
        <f t="shared" si="91"/>
        <v>15</v>
      </c>
      <c r="U358" s="33">
        <f>IF(PaybackCustom&gt;0, IF(PaybackCustom&lt;&gt;"Default", PaybackCustom, IF(PaybackStatus&lt;&gt;"",INDEX('Arbitrage Payback Engine'!$Y$2:$Y$6,MATCH(PaybackStatus,'Arbitrage Payback Engine'!$X$2:$X$6,FALSE)),-1)))</f>
        <v>25</v>
      </c>
      <c r="V358" s="32">
        <f t="shared" si="100"/>
        <v>15</v>
      </c>
      <c r="X358" s="29">
        <f t="shared" si="101"/>
        <v>349</v>
      </c>
      <c r="Z358" s="30">
        <f t="shared" si="92"/>
        <v>9.5603342007944114</v>
      </c>
      <c r="AA358" s="28" t="e">
        <f t="shared" si="93"/>
        <v>#N/A</v>
      </c>
      <c r="AB358" s="28" t="e">
        <f t="shared" si="94"/>
        <v>#VALUE!</v>
      </c>
      <c r="AC358" s="29">
        <f t="shared" si="95"/>
        <v>331.11954459203037</v>
      </c>
      <c r="AD358" s="28" t="e">
        <f t="shared" si="96"/>
        <v>#VALUE!</v>
      </c>
      <c r="AE358" s="28" t="e">
        <f t="shared" si="97"/>
        <v>#N/A</v>
      </c>
      <c r="AF358" s="28" t="e">
        <f t="shared" si="98"/>
        <v>#VALUE!</v>
      </c>
      <c r="AH358" s="31" t="e">
        <f t="shared" si="99"/>
        <v>#N/A</v>
      </c>
      <c r="AI358" s="25"/>
      <c r="AJ358" s="31"/>
    </row>
    <row r="359" spans="2:36" x14ac:dyDescent="0.25">
      <c r="B359" s="33">
        <f>'Arbitrage Payback Engine'!E359</f>
        <v>9.5877277085330768</v>
      </c>
      <c r="C359" s="33">
        <f t="shared" si="85"/>
        <v>1000</v>
      </c>
      <c r="D359" s="33">
        <f>'Battery Pricing Model'!$C$17</f>
        <v>1000</v>
      </c>
      <c r="E359" s="33">
        <f t="shared" si="86"/>
        <v>999</v>
      </c>
      <c r="F359" s="33" t="str">
        <f>'Peak Models'!$B$4</f>
        <v>Default</v>
      </c>
      <c r="G359" s="33" t="e">
        <f>'Peak Models'!$Q$7</f>
        <v>#VALUE!</v>
      </c>
      <c r="H359" s="33">
        <f>'Peak Models'!$P$16</f>
        <v>1.5</v>
      </c>
      <c r="I359" s="33">
        <v>12</v>
      </c>
      <c r="J359" s="33" t="e">
        <f>'Peak Models'!$P$13</f>
        <v>#N/A</v>
      </c>
      <c r="K359" s="28" t="e">
        <f t="shared" si="87"/>
        <v>#VALUE!</v>
      </c>
      <c r="L359" s="28" t="e">
        <f>INDEX('Peak Models'!$P$34:$P$64, MATCH(TRUNC(B359, 0), 'Peak Models'!$O$34:$O$64, 0))</f>
        <v>#N/A</v>
      </c>
      <c r="M359" s="28">
        <f>'Peak Models'!$P$15*INDEX('Peak Models'!$Q$34:$Q$64, MATCH(TRUNC(B359, 0),'Peak Models'!$O$34:$O$64, 0))/'Profit per cycles Model'!$E$78</f>
        <v>5.8770022115184268</v>
      </c>
      <c r="N359" s="28" t="e">
        <f t="shared" si="88"/>
        <v>#N/A</v>
      </c>
      <c r="O359" s="71" t="e">
        <f>AVERAGE($N$10:N359)</f>
        <v>#N/A</v>
      </c>
      <c r="P359" s="28" t="e">
        <f t="shared" si="89"/>
        <v>#N/A</v>
      </c>
      <c r="R359" s="28" t="e">
        <f t="shared" si="90"/>
        <v>#VALUE!</v>
      </c>
      <c r="S359" s="25"/>
      <c r="T359" s="25">
        <f t="shared" si="91"/>
        <v>15</v>
      </c>
      <c r="U359" s="33">
        <f>IF(PaybackCustom&gt;0, IF(PaybackCustom&lt;&gt;"Default", PaybackCustom, IF(PaybackStatus&lt;&gt;"",INDEX('Arbitrage Payback Engine'!$Y$2:$Y$6,MATCH(PaybackStatus,'Arbitrage Payback Engine'!$X$2:$X$6,FALSE)),-1)))</f>
        <v>25</v>
      </c>
      <c r="V359" s="32">
        <f t="shared" si="100"/>
        <v>15</v>
      </c>
      <c r="X359" s="29">
        <f t="shared" si="101"/>
        <v>350</v>
      </c>
      <c r="Z359" s="30">
        <f t="shared" si="92"/>
        <v>9.5877277085330768</v>
      </c>
      <c r="AA359" s="28" t="e">
        <f t="shared" si="93"/>
        <v>#N/A</v>
      </c>
      <c r="AB359" s="28" t="e">
        <f t="shared" si="94"/>
        <v>#VALUE!</v>
      </c>
      <c r="AC359" s="29">
        <f t="shared" si="95"/>
        <v>332.06831119544592</v>
      </c>
      <c r="AD359" s="28" t="e">
        <f t="shared" si="96"/>
        <v>#VALUE!</v>
      </c>
      <c r="AE359" s="28" t="e">
        <f t="shared" si="97"/>
        <v>#N/A</v>
      </c>
      <c r="AF359" s="28" t="e">
        <f t="shared" si="98"/>
        <v>#VALUE!</v>
      </c>
      <c r="AH359" s="31" t="e">
        <f t="shared" si="99"/>
        <v>#N/A</v>
      </c>
      <c r="AI359" s="25"/>
      <c r="AJ359" s="31"/>
    </row>
    <row r="360" spans="2:36" x14ac:dyDescent="0.25">
      <c r="B360" s="33">
        <f>'Arbitrage Payback Engine'!E360</f>
        <v>9.6151212162717439</v>
      </c>
      <c r="C360" s="33">
        <f t="shared" si="85"/>
        <v>1000</v>
      </c>
      <c r="D360" s="33">
        <f>'Battery Pricing Model'!$C$17</f>
        <v>1000</v>
      </c>
      <c r="E360" s="33">
        <f t="shared" si="86"/>
        <v>999</v>
      </c>
      <c r="F360" s="33" t="str">
        <f>'Peak Models'!$B$4</f>
        <v>Default</v>
      </c>
      <c r="G360" s="33" t="e">
        <f>'Peak Models'!$Q$7</f>
        <v>#VALUE!</v>
      </c>
      <c r="H360" s="33">
        <f>'Peak Models'!$P$16</f>
        <v>1.5</v>
      </c>
      <c r="I360" s="33">
        <v>12</v>
      </c>
      <c r="J360" s="33" t="e">
        <f>'Peak Models'!$P$13</f>
        <v>#N/A</v>
      </c>
      <c r="K360" s="28" t="e">
        <f t="shared" si="87"/>
        <v>#VALUE!</v>
      </c>
      <c r="L360" s="28" t="e">
        <f>INDEX('Peak Models'!$P$34:$P$64, MATCH(TRUNC(B360, 0), 'Peak Models'!$O$34:$O$64, 0))</f>
        <v>#N/A</v>
      </c>
      <c r="M360" s="28">
        <f>'Peak Models'!$P$15*INDEX('Peak Models'!$Q$34:$Q$64, MATCH(TRUNC(B360, 0),'Peak Models'!$O$34:$O$64, 0))/'Profit per cycles Model'!$E$78</f>
        <v>5.8770022115184268</v>
      </c>
      <c r="N360" s="28" t="e">
        <f t="shared" si="88"/>
        <v>#N/A</v>
      </c>
      <c r="O360" s="71" t="e">
        <f>AVERAGE($N$10:N360)</f>
        <v>#N/A</v>
      </c>
      <c r="P360" s="28" t="e">
        <f t="shared" si="89"/>
        <v>#N/A</v>
      </c>
      <c r="R360" s="28" t="e">
        <f t="shared" si="90"/>
        <v>#VALUE!</v>
      </c>
      <c r="S360" s="25"/>
      <c r="T360" s="25">
        <f t="shared" si="91"/>
        <v>15</v>
      </c>
      <c r="U360" s="33">
        <f>IF(PaybackCustom&gt;0, IF(PaybackCustom&lt;&gt;"Default", PaybackCustom, IF(PaybackStatus&lt;&gt;"",INDEX('Arbitrage Payback Engine'!$Y$2:$Y$6,MATCH(PaybackStatus,'Arbitrage Payback Engine'!$X$2:$X$6,FALSE)),-1)))</f>
        <v>25</v>
      </c>
      <c r="V360" s="32">
        <f t="shared" si="100"/>
        <v>15</v>
      </c>
      <c r="X360" s="29">
        <f t="shared" si="101"/>
        <v>351</v>
      </c>
      <c r="Z360" s="30">
        <f t="shared" si="92"/>
        <v>9.6151212162717439</v>
      </c>
      <c r="AA360" s="28" t="e">
        <f t="shared" si="93"/>
        <v>#N/A</v>
      </c>
      <c r="AB360" s="28" t="e">
        <f t="shared" si="94"/>
        <v>#VALUE!</v>
      </c>
      <c r="AC360" s="29">
        <f t="shared" si="95"/>
        <v>333.01707779886152</v>
      </c>
      <c r="AD360" s="28" t="e">
        <f t="shared" si="96"/>
        <v>#VALUE!</v>
      </c>
      <c r="AE360" s="28" t="e">
        <f t="shared" si="97"/>
        <v>#N/A</v>
      </c>
      <c r="AF360" s="28" t="e">
        <f t="shared" si="98"/>
        <v>#VALUE!</v>
      </c>
      <c r="AH360" s="31" t="e">
        <f t="shared" si="99"/>
        <v>#N/A</v>
      </c>
      <c r="AI360" s="25"/>
      <c r="AJ360" s="31"/>
    </row>
    <row r="361" spans="2:36" x14ac:dyDescent="0.25">
      <c r="B361" s="33">
        <f>'Arbitrage Payback Engine'!E361</f>
        <v>9.6425147240104092</v>
      </c>
      <c r="C361" s="33">
        <f t="shared" si="85"/>
        <v>1000</v>
      </c>
      <c r="D361" s="33">
        <f>'Battery Pricing Model'!$C$17</f>
        <v>1000</v>
      </c>
      <c r="E361" s="33">
        <f t="shared" si="86"/>
        <v>999</v>
      </c>
      <c r="F361" s="33" t="str">
        <f>'Peak Models'!$B$4</f>
        <v>Default</v>
      </c>
      <c r="G361" s="33" t="e">
        <f>'Peak Models'!$Q$7</f>
        <v>#VALUE!</v>
      </c>
      <c r="H361" s="33">
        <f>'Peak Models'!$P$16</f>
        <v>1.5</v>
      </c>
      <c r="I361" s="33">
        <v>12</v>
      </c>
      <c r="J361" s="33" t="e">
        <f>'Peak Models'!$P$13</f>
        <v>#N/A</v>
      </c>
      <c r="K361" s="28" t="e">
        <f t="shared" si="87"/>
        <v>#VALUE!</v>
      </c>
      <c r="L361" s="28" t="e">
        <f>INDEX('Peak Models'!$P$34:$P$64, MATCH(TRUNC(B361, 0), 'Peak Models'!$O$34:$O$64, 0))</f>
        <v>#N/A</v>
      </c>
      <c r="M361" s="28">
        <f>'Peak Models'!$P$15*INDEX('Peak Models'!$Q$34:$Q$64, MATCH(TRUNC(B361, 0),'Peak Models'!$O$34:$O$64, 0))/'Profit per cycles Model'!$E$78</f>
        <v>5.8770022115184268</v>
      </c>
      <c r="N361" s="28" t="e">
        <f t="shared" si="88"/>
        <v>#N/A</v>
      </c>
      <c r="O361" s="71" t="e">
        <f>AVERAGE($N$10:N361)</f>
        <v>#N/A</v>
      </c>
      <c r="P361" s="28" t="e">
        <f t="shared" si="89"/>
        <v>#N/A</v>
      </c>
      <c r="R361" s="28" t="e">
        <f t="shared" si="90"/>
        <v>#VALUE!</v>
      </c>
      <c r="S361" s="25"/>
      <c r="T361" s="25">
        <f t="shared" si="91"/>
        <v>15</v>
      </c>
      <c r="U361" s="33">
        <f>IF(PaybackCustom&gt;0, IF(PaybackCustom&lt;&gt;"Default", PaybackCustom, IF(PaybackStatus&lt;&gt;"",INDEX('Arbitrage Payback Engine'!$Y$2:$Y$6,MATCH(PaybackStatus,'Arbitrage Payback Engine'!$X$2:$X$6,FALSE)),-1)))</f>
        <v>25</v>
      </c>
      <c r="V361" s="32">
        <f t="shared" si="100"/>
        <v>15</v>
      </c>
      <c r="X361" s="29">
        <f t="shared" si="101"/>
        <v>352</v>
      </c>
      <c r="Z361" s="30">
        <f t="shared" si="92"/>
        <v>9.6425147240104092</v>
      </c>
      <c r="AA361" s="28" t="e">
        <f t="shared" si="93"/>
        <v>#N/A</v>
      </c>
      <c r="AB361" s="28" t="e">
        <f t="shared" si="94"/>
        <v>#VALUE!</v>
      </c>
      <c r="AC361" s="29">
        <f t="shared" si="95"/>
        <v>333.96584440227701</v>
      </c>
      <c r="AD361" s="28" t="e">
        <f t="shared" si="96"/>
        <v>#VALUE!</v>
      </c>
      <c r="AE361" s="28" t="e">
        <f t="shared" si="97"/>
        <v>#N/A</v>
      </c>
      <c r="AF361" s="28" t="e">
        <f t="shared" si="98"/>
        <v>#VALUE!</v>
      </c>
      <c r="AH361" s="31" t="e">
        <f t="shared" si="99"/>
        <v>#N/A</v>
      </c>
      <c r="AI361" s="25"/>
      <c r="AJ361" s="31"/>
    </row>
    <row r="362" spans="2:36" x14ac:dyDescent="0.25">
      <c r="B362" s="33">
        <f>'Arbitrage Payback Engine'!E362</f>
        <v>9.6699082317490745</v>
      </c>
      <c r="C362" s="33">
        <f t="shared" si="85"/>
        <v>1000</v>
      </c>
      <c r="D362" s="33">
        <f>'Battery Pricing Model'!$C$17</f>
        <v>1000</v>
      </c>
      <c r="E362" s="33">
        <f t="shared" si="86"/>
        <v>999</v>
      </c>
      <c r="F362" s="33" t="str">
        <f>'Peak Models'!$B$4</f>
        <v>Default</v>
      </c>
      <c r="G362" s="33" t="e">
        <f>'Peak Models'!$Q$7</f>
        <v>#VALUE!</v>
      </c>
      <c r="H362" s="33">
        <f>'Peak Models'!$P$16</f>
        <v>1.5</v>
      </c>
      <c r="I362" s="33">
        <v>12</v>
      </c>
      <c r="J362" s="33" t="e">
        <f>'Peak Models'!$P$13</f>
        <v>#N/A</v>
      </c>
      <c r="K362" s="28" t="e">
        <f t="shared" si="87"/>
        <v>#VALUE!</v>
      </c>
      <c r="L362" s="28" t="e">
        <f>INDEX('Peak Models'!$P$34:$P$64, MATCH(TRUNC(B362, 0), 'Peak Models'!$O$34:$O$64, 0))</f>
        <v>#N/A</v>
      </c>
      <c r="M362" s="28">
        <f>'Peak Models'!$P$15*INDEX('Peak Models'!$Q$34:$Q$64, MATCH(TRUNC(B362, 0),'Peak Models'!$O$34:$O$64, 0))/'Profit per cycles Model'!$E$78</f>
        <v>5.8770022115184268</v>
      </c>
      <c r="N362" s="28" t="e">
        <f t="shared" si="88"/>
        <v>#N/A</v>
      </c>
      <c r="O362" s="71" t="e">
        <f>AVERAGE($N$10:N362)</f>
        <v>#N/A</v>
      </c>
      <c r="P362" s="28" t="e">
        <f t="shared" si="89"/>
        <v>#N/A</v>
      </c>
      <c r="R362" s="28" t="e">
        <f t="shared" si="90"/>
        <v>#VALUE!</v>
      </c>
      <c r="S362" s="25"/>
      <c r="T362" s="25">
        <f t="shared" si="91"/>
        <v>15</v>
      </c>
      <c r="U362" s="33">
        <f>IF(PaybackCustom&gt;0, IF(PaybackCustom&lt;&gt;"Default", PaybackCustom, IF(PaybackStatus&lt;&gt;"",INDEX('Arbitrage Payback Engine'!$Y$2:$Y$6,MATCH(PaybackStatus,'Arbitrage Payback Engine'!$X$2:$X$6,FALSE)),-1)))</f>
        <v>25</v>
      </c>
      <c r="V362" s="32">
        <f t="shared" si="100"/>
        <v>15</v>
      </c>
      <c r="X362" s="29">
        <f t="shared" si="101"/>
        <v>353</v>
      </c>
      <c r="Z362" s="30">
        <f t="shared" si="92"/>
        <v>9.6699082317490745</v>
      </c>
      <c r="AA362" s="28" t="e">
        <f t="shared" si="93"/>
        <v>#N/A</v>
      </c>
      <c r="AB362" s="28" t="e">
        <f t="shared" si="94"/>
        <v>#VALUE!</v>
      </c>
      <c r="AC362" s="29">
        <f t="shared" si="95"/>
        <v>334.91461100569256</v>
      </c>
      <c r="AD362" s="28" t="e">
        <f t="shared" si="96"/>
        <v>#VALUE!</v>
      </c>
      <c r="AE362" s="28" t="e">
        <f t="shared" si="97"/>
        <v>#N/A</v>
      </c>
      <c r="AF362" s="28" t="e">
        <f t="shared" si="98"/>
        <v>#VALUE!</v>
      </c>
      <c r="AH362" s="31" t="e">
        <f t="shared" si="99"/>
        <v>#N/A</v>
      </c>
      <c r="AI362" s="25"/>
      <c r="AJ362" s="31"/>
    </row>
    <row r="363" spans="2:36" x14ac:dyDescent="0.25">
      <c r="B363" s="33">
        <f>'Arbitrage Payback Engine'!E363</f>
        <v>9.6973017394877417</v>
      </c>
      <c r="C363" s="33">
        <f t="shared" si="85"/>
        <v>1000</v>
      </c>
      <c r="D363" s="33">
        <f>'Battery Pricing Model'!$C$17</f>
        <v>1000</v>
      </c>
      <c r="E363" s="33">
        <f t="shared" si="86"/>
        <v>999</v>
      </c>
      <c r="F363" s="33" t="str">
        <f>'Peak Models'!$B$4</f>
        <v>Default</v>
      </c>
      <c r="G363" s="33" t="e">
        <f>'Peak Models'!$Q$7</f>
        <v>#VALUE!</v>
      </c>
      <c r="H363" s="33">
        <f>'Peak Models'!$P$16</f>
        <v>1.5</v>
      </c>
      <c r="I363" s="33">
        <v>12</v>
      </c>
      <c r="J363" s="33" t="e">
        <f>'Peak Models'!$P$13</f>
        <v>#N/A</v>
      </c>
      <c r="K363" s="28" t="e">
        <f t="shared" si="87"/>
        <v>#VALUE!</v>
      </c>
      <c r="L363" s="28" t="e">
        <f>INDEX('Peak Models'!$P$34:$P$64, MATCH(TRUNC(B363, 0), 'Peak Models'!$O$34:$O$64, 0))</f>
        <v>#N/A</v>
      </c>
      <c r="M363" s="28">
        <f>'Peak Models'!$P$15*INDEX('Peak Models'!$Q$34:$Q$64, MATCH(TRUNC(B363, 0),'Peak Models'!$O$34:$O$64, 0))/'Profit per cycles Model'!$E$78</f>
        <v>5.8770022115184268</v>
      </c>
      <c r="N363" s="28" t="e">
        <f t="shared" si="88"/>
        <v>#N/A</v>
      </c>
      <c r="O363" s="71" t="e">
        <f>AVERAGE($N$10:N363)</f>
        <v>#N/A</v>
      </c>
      <c r="P363" s="28" t="e">
        <f t="shared" si="89"/>
        <v>#N/A</v>
      </c>
      <c r="R363" s="28" t="e">
        <f t="shared" si="90"/>
        <v>#VALUE!</v>
      </c>
      <c r="S363" s="25"/>
      <c r="T363" s="25">
        <f t="shared" si="91"/>
        <v>15</v>
      </c>
      <c r="U363" s="33">
        <f>IF(PaybackCustom&gt;0, IF(PaybackCustom&lt;&gt;"Default", PaybackCustom, IF(PaybackStatus&lt;&gt;"",INDEX('Arbitrage Payback Engine'!$Y$2:$Y$6,MATCH(PaybackStatus,'Arbitrage Payback Engine'!$X$2:$X$6,FALSE)),-1)))</f>
        <v>25</v>
      </c>
      <c r="V363" s="32">
        <f t="shared" si="100"/>
        <v>15</v>
      </c>
      <c r="X363" s="29">
        <f t="shared" si="101"/>
        <v>354</v>
      </c>
      <c r="Z363" s="30">
        <f t="shared" si="92"/>
        <v>9.6973017394877417</v>
      </c>
      <c r="AA363" s="28" t="e">
        <f t="shared" si="93"/>
        <v>#N/A</v>
      </c>
      <c r="AB363" s="28" t="e">
        <f t="shared" si="94"/>
        <v>#VALUE!</v>
      </c>
      <c r="AC363" s="29">
        <f t="shared" si="95"/>
        <v>335.86337760910823</v>
      </c>
      <c r="AD363" s="28" t="e">
        <f t="shared" si="96"/>
        <v>#VALUE!</v>
      </c>
      <c r="AE363" s="28" t="e">
        <f t="shared" si="97"/>
        <v>#N/A</v>
      </c>
      <c r="AF363" s="28" t="e">
        <f t="shared" si="98"/>
        <v>#VALUE!</v>
      </c>
      <c r="AH363" s="31" t="e">
        <f t="shared" si="99"/>
        <v>#N/A</v>
      </c>
      <c r="AI363" s="25"/>
      <c r="AJ363" s="31"/>
    </row>
    <row r="364" spans="2:36" x14ac:dyDescent="0.25">
      <c r="B364" s="33">
        <f>'Arbitrage Payback Engine'!E364</f>
        <v>9.724695247226407</v>
      </c>
      <c r="C364" s="33">
        <f t="shared" si="85"/>
        <v>1000</v>
      </c>
      <c r="D364" s="33">
        <f>'Battery Pricing Model'!$C$17</f>
        <v>1000</v>
      </c>
      <c r="E364" s="33">
        <f t="shared" si="86"/>
        <v>999</v>
      </c>
      <c r="F364" s="33" t="str">
        <f>'Peak Models'!$B$4</f>
        <v>Default</v>
      </c>
      <c r="G364" s="33" t="e">
        <f>'Peak Models'!$Q$7</f>
        <v>#VALUE!</v>
      </c>
      <c r="H364" s="33">
        <f>'Peak Models'!$P$16</f>
        <v>1.5</v>
      </c>
      <c r="I364" s="33">
        <v>12</v>
      </c>
      <c r="J364" s="33" t="e">
        <f>'Peak Models'!$P$13</f>
        <v>#N/A</v>
      </c>
      <c r="K364" s="28" t="e">
        <f t="shared" si="87"/>
        <v>#VALUE!</v>
      </c>
      <c r="L364" s="28" t="e">
        <f>INDEX('Peak Models'!$P$34:$P$64, MATCH(TRUNC(B364, 0), 'Peak Models'!$O$34:$O$64, 0))</f>
        <v>#N/A</v>
      </c>
      <c r="M364" s="28">
        <f>'Peak Models'!$P$15*INDEX('Peak Models'!$Q$34:$Q$64, MATCH(TRUNC(B364, 0),'Peak Models'!$O$34:$O$64, 0))/'Profit per cycles Model'!$E$78</f>
        <v>5.8770022115184268</v>
      </c>
      <c r="N364" s="28" t="e">
        <f t="shared" si="88"/>
        <v>#N/A</v>
      </c>
      <c r="O364" s="71" t="e">
        <f>AVERAGE($N$10:N364)</f>
        <v>#N/A</v>
      </c>
      <c r="P364" s="28" t="e">
        <f t="shared" si="89"/>
        <v>#N/A</v>
      </c>
      <c r="R364" s="28" t="e">
        <f t="shared" si="90"/>
        <v>#VALUE!</v>
      </c>
      <c r="S364" s="25"/>
      <c r="T364" s="25">
        <f t="shared" si="91"/>
        <v>15</v>
      </c>
      <c r="U364" s="33">
        <f>IF(PaybackCustom&gt;0, IF(PaybackCustom&lt;&gt;"Default", PaybackCustom, IF(PaybackStatus&lt;&gt;"",INDEX('Arbitrage Payback Engine'!$Y$2:$Y$6,MATCH(PaybackStatus,'Arbitrage Payback Engine'!$X$2:$X$6,FALSE)),-1)))</f>
        <v>25</v>
      </c>
      <c r="V364" s="32">
        <f t="shared" si="100"/>
        <v>15</v>
      </c>
      <c r="X364" s="29">
        <f t="shared" si="101"/>
        <v>355</v>
      </c>
      <c r="Z364" s="30">
        <f t="shared" si="92"/>
        <v>9.724695247226407</v>
      </c>
      <c r="AA364" s="28" t="e">
        <f t="shared" si="93"/>
        <v>#N/A</v>
      </c>
      <c r="AB364" s="28" t="e">
        <f t="shared" si="94"/>
        <v>#VALUE!</v>
      </c>
      <c r="AC364" s="29">
        <f t="shared" si="95"/>
        <v>336.81214421252372</v>
      </c>
      <c r="AD364" s="28" t="e">
        <f t="shared" si="96"/>
        <v>#VALUE!</v>
      </c>
      <c r="AE364" s="28" t="e">
        <f t="shared" si="97"/>
        <v>#N/A</v>
      </c>
      <c r="AF364" s="28" t="e">
        <f t="shared" si="98"/>
        <v>#VALUE!</v>
      </c>
      <c r="AH364" s="31" t="e">
        <f t="shared" si="99"/>
        <v>#N/A</v>
      </c>
      <c r="AI364" s="25"/>
      <c r="AJ364" s="31"/>
    </row>
    <row r="365" spans="2:36" x14ac:dyDescent="0.25">
      <c r="B365" s="33">
        <f>'Arbitrage Payback Engine'!E365</f>
        <v>9.7520887549650723</v>
      </c>
      <c r="C365" s="33">
        <f t="shared" si="85"/>
        <v>1000</v>
      </c>
      <c r="D365" s="33">
        <f>'Battery Pricing Model'!$C$17</f>
        <v>1000</v>
      </c>
      <c r="E365" s="33">
        <f t="shared" si="86"/>
        <v>999</v>
      </c>
      <c r="F365" s="33" t="str">
        <f>'Peak Models'!$B$4</f>
        <v>Default</v>
      </c>
      <c r="G365" s="33" t="e">
        <f>'Peak Models'!$Q$7</f>
        <v>#VALUE!</v>
      </c>
      <c r="H365" s="33">
        <f>'Peak Models'!$P$16</f>
        <v>1.5</v>
      </c>
      <c r="I365" s="33">
        <v>12</v>
      </c>
      <c r="J365" s="33" t="e">
        <f>'Peak Models'!$P$13</f>
        <v>#N/A</v>
      </c>
      <c r="K365" s="28" t="e">
        <f t="shared" si="87"/>
        <v>#VALUE!</v>
      </c>
      <c r="L365" s="28" t="e">
        <f>INDEX('Peak Models'!$P$34:$P$64, MATCH(TRUNC(B365, 0), 'Peak Models'!$O$34:$O$64, 0))</f>
        <v>#N/A</v>
      </c>
      <c r="M365" s="28">
        <f>'Peak Models'!$P$15*INDEX('Peak Models'!$Q$34:$Q$64, MATCH(TRUNC(B365, 0),'Peak Models'!$O$34:$O$64, 0))/'Profit per cycles Model'!$E$78</f>
        <v>5.8770022115184268</v>
      </c>
      <c r="N365" s="28" t="e">
        <f t="shared" si="88"/>
        <v>#N/A</v>
      </c>
      <c r="O365" s="71" t="e">
        <f>AVERAGE($N$10:N365)</f>
        <v>#N/A</v>
      </c>
      <c r="P365" s="28" t="e">
        <f t="shared" si="89"/>
        <v>#N/A</v>
      </c>
      <c r="R365" s="28" t="e">
        <f t="shared" si="90"/>
        <v>#VALUE!</v>
      </c>
      <c r="S365" s="25"/>
      <c r="T365" s="25">
        <f t="shared" si="91"/>
        <v>15</v>
      </c>
      <c r="U365" s="33">
        <f>IF(PaybackCustom&gt;0, IF(PaybackCustom&lt;&gt;"Default", PaybackCustom, IF(PaybackStatus&lt;&gt;"",INDEX('Arbitrage Payback Engine'!$Y$2:$Y$6,MATCH(PaybackStatus,'Arbitrage Payback Engine'!$X$2:$X$6,FALSE)),-1)))</f>
        <v>25</v>
      </c>
      <c r="V365" s="32">
        <f t="shared" si="100"/>
        <v>15</v>
      </c>
      <c r="X365" s="29">
        <f t="shared" si="101"/>
        <v>356</v>
      </c>
      <c r="Z365" s="30">
        <f t="shared" si="92"/>
        <v>9.7520887549650723</v>
      </c>
      <c r="AA365" s="28" t="e">
        <f t="shared" si="93"/>
        <v>#N/A</v>
      </c>
      <c r="AB365" s="28" t="e">
        <f t="shared" si="94"/>
        <v>#VALUE!</v>
      </c>
      <c r="AC365" s="29">
        <f t="shared" si="95"/>
        <v>337.76091081593927</v>
      </c>
      <c r="AD365" s="28" t="e">
        <f t="shared" si="96"/>
        <v>#VALUE!</v>
      </c>
      <c r="AE365" s="28" t="e">
        <f t="shared" si="97"/>
        <v>#N/A</v>
      </c>
      <c r="AF365" s="28" t="e">
        <f t="shared" si="98"/>
        <v>#VALUE!</v>
      </c>
      <c r="AH365" s="31" t="e">
        <f t="shared" si="99"/>
        <v>#N/A</v>
      </c>
      <c r="AI365" s="25"/>
      <c r="AJ365" s="31"/>
    </row>
    <row r="366" spans="2:36" x14ac:dyDescent="0.25">
      <c r="B366" s="33">
        <f>'Arbitrage Payback Engine'!E366</f>
        <v>9.7794822627037394</v>
      </c>
      <c r="C366" s="33">
        <f t="shared" si="85"/>
        <v>1000</v>
      </c>
      <c r="D366" s="33">
        <f>'Battery Pricing Model'!$C$17</f>
        <v>1000</v>
      </c>
      <c r="E366" s="33">
        <f t="shared" si="86"/>
        <v>999</v>
      </c>
      <c r="F366" s="33" t="str">
        <f>'Peak Models'!$B$4</f>
        <v>Default</v>
      </c>
      <c r="G366" s="33" t="e">
        <f>'Peak Models'!$Q$7</f>
        <v>#VALUE!</v>
      </c>
      <c r="H366" s="33">
        <f>'Peak Models'!$P$16</f>
        <v>1.5</v>
      </c>
      <c r="I366" s="33">
        <v>12</v>
      </c>
      <c r="J366" s="33" t="e">
        <f>'Peak Models'!$P$13</f>
        <v>#N/A</v>
      </c>
      <c r="K366" s="28" t="e">
        <f t="shared" si="87"/>
        <v>#VALUE!</v>
      </c>
      <c r="L366" s="28" t="e">
        <f>INDEX('Peak Models'!$P$34:$P$64, MATCH(TRUNC(B366, 0), 'Peak Models'!$O$34:$O$64, 0))</f>
        <v>#N/A</v>
      </c>
      <c r="M366" s="28">
        <f>'Peak Models'!$P$15*INDEX('Peak Models'!$Q$34:$Q$64, MATCH(TRUNC(B366, 0),'Peak Models'!$O$34:$O$64, 0))/'Profit per cycles Model'!$E$78</f>
        <v>5.8770022115184268</v>
      </c>
      <c r="N366" s="28" t="e">
        <f t="shared" si="88"/>
        <v>#N/A</v>
      </c>
      <c r="O366" s="71" t="e">
        <f>AVERAGE($N$10:N366)</f>
        <v>#N/A</v>
      </c>
      <c r="P366" s="28" t="e">
        <f t="shared" si="89"/>
        <v>#N/A</v>
      </c>
      <c r="R366" s="28" t="e">
        <f t="shared" si="90"/>
        <v>#VALUE!</v>
      </c>
      <c r="S366" s="25"/>
      <c r="T366" s="25">
        <f t="shared" si="91"/>
        <v>15</v>
      </c>
      <c r="U366" s="33">
        <f>IF(PaybackCustom&gt;0, IF(PaybackCustom&lt;&gt;"Default", PaybackCustom, IF(PaybackStatus&lt;&gt;"",INDEX('Arbitrage Payback Engine'!$Y$2:$Y$6,MATCH(PaybackStatus,'Arbitrage Payback Engine'!$X$2:$X$6,FALSE)),-1)))</f>
        <v>25</v>
      </c>
      <c r="V366" s="32">
        <f t="shared" si="100"/>
        <v>15</v>
      </c>
      <c r="X366" s="29">
        <f t="shared" si="101"/>
        <v>357</v>
      </c>
      <c r="Z366" s="30">
        <f t="shared" si="92"/>
        <v>9.7794822627037394</v>
      </c>
      <c r="AA366" s="28" t="e">
        <f t="shared" si="93"/>
        <v>#N/A</v>
      </c>
      <c r="AB366" s="28" t="e">
        <f t="shared" si="94"/>
        <v>#VALUE!</v>
      </c>
      <c r="AC366" s="29">
        <f t="shared" si="95"/>
        <v>338.70967741935488</v>
      </c>
      <c r="AD366" s="28" t="e">
        <f t="shared" si="96"/>
        <v>#VALUE!</v>
      </c>
      <c r="AE366" s="28" t="e">
        <f t="shared" si="97"/>
        <v>#N/A</v>
      </c>
      <c r="AF366" s="28" t="e">
        <f t="shared" si="98"/>
        <v>#VALUE!</v>
      </c>
      <c r="AH366" s="31" t="e">
        <f t="shared" si="99"/>
        <v>#N/A</v>
      </c>
      <c r="AI366" s="25"/>
      <c r="AJ366" s="31"/>
    </row>
    <row r="367" spans="2:36" x14ac:dyDescent="0.25">
      <c r="B367" s="33">
        <f>'Arbitrage Payback Engine'!E367</f>
        <v>9.8068757704424048</v>
      </c>
      <c r="C367" s="33">
        <f t="shared" si="85"/>
        <v>1000</v>
      </c>
      <c r="D367" s="33">
        <f>'Battery Pricing Model'!$C$17</f>
        <v>1000</v>
      </c>
      <c r="E367" s="33">
        <f t="shared" si="86"/>
        <v>999</v>
      </c>
      <c r="F367" s="33" t="str">
        <f>'Peak Models'!$B$4</f>
        <v>Default</v>
      </c>
      <c r="G367" s="33" t="e">
        <f>'Peak Models'!$Q$7</f>
        <v>#VALUE!</v>
      </c>
      <c r="H367" s="33">
        <f>'Peak Models'!$P$16</f>
        <v>1.5</v>
      </c>
      <c r="I367" s="33">
        <v>12</v>
      </c>
      <c r="J367" s="33" t="e">
        <f>'Peak Models'!$P$13</f>
        <v>#N/A</v>
      </c>
      <c r="K367" s="28" t="e">
        <f t="shared" si="87"/>
        <v>#VALUE!</v>
      </c>
      <c r="L367" s="28" t="e">
        <f>INDEX('Peak Models'!$P$34:$P$64, MATCH(TRUNC(B367, 0), 'Peak Models'!$O$34:$O$64, 0))</f>
        <v>#N/A</v>
      </c>
      <c r="M367" s="28">
        <f>'Peak Models'!$P$15*INDEX('Peak Models'!$Q$34:$Q$64, MATCH(TRUNC(B367, 0),'Peak Models'!$O$34:$O$64, 0))/'Profit per cycles Model'!$E$78</f>
        <v>5.8770022115184268</v>
      </c>
      <c r="N367" s="28" t="e">
        <f t="shared" si="88"/>
        <v>#N/A</v>
      </c>
      <c r="O367" s="71" t="e">
        <f>AVERAGE($N$10:N367)</f>
        <v>#N/A</v>
      </c>
      <c r="P367" s="28" t="e">
        <f t="shared" si="89"/>
        <v>#N/A</v>
      </c>
      <c r="R367" s="28" t="e">
        <f t="shared" si="90"/>
        <v>#VALUE!</v>
      </c>
      <c r="S367" s="25"/>
      <c r="T367" s="25">
        <f t="shared" si="91"/>
        <v>15</v>
      </c>
      <c r="U367" s="33">
        <f>IF(PaybackCustom&gt;0, IF(PaybackCustom&lt;&gt;"Default", PaybackCustom, IF(PaybackStatus&lt;&gt;"",INDEX('Arbitrage Payback Engine'!$Y$2:$Y$6,MATCH(PaybackStatus,'Arbitrage Payback Engine'!$X$2:$X$6,FALSE)),-1)))</f>
        <v>25</v>
      </c>
      <c r="V367" s="32">
        <f t="shared" si="100"/>
        <v>15</v>
      </c>
      <c r="X367" s="29">
        <f t="shared" si="101"/>
        <v>358</v>
      </c>
      <c r="Z367" s="30">
        <f t="shared" si="92"/>
        <v>9.8068757704424048</v>
      </c>
      <c r="AA367" s="28" t="e">
        <f t="shared" si="93"/>
        <v>#N/A</v>
      </c>
      <c r="AB367" s="28" t="e">
        <f t="shared" si="94"/>
        <v>#VALUE!</v>
      </c>
      <c r="AC367" s="29">
        <f t="shared" si="95"/>
        <v>339.65844402277037</v>
      </c>
      <c r="AD367" s="28" t="e">
        <f t="shared" si="96"/>
        <v>#VALUE!</v>
      </c>
      <c r="AE367" s="28" t="e">
        <f t="shared" si="97"/>
        <v>#N/A</v>
      </c>
      <c r="AF367" s="28" t="e">
        <f t="shared" si="98"/>
        <v>#VALUE!</v>
      </c>
      <c r="AH367" s="31" t="e">
        <f t="shared" si="99"/>
        <v>#N/A</v>
      </c>
      <c r="AI367" s="25"/>
      <c r="AJ367" s="31"/>
    </row>
    <row r="368" spans="2:36" x14ac:dyDescent="0.25">
      <c r="B368" s="33">
        <f>'Arbitrage Payback Engine'!E368</f>
        <v>9.8342692781810701</v>
      </c>
      <c r="C368" s="33">
        <f t="shared" si="85"/>
        <v>1000</v>
      </c>
      <c r="D368" s="33">
        <f>'Battery Pricing Model'!$C$17</f>
        <v>1000</v>
      </c>
      <c r="E368" s="33">
        <f t="shared" si="86"/>
        <v>999</v>
      </c>
      <c r="F368" s="33" t="str">
        <f>'Peak Models'!$B$4</f>
        <v>Default</v>
      </c>
      <c r="G368" s="33" t="e">
        <f>'Peak Models'!$Q$7</f>
        <v>#VALUE!</v>
      </c>
      <c r="H368" s="33">
        <f>'Peak Models'!$P$16</f>
        <v>1.5</v>
      </c>
      <c r="I368" s="33">
        <v>12</v>
      </c>
      <c r="J368" s="33" t="e">
        <f>'Peak Models'!$P$13</f>
        <v>#N/A</v>
      </c>
      <c r="K368" s="28" t="e">
        <f t="shared" si="87"/>
        <v>#VALUE!</v>
      </c>
      <c r="L368" s="28" t="e">
        <f>INDEX('Peak Models'!$P$34:$P$64, MATCH(TRUNC(B368, 0), 'Peak Models'!$O$34:$O$64, 0))</f>
        <v>#N/A</v>
      </c>
      <c r="M368" s="28">
        <f>'Peak Models'!$P$15*INDEX('Peak Models'!$Q$34:$Q$64, MATCH(TRUNC(B368, 0),'Peak Models'!$O$34:$O$64, 0))/'Profit per cycles Model'!$E$78</f>
        <v>5.8770022115184268</v>
      </c>
      <c r="N368" s="28" t="e">
        <f t="shared" si="88"/>
        <v>#N/A</v>
      </c>
      <c r="O368" s="71" t="e">
        <f>AVERAGE($N$10:N368)</f>
        <v>#N/A</v>
      </c>
      <c r="P368" s="28" t="e">
        <f t="shared" si="89"/>
        <v>#N/A</v>
      </c>
      <c r="R368" s="28" t="e">
        <f t="shared" si="90"/>
        <v>#VALUE!</v>
      </c>
      <c r="S368" s="25"/>
      <c r="T368" s="25">
        <f t="shared" si="91"/>
        <v>15</v>
      </c>
      <c r="U368" s="33">
        <f>IF(PaybackCustom&gt;0, IF(PaybackCustom&lt;&gt;"Default", PaybackCustom, IF(PaybackStatus&lt;&gt;"",INDEX('Arbitrage Payback Engine'!$Y$2:$Y$6,MATCH(PaybackStatus,'Arbitrage Payback Engine'!$X$2:$X$6,FALSE)),-1)))</f>
        <v>25</v>
      </c>
      <c r="V368" s="32">
        <f t="shared" si="100"/>
        <v>15</v>
      </c>
      <c r="X368" s="29">
        <f t="shared" si="101"/>
        <v>359</v>
      </c>
      <c r="Z368" s="30">
        <f t="shared" si="92"/>
        <v>9.8342692781810701</v>
      </c>
      <c r="AA368" s="28" t="e">
        <f t="shared" si="93"/>
        <v>#N/A</v>
      </c>
      <c r="AB368" s="28" t="e">
        <f t="shared" si="94"/>
        <v>#VALUE!</v>
      </c>
      <c r="AC368" s="29">
        <f t="shared" si="95"/>
        <v>340.60721062618592</v>
      </c>
      <c r="AD368" s="28" t="e">
        <f t="shared" si="96"/>
        <v>#VALUE!</v>
      </c>
      <c r="AE368" s="28" t="e">
        <f t="shared" si="97"/>
        <v>#N/A</v>
      </c>
      <c r="AF368" s="28" t="e">
        <f t="shared" si="98"/>
        <v>#VALUE!</v>
      </c>
      <c r="AH368" s="31" t="e">
        <f t="shared" si="99"/>
        <v>#N/A</v>
      </c>
      <c r="AI368" s="25"/>
      <c r="AJ368" s="31"/>
    </row>
    <row r="369" spans="2:36" x14ac:dyDescent="0.25">
      <c r="B369" s="33">
        <f>'Arbitrage Payback Engine'!E369</f>
        <v>9.8616627859197372</v>
      </c>
      <c r="C369" s="33">
        <f t="shared" si="85"/>
        <v>1000</v>
      </c>
      <c r="D369" s="33">
        <f>'Battery Pricing Model'!$C$17</f>
        <v>1000</v>
      </c>
      <c r="E369" s="33">
        <f t="shared" si="86"/>
        <v>999</v>
      </c>
      <c r="F369" s="33" t="str">
        <f>'Peak Models'!$B$4</f>
        <v>Default</v>
      </c>
      <c r="G369" s="33" t="e">
        <f>'Peak Models'!$Q$7</f>
        <v>#VALUE!</v>
      </c>
      <c r="H369" s="33">
        <f>'Peak Models'!$P$16</f>
        <v>1.5</v>
      </c>
      <c r="I369" s="33">
        <v>12</v>
      </c>
      <c r="J369" s="33" t="e">
        <f>'Peak Models'!$P$13</f>
        <v>#N/A</v>
      </c>
      <c r="K369" s="28" t="e">
        <f t="shared" si="87"/>
        <v>#VALUE!</v>
      </c>
      <c r="L369" s="28" t="e">
        <f>INDEX('Peak Models'!$P$34:$P$64, MATCH(TRUNC(B369, 0), 'Peak Models'!$O$34:$O$64, 0))</f>
        <v>#N/A</v>
      </c>
      <c r="M369" s="28">
        <f>'Peak Models'!$P$15*INDEX('Peak Models'!$Q$34:$Q$64, MATCH(TRUNC(B369, 0),'Peak Models'!$O$34:$O$64, 0))/'Profit per cycles Model'!$E$78</f>
        <v>5.8770022115184268</v>
      </c>
      <c r="N369" s="28" t="e">
        <f t="shared" si="88"/>
        <v>#N/A</v>
      </c>
      <c r="O369" s="71" t="e">
        <f>AVERAGE($N$10:N369)</f>
        <v>#N/A</v>
      </c>
      <c r="P369" s="28" t="e">
        <f t="shared" si="89"/>
        <v>#N/A</v>
      </c>
      <c r="R369" s="28" t="e">
        <f t="shared" si="90"/>
        <v>#VALUE!</v>
      </c>
      <c r="S369" s="25"/>
      <c r="T369" s="25">
        <f t="shared" si="91"/>
        <v>15</v>
      </c>
      <c r="U369" s="33">
        <f>IF(PaybackCustom&gt;0, IF(PaybackCustom&lt;&gt;"Default", PaybackCustom, IF(PaybackStatus&lt;&gt;"",INDEX('Arbitrage Payback Engine'!$Y$2:$Y$6,MATCH(PaybackStatus,'Arbitrage Payback Engine'!$X$2:$X$6,FALSE)),-1)))</f>
        <v>25</v>
      </c>
      <c r="V369" s="32">
        <f t="shared" si="100"/>
        <v>15</v>
      </c>
      <c r="X369" s="29">
        <f t="shared" si="101"/>
        <v>360</v>
      </c>
      <c r="Z369" s="30">
        <f t="shared" si="92"/>
        <v>9.8616627859197372</v>
      </c>
      <c r="AA369" s="28" t="e">
        <f t="shared" si="93"/>
        <v>#N/A</v>
      </c>
      <c r="AB369" s="28" t="e">
        <f t="shared" si="94"/>
        <v>#VALUE!</v>
      </c>
      <c r="AC369" s="29">
        <f t="shared" si="95"/>
        <v>341.55597722960158</v>
      </c>
      <c r="AD369" s="28" t="e">
        <f t="shared" si="96"/>
        <v>#VALUE!</v>
      </c>
      <c r="AE369" s="28" t="e">
        <f t="shared" si="97"/>
        <v>#N/A</v>
      </c>
      <c r="AF369" s="28" t="e">
        <f t="shared" si="98"/>
        <v>#VALUE!</v>
      </c>
      <c r="AH369" s="31" t="e">
        <f t="shared" si="99"/>
        <v>#N/A</v>
      </c>
      <c r="AI369" s="25"/>
      <c r="AJ369" s="31"/>
    </row>
    <row r="370" spans="2:36" x14ac:dyDescent="0.25">
      <c r="B370" s="33">
        <f>'Arbitrage Payback Engine'!E370</f>
        <v>9.8890562936584026</v>
      </c>
      <c r="C370" s="33">
        <f t="shared" si="85"/>
        <v>1000</v>
      </c>
      <c r="D370" s="33">
        <f>'Battery Pricing Model'!$C$17</f>
        <v>1000</v>
      </c>
      <c r="E370" s="33">
        <f t="shared" si="86"/>
        <v>999</v>
      </c>
      <c r="F370" s="33" t="str">
        <f>'Peak Models'!$B$4</f>
        <v>Default</v>
      </c>
      <c r="G370" s="33" t="e">
        <f>'Peak Models'!$Q$7</f>
        <v>#VALUE!</v>
      </c>
      <c r="H370" s="33">
        <f>'Peak Models'!$P$16</f>
        <v>1.5</v>
      </c>
      <c r="I370" s="33">
        <v>12</v>
      </c>
      <c r="J370" s="33" t="e">
        <f>'Peak Models'!$P$13</f>
        <v>#N/A</v>
      </c>
      <c r="K370" s="28" t="e">
        <f t="shared" si="87"/>
        <v>#VALUE!</v>
      </c>
      <c r="L370" s="28" t="e">
        <f>INDEX('Peak Models'!$P$34:$P$64, MATCH(TRUNC(B370, 0), 'Peak Models'!$O$34:$O$64, 0))</f>
        <v>#N/A</v>
      </c>
      <c r="M370" s="28">
        <f>'Peak Models'!$P$15*INDEX('Peak Models'!$Q$34:$Q$64, MATCH(TRUNC(B370, 0),'Peak Models'!$O$34:$O$64, 0))/'Profit per cycles Model'!$E$78</f>
        <v>5.8770022115184268</v>
      </c>
      <c r="N370" s="28" t="e">
        <f t="shared" si="88"/>
        <v>#N/A</v>
      </c>
      <c r="O370" s="71" t="e">
        <f>AVERAGE($N$10:N370)</f>
        <v>#N/A</v>
      </c>
      <c r="P370" s="28" t="e">
        <f t="shared" si="89"/>
        <v>#N/A</v>
      </c>
      <c r="R370" s="28" t="e">
        <f t="shared" si="90"/>
        <v>#VALUE!</v>
      </c>
      <c r="S370" s="25"/>
      <c r="T370" s="25">
        <f t="shared" si="91"/>
        <v>15</v>
      </c>
      <c r="U370" s="33">
        <f>IF(PaybackCustom&gt;0, IF(PaybackCustom&lt;&gt;"Default", PaybackCustom, IF(PaybackStatus&lt;&gt;"",INDEX('Arbitrage Payback Engine'!$Y$2:$Y$6,MATCH(PaybackStatus,'Arbitrage Payback Engine'!$X$2:$X$6,FALSE)),-1)))</f>
        <v>25</v>
      </c>
      <c r="V370" s="32">
        <f t="shared" si="100"/>
        <v>15</v>
      </c>
      <c r="X370" s="29">
        <f t="shared" si="101"/>
        <v>361</v>
      </c>
      <c r="Z370" s="30">
        <f t="shared" si="92"/>
        <v>9.8890562936584026</v>
      </c>
      <c r="AA370" s="28" t="e">
        <f t="shared" si="93"/>
        <v>#N/A</v>
      </c>
      <c r="AB370" s="28" t="e">
        <f t="shared" si="94"/>
        <v>#VALUE!</v>
      </c>
      <c r="AC370" s="29">
        <f t="shared" si="95"/>
        <v>342.50474383301707</v>
      </c>
      <c r="AD370" s="28" t="e">
        <f t="shared" si="96"/>
        <v>#VALUE!</v>
      </c>
      <c r="AE370" s="28" t="e">
        <f t="shared" si="97"/>
        <v>#N/A</v>
      </c>
      <c r="AF370" s="28" t="e">
        <f t="shared" si="98"/>
        <v>#VALUE!</v>
      </c>
      <c r="AH370" s="31" t="e">
        <f t="shared" si="99"/>
        <v>#N/A</v>
      </c>
      <c r="AI370" s="25"/>
      <c r="AJ370" s="31"/>
    </row>
    <row r="371" spans="2:36" x14ac:dyDescent="0.25">
      <c r="B371" s="33">
        <f>'Arbitrage Payback Engine'!E371</f>
        <v>9.9164498013970679</v>
      </c>
      <c r="C371" s="33">
        <f t="shared" si="85"/>
        <v>1000</v>
      </c>
      <c r="D371" s="33">
        <f>'Battery Pricing Model'!$C$17</f>
        <v>1000</v>
      </c>
      <c r="E371" s="33">
        <f t="shared" si="86"/>
        <v>999</v>
      </c>
      <c r="F371" s="33" t="str">
        <f>'Peak Models'!$B$4</f>
        <v>Default</v>
      </c>
      <c r="G371" s="33" t="e">
        <f>'Peak Models'!$Q$7</f>
        <v>#VALUE!</v>
      </c>
      <c r="H371" s="33">
        <f>'Peak Models'!$P$16</f>
        <v>1.5</v>
      </c>
      <c r="I371" s="33">
        <v>12</v>
      </c>
      <c r="J371" s="33" t="e">
        <f>'Peak Models'!$P$13</f>
        <v>#N/A</v>
      </c>
      <c r="K371" s="28" t="e">
        <f t="shared" si="87"/>
        <v>#VALUE!</v>
      </c>
      <c r="L371" s="28" t="e">
        <f>INDEX('Peak Models'!$P$34:$P$64, MATCH(TRUNC(B371, 0), 'Peak Models'!$O$34:$O$64, 0))</f>
        <v>#N/A</v>
      </c>
      <c r="M371" s="28">
        <f>'Peak Models'!$P$15*INDEX('Peak Models'!$Q$34:$Q$64, MATCH(TRUNC(B371, 0),'Peak Models'!$O$34:$O$64, 0))/'Profit per cycles Model'!$E$78</f>
        <v>5.8770022115184268</v>
      </c>
      <c r="N371" s="28" t="e">
        <f t="shared" si="88"/>
        <v>#N/A</v>
      </c>
      <c r="O371" s="71" t="e">
        <f>AVERAGE($N$10:N371)</f>
        <v>#N/A</v>
      </c>
      <c r="P371" s="28" t="e">
        <f t="shared" si="89"/>
        <v>#N/A</v>
      </c>
      <c r="R371" s="28" t="e">
        <f t="shared" si="90"/>
        <v>#VALUE!</v>
      </c>
      <c r="S371" s="25"/>
      <c r="T371" s="25">
        <f t="shared" si="91"/>
        <v>15</v>
      </c>
      <c r="U371" s="33">
        <f>IF(PaybackCustom&gt;0, IF(PaybackCustom&lt;&gt;"Default", PaybackCustom, IF(PaybackStatus&lt;&gt;"",INDEX('Arbitrage Payback Engine'!$Y$2:$Y$6,MATCH(PaybackStatus,'Arbitrage Payback Engine'!$X$2:$X$6,FALSE)),-1)))</f>
        <v>25</v>
      </c>
      <c r="V371" s="32">
        <f t="shared" si="100"/>
        <v>15</v>
      </c>
      <c r="X371" s="29">
        <f t="shared" si="101"/>
        <v>362</v>
      </c>
      <c r="Z371" s="30">
        <f t="shared" si="92"/>
        <v>9.9164498013970679</v>
      </c>
      <c r="AA371" s="28" t="e">
        <f t="shared" si="93"/>
        <v>#N/A</v>
      </c>
      <c r="AB371" s="28" t="e">
        <f t="shared" si="94"/>
        <v>#VALUE!</v>
      </c>
      <c r="AC371" s="29">
        <f t="shared" si="95"/>
        <v>343.45351043643262</v>
      </c>
      <c r="AD371" s="28" t="e">
        <f t="shared" si="96"/>
        <v>#VALUE!</v>
      </c>
      <c r="AE371" s="28" t="e">
        <f t="shared" si="97"/>
        <v>#N/A</v>
      </c>
      <c r="AF371" s="28" t="e">
        <f t="shared" si="98"/>
        <v>#VALUE!</v>
      </c>
      <c r="AH371" s="31" t="e">
        <f t="shared" si="99"/>
        <v>#N/A</v>
      </c>
      <c r="AI371" s="25"/>
      <c r="AJ371" s="31"/>
    </row>
    <row r="372" spans="2:36" x14ac:dyDescent="0.25">
      <c r="B372" s="33">
        <f>'Arbitrage Payback Engine'!E372</f>
        <v>9.943843309135735</v>
      </c>
      <c r="C372" s="33">
        <f t="shared" si="85"/>
        <v>1000</v>
      </c>
      <c r="D372" s="33">
        <f>'Battery Pricing Model'!$C$17</f>
        <v>1000</v>
      </c>
      <c r="E372" s="33">
        <f t="shared" si="86"/>
        <v>999</v>
      </c>
      <c r="F372" s="33" t="str">
        <f>'Peak Models'!$B$4</f>
        <v>Default</v>
      </c>
      <c r="G372" s="33" t="e">
        <f>'Peak Models'!$Q$7</f>
        <v>#VALUE!</v>
      </c>
      <c r="H372" s="33">
        <f>'Peak Models'!$P$16</f>
        <v>1.5</v>
      </c>
      <c r="I372" s="33">
        <v>12</v>
      </c>
      <c r="J372" s="33" t="e">
        <f>'Peak Models'!$P$13</f>
        <v>#N/A</v>
      </c>
      <c r="K372" s="28" t="e">
        <f t="shared" si="87"/>
        <v>#VALUE!</v>
      </c>
      <c r="L372" s="28" t="e">
        <f>INDEX('Peak Models'!$P$34:$P$64, MATCH(TRUNC(B372, 0), 'Peak Models'!$O$34:$O$64, 0))</f>
        <v>#N/A</v>
      </c>
      <c r="M372" s="28">
        <f>'Peak Models'!$P$15*INDEX('Peak Models'!$Q$34:$Q$64, MATCH(TRUNC(B372, 0),'Peak Models'!$O$34:$O$64, 0))/'Profit per cycles Model'!$E$78</f>
        <v>5.8770022115184268</v>
      </c>
      <c r="N372" s="28" t="e">
        <f t="shared" si="88"/>
        <v>#N/A</v>
      </c>
      <c r="O372" s="71" t="e">
        <f>AVERAGE($N$10:N372)</f>
        <v>#N/A</v>
      </c>
      <c r="P372" s="28" t="e">
        <f t="shared" si="89"/>
        <v>#N/A</v>
      </c>
      <c r="R372" s="28" t="e">
        <f t="shared" si="90"/>
        <v>#VALUE!</v>
      </c>
      <c r="S372" s="25"/>
      <c r="T372" s="25">
        <f t="shared" si="91"/>
        <v>15</v>
      </c>
      <c r="U372" s="33">
        <f>IF(PaybackCustom&gt;0, IF(PaybackCustom&lt;&gt;"Default", PaybackCustom, IF(PaybackStatus&lt;&gt;"",INDEX('Arbitrage Payback Engine'!$Y$2:$Y$6,MATCH(PaybackStatus,'Arbitrage Payback Engine'!$X$2:$X$6,FALSE)),-1)))</f>
        <v>25</v>
      </c>
      <c r="V372" s="32">
        <f t="shared" si="100"/>
        <v>15</v>
      </c>
      <c r="X372" s="29">
        <f t="shared" si="101"/>
        <v>363</v>
      </c>
      <c r="Z372" s="30">
        <f t="shared" si="92"/>
        <v>9.943843309135735</v>
      </c>
      <c r="AA372" s="28" t="e">
        <f t="shared" si="93"/>
        <v>#N/A</v>
      </c>
      <c r="AB372" s="28" t="e">
        <f t="shared" si="94"/>
        <v>#VALUE!</v>
      </c>
      <c r="AC372" s="29">
        <f t="shared" si="95"/>
        <v>344.40227703984823</v>
      </c>
      <c r="AD372" s="28" t="e">
        <f t="shared" si="96"/>
        <v>#VALUE!</v>
      </c>
      <c r="AE372" s="28" t="e">
        <f t="shared" si="97"/>
        <v>#N/A</v>
      </c>
      <c r="AF372" s="28" t="e">
        <f t="shared" si="98"/>
        <v>#VALUE!</v>
      </c>
      <c r="AH372" s="31" t="e">
        <f t="shared" si="99"/>
        <v>#N/A</v>
      </c>
      <c r="AI372" s="25"/>
      <c r="AJ372" s="31"/>
    </row>
    <row r="373" spans="2:36" x14ac:dyDescent="0.25">
      <c r="B373" s="33">
        <f>'Arbitrage Payback Engine'!E373</f>
        <v>9.9712368168744003</v>
      </c>
      <c r="C373" s="33">
        <f t="shared" si="85"/>
        <v>1000</v>
      </c>
      <c r="D373" s="33">
        <f>'Battery Pricing Model'!$C$17</f>
        <v>1000</v>
      </c>
      <c r="E373" s="33">
        <f t="shared" si="86"/>
        <v>999</v>
      </c>
      <c r="F373" s="33" t="str">
        <f>'Peak Models'!$B$4</f>
        <v>Default</v>
      </c>
      <c r="G373" s="33" t="e">
        <f>'Peak Models'!$Q$7</f>
        <v>#VALUE!</v>
      </c>
      <c r="H373" s="33">
        <f>'Peak Models'!$P$16</f>
        <v>1.5</v>
      </c>
      <c r="I373" s="33">
        <v>12</v>
      </c>
      <c r="J373" s="33" t="e">
        <f>'Peak Models'!$P$13</f>
        <v>#N/A</v>
      </c>
      <c r="K373" s="28" t="e">
        <f t="shared" si="87"/>
        <v>#VALUE!</v>
      </c>
      <c r="L373" s="28" t="e">
        <f>INDEX('Peak Models'!$P$34:$P$64, MATCH(TRUNC(B373, 0), 'Peak Models'!$O$34:$O$64, 0))</f>
        <v>#N/A</v>
      </c>
      <c r="M373" s="28">
        <f>'Peak Models'!$P$15*INDEX('Peak Models'!$Q$34:$Q$64, MATCH(TRUNC(B373, 0),'Peak Models'!$O$34:$O$64, 0))/'Profit per cycles Model'!$E$78</f>
        <v>5.8770022115184268</v>
      </c>
      <c r="N373" s="28" t="e">
        <f t="shared" si="88"/>
        <v>#N/A</v>
      </c>
      <c r="O373" s="71" t="e">
        <f>AVERAGE($N$10:N373)</f>
        <v>#N/A</v>
      </c>
      <c r="P373" s="28" t="e">
        <f t="shared" si="89"/>
        <v>#N/A</v>
      </c>
      <c r="R373" s="28" t="e">
        <f t="shared" si="90"/>
        <v>#VALUE!</v>
      </c>
      <c r="S373" s="25"/>
      <c r="T373" s="25">
        <f t="shared" si="91"/>
        <v>15</v>
      </c>
      <c r="U373" s="33">
        <f>IF(PaybackCustom&gt;0, IF(PaybackCustom&lt;&gt;"Default", PaybackCustom, IF(PaybackStatus&lt;&gt;"",INDEX('Arbitrage Payback Engine'!$Y$2:$Y$6,MATCH(PaybackStatus,'Arbitrage Payback Engine'!$X$2:$X$6,FALSE)),-1)))</f>
        <v>25</v>
      </c>
      <c r="V373" s="32">
        <f t="shared" si="100"/>
        <v>15</v>
      </c>
      <c r="X373" s="29">
        <f t="shared" si="101"/>
        <v>364</v>
      </c>
      <c r="Z373" s="30">
        <f t="shared" si="92"/>
        <v>9.9712368168744003</v>
      </c>
      <c r="AA373" s="28" t="e">
        <f t="shared" si="93"/>
        <v>#N/A</v>
      </c>
      <c r="AB373" s="28" t="e">
        <f t="shared" si="94"/>
        <v>#VALUE!</v>
      </c>
      <c r="AC373" s="29">
        <f t="shared" si="95"/>
        <v>345.35104364326372</v>
      </c>
      <c r="AD373" s="28" t="e">
        <f t="shared" si="96"/>
        <v>#VALUE!</v>
      </c>
      <c r="AE373" s="28" t="e">
        <f t="shared" si="97"/>
        <v>#N/A</v>
      </c>
      <c r="AF373" s="28" t="e">
        <f t="shared" si="98"/>
        <v>#VALUE!</v>
      </c>
      <c r="AH373" s="31" t="e">
        <f t="shared" si="99"/>
        <v>#N/A</v>
      </c>
      <c r="AI373" s="25"/>
      <c r="AJ373" s="31"/>
    </row>
    <row r="374" spans="2:36" x14ac:dyDescent="0.25">
      <c r="B374" s="33">
        <f>'Arbitrage Payback Engine'!E374</f>
        <v>9.9986303246130657</v>
      </c>
      <c r="C374" s="33">
        <f t="shared" si="85"/>
        <v>1000</v>
      </c>
      <c r="D374" s="33">
        <f>'Battery Pricing Model'!$C$17</f>
        <v>1000</v>
      </c>
      <c r="E374" s="33">
        <f t="shared" si="86"/>
        <v>999</v>
      </c>
      <c r="F374" s="33" t="str">
        <f>'Peak Models'!$B$4</f>
        <v>Default</v>
      </c>
      <c r="G374" s="33" t="e">
        <f>'Peak Models'!$Q$7</f>
        <v>#VALUE!</v>
      </c>
      <c r="H374" s="33">
        <f>'Peak Models'!$P$16</f>
        <v>1.5</v>
      </c>
      <c r="I374" s="33">
        <v>12</v>
      </c>
      <c r="J374" s="33" t="e">
        <f>'Peak Models'!$P$13</f>
        <v>#N/A</v>
      </c>
      <c r="K374" s="28" t="e">
        <f t="shared" si="87"/>
        <v>#VALUE!</v>
      </c>
      <c r="L374" s="28" t="e">
        <f>INDEX('Peak Models'!$P$34:$P$64, MATCH(TRUNC(B374, 0), 'Peak Models'!$O$34:$O$64, 0))</f>
        <v>#N/A</v>
      </c>
      <c r="M374" s="28">
        <f>'Peak Models'!$P$15*INDEX('Peak Models'!$Q$34:$Q$64, MATCH(TRUNC(B374, 0),'Peak Models'!$O$34:$O$64, 0))/'Profit per cycles Model'!$E$78</f>
        <v>5.8770022115184268</v>
      </c>
      <c r="N374" s="28" t="e">
        <f t="shared" si="88"/>
        <v>#N/A</v>
      </c>
      <c r="O374" s="71" t="e">
        <f>AVERAGE($N$10:N374)</f>
        <v>#N/A</v>
      </c>
      <c r="P374" s="28" t="e">
        <f t="shared" si="89"/>
        <v>#N/A</v>
      </c>
      <c r="R374" s="28" t="e">
        <f t="shared" si="90"/>
        <v>#VALUE!</v>
      </c>
      <c r="S374" s="25"/>
      <c r="T374" s="25">
        <f t="shared" si="91"/>
        <v>15</v>
      </c>
      <c r="U374" s="33">
        <f>IF(PaybackCustom&gt;0, IF(PaybackCustom&lt;&gt;"Default", PaybackCustom, IF(PaybackStatus&lt;&gt;"",INDEX('Arbitrage Payback Engine'!$Y$2:$Y$6,MATCH(PaybackStatus,'Arbitrage Payback Engine'!$X$2:$X$6,FALSE)),-1)))</f>
        <v>25</v>
      </c>
      <c r="V374" s="32">
        <f t="shared" si="100"/>
        <v>15</v>
      </c>
      <c r="X374" s="29">
        <f t="shared" si="101"/>
        <v>365</v>
      </c>
      <c r="Z374" s="30">
        <f t="shared" si="92"/>
        <v>9.9986303246130657</v>
      </c>
      <c r="AA374" s="28" t="e">
        <f t="shared" si="93"/>
        <v>#N/A</v>
      </c>
      <c r="AB374" s="28" t="e">
        <f t="shared" si="94"/>
        <v>#VALUE!</v>
      </c>
      <c r="AC374" s="29">
        <f t="shared" si="95"/>
        <v>346.29981024667933</v>
      </c>
      <c r="AD374" s="28" t="e">
        <f t="shared" si="96"/>
        <v>#VALUE!</v>
      </c>
      <c r="AE374" s="28" t="e">
        <f t="shared" si="97"/>
        <v>#N/A</v>
      </c>
      <c r="AF374" s="28" t="e">
        <f t="shared" si="98"/>
        <v>#VALUE!</v>
      </c>
      <c r="AH374" s="31" t="e">
        <f t="shared" si="99"/>
        <v>#N/A</v>
      </c>
      <c r="AI374" s="25"/>
      <c r="AJ374" s="31"/>
    </row>
    <row r="375" spans="2:36" x14ac:dyDescent="0.25">
      <c r="B375" s="33">
        <f>'Arbitrage Payback Engine'!E375</f>
        <v>10.026023832351733</v>
      </c>
      <c r="C375" s="33">
        <f t="shared" si="85"/>
        <v>1000</v>
      </c>
      <c r="D375" s="33">
        <f>'Battery Pricing Model'!$C$17</f>
        <v>1000</v>
      </c>
      <c r="E375" s="33">
        <f t="shared" si="86"/>
        <v>999</v>
      </c>
      <c r="F375" s="33" t="str">
        <f>'Peak Models'!$B$4</f>
        <v>Default</v>
      </c>
      <c r="G375" s="33" t="e">
        <f>'Peak Models'!$Q$7</f>
        <v>#VALUE!</v>
      </c>
      <c r="H375" s="33">
        <f>'Peak Models'!$P$16</f>
        <v>1.5</v>
      </c>
      <c r="I375" s="33">
        <v>12</v>
      </c>
      <c r="J375" s="33" t="e">
        <f>'Peak Models'!$P$13</f>
        <v>#N/A</v>
      </c>
      <c r="K375" s="28" t="e">
        <f t="shared" si="87"/>
        <v>#VALUE!</v>
      </c>
      <c r="L375" s="28" t="e">
        <f>INDEX('Peak Models'!$P$34:$P$64, MATCH(TRUNC(B375, 0), 'Peak Models'!$O$34:$O$64, 0))</f>
        <v>#N/A</v>
      </c>
      <c r="M375" s="28">
        <f>'Peak Models'!$P$15*INDEX('Peak Models'!$Q$34:$Q$64, MATCH(TRUNC(B375, 0),'Peak Models'!$O$34:$O$64, 0))/'Profit per cycles Model'!$E$78</f>
        <v>6.0239272668063863</v>
      </c>
      <c r="N375" s="28" t="e">
        <f t="shared" si="88"/>
        <v>#N/A</v>
      </c>
      <c r="O375" s="71" t="e">
        <f>AVERAGE($N$10:N375)</f>
        <v>#N/A</v>
      </c>
      <c r="P375" s="28" t="e">
        <f t="shared" si="89"/>
        <v>#N/A</v>
      </c>
      <c r="R375" s="28" t="e">
        <f t="shared" si="90"/>
        <v>#VALUE!</v>
      </c>
      <c r="S375" s="25"/>
      <c r="T375" s="25">
        <f t="shared" si="91"/>
        <v>15</v>
      </c>
      <c r="U375" s="33">
        <f>IF(PaybackCustom&gt;0, IF(PaybackCustom&lt;&gt;"Default", PaybackCustom, IF(PaybackStatus&lt;&gt;"",INDEX('Arbitrage Payback Engine'!$Y$2:$Y$6,MATCH(PaybackStatus,'Arbitrage Payback Engine'!$X$2:$X$6,FALSE)),-1)))</f>
        <v>25</v>
      </c>
      <c r="V375" s="32">
        <f t="shared" si="100"/>
        <v>15</v>
      </c>
      <c r="X375" s="29">
        <f t="shared" si="101"/>
        <v>366</v>
      </c>
      <c r="Z375" s="30">
        <f t="shared" si="92"/>
        <v>10.026023832351733</v>
      </c>
      <c r="AA375" s="28" t="e">
        <f t="shared" si="93"/>
        <v>#N/A</v>
      </c>
      <c r="AB375" s="28" t="e">
        <f t="shared" si="94"/>
        <v>#VALUE!</v>
      </c>
      <c r="AC375" s="29">
        <f t="shared" si="95"/>
        <v>347.24857685009493</v>
      </c>
      <c r="AD375" s="28" t="e">
        <f t="shared" si="96"/>
        <v>#VALUE!</v>
      </c>
      <c r="AE375" s="28" t="e">
        <f t="shared" si="97"/>
        <v>#N/A</v>
      </c>
      <c r="AF375" s="28" t="e">
        <f t="shared" si="98"/>
        <v>#VALUE!</v>
      </c>
      <c r="AH375" s="31" t="e">
        <f t="shared" si="99"/>
        <v>#N/A</v>
      </c>
      <c r="AI375" s="25"/>
      <c r="AJ375" s="31"/>
    </row>
    <row r="376" spans="2:36" x14ac:dyDescent="0.25">
      <c r="B376" s="33">
        <f>'Arbitrage Payback Engine'!E376</f>
        <v>10.053417340090398</v>
      </c>
      <c r="C376" s="33">
        <f t="shared" si="85"/>
        <v>1000</v>
      </c>
      <c r="D376" s="33">
        <f>'Battery Pricing Model'!$C$17</f>
        <v>1000</v>
      </c>
      <c r="E376" s="33">
        <f t="shared" si="86"/>
        <v>999</v>
      </c>
      <c r="F376" s="33" t="str">
        <f>'Peak Models'!$B$4</f>
        <v>Default</v>
      </c>
      <c r="G376" s="33" t="e">
        <f>'Peak Models'!$Q$7</f>
        <v>#VALUE!</v>
      </c>
      <c r="H376" s="33">
        <f>'Peak Models'!$P$16</f>
        <v>1.5</v>
      </c>
      <c r="I376" s="33">
        <v>12</v>
      </c>
      <c r="J376" s="33" t="e">
        <f>'Peak Models'!$P$13</f>
        <v>#N/A</v>
      </c>
      <c r="K376" s="28" t="e">
        <f t="shared" si="87"/>
        <v>#VALUE!</v>
      </c>
      <c r="L376" s="28" t="e">
        <f>INDEX('Peak Models'!$P$34:$P$64, MATCH(TRUNC(B376, 0), 'Peak Models'!$O$34:$O$64, 0))</f>
        <v>#N/A</v>
      </c>
      <c r="M376" s="28">
        <f>'Peak Models'!$P$15*INDEX('Peak Models'!$Q$34:$Q$64, MATCH(TRUNC(B376, 0),'Peak Models'!$O$34:$O$64, 0))/'Profit per cycles Model'!$E$78</f>
        <v>6.0239272668063863</v>
      </c>
      <c r="N376" s="28" t="e">
        <f t="shared" si="88"/>
        <v>#N/A</v>
      </c>
      <c r="O376" s="71" t="e">
        <f>AVERAGE($N$10:N376)</f>
        <v>#N/A</v>
      </c>
      <c r="P376" s="28" t="e">
        <f t="shared" si="89"/>
        <v>#N/A</v>
      </c>
      <c r="R376" s="28" t="e">
        <f t="shared" si="90"/>
        <v>#VALUE!</v>
      </c>
      <c r="S376" s="25"/>
      <c r="T376" s="25">
        <f t="shared" si="91"/>
        <v>15</v>
      </c>
      <c r="U376" s="33">
        <f>IF(PaybackCustom&gt;0, IF(PaybackCustom&lt;&gt;"Default", PaybackCustom, IF(PaybackStatus&lt;&gt;"",INDEX('Arbitrage Payback Engine'!$Y$2:$Y$6,MATCH(PaybackStatus,'Arbitrage Payback Engine'!$X$2:$X$6,FALSE)),-1)))</f>
        <v>25</v>
      </c>
      <c r="V376" s="32">
        <f t="shared" si="100"/>
        <v>15</v>
      </c>
      <c r="X376" s="29">
        <f t="shared" si="101"/>
        <v>367</v>
      </c>
      <c r="Z376" s="30">
        <f t="shared" si="92"/>
        <v>10.053417340090398</v>
      </c>
      <c r="AA376" s="28" t="e">
        <f t="shared" si="93"/>
        <v>#N/A</v>
      </c>
      <c r="AB376" s="28" t="e">
        <f t="shared" si="94"/>
        <v>#VALUE!</v>
      </c>
      <c r="AC376" s="29">
        <f t="shared" si="95"/>
        <v>348.19734345351043</v>
      </c>
      <c r="AD376" s="28" t="e">
        <f t="shared" si="96"/>
        <v>#VALUE!</v>
      </c>
      <c r="AE376" s="28" t="e">
        <f t="shared" si="97"/>
        <v>#N/A</v>
      </c>
      <c r="AF376" s="28" t="e">
        <f t="shared" si="98"/>
        <v>#VALUE!</v>
      </c>
      <c r="AH376" s="31" t="e">
        <f t="shared" si="99"/>
        <v>#N/A</v>
      </c>
      <c r="AI376" s="25"/>
      <c r="AJ376" s="31"/>
    </row>
    <row r="377" spans="2:36" x14ac:dyDescent="0.25">
      <c r="B377" s="33">
        <f>'Arbitrage Payback Engine'!E377</f>
        <v>10.080810847829063</v>
      </c>
      <c r="C377" s="33">
        <f t="shared" si="85"/>
        <v>1000</v>
      </c>
      <c r="D377" s="33">
        <f>'Battery Pricing Model'!$C$17</f>
        <v>1000</v>
      </c>
      <c r="E377" s="33">
        <f t="shared" si="86"/>
        <v>999</v>
      </c>
      <c r="F377" s="33" t="str">
        <f>'Peak Models'!$B$4</f>
        <v>Default</v>
      </c>
      <c r="G377" s="33" t="e">
        <f>'Peak Models'!$Q$7</f>
        <v>#VALUE!</v>
      </c>
      <c r="H377" s="33">
        <f>'Peak Models'!$P$16</f>
        <v>1.5</v>
      </c>
      <c r="I377" s="33">
        <v>12</v>
      </c>
      <c r="J377" s="33" t="e">
        <f>'Peak Models'!$P$13</f>
        <v>#N/A</v>
      </c>
      <c r="K377" s="28" t="e">
        <f t="shared" si="87"/>
        <v>#VALUE!</v>
      </c>
      <c r="L377" s="28" t="e">
        <f>INDEX('Peak Models'!$P$34:$P$64, MATCH(TRUNC(B377, 0), 'Peak Models'!$O$34:$O$64, 0))</f>
        <v>#N/A</v>
      </c>
      <c r="M377" s="28">
        <f>'Peak Models'!$P$15*INDEX('Peak Models'!$Q$34:$Q$64, MATCH(TRUNC(B377, 0),'Peak Models'!$O$34:$O$64, 0))/'Profit per cycles Model'!$E$78</f>
        <v>6.0239272668063863</v>
      </c>
      <c r="N377" s="28" t="e">
        <f t="shared" si="88"/>
        <v>#N/A</v>
      </c>
      <c r="O377" s="71" t="e">
        <f>AVERAGE($N$10:N377)</f>
        <v>#N/A</v>
      </c>
      <c r="P377" s="28" t="e">
        <f t="shared" si="89"/>
        <v>#N/A</v>
      </c>
      <c r="R377" s="28" t="e">
        <f t="shared" si="90"/>
        <v>#VALUE!</v>
      </c>
      <c r="S377" s="25"/>
      <c r="T377" s="25">
        <f t="shared" si="91"/>
        <v>15</v>
      </c>
      <c r="U377" s="33">
        <f>IF(PaybackCustom&gt;0, IF(PaybackCustom&lt;&gt;"Default", PaybackCustom, IF(PaybackStatus&lt;&gt;"",INDEX('Arbitrage Payback Engine'!$Y$2:$Y$6,MATCH(PaybackStatus,'Arbitrage Payback Engine'!$X$2:$X$6,FALSE)),-1)))</f>
        <v>25</v>
      </c>
      <c r="V377" s="32">
        <f t="shared" si="100"/>
        <v>15</v>
      </c>
      <c r="X377" s="29">
        <f t="shared" si="101"/>
        <v>368</v>
      </c>
      <c r="Z377" s="30">
        <f t="shared" si="92"/>
        <v>10.080810847829063</v>
      </c>
      <c r="AA377" s="28" t="e">
        <f t="shared" si="93"/>
        <v>#N/A</v>
      </c>
      <c r="AB377" s="28" t="e">
        <f t="shared" si="94"/>
        <v>#VALUE!</v>
      </c>
      <c r="AC377" s="29">
        <f t="shared" si="95"/>
        <v>349.14611005692598</v>
      </c>
      <c r="AD377" s="28" t="e">
        <f t="shared" si="96"/>
        <v>#VALUE!</v>
      </c>
      <c r="AE377" s="28" t="e">
        <f t="shared" si="97"/>
        <v>#N/A</v>
      </c>
      <c r="AF377" s="28" t="e">
        <f t="shared" si="98"/>
        <v>#VALUE!</v>
      </c>
      <c r="AH377" s="31" t="e">
        <f t="shared" si="99"/>
        <v>#N/A</v>
      </c>
      <c r="AI377" s="25"/>
      <c r="AJ377" s="31"/>
    </row>
    <row r="378" spans="2:36" x14ac:dyDescent="0.25">
      <c r="B378" s="33">
        <f>'Arbitrage Payback Engine'!E378</f>
        <v>10.108204355567731</v>
      </c>
      <c r="C378" s="33">
        <f t="shared" si="85"/>
        <v>1000</v>
      </c>
      <c r="D378" s="33">
        <f>'Battery Pricing Model'!$C$17</f>
        <v>1000</v>
      </c>
      <c r="E378" s="33">
        <f t="shared" si="86"/>
        <v>999</v>
      </c>
      <c r="F378" s="33" t="str">
        <f>'Peak Models'!$B$4</f>
        <v>Default</v>
      </c>
      <c r="G378" s="33" t="e">
        <f>'Peak Models'!$Q$7</f>
        <v>#VALUE!</v>
      </c>
      <c r="H378" s="33">
        <f>'Peak Models'!$P$16</f>
        <v>1.5</v>
      </c>
      <c r="I378" s="33">
        <v>12</v>
      </c>
      <c r="J378" s="33" t="e">
        <f>'Peak Models'!$P$13</f>
        <v>#N/A</v>
      </c>
      <c r="K378" s="28" t="e">
        <f t="shared" si="87"/>
        <v>#VALUE!</v>
      </c>
      <c r="L378" s="28" t="e">
        <f>INDEX('Peak Models'!$P$34:$P$64, MATCH(TRUNC(B378, 0), 'Peak Models'!$O$34:$O$64, 0))</f>
        <v>#N/A</v>
      </c>
      <c r="M378" s="28">
        <f>'Peak Models'!$P$15*INDEX('Peak Models'!$Q$34:$Q$64, MATCH(TRUNC(B378, 0),'Peak Models'!$O$34:$O$64, 0))/'Profit per cycles Model'!$E$78</f>
        <v>6.0239272668063863</v>
      </c>
      <c r="N378" s="28" t="e">
        <f t="shared" si="88"/>
        <v>#N/A</v>
      </c>
      <c r="O378" s="71" t="e">
        <f>AVERAGE($N$10:N378)</f>
        <v>#N/A</v>
      </c>
      <c r="P378" s="28" t="e">
        <f t="shared" si="89"/>
        <v>#N/A</v>
      </c>
      <c r="R378" s="28" t="e">
        <f t="shared" si="90"/>
        <v>#VALUE!</v>
      </c>
      <c r="S378" s="25"/>
      <c r="T378" s="25">
        <f t="shared" si="91"/>
        <v>15</v>
      </c>
      <c r="U378" s="33">
        <f>IF(PaybackCustom&gt;0, IF(PaybackCustom&lt;&gt;"Default", PaybackCustom, IF(PaybackStatus&lt;&gt;"",INDEX('Arbitrage Payback Engine'!$Y$2:$Y$6,MATCH(PaybackStatus,'Arbitrage Payback Engine'!$X$2:$X$6,FALSE)),-1)))</f>
        <v>25</v>
      </c>
      <c r="V378" s="32">
        <f t="shared" si="100"/>
        <v>15</v>
      </c>
      <c r="X378" s="29">
        <f t="shared" si="101"/>
        <v>369</v>
      </c>
      <c r="Z378" s="30">
        <f t="shared" si="92"/>
        <v>10.108204355567731</v>
      </c>
      <c r="AA378" s="28" t="e">
        <f t="shared" si="93"/>
        <v>#N/A</v>
      </c>
      <c r="AB378" s="28" t="e">
        <f t="shared" si="94"/>
        <v>#VALUE!</v>
      </c>
      <c r="AC378" s="29">
        <f t="shared" si="95"/>
        <v>350.09487666034158</v>
      </c>
      <c r="AD378" s="28" t="e">
        <f t="shared" si="96"/>
        <v>#VALUE!</v>
      </c>
      <c r="AE378" s="28" t="e">
        <f t="shared" si="97"/>
        <v>#N/A</v>
      </c>
      <c r="AF378" s="28" t="e">
        <f t="shared" si="98"/>
        <v>#VALUE!</v>
      </c>
      <c r="AH378" s="31" t="e">
        <f t="shared" si="99"/>
        <v>#N/A</v>
      </c>
      <c r="AI378" s="25"/>
      <c r="AJ378" s="31"/>
    </row>
    <row r="379" spans="2:36" x14ac:dyDescent="0.25">
      <c r="B379" s="33">
        <f>'Arbitrage Payback Engine'!E379</f>
        <v>10.135597863306396</v>
      </c>
      <c r="C379" s="33">
        <f t="shared" si="85"/>
        <v>1000</v>
      </c>
      <c r="D379" s="33">
        <f>'Battery Pricing Model'!$C$17</f>
        <v>1000</v>
      </c>
      <c r="E379" s="33">
        <f t="shared" si="86"/>
        <v>999</v>
      </c>
      <c r="F379" s="33" t="str">
        <f>'Peak Models'!$B$4</f>
        <v>Default</v>
      </c>
      <c r="G379" s="33" t="e">
        <f>'Peak Models'!$Q$7</f>
        <v>#VALUE!</v>
      </c>
      <c r="H379" s="33">
        <f>'Peak Models'!$P$16</f>
        <v>1.5</v>
      </c>
      <c r="I379" s="33">
        <v>12</v>
      </c>
      <c r="J379" s="33" t="e">
        <f>'Peak Models'!$P$13</f>
        <v>#N/A</v>
      </c>
      <c r="K379" s="28" t="e">
        <f t="shared" si="87"/>
        <v>#VALUE!</v>
      </c>
      <c r="L379" s="28" t="e">
        <f>INDEX('Peak Models'!$P$34:$P$64, MATCH(TRUNC(B379, 0), 'Peak Models'!$O$34:$O$64, 0))</f>
        <v>#N/A</v>
      </c>
      <c r="M379" s="28">
        <f>'Peak Models'!$P$15*INDEX('Peak Models'!$Q$34:$Q$64, MATCH(TRUNC(B379, 0),'Peak Models'!$O$34:$O$64, 0))/'Profit per cycles Model'!$E$78</f>
        <v>6.0239272668063863</v>
      </c>
      <c r="N379" s="28" t="e">
        <f t="shared" si="88"/>
        <v>#N/A</v>
      </c>
      <c r="O379" s="71" t="e">
        <f>AVERAGE($N$10:N379)</f>
        <v>#N/A</v>
      </c>
      <c r="P379" s="28" t="e">
        <f t="shared" si="89"/>
        <v>#N/A</v>
      </c>
      <c r="R379" s="28" t="e">
        <f t="shared" si="90"/>
        <v>#VALUE!</v>
      </c>
      <c r="S379" s="25"/>
      <c r="T379" s="25">
        <f t="shared" si="91"/>
        <v>15</v>
      </c>
      <c r="U379" s="33">
        <f>IF(PaybackCustom&gt;0, IF(PaybackCustom&lt;&gt;"Default", PaybackCustom, IF(PaybackStatus&lt;&gt;"",INDEX('Arbitrage Payback Engine'!$Y$2:$Y$6,MATCH(PaybackStatus,'Arbitrage Payback Engine'!$X$2:$X$6,FALSE)),-1)))</f>
        <v>25</v>
      </c>
      <c r="V379" s="32">
        <f t="shared" si="100"/>
        <v>15</v>
      </c>
      <c r="X379" s="29">
        <f t="shared" si="101"/>
        <v>370</v>
      </c>
      <c r="Z379" s="30">
        <f t="shared" si="92"/>
        <v>10.135597863306396</v>
      </c>
      <c r="AA379" s="28" t="e">
        <f t="shared" si="93"/>
        <v>#N/A</v>
      </c>
      <c r="AB379" s="28" t="e">
        <f t="shared" si="94"/>
        <v>#VALUE!</v>
      </c>
      <c r="AC379" s="29">
        <f t="shared" si="95"/>
        <v>351.04364326375708</v>
      </c>
      <c r="AD379" s="28" t="e">
        <f t="shared" si="96"/>
        <v>#VALUE!</v>
      </c>
      <c r="AE379" s="28" t="e">
        <f t="shared" si="97"/>
        <v>#N/A</v>
      </c>
      <c r="AF379" s="28" t="e">
        <f t="shared" si="98"/>
        <v>#VALUE!</v>
      </c>
      <c r="AH379" s="31" t="e">
        <f t="shared" si="99"/>
        <v>#N/A</v>
      </c>
      <c r="AI379" s="25"/>
      <c r="AJ379" s="31"/>
    </row>
    <row r="380" spans="2:36" x14ac:dyDescent="0.25">
      <c r="B380" s="33">
        <f>'Arbitrage Payback Engine'!E380</f>
        <v>10.162991371045061</v>
      </c>
      <c r="C380" s="33">
        <f t="shared" si="85"/>
        <v>1000</v>
      </c>
      <c r="D380" s="33">
        <f>'Battery Pricing Model'!$C$17</f>
        <v>1000</v>
      </c>
      <c r="E380" s="33">
        <f t="shared" si="86"/>
        <v>999</v>
      </c>
      <c r="F380" s="33" t="str">
        <f>'Peak Models'!$B$4</f>
        <v>Default</v>
      </c>
      <c r="G380" s="33" t="e">
        <f>'Peak Models'!$Q$7</f>
        <v>#VALUE!</v>
      </c>
      <c r="H380" s="33">
        <f>'Peak Models'!$P$16</f>
        <v>1.5</v>
      </c>
      <c r="I380" s="33">
        <v>12</v>
      </c>
      <c r="J380" s="33" t="e">
        <f>'Peak Models'!$P$13</f>
        <v>#N/A</v>
      </c>
      <c r="K380" s="28" t="e">
        <f t="shared" si="87"/>
        <v>#VALUE!</v>
      </c>
      <c r="L380" s="28" t="e">
        <f>INDEX('Peak Models'!$P$34:$P$64, MATCH(TRUNC(B380, 0), 'Peak Models'!$O$34:$O$64, 0))</f>
        <v>#N/A</v>
      </c>
      <c r="M380" s="28">
        <f>'Peak Models'!$P$15*INDEX('Peak Models'!$Q$34:$Q$64, MATCH(TRUNC(B380, 0),'Peak Models'!$O$34:$O$64, 0))/'Profit per cycles Model'!$E$78</f>
        <v>6.0239272668063863</v>
      </c>
      <c r="N380" s="28" t="e">
        <f t="shared" si="88"/>
        <v>#N/A</v>
      </c>
      <c r="O380" s="71" t="e">
        <f>AVERAGE($N$10:N380)</f>
        <v>#N/A</v>
      </c>
      <c r="P380" s="28" t="e">
        <f t="shared" si="89"/>
        <v>#N/A</v>
      </c>
      <c r="R380" s="28" t="e">
        <f t="shared" si="90"/>
        <v>#VALUE!</v>
      </c>
      <c r="S380" s="25"/>
      <c r="T380" s="25">
        <f t="shared" si="91"/>
        <v>15</v>
      </c>
      <c r="U380" s="33">
        <f>IF(PaybackCustom&gt;0, IF(PaybackCustom&lt;&gt;"Default", PaybackCustom, IF(PaybackStatus&lt;&gt;"",INDEX('Arbitrage Payback Engine'!$Y$2:$Y$6,MATCH(PaybackStatus,'Arbitrage Payback Engine'!$X$2:$X$6,FALSE)),-1)))</f>
        <v>25</v>
      </c>
      <c r="V380" s="32">
        <f t="shared" si="100"/>
        <v>15</v>
      </c>
      <c r="X380" s="29">
        <f t="shared" si="101"/>
        <v>371</v>
      </c>
      <c r="Z380" s="30">
        <f t="shared" si="92"/>
        <v>10.162991371045061</v>
      </c>
      <c r="AA380" s="28" t="e">
        <f t="shared" si="93"/>
        <v>#N/A</v>
      </c>
      <c r="AB380" s="28" t="e">
        <f t="shared" si="94"/>
        <v>#VALUE!</v>
      </c>
      <c r="AC380" s="29">
        <f t="shared" si="95"/>
        <v>351.99240986717268</v>
      </c>
      <c r="AD380" s="28" t="e">
        <f t="shared" si="96"/>
        <v>#VALUE!</v>
      </c>
      <c r="AE380" s="28" t="e">
        <f t="shared" si="97"/>
        <v>#N/A</v>
      </c>
      <c r="AF380" s="28" t="e">
        <f t="shared" si="98"/>
        <v>#VALUE!</v>
      </c>
      <c r="AH380" s="31" t="e">
        <f t="shared" si="99"/>
        <v>#N/A</v>
      </c>
      <c r="AI380" s="25"/>
      <c r="AJ380" s="31"/>
    </row>
    <row r="381" spans="2:36" x14ac:dyDescent="0.25">
      <c r="B381" s="33">
        <f>'Arbitrage Payback Engine'!E381</f>
        <v>10.190384878783728</v>
      </c>
      <c r="C381" s="33">
        <f t="shared" si="85"/>
        <v>1000</v>
      </c>
      <c r="D381" s="33">
        <f>'Battery Pricing Model'!$C$17</f>
        <v>1000</v>
      </c>
      <c r="E381" s="33">
        <f t="shared" si="86"/>
        <v>999</v>
      </c>
      <c r="F381" s="33" t="str">
        <f>'Peak Models'!$B$4</f>
        <v>Default</v>
      </c>
      <c r="G381" s="33" t="e">
        <f>'Peak Models'!$Q$7</f>
        <v>#VALUE!</v>
      </c>
      <c r="H381" s="33">
        <f>'Peak Models'!$P$16</f>
        <v>1.5</v>
      </c>
      <c r="I381" s="33">
        <v>12</v>
      </c>
      <c r="J381" s="33" t="e">
        <f>'Peak Models'!$P$13</f>
        <v>#N/A</v>
      </c>
      <c r="K381" s="28" t="e">
        <f t="shared" si="87"/>
        <v>#VALUE!</v>
      </c>
      <c r="L381" s="28" t="e">
        <f>INDEX('Peak Models'!$P$34:$P$64, MATCH(TRUNC(B381, 0), 'Peak Models'!$O$34:$O$64, 0))</f>
        <v>#N/A</v>
      </c>
      <c r="M381" s="28">
        <f>'Peak Models'!$P$15*INDEX('Peak Models'!$Q$34:$Q$64, MATCH(TRUNC(B381, 0),'Peak Models'!$O$34:$O$64, 0))/'Profit per cycles Model'!$E$78</f>
        <v>6.0239272668063863</v>
      </c>
      <c r="N381" s="28" t="e">
        <f t="shared" si="88"/>
        <v>#N/A</v>
      </c>
      <c r="O381" s="71" t="e">
        <f>AVERAGE($N$10:N381)</f>
        <v>#N/A</v>
      </c>
      <c r="P381" s="28" t="e">
        <f t="shared" si="89"/>
        <v>#N/A</v>
      </c>
      <c r="R381" s="28" t="e">
        <f t="shared" si="90"/>
        <v>#VALUE!</v>
      </c>
      <c r="S381" s="25"/>
      <c r="T381" s="25">
        <f t="shared" si="91"/>
        <v>15</v>
      </c>
      <c r="U381" s="33">
        <f>IF(PaybackCustom&gt;0, IF(PaybackCustom&lt;&gt;"Default", PaybackCustom, IF(PaybackStatus&lt;&gt;"",INDEX('Arbitrage Payback Engine'!$Y$2:$Y$6,MATCH(PaybackStatus,'Arbitrage Payback Engine'!$X$2:$X$6,FALSE)),-1)))</f>
        <v>25</v>
      </c>
      <c r="V381" s="32">
        <f t="shared" si="100"/>
        <v>15</v>
      </c>
      <c r="X381" s="29">
        <f t="shared" si="101"/>
        <v>372</v>
      </c>
      <c r="Z381" s="30">
        <f t="shared" si="92"/>
        <v>10.190384878783728</v>
      </c>
      <c r="AA381" s="28" t="e">
        <f t="shared" si="93"/>
        <v>#N/A</v>
      </c>
      <c r="AB381" s="28" t="e">
        <f t="shared" si="94"/>
        <v>#VALUE!</v>
      </c>
      <c r="AC381" s="29">
        <f t="shared" si="95"/>
        <v>352.94117647058829</v>
      </c>
      <c r="AD381" s="28" t="e">
        <f t="shared" si="96"/>
        <v>#VALUE!</v>
      </c>
      <c r="AE381" s="28" t="e">
        <f t="shared" si="97"/>
        <v>#N/A</v>
      </c>
      <c r="AF381" s="28" t="e">
        <f t="shared" si="98"/>
        <v>#VALUE!</v>
      </c>
      <c r="AH381" s="31" t="e">
        <f t="shared" si="99"/>
        <v>#N/A</v>
      </c>
      <c r="AI381" s="25"/>
      <c r="AJ381" s="31"/>
    </row>
    <row r="382" spans="2:36" x14ac:dyDescent="0.25">
      <c r="B382" s="33">
        <f>'Arbitrage Payback Engine'!E382</f>
        <v>10.217778386522394</v>
      </c>
      <c r="C382" s="33">
        <f t="shared" si="85"/>
        <v>1000</v>
      </c>
      <c r="D382" s="33">
        <f>'Battery Pricing Model'!$C$17</f>
        <v>1000</v>
      </c>
      <c r="E382" s="33">
        <f t="shared" si="86"/>
        <v>999</v>
      </c>
      <c r="F382" s="33" t="str">
        <f>'Peak Models'!$B$4</f>
        <v>Default</v>
      </c>
      <c r="G382" s="33" t="e">
        <f>'Peak Models'!$Q$7</f>
        <v>#VALUE!</v>
      </c>
      <c r="H382" s="33">
        <f>'Peak Models'!$P$16</f>
        <v>1.5</v>
      </c>
      <c r="I382" s="33">
        <v>12</v>
      </c>
      <c r="J382" s="33" t="e">
        <f>'Peak Models'!$P$13</f>
        <v>#N/A</v>
      </c>
      <c r="K382" s="28" t="e">
        <f t="shared" si="87"/>
        <v>#VALUE!</v>
      </c>
      <c r="L382" s="28" t="e">
        <f>INDEX('Peak Models'!$P$34:$P$64, MATCH(TRUNC(B382, 0), 'Peak Models'!$O$34:$O$64, 0))</f>
        <v>#N/A</v>
      </c>
      <c r="M382" s="28">
        <f>'Peak Models'!$P$15*INDEX('Peak Models'!$Q$34:$Q$64, MATCH(TRUNC(B382, 0),'Peak Models'!$O$34:$O$64, 0))/'Profit per cycles Model'!$E$78</f>
        <v>6.0239272668063863</v>
      </c>
      <c r="N382" s="28" t="e">
        <f t="shared" si="88"/>
        <v>#N/A</v>
      </c>
      <c r="O382" s="71" t="e">
        <f>AVERAGE($N$10:N382)</f>
        <v>#N/A</v>
      </c>
      <c r="P382" s="28" t="e">
        <f t="shared" si="89"/>
        <v>#N/A</v>
      </c>
      <c r="R382" s="28" t="e">
        <f t="shared" si="90"/>
        <v>#VALUE!</v>
      </c>
      <c r="S382" s="25"/>
      <c r="T382" s="25">
        <f t="shared" si="91"/>
        <v>15</v>
      </c>
      <c r="U382" s="33">
        <f>IF(PaybackCustom&gt;0, IF(PaybackCustom&lt;&gt;"Default", PaybackCustom, IF(PaybackStatus&lt;&gt;"",INDEX('Arbitrage Payback Engine'!$Y$2:$Y$6,MATCH(PaybackStatus,'Arbitrage Payback Engine'!$X$2:$X$6,FALSE)),-1)))</f>
        <v>25</v>
      </c>
      <c r="V382" s="32">
        <f t="shared" si="100"/>
        <v>15</v>
      </c>
      <c r="X382" s="29">
        <f t="shared" si="101"/>
        <v>373</v>
      </c>
      <c r="Z382" s="30">
        <f t="shared" si="92"/>
        <v>10.217778386522394</v>
      </c>
      <c r="AA382" s="28" t="e">
        <f t="shared" si="93"/>
        <v>#N/A</v>
      </c>
      <c r="AB382" s="28" t="e">
        <f t="shared" si="94"/>
        <v>#VALUE!</v>
      </c>
      <c r="AC382" s="29">
        <f t="shared" si="95"/>
        <v>353.88994307400378</v>
      </c>
      <c r="AD382" s="28" t="e">
        <f t="shared" si="96"/>
        <v>#VALUE!</v>
      </c>
      <c r="AE382" s="28" t="e">
        <f t="shared" si="97"/>
        <v>#N/A</v>
      </c>
      <c r="AF382" s="28" t="e">
        <f t="shared" si="98"/>
        <v>#VALUE!</v>
      </c>
      <c r="AH382" s="31" t="e">
        <f t="shared" si="99"/>
        <v>#N/A</v>
      </c>
      <c r="AI382" s="25"/>
      <c r="AJ382" s="31"/>
    </row>
    <row r="383" spans="2:36" x14ac:dyDescent="0.25">
      <c r="B383" s="33">
        <f>'Arbitrage Payback Engine'!E383</f>
        <v>10.245171894261059</v>
      </c>
      <c r="C383" s="33">
        <f t="shared" si="85"/>
        <v>1000</v>
      </c>
      <c r="D383" s="33">
        <f>'Battery Pricing Model'!$C$17</f>
        <v>1000</v>
      </c>
      <c r="E383" s="33">
        <f t="shared" si="86"/>
        <v>999</v>
      </c>
      <c r="F383" s="33" t="str">
        <f>'Peak Models'!$B$4</f>
        <v>Default</v>
      </c>
      <c r="G383" s="33" t="e">
        <f>'Peak Models'!$Q$7</f>
        <v>#VALUE!</v>
      </c>
      <c r="H383" s="33">
        <f>'Peak Models'!$P$16</f>
        <v>1.5</v>
      </c>
      <c r="I383" s="33">
        <v>12</v>
      </c>
      <c r="J383" s="33" t="e">
        <f>'Peak Models'!$P$13</f>
        <v>#N/A</v>
      </c>
      <c r="K383" s="28" t="e">
        <f t="shared" si="87"/>
        <v>#VALUE!</v>
      </c>
      <c r="L383" s="28" t="e">
        <f>INDEX('Peak Models'!$P$34:$P$64, MATCH(TRUNC(B383, 0), 'Peak Models'!$O$34:$O$64, 0))</f>
        <v>#N/A</v>
      </c>
      <c r="M383" s="28">
        <f>'Peak Models'!$P$15*INDEX('Peak Models'!$Q$34:$Q$64, MATCH(TRUNC(B383, 0),'Peak Models'!$O$34:$O$64, 0))/'Profit per cycles Model'!$E$78</f>
        <v>6.0239272668063863</v>
      </c>
      <c r="N383" s="28" t="e">
        <f t="shared" si="88"/>
        <v>#N/A</v>
      </c>
      <c r="O383" s="71" t="e">
        <f>AVERAGE($N$10:N383)</f>
        <v>#N/A</v>
      </c>
      <c r="P383" s="28" t="e">
        <f t="shared" si="89"/>
        <v>#N/A</v>
      </c>
      <c r="R383" s="28" t="e">
        <f t="shared" si="90"/>
        <v>#VALUE!</v>
      </c>
      <c r="S383" s="25"/>
      <c r="T383" s="25">
        <f t="shared" si="91"/>
        <v>15</v>
      </c>
      <c r="U383" s="33">
        <f>IF(PaybackCustom&gt;0, IF(PaybackCustom&lt;&gt;"Default", PaybackCustom, IF(PaybackStatus&lt;&gt;"",INDEX('Arbitrage Payback Engine'!$Y$2:$Y$6,MATCH(PaybackStatus,'Arbitrage Payback Engine'!$X$2:$X$6,FALSE)),-1)))</f>
        <v>25</v>
      </c>
      <c r="V383" s="32">
        <f t="shared" si="100"/>
        <v>15</v>
      </c>
      <c r="X383" s="29">
        <f t="shared" si="101"/>
        <v>374</v>
      </c>
      <c r="Z383" s="30">
        <f t="shared" si="92"/>
        <v>10.245171894261059</v>
      </c>
      <c r="AA383" s="28" t="e">
        <f t="shared" si="93"/>
        <v>#N/A</v>
      </c>
      <c r="AB383" s="28" t="e">
        <f t="shared" si="94"/>
        <v>#VALUE!</v>
      </c>
      <c r="AC383" s="29">
        <f t="shared" si="95"/>
        <v>354.83870967741933</v>
      </c>
      <c r="AD383" s="28" t="e">
        <f t="shared" si="96"/>
        <v>#VALUE!</v>
      </c>
      <c r="AE383" s="28" t="e">
        <f t="shared" si="97"/>
        <v>#N/A</v>
      </c>
      <c r="AF383" s="28" t="e">
        <f t="shared" si="98"/>
        <v>#VALUE!</v>
      </c>
      <c r="AH383" s="31" t="e">
        <f t="shared" si="99"/>
        <v>#N/A</v>
      </c>
      <c r="AI383" s="25"/>
      <c r="AJ383" s="31"/>
    </row>
    <row r="384" spans="2:36" x14ac:dyDescent="0.25">
      <c r="B384" s="33">
        <f>'Arbitrage Payback Engine'!E384</f>
        <v>10.272565401999726</v>
      </c>
      <c r="C384" s="33">
        <f t="shared" si="85"/>
        <v>1000</v>
      </c>
      <c r="D384" s="33">
        <f>'Battery Pricing Model'!$C$17</f>
        <v>1000</v>
      </c>
      <c r="E384" s="33">
        <f t="shared" si="86"/>
        <v>999</v>
      </c>
      <c r="F384" s="33" t="str">
        <f>'Peak Models'!$B$4</f>
        <v>Default</v>
      </c>
      <c r="G384" s="33" t="e">
        <f>'Peak Models'!$Q$7</f>
        <v>#VALUE!</v>
      </c>
      <c r="H384" s="33">
        <f>'Peak Models'!$P$16</f>
        <v>1.5</v>
      </c>
      <c r="I384" s="33">
        <v>12</v>
      </c>
      <c r="J384" s="33" t="e">
        <f>'Peak Models'!$P$13</f>
        <v>#N/A</v>
      </c>
      <c r="K384" s="28" t="e">
        <f t="shared" si="87"/>
        <v>#VALUE!</v>
      </c>
      <c r="L384" s="28" t="e">
        <f>INDEX('Peak Models'!$P$34:$P$64, MATCH(TRUNC(B384, 0), 'Peak Models'!$O$34:$O$64, 0))</f>
        <v>#N/A</v>
      </c>
      <c r="M384" s="28">
        <f>'Peak Models'!$P$15*INDEX('Peak Models'!$Q$34:$Q$64, MATCH(TRUNC(B384, 0),'Peak Models'!$O$34:$O$64, 0))/'Profit per cycles Model'!$E$78</f>
        <v>6.0239272668063863</v>
      </c>
      <c r="N384" s="28" t="e">
        <f t="shared" si="88"/>
        <v>#N/A</v>
      </c>
      <c r="O384" s="71" t="e">
        <f>AVERAGE($N$10:N384)</f>
        <v>#N/A</v>
      </c>
      <c r="P384" s="28" t="e">
        <f t="shared" si="89"/>
        <v>#N/A</v>
      </c>
      <c r="R384" s="28" t="e">
        <f t="shared" si="90"/>
        <v>#VALUE!</v>
      </c>
      <c r="S384" s="25"/>
      <c r="T384" s="25">
        <f t="shared" si="91"/>
        <v>15</v>
      </c>
      <c r="U384" s="33">
        <f>IF(PaybackCustom&gt;0, IF(PaybackCustom&lt;&gt;"Default", PaybackCustom, IF(PaybackStatus&lt;&gt;"",INDEX('Arbitrage Payback Engine'!$Y$2:$Y$6,MATCH(PaybackStatus,'Arbitrage Payback Engine'!$X$2:$X$6,FALSE)),-1)))</f>
        <v>25</v>
      </c>
      <c r="V384" s="32">
        <f t="shared" si="100"/>
        <v>15</v>
      </c>
      <c r="X384" s="29">
        <f t="shared" si="101"/>
        <v>375</v>
      </c>
      <c r="Z384" s="30">
        <f t="shared" si="92"/>
        <v>10.272565401999726</v>
      </c>
      <c r="AA384" s="28" t="e">
        <f t="shared" si="93"/>
        <v>#N/A</v>
      </c>
      <c r="AB384" s="28" t="e">
        <f t="shared" si="94"/>
        <v>#VALUE!</v>
      </c>
      <c r="AC384" s="29">
        <f t="shared" si="95"/>
        <v>355.78747628083494</v>
      </c>
      <c r="AD384" s="28" t="e">
        <f t="shared" si="96"/>
        <v>#VALUE!</v>
      </c>
      <c r="AE384" s="28" t="e">
        <f t="shared" si="97"/>
        <v>#N/A</v>
      </c>
      <c r="AF384" s="28" t="e">
        <f t="shared" si="98"/>
        <v>#VALUE!</v>
      </c>
      <c r="AH384" s="31" t="e">
        <f t="shared" si="99"/>
        <v>#N/A</v>
      </c>
      <c r="AI384" s="25"/>
      <c r="AJ384" s="31"/>
    </row>
    <row r="385" spans="2:36" x14ac:dyDescent="0.25">
      <c r="B385" s="33">
        <f>'Arbitrage Payback Engine'!E385</f>
        <v>10.299958909738391</v>
      </c>
      <c r="C385" s="33">
        <f t="shared" si="85"/>
        <v>1000</v>
      </c>
      <c r="D385" s="33">
        <f>'Battery Pricing Model'!$C$17</f>
        <v>1000</v>
      </c>
      <c r="E385" s="33">
        <f t="shared" si="86"/>
        <v>999</v>
      </c>
      <c r="F385" s="33" t="str">
        <f>'Peak Models'!$B$4</f>
        <v>Default</v>
      </c>
      <c r="G385" s="33" t="e">
        <f>'Peak Models'!$Q$7</f>
        <v>#VALUE!</v>
      </c>
      <c r="H385" s="33">
        <f>'Peak Models'!$P$16</f>
        <v>1.5</v>
      </c>
      <c r="I385" s="33">
        <v>12</v>
      </c>
      <c r="J385" s="33" t="e">
        <f>'Peak Models'!$P$13</f>
        <v>#N/A</v>
      </c>
      <c r="K385" s="28" t="e">
        <f t="shared" si="87"/>
        <v>#VALUE!</v>
      </c>
      <c r="L385" s="28" t="e">
        <f>INDEX('Peak Models'!$P$34:$P$64, MATCH(TRUNC(B385, 0), 'Peak Models'!$O$34:$O$64, 0))</f>
        <v>#N/A</v>
      </c>
      <c r="M385" s="28">
        <f>'Peak Models'!$P$15*INDEX('Peak Models'!$Q$34:$Q$64, MATCH(TRUNC(B385, 0),'Peak Models'!$O$34:$O$64, 0))/'Profit per cycles Model'!$E$78</f>
        <v>6.0239272668063863</v>
      </c>
      <c r="N385" s="28" t="e">
        <f t="shared" si="88"/>
        <v>#N/A</v>
      </c>
      <c r="O385" s="71" t="e">
        <f>AVERAGE($N$10:N385)</f>
        <v>#N/A</v>
      </c>
      <c r="P385" s="28" t="e">
        <f t="shared" si="89"/>
        <v>#N/A</v>
      </c>
      <c r="R385" s="28" t="e">
        <f t="shared" si="90"/>
        <v>#VALUE!</v>
      </c>
      <c r="S385" s="25"/>
      <c r="T385" s="25">
        <f t="shared" si="91"/>
        <v>15</v>
      </c>
      <c r="U385" s="33">
        <f>IF(PaybackCustom&gt;0, IF(PaybackCustom&lt;&gt;"Default", PaybackCustom, IF(PaybackStatus&lt;&gt;"",INDEX('Arbitrage Payback Engine'!$Y$2:$Y$6,MATCH(PaybackStatus,'Arbitrage Payback Engine'!$X$2:$X$6,FALSE)),-1)))</f>
        <v>25</v>
      </c>
      <c r="V385" s="32">
        <f t="shared" si="100"/>
        <v>15</v>
      </c>
      <c r="X385" s="29">
        <f t="shared" si="101"/>
        <v>376</v>
      </c>
      <c r="Z385" s="30">
        <f t="shared" si="92"/>
        <v>10.299958909738391</v>
      </c>
      <c r="AA385" s="28" t="e">
        <f t="shared" si="93"/>
        <v>#N/A</v>
      </c>
      <c r="AB385" s="28" t="e">
        <f t="shared" si="94"/>
        <v>#VALUE!</v>
      </c>
      <c r="AC385" s="29">
        <f t="shared" si="95"/>
        <v>356.73624288425049</v>
      </c>
      <c r="AD385" s="28" t="e">
        <f t="shared" si="96"/>
        <v>#VALUE!</v>
      </c>
      <c r="AE385" s="28" t="e">
        <f t="shared" si="97"/>
        <v>#N/A</v>
      </c>
      <c r="AF385" s="28" t="e">
        <f t="shared" si="98"/>
        <v>#VALUE!</v>
      </c>
      <c r="AH385" s="31" t="e">
        <f t="shared" si="99"/>
        <v>#N/A</v>
      </c>
      <c r="AI385" s="25"/>
      <c r="AJ385" s="31"/>
    </row>
    <row r="386" spans="2:36" x14ac:dyDescent="0.25">
      <c r="B386" s="33">
        <f>'Arbitrage Payback Engine'!E386</f>
        <v>10.327352417477057</v>
      </c>
      <c r="C386" s="33">
        <f t="shared" si="85"/>
        <v>1000</v>
      </c>
      <c r="D386" s="33">
        <f>'Battery Pricing Model'!$C$17</f>
        <v>1000</v>
      </c>
      <c r="E386" s="33">
        <f t="shared" si="86"/>
        <v>999</v>
      </c>
      <c r="F386" s="33" t="str">
        <f>'Peak Models'!$B$4</f>
        <v>Default</v>
      </c>
      <c r="G386" s="33" t="e">
        <f>'Peak Models'!$Q$7</f>
        <v>#VALUE!</v>
      </c>
      <c r="H386" s="33">
        <f>'Peak Models'!$P$16</f>
        <v>1.5</v>
      </c>
      <c r="I386" s="33">
        <v>12</v>
      </c>
      <c r="J386" s="33" t="e">
        <f>'Peak Models'!$P$13</f>
        <v>#N/A</v>
      </c>
      <c r="K386" s="28" t="e">
        <f t="shared" si="87"/>
        <v>#VALUE!</v>
      </c>
      <c r="L386" s="28" t="e">
        <f>INDEX('Peak Models'!$P$34:$P$64, MATCH(TRUNC(B386, 0), 'Peak Models'!$O$34:$O$64, 0))</f>
        <v>#N/A</v>
      </c>
      <c r="M386" s="28">
        <f>'Peak Models'!$P$15*INDEX('Peak Models'!$Q$34:$Q$64, MATCH(TRUNC(B386, 0),'Peak Models'!$O$34:$O$64, 0))/'Profit per cycles Model'!$E$78</f>
        <v>6.0239272668063863</v>
      </c>
      <c r="N386" s="28" t="e">
        <f t="shared" si="88"/>
        <v>#N/A</v>
      </c>
      <c r="O386" s="71" t="e">
        <f>AVERAGE($N$10:N386)</f>
        <v>#N/A</v>
      </c>
      <c r="P386" s="28" t="e">
        <f t="shared" si="89"/>
        <v>#N/A</v>
      </c>
      <c r="R386" s="28" t="e">
        <f t="shared" si="90"/>
        <v>#VALUE!</v>
      </c>
      <c r="S386" s="25"/>
      <c r="T386" s="25">
        <f t="shared" si="91"/>
        <v>15</v>
      </c>
      <c r="U386" s="33">
        <f>IF(PaybackCustom&gt;0, IF(PaybackCustom&lt;&gt;"Default", PaybackCustom, IF(PaybackStatus&lt;&gt;"",INDEX('Arbitrage Payback Engine'!$Y$2:$Y$6,MATCH(PaybackStatus,'Arbitrage Payback Engine'!$X$2:$X$6,FALSE)),-1)))</f>
        <v>25</v>
      </c>
      <c r="V386" s="32">
        <f t="shared" si="100"/>
        <v>15</v>
      </c>
      <c r="X386" s="29">
        <f t="shared" si="101"/>
        <v>377</v>
      </c>
      <c r="Z386" s="30">
        <f t="shared" si="92"/>
        <v>10.327352417477057</v>
      </c>
      <c r="AA386" s="28" t="e">
        <f t="shared" si="93"/>
        <v>#N/A</v>
      </c>
      <c r="AB386" s="28" t="e">
        <f t="shared" si="94"/>
        <v>#VALUE!</v>
      </c>
      <c r="AC386" s="29">
        <f t="shared" si="95"/>
        <v>357.68500948766604</v>
      </c>
      <c r="AD386" s="28" t="e">
        <f t="shared" si="96"/>
        <v>#VALUE!</v>
      </c>
      <c r="AE386" s="28" t="e">
        <f t="shared" si="97"/>
        <v>#N/A</v>
      </c>
      <c r="AF386" s="28" t="e">
        <f t="shared" si="98"/>
        <v>#VALUE!</v>
      </c>
      <c r="AH386" s="31" t="e">
        <f t="shared" si="99"/>
        <v>#N/A</v>
      </c>
      <c r="AI386" s="25"/>
      <c r="AJ386" s="31"/>
    </row>
    <row r="387" spans="2:36" x14ac:dyDescent="0.25">
      <c r="B387" s="33">
        <f>'Arbitrage Payback Engine'!E387</f>
        <v>10.354745925215724</v>
      </c>
      <c r="C387" s="33">
        <f t="shared" si="85"/>
        <v>1000</v>
      </c>
      <c r="D387" s="33">
        <f>'Battery Pricing Model'!$C$17</f>
        <v>1000</v>
      </c>
      <c r="E387" s="33">
        <f t="shared" si="86"/>
        <v>999</v>
      </c>
      <c r="F387" s="33" t="str">
        <f>'Peak Models'!$B$4</f>
        <v>Default</v>
      </c>
      <c r="G387" s="33" t="e">
        <f>'Peak Models'!$Q$7</f>
        <v>#VALUE!</v>
      </c>
      <c r="H387" s="33">
        <f>'Peak Models'!$P$16</f>
        <v>1.5</v>
      </c>
      <c r="I387" s="33">
        <v>12</v>
      </c>
      <c r="J387" s="33" t="e">
        <f>'Peak Models'!$P$13</f>
        <v>#N/A</v>
      </c>
      <c r="K387" s="28" t="e">
        <f t="shared" si="87"/>
        <v>#VALUE!</v>
      </c>
      <c r="L387" s="28" t="e">
        <f>INDEX('Peak Models'!$P$34:$P$64, MATCH(TRUNC(B387, 0), 'Peak Models'!$O$34:$O$64, 0))</f>
        <v>#N/A</v>
      </c>
      <c r="M387" s="28">
        <f>'Peak Models'!$P$15*INDEX('Peak Models'!$Q$34:$Q$64, MATCH(TRUNC(B387, 0),'Peak Models'!$O$34:$O$64, 0))/'Profit per cycles Model'!$E$78</f>
        <v>6.0239272668063863</v>
      </c>
      <c r="N387" s="28" t="e">
        <f t="shared" si="88"/>
        <v>#N/A</v>
      </c>
      <c r="O387" s="71" t="e">
        <f>AVERAGE($N$10:N387)</f>
        <v>#N/A</v>
      </c>
      <c r="P387" s="28" t="e">
        <f t="shared" si="89"/>
        <v>#N/A</v>
      </c>
      <c r="R387" s="28" t="e">
        <f t="shared" si="90"/>
        <v>#VALUE!</v>
      </c>
      <c r="S387" s="25"/>
      <c r="T387" s="25">
        <f t="shared" si="91"/>
        <v>15</v>
      </c>
      <c r="U387" s="33">
        <f>IF(PaybackCustom&gt;0, IF(PaybackCustom&lt;&gt;"Default", PaybackCustom, IF(PaybackStatus&lt;&gt;"",INDEX('Arbitrage Payback Engine'!$Y$2:$Y$6,MATCH(PaybackStatus,'Arbitrage Payback Engine'!$X$2:$X$6,FALSE)),-1)))</f>
        <v>25</v>
      </c>
      <c r="V387" s="32">
        <f t="shared" si="100"/>
        <v>15</v>
      </c>
      <c r="X387" s="29">
        <f t="shared" si="101"/>
        <v>378</v>
      </c>
      <c r="Z387" s="30">
        <f t="shared" si="92"/>
        <v>10.354745925215724</v>
      </c>
      <c r="AA387" s="28" t="e">
        <f t="shared" si="93"/>
        <v>#N/A</v>
      </c>
      <c r="AB387" s="28" t="e">
        <f t="shared" si="94"/>
        <v>#VALUE!</v>
      </c>
      <c r="AC387" s="29">
        <f t="shared" si="95"/>
        <v>358.63377609108164</v>
      </c>
      <c r="AD387" s="28" t="e">
        <f t="shared" si="96"/>
        <v>#VALUE!</v>
      </c>
      <c r="AE387" s="28" t="e">
        <f t="shared" si="97"/>
        <v>#N/A</v>
      </c>
      <c r="AF387" s="28" t="e">
        <f t="shared" si="98"/>
        <v>#VALUE!</v>
      </c>
      <c r="AH387" s="31" t="e">
        <f t="shared" si="99"/>
        <v>#N/A</v>
      </c>
      <c r="AI387" s="25"/>
      <c r="AJ387" s="31"/>
    </row>
    <row r="388" spans="2:36" x14ac:dyDescent="0.25">
      <c r="B388" s="33">
        <f>'Arbitrage Payback Engine'!E388</f>
        <v>10.382139432954389</v>
      </c>
      <c r="C388" s="33">
        <f t="shared" si="85"/>
        <v>1000</v>
      </c>
      <c r="D388" s="33">
        <f>'Battery Pricing Model'!$C$17</f>
        <v>1000</v>
      </c>
      <c r="E388" s="33">
        <f t="shared" si="86"/>
        <v>999</v>
      </c>
      <c r="F388" s="33" t="str">
        <f>'Peak Models'!$B$4</f>
        <v>Default</v>
      </c>
      <c r="G388" s="33" t="e">
        <f>'Peak Models'!$Q$7</f>
        <v>#VALUE!</v>
      </c>
      <c r="H388" s="33">
        <f>'Peak Models'!$P$16</f>
        <v>1.5</v>
      </c>
      <c r="I388" s="33">
        <v>12</v>
      </c>
      <c r="J388" s="33" t="e">
        <f>'Peak Models'!$P$13</f>
        <v>#N/A</v>
      </c>
      <c r="K388" s="28" t="e">
        <f t="shared" si="87"/>
        <v>#VALUE!</v>
      </c>
      <c r="L388" s="28" t="e">
        <f>INDEX('Peak Models'!$P$34:$P$64, MATCH(TRUNC(B388, 0), 'Peak Models'!$O$34:$O$64, 0))</f>
        <v>#N/A</v>
      </c>
      <c r="M388" s="28">
        <f>'Peak Models'!$P$15*INDEX('Peak Models'!$Q$34:$Q$64, MATCH(TRUNC(B388, 0),'Peak Models'!$O$34:$O$64, 0))/'Profit per cycles Model'!$E$78</f>
        <v>6.0239272668063863</v>
      </c>
      <c r="N388" s="28" t="e">
        <f t="shared" si="88"/>
        <v>#N/A</v>
      </c>
      <c r="O388" s="71" t="e">
        <f>AVERAGE($N$10:N388)</f>
        <v>#N/A</v>
      </c>
      <c r="P388" s="28" t="e">
        <f t="shared" si="89"/>
        <v>#N/A</v>
      </c>
      <c r="R388" s="28" t="e">
        <f t="shared" si="90"/>
        <v>#VALUE!</v>
      </c>
      <c r="S388" s="25"/>
      <c r="T388" s="25">
        <f t="shared" si="91"/>
        <v>15</v>
      </c>
      <c r="U388" s="33">
        <f>IF(PaybackCustom&gt;0, IF(PaybackCustom&lt;&gt;"Default", PaybackCustom, IF(PaybackStatus&lt;&gt;"",INDEX('Arbitrage Payback Engine'!$Y$2:$Y$6,MATCH(PaybackStatus,'Arbitrage Payback Engine'!$X$2:$X$6,FALSE)),-1)))</f>
        <v>25</v>
      </c>
      <c r="V388" s="32">
        <f t="shared" si="100"/>
        <v>15</v>
      </c>
      <c r="X388" s="29">
        <f t="shared" si="101"/>
        <v>379</v>
      </c>
      <c r="Z388" s="30">
        <f t="shared" si="92"/>
        <v>10.382139432954389</v>
      </c>
      <c r="AA388" s="28" t="e">
        <f t="shared" si="93"/>
        <v>#N/A</v>
      </c>
      <c r="AB388" s="28" t="e">
        <f t="shared" si="94"/>
        <v>#VALUE!</v>
      </c>
      <c r="AC388" s="29">
        <f t="shared" si="95"/>
        <v>359.58254269449714</v>
      </c>
      <c r="AD388" s="28" t="e">
        <f t="shared" si="96"/>
        <v>#VALUE!</v>
      </c>
      <c r="AE388" s="28" t="e">
        <f t="shared" si="97"/>
        <v>#N/A</v>
      </c>
      <c r="AF388" s="28" t="e">
        <f t="shared" si="98"/>
        <v>#VALUE!</v>
      </c>
      <c r="AH388" s="31" t="e">
        <f t="shared" si="99"/>
        <v>#N/A</v>
      </c>
      <c r="AI388" s="25"/>
      <c r="AJ388" s="31"/>
    </row>
    <row r="389" spans="2:36" x14ac:dyDescent="0.25">
      <c r="B389" s="33">
        <f>'Arbitrage Payback Engine'!E389</f>
        <v>10.409532940693055</v>
      </c>
      <c r="C389" s="33">
        <f t="shared" si="85"/>
        <v>1000</v>
      </c>
      <c r="D389" s="33">
        <f>'Battery Pricing Model'!$C$17</f>
        <v>1000</v>
      </c>
      <c r="E389" s="33">
        <f t="shared" si="86"/>
        <v>999</v>
      </c>
      <c r="F389" s="33" t="str">
        <f>'Peak Models'!$B$4</f>
        <v>Default</v>
      </c>
      <c r="G389" s="33" t="e">
        <f>'Peak Models'!$Q$7</f>
        <v>#VALUE!</v>
      </c>
      <c r="H389" s="33">
        <f>'Peak Models'!$P$16</f>
        <v>1.5</v>
      </c>
      <c r="I389" s="33">
        <v>12</v>
      </c>
      <c r="J389" s="33" t="e">
        <f>'Peak Models'!$P$13</f>
        <v>#N/A</v>
      </c>
      <c r="K389" s="28" t="e">
        <f t="shared" si="87"/>
        <v>#VALUE!</v>
      </c>
      <c r="L389" s="28" t="e">
        <f>INDEX('Peak Models'!$P$34:$P$64, MATCH(TRUNC(B389, 0), 'Peak Models'!$O$34:$O$64, 0))</f>
        <v>#N/A</v>
      </c>
      <c r="M389" s="28">
        <f>'Peak Models'!$P$15*INDEX('Peak Models'!$Q$34:$Q$64, MATCH(TRUNC(B389, 0),'Peak Models'!$O$34:$O$64, 0))/'Profit per cycles Model'!$E$78</f>
        <v>6.0239272668063863</v>
      </c>
      <c r="N389" s="28" t="e">
        <f t="shared" si="88"/>
        <v>#N/A</v>
      </c>
      <c r="O389" s="71" t="e">
        <f>AVERAGE($N$10:N389)</f>
        <v>#N/A</v>
      </c>
      <c r="P389" s="28" t="e">
        <f t="shared" si="89"/>
        <v>#N/A</v>
      </c>
      <c r="R389" s="28" t="e">
        <f t="shared" si="90"/>
        <v>#VALUE!</v>
      </c>
      <c r="S389" s="25"/>
      <c r="T389" s="25">
        <f t="shared" si="91"/>
        <v>15</v>
      </c>
      <c r="U389" s="33">
        <f>IF(PaybackCustom&gt;0, IF(PaybackCustom&lt;&gt;"Default", PaybackCustom, IF(PaybackStatus&lt;&gt;"",INDEX('Arbitrage Payback Engine'!$Y$2:$Y$6,MATCH(PaybackStatus,'Arbitrage Payback Engine'!$X$2:$X$6,FALSE)),-1)))</f>
        <v>25</v>
      </c>
      <c r="V389" s="32">
        <f t="shared" si="100"/>
        <v>15</v>
      </c>
      <c r="X389" s="29">
        <f t="shared" si="101"/>
        <v>380</v>
      </c>
      <c r="Z389" s="30">
        <f t="shared" si="92"/>
        <v>10.409532940693055</v>
      </c>
      <c r="AA389" s="28" t="e">
        <f t="shared" si="93"/>
        <v>#N/A</v>
      </c>
      <c r="AB389" s="28" t="e">
        <f t="shared" si="94"/>
        <v>#VALUE!</v>
      </c>
      <c r="AC389" s="29">
        <f t="shared" si="95"/>
        <v>360.53130929791268</v>
      </c>
      <c r="AD389" s="28" t="e">
        <f t="shared" si="96"/>
        <v>#VALUE!</v>
      </c>
      <c r="AE389" s="28" t="e">
        <f t="shared" si="97"/>
        <v>#N/A</v>
      </c>
      <c r="AF389" s="28" t="e">
        <f t="shared" si="98"/>
        <v>#VALUE!</v>
      </c>
      <c r="AH389" s="31" t="e">
        <f t="shared" si="99"/>
        <v>#N/A</v>
      </c>
      <c r="AI389" s="25"/>
      <c r="AJ389" s="31"/>
    </row>
    <row r="390" spans="2:36" x14ac:dyDescent="0.25">
      <c r="B390" s="33">
        <f>'Arbitrage Payback Engine'!E390</f>
        <v>10.436926448431722</v>
      </c>
      <c r="C390" s="33">
        <f t="shared" si="85"/>
        <v>1000</v>
      </c>
      <c r="D390" s="33">
        <f>'Battery Pricing Model'!$C$17</f>
        <v>1000</v>
      </c>
      <c r="E390" s="33">
        <f t="shared" si="86"/>
        <v>999</v>
      </c>
      <c r="F390" s="33" t="str">
        <f>'Peak Models'!$B$4</f>
        <v>Default</v>
      </c>
      <c r="G390" s="33" t="e">
        <f>'Peak Models'!$Q$7</f>
        <v>#VALUE!</v>
      </c>
      <c r="H390" s="33">
        <f>'Peak Models'!$P$16</f>
        <v>1.5</v>
      </c>
      <c r="I390" s="33">
        <v>12</v>
      </c>
      <c r="J390" s="33" t="e">
        <f>'Peak Models'!$P$13</f>
        <v>#N/A</v>
      </c>
      <c r="K390" s="28" t="e">
        <f t="shared" si="87"/>
        <v>#VALUE!</v>
      </c>
      <c r="L390" s="28" t="e">
        <f>INDEX('Peak Models'!$P$34:$P$64, MATCH(TRUNC(B390, 0), 'Peak Models'!$O$34:$O$64, 0))</f>
        <v>#N/A</v>
      </c>
      <c r="M390" s="28">
        <f>'Peak Models'!$P$15*INDEX('Peak Models'!$Q$34:$Q$64, MATCH(TRUNC(B390, 0),'Peak Models'!$O$34:$O$64, 0))/'Profit per cycles Model'!$E$78</f>
        <v>6.0239272668063863</v>
      </c>
      <c r="N390" s="28" t="e">
        <f t="shared" si="88"/>
        <v>#N/A</v>
      </c>
      <c r="O390" s="71" t="e">
        <f>AVERAGE($N$10:N390)</f>
        <v>#N/A</v>
      </c>
      <c r="P390" s="28" t="e">
        <f t="shared" si="89"/>
        <v>#N/A</v>
      </c>
      <c r="R390" s="28" t="e">
        <f t="shared" si="90"/>
        <v>#VALUE!</v>
      </c>
      <c r="S390" s="25"/>
      <c r="T390" s="25">
        <f t="shared" si="91"/>
        <v>15</v>
      </c>
      <c r="U390" s="33">
        <f>IF(PaybackCustom&gt;0, IF(PaybackCustom&lt;&gt;"Default", PaybackCustom, IF(PaybackStatus&lt;&gt;"",INDEX('Arbitrage Payback Engine'!$Y$2:$Y$6,MATCH(PaybackStatus,'Arbitrage Payback Engine'!$X$2:$X$6,FALSE)),-1)))</f>
        <v>25</v>
      </c>
      <c r="V390" s="32">
        <f t="shared" si="100"/>
        <v>15</v>
      </c>
      <c r="X390" s="29">
        <f t="shared" si="101"/>
        <v>381</v>
      </c>
      <c r="Z390" s="30">
        <f t="shared" si="92"/>
        <v>10.436926448431722</v>
      </c>
      <c r="AA390" s="28" t="e">
        <f t="shared" si="93"/>
        <v>#N/A</v>
      </c>
      <c r="AB390" s="28" t="e">
        <f t="shared" si="94"/>
        <v>#VALUE!</v>
      </c>
      <c r="AC390" s="29">
        <f t="shared" si="95"/>
        <v>361.48007590132829</v>
      </c>
      <c r="AD390" s="28" t="e">
        <f t="shared" si="96"/>
        <v>#VALUE!</v>
      </c>
      <c r="AE390" s="28" t="e">
        <f t="shared" si="97"/>
        <v>#N/A</v>
      </c>
      <c r="AF390" s="28" t="e">
        <f t="shared" si="98"/>
        <v>#VALUE!</v>
      </c>
      <c r="AH390" s="31" t="e">
        <f t="shared" si="99"/>
        <v>#N/A</v>
      </c>
      <c r="AI390" s="25"/>
      <c r="AJ390" s="31"/>
    </row>
    <row r="391" spans="2:36" x14ac:dyDescent="0.25">
      <c r="B391" s="33">
        <f>'Arbitrage Payback Engine'!E391</f>
        <v>10.464319956170387</v>
      </c>
      <c r="C391" s="33">
        <f t="shared" si="85"/>
        <v>1000</v>
      </c>
      <c r="D391" s="33">
        <f>'Battery Pricing Model'!$C$17</f>
        <v>1000</v>
      </c>
      <c r="E391" s="33">
        <f t="shared" si="86"/>
        <v>999</v>
      </c>
      <c r="F391" s="33" t="str">
        <f>'Peak Models'!$B$4</f>
        <v>Default</v>
      </c>
      <c r="G391" s="33" t="e">
        <f>'Peak Models'!$Q$7</f>
        <v>#VALUE!</v>
      </c>
      <c r="H391" s="33">
        <f>'Peak Models'!$P$16</f>
        <v>1.5</v>
      </c>
      <c r="I391" s="33">
        <v>12</v>
      </c>
      <c r="J391" s="33" t="e">
        <f>'Peak Models'!$P$13</f>
        <v>#N/A</v>
      </c>
      <c r="K391" s="28" t="e">
        <f t="shared" si="87"/>
        <v>#VALUE!</v>
      </c>
      <c r="L391" s="28" t="e">
        <f>INDEX('Peak Models'!$P$34:$P$64, MATCH(TRUNC(B391, 0), 'Peak Models'!$O$34:$O$64, 0))</f>
        <v>#N/A</v>
      </c>
      <c r="M391" s="28">
        <f>'Peak Models'!$P$15*INDEX('Peak Models'!$Q$34:$Q$64, MATCH(TRUNC(B391, 0),'Peak Models'!$O$34:$O$64, 0))/'Profit per cycles Model'!$E$78</f>
        <v>6.0239272668063863</v>
      </c>
      <c r="N391" s="28" t="e">
        <f t="shared" si="88"/>
        <v>#N/A</v>
      </c>
      <c r="O391" s="71" t="e">
        <f>AVERAGE($N$10:N391)</f>
        <v>#N/A</v>
      </c>
      <c r="P391" s="28" t="e">
        <f t="shared" si="89"/>
        <v>#N/A</v>
      </c>
      <c r="R391" s="28" t="e">
        <f t="shared" si="90"/>
        <v>#VALUE!</v>
      </c>
      <c r="S391" s="25"/>
      <c r="T391" s="25">
        <f t="shared" si="91"/>
        <v>15</v>
      </c>
      <c r="U391" s="33">
        <f>IF(PaybackCustom&gt;0, IF(PaybackCustom&lt;&gt;"Default", PaybackCustom, IF(PaybackStatus&lt;&gt;"",INDEX('Arbitrage Payback Engine'!$Y$2:$Y$6,MATCH(PaybackStatus,'Arbitrage Payback Engine'!$X$2:$X$6,FALSE)),-1)))</f>
        <v>25</v>
      </c>
      <c r="V391" s="32">
        <f t="shared" si="100"/>
        <v>15</v>
      </c>
      <c r="X391" s="29">
        <f t="shared" si="101"/>
        <v>382</v>
      </c>
      <c r="Z391" s="30">
        <f t="shared" si="92"/>
        <v>10.464319956170387</v>
      </c>
      <c r="AA391" s="28" t="e">
        <f t="shared" si="93"/>
        <v>#N/A</v>
      </c>
      <c r="AB391" s="28" t="e">
        <f t="shared" si="94"/>
        <v>#VALUE!</v>
      </c>
      <c r="AC391" s="29">
        <f t="shared" si="95"/>
        <v>362.42884250474384</v>
      </c>
      <c r="AD391" s="28" t="e">
        <f t="shared" si="96"/>
        <v>#VALUE!</v>
      </c>
      <c r="AE391" s="28" t="e">
        <f t="shared" si="97"/>
        <v>#N/A</v>
      </c>
      <c r="AF391" s="28" t="e">
        <f t="shared" si="98"/>
        <v>#VALUE!</v>
      </c>
      <c r="AH391" s="31" t="e">
        <f t="shared" si="99"/>
        <v>#N/A</v>
      </c>
      <c r="AI391" s="25"/>
      <c r="AJ391" s="31"/>
    </row>
    <row r="392" spans="2:36" x14ac:dyDescent="0.25">
      <c r="B392" s="33">
        <f>'Arbitrage Payback Engine'!E392</f>
        <v>10.491713463909052</v>
      </c>
      <c r="C392" s="33">
        <f t="shared" si="85"/>
        <v>1000</v>
      </c>
      <c r="D392" s="33">
        <f>'Battery Pricing Model'!$C$17</f>
        <v>1000</v>
      </c>
      <c r="E392" s="33">
        <f t="shared" si="86"/>
        <v>999</v>
      </c>
      <c r="F392" s="33" t="str">
        <f>'Peak Models'!$B$4</f>
        <v>Default</v>
      </c>
      <c r="G392" s="33" t="e">
        <f>'Peak Models'!$Q$7</f>
        <v>#VALUE!</v>
      </c>
      <c r="H392" s="33">
        <f>'Peak Models'!$P$16</f>
        <v>1.5</v>
      </c>
      <c r="I392" s="33">
        <v>12</v>
      </c>
      <c r="J392" s="33" t="e">
        <f>'Peak Models'!$P$13</f>
        <v>#N/A</v>
      </c>
      <c r="K392" s="28" t="e">
        <f t="shared" si="87"/>
        <v>#VALUE!</v>
      </c>
      <c r="L392" s="28" t="e">
        <f>INDEX('Peak Models'!$P$34:$P$64, MATCH(TRUNC(B392, 0), 'Peak Models'!$O$34:$O$64, 0))</f>
        <v>#N/A</v>
      </c>
      <c r="M392" s="28">
        <f>'Peak Models'!$P$15*INDEX('Peak Models'!$Q$34:$Q$64, MATCH(TRUNC(B392, 0),'Peak Models'!$O$34:$O$64, 0))/'Profit per cycles Model'!$E$78</f>
        <v>6.0239272668063863</v>
      </c>
      <c r="N392" s="28" t="e">
        <f t="shared" si="88"/>
        <v>#N/A</v>
      </c>
      <c r="O392" s="71" t="e">
        <f>AVERAGE($N$10:N392)</f>
        <v>#N/A</v>
      </c>
      <c r="P392" s="28" t="e">
        <f t="shared" si="89"/>
        <v>#N/A</v>
      </c>
      <c r="R392" s="28" t="e">
        <f t="shared" si="90"/>
        <v>#VALUE!</v>
      </c>
      <c r="S392" s="25"/>
      <c r="T392" s="25">
        <f t="shared" si="91"/>
        <v>15</v>
      </c>
      <c r="U392" s="33">
        <f>IF(PaybackCustom&gt;0, IF(PaybackCustom&lt;&gt;"Default", PaybackCustom, IF(PaybackStatus&lt;&gt;"",INDEX('Arbitrage Payback Engine'!$Y$2:$Y$6,MATCH(PaybackStatus,'Arbitrage Payback Engine'!$X$2:$X$6,FALSE)),-1)))</f>
        <v>25</v>
      </c>
      <c r="V392" s="32">
        <f t="shared" si="100"/>
        <v>15</v>
      </c>
      <c r="X392" s="29">
        <f t="shared" si="101"/>
        <v>383</v>
      </c>
      <c r="Z392" s="30">
        <f t="shared" si="92"/>
        <v>10.491713463909052</v>
      </c>
      <c r="AA392" s="28" t="e">
        <f t="shared" si="93"/>
        <v>#N/A</v>
      </c>
      <c r="AB392" s="28" t="e">
        <f t="shared" si="94"/>
        <v>#VALUE!</v>
      </c>
      <c r="AC392" s="29">
        <f t="shared" si="95"/>
        <v>363.37760910815939</v>
      </c>
      <c r="AD392" s="28" t="e">
        <f t="shared" si="96"/>
        <v>#VALUE!</v>
      </c>
      <c r="AE392" s="28" t="e">
        <f t="shared" si="97"/>
        <v>#N/A</v>
      </c>
      <c r="AF392" s="28" t="e">
        <f t="shared" si="98"/>
        <v>#VALUE!</v>
      </c>
      <c r="AH392" s="31" t="e">
        <f t="shared" si="99"/>
        <v>#N/A</v>
      </c>
      <c r="AI392" s="25"/>
      <c r="AJ392" s="31"/>
    </row>
    <row r="393" spans="2:36" x14ac:dyDescent="0.25">
      <c r="B393" s="33">
        <f>'Arbitrage Payback Engine'!E393</f>
        <v>10.519106971647719</v>
      </c>
      <c r="C393" s="33">
        <f t="shared" si="85"/>
        <v>1000</v>
      </c>
      <c r="D393" s="33">
        <f>'Battery Pricing Model'!$C$17</f>
        <v>1000</v>
      </c>
      <c r="E393" s="33">
        <f t="shared" si="86"/>
        <v>999</v>
      </c>
      <c r="F393" s="33" t="str">
        <f>'Peak Models'!$B$4</f>
        <v>Default</v>
      </c>
      <c r="G393" s="33" t="e">
        <f>'Peak Models'!$Q$7</f>
        <v>#VALUE!</v>
      </c>
      <c r="H393" s="33">
        <f>'Peak Models'!$P$16</f>
        <v>1.5</v>
      </c>
      <c r="I393" s="33">
        <v>12</v>
      </c>
      <c r="J393" s="33" t="e">
        <f>'Peak Models'!$P$13</f>
        <v>#N/A</v>
      </c>
      <c r="K393" s="28" t="e">
        <f t="shared" si="87"/>
        <v>#VALUE!</v>
      </c>
      <c r="L393" s="28" t="e">
        <f>INDEX('Peak Models'!$P$34:$P$64, MATCH(TRUNC(B393, 0), 'Peak Models'!$O$34:$O$64, 0))</f>
        <v>#N/A</v>
      </c>
      <c r="M393" s="28">
        <f>'Peak Models'!$P$15*INDEX('Peak Models'!$Q$34:$Q$64, MATCH(TRUNC(B393, 0),'Peak Models'!$O$34:$O$64, 0))/'Profit per cycles Model'!$E$78</f>
        <v>6.0239272668063863</v>
      </c>
      <c r="N393" s="28" t="e">
        <f t="shared" si="88"/>
        <v>#N/A</v>
      </c>
      <c r="O393" s="71" t="e">
        <f>AVERAGE($N$10:N393)</f>
        <v>#N/A</v>
      </c>
      <c r="P393" s="28" t="e">
        <f t="shared" si="89"/>
        <v>#N/A</v>
      </c>
      <c r="R393" s="28" t="e">
        <f t="shared" si="90"/>
        <v>#VALUE!</v>
      </c>
      <c r="S393" s="25"/>
      <c r="T393" s="25">
        <f t="shared" si="91"/>
        <v>15</v>
      </c>
      <c r="U393" s="33">
        <f>IF(PaybackCustom&gt;0, IF(PaybackCustom&lt;&gt;"Default", PaybackCustom, IF(PaybackStatus&lt;&gt;"",INDEX('Arbitrage Payback Engine'!$Y$2:$Y$6,MATCH(PaybackStatus,'Arbitrage Payback Engine'!$X$2:$X$6,FALSE)),-1)))</f>
        <v>25</v>
      </c>
      <c r="V393" s="32">
        <f t="shared" si="100"/>
        <v>15</v>
      </c>
      <c r="X393" s="29">
        <f t="shared" si="101"/>
        <v>384</v>
      </c>
      <c r="Z393" s="30">
        <f t="shared" si="92"/>
        <v>10.519106971647719</v>
      </c>
      <c r="AA393" s="28" t="e">
        <f t="shared" si="93"/>
        <v>#N/A</v>
      </c>
      <c r="AB393" s="28" t="e">
        <f t="shared" si="94"/>
        <v>#VALUE!</v>
      </c>
      <c r="AC393" s="29">
        <f t="shared" si="95"/>
        <v>364.326375711575</v>
      </c>
      <c r="AD393" s="28" t="e">
        <f t="shared" si="96"/>
        <v>#VALUE!</v>
      </c>
      <c r="AE393" s="28" t="e">
        <f t="shared" si="97"/>
        <v>#N/A</v>
      </c>
      <c r="AF393" s="28" t="e">
        <f t="shared" si="98"/>
        <v>#VALUE!</v>
      </c>
      <c r="AH393" s="31" t="e">
        <f t="shared" si="99"/>
        <v>#N/A</v>
      </c>
      <c r="AI393" s="25"/>
      <c r="AJ393" s="31"/>
    </row>
    <row r="394" spans="2:36" x14ac:dyDescent="0.25">
      <c r="B394" s="33">
        <f>'Arbitrage Payback Engine'!E394</f>
        <v>10.546500479386385</v>
      </c>
      <c r="C394" s="33">
        <f t="shared" ref="C394:C457" si="102">IF(OR($E$6="None", $E$6=0), D394, E394)</f>
        <v>1000</v>
      </c>
      <c r="D394" s="33">
        <f>'Battery Pricing Model'!$C$17</f>
        <v>1000</v>
      </c>
      <c r="E394" s="33">
        <f t="shared" ref="E394:E457" si="103">IF(OR($E$6="None", $E$6=0), 999, $D394*(E$6))</f>
        <v>999</v>
      </c>
      <c r="F394" s="33" t="str">
        <f>'Peak Models'!$B$4</f>
        <v>Default</v>
      </c>
      <c r="G394" s="33" t="e">
        <f>'Peak Models'!$Q$7</f>
        <v>#VALUE!</v>
      </c>
      <c r="H394" s="33">
        <f>'Peak Models'!$P$16</f>
        <v>1.5</v>
      </c>
      <c r="I394" s="33">
        <v>12</v>
      </c>
      <c r="J394" s="33" t="e">
        <f>'Peak Models'!$P$13</f>
        <v>#N/A</v>
      </c>
      <c r="K394" s="28" t="e">
        <f t="shared" ref="K394:K457" si="104">C394*G394/(H394*B394)</f>
        <v>#VALUE!</v>
      </c>
      <c r="L394" s="28" t="e">
        <f>INDEX('Peak Models'!$P$34:$P$64, MATCH(TRUNC(B394, 0), 'Peak Models'!$O$34:$O$64, 0))</f>
        <v>#N/A</v>
      </c>
      <c r="M394" s="28">
        <f>'Peak Models'!$P$15*INDEX('Peak Models'!$Q$34:$Q$64, MATCH(TRUNC(B394, 0),'Peak Models'!$O$34:$O$64, 0))/'Profit per cycles Model'!$E$78</f>
        <v>6.0239272668063863</v>
      </c>
      <c r="N394" s="28" t="e">
        <f t="shared" ref="N394:N457" si="105">L394-M394</f>
        <v>#N/A</v>
      </c>
      <c r="O394" s="71" t="e">
        <f>AVERAGE($N$10:N394)</f>
        <v>#N/A</v>
      </c>
      <c r="P394" s="28" t="e">
        <f t="shared" ref="P394:P457" si="106">IF(O394-K394&lt;0, 999, O394-K394)</f>
        <v>#N/A</v>
      </c>
      <c r="R394" s="28" t="e">
        <f t="shared" ref="R394:R457" si="107">IF(ISNA(INDEX($K$10:$K$1063,MATCH(T394,$B$10:$B$1063,1))),-1,INDEX($K$10:$K$1063,MATCH(T394,$B$10:$B$1063,1)))</f>
        <v>#VALUE!</v>
      </c>
      <c r="S394" s="25"/>
      <c r="T394" s="25">
        <f t="shared" ref="T394:T457" si="108">IF( AND(U394&gt;0, V394&gt;0), IF(U394&lt;V394, U394, V394),  IF(U394&gt;0, U394, IF(V394&gt;0, V394, -1)) )</f>
        <v>15</v>
      </c>
      <c r="U394" s="33">
        <f>IF(PaybackCustom&gt;0, IF(PaybackCustom&lt;&gt;"Default", PaybackCustom, IF(PaybackStatus&lt;&gt;"",INDEX('Arbitrage Payback Engine'!$Y$2:$Y$6,MATCH(PaybackStatus,'Arbitrage Payback Engine'!$X$2:$X$6,FALSE)),-1)))</f>
        <v>25</v>
      </c>
      <c r="V394" s="32">
        <f t="shared" si="100"/>
        <v>15</v>
      </c>
      <c r="X394" s="29">
        <f t="shared" si="101"/>
        <v>385</v>
      </c>
      <c r="Z394" s="30">
        <f t="shared" ref="Z394:Z457" si="109">B394</f>
        <v>10.546500479386385</v>
      </c>
      <c r="AA394" s="28" t="e">
        <f t="shared" ref="AA394:AA457" si="110">N394</f>
        <v>#N/A</v>
      </c>
      <c r="AB394" s="28" t="e">
        <f t="shared" ref="AB394:AB457" si="111">R394</f>
        <v>#VALUE!</v>
      </c>
      <c r="AC394" s="29">
        <f t="shared" ref="AC394:AC457" si="112">$AB$2*(Z394-$AB$3)/($AB$4-$AB$3)</f>
        <v>365.27514231499049</v>
      </c>
      <c r="AD394" s="28" t="e">
        <f t="shared" ref="AD394:AD457" si="113">MIN(AB394, AA394)</f>
        <v>#VALUE!</v>
      </c>
      <c r="AE394" s="28" t="e">
        <f t="shared" ref="AE394:AE457" si="114">IF(AND(Z394&lt;T394, AA394&gt;AB394), AA394-AB394, 0)</f>
        <v>#N/A</v>
      </c>
      <c r="AF394" s="28" t="e">
        <f t="shared" ref="AF394:AF457" si="115">IF(AND(Z394&lt;T394, AB394&gt;AA394), AB394-AA394, 0)</f>
        <v>#VALUE!</v>
      </c>
      <c r="AH394" s="31" t="e">
        <f t="shared" ref="AH394:AH457" si="116">(O394-K394)/K394</f>
        <v>#N/A</v>
      </c>
      <c r="AI394" s="25"/>
      <c r="AJ394" s="31"/>
    </row>
    <row r="395" spans="2:36" x14ac:dyDescent="0.25">
      <c r="B395" s="33">
        <f>'Arbitrage Payback Engine'!E395</f>
        <v>10.573893987125052</v>
      </c>
      <c r="C395" s="33">
        <f t="shared" si="102"/>
        <v>1000</v>
      </c>
      <c r="D395" s="33">
        <f>'Battery Pricing Model'!$C$17</f>
        <v>1000</v>
      </c>
      <c r="E395" s="33">
        <f t="shared" si="103"/>
        <v>999</v>
      </c>
      <c r="F395" s="33" t="str">
        <f>'Peak Models'!$B$4</f>
        <v>Default</v>
      </c>
      <c r="G395" s="33" t="e">
        <f>'Peak Models'!$Q$7</f>
        <v>#VALUE!</v>
      </c>
      <c r="H395" s="33">
        <f>'Peak Models'!$P$16</f>
        <v>1.5</v>
      </c>
      <c r="I395" s="33">
        <v>12</v>
      </c>
      <c r="J395" s="33" t="e">
        <f>'Peak Models'!$P$13</f>
        <v>#N/A</v>
      </c>
      <c r="K395" s="28" t="e">
        <f t="shared" si="104"/>
        <v>#VALUE!</v>
      </c>
      <c r="L395" s="28" t="e">
        <f>INDEX('Peak Models'!$P$34:$P$64, MATCH(TRUNC(B395, 0), 'Peak Models'!$O$34:$O$64, 0))</f>
        <v>#N/A</v>
      </c>
      <c r="M395" s="28">
        <f>'Peak Models'!$P$15*INDEX('Peak Models'!$Q$34:$Q$64, MATCH(TRUNC(B395, 0),'Peak Models'!$O$34:$O$64, 0))/'Profit per cycles Model'!$E$78</f>
        <v>6.0239272668063863</v>
      </c>
      <c r="N395" s="28" t="e">
        <f t="shared" si="105"/>
        <v>#N/A</v>
      </c>
      <c r="O395" s="71" t="e">
        <f>AVERAGE($N$10:N395)</f>
        <v>#N/A</v>
      </c>
      <c r="P395" s="28" t="e">
        <f t="shared" si="106"/>
        <v>#N/A</v>
      </c>
      <c r="R395" s="28" t="e">
        <f t="shared" si="107"/>
        <v>#VALUE!</v>
      </c>
      <c r="S395" s="25"/>
      <c r="T395" s="25">
        <f t="shared" si="108"/>
        <v>15</v>
      </c>
      <c r="U395" s="33">
        <f>IF(PaybackCustom&gt;0, IF(PaybackCustom&lt;&gt;"Default", PaybackCustom, IF(PaybackStatus&lt;&gt;"",INDEX('Arbitrage Payback Engine'!$Y$2:$Y$6,MATCH(PaybackStatus,'Arbitrage Payback Engine'!$X$2:$X$6,FALSE)),-1)))</f>
        <v>25</v>
      </c>
      <c r="V395" s="32">
        <f t="shared" ref="V395:V458" si="117">IF(ISNUMBER($L$5), $L$5, 15)</f>
        <v>15</v>
      </c>
      <c r="X395" s="29">
        <f t="shared" ref="X395:X458" si="118">X394+1</f>
        <v>386</v>
      </c>
      <c r="Z395" s="30">
        <f t="shared" si="109"/>
        <v>10.573893987125052</v>
      </c>
      <c r="AA395" s="28" t="e">
        <f t="shared" si="110"/>
        <v>#N/A</v>
      </c>
      <c r="AB395" s="28" t="e">
        <f t="shared" si="111"/>
        <v>#VALUE!</v>
      </c>
      <c r="AC395" s="29">
        <f t="shared" si="112"/>
        <v>366.2239089184061</v>
      </c>
      <c r="AD395" s="28" t="e">
        <f t="shared" si="113"/>
        <v>#VALUE!</v>
      </c>
      <c r="AE395" s="28" t="e">
        <f t="shared" si="114"/>
        <v>#N/A</v>
      </c>
      <c r="AF395" s="28" t="e">
        <f t="shared" si="115"/>
        <v>#VALUE!</v>
      </c>
      <c r="AH395" s="31" t="e">
        <f t="shared" si="116"/>
        <v>#N/A</v>
      </c>
      <c r="AI395" s="25"/>
      <c r="AJ395" s="31"/>
    </row>
    <row r="396" spans="2:36" x14ac:dyDescent="0.25">
      <c r="B396" s="33">
        <f>'Arbitrage Payback Engine'!E396</f>
        <v>10.601287494863717</v>
      </c>
      <c r="C396" s="33">
        <f t="shared" si="102"/>
        <v>1000</v>
      </c>
      <c r="D396" s="33">
        <f>'Battery Pricing Model'!$C$17</f>
        <v>1000</v>
      </c>
      <c r="E396" s="33">
        <f t="shared" si="103"/>
        <v>999</v>
      </c>
      <c r="F396" s="33" t="str">
        <f>'Peak Models'!$B$4</f>
        <v>Default</v>
      </c>
      <c r="G396" s="33" t="e">
        <f>'Peak Models'!$Q$7</f>
        <v>#VALUE!</v>
      </c>
      <c r="H396" s="33">
        <f>'Peak Models'!$P$16</f>
        <v>1.5</v>
      </c>
      <c r="I396" s="33">
        <v>12</v>
      </c>
      <c r="J396" s="33" t="e">
        <f>'Peak Models'!$P$13</f>
        <v>#N/A</v>
      </c>
      <c r="K396" s="28" t="e">
        <f t="shared" si="104"/>
        <v>#VALUE!</v>
      </c>
      <c r="L396" s="28" t="e">
        <f>INDEX('Peak Models'!$P$34:$P$64, MATCH(TRUNC(B396, 0), 'Peak Models'!$O$34:$O$64, 0))</f>
        <v>#N/A</v>
      </c>
      <c r="M396" s="28">
        <f>'Peak Models'!$P$15*INDEX('Peak Models'!$Q$34:$Q$64, MATCH(TRUNC(B396, 0),'Peak Models'!$O$34:$O$64, 0))/'Profit per cycles Model'!$E$78</f>
        <v>6.0239272668063863</v>
      </c>
      <c r="N396" s="28" t="e">
        <f t="shared" si="105"/>
        <v>#N/A</v>
      </c>
      <c r="O396" s="71" t="e">
        <f>AVERAGE($N$10:N396)</f>
        <v>#N/A</v>
      </c>
      <c r="P396" s="28" t="e">
        <f t="shared" si="106"/>
        <v>#N/A</v>
      </c>
      <c r="R396" s="28" t="e">
        <f t="shared" si="107"/>
        <v>#VALUE!</v>
      </c>
      <c r="S396" s="25"/>
      <c r="T396" s="25">
        <f t="shared" si="108"/>
        <v>15</v>
      </c>
      <c r="U396" s="33">
        <f>IF(PaybackCustom&gt;0, IF(PaybackCustom&lt;&gt;"Default", PaybackCustom, IF(PaybackStatus&lt;&gt;"",INDEX('Arbitrage Payback Engine'!$Y$2:$Y$6,MATCH(PaybackStatus,'Arbitrage Payback Engine'!$X$2:$X$6,FALSE)),-1)))</f>
        <v>25</v>
      </c>
      <c r="V396" s="32">
        <f t="shared" si="117"/>
        <v>15</v>
      </c>
      <c r="X396" s="29">
        <f t="shared" si="118"/>
        <v>387</v>
      </c>
      <c r="Z396" s="30">
        <f t="shared" si="109"/>
        <v>10.601287494863717</v>
      </c>
      <c r="AA396" s="28" t="e">
        <f t="shared" si="110"/>
        <v>#N/A</v>
      </c>
      <c r="AB396" s="28" t="e">
        <f t="shared" si="111"/>
        <v>#VALUE!</v>
      </c>
      <c r="AC396" s="29">
        <f t="shared" si="112"/>
        <v>367.17267552182165</v>
      </c>
      <c r="AD396" s="28" t="e">
        <f t="shared" si="113"/>
        <v>#VALUE!</v>
      </c>
      <c r="AE396" s="28" t="e">
        <f t="shared" si="114"/>
        <v>#N/A</v>
      </c>
      <c r="AF396" s="28" t="e">
        <f t="shared" si="115"/>
        <v>#VALUE!</v>
      </c>
      <c r="AH396" s="31" t="e">
        <f t="shared" si="116"/>
        <v>#N/A</v>
      </c>
      <c r="AI396" s="25"/>
      <c r="AJ396" s="31"/>
    </row>
    <row r="397" spans="2:36" x14ac:dyDescent="0.25">
      <c r="B397" s="33">
        <f>'Arbitrage Payback Engine'!E397</f>
        <v>10.628681002602383</v>
      </c>
      <c r="C397" s="33">
        <f t="shared" si="102"/>
        <v>1000</v>
      </c>
      <c r="D397" s="33">
        <f>'Battery Pricing Model'!$C$17</f>
        <v>1000</v>
      </c>
      <c r="E397" s="33">
        <f t="shared" si="103"/>
        <v>999</v>
      </c>
      <c r="F397" s="33" t="str">
        <f>'Peak Models'!$B$4</f>
        <v>Default</v>
      </c>
      <c r="G397" s="33" t="e">
        <f>'Peak Models'!$Q$7</f>
        <v>#VALUE!</v>
      </c>
      <c r="H397" s="33">
        <f>'Peak Models'!$P$16</f>
        <v>1.5</v>
      </c>
      <c r="I397" s="33">
        <v>12</v>
      </c>
      <c r="J397" s="33" t="e">
        <f>'Peak Models'!$P$13</f>
        <v>#N/A</v>
      </c>
      <c r="K397" s="28" t="e">
        <f t="shared" si="104"/>
        <v>#VALUE!</v>
      </c>
      <c r="L397" s="28" t="e">
        <f>INDEX('Peak Models'!$P$34:$P$64, MATCH(TRUNC(B397, 0), 'Peak Models'!$O$34:$O$64, 0))</f>
        <v>#N/A</v>
      </c>
      <c r="M397" s="28">
        <f>'Peak Models'!$P$15*INDEX('Peak Models'!$Q$34:$Q$64, MATCH(TRUNC(B397, 0),'Peak Models'!$O$34:$O$64, 0))/'Profit per cycles Model'!$E$78</f>
        <v>6.0239272668063863</v>
      </c>
      <c r="N397" s="28" t="e">
        <f t="shared" si="105"/>
        <v>#N/A</v>
      </c>
      <c r="O397" s="71" t="e">
        <f>AVERAGE($N$10:N397)</f>
        <v>#N/A</v>
      </c>
      <c r="P397" s="28" t="e">
        <f t="shared" si="106"/>
        <v>#N/A</v>
      </c>
      <c r="R397" s="28" t="e">
        <f t="shared" si="107"/>
        <v>#VALUE!</v>
      </c>
      <c r="S397" s="25"/>
      <c r="T397" s="25">
        <f t="shared" si="108"/>
        <v>15</v>
      </c>
      <c r="U397" s="33">
        <f>IF(PaybackCustom&gt;0, IF(PaybackCustom&lt;&gt;"Default", PaybackCustom, IF(PaybackStatus&lt;&gt;"",INDEX('Arbitrage Payback Engine'!$Y$2:$Y$6,MATCH(PaybackStatus,'Arbitrage Payback Engine'!$X$2:$X$6,FALSE)),-1)))</f>
        <v>25</v>
      </c>
      <c r="V397" s="32">
        <f t="shared" si="117"/>
        <v>15</v>
      </c>
      <c r="X397" s="29">
        <f t="shared" si="118"/>
        <v>388</v>
      </c>
      <c r="Z397" s="30">
        <f t="shared" si="109"/>
        <v>10.628681002602383</v>
      </c>
      <c r="AA397" s="28" t="e">
        <f t="shared" si="110"/>
        <v>#N/A</v>
      </c>
      <c r="AB397" s="28" t="e">
        <f t="shared" si="111"/>
        <v>#VALUE!</v>
      </c>
      <c r="AC397" s="29">
        <f t="shared" si="112"/>
        <v>368.12144212523719</v>
      </c>
      <c r="AD397" s="28" t="e">
        <f t="shared" si="113"/>
        <v>#VALUE!</v>
      </c>
      <c r="AE397" s="28" t="e">
        <f t="shared" si="114"/>
        <v>#N/A</v>
      </c>
      <c r="AF397" s="28" t="e">
        <f t="shared" si="115"/>
        <v>#VALUE!</v>
      </c>
      <c r="AH397" s="31" t="e">
        <f t="shared" si="116"/>
        <v>#N/A</v>
      </c>
      <c r="AI397" s="25"/>
      <c r="AJ397" s="31"/>
    </row>
    <row r="398" spans="2:36" x14ac:dyDescent="0.25">
      <c r="B398" s="33">
        <f>'Arbitrage Payback Engine'!E398</f>
        <v>10.65607451034105</v>
      </c>
      <c r="C398" s="33">
        <f t="shared" si="102"/>
        <v>1000</v>
      </c>
      <c r="D398" s="33">
        <f>'Battery Pricing Model'!$C$17</f>
        <v>1000</v>
      </c>
      <c r="E398" s="33">
        <f t="shared" si="103"/>
        <v>999</v>
      </c>
      <c r="F398" s="33" t="str">
        <f>'Peak Models'!$B$4</f>
        <v>Default</v>
      </c>
      <c r="G398" s="33" t="e">
        <f>'Peak Models'!$Q$7</f>
        <v>#VALUE!</v>
      </c>
      <c r="H398" s="33">
        <f>'Peak Models'!$P$16</f>
        <v>1.5</v>
      </c>
      <c r="I398" s="33">
        <v>12</v>
      </c>
      <c r="J398" s="33" t="e">
        <f>'Peak Models'!$P$13</f>
        <v>#N/A</v>
      </c>
      <c r="K398" s="28" t="e">
        <f t="shared" si="104"/>
        <v>#VALUE!</v>
      </c>
      <c r="L398" s="28" t="e">
        <f>INDEX('Peak Models'!$P$34:$P$64, MATCH(TRUNC(B398, 0), 'Peak Models'!$O$34:$O$64, 0))</f>
        <v>#N/A</v>
      </c>
      <c r="M398" s="28">
        <f>'Peak Models'!$P$15*INDEX('Peak Models'!$Q$34:$Q$64, MATCH(TRUNC(B398, 0),'Peak Models'!$O$34:$O$64, 0))/'Profit per cycles Model'!$E$78</f>
        <v>6.0239272668063863</v>
      </c>
      <c r="N398" s="28" t="e">
        <f t="shared" si="105"/>
        <v>#N/A</v>
      </c>
      <c r="O398" s="71" t="e">
        <f>AVERAGE($N$10:N398)</f>
        <v>#N/A</v>
      </c>
      <c r="P398" s="28" t="e">
        <f t="shared" si="106"/>
        <v>#N/A</v>
      </c>
      <c r="R398" s="28" t="e">
        <f t="shared" si="107"/>
        <v>#VALUE!</v>
      </c>
      <c r="S398" s="25"/>
      <c r="T398" s="25">
        <f t="shared" si="108"/>
        <v>15</v>
      </c>
      <c r="U398" s="33">
        <f>IF(PaybackCustom&gt;0, IF(PaybackCustom&lt;&gt;"Default", PaybackCustom, IF(PaybackStatus&lt;&gt;"",INDEX('Arbitrage Payback Engine'!$Y$2:$Y$6,MATCH(PaybackStatus,'Arbitrage Payback Engine'!$X$2:$X$6,FALSE)),-1)))</f>
        <v>25</v>
      </c>
      <c r="V398" s="32">
        <f t="shared" si="117"/>
        <v>15</v>
      </c>
      <c r="X398" s="29">
        <f t="shared" si="118"/>
        <v>389</v>
      </c>
      <c r="Z398" s="30">
        <f t="shared" si="109"/>
        <v>10.65607451034105</v>
      </c>
      <c r="AA398" s="28" t="e">
        <f t="shared" si="110"/>
        <v>#N/A</v>
      </c>
      <c r="AB398" s="28" t="e">
        <f t="shared" si="111"/>
        <v>#VALUE!</v>
      </c>
      <c r="AC398" s="29">
        <f t="shared" si="112"/>
        <v>369.0702087286528</v>
      </c>
      <c r="AD398" s="28" t="e">
        <f t="shared" si="113"/>
        <v>#VALUE!</v>
      </c>
      <c r="AE398" s="28" t="e">
        <f t="shared" si="114"/>
        <v>#N/A</v>
      </c>
      <c r="AF398" s="28" t="e">
        <f t="shared" si="115"/>
        <v>#VALUE!</v>
      </c>
      <c r="AH398" s="31" t="e">
        <f t="shared" si="116"/>
        <v>#N/A</v>
      </c>
      <c r="AI398" s="25"/>
      <c r="AJ398" s="31"/>
    </row>
    <row r="399" spans="2:36" x14ac:dyDescent="0.25">
      <c r="B399" s="33">
        <f>'Arbitrage Payback Engine'!E399</f>
        <v>10.683468018079715</v>
      </c>
      <c r="C399" s="33">
        <f t="shared" si="102"/>
        <v>1000</v>
      </c>
      <c r="D399" s="33">
        <f>'Battery Pricing Model'!$C$17</f>
        <v>1000</v>
      </c>
      <c r="E399" s="33">
        <f t="shared" si="103"/>
        <v>999</v>
      </c>
      <c r="F399" s="33" t="str">
        <f>'Peak Models'!$B$4</f>
        <v>Default</v>
      </c>
      <c r="G399" s="33" t="e">
        <f>'Peak Models'!$Q$7</f>
        <v>#VALUE!</v>
      </c>
      <c r="H399" s="33">
        <f>'Peak Models'!$P$16</f>
        <v>1.5</v>
      </c>
      <c r="I399" s="33">
        <v>12</v>
      </c>
      <c r="J399" s="33" t="e">
        <f>'Peak Models'!$P$13</f>
        <v>#N/A</v>
      </c>
      <c r="K399" s="28" t="e">
        <f t="shared" si="104"/>
        <v>#VALUE!</v>
      </c>
      <c r="L399" s="28" t="e">
        <f>INDEX('Peak Models'!$P$34:$P$64, MATCH(TRUNC(B399, 0), 'Peak Models'!$O$34:$O$64, 0))</f>
        <v>#N/A</v>
      </c>
      <c r="M399" s="28">
        <f>'Peak Models'!$P$15*INDEX('Peak Models'!$Q$34:$Q$64, MATCH(TRUNC(B399, 0),'Peak Models'!$O$34:$O$64, 0))/'Profit per cycles Model'!$E$78</f>
        <v>6.0239272668063863</v>
      </c>
      <c r="N399" s="28" t="e">
        <f t="shared" si="105"/>
        <v>#N/A</v>
      </c>
      <c r="O399" s="71" t="e">
        <f>AVERAGE($N$10:N399)</f>
        <v>#N/A</v>
      </c>
      <c r="P399" s="28" t="e">
        <f t="shared" si="106"/>
        <v>#N/A</v>
      </c>
      <c r="R399" s="28" t="e">
        <f t="shared" si="107"/>
        <v>#VALUE!</v>
      </c>
      <c r="S399" s="25"/>
      <c r="T399" s="25">
        <f t="shared" si="108"/>
        <v>15</v>
      </c>
      <c r="U399" s="33">
        <f>IF(PaybackCustom&gt;0, IF(PaybackCustom&lt;&gt;"Default", PaybackCustom, IF(PaybackStatus&lt;&gt;"",INDEX('Arbitrage Payback Engine'!$Y$2:$Y$6,MATCH(PaybackStatus,'Arbitrage Payback Engine'!$X$2:$X$6,FALSE)),-1)))</f>
        <v>25</v>
      </c>
      <c r="V399" s="32">
        <f t="shared" si="117"/>
        <v>15</v>
      </c>
      <c r="X399" s="29">
        <f t="shared" si="118"/>
        <v>390</v>
      </c>
      <c r="Z399" s="30">
        <f t="shared" si="109"/>
        <v>10.683468018079715</v>
      </c>
      <c r="AA399" s="28" t="e">
        <f t="shared" si="110"/>
        <v>#N/A</v>
      </c>
      <c r="AB399" s="28" t="e">
        <f t="shared" si="111"/>
        <v>#VALUE!</v>
      </c>
      <c r="AC399" s="29">
        <f t="shared" si="112"/>
        <v>370.01897533206835</v>
      </c>
      <c r="AD399" s="28" t="e">
        <f t="shared" si="113"/>
        <v>#VALUE!</v>
      </c>
      <c r="AE399" s="28" t="e">
        <f t="shared" si="114"/>
        <v>#N/A</v>
      </c>
      <c r="AF399" s="28" t="e">
        <f t="shared" si="115"/>
        <v>#VALUE!</v>
      </c>
      <c r="AH399" s="31" t="e">
        <f t="shared" si="116"/>
        <v>#N/A</v>
      </c>
      <c r="AI399" s="25"/>
      <c r="AJ399" s="31"/>
    </row>
    <row r="400" spans="2:36" x14ac:dyDescent="0.25">
      <c r="B400" s="33">
        <f>'Arbitrage Payback Engine'!E400</f>
        <v>10.71086152581838</v>
      </c>
      <c r="C400" s="33">
        <f t="shared" si="102"/>
        <v>1000</v>
      </c>
      <c r="D400" s="33">
        <f>'Battery Pricing Model'!$C$17</f>
        <v>1000</v>
      </c>
      <c r="E400" s="33">
        <f t="shared" si="103"/>
        <v>999</v>
      </c>
      <c r="F400" s="33" t="str">
        <f>'Peak Models'!$B$4</f>
        <v>Default</v>
      </c>
      <c r="G400" s="33" t="e">
        <f>'Peak Models'!$Q$7</f>
        <v>#VALUE!</v>
      </c>
      <c r="H400" s="33">
        <f>'Peak Models'!$P$16</f>
        <v>1.5</v>
      </c>
      <c r="I400" s="33">
        <v>12</v>
      </c>
      <c r="J400" s="33" t="e">
        <f>'Peak Models'!$P$13</f>
        <v>#N/A</v>
      </c>
      <c r="K400" s="28" t="e">
        <f t="shared" si="104"/>
        <v>#VALUE!</v>
      </c>
      <c r="L400" s="28" t="e">
        <f>INDEX('Peak Models'!$P$34:$P$64, MATCH(TRUNC(B400, 0), 'Peak Models'!$O$34:$O$64, 0))</f>
        <v>#N/A</v>
      </c>
      <c r="M400" s="28">
        <f>'Peak Models'!$P$15*INDEX('Peak Models'!$Q$34:$Q$64, MATCH(TRUNC(B400, 0),'Peak Models'!$O$34:$O$64, 0))/'Profit per cycles Model'!$E$78</f>
        <v>6.0239272668063863</v>
      </c>
      <c r="N400" s="28" t="e">
        <f t="shared" si="105"/>
        <v>#N/A</v>
      </c>
      <c r="O400" s="71" t="e">
        <f>AVERAGE($N$10:N400)</f>
        <v>#N/A</v>
      </c>
      <c r="P400" s="28" t="e">
        <f t="shared" si="106"/>
        <v>#N/A</v>
      </c>
      <c r="R400" s="28" t="e">
        <f t="shared" si="107"/>
        <v>#VALUE!</v>
      </c>
      <c r="S400" s="25"/>
      <c r="T400" s="25">
        <f t="shared" si="108"/>
        <v>15</v>
      </c>
      <c r="U400" s="33">
        <f>IF(PaybackCustom&gt;0, IF(PaybackCustom&lt;&gt;"Default", PaybackCustom, IF(PaybackStatus&lt;&gt;"",INDEX('Arbitrage Payback Engine'!$Y$2:$Y$6,MATCH(PaybackStatus,'Arbitrage Payback Engine'!$X$2:$X$6,FALSE)),-1)))</f>
        <v>25</v>
      </c>
      <c r="V400" s="32">
        <f t="shared" si="117"/>
        <v>15</v>
      </c>
      <c r="X400" s="29">
        <f t="shared" si="118"/>
        <v>391</v>
      </c>
      <c r="Z400" s="30">
        <f t="shared" si="109"/>
        <v>10.71086152581838</v>
      </c>
      <c r="AA400" s="28" t="e">
        <f t="shared" si="110"/>
        <v>#N/A</v>
      </c>
      <c r="AB400" s="28" t="e">
        <f t="shared" si="111"/>
        <v>#VALUE!</v>
      </c>
      <c r="AC400" s="29">
        <f t="shared" si="112"/>
        <v>370.96774193548384</v>
      </c>
      <c r="AD400" s="28" t="e">
        <f t="shared" si="113"/>
        <v>#VALUE!</v>
      </c>
      <c r="AE400" s="28" t="e">
        <f t="shared" si="114"/>
        <v>#N/A</v>
      </c>
      <c r="AF400" s="28" t="e">
        <f t="shared" si="115"/>
        <v>#VALUE!</v>
      </c>
      <c r="AH400" s="31" t="e">
        <f t="shared" si="116"/>
        <v>#N/A</v>
      </c>
      <c r="AI400" s="25"/>
      <c r="AJ400" s="31"/>
    </row>
    <row r="401" spans="2:36" x14ac:dyDescent="0.25">
      <c r="B401" s="33">
        <f>'Arbitrage Payback Engine'!E401</f>
        <v>10.738255033557047</v>
      </c>
      <c r="C401" s="33">
        <f t="shared" si="102"/>
        <v>1000</v>
      </c>
      <c r="D401" s="33">
        <f>'Battery Pricing Model'!$C$17</f>
        <v>1000</v>
      </c>
      <c r="E401" s="33">
        <f t="shared" si="103"/>
        <v>999</v>
      </c>
      <c r="F401" s="33" t="str">
        <f>'Peak Models'!$B$4</f>
        <v>Default</v>
      </c>
      <c r="G401" s="33" t="e">
        <f>'Peak Models'!$Q$7</f>
        <v>#VALUE!</v>
      </c>
      <c r="H401" s="33">
        <f>'Peak Models'!$P$16</f>
        <v>1.5</v>
      </c>
      <c r="I401" s="33">
        <v>12</v>
      </c>
      <c r="J401" s="33" t="e">
        <f>'Peak Models'!$P$13</f>
        <v>#N/A</v>
      </c>
      <c r="K401" s="28" t="e">
        <f t="shared" si="104"/>
        <v>#VALUE!</v>
      </c>
      <c r="L401" s="28" t="e">
        <f>INDEX('Peak Models'!$P$34:$P$64, MATCH(TRUNC(B401, 0), 'Peak Models'!$O$34:$O$64, 0))</f>
        <v>#N/A</v>
      </c>
      <c r="M401" s="28">
        <f>'Peak Models'!$P$15*INDEX('Peak Models'!$Q$34:$Q$64, MATCH(TRUNC(B401, 0),'Peak Models'!$O$34:$O$64, 0))/'Profit per cycles Model'!$E$78</f>
        <v>6.0239272668063863</v>
      </c>
      <c r="N401" s="28" t="e">
        <f t="shared" si="105"/>
        <v>#N/A</v>
      </c>
      <c r="O401" s="71" t="e">
        <f>AVERAGE($N$10:N401)</f>
        <v>#N/A</v>
      </c>
      <c r="P401" s="28" t="e">
        <f t="shared" si="106"/>
        <v>#N/A</v>
      </c>
      <c r="R401" s="28" t="e">
        <f t="shared" si="107"/>
        <v>#VALUE!</v>
      </c>
      <c r="S401" s="25"/>
      <c r="T401" s="25">
        <f t="shared" si="108"/>
        <v>15</v>
      </c>
      <c r="U401" s="33">
        <f>IF(PaybackCustom&gt;0, IF(PaybackCustom&lt;&gt;"Default", PaybackCustom, IF(PaybackStatus&lt;&gt;"",INDEX('Arbitrage Payback Engine'!$Y$2:$Y$6,MATCH(PaybackStatus,'Arbitrage Payback Engine'!$X$2:$X$6,FALSE)),-1)))</f>
        <v>25</v>
      </c>
      <c r="V401" s="32">
        <f t="shared" si="117"/>
        <v>15</v>
      </c>
      <c r="X401" s="29">
        <f t="shared" si="118"/>
        <v>392</v>
      </c>
      <c r="Z401" s="30">
        <f t="shared" si="109"/>
        <v>10.738255033557047</v>
      </c>
      <c r="AA401" s="28" t="e">
        <f t="shared" si="110"/>
        <v>#N/A</v>
      </c>
      <c r="AB401" s="28" t="e">
        <f t="shared" si="111"/>
        <v>#VALUE!</v>
      </c>
      <c r="AC401" s="29">
        <f t="shared" si="112"/>
        <v>371.91650853889945</v>
      </c>
      <c r="AD401" s="28" t="e">
        <f t="shared" si="113"/>
        <v>#VALUE!</v>
      </c>
      <c r="AE401" s="28" t="e">
        <f t="shared" si="114"/>
        <v>#N/A</v>
      </c>
      <c r="AF401" s="28" t="e">
        <f t="shared" si="115"/>
        <v>#VALUE!</v>
      </c>
      <c r="AH401" s="31" t="e">
        <f t="shared" si="116"/>
        <v>#N/A</v>
      </c>
      <c r="AI401" s="25"/>
      <c r="AJ401" s="31"/>
    </row>
    <row r="402" spans="2:36" x14ac:dyDescent="0.25">
      <c r="B402" s="33">
        <f>'Arbitrage Payback Engine'!E402</f>
        <v>10.765648541295713</v>
      </c>
      <c r="C402" s="33">
        <f t="shared" si="102"/>
        <v>1000</v>
      </c>
      <c r="D402" s="33">
        <f>'Battery Pricing Model'!$C$17</f>
        <v>1000</v>
      </c>
      <c r="E402" s="33">
        <f t="shared" si="103"/>
        <v>999</v>
      </c>
      <c r="F402" s="33" t="str">
        <f>'Peak Models'!$B$4</f>
        <v>Default</v>
      </c>
      <c r="G402" s="33" t="e">
        <f>'Peak Models'!$Q$7</f>
        <v>#VALUE!</v>
      </c>
      <c r="H402" s="33">
        <f>'Peak Models'!$P$16</f>
        <v>1.5</v>
      </c>
      <c r="I402" s="33">
        <v>12</v>
      </c>
      <c r="J402" s="33" t="e">
        <f>'Peak Models'!$P$13</f>
        <v>#N/A</v>
      </c>
      <c r="K402" s="28" t="e">
        <f t="shared" si="104"/>
        <v>#VALUE!</v>
      </c>
      <c r="L402" s="28" t="e">
        <f>INDEX('Peak Models'!$P$34:$P$64, MATCH(TRUNC(B402, 0), 'Peak Models'!$O$34:$O$64, 0))</f>
        <v>#N/A</v>
      </c>
      <c r="M402" s="28">
        <f>'Peak Models'!$P$15*INDEX('Peak Models'!$Q$34:$Q$64, MATCH(TRUNC(B402, 0),'Peak Models'!$O$34:$O$64, 0))/'Profit per cycles Model'!$E$78</f>
        <v>6.0239272668063863</v>
      </c>
      <c r="N402" s="28" t="e">
        <f t="shared" si="105"/>
        <v>#N/A</v>
      </c>
      <c r="O402" s="71" t="e">
        <f>AVERAGE($N$10:N402)</f>
        <v>#N/A</v>
      </c>
      <c r="P402" s="28" t="e">
        <f t="shared" si="106"/>
        <v>#N/A</v>
      </c>
      <c r="R402" s="28" t="e">
        <f t="shared" si="107"/>
        <v>#VALUE!</v>
      </c>
      <c r="S402" s="25"/>
      <c r="T402" s="25">
        <f t="shared" si="108"/>
        <v>15</v>
      </c>
      <c r="U402" s="33">
        <f>IF(PaybackCustom&gt;0, IF(PaybackCustom&lt;&gt;"Default", PaybackCustom, IF(PaybackStatus&lt;&gt;"",INDEX('Arbitrage Payback Engine'!$Y$2:$Y$6,MATCH(PaybackStatus,'Arbitrage Payback Engine'!$X$2:$X$6,FALSE)),-1)))</f>
        <v>25</v>
      </c>
      <c r="V402" s="32">
        <f t="shared" si="117"/>
        <v>15</v>
      </c>
      <c r="X402" s="29">
        <f t="shared" si="118"/>
        <v>393</v>
      </c>
      <c r="Z402" s="30">
        <f t="shared" si="109"/>
        <v>10.765648541295713</v>
      </c>
      <c r="AA402" s="28" t="e">
        <f t="shared" si="110"/>
        <v>#N/A</v>
      </c>
      <c r="AB402" s="28" t="e">
        <f t="shared" si="111"/>
        <v>#VALUE!</v>
      </c>
      <c r="AC402" s="29">
        <f t="shared" si="112"/>
        <v>372.86527514231506</v>
      </c>
      <c r="AD402" s="28" t="e">
        <f t="shared" si="113"/>
        <v>#VALUE!</v>
      </c>
      <c r="AE402" s="28" t="e">
        <f t="shared" si="114"/>
        <v>#N/A</v>
      </c>
      <c r="AF402" s="28" t="e">
        <f t="shared" si="115"/>
        <v>#VALUE!</v>
      </c>
      <c r="AH402" s="31" t="e">
        <f t="shared" si="116"/>
        <v>#N/A</v>
      </c>
      <c r="AI402" s="25"/>
      <c r="AJ402" s="31"/>
    </row>
    <row r="403" spans="2:36" x14ac:dyDescent="0.25">
      <c r="B403" s="33">
        <f>'Arbitrage Payback Engine'!E403</f>
        <v>10.793042049034378</v>
      </c>
      <c r="C403" s="33">
        <f t="shared" si="102"/>
        <v>1000</v>
      </c>
      <c r="D403" s="33">
        <f>'Battery Pricing Model'!$C$17</f>
        <v>1000</v>
      </c>
      <c r="E403" s="33">
        <f t="shared" si="103"/>
        <v>999</v>
      </c>
      <c r="F403" s="33" t="str">
        <f>'Peak Models'!$B$4</f>
        <v>Default</v>
      </c>
      <c r="G403" s="33" t="e">
        <f>'Peak Models'!$Q$7</f>
        <v>#VALUE!</v>
      </c>
      <c r="H403" s="33">
        <f>'Peak Models'!$P$16</f>
        <v>1.5</v>
      </c>
      <c r="I403" s="33">
        <v>12</v>
      </c>
      <c r="J403" s="33" t="e">
        <f>'Peak Models'!$P$13</f>
        <v>#N/A</v>
      </c>
      <c r="K403" s="28" t="e">
        <f t="shared" si="104"/>
        <v>#VALUE!</v>
      </c>
      <c r="L403" s="28" t="e">
        <f>INDEX('Peak Models'!$P$34:$P$64, MATCH(TRUNC(B403, 0), 'Peak Models'!$O$34:$O$64, 0))</f>
        <v>#N/A</v>
      </c>
      <c r="M403" s="28">
        <f>'Peak Models'!$P$15*INDEX('Peak Models'!$Q$34:$Q$64, MATCH(TRUNC(B403, 0),'Peak Models'!$O$34:$O$64, 0))/'Profit per cycles Model'!$E$78</f>
        <v>6.0239272668063863</v>
      </c>
      <c r="N403" s="28" t="e">
        <f t="shared" si="105"/>
        <v>#N/A</v>
      </c>
      <c r="O403" s="71" t="e">
        <f>AVERAGE($N$10:N403)</f>
        <v>#N/A</v>
      </c>
      <c r="P403" s="28" t="e">
        <f t="shared" si="106"/>
        <v>#N/A</v>
      </c>
      <c r="R403" s="28" t="e">
        <f t="shared" si="107"/>
        <v>#VALUE!</v>
      </c>
      <c r="S403" s="25"/>
      <c r="T403" s="25">
        <f t="shared" si="108"/>
        <v>15</v>
      </c>
      <c r="U403" s="33">
        <f>IF(PaybackCustom&gt;0, IF(PaybackCustom&lt;&gt;"Default", PaybackCustom, IF(PaybackStatus&lt;&gt;"",INDEX('Arbitrage Payback Engine'!$Y$2:$Y$6,MATCH(PaybackStatus,'Arbitrage Payback Engine'!$X$2:$X$6,FALSE)),-1)))</f>
        <v>25</v>
      </c>
      <c r="V403" s="32">
        <f t="shared" si="117"/>
        <v>15</v>
      </c>
      <c r="X403" s="29">
        <f t="shared" si="118"/>
        <v>394</v>
      </c>
      <c r="Z403" s="30">
        <f t="shared" si="109"/>
        <v>10.793042049034378</v>
      </c>
      <c r="AA403" s="28" t="e">
        <f t="shared" si="110"/>
        <v>#N/A</v>
      </c>
      <c r="AB403" s="28" t="e">
        <f t="shared" si="111"/>
        <v>#VALUE!</v>
      </c>
      <c r="AC403" s="29">
        <f t="shared" si="112"/>
        <v>373.81404174573055</v>
      </c>
      <c r="AD403" s="28" t="e">
        <f t="shared" si="113"/>
        <v>#VALUE!</v>
      </c>
      <c r="AE403" s="28" t="e">
        <f t="shared" si="114"/>
        <v>#N/A</v>
      </c>
      <c r="AF403" s="28" t="e">
        <f t="shared" si="115"/>
        <v>#VALUE!</v>
      </c>
      <c r="AH403" s="31" t="e">
        <f t="shared" si="116"/>
        <v>#N/A</v>
      </c>
      <c r="AI403" s="25"/>
      <c r="AJ403" s="31"/>
    </row>
    <row r="404" spans="2:36" x14ac:dyDescent="0.25">
      <c r="B404" s="33">
        <f>'Arbitrage Payback Engine'!E404</f>
        <v>10.820435556773045</v>
      </c>
      <c r="C404" s="33">
        <f t="shared" si="102"/>
        <v>1000</v>
      </c>
      <c r="D404" s="33">
        <f>'Battery Pricing Model'!$C$17</f>
        <v>1000</v>
      </c>
      <c r="E404" s="33">
        <f t="shared" si="103"/>
        <v>999</v>
      </c>
      <c r="F404" s="33" t="str">
        <f>'Peak Models'!$B$4</f>
        <v>Default</v>
      </c>
      <c r="G404" s="33" t="e">
        <f>'Peak Models'!$Q$7</f>
        <v>#VALUE!</v>
      </c>
      <c r="H404" s="33">
        <f>'Peak Models'!$P$16</f>
        <v>1.5</v>
      </c>
      <c r="I404" s="33">
        <v>12</v>
      </c>
      <c r="J404" s="33" t="e">
        <f>'Peak Models'!$P$13</f>
        <v>#N/A</v>
      </c>
      <c r="K404" s="28" t="e">
        <f t="shared" si="104"/>
        <v>#VALUE!</v>
      </c>
      <c r="L404" s="28" t="e">
        <f>INDEX('Peak Models'!$P$34:$P$64, MATCH(TRUNC(B404, 0), 'Peak Models'!$O$34:$O$64, 0))</f>
        <v>#N/A</v>
      </c>
      <c r="M404" s="28">
        <f>'Peak Models'!$P$15*INDEX('Peak Models'!$Q$34:$Q$64, MATCH(TRUNC(B404, 0),'Peak Models'!$O$34:$O$64, 0))/'Profit per cycles Model'!$E$78</f>
        <v>6.0239272668063863</v>
      </c>
      <c r="N404" s="28" t="e">
        <f t="shared" si="105"/>
        <v>#N/A</v>
      </c>
      <c r="O404" s="71" t="e">
        <f>AVERAGE($N$10:N404)</f>
        <v>#N/A</v>
      </c>
      <c r="P404" s="28" t="e">
        <f t="shared" si="106"/>
        <v>#N/A</v>
      </c>
      <c r="R404" s="28" t="e">
        <f t="shared" si="107"/>
        <v>#VALUE!</v>
      </c>
      <c r="S404" s="25"/>
      <c r="T404" s="25">
        <f t="shared" si="108"/>
        <v>15</v>
      </c>
      <c r="U404" s="33">
        <f>IF(PaybackCustom&gt;0, IF(PaybackCustom&lt;&gt;"Default", PaybackCustom, IF(PaybackStatus&lt;&gt;"",INDEX('Arbitrage Payback Engine'!$Y$2:$Y$6,MATCH(PaybackStatus,'Arbitrage Payback Engine'!$X$2:$X$6,FALSE)),-1)))</f>
        <v>25</v>
      </c>
      <c r="V404" s="32">
        <f t="shared" si="117"/>
        <v>15</v>
      </c>
      <c r="X404" s="29">
        <f t="shared" si="118"/>
        <v>395</v>
      </c>
      <c r="Z404" s="30">
        <f t="shared" si="109"/>
        <v>10.820435556773045</v>
      </c>
      <c r="AA404" s="28" t="e">
        <f t="shared" si="110"/>
        <v>#N/A</v>
      </c>
      <c r="AB404" s="28" t="e">
        <f t="shared" si="111"/>
        <v>#VALUE!</v>
      </c>
      <c r="AC404" s="29">
        <f t="shared" si="112"/>
        <v>374.76280834914616</v>
      </c>
      <c r="AD404" s="28" t="e">
        <f t="shared" si="113"/>
        <v>#VALUE!</v>
      </c>
      <c r="AE404" s="28" t="e">
        <f t="shared" si="114"/>
        <v>#N/A</v>
      </c>
      <c r="AF404" s="28" t="e">
        <f t="shared" si="115"/>
        <v>#VALUE!</v>
      </c>
      <c r="AH404" s="31" t="e">
        <f t="shared" si="116"/>
        <v>#N/A</v>
      </c>
      <c r="AI404" s="25"/>
      <c r="AJ404" s="31"/>
    </row>
    <row r="405" spans="2:36" x14ac:dyDescent="0.25">
      <c r="B405" s="33">
        <f>'Arbitrage Payback Engine'!E405</f>
        <v>10.847829064511711</v>
      </c>
      <c r="C405" s="33">
        <f t="shared" si="102"/>
        <v>1000</v>
      </c>
      <c r="D405" s="33">
        <f>'Battery Pricing Model'!$C$17</f>
        <v>1000</v>
      </c>
      <c r="E405" s="33">
        <f t="shared" si="103"/>
        <v>999</v>
      </c>
      <c r="F405" s="33" t="str">
        <f>'Peak Models'!$B$4</f>
        <v>Default</v>
      </c>
      <c r="G405" s="33" t="e">
        <f>'Peak Models'!$Q$7</f>
        <v>#VALUE!</v>
      </c>
      <c r="H405" s="33">
        <f>'Peak Models'!$P$16</f>
        <v>1.5</v>
      </c>
      <c r="I405" s="33">
        <v>12</v>
      </c>
      <c r="J405" s="33" t="e">
        <f>'Peak Models'!$P$13</f>
        <v>#N/A</v>
      </c>
      <c r="K405" s="28" t="e">
        <f t="shared" si="104"/>
        <v>#VALUE!</v>
      </c>
      <c r="L405" s="28" t="e">
        <f>INDEX('Peak Models'!$P$34:$P$64, MATCH(TRUNC(B405, 0), 'Peak Models'!$O$34:$O$64, 0))</f>
        <v>#N/A</v>
      </c>
      <c r="M405" s="28">
        <f>'Peak Models'!$P$15*INDEX('Peak Models'!$Q$34:$Q$64, MATCH(TRUNC(B405, 0),'Peak Models'!$O$34:$O$64, 0))/'Profit per cycles Model'!$E$78</f>
        <v>6.0239272668063863</v>
      </c>
      <c r="N405" s="28" t="e">
        <f t="shared" si="105"/>
        <v>#N/A</v>
      </c>
      <c r="O405" s="71" t="e">
        <f>AVERAGE($N$10:N405)</f>
        <v>#N/A</v>
      </c>
      <c r="P405" s="28" t="e">
        <f t="shared" si="106"/>
        <v>#N/A</v>
      </c>
      <c r="R405" s="28" t="e">
        <f t="shared" si="107"/>
        <v>#VALUE!</v>
      </c>
      <c r="S405" s="25"/>
      <c r="T405" s="25">
        <f t="shared" si="108"/>
        <v>15</v>
      </c>
      <c r="U405" s="33">
        <f>IF(PaybackCustom&gt;0, IF(PaybackCustom&lt;&gt;"Default", PaybackCustom, IF(PaybackStatus&lt;&gt;"",INDEX('Arbitrage Payback Engine'!$Y$2:$Y$6,MATCH(PaybackStatus,'Arbitrage Payback Engine'!$X$2:$X$6,FALSE)),-1)))</f>
        <v>25</v>
      </c>
      <c r="V405" s="32">
        <f t="shared" si="117"/>
        <v>15</v>
      </c>
      <c r="X405" s="29">
        <f t="shared" si="118"/>
        <v>396</v>
      </c>
      <c r="Z405" s="30">
        <f t="shared" si="109"/>
        <v>10.847829064511711</v>
      </c>
      <c r="AA405" s="28" t="e">
        <f t="shared" si="110"/>
        <v>#N/A</v>
      </c>
      <c r="AB405" s="28" t="e">
        <f t="shared" si="111"/>
        <v>#VALUE!</v>
      </c>
      <c r="AC405" s="29">
        <f t="shared" si="112"/>
        <v>375.7115749525617</v>
      </c>
      <c r="AD405" s="28" t="e">
        <f t="shared" si="113"/>
        <v>#VALUE!</v>
      </c>
      <c r="AE405" s="28" t="e">
        <f t="shared" si="114"/>
        <v>#N/A</v>
      </c>
      <c r="AF405" s="28" t="e">
        <f t="shared" si="115"/>
        <v>#VALUE!</v>
      </c>
      <c r="AH405" s="31" t="e">
        <f t="shared" si="116"/>
        <v>#N/A</v>
      </c>
      <c r="AI405" s="25"/>
      <c r="AJ405" s="31"/>
    </row>
    <row r="406" spans="2:36" x14ac:dyDescent="0.25">
      <c r="B406" s="33">
        <f>'Arbitrage Payback Engine'!E406</f>
        <v>10.875222572250376</v>
      </c>
      <c r="C406" s="33">
        <f t="shared" si="102"/>
        <v>1000</v>
      </c>
      <c r="D406" s="33">
        <f>'Battery Pricing Model'!$C$17</f>
        <v>1000</v>
      </c>
      <c r="E406" s="33">
        <f t="shared" si="103"/>
        <v>999</v>
      </c>
      <c r="F406" s="33" t="str">
        <f>'Peak Models'!$B$4</f>
        <v>Default</v>
      </c>
      <c r="G406" s="33" t="e">
        <f>'Peak Models'!$Q$7</f>
        <v>#VALUE!</v>
      </c>
      <c r="H406" s="33">
        <f>'Peak Models'!$P$16</f>
        <v>1.5</v>
      </c>
      <c r="I406" s="33">
        <v>12</v>
      </c>
      <c r="J406" s="33" t="e">
        <f>'Peak Models'!$P$13</f>
        <v>#N/A</v>
      </c>
      <c r="K406" s="28" t="e">
        <f t="shared" si="104"/>
        <v>#VALUE!</v>
      </c>
      <c r="L406" s="28" t="e">
        <f>INDEX('Peak Models'!$P$34:$P$64, MATCH(TRUNC(B406, 0), 'Peak Models'!$O$34:$O$64, 0))</f>
        <v>#N/A</v>
      </c>
      <c r="M406" s="28">
        <f>'Peak Models'!$P$15*INDEX('Peak Models'!$Q$34:$Q$64, MATCH(TRUNC(B406, 0),'Peak Models'!$O$34:$O$64, 0))/'Profit per cycles Model'!$E$78</f>
        <v>6.0239272668063863</v>
      </c>
      <c r="N406" s="28" t="e">
        <f t="shared" si="105"/>
        <v>#N/A</v>
      </c>
      <c r="O406" s="71" t="e">
        <f>AVERAGE($N$10:N406)</f>
        <v>#N/A</v>
      </c>
      <c r="P406" s="28" t="e">
        <f t="shared" si="106"/>
        <v>#N/A</v>
      </c>
      <c r="R406" s="28" t="e">
        <f t="shared" si="107"/>
        <v>#VALUE!</v>
      </c>
      <c r="S406" s="25"/>
      <c r="T406" s="25">
        <f t="shared" si="108"/>
        <v>15</v>
      </c>
      <c r="U406" s="33">
        <f>IF(PaybackCustom&gt;0, IF(PaybackCustom&lt;&gt;"Default", PaybackCustom, IF(PaybackStatus&lt;&gt;"",INDEX('Arbitrage Payback Engine'!$Y$2:$Y$6,MATCH(PaybackStatus,'Arbitrage Payback Engine'!$X$2:$X$6,FALSE)),-1)))</f>
        <v>25</v>
      </c>
      <c r="V406" s="32">
        <f t="shared" si="117"/>
        <v>15</v>
      </c>
      <c r="X406" s="29">
        <f t="shared" si="118"/>
        <v>397</v>
      </c>
      <c r="Z406" s="30">
        <f t="shared" si="109"/>
        <v>10.875222572250376</v>
      </c>
      <c r="AA406" s="28" t="e">
        <f t="shared" si="110"/>
        <v>#N/A</v>
      </c>
      <c r="AB406" s="28" t="e">
        <f t="shared" si="111"/>
        <v>#VALUE!</v>
      </c>
      <c r="AC406" s="29">
        <f t="shared" si="112"/>
        <v>376.6603415559772</v>
      </c>
      <c r="AD406" s="28" t="e">
        <f t="shared" si="113"/>
        <v>#VALUE!</v>
      </c>
      <c r="AE406" s="28" t="e">
        <f t="shared" si="114"/>
        <v>#N/A</v>
      </c>
      <c r="AF406" s="28" t="e">
        <f t="shared" si="115"/>
        <v>#VALUE!</v>
      </c>
      <c r="AH406" s="31" t="e">
        <f t="shared" si="116"/>
        <v>#N/A</v>
      </c>
      <c r="AI406" s="25"/>
      <c r="AJ406" s="31"/>
    </row>
    <row r="407" spans="2:36" x14ac:dyDescent="0.25">
      <c r="B407" s="33">
        <f>'Arbitrage Payback Engine'!E407</f>
        <v>10.902616079989043</v>
      </c>
      <c r="C407" s="33">
        <f t="shared" si="102"/>
        <v>1000</v>
      </c>
      <c r="D407" s="33">
        <f>'Battery Pricing Model'!$C$17</f>
        <v>1000</v>
      </c>
      <c r="E407" s="33">
        <f t="shared" si="103"/>
        <v>999</v>
      </c>
      <c r="F407" s="33" t="str">
        <f>'Peak Models'!$B$4</f>
        <v>Default</v>
      </c>
      <c r="G407" s="33" t="e">
        <f>'Peak Models'!$Q$7</f>
        <v>#VALUE!</v>
      </c>
      <c r="H407" s="33">
        <f>'Peak Models'!$P$16</f>
        <v>1.5</v>
      </c>
      <c r="I407" s="33">
        <v>12</v>
      </c>
      <c r="J407" s="33" t="e">
        <f>'Peak Models'!$P$13</f>
        <v>#N/A</v>
      </c>
      <c r="K407" s="28" t="e">
        <f t="shared" si="104"/>
        <v>#VALUE!</v>
      </c>
      <c r="L407" s="28" t="e">
        <f>INDEX('Peak Models'!$P$34:$P$64, MATCH(TRUNC(B407, 0), 'Peak Models'!$O$34:$O$64, 0))</f>
        <v>#N/A</v>
      </c>
      <c r="M407" s="28">
        <f>'Peak Models'!$P$15*INDEX('Peak Models'!$Q$34:$Q$64, MATCH(TRUNC(B407, 0),'Peak Models'!$O$34:$O$64, 0))/'Profit per cycles Model'!$E$78</f>
        <v>6.0239272668063863</v>
      </c>
      <c r="N407" s="28" t="e">
        <f t="shared" si="105"/>
        <v>#N/A</v>
      </c>
      <c r="O407" s="71" t="e">
        <f>AVERAGE($N$10:N407)</f>
        <v>#N/A</v>
      </c>
      <c r="P407" s="28" t="e">
        <f t="shared" si="106"/>
        <v>#N/A</v>
      </c>
      <c r="R407" s="28" t="e">
        <f t="shared" si="107"/>
        <v>#VALUE!</v>
      </c>
      <c r="S407" s="25"/>
      <c r="T407" s="25">
        <f t="shared" si="108"/>
        <v>15</v>
      </c>
      <c r="U407" s="33">
        <f>IF(PaybackCustom&gt;0, IF(PaybackCustom&lt;&gt;"Default", PaybackCustom, IF(PaybackStatus&lt;&gt;"",INDEX('Arbitrage Payback Engine'!$Y$2:$Y$6,MATCH(PaybackStatus,'Arbitrage Payback Engine'!$X$2:$X$6,FALSE)),-1)))</f>
        <v>25</v>
      </c>
      <c r="V407" s="32">
        <f t="shared" si="117"/>
        <v>15</v>
      </c>
      <c r="X407" s="29">
        <f t="shared" si="118"/>
        <v>398</v>
      </c>
      <c r="Z407" s="30">
        <f t="shared" si="109"/>
        <v>10.902616079989043</v>
      </c>
      <c r="AA407" s="28" t="e">
        <f t="shared" si="110"/>
        <v>#N/A</v>
      </c>
      <c r="AB407" s="28" t="e">
        <f t="shared" si="111"/>
        <v>#VALUE!</v>
      </c>
      <c r="AC407" s="29">
        <f t="shared" si="112"/>
        <v>377.6091081593928</v>
      </c>
      <c r="AD407" s="28" t="e">
        <f t="shared" si="113"/>
        <v>#VALUE!</v>
      </c>
      <c r="AE407" s="28" t="e">
        <f t="shared" si="114"/>
        <v>#N/A</v>
      </c>
      <c r="AF407" s="28" t="e">
        <f t="shared" si="115"/>
        <v>#VALUE!</v>
      </c>
      <c r="AH407" s="31" t="e">
        <f t="shared" si="116"/>
        <v>#N/A</v>
      </c>
      <c r="AI407" s="25"/>
      <c r="AJ407" s="31"/>
    </row>
    <row r="408" spans="2:36" x14ac:dyDescent="0.25">
      <c r="B408" s="33">
        <f>'Arbitrage Payback Engine'!E408</f>
        <v>10.930009587727708</v>
      </c>
      <c r="C408" s="33">
        <f t="shared" si="102"/>
        <v>1000</v>
      </c>
      <c r="D408" s="33">
        <f>'Battery Pricing Model'!$C$17</f>
        <v>1000</v>
      </c>
      <c r="E408" s="33">
        <f t="shared" si="103"/>
        <v>999</v>
      </c>
      <c r="F408" s="33" t="str">
        <f>'Peak Models'!$B$4</f>
        <v>Default</v>
      </c>
      <c r="G408" s="33" t="e">
        <f>'Peak Models'!$Q$7</f>
        <v>#VALUE!</v>
      </c>
      <c r="H408" s="33">
        <f>'Peak Models'!$P$16</f>
        <v>1.5</v>
      </c>
      <c r="I408" s="33">
        <v>12</v>
      </c>
      <c r="J408" s="33" t="e">
        <f>'Peak Models'!$P$13</f>
        <v>#N/A</v>
      </c>
      <c r="K408" s="28" t="e">
        <f t="shared" si="104"/>
        <v>#VALUE!</v>
      </c>
      <c r="L408" s="28" t="e">
        <f>INDEX('Peak Models'!$P$34:$P$64, MATCH(TRUNC(B408, 0), 'Peak Models'!$O$34:$O$64, 0))</f>
        <v>#N/A</v>
      </c>
      <c r="M408" s="28">
        <f>'Peak Models'!$P$15*INDEX('Peak Models'!$Q$34:$Q$64, MATCH(TRUNC(B408, 0),'Peak Models'!$O$34:$O$64, 0))/'Profit per cycles Model'!$E$78</f>
        <v>6.0239272668063863</v>
      </c>
      <c r="N408" s="28" t="e">
        <f t="shared" si="105"/>
        <v>#N/A</v>
      </c>
      <c r="O408" s="71" t="e">
        <f>AVERAGE($N$10:N408)</f>
        <v>#N/A</v>
      </c>
      <c r="P408" s="28" t="e">
        <f t="shared" si="106"/>
        <v>#N/A</v>
      </c>
      <c r="R408" s="28" t="e">
        <f t="shared" si="107"/>
        <v>#VALUE!</v>
      </c>
      <c r="S408" s="25"/>
      <c r="T408" s="25">
        <f t="shared" si="108"/>
        <v>15</v>
      </c>
      <c r="U408" s="33">
        <f>IF(PaybackCustom&gt;0, IF(PaybackCustom&lt;&gt;"Default", PaybackCustom, IF(PaybackStatus&lt;&gt;"",INDEX('Arbitrage Payback Engine'!$Y$2:$Y$6,MATCH(PaybackStatus,'Arbitrage Payback Engine'!$X$2:$X$6,FALSE)),-1)))</f>
        <v>25</v>
      </c>
      <c r="V408" s="32">
        <f t="shared" si="117"/>
        <v>15</v>
      </c>
      <c r="X408" s="29">
        <f t="shared" si="118"/>
        <v>399</v>
      </c>
      <c r="Z408" s="30">
        <f t="shared" si="109"/>
        <v>10.930009587727708</v>
      </c>
      <c r="AA408" s="28" t="e">
        <f t="shared" si="110"/>
        <v>#N/A</v>
      </c>
      <c r="AB408" s="28" t="e">
        <f t="shared" si="111"/>
        <v>#VALUE!</v>
      </c>
      <c r="AC408" s="29">
        <f t="shared" si="112"/>
        <v>378.55787476280841</v>
      </c>
      <c r="AD408" s="28" t="e">
        <f t="shared" si="113"/>
        <v>#VALUE!</v>
      </c>
      <c r="AE408" s="28" t="e">
        <f t="shared" si="114"/>
        <v>#N/A</v>
      </c>
      <c r="AF408" s="28" t="e">
        <f t="shared" si="115"/>
        <v>#VALUE!</v>
      </c>
      <c r="AH408" s="31" t="e">
        <f t="shared" si="116"/>
        <v>#N/A</v>
      </c>
      <c r="AI408" s="25"/>
      <c r="AJ408" s="31"/>
    </row>
    <row r="409" spans="2:36" x14ac:dyDescent="0.25">
      <c r="B409" s="33">
        <f>'Arbitrage Payback Engine'!E409</f>
        <v>10.957403095466374</v>
      </c>
      <c r="C409" s="33">
        <f t="shared" si="102"/>
        <v>1000</v>
      </c>
      <c r="D409" s="33">
        <f>'Battery Pricing Model'!$C$17</f>
        <v>1000</v>
      </c>
      <c r="E409" s="33">
        <f t="shared" si="103"/>
        <v>999</v>
      </c>
      <c r="F409" s="33" t="str">
        <f>'Peak Models'!$B$4</f>
        <v>Default</v>
      </c>
      <c r="G409" s="33" t="e">
        <f>'Peak Models'!$Q$7</f>
        <v>#VALUE!</v>
      </c>
      <c r="H409" s="33">
        <f>'Peak Models'!$P$16</f>
        <v>1.5</v>
      </c>
      <c r="I409" s="33">
        <v>12</v>
      </c>
      <c r="J409" s="33" t="e">
        <f>'Peak Models'!$P$13</f>
        <v>#N/A</v>
      </c>
      <c r="K409" s="28" t="e">
        <f t="shared" si="104"/>
        <v>#VALUE!</v>
      </c>
      <c r="L409" s="28" t="e">
        <f>INDEX('Peak Models'!$P$34:$P$64, MATCH(TRUNC(B409, 0), 'Peak Models'!$O$34:$O$64, 0))</f>
        <v>#N/A</v>
      </c>
      <c r="M409" s="28">
        <f>'Peak Models'!$P$15*INDEX('Peak Models'!$Q$34:$Q$64, MATCH(TRUNC(B409, 0),'Peak Models'!$O$34:$O$64, 0))/'Profit per cycles Model'!$E$78</f>
        <v>6.0239272668063863</v>
      </c>
      <c r="N409" s="28" t="e">
        <f t="shared" si="105"/>
        <v>#N/A</v>
      </c>
      <c r="O409" s="71" t="e">
        <f>AVERAGE($N$10:N409)</f>
        <v>#N/A</v>
      </c>
      <c r="P409" s="28" t="e">
        <f t="shared" si="106"/>
        <v>#N/A</v>
      </c>
      <c r="R409" s="28" t="e">
        <f t="shared" si="107"/>
        <v>#VALUE!</v>
      </c>
      <c r="S409" s="25"/>
      <c r="T409" s="25">
        <f t="shared" si="108"/>
        <v>15</v>
      </c>
      <c r="U409" s="33">
        <f>IF(PaybackCustom&gt;0, IF(PaybackCustom&lt;&gt;"Default", PaybackCustom, IF(PaybackStatus&lt;&gt;"",INDEX('Arbitrage Payback Engine'!$Y$2:$Y$6,MATCH(PaybackStatus,'Arbitrage Payback Engine'!$X$2:$X$6,FALSE)),-1)))</f>
        <v>25</v>
      </c>
      <c r="V409" s="32">
        <f t="shared" si="117"/>
        <v>15</v>
      </c>
      <c r="X409" s="29">
        <f t="shared" si="118"/>
        <v>400</v>
      </c>
      <c r="Z409" s="30">
        <f t="shared" si="109"/>
        <v>10.957403095466374</v>
      </c>
      <c r="AA409" s="28" t="e">
        <f t="shared" si="110"/>
        <v>#N/A</v>
      </c>
      <c r="AB409" s="28" t="e">
        <f t="shared" si="111"/>
        <v>#VALUE!</v>
      </c>
      <c r="AC409" s="29">
        <f t="shared" si="112"/>
        <v>379.5066413662239</v>
      </c>
      <c r="AD409" s="28" t="e">
        <f t="shared" si="113"/>
        <v>#VALUE!</v>
      </c>
      <c r="AE409" s="28" t="e">
        <f t="shared" si="114"/>
        <v>#N/A</v>
      </c>
      <c r="AF409" s="28" t="e">
        <f t="shared" si="115"/>
        <v>#VALUE!</v>
      </c>
      <c r="AH409" s="31" t="e">
        <f t="shared" si="116"/>
        <v>#N/A</v>
      </c>
      <c r="AI409" s="25"/>
      <c r="AJ409" s="31"/>
    </row>
    <row r="410" spans="2:36" x14ac:dyDescent="0.25">
      <c r="B410" s="33">
        <f>'Arbitrage Payback Engine'!E410</f>
        <v>10.984796603205041</v>
      </c>
      <c r="C410" s="33">
        <f t="shared" si="102"/>
        <v>1000</v>
      </c>
      <c r="D410" s="33">
        <f>'Battery Pricing Model'!$C$17</f>
        <v>1000</v>
      </c>
      <c r="E410" s="33">
        <f t="shared" si="103"/>
        <v>999</v>
      </c>
      <c r="F410" s="33" t="str">
        <f>'Peak Models'!$B$4</f>
        <v>Default</v>
      </c>
      <c r="G410" s="33" t="e">
        <f>'Peak Models'!$Q$7</f>
        <v>#VALUE!</v>
      </c>
      <c r="H410" s="33">
        <f>'Peak Models'!$P$16</f>
        <v>1.5</v>
      </c>
      <c r="I410" s="33">
        <v>12</v>
      </c>
      <c r="J410" s="33" t="e">
        <f>'Peak Models'!$P$13</f>
        <v>#N/A</v>
      </c>
      <c r="K410" s="28" t="e">
        <f t="shared" si="104"/>
        <v>#VALUE!</v>
      </c>
      <c r="L410" s="28" t="e">
        <f>INDEX('Peak Models'!$P$34:$P$64, MATCH(TRUNC(B410, 0), 'Peak Models'!$O$34:$O$64, 0))</f>
        <v>#N/A</v>
      </c>
      <c r="M410" s="28">
        <f>'Peak Models'!$P$15*INDEX('Peak Models'!$Q$34:$Q$64, MATCH(TRUNC(B410, 0),'Peak Models'!$O$34:$O$64, 0))/'Profit per cycles Model'!$E$78</f>
        <v>6.0239272668063863</v>
      </c>
      <c r="N410" s="28" t="e">
        <f t="shared" si="105"/>
        <v>#N/A</v>
      </c>
      <c r="O410" s="71" t="e">
        <f>AVERAGE($N$10:N410)</f>
        <v>#N/A</v>
      </c>
      <c r="P410" s="28" t="e">
        <f t="shared" si="106"/>
        <v>#N/A</v>
      </c>
      <c r="R410" s="28" t="e">
        <f t="shared" si="107"/>
        <v>#VALUE!</v>
      </c>
      <c r="S410" s="25"/>
      <c r="T410" s="25">
        <f t="shared" si="108"/>
        <v>15</v>
      </c>
      <c r="U410" s="33">
        <f>IF(PaybackCustom&gt;0, IF(PaybackCustom&lt;&gt;"Default", PaybackCustom, IF(PaybackStatus&lt;&gt;"",INDEX('Arbitrage Payback Engine'!$Y$2:$Y$6,MATCH(PaybackStatus,'Arbitrage Payback Engine'!$X$2:$X$6,FALSE)),-1)))</f>
        <v>25</v>
      </c>
      <c r="V410" s="32">
        <f t="shared" si="117"/>
        <v>15</v>
      </c>
      <c r="X410" s="29">
        <f t="shared" si="118"/>
        <v>401</v>
      </c>
      <c r="Z410" s="30">
        <f t="shared" si="109"/>
        <v>10.984796603205041</v>
      </c>
      <c r="AA410" s="28" t="e">
        <f t="shared" si="110"/>
        <v>#N/A</v>
      </c>
      <c r="AB410" s="28" t="e">
        <f t="shared" si="111"/>
        <v>#VALUE!</v>
      </c>
      <c r="AC410" s="29">
        <f t="shared" si="112"/>
        <v>380.45540796963951</v>
      </c>
      <c r="AD410" s="28" t="e">
        <f t="shared" si="113"/>
        <v>#VALUE!</v>
      </c>
      <c r="AE410" s="28" t="e">
        <f t="shared" si="114"/>
        <v>#N/A</v>
      </c>
      <c r="AF410" s="28" t="e">
        <f t="shared" si="115"/>
        <v>#VALUE!</v>
      </c>
      <c r="AH410" s="31" t="e">
        <f t="shared" si="116"/>
        <v>#N/A</v>
      </c>
      <c r="AI410" s="25"/>
      <c r="AJ410" s="31"/>
    </row>
    <row r="411" spans="2:36" x14ac:dyDescent="0.25">
      <c r="B411" s="33">
        <f>'Arbitrage Payback Engine'!E411</f>
        <v>11.012190110943706</v>
      </c>
      <c r="C411" s="33">
        <f t="shared" si="102"/>
        <v>1000</v>
      </c>
      <c r="D411" s="33">
        <f>'Battery Pricing Model'!$C$17</f>
        <v>1000</v>
      </c>
      <c r="E411" s="33">
        <f t="shared" si="103"/>
        <v>999</v>
      </c>
      <c r="F411" s="33" t="str">
        <f>'Peak Models'!$B$4</f>
        <v>Default</v>
      </c>
      <c r="G411" s="33" t="e">
        <f>'Peak Models'!$Q$7</f>
        <v>#VALUE!</v>
      </c>
      <c r="H411" s="33">
        <f>'Peak Models'!$P$16</f>
        <v>1.5</v>
      </c>
      <c r="I411" s="33">
        <v>12</v>
      </c>
      <c r="J411" s="33" t="e">
        <f>'Peak Models'!$P$13</f>
        <v>#N/A</v>
      </c>
      <c r="K411" s="28" t="e">
        <f t="shared" si="104"/>
        <v>#VALUE!</v>
      </c>
      <c r="L411" s="28" t="e">
        <f>INDEX('Peak Models'!$P$34:$P$64, MATCH(TRUNC(B411, 0), 'Peak Models'!$O$34:$O$64, 0))</f>
        <v>#N/A</v>
      </c>
      <c r="M411" s="28">
        <f>'Peak Models'!$P$15*INDEX('Peak Models'!$Q$34:$Q$64, MATCH(TRUNC(B411, 0),'Peak Models'!$O$34:$O$64, 0))/'Profit per cycles Model'!$E$78</f>
        <v>6.1745254484765457</v>
      </c>
      <c r="N411" s="28" t="e">
        <f t="shared" si="105"/>
        <v>#N/A</v>
      </c>
      <c r="O411" s="71" t="e">
        <f>AVERAGE($N$10:N411)</f>
        <v>#N/A</v>
      </c>
      <c r="P411" s="28" t="e">
        <f t="shared" si="106"/>
        <v>#N/A</v>
      </c>
      <c r="R411" s="28" t="e">
        <f t="shared" si="107"/>
        <v>#VALUE!</v>
      </c>
      <c r="S411" s="25"/>
      <c r="T411" s="25">
        <f t="shared" si="108"/>
        <v>15</v>
      </c>
      <c r="U411" s="33">
        <f>IF(PaybackCustom&gt;0, IF(PaybackCustom&lt;&gt;"Default", PaybackCustom, IF(PaybackStatus&lt;&gt;"",INDEX('Arbitrage Payback Engine'!$Y$2:$Y$6,MATCH(PaybackStatus,'Arbitrage Payback Engine'!$X$2:$X$6,FALSE)),-1)))</f>
        <v>25</v>
      </c>
      <c r="V411" s="32">
        <f t="shared" si="117"/>
        <v>15</v>
      </c>
      <c r="X411" s="29">
        <f t="shared" si="118"/>
        <v>402</v>
      </c>
      <c r="Z411" s="30">
        <f t="shared" si="109"/>
        <v>11.012190110943706</v>
      </c>
      <c r="AA411" s="28" t="e">
        <f t="shared" si="110"/>
        <v>#N/A</v>
      </c>
      <c r="AB411" s="28" t="e">
        <f t="shared" si="111"/>
        <v>#VALUE!</v>
      </c>
      <c r="AC411" s="29">
        <f t="shared" si="112"/>
        <v>381.404174573055</v>
      </c>
      <c r="AD411" s="28" t="e">
        <f t="shared" si="113"/>
        <v>#VALUE!</v>
      </c>
      <c r="AE411" s="28" t="e">
        <f t="shared" si="114"/>
        <v>#N/A</v>
      </c>
      <c r="AF411" s="28" t="e">
        <f t="shared" si="115"/>
        <v>#VALUE!</v>
      </c>
      <c r="AH411" s="31" t="e">
        <f t="shared" si="116"/>
        <v>#N/A</v>
      </c>
      <c r="AI411" s="25"/>
      <c r="AJ411" s="31"/>
    </row>
    <row r="412" spans="2:36" x14ac:dyDescent="0.25">
      <c r="B412" s="33">
        <f>'Arbitrage Payback Engine'!E412</f>
        <v>11.039583618682371</v>
      </c>
      <c r="C412" s="33">
        <f t="shared" si="102"/>
        <v>1000</v>
      </c>
      <c r="D412" s="33">
        <f>'Battery Pricing Model'!$C$17</f>
        <v>1000</v>
      </c>
      <c r="E412" s="33">
        <f t="shared" si="103"/>
        <v>999</v>
      </c>
      <c r="F412" s="33" t="str">
        <f>'Peak Models'!$B$4</f>
        <v>Default</v>
      </c>
      <c r="G412" s="33" t="e">
        <f>'Peak Models'!$Q$7</f>
        <v>#VALUE!</v>
      </c>
      <c r="H412" s="33">
        <f>'Peak Models'!$P$16</f>
        <v>1.5</v>
      </c>
      <c r="I412" s="33">
        <v>12</v>
      </c>
      <c r="J412" s="33" t="e">
        <f>'Peak Models'!$P$13</f>
        <v>#N/A</v>
      </c>
      <c r="K412" s="28" t="e">
        <f t="shared" si="104"/>
        <v>#VALUE!</v>
      </c>
      <c r="L412" s="28" t="e">
        <f>INDEX('Peak Models'!$P$34:$P$64, MATCH(TRUNC(B412, 0), 'Peak Models'!$O$34:$O$64, 0))</f>
        <v>#N/A</v>
      </c>
      <c r="M412" s="28">
        <f>'Peak Models'!$P$15*INDEX('Peak Models'!$Q$34:$Q$64, MATCH(TRUNC(B412, 0),'Peak Models'!$O$34:$O$64, 0))/'Profit per cycles Model'!$E$78</f>
        <v>6.1745254484765457</v>
      </c>
      <c r="N412" s="28" t="e">
        <f t="shared" si="105"/>
        <v>#N/A</v>
      </c>
      <c r="O412" s="71" t="e">
        <f>AVERAGE($N$10:N412)</f>
        <v>#N/A</v>
      </c>
      <c r="P412" s="28" t="e">
        <f t="shared" si="106"/>
        <v>#N/A</v>
      </c>
      <c r="R412" s="28" t="e">
        <f t="shared" si="107"/>
        <v>#VALUE!</v>
      </c>
      <c r="S412" s="25"/>
      <c r="T412" s="25">
        <f t="shared" si="108"/>
        <v>15</v>
      </c>
      <c r="U412" s="33">
        <f>IF(PaybackCustom&gt;0, IF(PaybackCustom&lt;&gt;"Default", PaybackCustom, IF(PaybackStatus&lt;&gt;"",INDEX('Arbitrage Payback Engine'!$Y$2:$Y$6,MATCH(PaybackStatus,'Arbitrage Payback Engine'!$X$2:$X$6,FALSE)),-1)))</f>
        <v>25</v>
      </c>
      <c r="V412" s="32">
        <f t="shared" si="117"/>
        <v>15</v>
      </c>
      <c r="X412" s="29">
        <f t="shared" si="118"/>
        <v>403</v>
      </c>
      <c r="Z412" s="30">
        <f t="shared" si="109"/>
        <v>11.039583618682371</v>
      </c>
      <c r="AA412" s="28" t="e">
        <f t="shared" si="110"/>
        <v>#N/A</v>
      </c>
      <c r="AB412" s="28" t="e">
        <f t="shared" si="111"/>
        <v>#VALUE!</v>
      </c>
      <c r="AC412" s="29">
        <f t="shared" si="112"/>
        <v>382.35294117647055</v>
      </c>
      <c r="AD412" s="28" t="e">
        <f t="shared" si="113"/>
        <v>#VALUE!</v>
      </c>
      <c r="AE412" s="28" t="e">
        <f t="shared" si="114"/>
        <v>#N/A</v>
      </c>
      <c r="AF412" s="28" t="e">
        <f t="shared" si="115"/>
        <v>#VALUE!</v>
      </c>
      <c r="AH412" s="31" t="e">
        <f t="shared" si="116"/>
        <v>#N/A</v>
      </c>
      <c r="AI412" s="25"/>
      <c r="AJ412" s="31"/>
    </row>
    <row r="413" spans="2:36" x14ac:dyDescent="0.25">
      <c r="B413" s="33">
        <f>'Arbitrage Payback Engine'!E413</f>
        <v>11.066977126421039</v>
      </c>
      <c r="C413" s="33">
        <f t="shared" si="102"/>
        <v>1000</v>
      </c>
      <c r="D413" s="33">
        <f>'Battery Pricing Model'!$C$17</f>
        <v>1000</v>
      </c>
      <c r="E413" s="33">
        <f t="shared" si="103"/>
        <v>999</v>
      </c>
      <c r="F413" s="33" t="str">
        <f>'Peak Models'!$B$4</f>
        <v>Default</v>
      </c>
      <c r="G413" s="33" t="e">
        <f>'Peak Models'!$Q$7</f>
        <v>#VALUE!</v>
      </c>
      <c r="H413" s="33">
        <f>'Peak Models'!$P$16</f>
        <v>1.5</v>
      </c>
      <c r="I413" s="33">
        <v>12</v>
      </c>
      <c r="J413" s="33" t="e">
        <f>'Peak Models'!$P$13</f>
        <v>#N/A</v>
      </c>
      <c r="K413" s="28" t="e">
        <f t="shared" si="104"/>
        <v>#VALUE!</v>
      </c>
      <c r="L413" s="28" t="e">
        <f>INDEX('Peak Models'!$P$34:$P$64, MATCH(TRUNC(B413, 0), 'Peak Models'!$O$34:$O$64, 0))</f>
        <v>#N/A</v>
      </c>
      <c r="M413" s="28">
        <f>'Peak Models'!$P$15*INDEX('Peak Models'!$Q$34:$Q$64, MATCH(TRUNC(B413, 0),'Peak Models'!$O$34:$O$64, 0))/'Profit per cycles Model'!$E$78</f>
        <v>6.1745254484765457</v>
      </c>
      <c r="N413" s="28" t="e">
        <f t="shared" si="105"/>
        <v>#N/A</v>
      </c>
      <c r="O413" s="71" t="e">
        <f>AVERAGE($N$10:N413)</f>
        <v>#N/A</v>
      </c>
      <c r="P413" s="28" t="e">
        <f t="shared" si="106"/>
        <v>#N/A</v>
      </c>
      <c r="R413" s="28" t="e">
        <f t="shared" si="107"/>
        <v>#VALUE!</v>
      </c>
      <c r="S413" s="25"/>
      <c r="T413" s="25">
        <f t="shared" si="108"/>
        <v>15</v>
      </c>
      <c r="U413" s="33">
        <f>IF(PaybackCustom&gt;0, IF(PaybackCustom&lt;&gt;"Default", PaybackCustom, IF(PaybackStatus&lt;&gt;"",INDEX('Arbitrage Payback Engine'!$Y$2:$Y$6,MATCH(PaybackStatus,'Arbitrage Payback Engine'!$X$2:$X$6,FALSE)),-1)))</f>
        <v>25</v>
      </c>
      <c r="V413" s="32">
        <f t="shared" si="117"/>
        <v>15</v>
      </c>
      <c r="X413" s="29">
        <f t="shared" si="118"/>
        <v>404</v>
      </c>
      <c r="Z413" s="30">
        <f t="shared" si="109"/>
        <v>11.066977126421039</v>
      </c>
      <c r="AA413" s="28" t="e">
        <f t="shared" si="110"/>
        <v>#N/A</v>
      </c>
      <c r="AB413" s="28" t="e">
        <f t="shared" si="111"/>
        <v>#VALUE!</v>
      </c>
      <c r="AC413" s="29">
        <f t="shared" si="112"/>
        <v>383.30170777988621</v>
      </c>
      <c r="AD413" s="28" t="e">
        <f t="shared" si="113"/>
        <v>#VALUE!</v>
      </c>
      <c r="AE413" s="28" t="e">
        <f t="shared" si="114"/>
        <v>#N/A</v>
      </c>
      <c r="AF413" s="28" t="e">
        <f t="shared" si="115"/>
        <v>#VALUE!</v>
      </c>
      <c r="AH413" s="31" t="e">
        <f t="shared" si="116"/>
        <v>#N/A</v>
      </c>
      <c r="AI413" s="25"/>
      <c r="AJ413" s="31"/>
    </row>
    <row r="414" spans="2:36" x14ac:dyDescent="0.25">
      <c r="B414" s="33">
        <f>'Arbitrage Payback Engine'!E414</f>
        <v>11.094370634159704</v>
      </c>
      <c r="C414" s="33">
        <f t="shared" si="102"/>
        <v>1000</v>
      </c>
      <c r="D414" s="33">
        <f>'Battery Pricing Model'!$C$17</f>
        <v>1000</v>
      </c>
      <c r="E414" s="33">
        <f t="shared" si="103"/>
        <v>999</v>
      </c>
      <c r="F414" s="33" t="str">
        <f>'Peak Models'!$B$4</f>
        <v>Default</v>
      </c>
      <c r="G414" s="33" t="e">
        <f>'Peak Models'!$Q$7</f>
        <v>#VALUE!</v>
      </c>
      <c r="H414" s="33">
        <f>'Peak Models'!$P$16</f>
        <v>1.5</v>
      </c>
      <c r="I414" s="33">
        <v>12</v>
      </c>
      <c r="J414" s="33" t="e">
        <f>'Peak Models'!$P$13</f>
        <v>#N/A</v>
      </c>
      <c r="K414" s="28" t="e">
        <f t="shared" si="104"/>
        <v>#VALUE!</v>
      </c>
      <c r="L414" s="28" t="e">
        <f>INDEX('Peak Models'!$P$34:$P$64, MATCH(TRUNC(B414, 0), 'Peak Models'!$O$34:$O$64, 0))</f>
        <v>#N/A</v>
      </c>
      <c r="M414" s="28">
        <f>'Peak Models'!$P$15*INDEX('Peak Models'!$Q$34:$Q$64, MATCH(TRUNC(B414, 0),'Peak Models'!$O$34:$O$64, 0))/'Profit per cycles Model'!$E$78</f>
        <v>6.1745254484765457</v>
      </c>
      <c r="N414" s="28" t="e">
        <f t="shared" si="105"/>
        <v>#N/A</v>
      </c>
      <c r="O414" s="71" t="e">
        <f>AVERAGE($N$10:N414)</f>
        <v>#N/A</v>
      </c>
      <c r="P414" s="28" t="e">
        <f t="shared" si="106"/>
        <v>#N/A</v>
      </c>
      <c r="R414" s="28" t="e">
        <f t="shared" si="107"/>
        <v>#VALUE!</v>
      </c>
      <c r="S414" s="25"/>
      <c r="T414" s="25">
        <f t="shared" si="108"/>
        <v>15</v>
      </c>
      <c r="U414" s="33">
        <f>IF(PaybackCustom&gt;0, IF(PaybackCustom&lt;&gt;"Default", PaybackCustom, IF(PaybackStatus&lt;&gt;"",INDEX('Arbitrage Payback Engine'!$Y$2:$Y$6,MATCH(PaybackStatus,'Arbitrage Payback Engine'!$X$2:$X$6,FALSE)),-1)))</f>
        <v>25</v>
      </c>
      <c r="V414" s="32">
        <f t="shared" si="117"/>
        <v>15</v>
      </c>
      <c r="X414" s="29">
        <f t="shared" si="118"/>
        <v>405</v>
      </c>
      <c r="Z414" s="30">
        <f t="shared" si="109"/>
        <v>11.094370634159704</v>
      </c>
      <c r="AA414" s="28" t="e">
        <f t="shared" si="110"/>
        <v>#N/A</v>
      </c>
      <c r="AB414" s="28" t="e">
        <f t="shared" si="111"/>
        <v>#VALUE!</v>
      </c>
      <c r="AC414" s="29">
        <f t="shared" si="112"/>
        <v>384.25047438330176</v>
      </c>
      <c r="AD414" s="28" t="e">
        <f t="shared" si="113"/>
        <v>#VALUE!</v>
      </c>
      <c r="AE414" s="28" t="e">
        <f t="shared" si="114"/>
        <v>#N/A</v>
      </c>
      <c r="AF414" s="28" t="e">
        <f t="shared" si="115"/>
        <v>#VALUE!</v>
      </c>
      <c r="AH414" s="31" t="e">
        <f t="shared" si="116"/>
        <v>#N/A</v>
      </c>
      <c r="AI414" s="25"/>
      <c r="AJ414" s="31"/>
    </row>
    <row r="415" spans="2:36" x14ac:dyDescent="0.25">
      <c r="B415" s="33">
        <f>'Arbitrage Payback Engine'!E415</f>
        <v>11.121764141898369</v>
      </c>
      <c r="C415" s="33">
        <f t="shared" si="102"/>
        <v>1000</v>
      </c>
      <c r="D415" s="33">
        <f>'Battery Pricing Model'!$C$17</f>
        <v>1000</v>
      </c>
      <c r="E415" s="33">
        <f t="shared" si="103"/>
        <v>999</v>
      </c>
      <c r="F415" s="33" t="str">
        <f>'Peak Models'!$B$4</f>
        <v>Default</v>
      </c>
      <c r="G415" s="33" t="e">
        <f>'Peak Models'!$Q$7</f>
        <v>#VALUE!</v>
      </c>
      <c r="H415" s="33">
        <f>'Peak Models'!$P$16</f>
        <v>1.5</v>
      </c>
      <c r="I415" s="33">
        <v>12</v>
      </c>
      <c r="J415" s="33" t="e">
        <f>'Peak Models'!$P$13</f>
        <v>#N/A</v>
      </c>
      <c r="K415" s="28" t="e">
        <f t="shared" si="104"/>
        <v>#VALUE!</v>
      </c>
      <c r="L415" s="28" t="e">
        <f>INDEX('Peak Models'!$P$34:$P$64, MATCH(TRUNC(B415, 0), 'Peak Models'!$O$34:$O$64, 0))</f>
        <v>#N/A</v>
      </c>
      <c r="M415" s="28">
        <f>'Peak Models'!$P$15*INDEX('Peak Models'!$Q$34:$Q$64, MATCH(TRUNC(B415, 0),'Peak Models'!$O$34:$O$64, 0))/'Profit per cycles Model'!$E$78</f>
        <v>6.1745254484765457</v>
      </c>
      <c r="N415" s="28" t="e">
        <f t="shared" si="105"/>
        <v>#N/A</v>
      </c>
      <c r="O415" s="71" t="e">
        <f>AVERAGE($N$10:N415)</f>
        <v>#N/A</v>
      </c>
      <c r="P415" s="28" t="e">
        <f t="shared" si="106"/>
        <v>#N/A</v>
      </c>
      <c r="R415" s="28" t="e">
        <f t="shared" si="107"/>
        <v>#VALUE!</v>
      </c>
      <c r="S415" s="25"/>
      <c r="T415" s="25">
        <f t="shared" si="108"/>
        <v>15</v>
      </c>
      <c r="U415" s="33">
        <f>IF(PaybackCustom&gt;0, IF(PaybackCustom&lt;&gt;"Default", PaybackCustom, IF(PaybackStatus&lt;&gt;"",INDEX('Arbitrage Payback Engine'!$Y$2:$Y$6,MATCH(PaybackStatus,'Arbitrage Payback Engine'!$X$2:$X$6,FALSE)),-1)))</f>
        <v>25</v>
      </c>
      <c r="V415" s="32">
        <f t="shared" si="117"/>
        <v>15</v>
      </c>
      <c r="X415" s="29">
        <f t="shared" si="118"/>
        <v>406</v>
      </c>
      <c r="Z415" s="30">
        <f t="shared" si="109"/>
        <v>11.121764141898369</v>
      </c>
      <c r="AA415" s="28" t="e">
        <f t="shared" si="110"/>
        <v>#N/A</v>
      </c>
      <c r="AB415" s="28" t="e">
        <f t="shared" si="111"/>
        <v>#VALUE!</v>
      </c>
      <c r="AC415" s="29">
        <f t="shared" si="112"/>
        <v>385.19924098671726</v>
      </c>
      <c r="AD415" s="28" t="e">
        <f t="shared" si="113"/>
        <v>#VALUE!</v>
      </c>
      <c r="AE415" s="28" t="e">
        <f t="shared" si="114"/>
        <v>#N/A</v>
      </c>
      <c r="AF415" s="28" t="e">
        <f t="shared" si="115"/>
        <v>#VALUE!</v>
      </c>
      <c r="AH415" s="31" t="e">
        <f t="shared" si="116"/>
        <v>#N/A</v>
      </c>
      <c r="AI415" s="25"/>
      <c r="AJ415" s="31"/>
    </row>
    <row r="416" spans="2:36" x14ac:dyDescent="0.25">
      <c r="B416" s="33">
        <f>'Arbitrage Payback Engine'!E416</f>
        <v>11.149157649637036</v>
      </c>
      <c r="C416" s="33">
        <f t="shared" si="102"/>
        <v>1000</v>
      </c>
      <c r="D416" s="33">
        <f>'Battery Pricing Model'!$C$17</f>
        <v>1000</v>
      </c>
      <c r="E416" s="33">
        <f t="shared" si="103"/>
        <v>999</v>
      </c>
      <c r="F416" s="33" t="str">
        <f>'Peak Models'!$B$4</f>
        <v>Default</v>
      </c>
      <c r="G416" s="33" t="e">
        <f>'Peak Models'!$Q$7</f>
        <v>#VALUE!</v>
      </c>
      <c r="H416" s="33">
        <f>'Peak Models'!$P$16</f>
        <v>1.5</v>
      </c>
      <c r="I416" s="33">
        <v>12</v>
      </c>
      <c r="J416" s="33" t="e">
        <f>'Peak Models'!$P$13</f>
        <v>#N/A</v>
      </c>
      <c r="K416" s="28" t="e">
        <f t="shared" si="104"/>
        <v>#VALUE!</v>
      </c>
      <c r="L416" s="28" t="e">
        <f>INDEX('Peak Models'!$P$34:$P$64, MATCH(TRUNC(B416, 0), 'Peak Models'!$O$34:$O$64, 0))</f>
        <v>#N/A</v>
      </c>
      <c r="M416" s="28">
        <f>'Peak Models'!$P$15*INDEX('Peak Models'!$Q$34:$Q$64, MATCH(TRUNC(B416, 0),'Peak Models'!$O$34:$O$64, 0))/'Profit per cycles Model'!$E$78</f>
        <v>6.1745254484765457</v>
      </c>
      <c r="N416" s="28" t="e">
        <f t="shared" si="105"/>
        <v>#N/A</v>
      </c>
      <c r="O416" s="71" t="e">
        <f>AVERAGE($N$10:N416)</f>
        <v>#N/A</v>
      </c>
      <c r="P416" s="28" t="e">
        <f t="shared" si="106"/>
        <v>#N/A</v>
      </c>
      <c r="R416" s="28" t="e">
        <f t="shared" si="107"/>
        <v>#VALUE!</v>
      </c>
      <c r="S416" s="25"/>
      <c r="T416" s="25">
        <f t="shared" si="108"/>
        <v>15</v>
      </c>
      <c r="U416" s="33">
        <f>IF(PaybackCustom&gt;0, IF(PaybackCustom&lt;&gt;"Default", PaybackCustom, IF(PaybackStatus&lt;&gt;"",INDEX('Arbitrage Payback Engine'!$Y$2:$Y$6,MATCH(PaybackStatus,'Arbitrage Payback Engine'!$X$2:$X$6,FALSE)),-1)))</f>
        <v>25</v>
      </c>
      <c r="V416" s="32">
        <f t="shared" si="117"/>
        <v>15</v>
      </c>
      <c r="X416" s="29">
        <f t="shared" si="118"/>
        <v>407</v>
      </c>
      <c r="Z416" s="30">
        <f t="shared" si="109"/>
        <v>11.149157649637036</v>
      </c>
      <c r="AA416" s="28" t="e">
        <f t="shared" si="110"/>
        <v>#N/A</v>
      </c>
      <c r="AB416" s="28" t="e">
        <f t="shared" si="111"/>
        <v>#VALUE!</v>
      </c>
      <c r="AC416" s="29">
        <f t="shared" si="112"/>
        <v>386.14800759013286</v>
      </c>
      <c r="AD416" s="28" t="e">
        <f t="shared" si="113"/>
        <v>#VALUE!</v>
      </c>
      <c r="AE416" s="28" t="e">
        <f t="shared" si="114"/>
        <v>#N/A</v>
      </c>
      <c r="AF416" s="28" t="e">
        <f t="shared" si="115"/>
        <v>#VALUE!</v>
      </c>
      <c r="AH416" s="31" t="e">
        <f t="shared" si="116"/>
        <v>#N/A</v>
      </c>
      <c r="AI416" s="25"/>
      <c r="AJ416" s="31"/>
    </row>
    <row r="417" spans="2:36" x14ac:dyDescent="0.25">
      <c r="B417" s="33">
        <f>'Arbitrage Payback Engine'!E417</f>
        <v>11.176551157375702</v>
      </c>
      <c r="C417" s="33">
        <f t="shared" si="102"/>
        <v>1000</v>
      </c>
      <c r="D417" s="33">
        <f>'Battery Pricing Model'!$C$17</f>
        <v>1000</v>
      </c>
      <c r="E417" s="33">
        <f t="shared" si="103"/>
        <v>999</v>
      </c>
      <c r="F417" s="33" t="str">
        <f>'Peak Models'!$B$4</f>
        <v>Default</v>
      </c>
      <c r="G417" s="33" t="e">
        <f>'Peak Models'!$Q$7</f>
        <v>#VALUE!</v>
      </c>
      <c r="H417" s="33">
        <f>'Peak Models'!$P$16</f>
        <v>1.5</v>
      </c>
      <c r="I417" s="33">
        <v>12</v>
      </c>
      <c r="J417" s="33" t="e">
        <f>'Peak Models'!$P$13</f>
        <v>#N/A</v>
      </c>
      <c r="K417" s="28" t="e">
        <f t="shared" si="104"/>
        <v>#VALUE!</v>
      </c>
      <c r="L417" s="28" t="e">
        <f>INDEX('Peak Models'!$P$34:$P$64, MATCH(TRUNC(B417, 0), 'Peak Models'!$O$34:$O$64, 0))</f>
        <v>#N/A</v>
      </c>
      <c r="M417" s="28">
        <f>'Peak Models'!$P$15*INDEX('Peak Models'!$Q$34:$Q$64, MATCH(TRUNC(B417, 0),'Peak Models'!$O$34:$O$64, 0))/'Profit per cycles Model'!$E$78</f>
        <v>6.1745254484765457</v>
      </c>
      <c r="N417" s="28" t="e">
        <f t="shared" si="105"/>
        <v>#N/A</v>
      </c>
      <c r="O417" s="71" t="e">
        <f>AVERAGE($N$10:N417)</f>
        <v>#N/A</v>
      </c>
      <c r="P417" s="28" t="e">
        <f t="shared" si="106"/>
        <v>#N/A</v>
      </c>
      <c r="R417" s="28" t="e">
        <f t="shared" si="107"/>
        <v>#VALUE!</v>
      </c>
      <c r="S417" s="25"/>
      <c r="T417" s="25">
        <f t="shared" si="108"/>
        <v>15</v>
      </c>
      <c r="U417" s="33">
        <f>IF(PaybackCustom&gt;0, IF(PaybackCustom&lt;&gt;"Default", PaybackCustom, IF(PaybackStatus&lt;&gt;"",INDEX('Arbitrage Payback Engine'!$Y$2:$Y$6,MATCH(PaybackStatus,'Arbitrage Payback Engine'!$X$2:$X$6,FALSE)),-1)))</f>
        <v>25</v>
      </c>
      <c r="V417" s="32">
        <f t="shared" si="117"/>
        <v>15</v>
      </c>
      <c r="X417" s="29">
        <f t="shared" si="118"/>
        <v>408</v>
      </c>
      <c r="Z417" s="30">
        <f t="shared" si="109"/>
        <v>11.176551157375702</v>
      </c>
      <c r="AA417" s="28" t="e">
        <f t="shared" si="110"/>
        <v>#N/A</v>
      </c>
      <c r="AB417" s="28" t="e">
        <f t="shared" si="111"/>
        <v>#VALUE!</v>
      </c>
      <c r="AC417" s="29">
        <f t="shared" si="112"/>
        <v>387.09677419354836</v>
      </c>
      <c r="AD417" s="28" t="e">
        <f t="shared" si="113"/>
        <v>#VALUE!</v>
      </c>
      <c r="AE417" s="28" t="e">
        <f t="shared" si="114"/>
        <v>#N/A</v>
      </c>
      <c r="AF417" s="28" t="e">
        <f t="shared" si="115"/>
        <v>#VALUE!</v>
      </c>
      <c r="AH417" s="31" t="e">
        <f t="shared" si="116"/>
        <v>#N/A</v>
      </c>
      <c r="AI417" s="25"/>
      <c r="AJ417" s="31"/>
    </row>
    <row r="418" spans="2:36" x14ac:dyDescent="0.25">
      <c r="B418" s="33">
        <f>'Arbitrage Payback Engine'!E418</f>
        <v>11.203944665114367</v>
      </c>
      <c r="C418" s="33">
        <f t="shared" si="102"/>
        <v>1000</v>
      </c>
      <c r="D418" s="33">
        <f>'Battery Pricing Model'!$C$17</f>
        <v>1000</v>
      </c>
      <c r="E418" s="33">
        <f t="shared" si="103"/>
        <v>999</v>
      </c>
      <c r="F418" s="33" t="str">
        <f>'Peak Models'!$B$4</f>
        <v>Default</v>
      </c>
      <c r="G418" s="33" t="e">
        <f>'Peak Models'!$Q$7</f>
        <v>#VALUE!</v>
      </c>
      <c r="H418" s="33">
        <f>'Peak Models'!$P$16</f>
        <v>1.5</v>
      </c>
      <c r="I418" s="33">
        <v>12</v>
      </c>
      <c r="J418" s="33" t="e">
        <f>'Peak Models'!$P$13</f>
        <v>#N/A</v>
      </c>
      <c r="K418" s="28" t="e">
        <f t="shared" si="104"/>
        <v>#VALUE!</v>
      </c>
      <c r="L418" s="28" t="e">
        <f>INDEX('Peak Models'!$P$34:$P$64, MATCH(TRUNC(B418, 0), 'Peak Models'!$O$34:$O$64, 0))</f>
        <v>#N/A</v>
      </c>
      <c r="M418" s="28">
        <f>'Peak Models'!$P$15*INDEX('Peak Models'!$Q$34:$Q$64, MATCH(TRUNC(B418, 0),'Peak Models'!$O$34:$O$64, 0))/'Profit per cycles Model'!$E$78</f>
        <v>6.1745254484765457</v>
      </c>
      <c r="N418" s="28" t="e">
        <f t="shared" si="105"/>
        <v>#N/A</v>
      </c>
      <c r="O418" s="71" t="e">
        <f>AVERAGE($N$10:N418)</f>
        <v>#N/A</v>
      </c>
      <c r="P418" s="28" t="e">
        <f t="shared" si="106"/>
        <v>#N/A</v>
      </c>
      <c r="R418" s="28" t="e">
        <f t="shared" si="107"/>
        <v>#VALUE!</v>
      </c>
      <c r="S418" s="25"/>
      <c r="T418" s="25">
        <f t="shared" si="108"/>
        <v>15</v>
      </c>
      <c r="U418" s="33">
        <f>IF(PaybackCustom&gt;0, IF(PaybackCustom&lt;&gt;"Default", PaybackCustom, IF(PaybackStatus&lt;&gt;"",INDEX('Arbitrage Payback Engine'!$Y$2:$Y$6,MATCH(PaybackStatus,'Arbitrage Payback Engine'!$X$2:$X$6,FALSE)),-1)))</f>
        <v>25</v>
      </c>
      <c r="V418" s="32">
        <f t="shared" si="117"/>
        <v>15</v>
      </c>
      <c r="X418" s="29">
        <f t="shared" si="118"/>
        <v>409</v>
      </c>
      <c r="Z418" s="30">
        <f t="shared" si="109"/>
        <v>11.203944665114367</v>
      </c>
      <c r="AA418" s="28" t="e">
        <f t="shared" si="110"/>
        <v>#N/A</v>
      </c>
      <c r="AB418" s="28" t="e">
        <f t="shared" si="111"/>
        <v>#VALUE!</v>
      </c>
      <c r="AC418" s="29">
        <f t="shared" si="112"/>
        <v>388.04554079696391</v>
      </c>
      <c r="AD418" s="28" t="e">
        <f t="shared" si="113"/>
        <v>#VALUE!</v>
      </c>
      <c r="AE418" s="28" t="e">
        <f t="shared" si="114"/>
        <v>#N/A</v>
      </c>
      <c r="AF418" s="28" t="e">
        <f t="shared" si="115"/>
        <v>#VALUE!</v>
      </c>
      <c r="AH418" s="31" t="e">
        <f t="shared" si="116"/>
        <v>#N/A</v>
      </c>
      <c r="AI418" s="25"/>
      <c r="AJ418" s="31"/>
    </row>
    <row r="419" spans="2:36" x14ac:dyDescent="0.25">
      <c r="B419" s="33">
        <f>'Arbitrage Payback Engine'!E419</f>
        <v>11.231338172853034</v>
      </c>
      <c r="C419" s="33">
        <f t="shared" si="102"/>
        <v>1000</v>
      </c>
      <c r="D419" s="33">
        <f>'Battery Pricing Model'!$C$17</f>
        <v>1000</v>
      </c>
      <c r="E419" s="33">
        <f t="shared" si="103"/>
        <v>999</v>
      </c>
      <c r="F419" s="33" t="str">
        <f>'Peak Models'!$B$4</f>
        <v>Default</v>
      </c>
      <c r="G419" s="33" t="e">
        <f>'Peak Models'!$Q$7</f>
        <v>#VALUE!</v>
      </c>
      <c r="H419" s="33">
        <f>'Peak Models'!$P$16</f>
        <v>1.5</v>
      </c>
      <c r="I419" s="33">
        <v>12</v>
      </c>
      <c r="J419" s="33" t="e">
        <f>'Peak Models'!$P$13</f>
        <v>#N/A</v>
      </c>
      <c r="K419" s="28" t="e">
        <f t="shared" si="104"/>
        <v>#VALUE!</v>
      </c>
      <c r="L419" s="28" t="e">
        <f>INDEX('Peak Models'!$P$34:$P$64, MATCH(TRUNC(B419, 0), 'Peak Models'!$O$34:$O$64, 0))</f>
        <v>#N/A</v>
      </c>
      <c r="M419" s="28">
        <f>'Peak Models'!$P$15*INDEX('Peak Models'!$Q$34:$Q$64, MATCH(TRUNC(B419, 0),'Peak Models'!$O$34:$O$64, 0))/'Profit per cycles Model'!$E$78</f>
        <v>6.1745254484765457</v>
      </c>
      <c r="N419" s="28" t="e">
        <f t="shared" si="105"/>
        <v>#N/A</v>
      </c>
      <c r="O419" s="71" t="e">
        <f>AVERAGE($N$10:N419)</f>
        <v>#N/A</v>
      </c>
      <c r="P419" s="28" t="e">
        <f t="shared" si="106"/>
        <v>#N/A</v>
      </c>
      <c r="R419" s="28" t="e">
        <f t="shared" si="107"/>
        <v>#VALUE!</v>
      </c>
      <c r="S419" s="25"/>
      <c r="T419" s="25">
        <f t="shared" si="108"/>
        <v>15</v>
      </c>
      <c r="U419" s="33">
        <f>IF(PaybackCustom&gt;0, IF(PaybackCustom&lt;&gt;"Default", PaybackCustom, IF(PaybackStatus&lt;&gt;"",INDEX('Arbitrage Payback Engine'!$Y$2:$Y$6,MATCH(PaybackStatus,'Arbitrage Payback Engine'!$X$2:$X$6,FALSE)),-1)))</f>
        <v>25</v>
      </c>
      <c r="V419" s="32">
        <f t="shared" si="117"/>
        <v>15</v>
      </c>
      <c r="X419" s="29">
        <f t="shared" si="118"/>
        <v>410</v>
      </c>
      <c r="Z419" s="30">
        <f t="shared" si="109"/>
        <v>11.231338172853034</v>
      </c>
      <c r="AA419" s="28" t="e">
        <f t="shared" si="110"/>
        <v>#N/A</v>
      </c>
      <c r="AB419" s="28" t="e">
        <f t="shared" si="111"/>
        <v>#VALUE!</v>
      </c>
      <c r="AC419" s="29">
        <f t="shared" si="112"/>
        <v>388.99430740037957</v>
      </c>
      <c r="AD419" s="28" t="e">
        <f t="shared" si="113"/>
        <v>#VALUE!</v>
      </c>
      <c r="AE419" s="28" t="e">
        <f t="shared" si="114"/>
        <v>#N/A</v>
      </c>
      <c r="AF419" s="28" t="e">
        <f t="shared" si="115"/>
        <v>#VALUE!</v>
      </c>
      <c r="AH419" s="31" t="e">
        <f t="shared" si="116"/>
        <v>#N/A</v>
      </c>
      <c r="AI419" s="25"/>
      <c r="AJ419" s="31"/>
    </row>
    <row r="420" spans="2:36" x14ac:dyDescent="0.25">
      <c r="B420" s="33">
        <f>'Arbitrage Payback Engine'!E420</f>
        <v>11.258731680591699</v>
      </c>
      <c r="C420" s="33">
        <f t="shared" si="102"/>
        <v>1000</v>
      </c>
      <c r="D420" s="33">
        <f>'Battery Pricing Model'!$C$17</f>
        <v>1000</v>
      </c>
      <c r="E420" s="33">
        <f t="shared" si="103"/>
        <v>999</v>
      </c>
      <c r="F420" s="33" t="str">
        <f>'Peak Models'!$B$4</f>
        <v>Default</v>
      </c>
      <c r="G420" s="33" t="e">
        <f>'Peak Models'!$Q$7</f>
        <v>#VALUE!</v>
      </c>
      <c r="H420" s="33">
        <f>'Peak Models'!$P$16</f>
        <v>1.5</v>
      </c>
      <c r="I420" s="33">
        <v>12</v>
      </c>
      <c r="J420" s="33" t="e">
        <f>'Peak Models'!$P$13</f>
        <v>#N/A</v>
      </c>
      <c r="K420" s="28" t="e">
        <f t="shared" si="104"/>
        <v>#VALUE!</v>
      </c>
      <c r="L420" s="28" t="e">
        <f>INDEX('Peak Models'!$P$34:$P$64, MATCH(TRUNC(B420, 0), 'Peak Models'!$O$34:$O$64, 0))</f>
        <v>#N/A</v>
      </c>
      <c r="M420" s="28">
        <f>'Peak Models'!$P$15*INDEX('Peak Models'!$Q$34:$Q$64, MATCH(TRUNC(B420, 0),'Peak Models'!$O$34:$O$64, 0))/'Profit per cycles Model'!$E$78</f>
        <v>6.1745254484765457</v>
      </c>
      <c r="N420" s="28" t="e">
        <f t="shared" si="105"/>
        <v>#N/A</v>
      </c>
      <c r="O420" s="71" t="e">
        <f>AVERAGE($N$10:N420)</f>
        <v>#N/A</v>
      </c>
      <c r="P420" s="28" t="e">
        <f t="shared" si="106"/>
        <v>#N/A</v>
      </c>
      <c r="R420" s="28" t="e">
        <f t="shared" si="107"/>
        <v>#VALUE!</v>
      </c>
      <c r="S420" s="25"/>
      <c r="T420" s="25">
        <f t="shared" si="108"/>
        <v>15</v>
      </c>
      <c r="U420" s="33">
        <f>IF(PaybackCustom&gt;0, IF(PaybackCustom&lt;&gt;"Default", PaybackCustom, IF(PaybackStatus&lt;&gt;"",INDEX('Arbitrage Payback Engine'!$Y$2:$Y$6,MATCH(PaybackStatus,'Arbitrage Payback Engine'!$X$2:$X$6,FALSE)),-1)))</f>
        <v>25</v>
      </c>
      <c r="V420" s="32">
        <f t="shared" si="117"/>
        <v>15</v>
      </c>
      <c r="X420" s="29">
        <f t="shared" si="118"/>
        <v>411</v>
      </c>
      <c r="Z420" s="30">
        <f t="shared" si="109"/>
        <v>11.258731680591699</v>
      </c>
      <c r="AA420" s="28" t="e">
        <f t="shared" si="110"/>
        <v>#N/A</v>
      </c>
      <c r="AB420" s="28" t="e">
        <f t="shared" si="111"/>
        <v>#VALUE!</v>
      </c>
      <c r="AC420" s="29">
        <f t="shared" si="112"/>
        <v>389.94307400379512</v>
      </c>
      <c r="AD420" s="28" t="e">
        <f t="shared" si="113"/>
        <v>#VALUE!</v>
      </c>
      <c r="AE420" s="28" t="e">
        <f t="shared" si="114"/>
        <v>#N/A</v>
      </c>
      <c r="AF420" s="28" t="e">
        <f t="shared" si="115"/>
        <v>#VALUE!</v>
      </c>
      <c r="AH420" s="31" t="e">
        <f t="shared" si="116"/>
        <v>#N/A</v>
      </c>
      <c r="AI420" s="25"/>
      <c r="AJ420" s="31"/>
    </row>
    <row r="421" spans="2:36" x14ac:dyDescent="0.25">
      <c r="B421" s="33">
        <f>'Arbitrage Payback Engine'!E421</f>
        <v>11.286125188330365</v>
      </c>
      <c r="C421" s="33">
        <f t="shared" si="102"/>
        <v>1000</v>
      </c>
      <c r="D421" s="33">
        <f>'Battery Pricing Model'!$C$17</f>
        <v>1000</v>
      </c>
      <c r="E421" s="33">
        <f t="shared" si="103"/>
        <v>999</v>
      </c>
      <c r="F421" s="33" t="str">
        <f>'Peak Models'!$B$4</f>
        <v>Default</v>
      </c>
      <c r="G421" s="33" t="e">
        <f>'Peak Models'!$Q$7</f>
        <v>#VALUE!</v>
      </c>
      <c r="H421" s="33">
        <f>'Peak Models'!$P$16</f>
        <v>1.5</v>
      </c>
      <c r="I421" s="33">
        <v>12</v>
      </c>
      <c r="J421" s="33" t="e">
        <f>'Peak Models'!$P$13</f>
        <v>#N/A</v>
      </c>
      <c r="K421" s="28" t="e">
        <f t="shared" si="104"/>
        <v>#VALUE!</v>
      </c>
      <c r="L421" s="28" t="e">
        <f>INDEX('Peak Models'!$P$34:$P$64, MATCH(TRUNC(B421, 0), 'Peak Models'!$O$34:$O$64, 0))</f>
        <v>#N/A</v>
      </c>
      <c r="M421" s="28">
        <f>'Peak Models'!$P$15*INDEX('Peak Models'!$Q$34:$Q$64, MATCH(TRUNC(B421, 0),'Peak Models'!$O$34:$O$64, 0))/'Profit per cycles Model'!$E$78</f>
        <v>6.1745254484765457</v>
      </c>
      <c r="N421" s="28" t="e">
        <f t="shared" si="105"/>
        <v>#N/A</v>
      </c>
      <c r="O421" s="71" t="e">
        <f>AVERAGE($N$10:N421)</f>
        <v>#N/A</v>
      </c>
      <c r="P421" s="28" t="e">
        <f t="shared" si="106"/>
        <v>#N/A</v>
      </c>
      <c r="R421" s="28" t="e">
        <f t="shared" si="107"/>
        <v>#VALUE!</v>
      </c>
      <c r="S421" s="25"/>
      <c r="T421" s="25">
        <f t="shared" si="108"/>
        <v>15</v>
      </c>
      <c r="U421" s="33">
        <f>IF(PaybackCustom&gt;0, IF(PaybackCustom&lt;&gt;"Default", PaybackCustom, IF(PaybackStatus&lt;&gt;"",INDEX('Arbitrage Payback Engine'!$Y$2:$Y$6,MATCH(PaybackStatus,'Arbitrage Payback Engine'!$X$2:$X$6,FALSE)),-1)))</f>
        <v>25</v>
      </c>
      <c r="V421" s="32">
        <f t="shared" si="117"/>
        <v>15</v>
      </c>
      <c r="X421" s="29">
        <f t="shared" si="118"/>
        <v>412</v>
      </c>
      <c r="Z421" s="30">
        <f t="shared" si="109"/>
        <v>11.286125188330365</v>
      </c>
      <c r="AA421" s="28" t="e">
        <f t="shared" si="110"/>
        <v>#N/A</v>
      </c>
      <c r="AB421" s="28" t="e">
        <f t="shared" si="111"/>
        <v>#VALUE!</v>
      </c>
      <c r="AC421" s="29">
        <f t="shared" si="112"/>
        <v>390.89184060721061</v>
      </c>
      <c r="AD421" s="28" t="e">
        <f t="shared" si="113"/>
        <v>#VALUE!</v>
      </c>
      <c r="AE421" s="28" t="e">
        <f t="shared" si="114"/>
        <v>#N/A</v>
      </c>
      <c r="AF421" s="28" t="e">
        <f t="shared" si="115"/>
        <v>#VALUE!</v>
      </c>
      <c r="AH421" s="31" t="e">
        <f t="shared" si="116"/>
        <v>#N/A</v>
      </c>
      <c r="AI421" s="25"/>
      <c r="AJ421" s="31"/>
    </row>
    <row r="422" spans="2:36" x14ac:dyDescent="0.25">
      <c r="B422" s="33">
        <f>'Arbitrage Payback Engine'!E422</f>
        <v>11.313518696069032</v>
      </c>
      <c r="C422" s="33">
        <f t="shared" si="102"/>
        <v>1000</v>
      </c>
      <c r="D422" s="33">
        <f>'Battery Pricing Model'!$C$17</f>
        <v>1000</v>
      </c>
      <c r="E422" s="33">
        <f t="shared" si="103"/>
        <v>999</v>
      </c>
      <c r="F422" s="33" t="str">
        <f>'Peak Models'!$B$4</f>
        <v>Default</v>
      </c>
      <c r="G422" s="33" t="e">
        <f>'Peak Models'!$Q$7</f>
        <v>#VALUE!</v>
      </c>
      <c r="H422" s="33">
        <f>'Peak Models'!$P$16</f>
        <v>1.5</v>
      </c>
      <c r="I422" s="33">
        <v>12</v>
      </c>
      <c r="J422" s="33" t="e">
        <f>'Peak Models'!$P$13</f>
        <v>#N/A</v>
      </c>
      <c r="K422" s="28" t="e">
        <f t="shared" si="104"/>
        <v>#VALUE!</v>
      </c>
      <c r="L422" s="28" t="e">
        <f>INDEX('Peak Models'!$P$34:$P$64, MATCH(TRUNC(B422, 0), 'Peak Models'!$O$34:$O$64, 0))</f>
        <v>#N/A</v>
      </c>
      <c r="M422" s="28">
        <f>'Peak Models'!$P$15*INDEX('Peak Models'!$Q$34:$Q$64, MATCH(TRUNC(B422, 0),'Peak Models'!$O$34:$O$64, 0))/'Profit per cycles Model'!$E$78</f>
        <v>6.1745254484765457</v>
      </c>
      <c r="N422" s="28" t="e">
        <f t="shared" si="105"/>
        <v>#N/A</v>
      </c>
      <c r="O422" s="71" t="e">
        <f>AVERAGE($N$10:N422)</f>
        <v>#N/A</v>
      </c>
      <c r="P422" s="28" t="e">
        <f t="shared" si="106"/>
        <v>#N/A</v>
      </c>
      <c r="R422" s="28" t="e">
        <f t="shared" si="107"/>
        <v>#VALUE!</v>
      </c>
      <c r="S422" s="25"/>
      <c r="T422" s="25">
        <f t="shared" si="108"/>
        <v>15</v>
      </c>
      <c r="U422" s="33">
        <f>IF(PaybackCustom&gt;0, IF(PaybackCustom&lt;&gt;"Default", PaybackCustom, IF(PaybackStatus&lt;&gt;"",INDEX('Arbitrage Payback Engine'!$Y$2:$Y$6,MATCH(PaybackStatus,'Arbitrage Payback Engine'!$X$2:$X$6,FALSE)),-1)))</f>
        <v>25</v>
      </c>
      <c r="V422" s="32">
        <f t="shared" si="117"/>
        <v>15</v>
      </c>
      <c r="X422" s="29">
        <f t="shared" si="118"/>
        <v>413</v>
      </c>
      <c r="Z422" s="30">
        <f t="shared" si="109"/>
        <v>11.313518696069032</v>
      </c>
      <c r="AA422" s="28" t="e">
        <f t="shared" si="110"/>
        <v>#N/A</v>
      </c>
      <c r="AB422" s="28" t="e">
        <f t="shared" si="111"/>
        <v>#VALUE!</v>
      </c>
      <c r="AC422" s="29">
        <f t="shared" si="112"/>
        <v>391.84060721062622</v>
      </c>
      <c r="AD422" s="28" t="e">
        <f t="shared" si="113"/>
        <v>#VALUE!</v>
      </c>
      <c r="AE422" s="28" t="e">
        <f t="shared" si="114"/>
        <v>#N/A</v>
      </c>
      <c r="AF422" s="28" t="e">
        <f t="shared" si="115"/>
        <v>#VALUE!</v>
      </c>
      <c r="AH422" s="31" t="e">
        <f t="shared" si="116"/>
        <v>#N/A</v>
      </c>
      <c r="AI422" s="25"/>
      <c r="AJ422" s="31"/>
    </row>
    <row r="423" spans="2:36" x14ac:dyDescent="0.25">
      <c r="B423" s="33">
        <f>'Arbitrage Payback Engine'!E423</f>
        <v>11.340912203807697</v>
      </c>
      <c r="C423" s="33">
        <f t="shared" si="102"/>
        <v>1000</v>
      </c>
      <c r="D423" s="33">
        <f>'Battery Pricing Model'!$C$17</f>
        <v>1000</v>
      </c>
      <c r="E423" s="33">
        <f t="shared" si="103"/>
        <v>999</v>
      </c>
      <c r="F423" s="33" t="str">
        <f>'Peak Models'!$B$4</f>
        <v>Default</v>
      </c>
      <c r="G423" s="33" t="e">
        <f>'Peak Models'!$Q$7</f>
        <v>#VALUE!</v>
      </c>
      <c r="H423" s="33">
        <f>'Peak Models'!$P$16</f>
        <v>1.5</v>
      </c>
      <c r="I423" s="33">
        <v>12</v>
      </c>
      <c r="J423" s="33" t="e">
        <f>'Peak Models'!$P$13</f>
        <v>#N/A</v>
      </c>
      <c r="K423" s="28" t="e">
        <f t="shared" si="104"/>
        <v>#VALUE!</v>
      </c>
      <c r="L423" s="28" t="e">
        <f>INDEX('Peak Models'!$P$34:$P$64, MATCH(TRUNC(B423, 0), 'Peak Models'!$O$34:$O$64, 0))</f>
        <v>#N/A</v>
      </c>
      <c r="M423" s="28">
        <f>'Peak Models'!$P$15*INDEX('Peak Models'!$Q$34:$Q$64, MATCH(TRUNC(B423, 0),'Peak Models'!$O$34:$O$64, 0))/'Profit per cycles Model'!$E$78</f>
        <v>6.1745254484765457</v>
      </c>
      <c r="N423" s="28" t="e">
        <f t="shared" si="105"/>
        <v>#N/A</v>
      </c>
      <c r="O423" s="71" t="e">
        <f>AVERAGE($N$10:N423)</f>
        <v>#N/A</v>
      </c>
      <c r="P423" s="28" t="e">
        <f t="shared" si="106"/>
        <v>#N/A</v>
      </c>
      <c r="R423" s="28" t="e">
        <f t="shared" si="107"/>
        <v>#VALUE!</v>
      </c>
      <c r="S423" s="25"/>
      <c r="T423" s="25">
        <f t="shared" si="108"/>
        <v>15</v>
      </c>
      <c r="U423" s="33">
        <f>IF(PaybackCustom&gt;0, IF(PaybackCustom&lt;&gt;"Default", PaybackCustom, IF(PaybackStatus&lt;&gt;"",INDEX('Arbitrage Payback Engine'!$Y$2:$Y$6,MATCH(PaybackStatus,'Arbitrage Payback Engine'!$X$2:$X$6,FALSE)),-1)))</f>
        <v>25</v>
      </c>
      <c r="V423" s="32">
        <f t="shared" si="117"/>
        <v>15</v>
      </c>
      <c r="X423" s="29">
        <f t="shared" si="118"/>
        <v>414</v>
      </c>
      <c r="Z423" s="30">
        <f t="shared" si="109"/>
        <v>11.340912203807697</v>
      </c>
      <c r="AA423" s="28" t="e">
        <f t="shared" si="110"/>
        <v>#N/A</v>
      </c>
      <c r="AB423" s="28" t="e">
        <f t="shared" si="111"/>
        <v>#VALUE!</v>
      </c>
      <c r="AC423" s="29">
        <f t="shared" si="112"/>
        <v>392.78937381404171</v>
      </c>
      <c r="AD423" s="28" t="e">
        <f t="shared" si="113"/>
        <v>#VALUE!</v>
      </c>
      <c r="AE423" s="28" t="e">
        <f t="shared" si="114"/>
        <v>#N/A</v>
      </c>
      <c r="AF423" s="28" t="e">
        <f t="shared" si="115"/>
        <v>#VALUE!</v>
      </c>
      <c r="AH423" s="31" t="e">
        <f t="shared" si="116"/>
        <v>#N/A</v>
      </c>
      <c r="AI423" s="25"/>
      <c r="AJ423" s="31"/>
    </row>
    <row r="424" spans="2:36" x14ac:dyDescent="0.25">
      <c r="B424" s="33">
        <f>'Arbitrage Payback Engine'!E424</f>
        <v>11.368305711546363</v>
      </c>
      <c r="C424" s="33">
        <f t="shared" si="102"/>
        <v>1000</v>
      </c>
      <c r="D424" s="33">
        <f>'Battery Pricing Model'!$C$17</f>
        <v>1000</v>
      </c>
      <c r="E424" s="33">
        <f t="shared" si="103"/>
        <v>999</v>
      </c>
      <c r="F424" s="33" t="str">
        <f>'Peak Models'!$B$4</f>
        <v>Default</v>
      </c>
      <c r="G424" s="33" t="e">
        <f>'Peak Models'!$Q$7</f>
        <v>#VALUE!</v>
      </c>
      <c r="H424" s="33">
        <f>'Peak Models'!$P$16</f>
        <v>1.5</v>
      </c>
      <c r="I424" s="33">
        <v>12</v>
      </c>
      <c r="J424" s="33" t="e">
        <f>'Peak Models'!$P$13</f>
        <v>#N/A</v>
      </c>
      <c r="K424" s="28" t="e">
        <f t="shared" si="104"/>
        <v>#VALUE!</v>
      </c>
      <c r="L424" s="28" t="e">
        <f>INDEX('Peak Models'!$P$34:$P$64, MATCH(TRUNC(B424, 0), 'Peak Models'!$O$34:$O$64, 0))</f>
        <v>#N/A</v>
      </c>
      <c r="M424" s="28">
        <f>'Peak Models'!$P$15*INDEX('Peak Models'!$Q$34:$Q$64, MATCH(TRUNC(B424, 0),'Peak Models'!$O$34:$O$64, 0))/'Profit per cycles Model'!$E$78</f>
        <v>6.1745254484765457</v>
      </c>
      <c r="N424" s="28" t="e">
        <f t="shared" si="105"/>
        <v>#N/A</v>
      </c>
      <c r="O424" s="71" t="e">
        <f>AVERAGE($N$10:N424)</f>
        <v>#N/A</v>
      </c>
      <c r="P424" s="28" t="e">
        <f t="shared" si="106"/>
        <v>#N/A</v>
      </c>
      <c r="R424" s="28" t="e">
        <f t="shared" si="107"/>
        <v>#VALUE!</v>
      </c>
      <c r="S424" s="25"/>
      <c r="T424" s="25">
        <f t="shared" si="108"/>
        <v>15</v>
      </c>
      <c r="U424" s="33">
        <f>IF(PaybackCustom&gt;0, IF(PaybackCustom&lt;&gt;"Default", PaybackCustom, IF(PaybackStatus&lt;&gt;"",INDEX('Arbitrage Payback Engine'!$Y$2:$Y$6,MATCH(PaybackStatus,'Arbitrage Payback Engine'!$X$2:$X$6,FALSE)),-1)))</f>
        <v>25</v>
      </c>
      <c r="V424" s="32">
        <f t="shared" si="117"/>
        <v>15</v>
      </c>
      <c r="X424" s="29">
        <f t="shared" si="118"/>
        <v>415</v>
      </c>
      <c r="Z424" s="30">
        <f t="shared" si="109"/>
        <v>11.368305711546363</v>
      </c>
      <c r="AA424" s="28" t="e">
        <f t="shared" si="110"/>
        <v>#N/A</v>
      </c>
      <c r="AB424" s="28" t="e">
        <f t="shared" si="111"/>
        <v>#VALUE!</v>
      </c>
      <c r="AC424" s="29">
        <f t="shared" si="112"/>
        <v>393.73814041745732</v>
      </c>
      <c r="AD424" s="28" t="e">
        <f t="shared" si="113"/>
        <v>#VALUE!</v>
      </c>
      <c r="AE424" s="28" t="e">
        <f t="shared" si="114"/>
        <v>#N/A</v>
      </c>
      <c r="AF424" s="28" t="e">
        <f t="shared" si="115"/>
        <v>#VALUE!</v>
      </c>
      <c r="AH424" s="31" t="e">
        <f t="shared" si="116"/>
        <v>#N/A</v>
      </c>
      <c r="AI424" s="25"/>
      <c r="AJ424" s="31"/>
    </row>
    <row r="425" spans="2:36" x14ac:dyDescent="0.25">
      <c r="B425" s="33">
        <f>'Arbitrage Payback Engine'!E425</f>
        <v>11.39569921928503</v>
      </c>
      <c r="C425" s="33">
        <f t="shared" si="102"/>
        <v>1000</v>
      </c>
      <c r="D425" s="33">
        <f>'Battery Pricing Model'!$C$17</f>
        <v>1000</v>
      </c>
      <c r="E425" s="33">
        <f t="shared" si="103"/>
        <v>999</v>
      </c>
      <c r="F425" s="33" t="str">
        <f>'Peak Models'!$B$4</f>
        <v>Default</v>
      </c>
      <c r="G425" s="33" t="e">
        <f>'Peak Models'!$Q$7</f>
        <v>#VALUE!</v>
      </c>
      <c r="H425" s="33">
        <f>'Peak Models'!$P$16</f>
        <v>1.5</v>
      </c>
      <c r="I425" s="33">
        <v>12</v>
      </c>
      <c r="J425" s="33" t="e">
        <f>'Peak Models'!$P$13</f>
        <v>#N/A</v>
      </c>
      <c r="K425" s="28" t="e">
        <f t="shared" si="104"/>
        <v>#VALUE!</v>
      </c>
      <c r="L425" s="28" t="e">
        <f>INDEX('Peak Models'!$P$34:$P$64, MATCH(TRUNC(B425, 0), 'Peak Models'!$O$34:$O$64, 0))</f>
        <v>#N/A</v>
      </c>
      <c r="M425" s="28">
        <f>'Peak Models'!$P$15*INDEX('Peak Models'!$Q$34:$Q$64, MATCH(TRUNC(B425, 0),'Peak Models'!$O$34:$O$64, 0))/'Profit per cycles Model'!$E$78</f>
        <v>6.1745254484765457</v>
      </c>
      <c r="N425" s="28" t="e">
        <f t="shared" si="105"/>
        <v>#N/A</v>
      </c>
      <c r="O425" s="71" t="e">
        <f>AVERAGE($N$10:N425)</f>
        <v>#N/A</v>
      </c>
      <c r="P425" s="28" t="e">
        <f t="shared" si="106"/>
        <v>#N/A</v>
      </c>
      <c r="R425" s="28" t="e">
        <f t="shared" si="107"/>
        <v>#VALUE!</v>
      </c>
      <c r="S425" s="25"/>
      <c r="T425" s="25">
        <f t="shared" si="108"/>
        <v>15</v>
      </c>
      <c r="U425" s="33">
        <f>IF(PaybackCustom&gt;0, IF(PaybackCustom&lt;&gt;"Default", PaybackCustom, IF(PaybackStatus&lt;&gt;"",INDEX('Arbitrage Payback Engine'!$Y$2:$Y$6,MATCH(PaybackStatus,'Arbitrage Payback Engine'!$X$2:$X$6,FALSE)),-1)))</f>
        <v>25</v>
      </c>
      <c r="V425" s="32">
        <f t="shared" si="117"/>
        <v>15</v>
      </c>
      <c r="X425" s="29">
        <f t="shared" si="118"/>
        <v>416</v>
      </c>
      <c r="Z425" s="30">
        <f t="shared" si="109"/>
        <v>11.39569921928503</v>
      </c>
      <c r="AA425" s="28" t="e">
        <f t="shared" si="110"/>
        <v>#N/A</v>
      </c>
      <c r="AB425" s="28" t="e">
        <f t="shared" si="111"/>
        <v>#VALUE!</v>
      </c>
      <c r="AC425" s="29">
        <f t="shared" si="112"/>
        <v>394.68690702087292</v>
      </c>
      <c r="AD425" s="28" t="e">
        <f t="shared" si="113"/>
        <v>#VALUE!</v>
      </c>
      <c r="AE425" s="28" t="e">
        <f t="shared" si="114"/>
        <v>#N/A</v>
      </c>
      <c r="AF425" s="28" t="e">
        <f t="shared" si="115"/>
        <v>#VALUE!</v>
      </c>
      <c r="AH425" s="31" t="e">
        <f t="shared" si="116"/>
        <v>#N/A</v>
      </c>
      <c r="AI425" s="25"/>
      <c r="AJ425" s="31"/>
    </row>
    <row r="426" spans="2:36" x14ac:dyDescent="0.25">
      <c r="B426" s="33">
        <f>'Arbitrage Payback Engine'!E426</f>
        <v>11.423092727023695</v>
      </c>
      <c r="C426" s="33">
        <f t="shared" si="102"/>
        <v>1000</v>
      </c>
      <c r="D426" s="33">
        <f>'Battery Pricing Model'!$C$17</f>
        <v>1000</v>
      </c>
      <c r="E426" s="33">
        <f t="shared" si="103"/>
        <v>999</v>
      </c>
      <c r="F426" s="33" t="str">
        <f>'Peak Models'!$B$4</f>
        <v>Default</v>
      </c>
      <c r="G426" s="33" t="e">
        <f>'Peak Models'!$Q$7</f>
        <v>#VALUE!</v>
      </c>
      <c r="H426" s="33">
        <f>'Peak Models'!$P$16</f>
        <v>1.5</v>
      </c>
      <c r="I426" s="33">
        <v>12</v>
      </c>
      <c r="J426" s="33" t="e">
        <f>'Peak Models'!$P$13</f>
        <v>#N/A</v>
      </c>
      <c r="K426" s="28" t="e">
        <f t="shared" si="104"/>
        <v>#VALUE!</v>
      </c>
      <c r="L426" s="28" t="e">
        <f>INDEX('Peak Models'!$P$34:$P$64, MATCH(TRUNC(B426, 0), 'Peak Models'!$O$34:$O$64, 0))</f>
        <v>#N/A</v>
      </c>
      <c r="M426" s="28">
        <f>'Peak Models'!$P$15*INDEX('Peak Models'!$Q$34:$Q$64, MATCH(TRUNC(B426, 0),'Peak Models'!$O$34:$O$64, 0))/'Profit per cycles Model'!$E$78</f>
        <v>6.1745254484765457</v>
      </c>
      <c r="N426" s="28" t="e">
        <f t="shared" si="105"/>
        <v>#N/A</v>
      </c>
      <c r="O426" s="71" t="e">
        <f>AVERAGE($N$10:N426)</f>
        <v>#N/A</v>
      </c>
      <c r="P426" s="28" t="e">
        <f t="shared" si="106"/>
        <v>#N/A</v>
      </c>
      <c r="R426" s="28" t="e">
        <f t="shared" si="107"/>
        <v>#VALUE!</v>
      </c>
      <c r="S426" s="25"/>
      <c r="T426" s="25">
        <f t="shared" si="108"/>
        <v>15</v>
      </c>
      <c r="U426" s="33">
        <f>IF(PaybackCustom&gt;0, IF(PaybackCustom&lt;&gt;"Default", PaybackCustom, IF(PaybackStatus&lt;&gt;"",INDEX('Arbitrage Payback Engine'!$Y$2:$Y$6,MATCH(PaybackStatus,'Arbitrage Payback Engine'!$X$2:$X$6,FALSE)),-1)))</f>
        <v>25</v>
      </c>
      <c r="V426" s="32">
        <f t="shared" si="117"/>
        <v>15</v>
      </c>
      <c r="X426" s="29">
        <f t="shared" si="118"/>
        <v>417</v>
      </c>
      <c r="Z426" s="30">
        <f t="shared" si="109"/>
        <v>11.423092727023695</v>
      </c>
      <c r="AA426" s="28" t="e">
        <f t="shared" si="110"/>
        <v>#N/A</v>
      </c>
      <c r="AB426" s="28" t="e">
        <f t="shared" si="111"/>
        <v>#VALUE!</v>
      </c>
      <c r="AC426" s="29">
        <f t="shared" si="112"/>
        <v>395.63567362428842</v>
      </c>
      <c r="AD426" s="28" t="e">
        <f t="shared" si="113"/>
        <v>#VALUE!</v>
      </c>
      <c r="AE426" s="28" t="e">
        <f t="shared" si="114"/>
        <v>#N/A</v>
      </c>
      <c r="AF426" s="28" t="e">
        <f t="shared" si="115"/>
        <v>#VALUE!</v>
      </c>
      <c r="AH426" s="31" t="e">
        <f t="shared" si="116"/>
        <v>#N/A</v>
      </c>
      <c r="AI426" s="25"/>
      <c r="AJ426" s="31"/>
    </row>
    <row r="427" spans="2:36" x14ac:dyDescent="0.25">
      <c r="B427" s="33">
        <f>'Arbitrage Payback Engine'!E427</f>
        <v>11.45048623476236</v>
      </c>
      <c r="C427" s="33">
        <f t="shared" si="102"/>
        <v>1000</v>
      </c>
      <c r="D427" s="33">
        <f>'Battery Pricing Model'!$C$17</f>
        <v>1000</v>
      </c>
      <c r="E427" s="33">
        <f t="shared" si="103"/>
        <v>999</v>
      </c>
      <c r="F427" s="33" t="str">
        <f>'Peak Models'!$B$4</f>
        <v>Default</v>
      </c>
      <c r="G427" s="33" t="e">
        <f>'Peak Models'!$Q$7</f>
        <v>#VALUE!</v>
      </c>
      <c r="H427" s="33">
        <f>'Peak Models'!$P$16</f>
        <v>1.5</v>
      </c>
      <c r="I427" s="33">
        <v>12</v>
      </c>
      <c r="J427" s="33" t="e">
        <f>'Peak Models'!$P$13</f>
        <v>#N/A</v>
      </c>
      <c r="K427" s="28" t="e">
        <f t="shared" si="104"/>
        <v>#VALUE!</v>
      </c>
      <c r="L427" s="28" t="e">
        <f>INDEX('Peak Models'!$P$34:$P$64, MATCH(TRUNC(B427, 0), 'Peak Models'!$O$34:$O$64, 0))</f>
        <v>#N/A</v>
      </c>
      <c r="M427" s="28">
        <f>'Peak Models'!$P$15*INDEX('Peak Models'!$Q$34:$Q$64, MATCH(TRUNC(B427, 0),'Peak Models'!$O$34:$O$64, 0))/'Profit per cycles Model'!$E$78</f>
        <v>6.1745254484765457</v>
      </c>
      <c r="N427" s="28" t="e">
        <f t="shared" si="105"/>
        <v>#N/A</v>
      </c>
      <c r="O427" s="71" t="e">
        <f>AVERAGE($N$10:N427)</f>
        <v>#N/A</v>
      </c>
      <c r="P427" s="28" t="e">
        <f t="shared" si="106"/>
        <v>#N/A</v>
      </c>
      <c r="R427" s="28" t="e">
        <f t="shared" si="107"/>
        <v>#VALUE!</v>
      </c>
      <c r="S427" s="25"/>
      <c r="T427" s="25">
        <f t="shared" si="108"/>
        <v>15</v>
      </c>
      <c r="U427" s="33">
        <f>IF(PaybackCustom&gt;0, IF(PaybackCustom&lt;&gt;"Default", PaybackCustom, IF(PaybackStatus&lt;&gt;"",INDEX('Arbitrage Payback Engine'!$Y$2:$Y$6,MATCH(PaybackStatus,'Arbitrage Payback Engine'!$X$2:$X$6,FALSE)),-1)))</f>
        <v>25</v>
      </c>
      <c r="V427" s="32">
        <f t="shared" si="117"/>
        <v>15</v>
      </c>
      <c r="X427" s="29">
        <f t="shared" si="118"/>
        <v>418</v>
      </c>
      <c r="Z427" s="30">
        <f t="shared" si="109"/>
        <v>11.45048623476236</v>
      </c>
      <c r="AA427" s="28" t="e">
        <f t="shared" si="110"/>
        <v>#N/A</v>
      </c>
      <c r="AB427" s="28" t="e">
        <f t="shared" si="111"/>
        <v>#VALUE!</v>
      </c>
      <c r="AC427" s="29">
        <f t="shared" si="112"/>
        <v>396.58444022770396</v>
      </c>
      <c r="AD427" s="28" t="e">
        <f t="shared" si="113"/>
        <v>#VALUE!</v>
      </c>
      <c r="AE427" s="28" t="e">
        <f t="shared" si="114"/>
        <v>#N/A</v>
      </c>
      <c r="AF427" s="28" t="e">
        <f t="shared" si="115"/>
        <v>#VALUE!</v>
      </c>
      <c r="AH427" s="31" t="e">
        <f t="shared" si="116"/>
        <v>#N/A</v>
      </c>
      <c r="AI427" s="25"/>
      <c r="AJ427" s="31"/>
    </row>
    <row r="428" spans="2:36" x14ac:dyDescent="0.25">
      <c r="B428" s="33">
        <f>'Arbitrage Payback Engine'!E428</f>
        <v>11.477879742501027</v>
      </c>
      <c r="C428" s="33">
        <f t="shared" si="102"/>
        <v>1000</v>
      </c>
      <c r="D428" s="33">
        <f>'Battery Pricing Model'!$C$17</f>
        <v>1000</v>
      </c>
      <c r="E428" s="33">
        <f t="shared" si="103"/>
        <v>999</v>
      </c>
      <c r="F428" s="33" t="str">
        <f>'Peak Models'!$B$4</f>
        <v>Default</v>
      </c>
      <c r="G428" s="33" t="e">
        <f>'Peak Models'!$Q$7</f>
        <v>#VALUE!</v>
      </c>
      <c r="H428" s="33">
        <f>'Peak Models'!$P$16</f>
        <v>1.5</v>
      </c>
      <c r="I428" s="33">
        <v>12</v>
      </c>
      <c r="J428" s="33" t="e">
        <f>'Peak Models'!$P$13</f>
        <v>#N/A</v>
      </c>
      <c r="K428" s="28" t="e">
        <f t="shared" si="104"/>
        <v>#VALUE!</v>
      </c>
      <c r="L428" s="28" t="e">
        <f>INDEX('Peak Models'!$P$34:$P$64, MATCH(TRUNC(B428, 0), 'Peak Models'!$O$34:$O$64, 0))</f>
        <v>#N/A</v>
      </c>
      <c r="M428" s="28">
        <f>'Peak Models'!$P$15*INDEX('Peak Models'!$Q$34:$Q$64, MATCH(TRUNC(B428, 0),'Peak Models'!$O$34:$O$64, 0))/'Profit per cycles Model'!$E$78</f>
        <v>6.1745254484765457</v>
      </c>
      <c r="N428" s="28" t="e">
        <f t="shared" si="105"/>
        <v>#N/A</v>
      </c>
      <c r="O428" s="71" t="e">
        <f>AVERAGE($N$10:N428)</f>
        <v>#N/A</v>
      </c>
      <c r="P428" s="28" t="e">
        <f t="shared" si="106"/>
        <v>#N/A</v>
      </c>
      <c r="R428" s="28" t="e">
        <f t="shared" si="107"/>
        <v>#VALUE!</v>
      </c>
      <c r="S428" s="25"/>
      <c r="T428" s="25">
        <f t="shared" si="108"/>
        <v>15</v>
      </c>
      <c r="U428" s="33">
        <f>IF(PaybackCustom&gt;0, IF(PaybackCustom&lt;&gt;"Default", PaybackCustom, IF(PaybackStatus&lt;&gt;"",INDEX('Arbitrage Payback Engine'!$Y$2:$Y$6,MATCH(PaybackStatus,'Arbitrage Payback Engine'!$X$2:$X$6,FALSE)),-1)))</f>
        <v>25</v>
      </c>
      <c r="V428" s="32">
        <f t="shared" si="117"/>
        <v>15</v>
      </c>
      <c r="X428" s="29">
        <f t="shared" si="118"/>
        <v>419</v>
      </c>
      <c r="Z428" s="30">
        <f t="shared" si="109"/>
        <v>11.477879742501027</v>
      </c>
      <c r="AA428" s="28" t="e">
        <f t="shared" si="110"/>
        <v>#N/A</v>
      </c>
      <c r="AB428" s="28" t="e">
        <f t="shared" si="111"/>
        <v>#VALUE!</v>
      </c>
      <c r="AC428" s="29">
        <f t="shared" si="112"/>
        <v>397.53320683111957</v>
      </c>
      <c r="AD428" s="28" t="e">
        <f t="shared" si="113"/>
        <v>#VALUE!</v>
      </c>
      <c r="AE428" s="28" t="e">
        <f t="shared" si="114"/>
        <v>#N/A</v>
      </c>
      <c r="AF428" s="28" t="e">
        <f t="shared" si="115"/>
        <v>#VALUE!</v>
      </c>
      <c r="AH428" s="31" t="e">
        <f t="shared" si="116"/>
        <v>#N/A</v>
      </c>
      <c r="AI428" s="25"/>
      <c r="AJ428" s="31"/>
    </row>
    <row r="429" spans="2:36" x14ac:dyDescent="0.25">
      <c r="B429" s="33">
        <f>'Arbitrage Payback Engine'!E429</f>
        <v>11.505273250239693</v>
      </c>
      <c r="C429" s="33">
        <f t="shared" si="102"/>
        <v>1000</v>
      </c>
      <c r="D429" s="33">
        <f>'Battery Pricing Model'!$C$17</f>
        <v>1000</v>
      </c>
      <c r="E429" s="33">
        <f t="shared" si="103"/>
        <v>999</v>
      </c>
      <c r="F429" s="33" t="str">
        <f>'Peak Models'!$B$4</f>
        <v>Default</v>
      </c>
      <c r="G429" s="33" t="e">
        <f>'Peak Models'!$Q$7</f>
        <v>#VALUE!</v>
      </c>
      <c r="H429" s="33">
        <f>'Peak Models'!$P$16</f>
        <v>1.5</v>
      </c>
      <c r="I429" s="33">
        <v>12</v>
      </c>
      <c r="J429" s="33" t="e">
        <f>'Peak Models'!$P$13</f>
        <v>#N/A</v>
      </c>
      <c r="K429" s="28" t="e">
        <f t="shared" si="104"/>
        <v>#VALUE!</v>
      </c>
      <c r="L429" s="28" t="e">
        <f>INDEX('Peak Models'!$P$34:$P$64, MATCH(TRUNC(B429, 0), 'Peak Models'!$O$34:$O$64, 0))</f>
        <v>#N/A</v>
      </c>
      <c r="M429" s="28">
        <f>'Peak Models'!$P$15*INDEX('Peak Models'!$Q$34:$Q$64, MATCH(TRUNC(B429, 0),'Peak Models'!$O$34:$O$64, 0))/'Profit per cycles Model'!$E$78</f>
        <v>6.1745254484765457</v>
      </c>
      <c r="N429" s="28" t="e">
        <f t="shared" si="105"/>
        <v>#N/A</v>
      </c>
      <c r="O429" s="71" t="e">
        <f>AVERAGE($N$10:N429)</f>
        <v>#N/A</v>
      </c>
      <c r="P429" s="28" t="e">
        <f t="shared" si="106"/>
        <v>#N/A</v>
      </c>
      <c r="R429" s="28" t="e">
        <f t="shared" si="107"/>
        <v>#VALUE!</v>
      </c>
      <c r="S429" s="25"/>
      <c r="T429" s="25">
        <f t="shared" si="108"/>
        <v>15</v>
      </c>
      <c r="U429" s="33">
        <f>IF(PaybackCustom&gt;0, IF(PaybackCustom&lt;&gt;"Default", PaybackCustom, IF(PaybackStatus&lt;&gt;"",INDEX('Arbitrage Payback Engine'!$Y$2:$Y$6,MATCH(PaybackStatus,'Arbitrage Payback Engine'!$X$2:$X$6,FALSE)),-1)))</f>
        <v>25</v>
      </c>
      <c r="V429" s="32">
        <f t="shared" si="117"/>
        <v>15</v>
      </c>
      <c r="X429" s="29">
        <f t="shared" si="118"/>
        <v>420</v>
      </c>
      <c r="Z429" s="30">
        <f t="shared" si="109"/>
        <v>11.505273250239693</v>
      </c>
      <c r="AA429" s="28" t="e">
        <f t="shared" si="110"/>
        <v>#N/A</v>
      </c>
      <c r="AB429" s="28" t="e">
        <f t="shared" si="111"/>
        <v>#VALUE!</v>
      </c>
      <c r="AC429" s="29">
        <f t="shared" si="112"/>
        <v>398.48197343453506</v>
      </c>
      <c r="AD429" s="28" t="e">
        <f t="shared" si="113"/>
        <v>#VALUE!</v>
      </c>
      <c r="AE429" s="28" t="e">
        <f t="shared" si="114"/>
        <v>#N/A</v>
      </c>
      <c r="AF429" s="28" t="e">
        <f t="shared" si="115"/>
        <v>#VALUE!</v>
      </c>
      <c r="AH429" s="31" t="e">
        <f t="shared" si="116"/>
        <v>#N/A</v>
      </c>
      <c r="AI429" s="25"/>
      <c r="AJ429" s="31"/>
    </row>
    <row r="430" spans="2:36" x14ac:dyDescent="0.25">
      <c r="B430" s="33">
        <f>'Arbitrage Payback Engine'!E430</f>
        <v>11.532666757978358</v>
      </c>
      <c r="C430" s="33">
        <f t="shared" si="102"/>
        <v>1000</v>
      </c>
      <c r="D430" s="33">
        <f>'Battery Pricing Model'!$C$17</f>
        <v>1000</v>
      </c>
      <c r="E430" s="33">
        <f t="shared" si="103"/>
        <v>999</v>
      </c>
      <c r="F430" s="33" t="str">
        <f>'Peak Models'!$B$4</f>
        <v>Default</v>
      </c>
      <c r="G430" s="33" t="e">
        <f>'Peak Models'!$Q$7</f>
        <v>#VALUE!</v>
      </c>
      <c r="H430" s="33">
        <f>'Peak Models'!$P$16</f>
        <v>1.5</v>
      </c>
      <c r="I430" s="33">
        <v>12</v>
      </c>
      <c r="J430" s="33" t="e">
        <f>'Peak Models'!$P$13</f>
        <v>#N/A</v>
      </c>
      <c r="K430" s="28" t="e">
        <f t="shared" si="104"/>
        <v>#VALUE!</v>
      </c>
      <c r="L430" s="28" t="e">
        <f>INDEX('Peak Models'!$P$34:$P$64, MATCH(TRUNC(B430, 0), 'Peak Models'!$O$34:$O$64, 0))</f>
        <v>#N/A</v>
      </c>
      <c r="M430" s="28">
        <f>'Peak Models'!$P$15*INDEX('Peak Models'!$Q$34:$Q$64, MATCH(TRUNC(B430, 0),'Peak Models'!$O$34:$O$64, 0))/'Profit per cycles Model'!$E$78</f>
        <v>6.1745254484765457</v>
      </c>
      <c r="N430" s="28" t="e">
        <f t="shared" si="105"/>
        <v>#N/A</v>
      </c>
      <c r="O430" s="71" t="e">
        <f>AVERAGE($N$10:N430)</f>
        <v>#N/A</v>
      </c>
      <c r="P430" s="28" t="e">
        <f t="shared" si="106"/>
        <v>#N/A</v>
      </c>
      <c r="R430" s="28" t="e">
        <f t="shared" si="107"/>
        <v>#VALUE!</v>
      </c>
      <c r="S430" s="25"/>
      <c r="T430" s="25">
        <f t="shared" si="108"/>
        <v>15</v>
      </c>
      <c r="U430" s="33">
        <f>IF(PaybackCustom&gt;0, IF(PaybackCustom&lt;&gt;"Default", PaybackCustom, IF(PaybackStatus&lt;&gt;"",INDEX('Arbitrage Payback Engine'!$Y$2:$Y$6,MATCH(PaybackStatus,'Arbitrage Payback Engine'!$X$2:$X$6,FALSE)),-1)))</f>
        <v>25</v>
      </c>
      <c r="V430" s="32">
        <f t="shared" si="117"/>
        <v>15</v>
      </c>
      <c r="X430" s="29">
        <f t="shared" si="118"/>
        <v>421</v>
      </c>
      <c r="Z430" s="30">
        <f t="shared" si="109"/>
        <v>11.532666757978358</v>
      </c>
      <c r="AA430" s="28" t="e">
        <f t="shared" si="110"/>
        <v>#N/A</v>
      </c>
      <c r="AB430" s="28" t="e">
        <f t="shared" si="111"/>
        <v>#VALUE!</v>
      </c>
      <c r="AC430" s="29">
        <f t="shared" si="112"/>
        <v>399.43074003795067</v>
      </c>
      <c r="AD430" s="28" t="e">
        <f t="shared" si="113"/>
        <v>#VALUE!</v>
      </c>
      <c r="AE430" s="28" t="e">
        <f t="shared" si="114"/>
        <v>#N/A</v>
      </c>
      <c r="AF430" s="28" t="e">
        <f t="shared" si="115"/>
        <v>#VALUE!</v>
      </c>
      <c r="AH430" s="31" t="e">
        <f t="shared" si="116"/>
        <v>#N/A</v>
      </c>
      <c r="AI430" s="25"/>
      <c r="AJ430" s="31"/>
    </row>
    <row r="431" spans="2:36" x14ac:dyDescent="0.25">
      <c r="B431" s="33">
        <f>'Arbitrage Payback Engine'!E431</f>
        <v>11.560060265717025</v>
      </c>
      <c r="C431" s="33">
        <f t="shared" si="102"/>
        <v>1000</v>
      </c>
      <c r="D431" s="33">
        <f>'Battery Pricing Model'!$C$17</f>
        <v>1000</v>
      </c>
      <c r="E431" s="33">
        <f t="shared" si="103"/>
        <v>999</v>
      </c>
      <c r="F431" s="33" t="str">
        <f>'Peak Models'!$B$4</f>
        <v>Default</v>
      </c>
      <c r="G431" s="33" t="e">
        <f>'Peak Models'!$Q$7</f>
        <v>#VALUE!</v>
      </c>
      <c r="H431" s="33">
        <f>'Peak Models'!$P$16</f>
        <v>1.5</v>
      </c>
      <c r="I431" s="33">
        <v>12</v>
      </c>
      <c r="J431" s="33" t="e">
        <f>'Peak Models'!$P$13</f>
        <v>#N/A</v>
      </c>
      <c r="K431" s="28" t="e">
        <f t="shared" si="104"/>
        <v>#VALUE!</v>
      </c>
      <c r="L431" s="28" t="e">
        <f>INDEX('Peak Models'!$P$34:$P$64, MATCH(TRUNC(B431, 0), 'Peak Models'!$O$34:$O$64, 0))</f>
        <v>#N/A</v>
      </c>
      <c r="M431" s="28">
        <f>'Peak Models'!$P$15*INDEX('Peak Models'!$Q$34:$Q$64, MATCH(TRUNC(B431, 0),'Peak Models'!$O$34:$O$64, 0))/'Profit per cycles Model'!$E$78</f>
        <v>6.1745254484765457</v>
      </c>
      <c r="N431" s="28" t="e">
        <f t="shared" si="105"/>
        <v>#N/A</v>
      </c>
      <c r="O431" s="71" t="e">
        <f>AVERAGE($N$10:N431)</f>
        <v>#N/A</v>
      </c>
      <c r="P431" s="28" t="e">
        <f t="shared" si="106"/>
        <v>#N/A</v>
      </c>
      <c r="R431" s="28" t="e">
        <f t="shared" si="107"/>
        <v>#VALUE!</v>
      </c>
      <c r="S431" s="25"/>
      <c r="T431" s="25">
        <f t="shared" si="108"/>
        <v>15</v>
      </c>
      <c r="U431" s="33">
        <f>IF(PaybackCustom&gt;0, IF(PaybackCustom&lt;&gt;"Default", PaybackCustom, IF(PaybackStatus&lt;&gt;"",INDEX('Arbitrage Payback Engine'!$Y$2:$Y$6,MATCH(PaybackStatus,'Arbitrage Payback Engine'!$X$2:$X$6,FALSE)),-1)))</f>
        <v>25</v>
      </c>
      <c r="V431" s="32">
        <f t="shared" si="117"/>
        <v>15</v>
      </c>
      <c r="X431" s="29">
        <f t="shared" si="118"/>
        <v>422</v>
      </c>
      <c r="Z431" s="30">
        <f t="shared" si="109"/>
        <v>11.560060265717025</v>
      </c>
      <c r="AA431" s="28" t="e">
        <f t="shared" si="110"/>
        <v>#N/A</v>
      </c>
      <c r="AB431" s="28" t="e">
        <f t="shared" si="111"/>
        <v>#VALUE!</v>
      </c>
      <c r="AC431" s="29">
        <f t="shared" si="112"/>
        <v>400.37950664136628</v>
      </c>
      <c r="AD431" s="28" t="e">
        <f t="shared" si="113"/>
        <v>#VALUE!</v>
      </c>
      <c r="AE431" s="28" t="e">
        <f t="shared" si="114"/>
        <v>#N/A</v>
      </c>
      <c r="AF431" s="28" t="e">
        <f t="shared" si="115"/>
        <v>#VALUE!</v>
      </c>
      <c r="AH431" s="31" t="e">
        <f t="shared" si="116"/>
        <v>#N/A</v>
      </c>
      <c r="AI431" s="25"/>
      <c r="AJ431" s="31"/>
    </row>
    <row r="432" spans="2:36" x14ac:dyDescent="0.25">
      <c r="B432" s="33">
        <f>'Arbitrage Payback Engine'!E432</f>
        <v>11.587453773455691</v>
      </c>
      <c r="C432" s="33">
        <f t="shared" si="102"/>
        <v>1000</v>
      </c>
      <c r="D432" s="33">
        <f>'Battery Pricing Model'!$C$17</f>
        <v>1000</v>
      </c>
      <c r="E432" s="33">
        <f t="shared" si="103"/>
        <v>999</v>
      </c>
      <c r="F432" s="33" t="str">
        <f>'Peak Models'!$B$4</f>
        <v>Default</v>
      </c>
      <c r="G432" s="33" t="e">
        <f>'Peak Models'!$Q$7</f>
        <v>#VALUE!</v>
      </c>
      <c r="H432" s="33">
        <f>'Peak Models'!$P$16</f>
        <v>1.5</v>
      </c>
      <c r="I432" s="33">
        <v>12</v>
      </c>
      <c r="J432" s="33" t="e">
        <f>'Peak Models'!$P$13</f>
        <v>#N/A</v>
      </c>
      <c r="K432" s="28" t="e">
        <f t="shared" si="104"/>
        <v>#VALUE!</v>
      </c>
      <c r="L432" s="28" t="e">
        <f>INDEX('Peak Models'!$P$34:$P$64, MATCH(TRUNC(B432, 0), 'Peak Models'!$O$34:$O$64, 0))</f>
        <v>#N/A</v>
      </c>
      <c r="M432" s="28">
        <f>'Peak Models'!$P$15*INDEX('Peak Models'!$Q$34:$Q$64, MATCH(TRUNC(B432, 0),'Peak Models'!$O$34:$O$64, 0))/'Profit per cycles Model'!$E$78</f>
        <v>6.1745254484765457</v>
      </c>
      <c r="N432" s="28" t="e">
        <f t="shared" si="105"/>
        <v>#N/A</v>
      </c>
      <c r="O432" s="71" t="e">
        <f>AVERAGE($N$10:N432)</f>
        <v>#N/A</v>
      </c>
      <c r="P432" s="28" t="e">
        <f t="shared" si="106"/>
        <v>#N/A</v>
      </c>
      <c r="R432" s="28" t="e">
        <f t="shared" si="107"/>
        <v>#VALUE!</v>
      </c>
      <c r="S432" s="25"/>
      <c r="T432" s="25">
        <f t="shared" si="108"/>
        <v>15</v>
      </c>
      <c r="U432" s="33">
        <f>IF(PaybackCustom&gt;0, IF(PaybackCustom&lt;&gt;"Default", PaybackCustom, IF(PaybackStatus&lt;&gt;"",INDEX('Arbitrage Payback Engine'!$Y$2:$Y$6,MATCH(PaybackStatus,'Arbitrage Payback Engine'!$X$2:$X$6,FALSE)),-1)))</f>
        <v>25</v>
      </c>
      <c r="V432" s="32">
        <f t="shared" si="117"/>
        <v>15</v>
      </c>
      <c r="X432" s="29">
        <f t="shared" si="118"/>
        <v>423</v>
      </c>
      <c r="Z432" s="30">
        <f t="shared" si="109"/>
        <v>11.587453773455691</v>
      </c>
      <c r="AA432" s="28" t="e">
        <f t="shared" si="110"/>
        <v>#N/A</v>
      </c>
      <c r="AB432" s="28" t="e">
        <f t="shared" si="111"/>
        <v>#VALUE!</v>
      </c>
      <c r="AC432" s="29">
        <f t="shared" si="112"/>
        <v>401.32827324478177</v>
      </c>
      <c r="AD432" s="28" t="e">
        <f t="shared" si="113"/>
        <v>#VALUE!</v>
      </c>
      <c r="AE432" s="28" t="e">
        <f t="shared" si="114"/>
        <v>#N/A</v>
      </c>
      <c r="AF432" s="28" t="e">
        <f t="shared" si="115"/>
        <v>#VALUE!</v>
      </c>
      <c r="AH432" s="31" t="e">
        <f t="shared" si="116"/>
        <v>#N/A</v>
      </c>
      <c r="AI432" s="25"/>
      <c r="AJ432" s="31"/>
    </row>
    <row r="433" spans="2:36" x14ac:dyDescent="0.25">
      <c r="B433" s="33">
        <f>'Arbitrage Payback Engine'!E433</f>
        <v>11.614847281194356</v>
      </c>
      <c r="C433" s="33">
        <f t="shared" si="102"/>
        <v>1000</v>
      </c>
      <c r="D433" s="33">
        <f>'Battery Pricing Model'!$C$17</f>
        <v>1000</v>
      </c>
      <c r="E433" s="33">
        <f t="shared" si="103"/>
        <v>999</v>
      </c>
      <c r="F433" s="33" t="str">
        <f>'Peak Models'!$B$4</f>
        <v>Default</v>
      </c>
      <c r="G433" s="33" t="e">
        <f>'Peak Models'!$Q$7</f>
        <v>#VALUE!</v>
      </c>
      <c r="H433" s="33">
        <f>'Peak Models'!$P$16</f>
        <v>1.5</v>
      </c>
      <c r="I433" s="33">
        <v>12</v>
      </c>
      <c r="J433" s="33" t="e">
        <f>'Peak Models'!$P$13</f>
        <v>#N/A</v>
      </c>
      <c r="K433" s="28" t="e">
        <f t="shared" si="104"/>
        <v>#VALUE!</v>
      </c>
      <c r="L433" s="28" t="e">
        <f>INDEX('Peak Models'!$P$34:$P$64, MATCH(TRUNC(B433, 0), 'Peak Models'!$O$34:$O$64, 0))</f>
        <v>#N/A</v>
      </c>
      <c r="M433" s="28">
        <f>'Peak Models'!$P$15*INDEX('Peak Models'!$Q$34:$Q$64, MATCH(TRUNC(B433, 0),'Peak Models'!$O$34:$O$64, 0))/'Profit per cycles Model'!$E$78</f>
        <v>6.1745254484765457</v>
      </c>
      <c r="N433" s="28" t="e">
        <f t="shared" si="105"/>
        <v>#N/A</v>
      </c>
      <c r="O433" s="71" t="e">
        <f>AVERAGE($N$10:N433)</f>
        <v>#N/A</v>
      </c>
      <c r="P433" s="28" t="e">
        <f t="shared" si="106"/>
        <v>#N/A</v>
      </c>
      <c r="R433" s="28" t="e">
        <f t="shared" si="107"/>
        <v>#VALUE!</v>
      </c>
      <c r="S433" s="25"/>
      <c r="T433" s="25">
        <f t="shared" si="108"/>
        <v>15</v>
      </c>
      <c r="U433" s="33">
        <f>IF(PaybackCustom&gt;0, IF(PaybackCustom&lt;&gt;"Default", PaybackCustom, IF(PaybackStatus&lt;&gt;"",INDEX('Arbitrage Payback Engine'!$Y$2:$Y$6,MATCH(PaybackStatus,'Arbitrage Payback Engine'!$X$2:$X$6,FALSE)),-1)))</f>
        <v>25</v>
      </c>
      <c r="V433" s="32">
        <f t="shared" si="117"/>
        <v>15</v>
      </c>
      <c r="X433" s="29">
        <f t="shared" si="118"/>
        <v>424</v>
      </c>
      <c r="Z433" s="30">
        <f t="shared" si="109"/>
        <v>11.614847281194356</v>
      </c>
      <c r="AA433" s="28" t="e">
        <f t="shared" si="110"/>
        <v>#N/A</v>
      </c>
      <c r="AB433" s="28" t="e">
        <f t="shared" si="111"/>
        <v>#VALUE!</v>
      </c>
      <c r="AC433" s="29">
        <f t="shared" si="112"/>
        <v>402.27703984819732</v>
      </c>
      <c r="AD433" s="28" t="e">
        <f t="shared" si="113"/>
        <v>#VALUE!</v>
      </c>
      <c r="AE433" s="28" t="e">
        <f t="shared" si="114"/>
        <v>#N/A</v>
      </c>
      <c r="AF433" s="28" t="e">
        <f t="shared" si="115"/>
        <v>#VALUE!</v>
      </c>
      <c r="AH433" s="31" t="e">
        <f t="shared" si="116"/>
        <v>#N/A</v>
      </c>
      <c r="AI433" s="25"/>
      <c r="AJ433" s="31"/>
    </row>
    <row r="434" spans="2:36" x14ac:dyDescent="0.25">
      <c r="B434" s="33">
        <f>'Arbitrage Payback Engine'!E434</f>
        <v>11.642240788933023</v>
      </c>
      <c r="C434" s="33">
        <f t="shared" si="102"/>
        <v>1000</v>
      </c>
      <c r="D434" s="33">
        <f>'Battery Pricing Model'!$C$17</f>
        <v>1000</v>
      </c>
      <c r="E434" s="33">
        <f t="shared" si="103"/>
        <v>999</v>
      </c>
      <c r="F434" s="33" t="str">
        <f>'Peak Models'!$B$4</f>
        <v>Default</v>
      </c>
      <c r="G434" s="33" t="e">
        <f>'Peak Models'!$Q$7</f>
        <v>#VALUE!</v>
      </c>
      <c r="H434" s="33">
        <f>'Peak Models'!$P$16</f>
        <v>1.5</v>
      </c>
      <c r="I434" s="33">
        <v>12</v>
      </c>
      <c r="J434" s="33" t="e">
        <f>'Peak Models'!$P$13</f>
        <v>#N/A</v>
      </c>
      <c r="K434" s="28" t="e">
        <f t="shared" si="104"/>
        <v>#VALUE!</v>
      </c>
      <c r="L434" s="28" t="e">
        <f>INDEX('Peak Models'!$P$34:$P$64, MATCH(TRUNC(B434, 0), 'Peak Models'!$O$34:$O$64, 0))</f>
        <v>#N/A</v>
      </c>
      <c r="M434" s="28">
        <f>'Peak Models'!$P$15*INDEX('Peak Models'!$Q$34:$Q$64, MATCH(TRUNC(B434, 0),'Peak Models'!$O$34:$O$64, 0))/'Profit per cycles Model'!$E$78</f>
        <v>6.1745254484765457</v>
      </c>
      <c r="N434" s="28" t="e">
        <f t="shared" si="105"/>
        <v>#N/A</v>
      </c>
      <c r="O434" s="71" t="e">
        <f>AVERAGE($N$10:N434)</f>
        <v>#N/A</v>
      </c>
      <c r="P434" s="28" t="e">
        <f t="shared" si="106"/>
        <v>#N/A</v>
      </c>
      <c r="R434" s="28" t="e">
        <f t="shared" si="107"/>
        <v>#VALUE!</v>
      </c>
      <c r="S434" s="25"/>
      <c r="T434" s="25">
        <f t="shared" si="108"/>
        <v>15</v>
      </c>
      <c r="U434" s="33">
        <f>IF(PaybackCustom&gt;0, IF(PaybackCustom&lt;&gt;"Default", PaybackCustom, IF(PaybackStatus&lt;&gt;"",INDEX('Arbitrage Payback Engine'!$Y$2:$Y$6,MATCH(PaybackStatus,'Arbitrage Payback Engine'!$X$2:$X$6,FALSE)),-1)))</f>
        <v>25</v>
      </c>
      <c r="V434" s="32">
        <f t="shared" si="117"/>
        <v>15</v>
      </c>
      <c r="X434" s="29">
        <f t="shared" si="118"/>
        <v>425</v>
      </c>
      <c r="Z434" s="30">
        <f t="shared" si="109"/>
        <v>11.642240788933023</v>
      </c>
      <c r="AA434" s="28" t="e">
        <f t="shared" si="110"/>
        <v>#N/A</v>
      </c>
      <c r="AB434" s="28" t="e">
        <f t="shared" si="111"/>
        <v>#VALUE!</v>
      </c>
      <c r="AC434" s="29">
        <f t="shared" si="112"/>
        <v>403.22580645161293</v>
      </c>
      <c r="AD434" s="28" t="e">
        <f t="shared" si="113"/>
        <v>#VALUE!</v>
      </c>
      <c r="AE434" s="28" t="e">
        <f t="shared" si="114"/>
        <v>#N/A</v>
      </c>
      <c r="AF434" s="28" t="e">
        <f t="shared" si="115"/>
        <v>#VALUE!</v>
      </c>
      <c r="AH434" s="31" t="e">
        <f t="shared" si="116"/>
        <v>#N/A</v>
      </c>
      <c r="AI434" s="25"/>
      <c r="AJ434" s="31"/>
    </row>
    <row r="435" spans="2:36" x14ac:dyDescent="0.25">
      <c r="B435" s="33">
        <f>'Arbitrage Payback Engine'!E435</f>
        <v>11.669634296671688</v>
      </c>
      <c r="C435" s="33">
        <f t="shared" si="102"/>
        <v>1000</v>
      </c>
      <c r="D435" s="33">
        <f>'Battery Pricing Model'!$C$17</f>
        <v>1000</v>
      </c>
      <c r="E435" s="33">
        <f t="shared" si="103"/>
        <v>999</v>
      </c>
      <c r="F435" s="33" t="str">
        <f>'Peak Models'!$B$4</f>
        <v>Default</v>
      </c>
      <c r="G435" s="33" t="e">
        <f>'Peak Models'!$Q$7</f>
        <v>#VALUE!</v>
      </c>
      <c r="H435" s="33">
        <f>'Peak Models'!$P$16</f>
        <v>1.5</v>
      </c>
      <c r="I435" s="33">
        <v>12</v>
      </c>
      <c r="J435" s="33" t="e">
        <f>'Peak Models'!$P$13</f>
        <v>#N/A</v>
      </c>
      <c r="K435" s="28" t="e">
        <f t="shared" si="104"/>
        <v>#VALUE!</v>
      </c>
      <c r="L435" s="28" t="e">
        <f>INDEX('Peak Models'!$P$34:$P$64, MATCH(TRUNC(B435, 0), 'Peak Models'!$O$34:$O$64, 0))</f>
        <v>#N/A</v>
      </c>
      <c r="M435" s="28">
        <f>'Peak Models'!$P$15*INDEX('Peak Models'!$Q$34:$Q$64, MATCH(TRUNC(B435, 0),'Peak Models'!$O$34:$O$64, 0))/'Profit per cycles Model'!$E$78</f>
        <v>6.1745254484765457</v>
      </c>
      <c r="N435" s="28" t="e">
        <f t="shared" si="105"/>
        <v>#N/A</v>
      </c>
      <c r="O435" s="71" t="e">
        <f>AVERAGE($N$10:N435)</f>
        <v>#N/A</v>
      </c>
      <c r="P435" s="28" t="e">
        <f t="shared" si="106"/>
        <v>#N/A</v>
      </c>
      <c r="R435" s="28" t="e">
        <f t="shared" si="107"/>
        <v>#VALUE!</v>
      </c>
      <c r="S435" s="25"/>
      <c r="T435" s="25">
        <f t="shared" si="108"/>
        <v>15</v>
      </c>
      <c r="U435" s="33">
        <f>IF(PaybackCustom&gt;0, IF(PaybackCustom&lt;&gt;"Default", PaybackCustom, IF(PaybackStatus&lt;&gt;"",INDEX('Arbitrage Payback Engine'!$Y$2:$Y$6,MATCH(PaybackStatus,'Arbitrage Payback Engine'!$X$2:$X$6,FALSE)),-1)))</f>
        <v>25</v>
      </c>
      <c r="V435" s="32">
        <f t="shared" si="117"/>
        <v>15</v>
      </c>
      <c r="X435" s="29">
        <f t="shared" si="118"/>
        <v>426</v>
      </c>
      <c r="Z435" s="30">
        <f t="shared" si="109"/>
        <v>11.669634296671688</v>
      </c>
      <c r="AA435" s="28" t="e">
        <f t="shared" si="110"/>
        <v>#N/A</v>
      </c>
      <c r="AB435" s="28" t="e">
        <f t="shared" si="111"/>
        <v>#VALUE!</v>
      </c>
      <c r="AC435" s="29">
        <f t="shared" si="112"/>
        <v>404.17457305502842</v>
      </c>
      <c r="AD435" s="28" t="e">
        <f t="shared" si="113"/>
        <v>#VALUE!</v>
      </c>
      <c r="AE435" s="28" t="e">
        <f t="shared" si="114"/>
        <v>#N/A</v>
      </c>
      <c r="AF435" s="28" t="e">
        <f t="shared" si="115"/>
        <v>#VALUE!</v>
      </c>
      <c r="AH435" s="31" t="e">
        <f t="shared" si="116"/>
        <v>#N/A</v>
      </c>
      <c r="AI435" s="25"/>
      <c r="AJ435" s="31"/>
    </row>
    <row r="436" spans="2:36" x14ac:dyDescent="0.25">
      <c r="B436" s="33">
        <f>'Arbitrage Payback Engine'!E436</f>
        <v>11.697027804410354</v>
      </c>
      <c r="C436" s="33">
        <f t="shared" si="102"/>
        <v>1000</v>
      </c>
      <c r="D436" s="33">
        <f>'Battery Pricing Model'!$C$17</f>
        <v>1000</v>
      </c>
      <c r="E436" s="33">
        <f t="shared" si="103"/>
        <v>999</v>
      </c>
      <c r="F436" s="33" t="str">
        <f>'Peak Models'!$B$4</f>
        <v>Default</v>
      </c>
      <c r="G436" s="33" t="e">
        <f>'Peak Models'!$Q$7</f>
        <v>#VALUE!</v>
      </c>
      <c r="H436" s="33">
        <f>'Peak Models'!$P$16</f>
        <v>1.5</v>
      </c>
      <c r="I436" s="33">
        <v>12</v>
      </c>
      <c r="J436" s="33" t="e">
        <f>'Peak Models'!$P$13</f>
        <v>#N/A</v>
      </c>
      <c r="K436" s="28" t="e">
        <f t="shared" si="104"/>
        <v>#VALUE!</v>
      </c>
      <c r="L436" s="28" t="e">
        <f>INDEX('Peak Models'!$P$34:$P$64, MATCH(TRUNC(B436, 0), 'Peak Models'!$O$34:$O$64, 0))</f>
        <v>#N/A</v>
      </c>
      <c r="M436" s="28">
        <f>'Peak Models'!$P$15*INDEX('Peak Models'!$Q$34:$Q$64, MATCH(TRUNC(B436, 0),'Peak Models'!$O$34:$O$64, 0))/'Profit per cycles Model'!$E$78</f>
        <v>6.1745254484765457</v>
      </c>
      <c r="N436" s="28" t="e">
        <f t="shared" si="105"/>
        <v>#N/A</v>
      </c>
      <c r="O436" s="71" t="e">
        <f>AVERAGE($N$10:N436)</f>
        <v>#N/A</v>
      </c>
      <c r="P436" s="28" t="e">
        <f t="shared" si="106"/>
        <v>#N/A</v>
      </c>
      <c r="R436" s="28" t="e">
        <f t="shared" si="107"/>
        <v>#VALUE!</v>
      </c>
      <c r="S436" s="25"/>
      <c r="T436" s="25">
        <f t="shared" si="108"/>
        <v>15</v>
      </c>
      <c r="U436" s="33">
        <f>IF(PaybackCustom&gt;0, IF(PaybackCustom&lt;&gt;"Default", PaybackCustom, IF(PaybackStatus&lt;&gt;"",INDEX('Arbitrage Payback Engine'!$Y$2:$Y$6,MATCH(PaybackStatus,'Arbitrage Payback Engine'!$X$2:$X$6,FALSE)),-1)))</f>
        <v>25</v>
      </c>
      <c r="V436" s="32">
        <f t="shared" si="117"/>
        <v>15</v>
      </c>
      <c r="X436" s="29">
        <f t="shared" si="118"/>
        <v>427</v>
      </c>
      <c r="Z436" s="30">
        <f t="shared" si="109"/>
        <v>11.697027804410354</v>
      </c>
      <c r="AA436" s="28" t="e">
        <f t="shared" si="110"/>
        <v>#N/A</v>
      </c>
      <c r="AB436" s="28" t="e">
        <f t="shared" si="111"/>
        <v>#VALUE!</v>
      </c>
      <c r="AC436" s="29">
        <f t="shared" si="112"/>
        <v>405.12333965844402</v>
      </c>
      <c r="AD436" s="28" t="e">
        <f t="shared" si="113"/>
        <v>#VALUE!</v>
      </c>
      <c r="AE436" s="28" t="e">
        <f t="shared" si="114"/>
        <v>#N/A</v>
      </c>
      <c r="AF436" s="28" t="e">
        <f t="shared" si="115"/>
        <v>#VALUE!</v>
      </c>
      <c r="AH436" s="31" t="e">
        <f t="shared" si="116"/>
        <v>#N/A</v>
      </c>
      <c r="AI436" s="25"/>
      <c r="AJ436" s="31"/>
    </row>
    <row r="437" spans="2:36" x14ac:dyDescent="0.25">
      <c r="B437" s="33">
        <f>'Arbitrage Payback Engine'!E437</f>
        <v>11.724421312149021</v>
      </c>
      <c r="C437" s="33">
        <f t="shared" si="102"/>
        <v>1000</v>
      </c>
      <c r="D437" s="33">
        <f>'Battery Pricing Model'!$C$17</f>
        <v>1000</v>
      </c>
      <c r="E437" s="33">
        <f t="shared" si="103"/>
        <v>999</v>
      </c>
      <c r="F437" s="33" t="str">
        <f>'Peak Models'!$B$4</f>
        <v>Default</v>
      </c>
      <c r="G437" s="33" t="e">
        <f>'Peak Models'!$Q$7</f>
        <v>#VALUE!</v>
      </c>
      <c r="H437" s="33">
        <f>'Peak Models'!$P$16</f>
        <v>1.5</v>
      </c>
      <c r="I437" s="33">
        <v>12</v>
      </c>
      <c r="J437" s="33" t="e">
        <f>'Peak Models'!$P$13</f>
        <v>#N/A</v>
      </c>
      <c r="K437" s="28" t="e">
        <f t="shared" si="104"/>
        <v>#VALUE!</v>
      </c>
      <c r="L437" s="28" t="e">
        <f>INDEX('Peak Models'!$P$34:$P$64, MATCH(TRUNC(B437, 0), 'Peak Models'!$O$34:$O$64, 0))</f>
        <v>#N/A</v>
      </c>
      <c r="M437" s="28">
        <f>'Peak Models'!$P$15*INDEX('Peak Models'!$Q$34:$Q$64, MATCH(TRUNC(B437, 0),'Peak Models'!$O$34:$O$64, 0))/'Profit per cycles Model'!$E$78</f>
        <v>6.1745254484765457</v>
      </c>
      <c r="N437" s="28" t="e">
        <f t="shared" si="105"/>
        <v>#N/A</v>
      </c>
      <c r="O437" s="71" t="e">
        <f>AVERAGE($N$10:N437)</f>
        <v>#N/A</v>
      </c>
      <c r="P437" s="28" t="e">
        <f t="shared" si="106"/>
        <v>#N/A</v>
      </c>
      <c r="R437" s="28" t="e">
        <f t="shared" si="107"/>
        <v>#VALUE!</v>
      </c>
      <c r="S437" s="25"/>
      <c r="T437" s="25">
        <f t="shared" si="108"/>
        <v>15</v>
      </c>
      <c r="U437" s="33">
        <f>IF(PaybackCustom&gt;0, IF(PaybackCustom&lt;&gt;"Default", PaybackCustom, IF(PaybackStatus&lt;&gt;"",INDEX('Arbitrage Payback Engine'!$Y$2:$Y$6,MATCH(PaybackStatus,'Arbitrage Payback Engine'!$X$2:$X$6,FALSE)),-1)))</f>
        <v>25</v>
      </c>
      <c r="V437" s="32">
        <f t="shared" si="117"/>
        <v>15</v>
      </c>
      <c r="X437" s="29">
        <f t="shared" si="118"/>
        <v>428</v>
      </c>
      <c r="Z437" s="30">
        <f t="shared" si="109"/>
        <v>11.724421312149021</v>
      </c>
      <c r="AA437" s="28" t="e">
        <f t="shared" si="110"/>
        <v>#N/A</v>
      </c>
      <c r="AB437" s="28" t="e">
        <f t="shared" si="111"/>
        <v>#VALUE!</v>
      </c>
      <c r="AC437" s="29">
        <f t="shared" si="112"/>
        <v>406.07210626185963</v>
      </c>
      <c r="AD437" s="28" t="e">
        <f t="shared" si="113"/>
        <v>#VALUE!</v>
      </c>
      <c r="AE437" s="28" t="e">
        <f t="shared" si="114"/>
        <v>#N/A</v>
      </c>
      <c r="AF437" s="28" t="e">
        <f t="shared" si="115"/>
        <v>#VALUE!</v>
      </c>
      <c r="AH437" s="31" t="e">
        <f t="shared" si="116"/>
        <v>#N/A</v>
      </c>
      <c r="AI437" s="25"/>
      <c r="AJ437" s="31"/>
    </row>
    <row r="438" spans="2:36" x14ac:dyDescent="0.25">
      <c r="B438" s="33">
        <f>'Arbitrage Payback Engine'!E438</f>
        <v>11.751814819887686</v>
      </c>
      <c r="C438" s="33">
        <f t="shared" si="102"/>
        <v>1000</v>
      </c>
      <c r="D438" s="33">
        <f>'Battery Pricing Model'!$C$17</f>
        <v>1000</v>
      </c>
      <c r="E438" s="33">
        <f t="shared" si="103"/>
        <v>999</v>
      </c>
      <c r="F438" s="33" t="str">
        <f>'Peak Models'!$B$4</f>
        <v>Default</v>
      </c>
      <c r="G438" s="33" t="e">
        <f>'Peak Models'!$Q$7</f>
        <v>#VALUE!</v>
      </c>
      <c r="H438" s="33">
        <f>'Peak Models'!$P$16</f>
        <v>1.5</v>
      </c>
      <c r="I438" s="33">
        <v>12</v>
      </c>
      <c r="J438" s="33" t="e">
        <f>'Peak Models'!$P$13</f>
        <v>#N/A</v>
      </c>
      <c r="K438" s="28" t="e">
        <f t="shared" si="104"/>
        <v>#VALUE!</v>
      </c>
      <c r="L438" s="28" t="e">
        <f>INDEX('Peak Models'!$P$34:$P$64, MATCH(TRUNC(B438, 0), 'Peak Models'!$O$34:$O$64, 0))</f>
        <v>#N/A</v>
      </c>
      <c r="M438" s="28">
        <f>'Peak Models'!$P$15*INDEX('Peak Models'!$Q$34:$Q$64, MATCH(TRUNC(B438, 0),'Peak Models'!$O$34:$O$64, 0))/'Profit per cycles Model'!$E$78</f>
        <v>6.1745254484765457</v>
      </c>
      <c r="N438" s="28" t="e">
        <f t="shared" si="105"/>
        <v>#N/A</v>
      </c>
      <c r="O438" s="71" t="e">
        <f>AVERAGE($N$10:N438)</f>
        <v>#N/A</v>
      </c>
      <c r="P438" s="28" t="e">
        <f t="shared" si="106"/>
        <v>#N/A</v>
      </c>
      <c r="R438" s="28" t="e">
        <f t="shared" si="107"/>
        <v>#VALUE!</v>
      </c>
      <c r="S438" s="25"/>
      <c r="T438" s="25">
        <f t="shared" si="108"/>
        <v>15</v>
      </c>
      <c r="U438" s="33">
        <f>IF(PaybackCustom&gt;0, IF(PaybackCustom&lt;&gt;"Default", PaybackCustom, IF(PaybackStatus&lt;&gt;"",INDEX('Arbitrage Payback Engine'!$Y$2:$Y$6,MATCH(PaybackStatus,'Arbitrage Payback Engine'!$X$2:$X$6,FALSE)),-1)))</f>
        <v>25</v>
      </c>
      <c r="V438" s="32">
        <f t="shared" si="117"/>
        <v>15</v>
      </c>
      <c r="X438" s="29">
        <f t="shared" si="118"/>
        <v>429</v>
      </c>
      <c r="Z438" s="30">
        <f t="shared" si="109"/>
        <v>11.751814819887686</v>
      </c>
      <c r="AA438" s="28" t="e">
        <f t="shared" si="110"/>
        <v>#N/A</v>
      </c>
      <c r="AB438" s="28" t="e">
        <f t="shared" si="111"/>
        <v>#VALUE!</v>
      </c>
      <c r="AC438" s="29">
        <f t="shared" si="112"/>
        <v>407.02087286527512</v>
      </c>
      <c r="AD438" s="28" t="e">
        <f t="shared" si="113"/>
        <v>#VALUE!</v>
      </c>
      <c r="AE438" s="28" t="e">
        <f t="shared" si="114"/>
        <v>#N/A</v>
      </c>
      <c r="AF438" s="28" t="e">
        <f t="shared" si="115"/>
        <v>#VALUE!</v>
      </c>
      <c r="AH438" s="31" t="e">
        <f t="shared" si="116"/>
        <v>#N/A</v>
      </c>
      <c r="AI438" s="25"/>
      <c r="AJ438" s="31"/>
    </row>
    <row r="439" spans="2:36" x14ac:dyDescent="0.25">
      <c r="B439" s="33">
        <f>'Arbitrage Payback Engine'!E439</f>
        <v>11.779208327626352</v>
      </c>
      <c r="C439" s="33">
        <f t="shared" si="102"/>
        <v>1000</v>
      </c>
      <c r="D439" s="33">
        <f>'Battery Pricing Model'!$C$17</f>
        <v>1000</v>
      </c>
      <c r="E439" s="33">
        <f t="shared" si="103"/>
        <v>999</v>
      </c>
      <c r="F439" s="33" t="str">
        <f>'Peak Models'!$B$4</f>
        <v>Default</v>
      </c>
      <c r="G439" s="33" t="e">
        <f>'Peak Models'!$Q$7</f>
        <v>#VALUE!</v>
      </c>
      <c r="H439" s="33">
        <f>'Peak Models'!$P$16</f>
        <v>1.5</v>
      </c>
      <c r="I439" s="33">
        <v>12</v>
      </c>
      <c r="J439" s="33" t="e">
        <f>'Peak Models'!$P$13</f>
        <v>#N/A</v>
      </c>
      <c r="K439" s="28" t="e">
        <f t="shared" si="104"/>
        <v>#VALUE!</v>
      </c>
      <c r="L439" s="28" t="e">
        <f>INDEX('Peak Models'!$P$34:$P$64, MATCH(TRUNC(B439, 0), 'Peak Models'!$O$34:$O$64, 0))</f>
        <v>#N/A</v>
      </c>
      <c r="M439" s="28">
        <f>'Peak Models'!$P$15*INDEX('Peak Models'!$Q$34:$Q$64, MATCH(TRUNC(B439, 0),'Peak Models'!$O$34:$O$64, 0))/'Profit per cycles Model'!$E$78</f>
        <v>6.1745254484765457</v>
      </c>
      <c r="N439" s="28" t="e">
        <f t="shared" si="105"/>
        <v>#N/A</v>
      </c>
      <c r="O439" s="71" t="e">
        <f>AVERAGE($N$10:N439)</f>
        <v>#N/A</v>
      </c>
      <c r="P439" s="28" t="e">
        <f t="shared" si="106"/>
        <v>#N/A</v>
      </c>
      <c r="R439" s="28" t="e">
        <f t="shared" si="107"/>
        <v>#VALUE!</v>
      </c>
      <c r="S439" s="25"/>
      <c r="T439" s="25">
        <f t="shared" si="108"/>
        <v>15</v>
      </c>
      <c r="U439" s="33">
        <f>IF(PaybackCustom&gt;0, IF(PaybackCustom&lt;&gt;"Default", PaybackCustom, IF(PaybackStatus&lt;&gt;"",INDEX('Arbitrage Payback Engine'!$Y$2:$Y$6,MATCH(PaybackStatus,'Arbitrage Payback Engine'!$X$2:$X$6,FALSE)),-1)))</f>
        <v>25</v>
      </c>
      <c r="V439" s="32">
        <f t="shared" si="117"/>
        <v>15</v>
      </c>
      <c r="X439" s="29">
        <f t="shared" si="118"/>
        <v>430</v>
      </c>
      <c r="Z439" s="30">
        <f t="shared" si="109"/>
        <v>11.779208327626352</v>
      </c>
      <c r="AA439" s="28" t="e">
        <f t="shared" si="110"/>
        <v>#N/A</v>
      </c>
      <c r="AB439" s="28" t="e">
        <f t="shared" si="111"/>
        <v>#VALUE!</v>
      </c>
      <c r="AC439" s="29">
        <f t="shared" si="112"/>
        <v>407.96963946869067</v>
      </c>
      <c r="AD439" s="28" t="e">
        <f t="shared" si="113"/>
        <v>#VALUE!</v>
      </c>
      <c r="AE439" s="28" t="e">
        <f t="shared" si="114"/>
        <v>#N/A</v>
      </c>
      <c r="AF439" s="28" t="e">
        <f t="shared" si="115"/>
        <v>#VALUE!</v>
      </c>
      <c r="AH439" s="31" t="e">
        <f t="shared" si="116"/>
        <v>#N/A</v>
      </c>
      <c r="AI439" s="25"/>
      <c r="AJ439" s="31"/>
    </row>
    <row r="440" spans="2:36" x14ac:dyDescent="0.25">
      <c r="B440" s="33">
        <f>'Arbitrage Payback Engine'!E440</f>
        <v>11.806601835365019</v>
      </c>
      <c r="C440" s="33">
        <f t="shared" si="102"/>
        <v>1000</v>
      </c>
      <c r="D440" s="33">
        <f>'Battery Pricing Model'!$C$17</f>
        <v>1000</v>
      </c>
      <c r="E440" s="33">
        <f t="shared" si="103"/>
        <v>999</v>
      </c>
      <c r="F440" s="33" t="str">
        <f>'Peak Models'!$B$4</f>
        <v>Default</v>
      </c>
      <c r="G440" s="33" t="e">
        <f>'Peak Models'!$Q$7</f>
        <v>#VALUE!</v>
      </c>
      <c r="H440" s="33">
        <f>'Peak Models'!$P$16</f>
        <v>1.5</v>
      </c>
      <c r="I440" s="33">
        <v>12</v>
      </c>
      <c r="J440" s="33" t="e">
        <f>'Peak Models'!$P$13</f>
        <v>#N/A</v>
      </c>
      <c r="K440" s="28" t="e">
        <f t="shared" si="104"/>
        <v>#VALUE!</v>
      </c>
      <c r="L440" s="28" t="e">
        <f>INDEX('Peak Models'!$P$34:$P$64, MATCH(TRUNC(B440, 0), 'Peak Models'!$O$34:$O$64, 0))</f>
        <v>#N/A</v>
      </c>
      <c r="M440" s="28">
        <f>'Peak Models'!$P$15*INDEX('Peak Models'!$Q$34:$Q$64, MATCH(TRUNC(B440, 0),'Peak Models'!$O$34:$O$64, 0))/'Profit per cycles Model'!$E$78</f>
        <v>6.1745254484765457</v>
      </c>
      <c r="N440" s="28" t="e">
        <f t="shared" si="105"/>
        <v>#N/A</v>
      </c>
      <c r="O440" s="71" t="e">
        <f>AVERAGE($N$10:N440)</f>
        <v>#N/A</v>
      </c>
      <c r="P440" s="28" t="e">
        <f t="shared" si="106"/>
        <v>#N/A</v>
      </c>
      <c r="R440" s="28" t="e">
        <f t="shared" si="107"/>
        <v>#VALUE!</v>
      </c>
      <c r="S440" s="25"/>
      <c r="T440" s="25">
        <f t="shared" si="108"/>
        <v>15</v>
      </c>
      <c r="U440" s="33">
        <f>IF(PaybackCustom&gt;0, IF(PaybackCustom&lt;&gt;"Default", PaybackCustom, IF(PaybackStatus&lt;&gt;"",INDEX('Arbitrage Payback Engine'!$Y$2:$Y$6,MATCH(PaybackStatus,'Arbitrage Payback Engine'!$X$2:$X$6,FALSE)),-1)))</f>
        <v>25</v>
      </c>
      <c r="V440" s="32">
        <f t="shared" si="117"/>
        <v>15</v>
      </c>
      <c r="X440" s="29">
        <f t="shared" si="118"/>
        <v>431</v>
      </c>
      <c r="Z440" s="30">
        <f t="shared" si="109"/>
        <v>11.806601835365019</v>
      </c>
      <c r="AA440" s="28" t="e">
        <f t="shared" si="110"/>
        <v>#N/A</v>
      </c>
      <c r="AB440" s="28" t="e">
        <f t="shared" si="111"/>
        <v>#VALUE!</v>
      </c>
      <c r="AC440" s="29">
        <f t="shared" si="112"/>
        <v>408.91840607210628</v>
      </c>
      <c r="AD440" s="28" t="e">
        <f t="shared" si="113"/>
        <v>#VALUE!</v>
      </c>
      <c r="AE440" s="28" t="e">
        <f t="shared" si="114"/>
        <v>#N/A</v>
      </c>
      <c r="AF440" s="28" t="e">
        <f t="shared" si="115"/>
        <v>#VALUE!</v>
      </c>
      <c r="AH440" s="31" t="e">
        <f t="shared" si="116"/>
        <v>#N/A</v>
      </c>
      <c r="AI440" s="25"/>
      <c r="AJ440" s="31"/>
    </row>
    <row r="441" spans="2:36" x14ac:dyDescent="0.25">
      <c r="B441" s="33">
        <f>'Arbitrage Payback Engine'!E441</f>
        <v>11.833995343103684</v>
      </c>
      <c r="C441" s="33">
        <f t="shared" si="102"/>
        <v>1000</v>
      </c>
      <c r="D441" s="33">
        <f>'Battery Pricing Model'!$C$17</f>
        <v>1000</v>
      </c>
      <c r="E441" s="33">
        <f t="shared" si="103"/>
        <v>999</v>
      </c>
      <c r="F441" s="33" t="str">
        <f>'Peak Models'!$B$4</f>
        <v>Default</v>
      </c>
      <c r="G441" s="33" t="e">
        <f>'Peak Models'!$Q$7</f>
        <v>#VALUE!</v>
      </c>
      <c r="H441" s="33">
        <f>'Peak Models'!$P$16</f>
        <v>1.5</v>
      </c>
      <c r="I441" s="33">
        <v>12</v>
      </c>
      <c r="J441" s="33" t="e">
        <f>'Peak Models'!$P$13</f>
        <v>#N/A</v>
      </c>
      <c r="K441" s="28" t="e">
        <f t="shared" si="104"/>
        <v>#VALUE!</v>
      </c>
      <c r="L441" s="28" t="e">
        <f>INDEX('Peak Models'!$P$34:$P$64, MATCH(TRUNC(B441, 0), 'Peak Models'!$O$34:$O$64, 0))</f>
        <v>#N/A</v>
      </c>
      <c r="M441" s="28">
        <f>'Peak Models'!$P$15*INDEX('Peak Models'!$Q$34:$Q$64, MATCH(TRUNC(B441, 0),'Peak Models'!$O$34:$O$64, 0))/'Profit per cycles Model'!$E$78</f>
        <v>6.1745254484765457</v>
      </c>
      <c r="N441" s="28" t="e">
        <f t="shared" si="105"/>
        <v>#N/A</v>
      </c>
      <c r="O441" s="71" t="e">
        <f>AVERAGE($N$10:N441)</f>
        <v>#N/A</v>
      </c>
      <c r="P441" s="28" t="e">
        <f t="shared" si="106"/>
        <v>#N/A</v>
      </c>
      <c r="R441" s="28" t="e">
        <f t="shared" si="107"/>
        <v>#VALUE!</v>
      </c>
      <c r="S441" s="25"/>
      <c r="T441" s="25">
        <f t="shared" si="108"/>
        <v>15</v>
      </c>
      <c r="U441" s="33">
        <f>IF(PaybackCustom&gt;0, IF(PaybackCustom&lt;&gt;"Default", PaybackCustom, IF(PaybackStatus&lt;&gt;"",INDEX('Arbitrage Payback Engine'!$Y$2:$Y$6,MATCH(PaybackStatus,'Arbitrage Payback Engine'!$X$2:$X$6,FALSE)),-1)))</f>
        <v>25</v>
      </c>
      <c r="V441" s="32">
        <f t="shared" si="117"/>
        <v>15</v>
      </c>
      <c r="X441" s="29">
        <f t="shared" si="118"/>
        <v>432</v>
      </c>
      <c r="Z441" s="30">
        <f t="shared" si="109"/>
        <v>11.833995343103684</v>
      </c>
      <c r="AA441" s="28" t="e">
        <f t="shared" si="110"/>
        <v>#N/A</v>
      </c>
      <c r="AB441" s="28" t="e">
        <f t="shared" si="111"/>
        <v>#VALUE!</v>
      </c>
      <c r="AC441" s="29">
        <f t="shared" si="112"/>
        <v>409.86717267552183</v>
      </c>
      <c r="AD441" s="28" t="e">
        <f t="shared" si="113"/>
        <v>#VALUE!</v>
      </c>
      <c r="AE441" s="28" t="e">
        <f t="shared" si="114"/>
        <v>#N/A</v>
      </c>
      <c r="AF441" s="28" t="e">
        <f t="shared" si="115"/>
        <v>#VALUE!</v>
      </c>
      <c r="AH441" s="31" t="e">
        <f t="shared" si="116"/>
        <v>#N/A</v>
      </c>
      <c r="AI441" s="25"/>
      <c r="AJ441" s="31"/>
    </row>
    <row r="442" spans="2:36" x14ac:dyDescent="0.25">
      <c r="B442" s="33">
        <f>'Arbitrage Payback Engine'!E442</f>
        <v>11.861388850842349</v>
      </c>
      <c r="C442" s="33">
        <f t="shared" si="102"/>
        <v>1000</v>
      </c>
      <c r="D442" s="33">
        <f>'Battery Pricing Model'!$C$17</f>
        <v>1000</v>
      </c>
      <c r="E442" s="33">
        <f t="shared" si="103"/>
        <v>999</v>
      </c>
      <c r="F442" s="33" t="str">
        <f>'Peak Models'!$B$4</f>
        <v>Default</v>
      </c>
      <c r="G442" s="33" t="e">
        <f>'Peak Models'!$Q$7</f>
        <v>#VALUE!</v>
      </c>
      <c r="H442" s="33">
        <f>'Peak Models'!$P$16</f>
        <v>1.5</v>
      </c>
      <c r="I442" s="33">
        <v>12</v>
      </c>
      <c r="J442" s="33" t="e">
        <f>'Peak Models'!$P$13</f>
        <v>#N/A</v>
      </c>
      <c r="K442" s="28" t="e">
        <f t="shared" si="104"/>
        <v>#VALUE!</v>
      </c>
      <c r="L442" s="28" t="e">
        <f>INDEX('Peak Models'!$P$34:$P$64, MATCH(TRUNC(B442, 0), 'Peak Models'!$O$34:$O$64, 0))</f>
        <v>#N/A</v>
      </c>
      <c r="M442" s="28">
        <f>'Peak Models'!$P$15*INDEX('Peak Models'!$Q$34:$Q$64, MATCH(TRUNC(B442, 0),'Peak Models'!$O$34:$O$64, 0))/'Profit per cycles Model'!$E$78</f>
        <v>6.1745254484765457</v>
      </c>
      <c r="N442" s="28" t="e">
        <f t="shared" si="105"/>
        <v>#N/A</v>
      </c>
      <c r="O442" s="71" t="e">
        <f>AVERAGE($N$10:N442)</f>
        <v>#N/A</v>
      </c>
      <c r="P442" s="28" t="e">
        <f t="shared" si="106"/>
        <v>#N/A</v>
      </c>
      <c r="R442" s="28" t="e">
        <f t="shared" si="107"/>
        <v>#VALUE!</v>
      </c>
      <c r="S442" s="25"/>
      <c r="T442" s="25">
        <f t="shared" si="108"/>
        <v>15</v>
      </c>
      <c r="U442" s="33">
        <f>IF(PaybackCustom&gt;0, IF(PaybackCustom&lt;&gt;"Default", PaybackCustom, IF(PaybackStatus&lt;&gt;"",INDEX('Arbitrage Payback Engine'!$Y$2:$Y$6,MATCH(PaybackStatus,'Arbitrage Payback Engine'!$X$2:$X$6,FALSE)),-1)))</f>
        <v>25</v>
      </c>
      <c r="V442" s="32">
        <f t="shared" si="117"/>
        <v>15</v>
      </c>
      <c r="X442" s="29">
        <f t="shared" si="118"/>
        <v>433</v>
      </c>
      <c r="Z442" s="30">
        <f t="shared" si="109"/>
        <v>11.861388850842349</v>
      </c>
      <c r="AA442" s="28" t="e">
        <f t="shared" si="110"/>
        <v>#N/A</v>
      </c>
      <c r="AB442" s="28" t="e">
        <f t="shared" si="111"/>
        <v>#VALUE!</v>
      </c>
      <c r="AC442" s="29">
        <f t="shared" si="112"/>
        <v>410.81593927893738</v>
      </c>
      <c r="AD442" s="28" t="e">
        <f t="shared" si="113"/>
        <v>#VALUE!</v>
      </c>
      <c r="AE442" s="28" t="e">
        <f t="shared" si="114"/>
        <v>#N/A</v>
      </c>
      <c r="AF442" s="28" t="e">
        <f t="shared" si="115"/>
        <v>#VALUE!</v>
      </c>
      <c r="AH442" s="31" t="e">
        <f t="shared" si="116"/>
        <v>#N/A</v>
      </c>
      <c r="AI442" s="25"/>
      <c r="AJ442" s="31"/>
    </row>
    <row r="443" spans="2:36" x14ac:dyDescent="0.25">
      <c r="B443" s="33">
        <f>'Arbitrage Payback Engine'!E443</f>
        <v>11.888782358581016</v>
      </c>
      <c r="C443" s="33">
        <f t="shared" si="102"/>
        <v>1000</v>
      </c>
      <c r="D443" s="33">
        <f>'Battery Pricing Model'!$C$17</f>
        <v>1000</v>
      </c>
      <c r="E443" s="33">
        <f t="shared" si="103"/>
        <v>999</v>
      </c>
      <c r="F443" s="33" t="str">
        <f>'Peak Models'!$B$4</f>
        <v>Default</v>
      </c>
      <c r="G443" s="33" t="e">
        <f>'Peak Models'!$Q$7</f>
        <v>#VALUE!</v>
      </c>
      <c r="H443" s="33">
        <f>'Peak Models'!$P$16</f>
        <v>1.5</v>
      </c>
      <c r="I443" s="33">
        <v>12</v>
      </c>
      <c r="J443" s="33" t="e">
        <f>'Peak Models'!$P$13</f>
        <v>#N/A</v>
      </c>
      <c r="K443" s="28" t="e">
        <f t="shared" si="104"/>
        <v>#VALUE!</v>
      </c>
      <c r="L443" s="28" t="e">
        <f>INDEX('Peak Models'!$P$34:$P$64, MATCH(TRUNC(B443, 0), 'Peak Models'!$O$34:$O$64, 0))</f>
        <v>#N/A</v>
      </c>
      <c r="M443" s="28">
        <f>'Peak Models'!$P$15*INDEX('Peak Models'!$Q$34:$Q$64, MATCH(TRUNC(B443, 0),'Peak Models'!$O$34:$O$64, 0))/'Profit per cycles Model'!$E$78</f>
        <v>6.1745254484765457</v>
      </c>
      <c r="N443" s="28" t="e">
        <f t="shared" si="105"/>
        <v>#N/A</v>
      </c>
      <c r="O443" s="71" t="e">
        <f>AVERAGE($N$10:N443)</f>
        <v>#N/A</v>
      </c>
      <c r="P443" s="28" t="e">
        <f t="shared" si="106"/>
        <v>#N/A</v>
      </c>
      <c r="R443" s="28" t="e">
        <f t="shared" si="107"/>
        <v>#VALUE!</v>
      </c>
      <c r="S443" s="25"/>
      <c r="T443" s="25">
        <f t="shared" si="108"/>
        <v>15</v>
      </c>
      <c r="U443" s="33">
        <f>IF(PaybackCustom&gt;0, IF(PaybackCustom&lt;&gt;"Default", PaybackCustom, IF(PaybackStatus&lt;&gt;"",INDEX('Arbitrage Payback Engine'!$Y$2:$Y$6,MATCH(PaybackStatus,'Arbitrage Payback Engine'!$X$2:$X$6,FALSE)),-1)))</f>
        <v>25</v>
      </c>
      <c r="V443" s="32">
        <f t="shared" si="117"/>
        <v>15</v>
      </c>
      <c r="X443" s="29">
        <f t="shared" si="118"/>
        <v>434</v>
      </c>
      <c r="Z443" s="30">
        <f t="shared" si="109"/>
        <v>11.888782358581016</v>
      </c>
      <c r="AA443" s="28" t="e">
        <f t="shared" si="110"/>
        <v>#N/A</v>
      </c>
      <c r="AB443" s="28" t="e">
        <f t="shared" si="111"/>
        <v>#VALUE!</v>
      </c>
      <c r="AC443" s="29">
        <f t="shared" si="112"/>
        <v>411.76470588235298</v>
      </c>
      <c r="AD443" s="28" t="e">
        <f t="shared" si="113"/>
        <v>#VALUE!</v>
      </c>
      <c r="AE443" s="28" t="e">
        <f t="shared" si="114"/>
        <v>#N/A</v>
      </c>
      <c r="AF443" s="28" t="e">
        <f t="shared" si="115"/>
        <v>#VALUE!</v>
      </c>
      <c r="AH443" s="31" t="e">
        <f t="shared" si="116"/>
        <v>#N/A</v>
      </c>
      <c r="AI443" s="25"/>
      <c r="AJ443" s="31"/>
    </row>
    <row r="444" spans="2:36" x14ac:dyDescent="0.25">
      <c r="B444" s="33">
        <f>'Arbitrage Payback Engine'!E444</f>
        <v>11.916175866319682</v>
      </c>
      <c r="C444" s="33">
        <f t="shared" si="102"/>
        <v>1000</v>
      </c>
      <c r="D444" s="33">
        <f>'Battery Pricing Model'!$C$17</f>
        <v>1000</v>
      </c>
      <c r="E444" s="33">
        <f t="shared" si="103"/>
        <v>999</v>
      </c>
      <c r="F444" s="33" t="str">
        <f>'Peak Models'!$B$4</f>
        <v>Default</v>
      </c>
      <c r="G444" s="33" t="e">
        <f>'Peak Models'!$Q$7</f>
        <v>#VALUE!</v>
      </c>
      <c r="H444" s="33">
        <f>'Peak Models'!$P$16</f>
        <v>1.5</v>
      </c>
      <c r="I444" s="33">
        <v>12</v>
      </c>
      <c r="J444" s="33" t="e">
        <f>'Peak Models'!$P$13</f>
        <v>#N/A</v>
      </c>
      <c r="K444" s="28" t="e">
        <f t="shared" si="104"/>
        <v>#VALUE!</v>
      </c>
      <c r="L444" s="28" t="e">
        <f>INDEX('Peak Models'!$P$34:$P$64, MATCH(TRUNC(B444, 0), 'Peak Models'!$O$34:$O$64, 0))</f>
        <v>#N/A</v>
      </c>
      <c r="M444" s="28">
        <f>'Peak Models'!$P$15*INDEX('Peak Models'!$Q$34:$Q$64, MATCH(TRUNC(B444, 0),'Peak Models'!$O$34:$O$64, 0))/'Profit per cycles Model'!$E$78</f>
        <v>6.1745254484765457</v>
      </c>
      <c r="N444" s="28" t="e">
        <f t="shared" si="105"/>
        <v>#N/A</v>
      </c>
      <c r="O444" s="71" t="e">
        <f>AVERAGE($N$10:N444)</f>
        <v>#N/A</v>
      </c>
      <c r="P444" s="28" t="e">
        <f t="shared" si="106"/>
        <v>#N/A</v>
      </c>
      <c r="R444" s="28" t="e">
        <f t="shared" si="107"/>
        <v>#VALUE!</v>
      </c>
      <c r="S444" s="25"/>
      <c r="T444" s="25">
        <f t="shared" si="108"/>
        <v>15</v>
      </c>
      <c r="U444" s="33">
        <f>IF(PaybackCustom&gt;0, IF(PaybackCustom&lt;&gt;"Default", PaybackCustom, IF(PaybackStatus&lt;&gt;"",INDEX('Arbitrage Payback Engine'!$Y$2:$Y$6,MATCH(PaybackStatus,'Arbitrage Payback Engine'!$X$2:$X$6,FALSE)),-1)))</f>
        <v>25</v>
      </c>
      <c r="V444" s="32">
        <f t="shared" si="117"/>
        <v>15</v>
      </c>
      <c r="X444" s="29">
        <f t="shared" si="118"/>
        <v>435</v>
      </c>
      <c r="Z444" s="30">
        <f t="shared" si="109"/>
        <v>11.916175866319682</v>
      </c>
      <c r="AA444" s="28" t="e">
        <f t="shared" si="110"/>
        <v>#N/A</v>
      </c>
      <c r="AB444" s="28" t="e">
        <f t="shared" si="111"/>
        <v>#VALUE!</v>
      </c>
      <c r="AC444" s="29">
        <f t="shared" si="112"/>
        <v>412.71347248576848</v>
      </c>
      <c r="AD444" s="28" t="e">
        <f t="shared" si="113"/>
        <v>#VALUE!</v>
      </c>
      <c r="AE444" s="28" t="e">
        <f t="shared" si="114"/>
        <v>#N/A</v>
      </c>
      <c r="AF444" s="28" t="e">
        <f t="shared" si="115"/>
        <v>#VALUE!</v>
      </c>
      <c r="AH444" s="31" t="e">
        <f t="shared" si="116"/>
        <v>#N/A</v>
      </c>
      <c r="AI444" s="25"/>
      <c r="AJ444" s="31"/>
    </row>
    <row r="445" spans="2:36" x14ac:dyDescent="0.25">
      <c r="B445" s="33">
        <f>'Arbitrage Payback Engine'!E445</f>
        <v>11.943569374058347</v>
      </c>
      <c r="C445" s="33">
        <f t="shared" si="102"/>
        <v>1000</v>
      </c>
      <c r="D445" s="33">
        <f>'Battery Pricing Model'!$C$17</f>
        <v>1000</v>
      </c>
      <c r="E445" s="33">
        <f t="shared" si="103"/>
        <v>999</v>
      </c>
      <c r="F445" s="33" t="str">
        <f>'Peak Models'!$B$4</f>
        <v>Default</v>
      </c>
      <c r="G445" s="33" t="e">
        <f>'Peak Models'!$Q$7</f>
        <v>#VALUE!</v>
      </c>
      <c r="H445" s="33">
        <f>'Peak Models'!$P$16</f>
        <v>1.5</v>
      </c>
      <c r="I445" s="33">
        <v>12</v>
      </c>
      <c r="J445" s="33" t="e">
        <f>'Peak Models'!$P$13</f>
        <v>#N/A</v>
      </c>
      <c r="K445" s="28" t="e">
        <f t="shared" si="104"/>
        <v>#VALUE!</v>
      </c>
      <c r="L445" s="28" t="e">
        <f>INDEX('Peak Models'!$P$34:$P$64, MATCH(TRUNC(B445, 0), 'Peak Models'!$O$34:$O$64, 0))</f>
        <v>#N/A</v>
      </c>
      <c r="M445" s="28">
        <f>'Peak Models'!$P$15*INDEX('Peak Models'!$Q$34:$Q$64, MATCH(TRUNC(B445, 0),'Peak Models'!$O$34:$O$64, 0))/'Profit per cycles Model'!$E$78</f>
        <v>6.1745254484765457</v>
      </c>
      <c r="N445" s="28" t="e">
        <f t="shared" si="105"/>
        <v>#N/A</v>
      </c>
      <c r="O445" s="71" t="e">
        <f>AVERAGE($N$10:N445)</f>
        <v>#N/A</v>
      </c>
      <c r="P445" s="28" t="e">
        <f t="shared" si="106"/>
        <v>#N/A</v>
      </c>
      <c r="R445" s="28" t="e">
        <f t="shared" si="107"/>
        <v>#VALUE!</v>
      </c>
      <c r="S445" s="25"/>
      <c r="T445" s="25">
        <f t="shared" si="108"/>
        <v>15</v>
      </c>
      <c r="U445" s="33">
        <f>IF(PaybackCustom&gt;0, IF(PaybackCustom&lt;&gt;"Default", PaybackCustom, IF(PaybackStatus&lt;&gt;"",INDEX('Arbitrage Payback Engine'!$Y$2:$Y$6,MATCH(PaybackStatus,'Arbitrage Payback Engine'!$X$2:$X$6,FALSE)),-1)))</f>
        <v>25</v>
      </c>
      <c r="V445" s="32">
        <f t="shared" si="117"/>
        <v>15</v>
      </c>
      <c r="X445" s="29">
        <f t="shared" si="118"/>
        <v>436</v>
      </c>
      <c r="Z445" s="30">
        <f t="shared" si="109"/>
        <v>11.943569374058347</v>
      </c>
      <c r="AA445" s="28" t="e">
        <f t="shared" si="110"/>
        <v>#N/A</v>
      </c>
      <c r="AB445" s="28" t="e">
        <f t="shared" si="111"/>
        <v>#VALUE!</v>
      </c>
      <c r="AC445" s="29">
        <f t="shared" si="112"/>
        <v>413.66223908918403</v>
      </c>
      <c r="AD445" s="28" t="e">
        <f t="shared" si="113"/>
        <v>#VALUE!</v>
      </c>
      <c r="AE445" s="28" t="e">
        <f t="shared" si="114"/>
        <v>#N/A</v>
      </c>
      <c r="AF445" s="28" t="e">
        <f t="shared" si="115"/>
        <v>#VALUE!</v>
      </c>
      <c r="AH445" s="31" t="e">
        <f t="shared" si="116"/>
        <v>#N/A</v>
      </c>
      <c r="AI445" s="25"/>
      <c r="AJ445" s="31"/>
    </row>
    <row r="446" spans="2:36" x14ac:dyDescent="0.25">
      <c r="B446" s="33">
        <f>'Arbitrage Payback Engine'!E446</f>
        <v>11.970962881797014</v>
      </c>
      <c r="C446" s="33">
        <f t="shared" si="102"/>
        <v>1000</v>
      </c>
      <c r="D446" s="33">
        <f>'Battery Pricing Model'!$C$17</f>
        <v>1000</v>
      </c>
      <c r="E446" s="33">
        <f t="shared" si="103"/>
        <v>999</v>
      </c>
      <c r="F446" s="33" t="str">
        <f>'Peak Models'!$B$4</f>
        <v>Default</v>
      </c>
      <c r="G446" s="33" t="e">
        <f>'Peak Models'!$Q$7</f>
        <v>#VALUE!</v>
      </c>
      <c r="H446" s="33">
        <f>'Peak Models'!$P$16</f>
        <v>1.5</v>
      </c>
      <c r="I446" s="33">
        <v>12</v>
      </c>
      <c r="J446" s="33" t="e">
        <f>'Peak Models'!$P$13</f>
        <v>#N/A</v>
      </c>
      <c r="K446" s="28" t="e">
        <f t="shared" si="104"/>
        <v>#VALUE!</v>
      </c>
      <c r="L446" s="28" t="e">
        <f>INDEX('Peak Models'!$P$34:$P$64, MATCH(TRUNC(B446, 0), 'Peak Models'!$O$34:$O$64, 0))</f>
        <v>#N/A</v>
      </c>
      <c r="M446" s="28">
        <f>'Peak Models'!$P$15*INDEX('Peak Models'!$Q$34:$Q$64, MATCH(TRUNC(B446, 0),'Peak Models'!$O$34:$O$64, 0))/'Profit per cycles Model'!$E$78</f>
        <v>6.1745254484765457</v>
      </c>
      <c r="N446" s="28" t="e">
        <f t="shared" si="105"/>
        <v>#N/A</v>
      </c>
      <c r="O446" s="71" t="e">
        <f>AVERAGE($N$10:N446)</f>
        <v>#N/A</v>
      </c>
      <c r="P446" s="28" t="e">
        <f t="shared" si="106"/>
        <v>#N/A</v>
      </c>
      <c r="R446" s="28" t="e">
        <f t="shared" si="107"/>
        <v>#VALUE!</v>
      </c>
      <c r="S446" s="25"/>
      <c r="T446" s="25">
        <f t="shared" si="108"/>
        <v>15</v>
      </c>
      <c r="U446" s="33">
        <f>IF(PaybackCustom&gt;0, IF(PaybackCustom&lt;&gt;"Default", PaybackCustom, IF(PaybackStatus&lt;&gt;"",INDEX('Arbitrage Payback Engine'!$Y$2:$Y$6,MATCH(PaybackStatus,'Arbitrage Payback Engine'!$X$2:$X$6,FALSE)),-1)))</f>
        <v>25</v>
      </c>
      <c r="V446" s="32">
        <f t="shared" si="117"/>
        <v>15</v>
      </c>
      <c r="X446" s="29">
        <f t="shared" si="118"/>
        <v>437</v>
      </c>
      <c r="Z446" s="30">
        <f t="shared" si="109"/>
        <v>11.970962881797014</v>
      </c>
      <c r="AA446" s="28" t="e">
        <f t="shared" si="110"/>
        <v>#N/A</v>
      </c>
      <c r="AB446" s="28" t="e">
        <f t="shared" si="111"/>
        <v>#VALUE!</v>
      </c>
      <c r="AC446" s="29">
        <f t="shared" si="112"/>
        <v>414.61100569259963</v>
      </c>
      <c r="AD446" s="28" t="e">
        <f t="shared" si="113"/>
        <v>#VALUE!</v>
      </c>
      <c r="AE446" s="28" t="e">
        <f t="shared" si="114"/>
        <v>#N/A</v>
      </c>
      <c r="AF446" s="28" t="e">
        <f t="shared" si="115"/>
        <v>#VALUE!</v>
      </c>
      <c r="AH446" s="31" t="e">
        <f t="shared" si="116"/>
        <v>#N/A</v>
      </c>
      <c r="AI446" s="25"/>
      <c r="AJ446" s="31"/>
    </row>
    <row r="447" spans="2:36" x14ac:dyDescent="0.25">
      <c r="B447" s="33">
        <f>'Arbitrage Payback Engine'!E447</f>
        <v>11.99835638953568</v>
      </c>
      <c r="C447" s="33">
        <f t="shared" si="102"/>
        <v>1000</v>
      </c>
      <c r="D447" s="33">
        <f>'Battery Pricing Model'!$C$17</f>
        <v>1000</v>
      </c>
      <c r="E447" s="33">
        <f t="shared" si="103"/>
        <v>999</v>
      </c>
      <c r="F447" s="33" t="str">
        <f>'Peak Models'!$B$4</f>
        <v>Default</v>
      </c>
      <c r="G447" s="33" t="e">
        <f>'Peak Models'!$Q$7</f>
        <v>#VALUE!</v>
      </c>
      <c r="H447" s="33">
        <f>'Peak Models'!$P$16</f>
        <v>1.5</v>
      </c>
      <c r="I447" s="33">
        <v>12</v>
      </c>
      <c r="J447" s="33" t="e">
        <f>'Peak Models'!$P$13</f>
        <v>#N/A</v>
      </c>
      <c r="K447" s="28" t="e">
        <f t="shared" si="104"/>
        <v>#VALUE!</v>
      </c>
      <c r="L447" s="28" t="e">
        <f>INDEX('Peak Models'!$P$34:$P$64, MATCH(TRUNC(B447, 0), 'Peak Models'!$O$34:$O$64, 0))</f>
        <v>#N/A</v>
      </c>
      <c r="M447" s="28">
        <f>'Peak Models'!$P$15*INDEX('Peak Models'!$Q$34:$Q$64, MATCH(TRUNC(B447, 0),'Peak Models'!$O$34:$O$64, 0))/'Profit per cycles Model'!$E$78</f>
        <v>6.1745254484765457</v>
      </c>
      <c r="N447" s="28" t="e">
        <f t="shared" si="105"/>
        <v>#N/A</v>
      </c>
      <c r="O447" s="71" t="e">
        <f>AVERAGE($N$10:N447)</f>
        <v>#N/A</v>
      </c>
      <c r="P447" s="28" t="e">
        <f t="shared" si="106"/>
        <v>#N/A</v>
      </c>
      <c r="R447" s="28" t="e">
        <f t="shared" si="107"/>
        <v>#VALUE!</v>
      </c>
      <c r="S447" s="25"/>
      <c r="T447" s="25">
        <f t="shared" si="108"/>
        <v>15</v>
      </c>
      <c r="U447" s="33">
        <f>IF(PaybackCustom&gt;0, IF(PaybackCustom&lt;&gt;"Default", PaybackCustom, IF(PaybackStatus&lt;&gt;"",INDEX('Arbitrage Payback Engine'!$Y$2:$Y$6,MATCH(PaybackStatus,'Arbitrage Payback Engine'!$X$2:$X$6,FALSE)),-1)))</f>
        <v>25</v>
      </c>
      <c r="V447" s="32">
        <f t="shared" si="117"/>
        <v>15</v>
      </c>
      <c r="X447" s="29">
        <f t="shared" si="118"/>
        <v>438</v>
      </c>
      <c r="Z447" s="30">
        <f t="shared" si="109"/>
        <v>11.99835638953568</v>
      </c>
      <c r="AA447" s="28" t="e">
        <f t="shared" si="110"/>
        <v>#N/A</v>
      </c>
      <c r="AB447" s="28" t="e">
        <f t="shared" si="111"/>
        <v>#VALUE!</v>
      </c>
      <c r="AC447" s="29">
        <f t="shared" si="112"/>
        <v>415.55977229601518</v>
      </c>
      <c r="AD447" s="28" t="e">
        <f t="shared" si="113"/>
        <v>#VALUE!</v>
      </c>
      <c r="AE447" s="28" t="e">
        <f t="shared" si="114"/>
        <v>#N/A</v>
      </c>
      <c r="AF447" s="28" t="e">
        <f t="shared" si="115"/>
        <v>#VALUE!</v>
      </c>
      <c r="AH447" s="31" t="e">
        <f t="shared" si="116"/>
        <v>#N/A</v>
      </c>
      <c r="AI447" s="25"/>
      <c r="AJ447" s="31"/>
    </row>
    <row r="448" spans="2:36" x14ac:dyDescent="0.25">
      <c r="B448" s="33">
        <f>'Arbitrage Payback Engine'!E448</f>
        <v>12.025749897274345</v>
      </c>
      <c r="C448" s="33">
        <f t="shared" si="102"/>
        <v>1000</v>
      </c>
      <c r="D448" s="33">
        <f>'Battery Pricing Model'!$C$17</f>
        <v>1000</v>
      </c>
      <c r="E448" s="33">
        <f t="shared" si="103"/>
        <v>999</v>
      </c>
      <c r="F448" s="33" t="str">
        <f>'Peak Models'!$B$4</f>
        <v>Default</v>
      </c>
      <c r="G448" s="33" t="e">
        <f>'Peak Models'!$Q$7</f>
        <v>#VALUE!</v>
      </c>
      <c r="H448" s="33">
        <f>'Peak Models'!$P$16</f>
        <v>1.5</v>
      </c>
      <c r="I448" s="33">
        <v>12</v>
      </c>
      <c r="J448" s="33" t="e">
        <f>'Peak Models'!$P$13</f>
        <v>#N/A</v>
      </c>
      <c r="K448" s="28" t="e">
        <f t="shared" si="104"/>
        <v>#VALUE!</v>
      </c>
      <c r="L448" s="28" t="e">
        <f>INDEX('Peak Models'!$P$34:$P$64, MATCH(TRUNC(B448, 0), 'Peak Models'!$O$34:$O$64, 0))</f>
        <v>#N/A</v>
      </c>
      <c r="M448" s="28">
        <f>'Peak Models'!$P$15*INDEX('Peak Models'!$Q$34:$Q$64, MATCH(TRUNC(B448, 0),'Peak Models'!$O$34:$O$64, 0))/'Profit per cycles Model'!$E$78</f>
        <v>6.3288885846884595</v>
      </c>
      <c r="N448" s="28" t="e">
        <f t="shared" si="105"/>
        <v>#N/A</v>
      </c>
      <c r="O448" s="71" t="e">
        <f>AVERAGE($N$10:N448)</f>
        <v>#N/A</v>
      </c>
      <c r="P448" s="28" t="e">
        <f t="shared" si="106"/>
        <v>#N/A</v>
      </c>
      <c r="R448" s="28" t="e">
        <f t="shared" si="107"/>
        <v>#VALUE!</v>
      </c>
      <c r="S448" s="25"/>
      <c r="T448" s="25">
        <f t="shared" si="108"/>
        <v>15</v>
      </c>
      <c r="U448" s="33">
        <f>IF(PaybackCustom&gt;0, IF(PaybackCustom&lt;&gt;"Default", PaybackCustom, IF(PaybackStatus&lt;&gt;"",INDEX('Arbitrage Payback Engine'!$Y$2:$Y$6,MATCH(PaybackStatus,'Arbitrage Payback Engine'!$X$2:$X$6,FALSE)),-1)))</f>
        <v>25</v>
      </c>
      <c r="V448" s="32">
        <f t="shared" si="117"/>
        <v>15</v>
      </c>
      <c r="X448" s="29">
        <f t="shared" si="118"/>
        <v>439</v>
      </c>
      <c r="Z448" s="30">
        <f t="shared" si="109"/>
        <v>12.025749897274345</v>
      </c>
      <c r="AA448" s="28" t="e">
        <f t="shared" si="110"/>
        <v>#N/A</v>
      </c>
      <c r="AB448" s="28" t="e">
        <f t="shared" si="111"/>
        <v>#VALUE!</v>
      </c>
      <c r="AC448" s="29">
        <f t="shared" si="112"/>
        <v>416.50853889943073</v>
      </c>
      <c r="AD448" s="28" t="e">
        <f t="shared" si="113"/>
        <v>#VALUE!</v>
      </c>
      <c r="AE448" s="28" t="e">
        <f t="shared" si="114"/>
        <v>#N/A</v>
      </c>
      <c r="AF448" s="28" t="e">
        <f t="shared" si="115"/>
        <v>#VALUE!</v>
      </c>
      <c r="AH448" s="31" t="e">
        <f t="shared" si="116"/>
        <v>#N/A</v>
      </c>
      <c r="AI448" s="25"/>
      <c r="AJ448" s="31"/>
    </row>
    <row r="449" spans="2:36" x14ac:dyDescent="0.25">
      <c r="B449" s="33">
        <f>'Arbitrage Payback Engine'!E449</f>
        <v>12.053143405013012</v>
      </c>
      <c r="C449" s="33">
        <f t="shared" si="102"/>
        <v>1000</v>
      </c>
      <c r="D449" s="33">
        <f>'Battery Pricing Model'!$C$17</f>
        <v>1000</v>
      </c>
      <c r="E449" s="33">
        <f t="shared" si="103"/>
        <v>999</v>
      </c>
      <c r="F449" s="33" t="str">
        <f>'Peak Models'!$B$4</f>
        <v>Default</v>
      </c>
      <c r="G449" s="33" t="e">
        <f>'Peak Models'!$Q$7</f>
        <v>#VALUE!</v>
      </c>
      <c r="H449" s="33">
        <f>'Peak Models'!$P$16</f>
        <v>1.5</v>
      </c>
      <c r="I449" s="33">
        <v>12</v>
      </c>
      <c r="J449" s="33" t="e">
        <f>'Peak Models'!$P$13</f>
        <v>#N/A</v>
      </c>
      <c r="K449" s="28" t="e">
        <f t="shared" si="104"/>
        <v>#VALUE!</v>
      </c>
      <c r="L449" s="28" t="e">
        <f>INDEX('Peak Models'!$P$34:$P$64, MATCH(TRUNC(B449, 0), 'Peak Models'!$O$34:$O$64, 0))</f>
        <v>#N/A</v>
      </c>
      <c r="M449" s="28">
        <f>'Peak Models'!$P$15*INDEX('Peak Models'!$Q$34:$Q$64, MATCH(TRUNC(B449, 0),'Peak Models'!$O$34:$O$64, 0))/'Profit per cycles Model'!$E$78</f>
        <v>6.3288885846884595</v>
      </c>
      <c r="N449" s="28" t="e">
        <f t="shared" si="105"/>
        <v>#N/A</v>
      </c>
      <c r="O449" s="71" t="e">
        <f>AVERAGE($N$10:N449)</f>
        <v>#N/A</v>
      </c>
      <c r="P449" s="28" t="e">
        <f t="shared" si="106"/>
        <v>#N/A</v>
      </c>
      <c r="R449" s="28" t="e">
        <f t="shared" si="107"/>
        <v>#VALUE!</v>
      </c>
      <c r="S449" s="25"/>
      <c r="T449" s="25">
        <f t="shared" si="108"/>
        <v>15</v>
      </c>
      <c r="U449" s="33">
        <f>IF(PaybackCustom&gt;0, IF(PaybackCustom&lt;&gt;"Default", PaybackCustom, IF(PaybackStatus&lt;&gt;"",INDEX('Arbitrage Payback Engine'!$Y$2:$Y$6,MATCH(PaybackStatus,'Arbitrage Payback Engine'!$X$2:$X$6,FALSE)),-1)))</f>
        <v>25</v>
      </c>
      <c r="V449" s="32">
        <f t="shared" si="117"/>
        <v>15</v>
      </c>
      <c r="X449" s="29">
        <f t="shared" si="118"/>
        <v>440</v>
      </c>
      <c r="Z449" s="30">
        <f t="shared" si="109"/>
        <v>12.053143405013012</v>
      </c>
      <c r="AA449" s="28" t="e">
        <f t="shared" si="110"/>
        <v>#N/A</v>
      </c>
      <c r="AB449" s="28" t="e">
        <f t="shared" si="111"/>
        <v>#VALUE!</v>
      </c>
      <c r="AC449" s="29">
        <f t="shared" si="112"/>
        <v>417.45730550284634</v>
      </c>
      <c r="AD449" s="28" t="e">
        <f t="shared" si="113"/>
        <v>#VALUE!</v>
      </c>
      <c r="AE449" s="28" t="e">
        <f t="shared" si="114"/>
        <v>#N/A</v>
      </c>
      <c r="AF449" s="28" t="e">
        <f t="shared" si="115"/>
        <v>#VALUE!</v>
      </c>
      <c r="AH449" s="31" t="e">
        <f t="shared" si="116"/>
        <v>#N/A</v>
      </c>
      <c r="AI449" s="25"/>
      <c r="AJ449" s="31"/>
    </row>
    <row r="450" spans="2:36" x14ac:dyDescent="0.25">
      <c r="B450" s="33">
        <f>'Arbitrage Payback Engine'!E450</f>
        <v>12.080536912751677</v>
      </c>
      <c r="C450" s="33">
        <f t="shared" si="102"/>
        <v>1000</v>
      </c>
      <c r="D450" s="33">
        <f>'Battery Pricing Model'!$C$17</f>
        <v>1000</v>
      </c>
      <c r="E450" s="33">
        <f t="shared" si="103"/>
        <v>999</v>
      </c>
      <c r="F450" s="33" t="str">
        <f>'Peak Models'!$B$4</f>
        <v>Default</v>
      </c>
      <c r="G450" s="33" t="e">
        <f>'Peak Models'!$Q$7</f>
        <v>#VALUE!</v>
      </c>
      <c r="H450" s="33">
        <f>'Peak Models'!$P$16</f>
        <v>1.5</v>
      </c>
      <c r="I450" s="33">
        <v>12</v>
      </c>
      <c r="J450" s="33" t="e">
        <f>'Peak Models'!$P$13</f>
        <v>#N/A</v>
      </c>
      <c r="K450" s="28" t="e">
        <f t="shared" si="104"/>
        <v>#VALUE!</v>
      </c>
      <c r="L450" s="28" t="e">
        <f>INDEX('Peak Models'!$P$34:$P$64, MATCH(TRUNC(B450, 0), 'Peak Models'!$O$34:$O$64, 0))</f>
        <v>#N/A</v>
      </c>
      <c r="M450" s="28">
        <f>'Peak Models'!$P$15*INDEX('Peak Models'!$Q$34:$Q$64, MATCH(TRUNC(B450, 0),'Peak Models'!$O$34:$O$64, 0))/'Profit per cycles Model'!$E$78</f>
        <v>6.3288885846884595</v>
      </c>
      <c r="N450" s="28" t="e">
        <f t="shared" si="105"/>
        <v>#N/A</v>
      </c>
      <c r="O450" s="71" t="e">
        <f>AVERAGE($N$10:N450)</f>
        <v>#N/A</v>
      </c>
      <c r="P450" s="28" t="e">
        <f t="shared" si="106"/>
        <v>#N/A</v>
      </c>
      <c r="R450" s="28" t="e">
        <f t="shared" si="107"/>
        <v>#VALUE!</v>
      </c>
      <c r="S450" s="25"/>
      <c r="T450" s="25">
        <f t="shared" si="108"/>
        <v>15</v>
      </c>
      <c r="U450" s="33">
        <f>IF(PaybackCustom&gt;0, IF(PaybackCustom&lt;&gt;"Default", PaybackCustom, IF(PaybackStatus&lt;&gt;"",INDEX('Arbitrage Payback Engine'!$Y$2:$Y$6,MATCH(PaybackStatus,'Arbitrage Payback Engine'!$X$2:$X$6,FALSE)),-1)))</f>
        <v>25</v>
      </c>
      <c r="V450" s="32">
        <f t="shared" si="117"/>
        <v>15</v>
      </c>
      <c r="X450" s="29">
        <f t="shared" si="118"/>
        <v>441</v>
      </c>
      <c r="Z450" s="30">
        <f t="shared" si="109"/>
        <v>12.080536912751677</v>
      </c>
      <c r="AA450" s="28" t="e">
        <f t="shared" si="110"/>
        <v>#N/A</v>
      </c>
      <c r="AB450" s="28" t="e">
        <f t="shared" si="111"/>
        <v>#VALUE!</v>
      </c>
      <c r="AC450" s="29">
        <f t="shared" si="112"/>
        <v>418.40607210626183</v>
      </c>
      <c r="AD450" s="28" t="e">
        <f t="shared" si="113"/>
        <v>#VALUE!</v>
      </c>
      <c r="AE450" s="28" t="e">
        <f t="shared" si="114"/>
        <v>#N/A</v>
      </c>
      <c r="AF450" s="28" t="e">
        <f t="shared" si="115"/>
        <v>#VALUE!</v>
      </c>
      <c r="AH450" s="31" t="e">
        <f t="shared" si="116"/>
        <v>#N/A</v>
      </c>
      <c r="AI450" s="25"/>
      <c r="AJ450" s="31"/>
    </row>
    <row r="451" spans="2:36" x14ac:dyDescent="0.25">
      <c r="B451" s="33">
        <f>'Arbitrage Payback Engine'!E451</f>
        <v>12.107930420490343</v>
      </c>
      <c r="C451" s="33">
        <f t="shared" si="102"/>
        <v>1000</v>
      </c>
      <c r="D451" s="33">
        <f>'Battery Pricing Model'!$C$17</f>
        <v>1000</v>
      </c>
      <c r="E451" s="33">
        <f t="shared" si="103"/>
        <v>999</v>
      </c>
      <c r="F451" s="33" t="str">
        <f>'Peak Models'!$B$4</f>
        <v>Default</v>
      </c>
      <c r="G451" s="33" t="e">
        <f>'Peak Models'!$Q$7</f>
        <v>#VALUE!</v>
      </c>
      <c r="H451" s="33">
        <f>'Peak Models'!$P$16</f>
        <v>1.5</v>
      </c>
      <c r="I451" s="33">
        <v>12</v>
      </c>
      <c r="J451" s="33" t="e">
        <f>'Peak Models'!$P$13</f>
        <v>#N/A</v>
      </c>
      <c r="K451" s="28" t="e">
        <f t="shared" si="104"/>
        <v>#VALUE!</v>
      </c>
      <c r="L451" s="28" t="e">
        <f>INDEX('Peak Models'!$P$34:$P$64, MATCH(TRUNC(B451, 0), 'Peak Models'!$O$34:$O$64, 0))</f>
        <v>#N/A</v>
      </c>
      <c r="M451" s="28">
        <f>'Peak Models'!$P$15*INDEX('Peak Models'!$Q$34:$Q$64, MATCH(TRUNC(B451, 0),'Peak Models'!$O$34:$O$64, 0))/'Profit per cycles Model'!$E$78</f>
        <v>6.3288885846884595</v>
      </c>
      <c r="N451" s="28" t="e">
        <f t="shared" si="105"/>
        <v>#N/A</v>
      </c>
      <c r="O451" s="71" t="e">
        <f>AVERAGE($N$10:N451)</f>
        <v>#N/A</v>
      </c>
      <c r="P451" s="28" t="e">
        <f t="shared" si="106"/>
        <v>#N/A</v>
      </c>
      <c r="R451" s="28" t="e">
        <f t="shared" si="107"/>
        <v>#VALUE!</v>
      </c>
      <c r="S451" s="25"/>
      <c r="T451" s="25">
        <f t="shared" si="108"/>
        <v>15</v>
      </c>
      <c r="U451" s="33">
        <f>IF(PaybackCustom&gt;0, IF(PaybackCustom&lt;&gt;"Default", PaybackCustom, IF(PaybackStatus&lt;&gt;"",INDEX('Arbitrage Payback Engine'!$Y$2:$Y$6,MATCH(PaybackStatus,'Arbitrage Payback Engine'!$X$2:$X$6,FALSE)),-1)))</f>
        <v>25</v>
      </c>
      <c r="V451" s="32">
        <f t="shared" si="117"/>
        <v>15</v>
      </c>
      <c r="X451" s="29">
        <f t="shared" si="118"/>
        <v>442</v>
      </c>
      <c r="Z451" s="30">
        <f t="shared" si="109"/>
        <v>12.107930420490343</v>
      </c>
      <c r="AA451" s="28" t="e">
        <f t="shared" si="110"/>
        <v>#N/A</v>
      </c>
      <c r="AB451" s="28" t="e">
        <f t="shared" si="111"/>
        <v>#VALUE!</v>
      </c>
      <c r="AC451" s="29">
        <f t="shared" si="112"/>
        <v>419.35483870967738</v>
      </c>
      <c r="AD451" s="28" t="e">
        <f t="shared" si="113"/>
        <v>#VALUE!</v>
      </c>
      <c r="AE451" s="28" t="e">
        <f t="shared" si="114"/>
        <v>#N/A</v>
      </c>
      <c r="AF451" s="28" t="e">
        <f t="shared" si="115"/>
        <v>#VALUE!</v>
      </c>
      <c r="AH451" s="31" t="e">
        <f t="shared" si="116"/>
        <v>#N/A</v>
      </c>
      <c r="AI451" s="25"/>
      <c r="AJ451" s="31"/>
    </row>
    <row r="452" spans="2:36" x14ac:dyDescent="0.25">
      <c r="B452" s="33">
        <f>'Arbitrage Payback Engine'!E452</f>
        <v>12.13532392822901</v>
      </c>
      <c r="C452" s="33">
        <f t="shared" si="102"/>
        <v>1000</v>
      </c>
      <c r="D452" s="33">
        <f>'Battery Pricing Model'!$C$17</f>
        <v>1000</v>
      </c>
      <c r="E452" s="33">
        <f t="shared" si="103"/>
        <v>999</v>
      </c>
      <c r="F452" s="33" t="str">
        <f>'Peak Models'!$B$4</f>
        <v>Default</v>
      </c>
      <c r="G452" s="33" t="e">
        <f>'Peak Models'!$Q$7</f>
        <v>#VALUE!</v>
      </c>
      <c r="H452" s="33">
        <f>'Peak Models'!$P$16</f>
        <v>1.5</v>
      </c>
      <c r="I452" s="33">
        <v>12</v>
      </c>
      <c r="J452" s="33" t="e">
        <f>'Peak Models'!$P$13</f>
        <v>#N/A</v>
      </c>
      <c r="K452" s="28" t="e">
        <f t="shared" si="104"/>
        <v>#VALUE!</v>
      </c>
      <c r="L452" s="28" t="e">
        <f>INDEX('Peak Models'!$P$34:$P$64, MATCH(TRUNC(B452, 0), 'Peak Models'!$O$34:$O$64, 0))</f>
        <v>#N/A</v>
      </c>
      <c r="M452" s="28">
        <f>'Peak Models'!$P$15*INDEX('Peak Models'!$Q$34:$Q$64, MATCH(TRUNC(B452, 0),'Peak Models'!$O$34:$O$64, 0))/'Profit per cycles Model'!$E$78</f>
        <v>6.3288885846884595</v>
      </c>
      <c r="N452" s="28" t="e">
        <f t="shared" si="105"/>
        <v>#N/A</v>
      </c>
      <c r="O452" s="71" t="e">
        <f>AVERAGE($N$10:N452)</f>
        <v>#N/A</v>
      </c>
      <c r="P452" s="28" t="e">
        <f t="shared" si="106"/>
        <v>#N/A</v>
      </c>
      <c r="R452" s="28" t="e">
        <f t="shared" si="107"/>
        <v>#VALUE!</v>
      </c>
      <c r="S452" s="25"/>
      <c r="T452" s="25">
        <f t="shared" si="108"/>
        <v>15</v>
      </c>
      <c r="U452" s="33">
        <f>IF(PaybackCustom&gt;0, IF(PaybackCustom&lt;&gt;"Default", PaybackCustom, IF(PaybackStatus&lt;&gt;"",INDEX('Arbitrage Payback Engine'!$Y$2:$Y$6,MATCH(PaybackStatus,'Arbitrage Payback Engine'!$X$2:$X$6,FALSE)),-1)))</f>
        <v>25</v>
      </c>
      <c r="V452" s="32">
        <f t="shared" si="117"/>
        <v>15</v>
      </c>
      <c r="X452" s="29">
        <f t="shared" si="118"/>
        <v>443</v>
      </c>
      <c r="Z452" s="30">
        <f t="shared" si="109"/>
        <v>12.13532392822901</v>
      </c>
      <c r="AA452" s="28" t="e">
        <f t="shared" si="110"/>
        <v>#N/A</v>
      </c>
      <c r="AB452" s="28" t="e">
        <f t="shared" si="111"/>
        <v>#VALUE!</v>
      </c>
      <c r="AC452" s="29">
        <f t="shared" si="112"/>
        <v>420.30360531309304</v>
      </c>
      <c r="AD452" s="28" t="e">
        <f t="shared" si="113"/>
        <v>#VALUE!</v>
      </c>
      <c r="AE452" s="28" t="e">
        <f t="shared" si="114"/>
        <v>#N/A</v>
      </c>
      <c r="AF452" s="28" t="e">
        <f t="shared" si="115"/>
        <v>#VALUE!</v>
      </c>
      <c r="AH452" s="31" t="e">
        <f t="shared" si="116"/>
        <v>#N/A</v>
      </c>
      <c r="AI452" s="25"/>
      <c r="AJ452" s="31"/>
    </row>
    <row r="453" spans="2:36" x14ac:dyDescent="0.25">
      <c r="B453" s="33">
        <f>'Arbitrage Payback Engine'!E453</f>
        <v>12.162717435967675</v>
      </c>
      <c r="C453" s="33">
        <f t="shared" si="102"/>
        <v>1000</v>
      </c>
      <c r="D453" s="33">
        <f>'Battery Pricing Model'!$C$17</f>
        <v>1000</v>
      </c>
      <c r="E453" s="33">
        <f t="shared" si="103"/>
        <v>999</v>
      </c>
      <c r="F453" s="33" t="str">
        <f>'Peak Models'!$B$4</f>
        <v>Default</v>
      </c>
      <c r="G453" s="33" t="e">
        <f>'Peak Models'!$Q$7</f>
        <v>#VALUE!</v>
      </c>
      <c r="H453" s="33">
        <f>'Peak Models'!$P$16</f>
        <v>1.5</v>
      </c>
      <c r="I453" s="33">
        <v>12</v>
      </c>
      <c r="J453" s="33" t="e">
        <f>'Peak Models'!$P$13</f>
        <v>#N/A</v>
      </c>
      <c r="K453" s="28" t="e">
        <f t="shared" si="104"/>
        <v>#VALUE!</v>
      </c>
      <c r="L453" s="28" t="e">
        <f>INDEX('Peak Models'!$P$34:$P$64, MATCH(TRUNC(B453, 0), 'Peak Models'!$O$34:$O$64, 0))</f>
        <v>#N/A</v>
      </c>
      <c r="M453" s="28">
        <f>'Peak Models'!$P$15*INDEX('Peak Models'!$Q$34:$Q$64, MATCH(TRUNC(B453, 0),'Peak Models'!$O$34:$O$64, 0))/'Profit per cycles Model'!$E$78</f>
        <v>6.3288885846884595</v>
      </c>
      <c r="N453" s="28" t="e">
        <f t="shared" si="105"/>
        <v>#N/A</v>
      </c>
      <c r="O453" s="71" t="e">
        <f>AVERAGE($N$10:N453)</f>
        <v>#N/A</v>
      </c>
      <c r="P453" s="28" t="e">
        <f t="shared" si="106"/>
        <v>#N/A</v>
      </c>
      <c r="R453" s="28" t="e">
        <f t="shared" si="107"/>
        <v>#VALUE!</v>
      </c>
      <c r="S453" s="25"/>
      <c r="T453" s="25">
        <f t="shared" si="108"/>
        <v>15</v>
      </c>
      <c r="U453" s="33">
        <f>IF(PaybackCustom&gt;0, IF(PaybackCustom&lt;&gt;"Default", PaybackCustom, IF(PaybackStatus&lt;&gt;"",INDEX('Arbitrage Payback Engine'!$Y$2:$Y$6,MATCH(PaybackStatus,'Arbitrage Payback Engine'!$X$2:$X$6,FALSE)),-1)))</f>
        <v>25</v>
      </c>
      <c r="V453" s="32">
        <f t="shared" si="117"/>
        <v>15</v>
      </c>
      <c r="X453" s="29">
        <f t="shared" si="118"/>
        <v>444</v>
      </c>
      <c r="Z453" s="30">
        <f t="shared" si="109"/>
        <v>12.162717435967675</v>
      </c>
      <c r="AA453" s="28" t="e">
        <f t="shared" si="110"/>
        <v>#N/A</v>
      </c>
      <c r="AB453" s="28" t="e">
        <f t="shared" si="111"/>
        <v>#VALUE!</v>
      </c>
      <c r="AC453" s="29">
        <f t="shared" si="112"/>
        <v>421.25237191650854</v>
      </c>
      <c r="AD453" s="28" t="e">
        <f t="shared" si="113"/>
        <v>#VALUE!</v>
      </c>
      <c r="AE453" s="28" t="e">
        <f t="shared" si="114"/>
        <v>#N/A</v>
      </c>
      <c r="AF453" s="28" t="e">
        <f t="shared" si="115"/>
        <v>#VALUE!</v>
      </c>
      <c r="AH453" s="31" t="e">
        <f t="shared" si="116"/>
        <v>#N/A</v>
      </c>
      <c r="AI453" s="25"/>
      <c r="AJ453" s="31"/>
    </row>
    <row r="454" spans="2:36" x14ac:dyDescent="0.25">
      <c r="B454" s="33">
        <f>'Arbitrage Payback Engine'!E454</f>
        <v>12.19011094370634</v>
      </c>
      <c r="C454" s="33">
        <f t="shared" si="102"/>
        <v>1000</v>
      </c>
      <c r="D454" s="33">
        <f>'Battery Pricing Model'!$C$17</f>
        <v>1000</v>
      </c>
      <c r="E454" s="33">
        <f t="shared" si="103"/>
        <v>999</v>
      </c>
      <c r="F454" s="33" t="str">
        <f>'Peak Models'!$B$4</f>
        <v>Default</v>
      </c>
      <c r="G454" s="33" t="e">
        <f>'Peak Models'!$Q$7</f>
        <v>#VALUE!</v>
      </c>
      <c r="H454" s="33">
        <f>'Peak Models'!$P$16</f>
        <v>1.5</v>
      </c>
      <c r="I454" s="33">
        <v>12</v>
      </c>
      <c r="J454" s="33" t="e">
        <f>'Peak Models'!$P$13</f>
        <v>#N/A</v>
      </c>
      <c r="K454" s="28" t="e">
        <f t="shared" si="104"/>
        <v>#VALUE!</v>
      </c>
      <c r="L454" s="28" t="e">
        <f>INDEX('Peak Models'!$P$34:$P$64, MATCH(TRUNC(B454, 0), 'Peak Models'!$O$34:$O$64, 0))</f>
        <v>#N/A</v>
      </c>
      <c r="M454" s="28">
        <f>'Peak Models'!$P$15*INDEX('Peak Models'!$Q$34:$Q$64, MATCH(TRUNC(B454, 0),'Peak Models'!$O$34:$O$64, 0))/'Profit per cycles Model'!$E$78</f>
        <v>6.3288885846884595</v>
      </c>
      <c r="N454" s="28" t="e">
        <f t="shared" si="105"/>
        <v>#N/A</v>
      </c>
      <c r="O454" s="71" t="e">
        <f>AVERAGE($N$10:N454)</f>
        <v>#N/A</v>
      </c>
      <c r="P454" s="28" t="e">
        <f t="shared" si="106"/>
        <v>#N/A</v>
      </c>
      <c r="R454" s="28" t="e">
        <f t="shared" si="107"/>
        <v>#VALUE!</v>
      </c>
      <c r="S454" s="25"/>
      <c r="T454" s="25">
        <f t="shared" si="108"/>
        <v>15</v>
      </c>
      <c r="U454" s="33">
        <f>IF(PaybackCustom&gt;0, IF(PaybackCustom&lt;&gt;"Default", PaybackCustom, IF(PaybackStatus&lt;&gt;"",INDEX('Arbitrage Payback Engine'!$Y$2:$Y$6,MATCH(PaybackStatus,'Arbitrage Payback Engine'!$X$2:$X$6,FALSE)),-1)))</f>
        <v>25</v>
      </c>
      <c r="V454" s="32">
        <f t="shared" si="117"/>
        <v>15</v>
      </c>
      <c r="X454" s="29">
        <f t="shared" si="118"/>
        <v>445</v>
      </c>
      <c r="Z454" s="30">
        <f t="shared" si="109"/>
        <v>12.19011094370634</v>
      </c>
      <c r="AA454" s="28" t="e">
        <f t="shared" si="110"/>
        <v>#N/A</v>
      </c>
      <c r="AB454" s="28" t="e">
        <f t="shared" si="111"/>
        <v>#VALUE!</v>
      </c>
      <c r="AC454" s="29">
        <f t="shared" si="112"/>
        <v>422.20113851992409</v>
      </c>
      <c r="AD454" s="28" t="e">
        <f t="shared" si="113"/>
        <v>#VALUE!</v>
      </c>
      <c r="AE454" s="28" t="e">
        <f t="shared" si="114"/>
        <v>#N/A</v>
      </c>
      <c r="AF454" s="28" t="e">
        <f t="shared" si="115"/>
        <v>#VALUE!</v>
      </c>
      <c r="AH454" s="31" t="e">
        <f t="shared" si="116"/>
        <v>#N/A</v>
      </c>
      <c r="AI454" s="25"/>
      <c r="AJ454" s="31"/>
    </row>
    <row r="455" spans="2:36" x14ac:dyDescent="0.25">
      <c r="B455" s="33">
        <f>'Arbitrage Payback Engine'!E455</f>
        <v>12.217504451445008</v>
      </c>
      <c r="C455" s="33">
        <f t="shared" si="102"/>
        <v>1000</v>
      </c>
      <c r="D455" s="33">
        <f>'Battery Pricing Model'!$C$17</f>
        <v>1000</v>
      </c>
      <c r="E455" s="33">
        <f t="shared" si="103"/>
        <v>999</v>
      </c>
      <c r="F455" s="33" t="str">
        <f>'Peak Models'!$B$4</f>
        <v>Default</v>
      </c>
      <c r="G455" s="33" t="e">
        <f>'Peak Models'!$Q$7</f>
        <v>#VALUE!</v>
      </c>
      <c r="H455" s="33">
        <f>'Peak Models'!$P$16</f>
        <v>1.5</v>
      </c>
      <c r="I455" s="33">
        <v>12</v>
      </c>
      <c r="J455" s="33" t="e">
        <f>'Peak Models'!$P$13</f>
        <v>#N/A</v>
      </c>
      <c r="K455" s="28" t="e">
        <f t="shared" si="104"/>
        <v>#VALUE!</v>
      </c>
      <c r="L455" s="28" t="e">
        <f>INDEX('Peak Models'!$P$34:$P$64, MATCH(TRUNC(B455, 0), 'Peak Models'!$O$34:$O$64, 0))</f>
        <v>#N/A</v>
      </c>
      <c r="M455" s="28">
        <f>'Peak Models'!$P$15*INDEX('Peak Models'!$Q$34:$Q$64, MATCH(TRUNC(B455, 0),'Peak Models'!$O$34:$O$64, 0))/'Profit per cycles Model'!$E$78</f>
        <v>6.3288885846884595</v>
      </c>
      <c r="N455" s="28" t="e">
        <f t="shared" si="105"/>
        <v>#N/A</v>
      </c>
      <c r="O455" s="71" t="e">
        <f>AVERAGE($N$10:N455)</f>
        <v>#N/A</v>
      </c>
      <c r="P455" s="28" t="e">
        <f t="shared" si="106"/>
        <v>#N/A</v>
      </c>
      <c r="R455" s="28" t="e">
        <f t="shared" si="107"/>
        <v>#VALUE!</v>
      </c>
      <c r="S455" s="25"/>
      <c r="T455" s="25">
        <f t="shared" si="108"/>
        <v>15</v>
      </c>
      <c r="U455" s="33">
        <f>IF(PaybackCustom&gt;0, IF(PaybackCustom&lt;&gt;"Default", PaybackCustom, IF(PaybackStatus&lt;&gt;"",INDEX('Arbitrage Payback Engine'!$Y$2:$Y$6,MATCH(PaybackStatus,'Arbitrage Payback Engine'!$X$2:$X$6,FALSE)),-1)))</f>
        <v>25</v>
      </c>
      <c r="V455" s="32">
        <f t="shared" si="117"/>
        <v>15</v>
      </c>
      <c r="X455" s="29">
        <f t="shared" si="118"/>
        <v>446</v>
      </c>
      <c r="Z455" s="30">
        <f t="shared" si="109"/>
        <v>12.217504451445008</v>
      </c>
      <c r="AA455" s="28" t="e">
        <f t="shared" si="110"/>
        <v>#N/A</v>
      </c>
      <c r="AB455" s="28" t="e">
        <f t="shared" si="111"/>
        <v>#VALUE!</v>
      </c>
      <c r="AC455" s="29">
        <f t="shared" si="112"/>
        <v>423.14990512333969</v>
      </c>
      <c r="AD455" s="28" t="e">
        <f t="shared" si="113"/>
        <v>#VALUE!</v>
      </c>
      <c r="AE455" s="28" t="e">
        <f t="shared" si="114"/>
        <v>#N/A</v>
      </c>
      <c r="AF455" s="28" t="e">
        <f t="shared" si="115"/>
        <v>#VALUE!</v>
      </c>
      <c r="AH455" s="31" t="e">
        <f t="shared" si="116"/>
        <v>#N/A</v>
      </c>
      <c r="AI455" s="25"/>
      <c r="AJ455" s="31"/>
    </row>
    <row r="456" spans="2:36" x14ac:dyDescent="0.25">
      <c r="B456" s="33">
        <f>'Arbitrage Payback Engine'!E456</f>
        <v>12.244897959183673</v>
      </c>
      <c r="C456" s="33">
        <f t="shared" si="102"/>
        <v>1000</v>
      </c>
      <c r="D456" s="33">
        <f>'Battery Pricing Model'!$C$17</f>
        <v>1000</v>
      </c>
      <c r="E456" s="33">
        <f t="shared" si="103"/>
        <v>999</v>
      </c>
      <c r="F456" s="33" t="str">
        <f>'Peak Models'!$B$4</f>
        <v>Default</v>
      </c>
      <c r="G456" s="33" t="e">
        <f>'Peak Models'!$Q$7</f>
        <v>#VALUE!</v>
      </c>
      <c r="H456" s="33">
        <f>'Peak Models'!$P$16</f>
        <v>1.5</v>
      </c>
      <c r="I456" s="33">
        <v>12</v>
      </c>
      <c r="J456" s="33" t="e">
        <f>'Peak Models'!$P$13</f>
        <v>#N/A</v>
      </c>
      <c r="K456" s="28" t="e">
        <f t="shared" si="104"/>
        <v>#VALUE!</v>
      </c>
      <c r="L456" s="28" t="e">
        <f>INDEX('Peak Models'!$P$34:$P$64, MATCH(TRUNC(B456, 0), 'Peak Models'!$O$34:$O$64, 0))</f>
        <v>#N/A</v>
      </c>
      <c r="M456" s="28">
        <f>'Peak Models'!$P$15*INDEX('Peak Models'!$Q$34:$Q$64, MATCH(TRUNC(B456, 0),'Peak Models'!$O$34:$O$64, 0))/'Profit per cycles Model'!$E$78</f>
        <v>6.3288885846884595</v>
      </c>
      <c r="N456" s="28" t="e">
        <f t="shared" si="105"/>
        <v>#N/A</v>
      </c>
      <c r="O456" s="71" t="e">
        <f>AVERAGE($N$10:N456)</f>
        <v>#N/A</v>
      </c>
      <c r="P456" s="28" t="e">
        <f t="shared" si="106"/>
        <v>#N/A</v>
      </c>
      <c r="R456" s="28" t="e">
        <f t="shared" si="107"/>
        <v>#VALUE!</v>
      </c>
      <c r="S456" s="25"/>
      <c r="T456" s="25">
        <f t="shared" si="108"/>
        <v>15</v>
      </c>
      <c r="U456" s="33">
        <f>IF(PaybackCustom&gt;0, IF(PaybackCustom&lt;&gt;"Default", PaybackCustom, IF(PaybackStatus&lt;&gt;"",INDEX('Arbitrage Payback Engine'!$Y$2:$Y$6,MATCH(PaybackStatus,'Arbitrage Payback Engine'!$X$2:$X$6,FALSE)),-1)))</f>
        <v>25</v>
      </c>
      <c r="V456" s="32">
        <f t="shared" si="117"/>
        <v>15</v>
      </c>
      <c r="X456" s="29">
        <f t="shared" si="118"/>
        <v>447</v>
      </c>
      <c r="Z456" s="30">
        <f t="shared" si="109"/>
        <v>12.244897959183673</v>
      </c>
      <c r="AA456" s="28" t="e">
        <f t="shared" si="110"/>
        <v>#N/A</v>
      </c>
      <c r="AB456" s="28" t="e">
        <f t="shared" si="111"/>
        <v>#VALUE!</v>
      </c>
      <c r="AC456" s="29">
        <f t="shared" si="112"/>
        <v>424.09867172675519</v>
      </c>
      <c r="AD456" s="28" t="e">
        <f t="shared" si="113"/>
        <v>#VALUE!</v>
      </c>
      <c r="AE456" s="28" t="e">
        <f t="shared" si="114"/>
        <v>#N/A</v>
      </c>
      <c r="AF456" s="28" t="e">
        <f t="shared" si="115"/>
        <v>#VALUE!</v>
      </c>
      <c r="AH456" s="31" t="e">
        <f t="shared" si="116"/>
        <v>#N/A</v>
      </c>
      <c r="AI456" s="25"/>
      <c r="AJ456" s="31"/>
    </row>
    <row r="457" spans="2:36" x14ac:dyDescent="0.25">
      <c r="B457" s="33">
        <f>'Arbitrage Payback Engine'!E457</f>
        <v>12.272291466922338</v>
      </c>
      <c r="C457" s="33">
        <f t="shared" si="102"/>
        <v>1000</v>
      </c>
      <c r="D457" s="33">
        <f>'Battery Pricing Model'!$C$17</f>
        <v>1000</v>
      </c>
      <c r="E457" s="33">
        <f t="shared" si="103"/>
        <v>999</v>
      </c>
      <c r="F457" s="33" t="str">
        <f>'Peak Models'!$B$4</f>
        <v>Default</v>
      </c>
      <c r="G457" s="33" t="e">
        <f>'Peak Models'!$Q$7</f>
        <v>#VALUE!</v>
      </c>
      <c r="H457" s="33">
        <f>'Peak Models'!$P$16</f>
        <v>1.5</v>
      </c>
      <c r="I457" s="33">
        <v>12</v>
      </c>
      <c r="J457" s="33" t="e">
        <f>'Peak Models'!$P$13</f>
        <v>#N/A</v>
      </c>
      <c r="K457" s="28" t="e">
        <f t="shared" si="104"/>
        <v>#VALUE!</v>
      </c>
      <c r="L457" s="28" t="e">
        <f>INDEX('Peak Models'!$P$34:$P$64, MATCH(TRUNC(B457, 0), 'Peak Models'!$O$34:$O$64, 0))</f>
        <v>#N/A</v>
      </c>
      <c r="M457" s="28">
        <f>'Peak Models'!$P$15*INDEX('Peak Models'!$Q$34:$Q$64, MATCH(TRUNC(B457, 0),'Peak Models'!$O$34:$O$64, 0))/'Profit per cycles Model'!$E$78</f>
        <v>6.3288885846884595</v>
      </c>
      <c r="N457" s="28" t="e">
        <f t="shared" si="105"/>
        <v>#N/A</v>
      </c>
      <c r="O457" s="71" t="e">
        <f>AVERAGE($N$10:N457)</f>
        <v>#N/A</v>
      </c>
      <c r="P457" s="28" t="e">
        <f t="shared" si="106"/>
        <v>#N/A</v>
      </c>
      <c r="R457" s="28" t="e">
        <f t="shared" si="107"/>
        <v>#VALUE!</v>
      </c>
      <c r="S457" s="25"/>
      <c r="T457" s="25">
        <f t="shared" si="108"/>
        <v>15</v>
      </c>
      <c r="U457" s="33">
        <f>IF(PaybackCustom&gt;0, IF(PaybackCustom&lt;&gt;"Default", PaybackCustom, IF(PaybackStatus&lt;&gt;"",INDEX('Arbitrage Payback Engine'!$Y$2:$Y$6,MATCH(PaybackStatus,'Arbitrage Payback Engine'!$X$2:$X$6,FALSE)),-1)))</f>
        <v>25</v>
      </c>
      <c r="V457" s="32">
        <f t="shared" si="117"/>
        <v>15</v>
      </c>
      <c r="X457" s="29">
        <f t="shared" si="118"/>
        <v>448</v>
      </c>
      <c r="Z457" s="30">
        <f t="shared" si="109"/>
        <v>12.272291466922338</v>
      </c>
      <c r="AA457" s="28" t="e">
        <f t="shared" si="110"/>
        <v>#N/A</v>
      </c>
      <c r="AB457" s="28" t="e">
        <f t="shared" si="111"/>
        <v>#VALUE!</v>
      </c>
      <c r="AC457" s="29">
        <f t="shared" si="112"/>
        <v>425.04743833017073</v>
      </c>
      <c r="AD457" s="28" t="e">
        <f t="shared" si="113"/>
        <v>#VALUE!</v>
      </c>
      <c r="AE457" s="28" t="e">
        <f t="shared" si="114"/>
        <v>#N/A</v>
      </c>
      <c r="AF457" s="28" t="e">
        <f t="shared" si="115"/>
        <v>#VALUE!</v>
      </c>
      <c r="AH457" s="31" t="e">
        <f t="shared" si="116"/>
        <v>#N/A</v>
      </c>
      <c r="AI457" s="25"/>
      <c r="AJ457" s="31"/>
    </row>
    <row r="458" spans="2:36" x14ac:dyDescent="0.25">
      <c r="B458" s="33">
        <f>'Arbitrage Payback Engine'!E458</f>
        <v>12.299684974661005</v>
      </c>
      <c r="C458" s="33">
        <f t="shared" ref="C458:C521" si="119">IF(OR($E$6="None", $E$6=0), D458, E458)</f>
        <v>1000</v>
      </c>
      <c r="D458" s="33">
        <f>'Battery Pricing Model'!$C$17</f>
        <v>1000</v>
      </c>
      <c r="E458" s="33">
        <f t="shared" ref="E458:E521" si="120">IF(OR($E$6="None", $E$6=0), 999, $D458*(E$6))</f>
        <v>999</v>
      </c>
      <c r="F458" s="33" t="str">
        <f>'Peak Models'!$B$4</f>
        <v>Default</v>
      </c>
      <c r="G458" s="33" t="e">
        <f>'Peak Models'!$Q$7</f>
        <v>#VALUE!</v>
      </c>
      <c r="H458" s="33">
        <f>'Peak Models'!$P$16</f>
        <v>1.5</v>
      </c>
      <c r="I458" s="33">
        <v>12</v>
      </c>
      <c r="J458" s="33" t="e">
        <f>'Peak Models'!$P$13</f>
        <v>#N/A</v>
      </c>
      <c r="K458" s="28" t="e">
        <f t="shared" ref="K458:K521" si="121">C458*G458/(H458*B458)</f>
        <v>#VALUE!</v>
      </c>
      <c r="L458" s="28" t="e">
        <f>INDEX('Peak Models'!$P$34:$P$64, MATCH(TRUNC(B458, 0), 'Peak Models'!$O$34:$O$64, 0))</f>
        <v>#N/A</v>
      </c>
      <c r="M458" s="28">
        <f>'Peak Models'!$P$15*INDEX('Peak Models'!$Q$34:$Q$64, MATCH(TRUNC(B458, 0),'Peak Models'!$O$34:$O$64, 0))/'Profit per cycles Model'!$E$78</f>
        <v>6.3288885846884595</v>
      </c>
      <c r="N458" s="28" t="e">
        <f t="shared" ref="N458:N521" si="122">L458-M458</f>
        <v>#N/A</v>
      </c>
      <c r="O458" s="71" t="e">
        <f>AVERAGE($N$10:N458)</f>
        <v>#N/A</v>
      </c>
      <c r="P458" s="28" t="e">
        <f t="shared" ref="P458:P521" si="123">IF(O458-K458&lt;0, 999, O458-K458)</f>
        <v>#N/A</v>
      </c>
      <c r="R458" s="28" t="e">
        <f t="shared" ref="R458:R521" si="124">IF(ISNA(INDEX($K$10:$K$1063,MATCH(T458,$B$10:$B$1063,1))),-1,INDEX($K$10:$K$1063,MATCH(T458,$B$10:$B$1063,1)))</f>
        <v>#VALUE!</v>
      </c>
      <c r="S458" s="25"/>
      <c r="T458" s="25">
        <f t="shared" ref="T458:T521" si="125">IF( AND(U458&gt;0, V458&gt;0), IF(U458&lt;V458, U458, V458),  IF(U458&gt;0, U458, IF(V458&gt;0, V458, -1)) )</f>
        <v>15</v>
      </c>
      <c r="U458" s="33">
        <f>IF(PaybackCustom&gt;0, IF(PaybackCustom&lt;&gt;"Default", PaybackCustom, IF(PaybackStatus&lt;&gt;"",INDEX('Arbitrage Payback Engine'!$Y$2:$Y$6,MATCH(PaybackStatus,'Arbitrage Payback Engine'!$X$2:$X$6,FALSE)),-1)))</f>
        <v>25</v>
      </c>
      <c r="V458" s="32">
        <f t="shared" si="117"/>
        <v>15</v>
      </c>
      <c r="X458" s="29">
        <f t="shared" si="118"/>
        <v>449</v>
      </c>
      <c r="Z458" s="30">
        <f t="shared" ref="Z458:Z521" si="126">B458</f>
        <v>12.299684974661005</v>
      </c>
      <c r="AA458" s="28" t="e">
        <f t="shared" ref="AA458:AA521" si="127">N458</f>
        <v>#N/A</v>
      </c>
      <c r="AB458" s="28" t="e">
        <f t="shared" ref="AB458:AB521" si="128">R458</f>
        <v>#VALUE!</v>
      </c>
      <c r="AC458" s="29">
        <f t="shared" ref="AC458:AC521" si="129">$AB$2*(Z458-$AB$3)/($AB$4-$AB$3)</f>
        <v>425.9962049335864</v>
      </c>
      <c r="AD458" s="28" t="e">
        <f t="shared" ref="AD458:AD521" si="130">MIN(AB458, AA458)</f>
        <v>#VALUE!</v>
      </c>
      <c r="AE458" s="28" t="e">
        <f t="shared" ref="AE458:AE521" si="131">IF(AND(Z458&lt;T458, AA458&gt;AB458), AA458-AB458, 0)</f>
        <v>#N/A</v>
      </c>
      <c r="AF458" s="28" t="e">
        <f t="shared" ref="AF458:AF521" si="132">IF(AND(Z458&lt;T458, AB458&gt;AA458), AB458-AA458, 0)</f>
        <v>#VALUE!</v>
      </c>
      <c r="AH458" s="31" t="e">
        <f t="shared" ref="AH458:AH521" si="133">(O458-K458)/K458</f>
        <v>#N/A</v>
      </c>
      <c r="AI458" s="25"/>
      <c r="AJ458" s="31"/>
    </row>
    <row r="459" spans="2:36" x14ac:dyDescent="0.25">
      <c r="B459" s="33">
        <f>'Arbitrage Payback Engine'!E459</f>
        <v>12.327078482399671</v>
      </c>
      <c r="C459" s="33">
        <f t="shared" si="119"/>
        <v>1000</v>
      </c>
      <c r="D459" s="33">
        <f>'Battery Pricing Model'!$C$17</f>
        <v>1000</v>
      </c>
      <c r="E459" s="33">
        <f t="shared" si="120"/>
        <v>999</v>
      </c>
      <c r="F459" s="33" t="str">
        <f>'Peak Models'!$B$4</f>
        <v>Default</v>
      </c>
      <c r="G459" s="33" t="e">
        <f>'Peak Models'!$Q$7</f>
        <v>#VALUE!</v>
      </c>
      <c r="H459" s="33">
        <f>'Peak Models'!$P$16</f>
        <v>1.5</v>
      </c>
      <c r="I459" s="33">
        <v>12</v>
      </c>
      <c r="J459" s="33" t="e">
        <f>'Peak Models'!$P$13</f>
        <v>#N/A</v>
      </c>
      <c r="K459" s="28" t="e">
        <f t="shared" si="121"/>
        <v>#VALUE!</v>
      </c>
      <c r="L459" s="28" t="e">
        <f>INDEX('Peak Models'!$P$34:$P$64, MATCH(TRUNC(B459, 0), 'Peak Models'!$O$34:$O$64, 0))</f>
        <v>#N/A</v>
      </c>
      <c r="M459" s="28">
        <f>'Peak Models'!$P$15*INDEX('Peak Models'!$Q$34:$Q$64, MATCH(TRUNC(B459, 0),'Peak Models'!$O$34:$O$64, 0))/'Profit per cycles Model'!$E$78</f>
        <v>6.3288885846884595</v>
      </c>
      <c r="N459" s="28" t="e">
        <f t="shared" si="122"/>
        <v>#N/A</v>
      </c>
      <c r="O459" s="71" t="e">
        <f>AVERAGE($N$10:N459)</f>
        <v>#N/A</v>
      </c>
      <c r="P459" s="28" t="e">
        <f t="shared" si="123"/>
        <v>#N/A</v>
      </c>
      <c r="R459" s="28" t="e">
        <f t="shared" si="124"/>
        <v>#VALUE!</v>
      </c>
      <c r="S459" s="25"/>
      <c r="T459" s="25">
        <f t="shared" si="125"/>
        <v>15</v>
      </c>
      <c r="U459" s="33">
        <f>IF(PaybackCustom&gt;0, IF(PaybackCustom&lt;&gt;"Default", PaybackCustom, IF(PaybackStatus&lt;&gt;"",INDEX('Arbitrage Payback Engine'!$Y$2:$Y$6,MATCH(PaybackStatus,'Arbitrage Payback Engine'!$X$2:$X$6,FALSE)),-1)))</f>
        <v>25</v>
      </c>
      <c r="V459" s="32">
        <f t="shared" ref="V459:V522" si="134">IF(ISNUMBER($L$5), $L$5, 15)</f>
        <v>15</v>
      </c>
      <c r="X459" s="29">
        <f t="shared" ref="X459:X522" si="135">X458+1</f>
        <v>450</v>
      </c>
      <c r="Z459" s="30">
        <f t="shared" si="126"/>
        <v>12.327078482399671</v>
      </c>
      <c r="AA459" s="28" t="e">
        <f t="shared" si="127"/>
        <v>#N/A</v>
      </c>
      <c r="AB459" s="28" t="e">
        <f t="shared" si="128"/>
        <v>#VALUE!</v>
      </c>
      <c r="AC459" s="29">
        <f t="shared" si="129"/>
        <v>426.94497153700189</v>
      </c>
      <c r="AD459" s="28" t="e">
        <f t="shared" si="130"/>
        <v>#VALUE!</v>
      </c>
      <c r="AE459" s="28" t="e">
        <f t="shared" si="131"/>
        <v>#N/A</v>
      </c>
      <c r="AF459" s="28" t="e">
        <f t="shared" si="132"/>
        <v>#VALUE!</v>
      </c>
      <c r="AH459" s="31" t="e">
        <f t="shared" si="133"/>
        <v>#N/A</v>
      </c>
      <c r="AI459" s="25"/>
      <c r="AJ459" s="31"/>
    </row>
    <row r="460" spans="2:36" x14ac:dyDescent="0.25">
      <c r="B460" s="33">
        <f>'Arbitrage Payback Engine'!E460</f>
        <v>12.354471990138336</v>
      </c>
      <c r="C460" s="33">
        <f t="shared" si="119"/>
        <v>1000</v>
      </c>
      <c r="D460" s="33">
        <f>'Battery Pricing Model'!$C$17</f>
        <v>1000</v>
      </c>
      <c r="E460" s="33">
        <f t="shared" si="120"/>
        <v>999</v>
      </c>
      <c r="F460" s="33" t="str">
        <f>'Peak Models'!$B$4</f>
        <v>Default</v>
      </c>
      <c r="G460" s="33" t="e">
        <f>'Peak Models'!$Q$7</f>
        <v>#VALUE!</v>
      </c>
      <c r="H460" s="33">
        <f>'Peak Models'!$P$16</f>
        <v>1.5</v>
      </c>
      <c r="I460" s="33">
        <v>12</v>
      </c>
      <c r="J460" s="33" t="e">
        <f>'Peak Models'!$P$13</f>
        <v>#N/A</v>
      </c>
      <c r="K460" s="28" t="e">
        <f t="shared" si="121"/>
        <v>#VALUE!</v>
      </c>
      <c r="L460" s="28" t="e">
        <f>INDEX('Peak Models'!$P$34:$P$64, MATCH(TRUNC(B460, 0), 'Peak Models'!$O$34:$O$64, 0))</f>
        <v>#N/A</v>
      </c>
      <c r="M460" s="28">
        <f>'Peak Models'!$P$15*INDEX('Peak Models'!$Q$34:$Q$64, MATCH(TRUNC(B460, 0),'Peak Models'!$O$34:$O$64, 0))/'Profit per cycles Model'!$E$78</f>
        <v>6.3288885846884595</v>
      </c>
      <c r="N460" s="28" t="e">
        <f t="shared" si="122"/>
        <v>#N/A</v>
      </c>
      <c r="O460" s="71" t="e">
        <f>AVERAGE($N$10:N460)</f>
        <v>#N/A</v>
      </c>
      <c r="P460" s="28" t="e">
        <f t="shared" si="123"/>
        <v>#N/A</v>
      </c>
      <c r="R460" s="28" t="e">
        <f t="shared" si="124"/>
        <v>#VALUE!</v>
      </c>
      <c r="S460" s="25"/>
      <c r="T460" s="25">
        <f t="shared" si="125"/>
        <v>15</v>
      </c>
      <c r="U460" s="33">
        <f>IF(PaybackCustom&gt;0, IF(PaybackCustom&lt;&gt;"Default", PaybackCustom, IF(PaybackStatus&lt;&gt;"",INDEX('Arbitrage Payback Engine'!$Y$2:$Y$6,MATCH(PaybackStatus,'Arbitrage Payback Engine'!$X$2:$X$6,FALSE)),-1)))</f>
        <v>25</v>
      </c>
      <c r="V460" s="32">
        <f t="shared" si="134"/>
        <v>15</v>
      </c>
      <c r="X460" s="29">
        <f t="shared" si="135"/>
        <v>451</v>
      </c>
      <c r="Z460" s="30">
        <f t="shared" si="126"/>
        <v>12.354471990138336</v>
      </c>
      <c r="AA460" s="28" t="e">
        <f t="shared" si="127"/>
        <v>#N/A</v>
      </c>
      <c r="AB460" s="28" t="e">
        <f t="shared" si="128"/>
        <v>#VALUE!</v>
      </c>
      <c r="AC460" s="29">
        <f t="shared" si="129"/>
        <v>427.89373814041744</v>
      </c>
      <c r="AD460" s="28" t="e">
        <f t="shared" si="130"/>
        <v>#VALUE!</v>
      </c>
      <c r="AE460" s="28" t="e">
        <f t="shared" si="131"/>
        <v>#N/A</v>
      </c>
      <c r="AF460" s="28" t="e">
        <f t="shared" si="132"/>
        <v>#VALUE!</v>
      </c>
      <c r="AH460" s="31" t="e">
        <f t="shared" si="133"/>
        <v>#N/A</v>
      </c>
      <c r="AI460" s="25"/>
      <c r="AJ460" s="31"/>
    </row>
    <row r="461" spans="2:36" x14ac:dyDescent="0.25">
      <c r="B461" s="33">
        <f>'Arbitrage Payback Engine'!E461</f>
        <v>12.381865497877003</v>
      </c>
      <c r="C461" s="33">
        <f t="shared" si="119"/>
        <v>1000</v>
      </c>
      <c r="D461" s="33">
        <f>'Battery Pricing Model'!$C$17</f>
        <v>1000</v>
      </c>
      <c r="E461" s="33">
        <f t="shared" si="120"/>
        <v>999</v>
      </c>
      <c r="F461" s="33" t="str">
        <f>'Peak Models'!$B$4</f>
        <v>Default</v>
      </c>
      <c r="G461" s="33" t="e">
        <f>'Peak Models'!$Q$7</f>
        <v>#VALUE!</v>
      </c>
      <c r="H461" s="33">
        <f>'Peak Models'!$P$16</f>
        <v>1.5</v>
      </c>
      <c r="I461" s="33">
        <v>12</v>
      </c>
      <c r="J461" s="33" t="e">
        <f>'Peak Models'!$P$13</f>
        <v>#N/A</v>
      </c>
      <c r="K461" s="28" t="e">
        <f t="shared" si="121"/>
        <v>#VALUE!</v>
      </c>
      <c r="L461" s="28" t="e">
        <f>INDEX('Peak Models'!$P$34:$P$64, MATCH(TRUNC(B461, 0), 'Peak Models'!$O$34:$O$64, 0))</f>
        <v>#N/A</v>
      </c>
      <c r="M461" s="28">
        <f>'Peak Models'!$P$15*INDEX('Peak Models'!$Q$34:$Q$64, MATCH(TRUNC(B461, 0),'Peak Models'!$O$34:$O$64, 0))/'Profit per cycles Model'!$E$78</f>
        <v>6.3288885846884595</v>
      </c>
      <c r="N461" s="28" t="e">
        <f t="shared" si="122"/>
        <v>#N/A</v>
      </c>
      <c r="O461" s="71" t="e">
        <f>AVERAGE($N$10:N461)</f>
        <v>#N/A</v>
      </c>
      <c r="P461" s="28" t="e">
        <f t="shared" si="123"/>
        <v>#N/A</v>
      </c>
      <c r="R461" s="28" t="e">
        <f t="shared" si="124"/>
        <v>#VALUE!</v>
      </c>
      <c r="S461" s="25"/>
      <c r="T461" s="25">
        <f t="shared" si="125"/>
        <v>15</v>
      </c>
      <c r="U461" s="33">
        <f>IF(PaybackCustom&gt;0, IF(PaybackCustom&lt;&gt;"Default", PaybackCustom, IF(PaybackStatus&lt;&gt;"",INDEX('Arbitrage Payback Engine'!$Y$2:$Y$6,MATCH(PaybackStatus,'Arbitrage Payback Engine'!$X$2:$X$6,FALSE)),-1)))</f>
        <v>25</v>
      </c>
      <c r="V461" s="32">
        <f t="shared" si="134"/>
        <v>15</v>
      </c>
      <c r="X461" s="29">
        <f t="shared" si="135"/>
        <v>452</v>
      </c>
      <c r="Z461" s="30">
        <f t="shared" si="126"/>
        <v>12.381865497877003</v>
      </c>
      <c r="AA461" s="28" t="e">
        <f t="shared" si="127"/>
        <v>#N/A</v>
      </c>
      <c r="AB461" s="28" t="e">
        <f t="shared" si="128"/>
        <v>#VALUE!</v>
      </c>
      <c r="AC461" s="29">
        <f t="shared" si="129"/>
        <v>428.84250474383305</v>
      </c>
      <c r="AD461" s="28" t="e">
        <f t="shared" si="130"/>
        <v>#VALUE!</v>
      </c>
      <c r="AE461" s="28" t="e">
        <f t="shared" si="131"/>
        <v>#N/A</v>
      </c>
      <c r="AF461" s="28" t="e">
        <f t="shared" si="132"/>
        <v>#VALUE!</v>
      </c>
      <c r="AH461" s="31" t="e">
        <f t="shared" si="133"/>
        <v>#N/A</v>
      </c>
      <c r="AI461" s="25"/>
      <c r="AJ461" s="31"/>
    </row>
    <row r="462" spans="2:36" x14ac:dyDescent="0.25">
      <c r="B462" s="33">
        <f>'Arbitrage Payback Engine'!E462</f>
        <v>12.409259005615668</v>
      </c>
      <c r="C462" s="33">
        <f t="shared" si="119"/>
        <v>1000</v>
      </c>
      <c r="D462" s="33">
        <f>'Battery Pricing Model'!$C$17</f>
        <v>1000</v>
      </c>
      <c r="E462" s="33">
        <f t="shared" si="120"/>
        <v>999</v>
      </c>
      <c r="F462" s="33" t="str">
        <f>'Peak Models'!$B$4</f>
        <v>Default</v>
      </c>
      <c r="G462" s="33" t="e">
        <f>'Peak Models'!$Q$7</f>
        <v>#VALUE!</v>
      </c>
      <c r="H462" s="33">
        <f>'Peak Models'!$P$16</f>
        <v>1.5</v>
      </c>
      <c r="I462" s="33">
        <v>12</v>
      </c>
      <c r="J462" s="33" t="e">
        <f>'Peak Models'!$P$13</f>
        <v>#N/A</v>
      </c>
      <c r="K462" s="28" t="e">
        <f t="shared" si="121"/>
        <v>#VALUE!</v>
      </c>
      <c r="L462" s="28" t="e">
        <f>INDEX('Peak Models'!$P$34:$P$64, MATCH(TRUNC(B462, 0), 'Peak Models'!$O$34:$O$64, 0))</f>
        <v>#N/A</v>
      </c>
      <c r="M462" s="28">
        <f>'Peak Models'!$P$15*INDEX('Peak Models'!$Q$34:$Q$64, MATCH(TRUNC(B462, 0),'Peak Models'!$O$34:$O$64, 0))/'Profit per cycles Model'!$E$78</f>
        <v>6.3288885846884595</v>
      </c>
      <c r="N462" s="28" t="e">
        <f t="shared" si="122"/>
        <v>#N/A</v>
      </c>
      <c r="O462" s="71" t="e">
        <f>AVERAGE($N$10:N462)</f>
        <v>#N/A</v>
      </c>
      <c r="P462" s="28" t="e">
        <f t="shared" si="123"/>
        <v>#N/A</v>
      </c>
      <c r="R462" s="28" t="e">
        <f t="shared" si="124"/>
        <v>#VALUE!</v>
      </c>
      <c r="S462" s="25"/>
      <c r="T462" s="25">
        <f t="shared" si="125"/>
        <v>15</v>
      </c>
      <c r="U462" s="33">
        <f>IF(PaybackCustom&gt;0, IF(PaybackCustom&lt;&gt;"Default", PaybackCustom, IF(PaybackStatus&lt;&gt;"",INDEX('Arbitrage Payback Engine'!$Y$2:$Y$6,MATCH(PaybackStatus,'Arbitrage Payback Engine'!$X$2:$X$6,FALSE)),-1)))</f>
        <v>25</v>
      </c>
      <c r="V462" s="32">
        <f t="shared" si="134"/>
        <v>15</v>
      </c>
      <c r="X462" s="29">
        <f t="shared" si="135"/>
        <v>453</v>
      </c>
      <c r="Z462" s="30">
        <f t="shared" si="126"/>
        <v>12.409259005615668</v>
      </c>
      <c r="AA462" s="28" t="e">
        <f t="shared" si="127"/>
        <v>#N/A</v>
      </c>
      <c r="AB462" s="28" t="e">
        <f t="shared" si="128"/>
        <v>#VALUE!</v>
      </c>
      <c r="AC462" s="29">
        <f t="shared" si="129"/>
        <v>429.79127134724854</v>
      </c>
      <c r="AD462" s="28" t="e">
        <f t="shared" si="130"/>
        <v>#VALUE!</v>
      </c>
      <c r="AE462" s="28" t="e">
        <f t="shared" si="131"/>
        <v>#N/A</v>
      </c>
      <c r="AF462" s="28" t="e">
        <f t="shared" si="132"/>
        <v>#VALUE!</v>
      </c>
      <c r="AH462" s="31" t="e">
        <f t="shared" si="133"/>
        <v>#N/A</v>
      </c>
      <c r="AI462" s="25"/>
      <c r="AJ462" s="31"/>
    </row>
    <row r="463" spans="2:36" x14ac:dyDescent="0.25">
      <c r="B463" s="33">
        <f>'Arbitrage Payback Engine'!E463</f>
        <v>12.436652513354334</v>
      </c>
      <c r="C463" s="33">
        <f t="shared" si="119"/>
        <v>1000</v>
      </c>
      <c r="D463" s="33">
        <f>'Battery Pricing Model'!$C$17</f>
        <v>1000</v>
      </c>
      <c r="E463" s="33">
        <f t="shared" si="120"/>
        <v>999</v>
      </c>
      <c r="F463" s="33" t="str">
        <f>'Peak Models'!$B$4</f>
        <v>Default</v>
      </c>
      <c r="G463" s="33" t="e">
        <f>'Peak Models'!$Q$7</f>
        <v>#VALUE!</v>
      </c>
      <c r="H463" s="33">
        <f>'Peak Models'!$P$16</f>
        <v>1.5</v>
      </c>
      <c r="I463" s="33">
        <v>12</v>
      </c>
      <c r="J463" s="33" t="e">
        <f>'Peak Models'!$P$13</f>
        <v>#N/A</v>
      </c>
      <c r="K463" s="28" t="e">
        <f t="shared" si="121"/>
        <v>#VALUE!</v>
      </c>
      <c r="L463" s="28" t="e">
        <f>INDEX('Peak Models'!$P$34:$P$64, MATCH(TRUNC(B463, 0), 'Peak Models'!$O$34:$O$64, 0))</f>
        <v>#N/A</v>
      </c>
      <c r="M463" s="28">
        <f>'Peak Models'!$P$15*INDEX('Peak Models'!$Q$34:$Q$64, MATCH(TRUNC(B463, 0),'Peak Models'!$O$34:$O$64, 0))/'Profit per cycles Model'!$E$78</f>
        <v>6.3288885846884595</v>
      </c>
      <c r="N463" s="28" t="e">
        <f t="shared" si="122"/>
        <v>#N/A</v>
      </c>
      <c r="O463" s="71" t="e">
        <f>AVERAGE($N$10:N463)</f>
        <v>#N/A</v>
      </c>
      <c r="P463" s="28" t="e">
        <f t="shared" si="123"/>
        <v>#N/A</v>
      </c>
      <c r="R463" s="28" t="e">
        <f t="shared" si="124"/>
        <v>#VALUE!</v>
      </c>
      <c r="S463" s="25"/>
      <c r="T463" s="25">
        <f t="shared" si="125"/>
        <v>15</v>
      </c>
      <c r="U463" s="33">
        <f>IF(PaybackCustom&gt;0, IF(PaybackCustom&lt;&gt;"Default", PaybackCustom, IF(PaybackStatus&lt;&gt;"",INDEX('Arbitrage Payback Engine'!$Y$2:$Y$6,MATCH(PaybackStatus,'Arbitrage Payback Engine'!$X$2:$X$6,FALSE)),-1)))</f>
        <v>25</v>
      </c>
      <c r="V463" s="32">
        <f t="shared" si="134"/>
        <v>15</v>
      </c>
      <c r="X463" s="29">
        <f t="shared" si="135"/>
        <v>454</v>
      </c>
      <c r="Z463" s="30">
        <f t="shared" si="126"/>
        <v>12.436652513354334</v>
      </c>
      <c r="AA463" s="28" t="e">
        <f t="shared" si="127"/>
        <v>#N/A</v>
      </c>
      <c r="AB463" s="28" t="e">
        <f t="shared" si="128"/>
        <v>#VALUE!</v>
      </c>
      <c r="AC463" s="29">
        <f t="shared" si="129"/>
        <v>430.74003795066415</v>
      </c>
      <c r="AD463" s="28" t="e">
        <f t="shared" si="130"/>
        <v>#VALUE!</v>
      </c>
      <c r="AE463" s="28" t="e">
        <f t="shared" si="131"/>
        <v>#N/A</v>
      </c>
      <c r="AF463" s="28" t="e">
        <f t="shared" si="132"/>
        <v>#VALUE!</v>
      </c>
      <c r="AH463" s="31" t="e">
        <f t="shared" si="133"/>
        <v>#N/A</v>
      </c>
      <c r="AI463" s="25"/>
      <c r="AJ463" s="31"/>
    </row>
    <row r="464" spans="2:36" x14ac:dyDescent="0.25">
      <c r="B464" s="33">
        <f>'Arbitrage Payback Engine'!E464</f>
        <v>12.464046021093001</v>
      </c>
      <c r="C464" s="33">
        <f t="shared" si="119"/>
        <v>1000</v>
      </c>
      <c r="D464" s="33">
        <f>'Battery Pricing Model'!$C$17</f>
        <v>1000</v>
      </c>
      <c r="E464" s="33">
        <f t="shared" si="120"/>
        <v>999</v>
      </c>
      <c r="F464" s="33" t="str">
        <f>'Peak Models'!$B$4</f>
        <v>Default</v>
      </c>
      <c r="G464" s="33" t="e">
        <f>'Peak Models'!$Q$7</f>
        <v>#VALUE!</v>
      </c>
      <c r="H464" s="33">
        <f>'Peak Models'!$P$16</f>
        <v>1.5</v>
      </c>
      <c r="I464" s="33">
        <v>12</v>
      </c>
      <c r="J464" s="33" t="e">
        <f>'Peak Models'!$P$13</f>
        <v>#N/A</v>
      </c>
      <c r="K464" s="28" t="e">
        <f t="shared" si="121"/>
        <v>#VALUE!</v>
      </c>
      <c r="L464" s="28" t="e">
        <f>INDEX('Peak Models'!$P$34:$P$64, MATCH(TRUNC(B464, 0), 'Peak Models'!$O$34:$O$64, 0))</f>
        <v>#N/A</v>
      </c>
      <c r="M464" s="28">
        <f>'Peak Models'!$P$15*INDEX('Peak Models'!$Q$34:$Q$64, MATCH(TRUNC(B464, 0),'Peak Models'!$O$34:$O$64, 0))/'Profit per cycles Model'!$E$78</f>
        <v>6.3288885846884595</v>
      </c>
      <c r="N464" s="28" t="e">
        <f t="shared" si="122"/>
        <v>#N/A</v>
      </c>
      <c r="O464" s="71" t="e">
        <f>AVERAGE($N$10:N464)</f>
        <v>#N/A</v>
      </c>
      <c r="P464" s="28" t="e">
        <f t="shared" si="123"/>
        <v>#N/A</v>
      </c>
      <c r="R464" s="28" t="e">
        <f t="shared" si="124"/>
        <v>#VALUE!</v>
      </c>
      <c r="S464" s="25"/>
      <c r="T464" s="25">
        <f t="shared" si="125"/>
        <v>15</v>
      </c>
      <c r="U464" s="33">
        <f>IF(PaybackCustom&gt;0, IF(PaybackCustom&lt;&gt;"Default", PaybackCustom, IF(PaybackStatus&lt;&gt;"",INDEX('Arbitrage Payback Engine'!$Y$2:$Y$6,MATCH(PaybackStatus,'Arbitrage Payback Engine'!$X$2:$X$6,FALSE)),-1)))</f>
        <v>25</v>
      </c>
      <c r="V464" s="32">
        <f t="shared" si="134"/>
        <v>15</v>
      </c>
      <c r="X464" s="29">
        <f t="shared" si="135"/>
        <v>455</v>
      </c>
      <c r="Z464" s="30">
        <f t="shared" si="126"/>
        <v>12.464046021093001</v>
      </c>
      <c r="AA464" s="28" t="e">
        <f t="shared" si="127"/>
        <v>#N/A</v>
      </c>
      <c r="AB464" s="28" t="e">
        <f t="shared" si="128"/>
        <v>#VALUE!</v>
      </c>
      <c r="AC464" s="29">
        <f t="shared" si="129"/>
        <v>431.68880455407975</v>
      </c>
      <c r="AD464" s="28" t="e">
        <f t="shared" si="130"/>
        <v>#VALUE!</v>
      </c>
      <c r="AE464" s="28" t="e">
        <f t="shared" si="131"/>
        <v>#N/A</v>
      </c>
      <c r="AF464" s="28" t="e">
        <f t="shared" si="132"/>
        <v>#VALUE!</v>
      </c>
      <c r="AH464" s="31" t="e">
        <f t="shared" si="133"/>
        <v>#N/A</v>
      </c>
      <c r="AI464" s="25"/>
      <c r="AJ464" s="31"/>
    </row>
    <row r="465" spans="2:36" x14ac:dyDescent="0.25">
      <c r="B465" s="33">
        <f>'Arbitrage Payback Engine'!E465</f>
        <v>12.491439528831666</v>
      </c>
      <c r="C465" s="33">
        <f t="shared" si="119"/>
        <v>1000</v>
      </c>
      <c r="D465" s="33">
        <f>'Battery Pricing Model'!$C$17</f>
        <v>1000</v>
      </c>
      <c r="E465" s="33">
        <f t="shared" si="120"/>
        <v>999</v>
      </c>
      <c r="F465" s="33" t="str">
        <f>'Peak Models'!$B$4</f>
        <v>Default</v>
      </c>
      <c r="G465" s="33" t="e">
        <f>'Peak Models'!$Q$7</f>
        <v>#VALUE!</v>
      </c>
      <c r="H465" s="33">
        <f>'Peak Models'!$P$16</f>
        <v>1.5</v>
      </c>
      <c r="I465" s="33">
        <v>12</v>
      </c>
      <c r="J465" s="33" t="e">
        <f>'Peak Models'!$P$13</f>
        <v>#N/A</v>
      </c>
      <c r="K465" s="28" t="e">
        <f t="shared" si="121"/>
        <v>#VALUE!</v>
      </c>
      <c r="L465" s="28" t="e">
        <f>INDEX('Peak Models'!$P$34:$P$64, MATCH(TRUNC(B465, 0), 'Peak Models'!$O$34:$O$64, 0))</f>
        <v>#N/A</v>
      </c>
      <c r="M465" s="28">
        <f>'Peak Models'!$P$15*INDEX('Peak Models'!$Q$34:$Q$64, MATCH(TRUNC(B465, 0),'Peak Models'!$O$34:$O$64, 0))/'Profit per cycles Model'!$E$78</f>
        <v>6.3288885846884595</v>
      </c>
      <c r="N465" s="28" t="e">
        <f t="shared" si="122"/>
        <v>#N/A</v>
      </c>
      <c r="O465" s="71" t="e">
        <f>AVERAGE($N$10:N465)</f>
        <v>#N/A</v>
      </c>
      <c r="P465" s="28" t="e">
        <f t="shared" si="123"/>
        <v>#N/A</v>
      </c>
      <c r="R465" s="28" t="e">
        <f t="shared" si="124"/>
        <v>#VALUE!</v>
      </c>
      <c r="S465" s="25"/>
      <c r="T465" s="25">
        <f t="shared" si="125"/>
        <v>15</v>
      </c>
      <c r="U465" s="33">
        <f>IF(PaybackCustom&gt;0, IF(PaybackCustom&lt;&gt;"Default", PaybackCustom, IF(PaybackStatus&lt;&gt;"",INDEX('Arbitrage Payback Engine'!$Y$2:$Y$6,MATCH(PaybackStatus,'Arbitrage Payback Engine'!$X$2:$X$6,FALSE)),-1)))</f>
        <v>25</v>
      </c>
      <c r="V465" s="32">
        <f t="shared" si="134"/>
        <v>15</v>
      </c>
      <c r="X465" s="29">
        <f t="shared" si="135"/>
        <v>456</v>
      </c>
      <c r="Z465" s="30">
        <f t="shared" si="126"/>
        <v>12.491439528831666</v>
      </c>
      <c r="AA465" s="28" t="e">
        <f t="shared" si="127"/>
        <v>#N/A</v>
      </c>
      <c r="AB465" s="28" t="e">
        <f t="shared" si="128"/>
        <v>#VALUE!</v>
      </c>
      <c r="AC465" s="29">
        <f t="shared" si="129"/>
        <v>432.63757115749524</v>
      </c>
      <c r="AD465" s="28" t="e">
        <f t="shared" si="130"/>
        <v>#VALUE!</v>
      </c>
      <c r="AE465" s="28" t="e">
        <f t="shared" si="131"/>
        <v>#N/A</v>
      </c>
      <c r="AF465" s="28" t="e">
        <f t="shared" si="132"/>
        <v>#VALUE!</v>
      </c>
      <c r="AH465" s="31" t="e">
        <f t="shared" si="133"/>
        <v>#N/A</v>
      </c>
      <c r="AI465" s="25"/>
      <c r="AJ465" s="31"/>
    </row>
    <row r="466" spans="2:36" x14ac:dyDescent="0.25">
      <c r="B466" s="33">
        <f>'Arbitrage Payback Engine'!E466</f>
        <v>12.518833036570333</v>
      </c>
      <c r="C466" s="33">
        <f t="shared" si="119"/>
        <v>1000</v>
      </c>
      <c r="D466" s="33">
        <f>'Battery Pricing Model'!$C$17</f>
        <v>1000</v>
      </c>
      <c r="E466" s="33">
        <f t="shared" si="120"/>
        <v>999</v>
      </c>
      <c r="F466" s="33" t="str">
        <f>'Peak Models'!$B$4</f>
        <v>Default</v>
      </c>
      <c r="G466" s="33" t="e">
        <f>'Peak Models'!$Q$7</f>
        <v>#VALUE!</v>
      </c>
      <c r="H466" s="33">
        <f>'Peak Models'!$P$16</f>
        <v>1.5</v>
      </c>
      <c r="I466" s="33">
        <v>12</v>
      </c>
      <c r="J466" s="33" t="e">
        <f>'Peak Models'!$P$13</f>
        <v>#N/A</v>
      </c>
      <c r="K466" s="28" t="e">
        <f t="shared" si="121"/>
        <v>#VALUE!</v>
      </c>
      <c r="L466" s="28" t="e">
        <f>INDEX('Peak Models'!$P$34:$P$64, MATCH(TRUNC(B466, 0), 'Peak Models'!$O$34:$O$64, 0))</f>
        <v>#N/A</v>
      </c>
      <c r="M466" s="28">
        <f>'Peak Models'!$P$15*INDEX('Peak Models'!$Q$34:$Q$64, MATCH(TRUNC(B466, 0),'Peak Models'!$O$34:$O$64, 0))/'Profit per cycles Model'!$E$78</f>
        <v>6.3288885846884595</v>
      </c>
      <c r="N466" s="28" t="e">
        <f t="shared" si="122"/>
        <v>#N/A</v>
      </c>
      <c r="O466" s="71" t="e">
        <f>AVERAGE($N$10:N466)</f>
        <v>#N/A</v>
      </c>
      <c r="P466" s="28" t="e">
        <f t="shared" si="123"/>
        <v>#N/A</v>
      </c>
      <c r="R466" s="28" t="e">
        <f t="shared" si="124"/>
        <v>#VALUE!</v>
      </c>
      <c r="S466" s="25"/>
      <c r="T466" s="25">
        <f t="shared" si="125"/>
        <v>15</v>
      </c>
      <c r="U466" s="33">
        <f>IF(PaybackCustom&gt;0, IF(PaybackCustom&lt;&gt;"Default", PaybackCustom, IF(PaybackStatus&lt;&gt;"",INDEX('Arbitrage Payback Engine'!$Y$2:$Y$6,MATCH(PaybackStatus,'Arbitrage Payback Engine'!$X$2:$X$6,FALSE)),-1)))</f>
        <v>25</v>
      </c>
      <c r="V466" s="32">
        <f t="shared" si="134"/>
        <v>15</v>
      </c>
      <c r="X466" s="29">
        <f t="shared" si="135"/>
        <v>457</v>
      </c>
      <c r="Z466" s="30">
        <f t="shared" si="126"/>
        <v>12.518833036570333</v>
      </c>
      <c r="AA466" s="28" t="e">
        <f t="shared" si="127"/>
        <v>#N/A</v>
      </c>
      <c r="AB466" s="28" t="e">
        <f t="shared" si="128"/>
        <v>#VALUE!</v>
      </c>
      <c r="AC466" s="29">
        <f t="shared" si="129"/>
        <v>433.58633776091085</v>
      </c>
      <c r="AD466" s="28" t="e">
        <f t="shared" si="130"/>
        <v>#VALUE!</v>
      </c>
      <c r="AE466" s="28" t="e">
        <f t="shared" si="131"/>
        <v>#N/A</v>
      </c>
      <c r="AF466" s="28" t="e">
        <f t="shared" si="132"/>
        <v>#VALUE!</v>
      </c>
      <c r="AH466" s="31" t="e">
        <f t="shared" si="133"/>
        <v>#N/A</v>
      </c>
      <c r="AI466" s="25"/>
      <c r="AJ466" s="31"/>
    </row>
    <row r="467" spans="2:36" x14ac:dyDescent="0.25">
      <c r="B467" s="33">
        <f>'Arbitrage Payback Engine'!E467</f>
        <v>12.546226544308999</v>
      </c>
      <c r="C467" s="33">
        <f t="shared" si="119"/>
        <v>1000</v>
      </c>
      <c r="D467" s="33">
        <f>'Battery Pricing Model'!$C$17</f>
        <v>1000</v>
      </c>
      <c r="E467" s="33">
        <f t="shared" si="120"/>
        <v>999</v>
      </c>
      <c r="F467" s="33" t="str">
        <f>'Peak Models'!$B$4</f>
        <v>Default</v>
      </c>
      <c r="G467" s="33" t="e">
        <f>'Peak Models'!$Q$7</f>
        <v>#VALUE!</v>
      </c>
      <c r="H467" s="33">
        <f>'Peak Models'!$P$16</f>
        <v>1.5</v>
      </c>
      <c r="I467" s="33">
        <v>12</v>
      </c>
      <c r="J467" s="33" t="e">
        <f>'Peak Models'!$P$13</f>
        <v>#N/A</v>
      </c>
      <c r="K467" s="28" t="e">
        <f t="shared" si="121"/>
        <v>#VALUE!</v>
      </c>
      <c r="L467" s="28" t="e">
        <f>INDEX('Peak Models'!$P$34:$P$64, MATCH(TRUNC(B467, 0), 'Peak Models'!$O$34:$O$64, 0))</f>
        <v>#N/A</v>
      </c>
      <c r="M467" s="28">
        <f>'Peak Models'!$P$15*INDEX('Peak Models'!$Q$34:$Q$64, MATCH(TRUNC(B467, 0),'Peak Models'!$O$34:$O$64, 0))/'Profit per cycles Model'!$E$78</f>
        <v>6.3288885846884595</v>
      </c>
      <c r="N467" s="28" t="e">
        <f t="shared" si="122"/>
        <v>#N/A</v>
      </c>
      <c r="O467" s="71" t="e">
        <f>AVERAGE($N$10:N467)</f>
        <v>#N/A</v>
      </c>
      <c r="P467" s="28" t="e">
        <f t="shared" si="123"/>
        <v>#N/A</v>
      </c>
      <c r="R467" s="28" t="e">
        <f t="shared" si="124"/>
        <v>#VALUE!</v>
      </c>
      <c r="S467" s="25"/>
      <c r="T467" s="25">
        <f t="shared" si="125"/>
        <v>15</v>
      </c>
      <c r="U467" s="33">
        <f>IF(PaybackCustom&gt;0, IF(PaybackCustom&lt;&gt;"Default", PaybackCustom, IF(PaybackStatus&lt;&gt;"",INDEX('Arbitrage Payback Engine'!$Y$2:$Y$6,MATCH(PaybackStatus,'Arbitrage Payback Engine'!$X$2:$X$6,FALSE)),-1)))</f>
        <v>25</v>
      </c>
      <c r="V467" s="32">
        <f t="shared" si="134"/>
        <v>15</v>
      </c>
      <c r="X467" s="29">
        <f t="shared" si="135"/>
        <v>458</v>
      </c>
      <c r="Z467" s="30">
        <f t="shared" si="126"/>
        <v>12.546226544308999</v>
      </c>
      <c r="AA467" s="28" t="e">
        <f t="shared" si="127"/>
        <v>#N/A</v>
      </c>
      <c r="AB467" s="28" t="e">
        <f t="shared" si="128"/>
        <v>#VALUE!</v>
      </c>
      <c r="AC467" s="29">
        <f t="shared" si="129"/>
        <v>434.5351043643264</v>
      </c>
      <c r="AD467" s="28" t="e">
        <f t="shared" si="130"/>
        <v>#VALUE!</v>
      </c>
      <c r="AE467" s="28" t="e">
        <f t="shared" si="131"/>
        <v>#N/A</v>
      </c>
      <c r="AF467" s="28" t="e">
        <f t="shared" si="132"/>
        <v>#VALUE!</v>
      </c>
      <c r="AH467" s="31" t="e">
        <f t="shared" si="133"/>
        <v>#N/A</v>
      </c>
      <c r="AI467" s="25"/>
      <c r="AJ467" s="31"/>
    </row>
    <row r="468" spans="2:36" x14ac:dyDescent="0.25">
      <c r="B468" s="33">
        <f>'Arbitrage Payback Engine'!E468</f>
        <v>12.573620052047664</v>
      </c>
      <c r="C468" s="33">
        <f t="shared" si="119"/>
        <v>1000</v>
      </c>
      <c r="D468" s="33">
        <f>'Battery Pricing Model'!$C$17</f>
        <v>1000</v>
      </c>
      <c r="E468" s="33">
        <f t="shared" si="120"/>
        <v>999</v>
      </c>
      <c r="F468" s="33" t="str">
        <f>'Peak Models'!$B$4</f>
        <v>Default</v>
      </c>
      <c r="G468" s="33" t="e">
        <f>'Peak Models'!$Q$7</f>
        <v>#VALUE!</v>
      </c>
      <c r="H468" s="33">
        <f>'Peak Models'!$P$16</f>
        <v>1.5</v>
      </c>
      <c r="I468" s="33">
        <v>12</v>
      </c>
      <c r="J468" s="33" t="e">
        <f>'Peak Models'!$P$13</f>
        <v>#N/A</v>
      </c>
      <c r="K468" s="28" t="e">
        <f t="shared" si="121"/>
        <v>#VALUE!</v>
      </c>
      <c r="L468" s="28" t="e">
        <f>INDEX('Peak Models'!$P$34:$P$64, MATCH(TRUNC(B468, 0), 'Peak Models'!$O$34:$O$64, 0))</f>
        <v>#N/A</v>
      </c>
      <c r="M468" s="28">
        <f>'Peak Models'!$P$15*INDEX('Peak Models'!$Q$34:$Q$64, MATCH(TRUNC(B468, 0),'Peak Models'!$O$34:$O$64, 0))/'Profit per cycles Model'!$E$78</f>
        <v>6.3288885846884595</v>
      </c>
      <c r="N468" s="28" t="e">
        <f t="shared" si="122"/>
        <v>#N/A</v>
      </c>
      <c r="O468" s="71" t="e">
        <f>AVERAGE($N$10:N468)</f>
        <v>#N/A</v>
      </c>
      <c r="P468" s="28" t="e">
        <f t="shared" si="123"/>
        <v>#N/A</v>
      </c>
      <c r="R468" s="28" t="e">
        <f t="shared" si="124"/>
        <v>#VALUE!</v>
      </c>
      <c r="S468" s="25"/>
      <c r="T468" s="25">
        <f t="shared" si="125"/>
        <v>15</v>
      </c>
      <c r="U468" s="33">
        <f>IF(PaybackCustom&gt;0, IF(PaybackCustom&lt;&gt;"Default", PaybackCustom, IF(PaybackStatus&lt;&gt;"",INDEX('Arbitrage Payback Engine'!$Y$2:$Y$6,MATCH(PaybackStatus,'Arbitrage Payback Engine'!$X$2:$X$6,FALSE)),-1)))</f>
        <v>25</v>
      </c>
      <c r="V468" s="32">
        <f t="shared" si="134"/>
        <v>15</v>
      </c>
      <c r="X468" s="29">
        <f t="shared" si="135"/>
        <v>459</v>
      </c>
      <c r="Z468" s="30">
        <f t="shared" si="126"/>
        <v>12.573620052047664</v>
      </c>
      <c r="AA468" s="28" t="e">
        <f t="shared" si="127"/>
        <v>#N/A</v>
      </c>
      <c r="AB468" s="28" t="e">
        <f t="shared" si="128"/>
        <v>#VALUE!</v>
      </c>
      <c r="AC468" s="29">
        <f t="shared" si="129"/>
        <v>435.48387096774189</v>
      </c>
      <c r="AD468" s="28" t="e">
        <f t="shared" si="130"/>
        <v>#VALUE!</v>
      </c>
      <c r="AE468" s="28" t="e">
        <f t="shared" si="131"/>
        <v>#N/A</v>
      </c>
      <c r="AF468" s="28" t="e">
        <f t="shared" si="132"/>
        <v>#VALUE!</v>
      </c>
      <c r="AH468" s="31" t="e">
        <f t="shared" si="133"/>
        <v>#N/A</v>
      </c>
      <c r="AI468" s="25"/>
      <c r="AJ468" s="31"/>
    </row>
    <row r="469" spans="2:36" x14ac:dyDescent="0.25">
      <c r="B469" s="33">
        <f>'Arbitrage Payback Engine'!E469</f>
        <v>12.601013559786331</v>
      </c>
      <c r="C469" s="33">
        <f t="shared" si="119"/>
        <v>1000</v>
      </c>
      <c r="D469" s="33">
        <f>'Battery Pricing Model'!$C$17</f>
        <v>1000</v>
      </c>
      <c r="E469" s="33">
        <f t="shared" si="120"/>
        <v>999</v>
      </c>
      <c r="F469" s="33" t="str">
        <f>'Peak Models'!$B$4</f>
        <v>Default</v>
      </c>
      <c r="G469" s="33" t="e">
        <f>'Peak Models'!$Q$7</f>
        <v>#VALUE!</v>
      </c>
      <c r="H469" s="33">
        <f>'Peak Models'!$P$16</f>
        <v>1.5</v>
      </c>
      <c r="I469" s="33">
        <v>12</v>
      </c>
      <c r="J469" s="33" t="e">
        <f>'Peak Models'!$P$13</f>
        <v>#N/A</v>
      </c>
      <c r="K469" s="28" t="e">
        <f t="shared" si="121"/>
        <v>#VALUE!</v>
      </c>
      <c r="L469" s="28" t="e">
        <f>INDEX('Peak Models'!$P$34:$P$64, MATCH(TRUNC(B469, 0), 'Peak Models'!$O$34:$O$64, 0))</f>
        <v>#N/A</v>
      </c>
      <c r="M469" s="28">
        <f>'Peak Models'!$P$15*INDEX('Peak Models'!$Q$34:$Q$64, MATCH(TRUNC(B469, 0),'Peak Models'!$O$34:$O$64, 0))/'Profit per cycles Model'!$E$78</f>
        <v>6.3288885846884595</v>
      </c>
      <c r="N469" s="28" t="e">
        <f t="shared" si="122"/>
        <v>#N/A</v>
      </c>
      <c r="O469" s="71" t="e">
        <f>AVERAGE($N$10:N469)</f>
        <v>#N/A</v>
      </c>
      <c r="P469" s="28" t="e">
        <f t="shared" si="123"/>
        <v>#N/A</v>
      </c>
      <c r="R469" s="28" t="e">
        <f t="shared" si="124"/>
        <v>#VALUE!</v>
      </c>
      <c r="S469" s="25"/>
      <c r="T469" s="25">
        <f t="shared" si="125"/>
        <v>15</v>
      </c>
      <c r="U469" s="33">
        <f>IF(PaybackCustom&gt;0, IF(PaybackCustom&lt;&gt;"Default", PaybackCustom, IF(PaybackStatus&lt;&gt;"",INDEX('Arbitrage Payback Engine'!$Y$2:$Y$6,MATCH(PaybackStatus,'Arbitrage Payback Engine'!$X$2:$X$6,FALSE)),-1)))</f>
        <v>25</v>
      </c>
      <c r="V469" s="32">
        <f t="shared" si="134"/>
        <v>15</v>
      </c>
      <c r="X469" s="29">
        <f t="shared" si="135"/>
        <v>460</v>
      </c>
      <c r="Z469" s="30">
        <f t="shared" si="126"/>
        <v>12.601013559786331</v>
      </c>
      <c r="AA469" s="28" t="e">
        <f t="shared" si="127"/>
        <v>#N/A</v>
      </c>
      <c r="AB469" s="28" t="e">
        <f t="shared" si="128"/>
        <v>#VALUE!</v>
      </c>
      <c r="AC469" s="29">
        <f t="shared" si="129"/>
        <v>436.43263757115756</v>
      </c>
      <c r="AD469" s="28" t="e">
        <f t="shared" si="130"/>
        <v>#VALUE!</v>
      </c>
      <c r="AE469" s="28" t="e">
        <f t="shared" si="131"/>
        <v>#N/A</v>
      </c>
      <c r="AF469" s="28" t="e">
        <f t="shared" si="132"/>
        <v>#VALUE!</v>
      </c>
      <c r="AH469" s="31" t="e">
        <f t="shared" si="133"/>
        <v>#N/A</v>
      </c>
      <c r="AI469" s="25"/>
      <c r="AJ469" s="31"/>
    </row>
    <row r="470" spans="2:36" x14ac:dyDescent="0.25">
      <c r="B470" s="33">
        <f>'Arbitrage Payback Engine'!E470</f>
        <v>12.628407067524996</v>
      </c>
      <c r="C470" s="33">
        <f t="shared" si="119"/>
        <v>1000</v>
      </c>
      <c r="D470" s="33">
        <f>'Battery Pricing Model'!$C$17</f>
        <v>1000</v>
      </c>
      <c r="E470" s="33">
        <f t="shared" si="120"/>
        <v>999</v>
      </c>
      <c r="F470" s="33" t="str">
        <f>'Peak Models'!$B$4</f>
        <v>Default</v>
      </c>
      <c r="G470" s="33" t="e">
        <f>'Peak Models'!$Q$7</f>
        <v>#VALUE!</v>
      </c>
      <c r="H470" s="33">
        <f>'Peak Models'!$P$16</f>
        <v>1.5</v>
      </c>
      <c r="I470" s="33">
        <v>12</v>
      </c>
      <c r="J470" s="33" t="e">
        <f>'Peak Models'!$P$13</f>
        <v>#N/A</v>
      </c>
      <c r="K470" s="28" t="e">
        <f t="shared" si="121"/>
        <v>#VALUE!</v>
      </c>
      <c r="L470" s="28" t="e">
        <f>INDEX('Peak Models'!$P$34:$P$64, MATCH(TRUNC(B470, 0), 'Peak Models'!$O$34:$O$64, 0))</f>
        <v>#N/A</v>
      </c>
      <c r="M470" s="28">
        <f>'Peak Models'!$P$15*INDEX('Peak Models'!$Q$34:$Q$64, MATCH(TRUNC(B470, 0),'Peak Models'!$O$34:$O$64, 0))/'Profit per cycles Model'!$E$78</f>
        <v>6.3288885846884595</v>
      </c>
      <c r="N470" s="28" t="e">
        <f t="shared" si="122"/>
        <v>#N/A</v>
      </c>
      <c r="O470" s="71" t="e">
        <f>AVERAGE($N$10:N470)</f>
        <v>#N/A</v>
      </c>
      <c r="P470" s="28" t="e">
        <f t="shared" si="123"/>
        <v>#N/A</v>
      </c>
      <c r="R470" s="28" t="e">
        <f t="shared" si="124"/>
        <v>#VALUE!</v>
      </c>
      <c r="S470" s="25"/>
      <c r="T470" s="25">
        <f t="shared" si="125"/>
        <v>15</v>
      </c>
      <c r="U470" s="33">
        <f>IF(PaybackCustom&gt;0, IF(PaybackCustom&lt;&gt;"Default", PaybackCustom, IF(PaybackStatus&lt;&gt;"",INDEX('Arbitrage Payback Engine'!$Y$2:$Y$6,MATCH(PaybackStatus,'Arbitrage Payback Engine'!$X$2:$X$6,FALSE)),-1)))</f>
        <v>25</v>
      </c>
      <c r="V470" s="32">
        <f t="shared" si="134"/>
        <v>15</v>
      </c>
      <c r="X470" s="29">
        <f t="shared" si="135"/>
        <v>461</v>
      </c>
      <c r="Z470" s="30">
        <f t="shared" si="126"/>
        <v>12.628407067524996</v>
      </c>
      <c r="AA470" s="28" t="e">
        <f t="shared" si="127"/>
        <v>#N/A</v>
      </c>
      <c r="AB470" s="28" t="e">
        <f t="shared" si="128"/>
        <v>#VALUE!</v>
      </c>
      <c r="AC470" s="29">
        <f t="shared" si="129"/>
        <v>437.38140417457311</v>
      </c>
      <c r="AD470" s="28" t="e">
        <f t="shared" si="130"/>
        <v>#VALUE!</v>
      </c>
      <c r="AE470" s="28" t="e">
        <f t="shared" si="131"/>
        <v>#N/A</v>
      </c>
      <c r="AF470" s="28" t="e">
        <f t="shared" si="132"/>
        <v>#VALUE!</v>
      </c>
      <c r="AH470" s="31" t="e">
        <f t="shared" si="133"/>
        <v>#N/A</v>
      </c>
      <c r="AI470" s="25"/>
      <c r="AJ470" s="31"/>
    </row>
    <row r="471" spans="2:36" x14ac:dyDescent="0.25">
      <c r="B471" s="33">
        <f>'Arbitrage Payback Engine'!E471</f>
        <v>12.655800575263662</v>
      </c>
      <c r="C471" s="33">
        <f t="shared" si="119"/>
        <v>1000</v>
      </c>
      <c r="D471" s="33">
        <f>'Battery Pricing Model'!$C$17</f>
        <v>1000</v>
      </c>
      <c r="E471" s="33">
        <f t="shared" si="120"/>
        <v>999</v>
      </c>
      <c r="F471" s="33" t="str">
        <f>'Peak Models'!$B$4</f>
        <v>Default</v>
      </c>
      <c r="G471" s="33" t="e">
        <f>'Peak Models'!$Q$7</f>
        <v>#VALUE!</v>
      </c>
      <c r="H471" s="33">
        <f>'Peak Models'!$P$16</f>
        <v>1.5</v>
      </c>
      <c r="I471" s="33">
        <v>12</v>
      </c>
      <c r="J471" s="33" t="e">
        <f>'Peak Models'!$P$13</f>
        <v>#N/A</v>
      </c>
      <c r="K471" s="28" t="e">
        <f t="shared" si="121"/>
        <v>#VALUE!</v>
      </c>
      <c r="L471" s="28" t="e">
        <f>INDEX('Peak Models'!$P$34:$P$64, MATCH(TRUNC(B471, 0), 'Peak Models'!$O$34:$O$64, 0))</f>
        <v>#N/A</v>
      </c>
      <c r="M471" s="28">
        <f>'Peak Models'!$P$15*INDEX('Peak Models'!$Q$34:$Q$64, MATCH(TRUNC(B471, 0),'Peak Models'!$O$34:$O$64, 0))/'Profit per cycles Model'!$E$78</f>
        <v>6.3288885846884595</v>
      </c>
      <c r="N471" s="28" t="e">
        <f t="shared" si="122"/>
        <v>#N/A</v>
      </c>
      <c r="O471" s="71" t="e">
        <f>AVERAGE($N$10:N471)</f>
        <v>#N/A</v>
      </c>
      <c r="P471" s="28" t="e">
        <f t="shared" si="123"/>
        <v>#N/A</v>
      </c>
      <c r="R471" s="28" t="e">
        <f t="shared" si="124"/>
        <v>#VALUE!</v>
      </c>
      <c r="S471" s="25"/>
      <c r="T471" s="25">
        <f t="shared" si="125"/>
        <v>15</v>
      </c>
      <c r="U471" s="33">
        <f>IF(PaybackCustom&gt;0, IF(PaybackCustom&lt;&gt;"Default", PaybackCustom, IF(PaybackStatus&lt;&gt;"",INDEX('Arbitrage Payback Engine'!$Y$2:$Y$6,MATCH(PaybackStatus,'Arbitrage Payback Engine'!$X$2:$X$6,FALSE)),-1)))</f>
        <v>25</v>
      </c>
      <c r="V471" s="32">
        <f t="shared" si="134"/>
        <v>15</v>
      </c>
      <c r="X471" s="29">
        <f t="shared" si="135"/>
        <v>462</v>
      </c>
      <c r="Z471" s="30">
        <f t="shared" si="126"/>
        <v>12.655800575263662</v>
      </c>
      <c r="AA471" s="28" t="e">
        <f t="shared" si="127"/>
        <v>#N/A</v>
      </c>
      <c r="AB471" s="28" t="e">
        <f t="shared" si="128"/>
        <v>#VALUE!</v>
      </c>
      <c r="AC471" s="29">
        <f t="shared" si="129"/>
        <v>438.3301707779886</v>
      </c>
      <c r="AD471" s="28" t="e">
        <f t="shared" si="130"/>
        <v>#VALUE!</v>
      </c>
      <c r="AE471" s="28" t="e">
        <f t="shared" si="131"/>
        <v>#N/A</v>
      </c>
      <c r="AF471" s="28" t="e">
        <f t="shared" si="132"/>
        <v>#VALUE!</v>
      </c>
      <c r="AH471" s="31" t="e">
        <f t="shared" si="133"/>
        <v>#N/A</v>
      </c>
      <c r="AI471" s="25"/>
      <c r="AJ471" s="31"/>
    </row>
    <row r="472" spans="2:36" x14ac:dyDescent="0.25">
      <c r="B472" s="33">
        <f>'Arbitrage Payback Engine'!E472</f>
        <v>12.683194083002329</v>
      </c>
      <c r="C472" s="33">
        <f t="shared" si="119"/>
        <v>1000</v>
      </c>
      <c r="D472" s="33">
        <f>'Battery Pricing Model'!$C$17</f>
        <v>1000</v>
      </c>
      <c r="E472" s="33">
        <f t="shared" si="120"/>
        <v>999</v>
      </c>
      <c r="F472" s="33" t="str">
        <f>'Peak Models'!$B$4</f>
        <v>Default</v>
      </c>
      <c r="G472" s="33" t="e">
        <f>'Peak Models'!$Q$7</f>
        <v>#VALUE!</v>
      </c>
      <c r="H472" s="33">
        <f>'Peak Models'!$P$16</f>
        <v>1.5</v>
      </c>
      <c r="I472" s="33">
        <v>12</v>
      </c>
      <c r="J472" s="33" t="e">
        <f>'Peak Models'!$P$13</f>
        <v>#N/A</v>
      </c>
      <c r="K472" s="28" t="e">
        <f t="shared" si="121"/>
        <v>#VALUE!</v>
      </c>
      <c r="L472" s="28" t="e">
        <f>INDEX('Peak Models'!$P$34:$P$64, MATCH(TRUNC(B472, 0), 'Peak Models'!$O$34:$O$64, 0))</f>
        <v>#N/A</v>
      </c>
      <c r="M472" s="28">
        <f>'Peak Models'!$P$15*INDEX('Peak Models'!$Q$34:$Q$64, MATCH(TRUNC(B472, 0),'Peak Models'!$O$34:$O$64, 0))/'Profit per cycles Model'!$E$78</f>
        <v>6.3288885846884595</v>
      </c>
      <c r="N472" s="28" t="e">
        <f t="shared" si="122"/>
        <v>#N/A</v>
      </c>
      <c r="O472" s="71" t="e">
        <f>AVERAGE($N$10:N472)</f>
        <v>#N/A</v>
      </c>
      <c r="P472" s="28" t="e">
        <f t="shared" si="123"/>
        <v>#N/A</v>
      </c>
      <c r="R472" s="28" t="e">
        <f t="shared" si="124"/>
        <v>#VALUE!</v>
      </c>
      <c r="S472" s="25"/>
      <c r="T472" s="25">
        <f t="shared" si="125"/>
        <v>15</v>
      </c>
      <c r="U472" s="33">
        <f>IF(PaybackCustom&gt;0, IF(PaybackCustom&lt;&gt;"Default", PaybackCustom, IF(PaybackStatus&lt;&gt;"",INDEX('Arbitrage Payback Engine'!$Y$2:$Y$6,MATCH(PaybackStatus,'Arbitrage Payback Engine'!$X$2:$X$6,FALSE)),-1)))</f>
        <v>25</v>
      </c>
      <c r="V472" s="32">
        <f t="shared" si="134"/>
        <v>15</v>
      </c>
      <c r="X472" s="29">
        <f t="shared" si="135"/>
        <v>463</v>
      </c>
      <c r="Z472" s="30">
        <f t="shared" si="126"/>
        <v>12.683194083002329</v>
      </c>
      <c r="AA472" s="28" t="e">
        <f t="shared" si="127"/>
        <v>#N/A</v>
      </c>
      <c r="AB472" s="28" t="e">
        <f t="shared" si="128"/>
        <v>#VALUE!</v>
      </c>
      <c r="AC472" s="29">
        <f t="shared" si="129"/>
        <v>439.27893738140421</v>
      </c>
      <c r="AD472" s="28" t="e">
        <f t="shared" si="130"/>
        <v>#VALUE!</v>
      </c>
      <c r="AE472" s="28" t="e">
        <f t="shared" si="131"/>
        <v>#N/A</v>
      </c>
      <c r="AF472" s="28" t="e">
        <f t="shared" si="132"/>
        <v>#VALUE!</v>
      </c>
      <c r="AH472" s="31" t="e">
        <f t="shared" si="133"/>
        <v>#N/A</v>
      </c>
      <c r="AI472" s="25"/>
      <c r="AJ472" s="31"/>
    </row>
    <row r="473" spans="2:36" x14ac:dyDescent="0.25">
      <c r="B473" s="33">
        <f>'Arbitrage Payback Engine'!E473</f>
        <v>12.710587590740994</v>
      </c>
      <c r="C473" s="33">
        <f t="shared" si="119"/>
        <v>1000</v>
      </c>
      <c r="D473" s="33">
        <f>'Battery Pricing Model'!$C$17</f>
        <v>1000</v>
      </c>
      <c r="E473" s="33">
        <f t="shared" si="120"/>
        <v>999</v>
      </c>
      <c r="F473" s="33" t="str">
        <f>'Peak Models'!$B$4</f>
        <v>Default</v>
      </c>
      <c r="G473" s="33" t="e">
        <f>'Peak Models'!$Q$7</f>
        <v>#VALUE!</v>
      </c>
      <c r="H473" s="33">
        <f>'Peak Models'!$P$16</f>
        <v>1.5</v>
      </c>
      <c r="I473" s="33">
        <v>12</v>
      </c>
      <c r="J473" s="33" t="e">
        <f>'Peak Models'!$P$13</f>
        <v>#N/A</v>
      </c>
      <c r="K473" s="28" t="e">
        <f t="shared" si="121"/>
        <v>#VALUE!</v>
      </c>
      <c r="L473" s="28" t="e">
        <f>INDEX('Peak Models'!$P$34:$P$64, MATCH(TRUNC(B473, 0), 'Peak Models'!$O$34:$O$64, 0))</f>
        <v>#N/A</v>
      </c>
      <c r="M473" s="28">
        <f>'Peak Models'!$P$15*INDEX('Peak Models'!$Q$34:$Q$64, MATCH(TRUNC(B473, 0),'Peak Models'!$O$34:$O$64, 0))/'Profit per cycles Model'!$E$78</f>
        <v>6.3288885846884595</v>
      </c>
      <c r="N473" s="28" t="e">
        <f t="shared" si="122"/>
        <v>#N/A</v>
      </c>
      <c r="O473" s="71" t="e">
        <f>AVERAGE($N$10:N473)</f>
        <v>#N/A</v>
      </c>
      <c r="P473" s="28" t="e">
        <f t="shared" si="123"/>
        <v>#N/A</v>
      </c>
      <c r="R473" s="28" t="e">
        <f t="shared" si="124"/>
        <v>#VALUE!</v>
      </c>
      <c r="S473" s="25"/>
      <c r="T473" s="25">
        <f t="shared" si="125"/>
        <v>15</v>
      </c>
      <c r="U473" s="33">
        <f>IF(PaybackCustom&gt;0, IF(PaybackCustom&lt;&gt;"Default", PaybackCustom, IF(PaybackStatus&lt;&gt;"",INDEX('Arbitrage Payback Engine'!$Y$2:$Y$6,MATCH(PaybackStatus,'Arbitrage Payback Engine'!$X$2:$X$6,FALSE)),-1)))</f>
        <v>25</v>
      </c>
      <c r="V473" s="32">
        <f t="shared" si="134"/>
        <v>15</v>
      </c>
      <c r="X473" s="29">
        <f t="shared" si="135"/>
        <v>464</v>
      </c>
      <c r="Z473" s="30">
        <f t="shared" si="126"/>
        <v>12.710587590740994</v>
      </c>
      <c r="AA473" s="28" t="e">
        <f t="shared" si="127"/>
        <v>#N/A</v>
      </c>
      <c r="AB473" s="28" t="e">
        <f t="shared" si="128"/>
        <v>#VALUE!</v>
      </c>
      <c r="AC473" s="29">
        <f t="shared" si="129"/>
        <v>440.22770398481975</v>
      </c>
      <c r="AD473" s="28" t="e">
        <f t="shared" si="130"/>
        <v>#VALUE!</v>
      </c>
      <c r="AE473" s="28" t="e">
        <f t="shared" si="131"/>
        <v>#N/A</v>
      </c>
      <c r="AF473" s="28" t="e">
        <f t="shared" si="132"/>
        <v>#VALUE!</v>
      </c>
      <c r="AH473" s="31" t="e">
        <f t="shared" si="133"/>
        <v>#N/A</v>
      </c>
      <c r="AI473" s="25"/>
      <c r="AJ473" s="31"/>
    </row>
    <row r="474" spans="2:36" x14ac:dyDescent="0.25">
      <c r="B474" s="33">
        <f>'Arbitrage Payback Engine'!E474</f>
        <v>12.73798109847966</v>
      </c>
      <c r="C474" s="33">
        <f t="shared" si="119"/>
        <v>1000</v>
      </c>
      <c r="D474" s="33">
        <f>'Battery Pricing Model'!$C$17</f>
        <v>1000</v>
      </c>
      <c r="E474" s="33">
        <f t="shared" si="120"/>
        <v>999</v>
      </c>
      <c r="F474" s="33" t="str">
        <f>'Peak Models'!$B$4</f>
        <v>Default</v>
      </c>
      <c r="G474" s="33" t="e">
        <f>'Peak Models'!$Q$7</f>
        <v>#VALUE!</v>
      </c>
      <c r="H474" s="33">
        <f>'Peak Models'!$P$16</f>
        <v>1.5</v>
      </c>
      <c r="I474" s="33">
        <v>12</v>
      </c>
      <c r="J474" s="33" t="e">
        <f>'Peak Models'!$P$13</f>
        <v>#N/A</v>
      </c>
      <c r="K474" s="28" t="e">
        <f t="shared" si="121"/>
        <v>#VALUE!</v>
      </c>
      <c r="L474" s="28" t="e">
        <f>INDEX('Peak Models'!$P$34:$P$64, MATCH(TRUNC(B474, 0), 'Peak Models'!$O$34:$O$64, 0))</f>
        <v>#N/A</v>
      </c>
      <c r="M474" s="28">
        <f>'Peak Models'!$P$15*INDEX('Peak Models'!$Q$34:$Q$64, MATCH(TRUNC(B474, 0),'Peak Models'!$O$34:$O$64, 0))/'Profit per cycles Model'!$E$78</f>
        <v>6.3288885846884595</v>
      </c>
      <c r="N474" s="28" t="e">
        <f t="shared" si="122"/>
        <v>#N/A</v>
      </c>
      <c r="O474" s="71" t="e">
        <f>AVERAGE($N$10:N474)</f>
        <v>#N/A</v>
      </c>
      <c r="P474" s="28" t="e">
        <f t="shared" si="123"/>
        <v>#N/A</v>
      </c>
      <c r="R474" s="28" t="e">
        <f t="shared" si="124"/>
        <v>#VALUE!</v>
      </c>
      <c r="S474" s="25"/>
      <c r="T474" s="25">
        <f t="shared" si="125"/>
        <v>15</v>
      </c>
      <c r="U474" s="33">
        <f>IF(PaybackCustom&gt;0, IF(PaybackCustom&lt;&gt;"Default", PaybackCustom, IF(PaybackStatus&lt;&gt;"",INDEX('Arbitrage Payback Engine'!$Y$2:$Y$6,MATCH(PaybackStatus,'Arbitrage Payback Engine'!$X$2:$X$6,FALSE)),-1)))</f>
        <v>25</v>
      </c>
      <c r="V474" s="32">
        <f t="shared" si="134"/>
        <v>15</v>
      </c>
      <c r="X474" s="29">
        <f t="shared" si="135"/>
        <v>465</v>
      </c>
      <c r="Z474" s="30">
        <f t="shared" si="126"/>
        <v>12.73798109847966</v>
      </c>
      <c r="AA474" s="28" t="e">
        <f t="shared" si="127"/>
        <v>#N/A</v>
      </c>
      <c r="AB474" s="28" t="e">
        <f t="shared" si="128"/>
        <v>#VALUE!</v>
      </c>
      <c r="AC474" s="29">
        <f t="shared" si="129"/>
        <v>441.1764705882353</v>
      </c>
      <c r="AD474" s="28" t="e">
        <f t="shared" si="130"/>
        <v>#VALUE!</v>
      </c>
      <c r="AE474" s="28" t="e">
        <f t="shared" si="131"/>
        <v>#N/A</v>
      </c>
      <c r="AF474" s="28" t="e">
        <f t="shared" si="132"/>
        <v>#VALUE!</v>
      </c>
      <c r="AH474" s="31" t="e">
        <f t="shared" si="133"/>
        <v>#N/A</v>
      </c>
      <c r="AI474" s="25"/>
      <c r="AJ474" s="31"/>
    </row>
    <row r="475" spans="2:36" x14ac:dyDescent="0.25">
      <c r="B475" s="33">
        <f>'Arbitrage Payback Engine'!E475</f>
        <v>12.765374606218327</v>
      </c>
      <c r="C475" s="33">
        <f t="shared" si="119"/>
        <v>1000</v>
      </c>
      <c r="D475" s="33">
        <f>'Battery Pricing Model'!$C$17</f>
        <v>1000</v>
      </c>
      <c r="E475" s="33">
        <f t="shared" si="120"/>
        <v>999</v>
      </c>
      <c r="F475" s="33" t="str">
        <f>'Peak Models'!$B$4</f>
        <v>Default</v>
      </c>
      <c r="G475" s="33" t="e">
        <f>'Peak Models'!$Q$7</f>
        <v>#VALUE!</v>
      </c>
      <c r="H475" s="33">
        <f>'Peak Models'!$P$16</f>
        <v>1.5</v>
      </c>
      <c r="I475" s="33">
        <v>12</v>
      </c>
      <c r="J475" s="33" t="e">
        <f>'Peak Models'!$P$13</f>
        <v>#N/A</v>
      </c>
      <c r="K475" s="28" t="e">
        <f t="shared" si="121"/>
        <v>#VALUE!</v>
      </c>
      <c r="L475" s="28" t="e">
        <f>INDEX('Peak Models'!$P$34:$P$64, MATCH(TRUNC(B475, 0), 'Peak Models'!$O$34:$O$64, 0))</f>
        <v>#N/A</v>
      </c>
      <c r="M475" s="28">
        <f>'Peak Models'!$P$15*INDEX('Peak Models'!$Q$34:$Q$64, MATCH(TRUNC(B475, 0),'Peak Models'!$O$34:$O$64, 0))/'Profit per cycles Model'!$E$78</f>
        <v>6.3288885846884595</v>
      </c>
      <c r="N475" s="28" t="e">
        <f t="shared" si="122"/>
        <v>#N/A</v>
      </c>
      <c r="O475" s="71" t="e">
        <f>AVERAGE($N$10:N475)</f>
        <v>#N/A</v>
      </c>
      <c r="P475" s="28" t="e">
        <f t="shared" si="123"/>
        <v>#N/A</v>
      </c>
      <c r="R475" s="28" t="e">
        <f t="shared" si="124"/>
        <v>#VALUE!</v>
      </c>
      <c r="S475" s="25"/>
      <c r="T475" s="25">
        <f t="shared" si="125"/>
        <v>15</v>
      </c>
      <c r="U475" s="33">
        <f>IF(PaybackCustom&gt;0, IF(PaybackCustom&lt;&gt;"Default", PaybackCustom, IF(PaybackStatus&lt;&gt;"",INDEX('Arbitrage Payback Engine'!$Y$2:$Y$6,MATCH(PaybackStatus,'Arbitrage Payback Engine'!$X$2:$X$6,FALSE)),-1)))</f>
        <v>25</v>
      </c>
      <c r="V475" s="32">
        <f t="shared" si="134"/>
        <v>15</v>
      </c>
      <c r="X475" s="29">
        <f t="shared" si="135"/>
        <v>466</v>
      </c>
      <c r="Z475" s="30">
        <f t="shared" si="126"/>
        <v>12.765374606218327</v>
      </c>
      <c r="AA475" s="28" t="e">
        <f t="shared" si="127"/>
        <v>#N/A</v>
      </c>
      <c r="AB475" s="28" t="e">
        <f t="shared" si="128"/>
        <v>#VALUE!</v>
      </c>
      <c r="AC475" s="29">
        <f t="shared" si="129"/>
        <v>442.12523719165091</v>
      </c>
      <c r="AD475" s="28" t="e">
        <f t="shared" si="130"/>
        <v>#VALUE!</v>
      </c>
      <c r="AE475" s="28" t="e">
        <f t="shared" si="131"/>
        <v>#N/A</v>
      </c>
      <c r="AF475" s="28" t="e">
        <f t="shared" si="132"/>
        <v>#VALUE!</v>
      </c>
      <c r="AH475" s="31" t="e">
        <f t="shared" si="133"/>
        <v>#N/A</v>
      </c>
      <c r="AI475" s="25"/>
      <c r="AJ475" s="31"/>
    </row>
    <row r="476" spans="2:36" x14ac:dyDescent="0.25">
      <c r="B476" s="33">
        <f>'Arbitrage Payback Engine'!E476</f>
        <v>12.792768113956992</v>
      </c>
      <c r="C476" s="33">
        <f t="shared" si="119"/>
        <v>1000</v>
      </c>
      <c r="D476" s="33">
        <f>'Battery Pricing Model'!$C$17</f>
        <v>1000</v>
      </c>
      <c r="E476" s="33">
        <f t="shared" si="120"/>
        <v>999</v>
      </c>
      <c r="F476" s="33" t="str">
        <f>'Peak Models'!$B$4</f>
        <v>Default</v>
      </c>
      <c r="G476" s="33" t="e">
        <f>'Peak Models'!$Q$7</f>
        <v>#VALUE!</v>
      </c>
      <c r="H476" s="33">
        <f>'Peak Models'!$P$16</f>
        <v>1.5</v>
      </c>
      <c r="I476" s="33">
        <v>12</v>
      </c>
      <c r="J476" s="33" t="e">
        <f>'Peak Models'!$P$13</f>
        <v>#N/A</v>
      </c>
      <c r="K476" s="28" t="e">
        <f t="shared" si="121"/>
        <v>#VALUE!</v>
      </c>
      <c r="L476" s="28" t="e">
        <f>INDEX('Peak Models'!$P$34:$P$64, MATCH(TRUNC(B476, 0), 'Peak Models'!$O$34:$O$64, 0))</f>
        <v>#N/A</v>
      </c>
      <c r="M476" s="28">
        <f>'Peak Models'!$P$15*INDEX('Peak Models'!$Q$34:$Q$64, MATCH(TRUNC(B476, 0),'Peak Models'!$O$34:$O$64, 0))/'Profit per cycles Model'!$E$78</f>
        <v>6.3288885846884595</v>
      </c>
      <c r="N476" s="28" t="e">
        <f t="shared" si="122"/>
        <v>#N/A</v>
      </c>
      <c r="O476" s="71" t="e">
        <f>AVERAGE($N$10:N476)</f>
        <v>#N/A</v>
      </c>
      <c r="P476" s="28" t="e">
        <f t="shared" si="123"/>
        <v>#N/A</v>
      </c>
      <c r="R476" s="28" t="e">
        <f t="shared" si="124"/>
        <v>#VALUE!</v>
      </c>
      <c r="S476" s="25"/>
      <c r="T476" s="25">
        <f t="shared" si="125"/>
        <v>15</v>
      </c>
      <c r="U476" s="33">
        <f>IF(PaybackCustom&gt;0, IF(PaybackCustom&lt;&gt;"Default", PaybackCustom, IF(PaybackStatus&lt;&gt;"",INDEX('Arbitrage Payback Engine'!$Y$2:$Y$6,MATCH(PaybackStatus,'Arbitrage Payback Engine'!$X$2:$X$6,FALSE)),-1)))</f>
        <v>25</v>
      </c>
      <c r="V476" s="32">
        <f t="shared" si="134"/>
        <v>15</v>
      </c>
      <c r="X476" s="29">
        <f t="shared" si="135"/>
        <v>467</v>
      </c>
      <c r="Z476" s="30">
        <f t="shared" si="126"/>
        <v>12.792768113956992</v>
      </c>
      <c r="AA476" s="28" t="e">
        <f t="shared" si="127"/>
        <v>#N/A</v>
      </c>
      <c r="AB476" s="28" t="e">
        <f t="shared" si="128"/>
        <v>#VALUE!</v>
      </c>
      <c r="AC476" s="29">
        <f t="shared" si="129"/>
        <v>443.07400379506646</v>
      </c>
      <c r="AD476" s="28" t="e">
        <f t="shared" si="130"/>
        <v>#VALUE!</v>
      </c>
      <c r="AE476" s="28" t="e">
        <f t="shared" si="131"/>
        <v>#N/A</v>
      </c>
      <c r="AF476" s="28" t="e">
        <f t="shared" si="132"/>
        <v>#VALUE!</v>
      </c>
      <c r="AH476" s="31" t="e">
        <f t="shared" si="133"/>
        <v>#N/A</v>
      </c>
      <c r="AI476" s="25"/>
      <c r="AJ476" s="31"/>
    </row>
    <row r="477" spans="2:36" x14ac:dyDescent="0.25">
      <c r="B477" s="33">
        <f>'Arbitrage Payback Engine'!E477</f>
        <v>12.820161621695657</v>
      </c>
      <c r="C477" s="33">
        <f t="shared" si="119"/>
        <v>1000</v>
      </c>
      <c r="D477" s="33">
        <f>'Battery Pricing Model'!$C$17</f>
        <v>1000</v>
      </c>
      <c r="E477" s="33">
        <f t="shared" si="120"/>
        <v>999</v>
      </c>
      <c r="F477" s="33" t="str">
        <f>'Peak Models'!$B$4</f>
        <v>Default</v>
      </c>
      <c r="G477" s="33" t="e">
        <f>'Peak Models'!$Q$7</f>
        <v>#VALUE!</v>
      </c>
      <c r="H477" s="33">
        <f>'Peak Models'!$P$16</f>
        <v>1.5</v>
      </c>
      <c r="I477" s="33">
        <v>12</v>
      </c>
      <c r="J477" s="33" t="e">
        <f>'Peak Models'!$P$13</f>
        <v>#N/A</v>
      </c>
      <c r="K477" s="28" t="e">
        <f t="shared" si="121"/>
        <v>#VALUE!</v>
      </c>
      <c r="L477" s="28" t="e">
        <f>INDEX('Peak Models'!$P$34:$P$64, MATCH(TRUNC(B477, 0), 'Peak Models'!$O$34:$O$64, 0))</f>
        <v>#N/A</v>
      </c>
      <c r="M477" s="28">
        <f>'Peak Models'!$P$15*INDEX('Peak Models'!$Q$34:$Q$64, MATCH(TRUNC(B477, 0),'Peak Models'!$O$34:$O$64, 0))/'Profit per cycles Model'!$E$78</f>
        <v>6.3288885846884595</v>
      </c>
      <c r="N477" s="28" t="e">
        <f t="shared" si="122"/>
        <v>#N/A</v>
      </c>
      <c r="O477" s="71" t="e">
        <f>AVERAGE($N$10:N477)</f>
        <v>#N/A</v>
      </c>
      <c r="P477" s="28" t="e">
        <f t="shared" si="123"/>
        <v>#N/A</v>
      </c>
      <c r="R477" s="28" t="e">
        <f t="shared" si="124"/>
        <v>#VALUE!</v>
      </c>
      <c r="S477" s="25"/>
      <c r="T477" s="25">
        <f t="shared" si="125"/>
        <v>15</v>
      </c>
      <c r="U477" s="33">
        <f>IF(PaybackCustom&gt;0, IF(PaybackCustom&lt;&gt;"Default", PaybackCustom, IF(PaybackStatus&lt;&gt;"",INDEX('Arbitrage Payback Engine'!$Y$2:$Y$6,MATCH(PaybackStatus,'Arbitrage Payback Engine'!$X$2:$X$6,FALSE)),-1)))</f>
        <v>25</v>
      </c>
      <c r="V477" s="32">
        <f t="shared" si="134"/>
        <v>15</v>
      </c>
      <c r="X477" s="29">
        <f t="shared" si="135"/>
        <v>468</v>
      </c>
      <c r="Z477" s="30">
        <f t="shared" si="126"/>
        <v>12.820161621695657</v>
      </c>
      <c r="AA477" s="28" t="e">
        <f t="shared" si="127"/>
        <v>#N/A</v>
      </c>
      <c r="AB477" s="28" t="e">
        <f t="shared" si="128"/>
        <v>#VALUE!</v>
      </c>
      <c r="AC477" s="29">
        <f t="shared" si="129"/>
        <v>444.02277039848195</v>
      </c>
      <c r="AD477" s="28" t="e">
        <f t="shared" si="130"/>
        <v>#VALUE!</v>
      </c>
      <c r="AE477" s="28" t="e">
        <f t="shared" si="131"/>
        <v>#N/A</v>
      </c>
      <c r="AF477" s="28" t="e">
        <f t="shared" si="132"/>
        <v>#VALUE!</v>
      </c>
      <c r="AH477" s="31" t="e">
        <f t="shared" si="133"/>
        <v>#N/A</v>
      </c>
      <c r="AI477" s="25"/>
      <c r="AJ477" s="31"/>
    </row>
    <row r="478" spans="2:36" x14ac:dyDescent="0.25">
      <c r="B478" s="33">
        <f>'Arbitrage Payback Engine'!E478</f>
        <v>12.847555129434324</v>
      </c>
      <c r="C478" s="33">
        <f t="shared" si="119"/>
        <v>1000</v>
      </c>
      <c r="D478" s="33">
        <f>'Battery Pricing Model'!$C$17</f>
        <v>1000</v>
      </c>
      <c r="E478" s="33">
        <f t="shared" si="120"/>
        <v>999</v>
      </c>
      <c r="F478" s="33" t="str">
        <f>'Peak Models'!$B$4</f>
        <v>Default</v>
      </c>
      <c r="G478" s="33" t="e">
        <f>'Peak Models'!$Q$7</f>
        <v>#VALUE!</v>
      </c>
      <c r="H478" s="33">
        <f>'Peak Models'!$P$16</f>
        <v>1.5</v>
      </c>
      <c r="I478" s="33">
        <v>12</v>
      </c>
      <c r="J478" s="33" t="e">
        <f>'Peak Models'!$P$13</f>
        <v>#N/A</v>
      </c>
      <c r="K478" s="28" t="e">
        <f t="shared" si="121"/>
        <v>#VALUE!</v>
      </c>
      <c r="L478" s="28" t="e">
        <f>INDEX('Peak Models'!$P$34:$P$64, MATCH(TRUNC(B478, 0), 'Peak Models'!$O$34:$O$64, 0))</f>
        <v>#N/A</v>
      </c>
      <c r="M478" s="28">
        <f>'Peak Models'!$P$15*INDEX('Peak Models'!$Q$34:$Q$64, MATCH(TRUNC(B478, 0),'Peak Models'!$O$34:$O$64, 0))/'Profit per cycles Model'!$E$78</f>
        <v>6.3288885846884595</v>
      </c>
      <c r="N478" s="28" t="e">
        <f t="shared" si="122"/>
        <v>#N/A</v>
      </c>
      <c r="O478" s="71" t="e">
        <f>AVERAGE($N$10:N478)</f>
        <v>#N/A</v>
      </c>
      <c r="P478" s="28" t="e">
        <f t="shared" si="123"/>
        <v>#N/A</v>
      </c>
      <c r="R478" s="28" t="e">
        <f t="shared" si="124"/>
        <v>#VALUE!</v>
      </c>
      <c r="S478" s="25"/>
      <c r="T478" s="25">
        <f t="shared" si="125"/>
        <v>15</v>
      </c>
      <c r="U478" s="33">
        <f>IF(PaybackCustom&gt;0, IF(PaybackCustom&lt;&gt;"Default", PaybackCustom, IF(PaybackStatus&lt;&gt;"",INDEX('Arbitrage Payback Engine'!$Y$2:$Y$6,MATCH(PaybackStatus,'Arbitrage Payback Engine'!$X$2:$X$6,FALSE)),-1)))</f>
        <v>25</v>
      </c>
      <c r="V478" s="32">
        <f t="shared" si="134"/>
        <v>15</v>
      </c>
      <c r="X478" s="29">
        <f t="shared" si="135"/>
        <v>469</v>
      </c>
      <c r="Z478" s="30">
        <f t="shared" si="126"/>
        <v>12.847555129434324</v>
      </c>
      <c r="AA478" s="28" t="e">
        <f t="shared" si="127"/>
        <v>#N/A</v>
      </c>
      <c r="AB478" s="28" t="e">
        <f t="shared" si="128"/>
        <v>#VALUE!</v>
      </c>
      <c r="AC478" s="29">
        <f t="shared" si="129"/>
        <v>444.97153700189756</v>
      </c>
      <c r="AD478" s="28" t="e">
        <f t="shared" si="130"/>
        <v>#VALUE!</v>
      </c>
      <c r="AE478" s="28" t="e">
        <f t="shared" si="131"/>
        <v>#N/A</v>
      </c>
      <c r="AF478" s="28" t="e">
        <f t="shared" si="132"/>
        <v>#VALUE!</v>
      </c>
      <c r="AH478" s="31" t="e">
        <f t="shared" si="133"/>
        <v>#N/A</v>
      </c>
      <c r="AI478" s="25"/>
      <c r="AJ478" s="31"/>
    </row>
    <row r="479" spans="2:36" x14ac:dyDescent="0.25">
      <c r="B479" s="33">
        <f>'Arbitrage Payback Engine'!E479</f>
        <v>12.87494863717299</v>
      </c>
      <c r="C479" s="33">
        <f t="shared" si="119"/>
        <v>1000</v>
      </c>
      <c r="D479" s="33">
        <f>'Battery Pricing Model'!$C$17</f>
        <v>1000</v>
      </c>
      <c r="E479" s="33">
        <f t="shared" si="120"/>
        <v>999</v>
      </c>
      <c r="F479" s="33" t="str">
        <f>'Peak Models'!$B$4</f>
        <v>Default</v>
      </c>
      <c r="G479" s="33" t="e">
        <f>'Peak Models'!$Q$7</f>
        <v>#VALUE!</v>
      </c>
      <c r="H479" s="33">
        <f>'Peak Models'!$P$16</f>
        <v>1.5</v>
      </c>
      <c r="I479" s="33">
        <v>12</v>
      </c>
      <c r="J479" s="33" t="e">
        <f>'Peak Models'!$P$13</f>
        <v>#N/A</v>
      </c>
      <c r="K479" s="28" t="e">
        <f t="shared" si="121"/>
        <v>#VALUE!</v>
      </c>
      <c r="L479" s="28" t="e">
        <f>INDEX('Peak Models'!$P$34:$P$64, MATCH(TRUNC(B479, 0), 'Peak Models'!$O$34:$O$64, 0))</f>
        <v>#N/A</v>
      </c>
      <c r="M479" s="28">
        <f>'Peak Models'!$P$15*INDEX('Peak Models'!$Q$34:$Q$64, MATCH(TRUNC(B479, 0),'Peak Models'!$O$34:$O$64, 0))/'Profit per cycles Model'!$E$78</f>
        <v>6.3288885846884595</v>
      </c>
      <c r="N479" s="28" t="e">
        <f t="shared" si="122"/>
        <v>#N/A</v>
      </c>
      <c r="O479" s="71" t="e">
        <f>AVERAGE($N$10:N479)</f>
        <v>#N/A</v>
      </c>
      <c r="P479" s="28" t="e">
        <f t="shared" si="123"/>
        <v>#N/A</v>
      </c>
      <c r="R479" s="28" t="e">
        <f t="shared" si="124"/>
        <v>#VALUE!</v>
      </c>
      <c r="S479" s="25"/>
      <c r="T479" s="25">
        <f t="shared" si="125"/>
        <v>15</v>
      </c>
      <c r="U479" s="33">
        <f>IF(PaybackCustom&gt;0, IF(PaybackCustom&lt;&gt;"Default", PaybackCustom, IF(PaybackStatus&lt;&gt;"",INDEX('Arbitrage Payback Engine'!$Y$2:$Y$6,MATCH(PaybackStatus,'Arbitrage Payback Engine'!$X$2:$X$6,FALSE)),-1)))</f>
        <v>25</v>
      </c>
      <c r="V479" s="32">
        <f t="shared" si="134"/>
        <v>15</v>
      </c>
      <c r="X479" s="29">
        <f t="shared" si="135"/>
        <v>470</v>
      </c>
      <c r="Z479" s="30">
        <f t="shared" si="126"/>
        <v>12.87494863717299</v>
      </c>
      <c r="AA479" s="28" t="e">
        <f t="shared" si="127"/>
        <v>#N/A</v>
      </c>
      <c r="AB479" s="28" t="e">
        <f t="shared" si="128"/>
        <v>#VALUE!</v>
      </c>
      <c r="AC479" s="29">
        <f t="shared" si="129"/>
        <v>445.92030360531311</v>
      </c>
      <c r="AD479" s="28" t="e">
        <f t="shared" si="130"/>
        <v>#VALUE!</v>
      </c>
      <c r="AE479" s="28" t="e">
        <f t="shared" si="131"/>
        <v>#N/A</v>
      </c>
      <c r="AF479" s="28" t="e">
        <f t="shared" si="132"/>
        <v>#VALUE!</v>
      </c>
      <c r="AH479" s="31" t="e">
        <f t="shared" si="133"/>
        <v>#N/A</v>
      </c>
      <c r="AI479" s="25"/>
      <c r="AJ479" s="31"/>
    </row>
    <row r="480" spans="2:36" x14ac:dyDescent="0.25">
      <c r="B480" s="33">
        <f>'Arbitrage Payback Engine'!E480</f>
        <v>12.902342144911655</v>
      </c>
      <c r="C480" s="33">
        <f t="shared" si="119"/>
        <v>1000</v>
      </c>
      <c r="D480" s="33">
        <f>'Battery Pricing Model'!$C$17</f>
        <v>1000</v>
      </c>
      <c r="E480" s="33">
        <f t="shared" si="120"/>
        <v>999</v>
      </c>
      <c r="F480" s="33" t="str">
        <f>'Peak Models'!$B$4</f>
        <v>Default</v>
      </c>
      <c r="G480" s="33" t="e">
        <f>'Peak Models'!$Q$7</f>
        <v>#VALUE!</v>
      </c>
      <c r="H480" s="33">
        <f>'Peak Models'!$P$16</f>
        <v>1.5</v>
      </c>
      <c r="I480" s="33">
        <v>12</v>
      </c>
      <c r="J480" s="33" t="e">
        <f>'Peak Models'!$P$13</f>
        <v>#N/A</v>
      </c>
      <c r="K480" s="28" t="e">
        <f t="shared" si="121"/>
        <v>#VALUE!</v>
      </c>
      <c r="L480" s="28" t="e">
        <f>INDEX('Peak Models'!$P$34:$P$64, MATCH(TRUNC(B480, 0), 'Peak Models'!$O$34:$O$64, 0))</f>
        <v>#N/A</v>
      </c>
      <c r="M480" s="28">
        <f>'Peak Models'!$P$15*INDEX('Peak Models'!$Q$34:$Q$64, MATCH(TRUNC(B480, 0),'Peak Models'!$O$34:$O$64, 0))/'Profit per cycles Model'!$E$78</f>
        <v>6.3288885846884595</v>
      </c>
      <c r="N480" s="28" t="e">
        <f t="shared" si="122"/>
        <v>#N/A</v>
      </c>
      <c r="O480" s="71" t="e">
        <f>AVERAGE($N$10:N480)</f>
        <v>#N/A</v>
      </c>
      <c r="P480" s="28" t="e">
        <f t="shared" si="123"/>
        <v>#N/A</v>
      </c>
      <c r="R480" s="28" t="e">
        <f t="shared" si="124"/>
        <v>#VALUE!</v>
      </c>
      <c r="S480" s="25"/>
      <c r="T480" s="25">
        <f t="shared" si="125"/>
        <v>15</v>
      </c>
      <c r="U480" s="33">
        <f>IF(PaybackCustom&gt;0, IF(PaybackCustom&lt;&gt;"Default", PaybackCustom, IF(PaybackStatus&lt;&gt;"",INDEX('Arbitrage Payback Engine'!$Y$2:$Y$6,MATCH(PaybackStatus,'Arbitrage Payback Engine'!$X$2:$X$6,FALSE)),-1)))</f>
        <v>25</v>
      </c>
      <c r="V480" s="32">
        <f t="shared" si="134"/>
        <v>15</v>
      </c>
      <c r="X480" s="29">
        <f t="shared" si="135"/>
        <v>471</v>
      </c>
      <c r="Z480" s="30">
        <f t="shared" si="126"/>
        <v>12.902342144911655</v>
      </c>
      <c r="AA480" s="28" t="e">
        <f t="shared" si="127"/>
        <v>#N/A</v>
      </c>
      <c r="AB480" s="28" t="e">
        <f t="shared" si="128"/>
        <v>#VALUE!</v>
      </c>
      <c r="AC480" s="29">
        <f t="shared" si="129"/>
        <v>446.86907020872866</v>
      </c>
      <c r="AD480" s="28" t="e">
        <f t="shared" si="130"/>
        <v>#VALUE!</v>
      </c>
      <c r="AE480" s="28" t="e">
        <f t="shared" si="131"/>
        <v>#N/A</v>
      </c>
      <c r="AF480" s="28" t="e">
        <f t="shared" si="132"/>
        <v>#VALUE!</v>
      </c>
      <c r="AH480" s="31" t="e">
        <f t="shared" si="133"/>
        <v>#N/A</v>
      </c>
      <c r="AI480" s="25"/>
      <c r="AJ480" s="31"/>
    </row>
    <row r="481" spans="2:36" x14ac:dyDescent="0.25">
      <c r="B481" s="33">
        <f>'Arbitrage Payback Engine'!E481</f>
        <v>12.929735652650322</v>
      </c>
      <c r="C481" s="33">
        <f t="shared" si="119"/>
        <v>1000</v>
      </c>
      <c r="D481" s="33">
        <f>'Battery Pricing Model'!$C$17</f>
        <v>1000</v>
      </c>
      <c r="E481" s="33">
        <f t="shared" si="120"/>
        <v>999</v>
      </c>
      <c r="F481" s="33" t="str">
        <f>'Peak Models'!$B$4</f>
        <v>Default</v>
      </c>
      <c r="G481" s="33" t="e">
        <f>'Peak Models'!$Q$7</f>
        <v>#VALUE!</v>
      </c>
      <c r="H481" s="33">
        <f>'Peak Models'!$P$16</f>
        <v>1.5</v>
      </c>
      <c r="I481" s="33">
        <v>12</v>
      </c>
      <c r="J481" s="33" t="e">
        <f>'Peak Models'!$P$13</f>
        <v>#N/A</v>
      </c>
      <c r="K481" s="28" t="e">
        <f t="shared" si="121"/>
        <v>#VALUE!</v>
      </c>
      <c r="L481" s="28" t="e">
        <f>INDEX('Peak Models'!$P$34:$P$64, MATCH(TRUNC(B481, 0), 'Peak Models'!$O$34:$O$64, 0))</f>
        <v>#N/A</v>
      </c>
      <c r="M481" s="28">
        <f>'Peak Models'!$P$15*INDEX('Peak Models'!$Q$34:$Q$64, MATCH(TRUNC(B481, 0),'Peak Models'!$O$34:$O$64, 0))/'Profit per cycles Model'!$E$78</f>
        <v>6.3288885846884595</v>
      </c>
      <c r="N481" s="28" t="e">
        <f t="shared" si="122"/>
        <v>#N/A</v>
      </c>
      <c r="O481" s="71" t="e">
        <f>AVERAGE($N$10:N481)</f>
        <v>#N/A</v>
      </c>
      <c r="P481" s="28" t="e">
        <f t="shared" si="123"/>
        <v>#N/A</v>
      </c>
      <c r="R481" s="28" t="e">
        <f t="shared" si="124"/>
        <v>#VALUE!</v>
      </c>
      <c r="S481" s="25"/>
      <c r="T481" s="25">
        <f t="shared" si="125"/>
        <v>15</v>
      </c>
      <c r="U481" s="33">
        <f>IF(PaybackCustom&gt;0, IF(PaybackCustom&lt;&gt;"Default", PaybackCustom, IF(PaybackStatus&lt;&gt;"",INDEX('Arbitrage Payback Engine'!$Y$2:$Y$6,MATCH(PaybackStatus,'Arbitrage Payback Engine'!$X$2:$X$6,FALSE)),-1)))</f>
        <v>25</v>
      </c>
      <c r="V481" s="32">
        <f t="shared" si="134"/>
        <v>15</v>
      </c>
      <c r="X481" s="29">
        <f t="shared" si="135"/>
        <v>472</v>
      </c>
      <c r="Z481" s="30">
        <f t="shared" si="126"/>
        <v>12.929735652650322</v>
      </c>
      <c r="AA481" s="28" t="e">
        <f t="shared" si="127"/>
        <v>#N/A</v>
      </c>
      <c r="AB481" s="28" t="e">
        <f t="shared" si="128"/>
        <v>#VALUE!</v>
      </c>
      <c r="AC481" s="29">
        <f t="shared" si="129"/>
        <v>447.81783681214426</v>
      </c>
      <c r="AD481" s="28" t="e">
        <f t="shared" si="130"/>
        <v>#VALUE!</v>
      </c>
      <c r="AE481" s="28" t="e">
        <f t="shared" si="131"/>
        <v>#N/A</v>
      </c>
      <c r="AF481" s="28" t="e">
        <f t="shared" si="132"/>
        <v>#VALUE!</v>
      </c>
      <c r="AH481" s="31" t="e">
        <f t="shared" si="133"/>
        <v>#N/A</v>
      </c>
      <c r="AI481" s="25"/>
      <c r="AJ481" s="31"/>
    </row>
    <row r="482" spans="2:36" x14ac:dyDescent="0.25">
      <c r="B482" s="33">
        <f>'Arbitrage Payback Engine'!E482</f>
        <v>12.957129160388988</v>
      </c>
      <c r="C482" s="33">
        <f t="shared" si="119"/>
        <v>1000</v>
      </c>
      <c r="D482" s="33">
        <f>'Battery Pricing Model'!$C$17</f>
        <v>1000</v>
      </c>
      <c r="E482" s="33">
        <f t="shared" si="120"/>
        <v>999</v>
      </c>
      <c r="F482" s="33" t="str">
        <f>'Peak Models'!$B$4</f>
        <v>Default</v>
      </c>
      <c r="G482" s="33" t="e">
        <f>'Peak Models'!$Q$7</f>
        <v>#VALUE!</v>
      </c>
      <c r="H482" s="33">
        <f>'Peak Models'!$P$16</f>
        <v>1.5</v>
      </c>
      <c r="I482" s="33">
        <v>12</v>
      </c>
      <c r="J482" s="33" t="e">
        <f>'Peak Models'!$P$13</f>
        <v>#N/A</v>
      </c>
      <c r="K482" s="28" t="e">
        <f t="shared" si="121"/>
        <v>#VALUE!</v>
      </c>
      <c r="L482" s="28" t="e">
        <f>INDEX('Peak Models'!$P$34:$P$64, MATCH(TRUNC(B482, 0), 'Peak Models'!$O$34:$O$64, 0))</f>
        <v>#N/A</v>
      </c>
      <c r="M482" s="28">
        <f>'Peak Models'!$P$15*INDEX('Peak Models'!$Q$34:$Q$64, MATCH(TRUNC(B482, 0),'Peak Models'!$O$34:$O$64, 0))/'Profit per cycles Model'!$E$78</f>
        <v>6.3288885846884595</v>
      </c>
      <c r="N482" s="28" t="e">
        <f t="shared" si="122"/>
        <v>#N/A</v>
      </c>
      <c r="O482" s="71" t="e">
        <f>AVERAGE($N$10:N482)</f>
        <v>#N/A</v>
      </c>
      <c r="P482" s="28" t="e">
        <f t="shared" si="123"/>
        <v>#N/A</v>
      </c>
      <c r="R482" s="28" t="e">
        <f t="shared" si="124"/>
        <v>#VALUE!</v>
      </c>
      <c r="S482" s="25"/>
      <c r="T482" s="25">
        <f t="shared" si="125"/>
        <v>15</v>
      </c>
      <c r="U482" s="33">
        <f>IF(PaybackCustom&gt;0, IF(PaybackCustom&lt;&gt;"Default", PaybackCustom, IF(PaybackStatus&lt;&gt;"",INDEX('Arbitrage Payback Engine'!$Y$2:$Y$6,MATCH(PaybackStatus,'Arbitrage Payback Engine'!$X$2:$X$6,FALSE)),-1)))</f>
        <v>25</v>
      </c>
      <c r="V482" s="32">
        <f t="shared" si="134"/>
        <v>15</v>
      </c>
      <c r="X482" s="29">
        <f t="shared" si="135"/>
        <v>473</v>
      </c>
      <c r="Z482" s="30">
        <f t="shared" si="126"/>
        <v>12.957129160388988</v>
      </c>
      <c r="AA482" s="28" t="e">
        <f t="shared" si="127"/>
        <v>#N/A</v>
      </c>
      <c r="AB482" s="28" t="e">
        <f t="shared" si="128"/>
        <v>#VALUE!</v>
      </c>
      <c r="AC482" s="29">
        <f t="shared" si="129"/>
        <v>448.76660341555981</v>
      </c>
      <c r="AD482" s="28" t="e">
        <f t="shared" si="130"/>
        <v>#VALUE!</v>
      </c>
      <c r="AE482" s="28" t="e">
        <f t="shared" si="131"/>
        <v>#N/A</v>
      </c>
      <c r="AF482" s="28" t="e">
        <f t="shared" si="132"/>
        <v>#VALUE!</v>
      </c>
      <c r="AH482" s="31" t="e">
        <f t="shared" si="133"/>
        <v>#N/A</v>
      </c>
      <c r="AI482" s="25"/>
      <c r="AJ482" s="31"/>
    </row>
    <row r="483" spans="2:36" x14ac:dyDescent="0.25">
      <c r="B483" s="33">
        <f>'Arbitrage Payback Engine'!E483</f>
        <v>12.984522668127653</v>
      </c>
      <c r="C483" s="33">
        <f t="shared" si="119"/>
        <v>1000</v>
      </c>
      <c r="D483" s="33">
        <f>'Battery Pricing Model'!$C$17</f>
        <v>1000</v>
      </c>
      <c r="E483" s="33">
        <f t="shared" si="120"/>
        <v>999</v>
      </c>
      <c r="F483" s="33" t="str">
        <f>'Peak Models'!$B$4</f>
        <v>Default</v>
      </c>
      <c r="G483" s="33" t="e">
        <f>'Peak Models'!$Q$7</f>
        <v>#VALUE!</v>
      </c>
      <c r="H483" s="33">
        <f>'Peak Models'!$P$16</f>
        <v>1.5</v>
      </c>
      <c r="I483" s="33">
        <v>12</v>
      </c>
      <c r="J483" s="33" t="e">
        <f>'Peak Models'!$P$13</f>
        <v>#N/A</v>
      </c>
      <c r="K483" s="28" t="e">
        <f t="shared" si="121"/>
        <v>#VALUE!</v>
      </c>
      <c r="L483" s="28" t="e">
        <f>INDEX('Peak Models'!$P$34:$P$64, MATCH(TRUNC(B483, 0), 'Peak Models'!$O$34:$O$64, 0))</f>
        <v>#N/A</v>
      </c>
      <c r="M483" s="28">
        <f>'Peak Models'!$P$15*INDEX('Peak Models'!$Q$34:$Q$64, MATCH(TRUNC(B483, 0),'Peak Models'!$O$34:$O$64, 0))/'Profit per cycles Model'!$E$78</f>
        <v>6.3288885846884595</v>
      </c>
      <c r="N483" s="28" t="e">
        <f t="shared" si="122"/>
        <v>#N/A</v>
      </c>
      <c r="O483" s="71" t="e">
        <f>AVERAGE($N$10:N483)</f>
        <v>#N/A</v>
      </c>
      <c r="P483" s="28" t="e">
        <f t="shared" si="123"/>
        <v>#N/A</v>
      </c>
      <c r="R483" s="28" t="e">
        <f t="shared" si="124"/>
        <v>#VALUE!</v>
      </c>
      <c r="S483" s="25"/>
      <c r="T483" s="25">
        <f t="shared" si="125"/>
        <v>15</v>
      </c>
      <c r="U483" s="33">
        <f>IF(PaybackCustom&gt;0, IF(PaybackCustom&lt;&gt;"Default", PaybackCustom, IF(PaybackStatus&lt;&gt;"",INDEX('Arbitrage Payback Engine'!$Y$2:$Y$6,MATCH(PaybackStatus,'Arbitrage Payback Engine'!$X$2:$X$6,FALSE)),-1)))</f>
        <v>25</v>
      </c>
      <c r="V483" s="32">
        <f t="shared" si="134"/>
        <v>15</v>
      </c>
      <c r="X483" s="29">
        <f t="shared" si="135"/>
        <v>474</v>
      </c>
      <c r="Z483" s="30">
        <f t="shared" si="126"/>
        <v>12.984522668127653</v>
      </c>
      <c r="AA483" s="28" t="e">
        <f t="shared" si="127"/>
        <v>#N/A</v>
      </c>
      <c r="AB483" s="28" t="e">
        <f t="shared" si="128"/>
        <v>#VALUE!</v>
      </c>
      <c r="AC483" s="29">
        <f t="shared" si="129"/>
        <v>449.71537001897531</v>
      </c>
      <c r="AD483" s="28" t="e">
        <f t="shared" si="130"/>
        <v>#VALUE!</v>
      </c>
      <c r="AE483" s="28" t="e">
        <f t="shared" si="131"/>
        <v>#N/A</v>
      </c>
      <c r="AF483" s="28" t="e">
        <f t="shared" si="132"/>
        <v>#VALUE!</v>
      </c>
      <c r="AH483" s="31" t="e">
        <f t="shared" si="133"/>
        <v>#N/A</v>
      </c>
      <c r="AI483" s="25"/>
      <c r="AJ483" s="31"/>
    </row>
    <row r="484" spans="2:36" x14ac:dyDescent="0.25">
      <c r="B484" s="33">
        <f>'Arbitrage Payback Engine'!E484</f>
        <v>13.01191617586632</v>
      </c>
      <c r="C484" s="33">
        <f t="shared" si="119"/>
        <v>1000</v>
      </c>
      <c r="D484" s="33">
        <f>'Battery Pricing Model'!$C$17</f>
        <v>1000</v>
      </c>
      <c r="E484" s="33">
        <f t="shared" si="120"/>
        <v>999</v>
      </c>
      <c r="F484" s="33" t="str">
        <f>'Peak Models'!$B$4</f>
        <v>Default</v>
      </c>
      <c r="G484" s="33" t="e">
        <f>'Peak Models'!$Q$7</f>
        <v>#VALUE!</v>
      </c>
      <c r="H484" s="33">
        <f>'Peak Models'!$P$16</f>
        <v>1.5</v>
      </c>
      <c r="I484" s="33">
        <v>12</v>
      </c>
      <c r="J484" s="33" t="e">
        <f>'Peak Models'!$P$13</f>
        <v>#N/A</v>
      </c>
      <c r="K484" s="28" t="e">
        <f t="shared" si="121"/>
        <v>#VALUE!</v>
      </c>
      <c r="L484" s="28" t="e">
        <f>INDEX('Peak Models'!$P$34:$P$64, MATCH(TRUNC(B484, 0), 'Peak Models'!$O$34:$O$64, 0))</f>
        <v>#N/A</v>
      </c>
      <c r="M484" s="28">
        <f>'Peak Models'!$P$15*INDEX('Peak Models'!$Q$34:$Q$64, MATCH(TRUNC(B484, 0),'Peak Models'!$O$34:$O$64, 0))/'Profit per cycles Model'!$E$78</f>
        <v>6.48711079930567</v>
      </c>
      <c r="N484" s="28" t="e">
        <f t="shared" si="122"/>
        <v>#N/A</v>
      </c>
      <c r="O484" s="71" t="e">
        <f>AVERAGE($N$10:N484)</f>
        <v>#N/A</v>
      </c>
      <c r="P484" s="28" t="e">
        <f t="shared" si="123"/>
        <v>#N/A</v>
      </c>
      <c r="R484" s="28" t="e">
        <f t="shared" si="124"/>
        <v>#VALUE!</v>
      </c>
      <c r="S484" s="25"/>
      <c r="T484" s="25">
        <f t="shared" si="125"/>
        <v>15</v>
      </c>
      <c r="U484" s="33">
        <f>IF(PaybackCustom&gt;0, IF(PaybackCustom&lt;&gt;"Default", PaybackCustom, IF(PaybackStatus&lt;&gt;"",INDEX('Arbitrage Payback Engine'!$Y$2:$Y$6,MATCH(PaybackStatus,'Arbitrage Payback Engine'!$X$2:$X$6,FALSE)),-1)))</f>
        <v>25</v>
      </c>
      <c r="V484" s="32">
        <f t="shared" si="134"/>
        <v>15</v>
      </c>
      <c r="X484" s="29">
        <f t="shared" si="135"/>
        <v>475</v>
      </c>
      <c r="Z484" s="30">
        <f t="shared" si="126"/>
        <v>13.01191617586632</v>
      </c>
      <c r="AA484" s="28" t="e">
        <f t="shared" si="127"/>
        <v>#N/A</v>
      </c>
      <c r="AB484" s="28" t="e">
        <f t="shared" si="128"/>
        <v>#VALUE!</v>
      </c>
      <c r="AC484" s="29">
        <f t="shared" si="129"/>
        <v>450.66413662239091</v>
      </c>
      <c r="AD484" s="28" t="e">
        <f t="shared" si="130"/>
        <v>#VALUE!</v>
      </c>
      <c r="AE484" s="28" t="e">
        <f t="shared" si="131"/>
        <v>#N/A</v>
      </c>
      <c r="AF484" s="28" t="e">
        <f t="shared" si="132"/>
        <v>#VALUE!</v>
      </c>
      <c r="AH484" s="31" t="e">
        <f t="shared" si="133"/>
        <v>#N/A</v>
      </c>
      <c r="AI484" s="25"/>
      <c r="AJ484" s="31"/>
    </row>
    <row r="485" spans="2:36" x14ac:dyDescent="0.25">
      <c r="B485" s="33">
        <f>'Arbitrage Payback Engine'!E485</f>
        <v>13.039309683604985</v>
      </c>
      <c r="C485" s="33">
        <f t="shared" si="119"/>
        <v>1000</v>
      </c>
      <c r="D485" s="33">
        <f>'Battery Pricing Model'!$C$17</f>
        <v>1000</v>
      </c>
      <c r="E485" s="33">
        <f t="shared" si="120"/>
        <v>999</v>
      </c>
      <c r="F485" s="33" t="str">
        <f>'Peak Models'!$B$4</f>
        <v>Default</v>
      </c>
      <c r="G485" s="33" t="e">
        <f>'Peak Models'!$Q$7</f>
        <v>#VALUE!</v>
      </c>
      <c r="H485" s="33">
        <f>'Peak Models'!$P$16</f>
        <v>1.5</v>
      </c>
      <c r="I485" s="33">
        <v>12</v>
      </c>
      <c r="J485" s="33" t="e">
        <f>'Peak Models'!$P$13</f>
        <v>#N/A</v>
      </c>
      <c r="K485" s="28" t="e">
        <f t="shared" si="121"/>
        <v>#VALUE!</v>
      </c>
      <c r="L485" s="28" t="e">
        <f>INDEX('Peak Models'!$P$34:$P$64, MATCH(TRUNC(B485, 0), 'Peak Models'!$O$34:$O$64, 0))</f>
        <v>#N/A</v>
      </c>
      <c r="M485" s="28">
        <f>'Peak Models'!$P$15*INDEX('Peak Models'!$Q$34:$Q$64, MATCH(TRUNC(B485, 0),'Peak Models'!$O$34:$O$64, 0))/'Profit per cycles Model'!$E$78</f>
        <v>6.48711079930567</v>
      </c>
      <c r="N485" s="28" t="e">
        <f t="shared" si="122"/>
        <v>#N/A</v>
      </c>
      <c r="O485" s="71" t="e">
        <f>AVERAGE($N$10:N485)</f>
        <v>#N/A</v>
      </c>
      <c r="P485" s="28" t="e">
        <f t="shared" si="123"/>
        <v>#N/A</v>
      </c>
      <c r="R485" s="28" t="e">
        <f t="shared" si="124"/>
        <v>#VALUE!</v>
      </c>
      <c r="S485" s="25"/>
      <c r="T485" s="25">
        <f t="shared" si="125"/>
        <v>15</v>
      </c>
      <c r="U485" s="33">
        <f>IF(PaybackCustom&gt;0, IF(PaybackCustom&lt;&gt;"Default", PaybackCustom, IF(PaybackStatus&lt;&gt;"",INDEX('Arbitrage Payback Engine'!$Y$2:$Y$6,MATCH(PaybackStatus,'Arbitrage Payback Engine'!$X$2:$X$6,FALSE)),-1)))</f>
        <v>25</v>
      </c>
      <c r="V485" s="32">
        <f t="shared" si="134"/>
        <v>15</v>
      </c>
      <c r="X485" s="29">
        <f t="shared" si="135"/>
        <v>476</v>
      </c>
      <c r="Z485" s="30">
        <f t="shared" si="126"/>
        <v>13.039309683604985</v>
      </c>
      <c r="AA485" s="28" t="e">
        <f t="shared" si="127"/>
        <v>#N/A</v>
      </c>
      <c r="AB485" s="28" t="e">
        <f t="shared" si="128"/>
        <v>#VALUE!</v>
      </c>
      <c r="AC485" s="29">
        <f t="shared" si="129"/>
        <v>451.61290322580646</v>
      </c>
      <c r="AD485" s="28" t="e">
        <f t="shared" si="130"/>
        <v>#VALUE!</v>
      </c>
      <c r="AE485" s="28" t="e">
        <f t="shared" si="131"/>
        <v>#N/A</v>
      </c>
      <c r="AF485" s="28" t="e">
        <f t="shared" si="132"/>
        <v>#VALUE!</v>
      </c>
      <c r="AH485" s="31" t="e">
        <f t="shared" si="133"/>
        <v>#N/A</v>
      </c>
      <c r="AI485" s="25"/>
      <c r="AJ485" s="31"/>
    </row>
    <row r="486" spans="2:36" x14ac:dyDescent="0.25">
      <c r="B486" s="33">
        <f>'Arbitrage Payback Engine'!E486</f>
        <v>13.066703191343651</v>
      </c>
      <c r="C486" s="33">
        <f t="shared" si="119"/>
        <v>1000</v>
      </c>
      <c r="D486" s="33">
        <f>'Battery Pricing Model'!$C$17</f>
        <v>1000</v>
      </c>
      <c r="E486" s="33">
        <f t="shared" si="120"/>
        <v>999</v>
      </c>
      <c r="F486" s="33" t="str">
        <f>'Peak Models'!$B$4</f>
        <v>Default</v>
      </c>
      <c r="G486" s="33" t="e">
        <f>'Peak Models'!$Q$7</f>
        <v>#VALUE!</v>
      </c>
      <c r="H486" s="33">
        <f>'Peak Models'!$P$16</f>
        <v>1.5</v>
      </c>
      <c r="I486" s="33">
        <v>12</v>
      </c>
      <c r="J486" s="33" t="e">
        <f>'Peak Models'!$P$13</f>
        <v>#N/A</v>
      </c>
      <c r="K486" s="28" t="e">
        <f t="shared" si="121"/>
        <v>#VALUE!</v>
      </c>
      <c r="L486" s="28" t="e">
        <f>INDEX('Peak Models'!$P$34:$P$64, MATCH(TRUNC(B486, 0), 'Peak Models'!$O$34:$O$64, 0))</f>
        <v>#N/A</v>
      </c>
      <c r="M486" s="28">
        <f>'Peak Models'!$P$15*INDEX('Peak Models'!$Q$34:$Q$64, MATCH(TRUNC(B486, 0),'Peak Models'!$O$34:$O$64, 0))/'Profit per cycles Model'!$E$78</f>
        <v>6.48711079930567</v>
      </c>
      <c r="N486" s="28" t="e">
        <f t="shared" si="122"/>
        <v>#N/A</v>
      </c>
      <c r="O486" s="71" t="e">
        <f>AVERAGE($N$10:N486)</f>
        <v>#N/A</v>
      </c>
      <c r="P486" s="28" t="e">
        <f t="shared" si="123"/>
        <v>#N/A</v>
      </c>
      <c r="R486" s="28" t="e">
        <f t="shared" si="124"/>
        <v>#VALUE!</v>
      </c>
      <c r="S486" s="25"/>
      <c r="T486" s="25">
        <f t="shared" si="125"/>
        <v>15</v>
      </c>
      <c r="U486" s="33">
        <f>IF(PaybackCustom&gt;0, IF(PaybackCustom&lt;&gt;"Default", PaybackCustom, IF(PaybackStatus&lt;&gt;"",INDEX('Arbitrage Payback Engine'!$Y$2:$Y$6,MATCH(PaybackStatus,'Arbitrage Payback Engine'!$X$2:$X$6,FALSE)),-1)))</f>
        <v>25</v>
      </c>
      <c r="V486" s="32">
        <f t="shared" si="134"/>
        <v>15</v>
      </c>
      <c r="X486" s="29">
        <f t="shared" si="135"/>
        <v>477</v>
      </c>
      <c r="Z486" s="30">
        <f t="shared" si="126"/>
        <v>13.066703191343651</v>
      </c>
      <c r="AA486" s="28" t="e">
        <f t="shared" si="127"/>
        <v>#N/A</v>
      </c>
      <c r="AB486" s="28" t="e">
        <f t="shared" si="128"/>
        <v>#VALUE!</v>
      </c>
      <c r="AC486" s="29">
        <f t="shared" si="129"/>
        <v>452.56166982922201</v>
      </c>
      <c r="AD486" s="28" t="e">
        <f t="shared" si="130"/>
        <v>#VALUE!</v>
      </c>
      <c r="AE486" s="28" t="e">
        <f t="shared" si="131"/>
        <v>#N/A</v>
      </c>
      <c r="AF486" s="28" t="e">
        <f t="shared" si="132"/>
        <v>#VALUE!</v>
      </c>
      <c r="AH486" s="31" t="e">
        <f t="shared" si="133"/>
        <v>#N/A</v>
      </c>
      <c r="AI486" s="25"/>
      <c r="AJ486" s="31"/>
    </row>
    <row r="487" spans="2:36" x14ac:dyDescent="0.25">
      <c r="B487" s="33">
        <f>'Arbitrage Payback Engine'!E487</f>
        <v>13.094096699082318</v>
      </c>
      <c r="C487" s="33">
        <f t="shared" si="119"/>
        <v>1000</v>
      </c>
      <c r="D487" s="33">
        <f>'Battery Pricing Model'!$C$17</f>
        <v>1000</v>
      </c>
      <c r="E487" s="33">
        <f t="shared" si="120"/>
        <v>999</v>
      </c>
      <c r="F487" s="33" t="str">
        <f>'Peak Models'!$B$4</f>
        <v>Default</v>
      </c>
      <c r="G487" s="33" t="e">
        <f>'Peak Models'!$Q$7</f>
        <v>#VALUE!</v>
      </c>
      <c r="H487" s="33">
        <f>'Peak Models'!$P$16</f>
        <v>1.5</v>
      </c>
      <c r="I487" s="33">
        <v>12</v>
      </c>
      <c r="J487" s="33" t="e">
        <f>'Peak Models'!$P$13</f>
        <v>#N/A</v>
      </c>
      <c r="K487" s="28" t="e">
        <f t="shared" si="121"/>
        <v>#VALUE!</v>
      </c>
      <c r="L487" s="28" t="e">
        <f>INDEX('Peak Models'!$P$34:$P$64, MATCH(TRUNC(B487, 0), 'Peak Models'!$O$34:$O$64, 0))</f>
        <v>#N/A</v>
      </c>
      <c r="M487" s="28">
        <f>'Peak Models'!$P$15*INDEX('Peak Models'!$Q$34:$Q$64, MATCH(TRUNC(B487, 0),'Peak Models'!$O$34:$O$64, 0))/'Profit per cycles Model'!$E$78</f>
        <v>6.48711079930567</v>
      </c>
      <c r="N487" s="28" t="e">
        <f t="shared" si="122"/>
        <v>#N/A</v>
      </c>
      <c r="O487" s="71" t="e">
        <f>AVERAGE($N$10:N487)</f>
        <v>#N/A</v>
      </c>
      <c r="P487" s="28" t="e">
        <f t="shared" si="123"/>
        <v>#N/A</v>
      </c>
      <c r="R487" s="28" t="e">
        <f t="shared" si="124"/>
        <v>#VALUE!</v>
      </c>
      <c r="S487" s="25"/>
      <c r="T487" s="25">
        <f t="shared" si="125"/>
        <v>15</v>
      </c>
      <c r="U487" s="33">
        <f>IF(PaybackCustom&gt;0, IF(PaybackCustom&lt;&gt;"Default", PaybackCustom, IF(PaybackStatus&lt;&gt;"",INDEX('Arbitrage Payback Engine'!$Y$2:$Y$6,MATCH(PaybackStatus,'Arbitrage Payback Engine'!$X$2:$X$6,FALSE)),-1)))</f>
        <v>25</v>
      </c>
      <c r="V487" s="32">
        <f t="shared" si="134"/>
        <v>15</v>
      </c>
      <c r="X487" s="29">
        <f t="shared" si="135"/>
        <v>478</v>
      </c>
      <c r="Z487" s="30">
        <f t="shared" si="126"/>
        <v>13.094096699082318</v>
      </c>
      <c r="AA487" s="28" t="e">
        <f t="shared" si="127"/>
        <v>#N/A</v>
      </c>
      <c r="AB487" s="28" t="e">
        <f t="shared" si="128"/>
        <v>#VALUE!</v>
      </c>
      <c r="AC487" s="29">
        <f t="shared" si="129"/>
        <v>453.51043643263762</v>
      </c>
      <c r="AD487" s="28" t="e">
        <f t="shared" si="130"/>
        <v>#VALUE!</v>
      </c>
      <c r="AE487" s="28" t="e">
        <f t="shared" si="131"/>
        <v>#N/A</v>
      </c>
      <c r="AF487" s="28" t="e">
        <f t="shared" si="132"/>
        <v>#VALUE!</v>
      </c>
      <c r="AH487" s="31" t="e">
        <f t="shared" si="133"/>
        <v>#N/A</v>
      </c>
      <c r="AI487" s="25"/>
      <c r="AJ487" s="31"/>
    </row>
    <row r="488" spans="2:36" x14ac:dyDescent="0.25">
      <c r="B488" s="33">
        <f>'Arbitrage Payback Engine'!E488</f>
        <v>13.121490206820983</v>
      </c>
      <c r="C488" s="33">
        <f t="shared" si="119"/>
        <v>1000</v>
      </c>
      <c r="D488" s="33">
        <f>'Battery Pricing Model'!$C$17</f>
        <v>1000</v>
      </c>
      <c r="E488" s="33">
        <f t="shared" si="120"/>
        <v>999</v>
      </c>
      <c r="F488" s="33" t="str">
        <f>'Peak Models'!$B$4</f>
        <v>Default</v>
      </c>
      <c r="G488" s="33" t="e">
        <f>'Peak Models'!$Q$7</f>
        <v>#VALUE!</v>
      </c>
      <c r="H488" s="33">
        <f>'Peak Models'!$P$16</f>
        <v>1.5</v>
      </c>
      <c r="I488" s="33">
        <v>12</v>
      </c>
      <c r="J488" s="33" t="e">
        <f>'Peak Models'!$P$13</f>
        <v>#N/A</v>
      </c>
      <c r="K488" s="28" t="e">
        <f t="shared" si="121"/>
        <v>#VALUE!</v>
      </c>
      <c r="L488" s="28" t="e">
        <f>INDEX('Peak Models'!$P$34:$P$64, MATCH(TRUNC(B488, 0), 'Peak Models'!$O$34:$O$64, 0))</f>
        <v>#N/A</v>
      </c>
      <c r="M488" s="28">
        <f>'Peak Models'!$P$15*INDEX('Peak Models'!$Q$34:$Q$64, MATCH(TRUNC(B488, 0),'Peak Models'!$O$34:$O$64, 0))/'Profit per cycles Model'!$E$78</f>
        <v>6.48711079930567</v>
      </c>
      <c r="N488" s="28" t="e">
        <f t="shared" si="122"/>
        <v>#N/A</v>
      </c>
      <c r="O488" s="71" t="e">
        <f>AVERAGE($N$10:N488)</f>
        <v>#N/A</v>
      </c>
      <c r="P488" s="28" t="e">
        <f t="shared" si="123"/>
        <v>#N/A</v>
      </c>
      <c r="R488" s="28" t="e">
        <f t="shared" si="124"/>
        <v>#VALUE!</v>
      </c>
      <c r="S488" s="25"/>
      <c r="T488" s="25">
        <f t="shared" si="125"/>
        <v>15</v>
      </c>
      <c r="U488" s="33">
        <f>IF(PaybackCustom&gt;0, IF(PaybackCustom&lt;&gt;"Default", PaybackCustom, IF(PaybackStatus&lt;&gt;"",INDEX('Arbitrage Payback Engine'!$Y$2:$Y$6,MATCH(PaybackStatus,'Arbitrage Payback Engine'!$X$2:$X$6,FALSE)),-1)))</f>
        <v>25</v>
      </c>
      <c r="V488" s="32">
        <f t="shared" si="134"/>
        <v>15</v>
      </c>
      <c r="X488" s="29">
        <f t="shared" si="135"/>
        <v>479</v>
      </c>
      <c r="Z488" s="30">
        <f t="shared" si="126"/>
        <v>13.121490206820983</v>
      </c>
      <c r="AA488" s="28" t="e">
        <f t="shared" si="127"/>
        <v>#N/A</v>
      </c>
      <c r="AB488" s="28" t="e">
        <f t="shared" si="128"/>
        <v>#VALUE!</v>
      </c>
      <c r="AC488" s="29">
        <f t="shared" si="129"/>
        <v>454.45920303605317</v>
      </c>
      <c r="AD488" s="28" t="e">
        <f t="shared" si="130"/>
        <v>#VALUE!</v>
      </c>
      <c r="AE488" s="28" t="e">
        <f t="shared" si="131"/>
        <v>#N/A</v>
      </c>
      <c r="AF488" s="28" t="e">
        <f t="shared" si="132"/>
        <v>#VALUE!</v>
      </c>
      <c r="AH488" s="31" t="e">
        <f t="shared" si="133"/>
        <v>#N/A</v>
      </c>
      <c r="AI488" s="25"/>
      <c r="AJ488" s="31"/>
    </row>
    <row r="489" spans="2:36" x14ac:dyDescent="0.25">
      <c r="B489" s="33">
        <f>'Arbitrage Payback Engine'!E489</f>
        <v>13.148883714559648</v>
      </c>
      <c r="C489" s="33">
        <f t="shared" si="119"/>
        <v>1000</v>
      </c>
      <c r="D489" s="33">
        <f>'Battery Pricing Model'!$C$17</f>
        <v>1000</v>
      </c>
      <c r="E489" s="33">
        <f t="shared" si="120"/>
        <v>999</v>
      </c>
      <c r="F489" s="33" t="str">
        <f>'Peak Models'!$B$4</f>
        <v>Default</v>
      </c>
      <c r="G489" s="33" t="e">
        <f>'Peak Models'!$Q$7</f>
        <v>#VALUE!</v>
      </c>
      <c r="H489" s="33">
        <f>'Peak Models'!$P$16</f>
        <v>1.5</v>
      </c>
      <c r="I489" s="33">
        <v>12</v>
      </c>
      <c r="J489" s="33" t="e">
        <f>'Peak Models'!$P$13</f>
        <v>#N/A</v>
      </c>
      <c r="K489" s="28" t="e">
        <f t="shared" si="121"/>
        <v>#VALUE!</v>
      </c>
      <c r="L489" s="28" t="e">
        <f>INDEX('Peak Models'!$P$34:$P$64, MATCH(TRUNC(B489, 0), 'Peak Models'!$O$34:$O$64, 0))</f>
        <v>#N/A</v>
      </c>
      <c r="M489" s="28">
        <f>'Peak Models'!$P$15*INDEX('Peak Models'!$Q$34:$Q$64, MATCH(TRUNC(B489, 0),'Peak Models'!$O$34:$O$64, 0))/'Profit per cycles Model'!$E$78</f>
        <v>6.48711079930567</v>
      </c>
      <c r="N489" s="28" t="e">
        <f t="shared" si="122"/>
        <v>#N/A</v>
      </c>
      <c r="O489" s="71" t="e">
        <f>AVERAGE($N$10:N489)</f>
        <v>#N/A</v>
      </c>
      <c r="P489" s="28" t="e">
        <f t="shared" si="123"/>
        <v>#N/A</v>
      </c>
      <c r="R489" s="28" t="e">
        <f t="shared" si="124"/>
        <v>#VALUE!</v>
      </c>
      <c r="S489" s="25"/>
      <c r="T489" s="25">
        <f t="shared" si="125"/>
        <v>15</v>
      </c>
      <c r="U489" s="33">
        <f>IF(PaybackCustom&gt;0, IF(PaybackCustom&lt;&gt;"Default", PaybackCustom, IF(PaybackStatus&lt;&gt;"",INDEX('Arbitrage Payback Engine'!$Y$2:$Y$6,MATCH(PaybackStatus,'Arbitrage Payback Engine'!$X$2:$X$6,FALSE)),-1)))</f>
        <v>25</v>
      </c>
      <c r="V489" s="32">
        <f t="shared" si="134"/>
        <v>15</v>
      </c>
      <c r="X489" s="29">
        <f t="shared" si="135"/>
        <v>480</v>
      </c>
      <c r="Z489" s="30">
        <f t="shared" si="126"/>
        <v>13.148883714559648</v>
      </c>
      <c r="AA489" s="28" t="e">
        <f t="shared" si="127"/>
        <v>#N/A</v>
      </c>
      <c r="AB489" s="28" t="e">
        <f t="shared" si="128"/>
        <v>#VALUE!</v>
      </c>
      <c r="AC489" s="29">
        <f t="shared" si="129"/>
        <v>455.40796963946866</v>
      </c>
      <c r="AD489" s="28" t="e">
        <f t="shared" si="130"/>
        <v>#VALUE!</v>
      </c>
      <c r="AE489" s="28" t="e">
        <f t="shared" si="131"/>
        <v>#N/A</v>
      </c>
      <c r="AF489" s="28" t="e">
        <f t="shared" si="132"/>
        <v>#VALUE!</v>
      </c>
      <c r="AH489" s="31" t="e">
        <f t="shared" si="133"/>
        <v>#N/A</v>
      </c>
      <c r="AI489" s="25"/>
      <c r="AJ489" s="31"/>
    </row>
    <row r="490" spans="2:36" x14ac:dyDescent="0.25">
      <c r="B490" s="33">
        <f>'Arbitrage Payback Engine'!E490</f>
        <v>13.176277222298316</v>
      </c>
      <c r="C490" s="33">
        <f t="shared" si="119"/>
        <v>1000</v>
      </c>
      <c r="D490" s="33">
        <f>'Battery Pricing Model'!$C$17</f>
        <v>1000</v>
      </c>
      <c r="E490" s="33">
        <f t="shared" si="120"/>
        <v>999</v>
      </c>
      <c r="F490" s="33" t="str">
        <f>'Peak Models'!$B$4</f>
        <v>Default</v>
      </c>
      <c r="G490" s="33" t="e">
        <f>'Peak Models'!$Q$7</f>
        <v>#VALUE!</v>
      </c>
      <c r="H490" s="33">
        <f>'Peak Models'!$P$16</f>
        <v>1.5</v>
      </c>
      <c r="I490" s="33">
        <v>12</v>
      </c>
      <c r="J490" s="33" t="e">
        <f>'Peak Models'!$P$13</f>
        <v>#N/A</v>
      </c>
      <c r="K490" s="28" t="e">
        <f t="shared" si="121"/>
        <v>#VALUE!</v>
      </c>
      <c r="L490" s="28" t="e">
        <f>INDEX('Peak Models'!$P$34:$P$64, MATCH(TRUNC(B490, 0), 'Peak Models'!$O$34:$O$64, 0))</f>
        <v>#N/A</v>
      </c>
      <c r="M490" s="28">
        <f>'Peak Models'!$P$15*INDEX('Peak Models'!$Q$34:$Q$64, MATCH(TRUNC(B490, 0),'Peak Models'!$O$34:$O$64, 0))/'Profit per cycles Model'!$E$78</f>
        <v>6.48711079930567</v>
      </c>
      <c r="N490" s="28" t="e">
        <f t="shared" si="122"/>
        <v>#N/A</v>
      </c>
      <c r="O490" s="71" t="e">
        <f>AVERAGE($N$10:N490)</f>
        <v>#N/A</v>
      </c>
      <c r="P490" s="28" t="e">
        <f t="shared" si="123"/>
        <v>#N/A</v>
      </c>
      <c r="R490" s="28" t="e">
        <f t="shared" si="124"/>
        <v>#VALUE!</v>
      </c>
      <c r="S490" s="25"/>
      <c r="T490" s="25">
        <f t="shared" si="125"/>
        <v>15</v>
      </c>
      <c r="U490" s="33">
        <f>IF(PaybackCustom&gt;0, IF(PaybackCustom&lt;&gt;"Default", PaybackCustom, IF(PaybackStatus&lt;&gt;"",INDEX('Arbitrage Payback Engine'!$Y$2:$Y$6,MATCH(PaybackStatus,'Arbitrage Payback Engine'!$X$2:$X$6,FALSE)),-1)))</f>
        <v>25</v>
      </c>
      <c r="V490" s="32">
        <f t="shared" si="134"/>
        <v>15</v>
      </c>
      <c r="X490" s="29">
        <f t="shared" si="135"/>
        <v>481</v>
      </c>
      <c r="Z490" s="30">
        <f t="shared" si="126"/>
        <v>13.176277222298316</v>
      </c>
      <c r="AA490" s="28" t="e">
        <f t="shared" si="127"/>
        <v>#N/A</v>
      </c>
      <c r="AB490" s="28" t="e">
        <f t="shared" si="128"/>
        <v>#VALUE!</v>
      </c>
      <c r="AC490" s="29">
        <f t="shared" si="129"/>
        <v>456.35673624288427</v>
      </c>
      <c r="AD490" s="28" t="e">
        <f t="shared" si="130"/>
        <v>#VALUE!</v>
      </c>
      <c r="AE490" s="28" t="e">
        <f t="shared" si="131"/>
        <v>#N/A</v>
      </c>
      <c r="AF490" s="28" t="e">
        <f t="shared" si="132"/>
        <v>#VALUE!</v>
      </c>
      <c r="AH490" s="31" t="e">
        <f t="shared" si="133"/>
        <v>#N/A</v>
      </c>
      <c r="AI490" s="25"/>
      <c r="AJ490" s="31"/>
    </row>
    <row r="491" spans="2:36" x14ac:dyDescent="0.25">
      <c r="B491" s="33">
        <f>'Arbitrage Payback Engine'!E491</f>
        <v>13.203670730036981</v>
      </c>
      <c r="C491" s="33">
        <f t="shared" si="119"/>
        <v>1000</v>
      </c>
      <c r="D491" s="33">
        <f>'Battery Pricing Model'!$C$17</f>
        <v>1000</v>
      </c>
      <c r="E491" s="33">
        <f t="shared" si="120"/>
        <v>999</v>
      </c>
      <c r="F491" s="33" t="str">
        <f>'Peak Models'!$B$4</f>
        <v>Default</v>
      </c>
      <c r="G491" s="33" t="e">
        <f>'Peak Models'!$Q$7</f>
        <v>#VALUE!</v>
      </c>
      <c r="H491" s="33">
        <f>'Peak Models'!$P$16</f>
        <v>1.5</v>
      </c>
      <c r="I491" s="33">
        <v>12</v>
      </c>
      <c r="J491" s="33" t="e">
        <f>'Peak Models'!$P$13</f>
        <v>#N/A</v>
      </c>
      <c r="K491" s="28" t="e">
        <f t="shared" si="121"/>
        <v>#VALUE!</v>
      </c>
      <c r="L491" s="28" t="e">
        <f>INDEX('Peak Models'!$P$34:$P$64, MATCH(TRUNC(B491, 0), 'Peak Models'!$O$34:$O$64, 0))</f>
        <v>#N/A</v>
      </c>
      <c r="M491" s="28">
        <f>'Peak Models'!$P$15*INDEX('Peak Models'!$Q$34:$Q$64, MATCH(TRUNC(B491, 0),'Peak Models'!$O$34:$O$64, 0))/'Profit per cycles Model'!$E$78</f>
        <v>6.48711079930567</v>
      </c>
      <c r="N491" s="28" t="e">
        <f t="shared" si="122"/>
        <v>#N/A</v>
      </c>
      <c r="O491" s="71" t="e">
        <f>AVERAGE($N$10:N491)</f>
        <v>#N/A</v>
      </c>
      <c r="P491" s="28" t="e">
        <f t="shared" si="123"/>
        <v>#N/A</v>
      </c>
      <c r="R491" s="28" t="e">
        <f t="shared" si="124"/>
        <v>#VALUE!</v>
      </c>
      <c r="S491" s="25"/>
      <c r="T491" s="25">
        <f t="shared" si="125"/>
        <v>15</v>
      </c>
      <c r="U491" s="33">
        <f>IF(PaybackCustom&gt;0, IF(PaybackCustom&lt;&gt;"Default", PaybackCustom, IF(PaybackStatus&lt;&gt;"",INDEX('Arbitrage Payback Engine'!$Y$2:$Y$6,MATCH(PaybackStatus,'Arbitrage Payback Engine'!$X$2:$X$6,FALSE)),-1)))</f>
        <v>25</v>
      </c>
      <c r="V491" s="32">
        <f t="shared" si="134"/>
        <v>15</v>
      </c>
      <c r="X491" s="29">
        <f t="shared" si="135"/>
        <v>482</v>
      </c>
      <c r="Z491" s="30">
        <f t="shared" si="126"/>
        <v>13.203670730036981</v>
      </c>
      <c r="AA491" s="28" t="e">
        <f t="shared" si="127"/>
        <v>#N/A</v>
      </c>
      <c r="AB491" s="28" t="e">
        <f t="shared" si="128"/>
        <v>#VALUE!</v>
      </c>
      <c r="AC491" s="29">
        <f t="shared" si="129"/>
        <v>457.30550284629987</v>
      </c>
      <c r="AD491" s="28" t="e">
        <f t="shared" si="130"/>
        <v>#VALUE!</v>
      </c>
      <c r="AE491" s="28" t="e">
        <f t="shared" si="131"/>
        <v>#N/A</v>
      </c>
      <c r="AF491" s="28" t="e">
        <f t="shared" si="132"/>
        <v>#VALUE!</v>
      </c>
      <c r="AH491" s="31" t="e">
        <f t="shared" si="133"/>
        <v>#N/A</v>
      </c>
      <c r="AI491" s="25"/>
      <c r="AJ491" s="31"/>
    </row>
    <row r="492" spans="2:36" x14ac:dyDescent="0.25">
      <c r="B492" s="33">
        <f>'Arbitrage Payback Engine'!E492</f>
        <v>13.231064237775646</v>
      </c>
      <c r="C492" s="33">
        <f t="shared" si="119"/>
        <v>1000</v>
      </c>
      <c r="D492" s="33">
        <f>'Battery Pricing Model'!$C$17</f>
        <v>1000</v>
      </c>
      <c r="E492" s="33">
        <f t="shared" si="120"/>
        <v>999</v>
      </c>
      <c r="F492" s="33" t="str">
        <f>'Peak Models'!$B$4</f>
        <v>Default</v>
      </c>
      <c r="G492" s="33" t="e">
        <f>'Peak Models'!$Q$7</f>
        <v>#VALUE!</v>
      </c>
      <c r="H492" s="33">
        <f>'Peak Models'!$P$16</f>
        <v>1.5</v>
      </c>
      <c r="I492" s="33">
        <v>12</v>
      </c>
      <c r="J492" s="33" t="e">
        <f>'Peak Models'!$P$13</f>
        <v>#N/A</v>
      </c>
      <c r="K492" s="28" t="e">
        <f t="shared" si="121"/>
        <v>#VALUE!</v>
      </c>
      <c r="L492" s="28" t="e">
        <f>INDEX('Peak Models'!$P$34:$P$64, MATCH(TRUNC(B492, 0), 'Peak Models'!$O$34:$O$64, 0))</f>
        <v>#N/A</v>
      </c>
      <c r="M492" s="28">
        <f>'Peak Models'!$P$15*INDEX('Peak Models'!$Q$34:$Q$64, MATCH(TRUNC(B492, 0),'Peak Models'!$O$34:$O$64, 0))/'Profit per cycles Model'!$E$78</f>
        <v>6.48711079930567</v>
      </c>
      <c r="N492" s="28" t="e">
        <f t="shared" si="122"/>
        <v>#N/A</v>
      </c>
      <c r="O492" s="71" t="e">
        <f>AVERAGE($N$10:N492)</f>
        <v>#N/A</v>
      </c>
      <c r="P492" s="28" t="e">
        <f t="shared" si="123"/>
        <v>#N/A</v>
      </c>
      <c r="R492" s="28" t="e">
        <f t="shared" si="124"/>
        <v>#VALUE!</v>
      </c>
      <c r="S492" s="25"/>
      <c r="T492" s="25">
        <f t="shared" si="125"/>
        <v>15</v>
      </c>
      <c r="U492" s="33">
        <f>IF(PaybackCustom&gt;0, IF(PaybackCustom&lt;&gt;"Default", PaybackCustom, IF(PaybackStatus&lt;&gt;"",INDEX('Arbitrage Payback Engine'!$Y$2:$Y$6,MATCH(PaybackStatus,'Arbitrage Payback Engine'!$X$2:$X$6,FALSE)),-1)))</f>
        <v>25</v>
      </c>
      <c r="V492" s="32">
        <f t="shared" si="134"/>
        <v>15</v>
      </c>
      <c r="X492" s="29">
        <f t="shared" si="135"/>
        <v>483</v>
      </c>
      <c r="Z492" s="30">
        <f t="shared" si="126"/>
        <v>13.231064237775646</v>
      </c>
      <c r="AA492" s="28" t="e">
        <f t="shared" si="127"/>
        <v>#N/A</v>
      </c>
      <c r="AB492" s="28" t="e">
        <f t="shared" si="128"/>
        <v>#VALUE!</v>
      </c>
      <c r="AC492" s="29">
        <f t="shared" si="129"/>
        <v>458.25426944971537</v>
      </c>
      <c r="AD492" s="28" t="e">
        <f t="shared" si="130"/>
        <v>#VALUE!</v>
      </c>
      <c r="AE492" s="28" t="e">
        <f t="shared" si="131"/>
        <v>#N/A</v>
      </c>
      <c r="AF492" s="28" t="e">
        <f t="shared" si="132"/>
        <v>#VALUE!</v>
      </c>
      <c r="AH492" s="31" t="e">
        <f t="shared" si="133"/>
        <v>#N/A</v>
      </c>
      <c r="AI492" s="25"/>
      <c r="AJ492" s="31"/>
    </row>
    <row r="493" spans="2:36" x14ac:dyDescent="0.25">
      <c r="B493" s="33">
        <f>'Arbitrage Payback Engine'!E493</f>
        <v>13.258457745514313</v>
      </c>
      <c r="C493" s="33">
        <f t="shared" si="119"/>
        <v>1000</v>
      </c>
      <c r="D493" s="33">
        <f>'Battery Pricing Model'!$C$17</f>
        <v>1000</v>
      </c>
      <c r="E493" s="33">
        <f t="shared" si="120"/>
        <v>999</v>
      </c>
      <c r="F493" s="33" t="str">
        <f>'Peak Models'!$B$4</f>
        <v>Default</v>
      </c>
      <c r="G493" s="33" t="e">
        <f>'Peak Models'!$Q$7</f>
        <v>#VALUE!</v>
      </c>
      <c r="H493" s="33">
        <f>'Peak Models'!$P$16</f>
        <v>1.5</v>
      </c>
      <c r="I493" s="33">
        <v>12</v>
      </c>
      <c r="J493" s="33" t="e">
        <f>'Peak Models'!$P$13</f>
        <v>#N/A</v>
      </c>
      <c r="K493" s="28" t="e">
        <f t="shared" si="121"/>
        <v>#VALUE!</v>
      </c>
      <c r="L493" s="28" t="e">
        <f>INDEX('Peak Models'!$P$34:$P$64, MATCH(TRUNC(B493, 0), 'Peak Models'!$O$34:$O$64, 0))</f>
        <v>#N/A</v>
      </c>
      <c r="M493" s="28">
        <f>'Peak Models'!$P$15*INDEX('Peak Models'!$Q$34:$Q$64, MATCH(TRUNC(B493, 0),'Peak Models'!$O$34:$O$64, 0))/'Profit per cycles Model'!$E$78</f>
        <v>6.48711079930567</v>
      </c>
      <c r="N493" s="28" t="e">
        <f t="shared" si="122"/>
        <v>#N/A</v>
      </c>
      <c r="O493" s="71" t="e">
        <f>AVERAGE($N$10:N493)</f>
        <v>#N/A</v>
      </c>
      <c r="P493" s="28" t="e">
        <f t="shared" si="123"/>
        <v>#N/A</v>
      </c>
      <c r="R493" s="28" t="e">
        <f t="shared" si="124"/>
        <v>#VALUE!</v>
      </c>
      <c r="S493" s="25"/>
      <c r="T493" s="25">
        <f t="shared" si="125"/>
        <v>15</v>
      </c>
      <c r="U493" s="33">
        <f>IF(PaybackCustom&gt;0, IF(PaybackCustom&lt;&gt;"Default", PaybackCustom, IF(PaybackStatus&lt;&gt;"",INDEX('Arbitrage Payback Engine'!$Y$2:$Y$6,MATCH(PaybackStatus,'Arbitrage Payback Engine'!$X$2:$X$6,FALSE)),-1)))</f>
        <v>25</v>
      </c>
      <c r="V493" s="32">
        <f t="shared" si="134"/>
        <v>15</v>
      </c>
      <c r="X493" s="29">
        <f t="shared" si="135"/>
        <v>484</v>
      </c>
      <c r="Z493" s="30">
        <f t="shared" si="126"/>
        <v>13.258457745514313</v>
      </c>
      <c r="AA493" s="28" t="e">
        <f t="shared" si="127"/>
        <v>#N/A</v>
      </c>
      <c r="AB493" s="28" t="e">
        <f t="shared" si="128"/>
        <v>#VALUE!</v>
      </c>
      <c r="AC493" s="29">
        <f t="shared" si="129"/>
        <v>459.20303605313097</v>
      </c>
      <c r="AD493" s="28" t="e">
        <f t="shared" si="130"/>
        <v>#VALUE!</v>
      </c>
      <c r="AE493" s="28" t="e">
        <f t="shared" si="131"/>
        <v>#N/A</v>
      </c>
      <c r="AF493" s="28" t="e">
        <f t="shared" si="132"/>
        <v>#VALUE!</v>
      </c>
      <c r="AH493" s="31" t="e">
        <f t="shared" si="133"/>
        <v>#N/A</v>
      </c>
      <c r="AI493" s="25"/>
      <c r="AJ493" s="31"/>
    </row>
    <row r="494" spans="2:36" x14ac:dyDescent="0.25">
      <c r="B494" s="33">
        <f>'Arbitrage Payback Engine'!E494</f>
        <v>13.285851253252979</v>
      </c>
      <c r="C494" s="33">
        <f t="shared" si="119"/>
        <v>1000</v>
      </c>
      <c r="D494" s="33">
        <f>'Battery Pricing Model'!$C$17</f>
        <v>1000</v>
      </c>
      <c r="E494" s="33">
        <f t="shared" si="120"/>
        <v>999</v>
      </c>
      <c r="F494" s="33" t="str">
        <f>'Peak Models'!$B$4</f>
        <v>Default</v>
      </c>
      <c r="G494" s="33" t="e">
        <f>'Peak Models'!$Q$7</f>
        <v>#VALUE!</v>
      </c>
      <c r="H494" s="33">
        <f>'Peak Models'!$P$16</f>
        <v>1.5</v>
      </c>
      <c r="I494" s="33">
        <v>12</v>
      </c>
      <c r="J494" s="33" t="e">
        <f>'Peak Models'!$P$13</f>
        <v>#N/A</v>
      </c>
      <c r="K494" s="28" t="e">
        <f t="shared" si="121"/>
        <v>#VALUE!</v>
      </c>
      <c r="L494" s="28" t="e">
        <f>INDEX('Peak Models'!$P$34:$P$64, MATCH(TRUNC(B494, 0), 'Peak Models'!$O$34:$O$64, 0))</f>
        <v>#N/A</v>
      </c>
      <c r="M494" s="28">
        <f>'Peak Models'!$P$15*INDEX('Peak Models'!$Q$34:$Q$64, MATCH(TRUNC(B494, 0),'Peak Models'!$O$34:$O$64, 0))/'Profit per cycles Model'!$E$78</f>
        <v>6.48711079930567</v>
      </c>
      <c r="N494" s="28" t="e">
        <f t="shared" si="122"/>
        <v>#N/A</v>
      </c>
      <c r="O494" s="71" t="e">
        <f>AVERAGE($N$10:N494)</f>
        <v>#N/A</v>
      </c>
      <c r="P494" s="28" t="e">
        <f t="shared" si="123"/>
        <v>#N/A</v>
      </c>
      <c r="R494" s="28" t="e">
        <f t="shared" si="124"/>
        <v>#VALUE!</v>
      </c>
      <c r="S494" s="25"/>
      <c r="T494" s="25">
        <f t="shared" si="125"/>
        <v>15</v>
      </c>
      <c r="U494" s="33">
        <f>IF(PaybackCustom&gt;0, IF(PaybackCustom&lt;&gt;"Default", PaybackCustom, IF(PaybackStatus&lt;&gt;"",INDEX('Arbitrage Payback Engine'!$Y$2:$Y$6,MATCH(PaybackStatus,'Arbitrage Payback Engine'!$X$2:$X$6,FALSE)),-1)))</f>
        <v>25</v>
      </c>
      <c r="V494" s="32">
        <f t="shared" si="134"/>
        <v>15</v>
      </c>
      <c r="X494" s="29">
        <f t="shared" si="135"/>
        <v>485</v>
      </c>
      <c r="Z494" s="30">
        <f t="shared" si="126"/>
        <v>13.285851253252979</v>
      </c>
      <c r="AA494" s="28" t="e">
        <f t="shared" si="127"/>
        <v>#N/A</v>
      </c>
      <c r="AB494" s="28" t="e">
        <f t="shared" si="128"/>
        <v>#VALUE!</v>
      </c>
      <c r="AC494" s="29">
        <f t="shared" si="129"/>
        <v>460.15180265654652</v>
      </c>
      <c r="AD494" s="28" t="e">
        <f t="shared" si="130"/>
        <v>#VALUE!</v>
      </c>
      <c r="AE494" s="28" t="e">
        <f t="shared" si="131"/>
        <v>#N/A</v>
      </c>
      <c r="AF494" s="28" t="e">
        <f t="shared" si="132"/>
        <v>#VALUE!</v>
      </c>
      <c r="AH494" s="31" t="e">
        <f t="shared" si="133"/>
        <v>#N/A</v>
      </c>
      <c r="AI494" s="25"/>
      <c r="AJ494" s="31"/>
    </row>
    <row r="495" spans="2:36" x14ac:dyDescent="0.25">
      <c r="B495" s="33">
        <f>'Arbitrage Payback Engine'!E495</f>
        <v>13.313244760991644</v>
      </c>
      <c r="C495" s="33">
        <f t="shared" si="119"/>
        <v>1000</v>
      </c>
      <c r="D495" s="33">
        <f>'Battery Pricing Model'!$C$17</f>
        <v>1000</v>
      </c>
      <c r="E495" s="33">
        <f t="shared" si="120"/>
        <v>999</v>
      </c>
      <c r="F495" s="33" t="str">
        <f>'Peak Models'!$B$4</f>
        <v>Default</v>
      </c>
      <c r="G495" s="33" t="e">
        <f>'Peak Models'!$Q$7</f>
        <v>#VALUE!</v>
      </c>
      <c r="H495" s="33">
        <f>'Peak Models'!$P$16</f>
        <v>1.5</v>
      </c>
      <c r="I495" s="33">
        <v>12</v>
      </c>
      <c r="J495" s="33" t="e">
        <f>'Peak Models'!$P$13</f>
        <v>#N/A</v>
      </c>
      <c r="K495" s="28" t="e">
        <f t="shared" si="121"/>
        <v>#VALUE!</v>
      </c>
      <c r="L495" s="28" t="e">
        <f>INDEX('Peak Models'!$P$34:$P$64, MATCH(TRUNC(B495, 0), 'Peak Models'!$O$34:$O$64, 0))</f>
        <v>#N/A</v>
      </c>
      <c r="M495" s="28">
        <f>'Peak Models'!$P$15*INDEX('Peak Models'!$Q$34:$Q$64, MATCH(TRUNC(B495, 0),'Peak Models'!$O$34:$O$64, 0))/'Profit per cycles Model'!$E$78</f>
        <v>6.48711079930567</v>
      </c>
      <c r="N495" s="28" t="e">
        <f t="shared" si="122"/>
        <v>#N/A</v>
      </c>
      <c r="O495" s="71" t="e">
        <f>AVERAGE($N$10:N495)</f>
        <v>#N/A</v>
      </c>
      <c r="P495" s="28" t="e">
        <f t="shared" si="123"/>
        <v>#N/A</v>
      </c>
      <c r="R495" s="28" t="e">
        <f t="shared" si="124"/>
        <v>#VALUE!</v>
      </c>
      <c r="S495" s="25"/>
      <c r="T495" s="25">
        <f t="shared" si="125"/>
        <v>15</v>
      </c>
      <c r="U495" s="33">
        <f>IF(PaybackCustom&gt;0, IF(PaybackCustom&lt;&gt;"Default", PaybackCustom, IF(PaybackStatus&lt;&gt;"",INDEX('Arbitrage Payback Engine'!$Y$2:$Y$6,MATCH(PaybackStatus,'Arbitrage Payback Engine'!$X$2:$X$6,FALSE)),-1)))</f>
        <v>25</v>
      </c>
      <c r="V495" s="32">
        <f t="shared" si="134"/>
        <v>15</v>
      </c>
      <c r="X495" s="29">
        <f t="shared" si="135"/>
        <v>486</v>
      </c>
      <c r="Z495" s="30">
        <f t="shared" si="126"/>
        <v>13.313244760991644</v>
      </c>
      <c r="AA495" s="28" t="e">
        <f t="shared" si="127"/>
        <v>#N/A</v>
      </c>
      <c r="AB495" s="28" t="e">
        <f t="shared" si="128"/>
        <v>#VALUE!</v>
      </c>
      <c r="AC495" s="29">
        <f t="shared" si="129"/>
        <v>461.10056925996201</v>
      </c>
      <c r="AD495" s="28" t="e">
        <f t="shared" si="130"/>
        <v>#VALUE!</v>
      </c>
      <c r="AE495" s="28" t="e">
        <f t="shared" si="131"/>
        <v>#N/A</v>
      </c>
      <c r="AF495" s="28" t="e">
        <f t="shared" si="132"/>
        <v>#VALUE!</v>
      </c>
      <c r="AH495" s="31" t="e">
        <f t="shared" si="133"/>
        <v>#N/A</v>
      </c>
      <c r="AI495" s="25"/>
      <c r="AJ495" s="31"/>
    </row>
    <row r="496" spans="2:36" x14ac:dyDescent="0.25">
      <c r="B496" s="33">
        <f>'Arbitrage Payback Engine'!E496</f>
        <v>13.340638268730311</v>
      </c>
      <c r="C496" s="33">
        <f t="shared" si="119"/>
        <v>1000</v>
      </c>
      <c r="D496" s="33">
        <f>'Battery Pricing Model'!$C$17</f>
        <v>1000</v>
      </c>
      <c r="E496" s="33">
        <f t="shared" si="120"/>
        <v>999</v>
      </c>
      <c r="F496" s="33" t="str">
        <f>'Peak Models'!$B$4</f>
        <v>Default</v>
      </c>
      <c r="G496" s="33" t="e">
        <f>'Peak Models'!$Q$7</f>
        <v>#VALUE!</v>
      </c>
      <c r="H496" s="33">
        <f>'Peak Models'!$P$16</f>
        <v>1.5</v>
      </c>
      <c r="I496" s="33">
        <v>12</v>
      </c>
      <c r="J496" s="33" t="e">
        <f>'Peak Models'!$P$13</f>
        <v>#N/A</v>
      </c>
      <c r="K496" s="28" t="e">
        <f t="shared" si="121"/>
        <v>#VALUE!</v>
      </c>
      <c r="L496" s="28" t="e">
        <f>INDEX('Peak Models'!$P$34:$P$64, MATCH(TRUNC(B496, 0), 'Peak Models'!$O$34:$O$64, 0))</f>
        <v>#N/A</v>
      </c>
      <c r="M496" s="28">
        <f>'Peak Models'!$P$15*INDEX('Peak Models'!$Q$34:$Q$64, MATCH(TRUNC(B496, 0),'Peak Models'!$O$34:$O$64, 0))/'Profit per cycles Model'!$E$78</f>
        <v>6.48711079930567</v>
      </c>
      <c r="N496" s="28" t="e">
        <f t="shared" si="122"/>
        <v>#N/A</v>
      </c>
      <c r="O496" s="71" t="e">
        <f>AVERAGE($N$10:N496)</f>
        <v>#N/A</v>
      </c>
      <c r="P496" s="28" t="e">
        <f t="shared" si="123"/>
        <v>#N/A</v>
      </c>
      <c r="R496" s="28" t="e">
        <f t="shared" si="124"/>
        <v>#VALUE!</v>
      </c>
      <c r="S496" s="25"/>
      <c r="T496" s="25">
        <f t="shared" si="125"/>
        <v>15</v>
      </c>
      <c r="U496" s="33">
        <f>IF(PaybackCustom&gt;0, IF(PaybackCustom&lt;&gt;"Default", PaybackCustom, IF(PaybackStatus&lt;&gt;"",INDEX('Arbitrage Payback Engine'!$Y$2:$Y$6,MATCH(PaybackStatus,'Arbitrage Payback Engine'!$X$2:$X$6,FALSE)),-1)))</f>
        <v>25</v>
      </c>
      <c r="V496" s="32">
        <f t="shared" si="134"/>
        <v>15</v>
      </c>
      <c r="X496" s="29">
        <f t="shared" si="135"/>
        <v>487</v>
      </c>
      <c r="Z496" s="30">
        <f t="shared" si="126"/>
        <v>13.340638268730311</v>
      </c>
      <c r="AA496" s="28" t="e">
        <f t="shared" si="127"/>
        <v>#N/A</v>
      </c>
      <c r="AB496" s="28" t="e">
        <f t="shared" si="128"/>
        <v>#VALUE!</v>
      </c>
      <c r="AC496" s="29">
        <f t="shared" si="129"/>
        <v>462.04933586337762</v>
      </c>
      <c r="AD496" s="28" t="e">
        <f t="shared" si="130"/>
        <v>#VALUE!</v>
      </c>
      <c r="AE496" s="28" t="e">
        <f t="shared" si="131"/>
        <v>#N/A</v>
      </c>
      <c r="AF496" s="28" t="e">
        <f t="shared" si="132"/>
        <v>#VALUE!</v>
      </c>
      <c r="AH496" s="31" t="e">
        <f t="shared" si="133"/>
        <v>#N/A</v>
      </c>
      <c r="AI496" s="25"/>
      <c r="AJ496" s="31"/>
    </row>
    <row r="497" spans="2:36" x14ac:dyDescent="0.25">
      <c r="B497" s="33">
        <f>'Arbitrage Payback Engine'!E497</f>
        <v>13.368031776468976</v>
      </c>
      <c r="C497" s="33">
        <f t="shared" si="119"/>
        <v>1000</v>
      </c>
      <c r="D497" s="33">
        <f>'Battery Pricing Model'!$C$17</f>
        <v>1000</v>
      </c>
      <c r="E497" s="33">
        <f t="shared" si="120"/>
        <v>999</v>
      </c>
      <c r="F497" s="33" t="str">
        <f>'Peak Models'!$B$4</f>
        <v>Default</v>
      </c>
      <c r="G497" s="33" t="e">
        <f>'Peak Models'!$Q$7</f>
        <v>#VALUE!</v>
      </c>
      <c r="H497" s="33">
        <f>'Peak Models'!$P$16</f>
        <v>1.5</v>
      </c>
      <c r="I497" s="33">
        <v>12</v>
      </c>
      <c r="J497" s="33" t="e">
        <f>'Peak Models'!$P$13</f>
        <v>#N/A</v>
      </c>
      <c r="K497" s="28" t="e">
        <f t="shared" si="121"/>
        <v>#VALUE!</v>
      </c>
      <c r="L497" s="28" t="e">
        <f>INDEX('Peak Models'!$P$34:$P$64, MATCH(TRUNC(B497, 0), 'Peak Models'!$O$34:$O$64, 0))</f>
        <v>#N/A</v>
      </c>
      <c r="M497" s="28">
        <f>'Peak Models'!$P$15*INDEX('Peak Models'!$Q$34:$Q$64, MATCH(TRUNC(B497, 0),'Peak Models'!$O$34:$O$64, 0))/'Profit per cycles Model'!$E$78</f>
        <v>6.48711079930567</v>
      </c>
      <c r="N497" s="28" t="e">
        <f t="shared" si="122"/>
        <v>#N/A</v>
      </c>
      <c r="O497" s="71" t="e">
        <f>AVERAGE($N$10:N497)</f>
        <v>#N/A</v>
      </c>
      <c r="P497" s="28" t="e">
        <f t="shared" si="123"/>
        <v>#N/A</v>
      </c>
      <c r="R497" s="28" t="e">
        <f t="shared" si="124"/>
        <v>#VALUE!</v>
      </c>
      <c r="S497" s="25"/>
      <c r="T497" s="25">
        <f t="shared" si="125"/>
        <v>15</v>
      </c>
      <c r="U497" s="33">
        <f>IF(PaybackCustom&gt;0, IF(PaybackCustom&lt;&gt;"Default", PaybackCustom, IF(PaybackStatus&lt;&gt;"",INDEX('Arbitrage Payback Engine'!$Y$2:$Y$6,MATCH(PaybackStatus,'Arbitrage Payback Engine'!$X$2:$X$6,FALSE)),-1)))</f>
        <v>25</v>
      </c>
      <c r="V497" s="32">
        <f t="shared" si="134"/>
        <v>15</v>
      </c>
      <c r="X497" s="29">
        <f t="shared" si="135"/>
        <v>488</v>
      </c>
      <c r="Z497" s="30">
        <f t="shared" si="126"/>
        <v>13.368031776468976</v>
      </c>
      <c r="AA497" s="28" t="e">
        <f t="shared" si="127"/>
        <v>#N/A</v>
      </c>
      <c r="AB497" s="28" t="e">
        <f t="shared" si="128"/>
        <v>#VALUE!</v>
      </c>
      <c r="AC497" s="29">
        <f t="shared" si="129"/>
        <v>462.99810246679323</v>
      </c>
      <c r="AD497" s="28" t="e">
        <f t="shared" si="130"/>
        <v>#VALUE!</v>
      </c>
      <c r="AE497" s="28" t="e">
        <f t="shared" si="131"/>
        <v>#N/A</v>
      </c>
      <c r="AF497" s="28" t="e">
        <f t="shared" si="132"/>
        <v>#VALUE!</v>
      </c>
      <c r="AH497" s="31" t="e">
        <f t="shared" si="133"/>
        <v>#N/A</v>
      </c>
      <c r="AI497" s="25"/>
      <c r="AJ497" s="31"/>
    </row>
    <row r="498" spans="2:36" x14ac:dyDescent="0.25">
      <c r="B498" s="33">
        <f>'Arbitrage Payback Engine'!E498</f>
        <v>13.395425284207642</v>
      </c>
      <c r="C498" s="33">
        <f t="shared" si="119"/>
        <v>1000</v>
      </c>
      <c r="D498" s="33">
        <f>'Battery Pricing Model'!$C$17</f>
        <v>1000</v>
      </c>
      <c r="E498" s="33">
        <f t="shared" si="120"/>
        <v>999</v>
      </c>
      <c r="F498" s="33" t="str">
        <f>'Peak Models'!$B$4</f>
        <v>Default</v>
      </c>
      <c r="G498" s="33" t="e">
        <f>'Peak Models'!$Q$7</f>
        <v>#VALUE!</v>
      </c>
      <c r="H498" s="33">
        <f>'Peak Models'!$P$16</f>
        <v>1.5</v>
      </c>
      <c r="I498" s="33">
        <v>12</v>
      </c>
      <c r="J498" s="33" t="e">
        <f>'Peak Models'!$P$13</f>
        <v>#N/A</v>
      </c>
      <c r="K498" s="28" t="e">
        <f t="shared" si="121"/>
        <v>#VALUE!</v>
      </c>
      <c r="L498" s="28" t="e">
        <f>INDEX('Peak Models'!$P$34:$P$64, MATCH(TRUNC(B498, 0), 'Peak Models'!$O$34:$O$64, 0))</f>
        <v>#N/A</v>
      </c>
      <c r="M498" s="28">
        <f>'Peak Models'!$P$15*INDEX('Peak Models'!$Q$34:$Q$64, MATCH(TRUNC(B498, 0),'Peak Models'!$O$34:$O$64, 0))/'Profit per cycles Model'!$E$78</f>
        <v>6.48711079930567</v>
      </c>
      <c r="N498" s="28" t="e">
        <f t="shared" si="122"/>
        <v>#N/A</v>
      </c>
      <c r="O498" s="71" t="e">
        <f>AVERAGE($N$10:N498)</f>
        <v>#N/A</v>
      </c>
      <c r="P498" s="28" t="e">
        <f t="shared" si="123"/>
        <v>#N/A</v>
      </c>
      <c r="R498" s="28" t="e">
        <f t="shared" si="124"/>
        <v>#VALUE!</v>
      </c>
      <c r="S498" s="25"/>
      <c r="T498" s="25">
        <f t="shared" si="125"/>
        <v>15</v>
      </c>
      <c r="U498" s="33">
        <f>IF(PaybackCustom&gt;0, IF(PaybackCustom&lt;&gt;"Default", PaybackCustom, IF(PaybackStatus&lt;&gt;"",INDEX('Arbitrage Payback Engine'!$Y$2:$Y$6,MATCH(PaybackStatus,'Arbitrage Payback Engine'!$X$2:$X$6,FALSE)),-1)))</f>
        <v>25</v>
      </c>
      <c r="V498" s="32">
        <f t="shared" si="134"/>
        <v>15</v>
      </c>
      <c r="X498" s="29">
        <f t="shared" si="135"/>
        <v>489</v>
      </c>
      <c r="Z498" s="30">
        <f t="shared" si="126"/>
        <v>13.395425284207642</v>
      </c>
      <c r="AA498" s="28" t="e">
        <f t="shared" si="127"/>
        <v>#N/A</v>
      </c>
      <c r="AB498" s="28" t="e">
        <f t="shared" si="128"/>
        <v>#VALUE!</v>
      </c>
      <c r="AC498" s="29">
        <f t="shared" si="129"/>
        <v>463.94686907020872</v>
      </c>
      <c r="AD498" s="28" t="e">
        <f t="shared" si="130"/>
        <v>#VALUE!</v>
      </c>
      <c r="AE498" s="28" t="e">
        <f t="shared" si="131"/>
        <v>#N/A</v>
      </c>
      <c r="AF498" s="28" t="e">
        <f t="shared" si="132"/>
        <v>#VALUE!</v>
      </c>
      <c r="AH498" s="31" t="e">
        <f t="shared" si="133"/>
        <v>#N/A</v>
      </c>
      <c r="AI498" s="25"/>
      <c r="AJ498" s="31"/>
    </row>
    <row r="499" spans="2:36" x14ac:dyDescent="0.25">
      <c r="B499" s="33">
        <f>'Arbitrage Payback Engine'!E499</f>
        <v>13.422818791946309</v>
      </c>
      <c r="C499" s="33">
        <f t="shared" si="119"/>
        <v>1000</v>
      </c>
      <c r="D499" s="33">
        <f>'Battery Pricing Model'!$C$17</f>
        <v>1000</v>
      </c>
      <c r="E499" s="33">
        <f t="shared" si="120"/>
        <v>999</v>
      </c>
      <c r="F499" s="33" t="str">
        <f>'Peak Models'!$B$4</f>
        <v>Default</v>
      </c>
      <c r="G499" s="33" t="e">
        <f>'Peak Models'!$Q$7</f>
        <v>#VALUE!</v>
      </c>
      <c r="H499" s="33">
        <f>'Peak Models'!$P$16</f>
        <v>1.5</v>
      </c>
      <c r="I499" s="33">
        <v>12</v>
      </c>
      <c r="J499" s="33" t="e">
        <f>'Peak Models'!$P$13</f>
        <v>#N/A</v>
      </c>
      <c r="K499" s="28" t="e">
        <f t="shared" si="121"/>
        <v>#VALUE!</v>
      </c>
      <c r="L499" s="28" t="e">
        <f>INDEX('Peak Models'!$P$34:$P$64, MATCH(TRUNC(B499, 0), 'Peak Models'!$O$34:$O$64, 0))</f>
        <v>#N/A</v>
      </c>
      <c r="M499" s="28">
        <f>'Peak Models'!$P$15*INDEX('Peak Models'!$Q$34:$Q$64, MATCH(TRUNC(B499, 0),'Peak Models'!$O$34:$O$64, 0))/'Profit per cycles Model'!$E$78</f>
        <v>6.48711079930567</v>
      </c>
      <c r="N499" s="28" t="e">
        <f t="shared" si="122"/>
        <v>#N/A</v>
      </c>
      <c r="O499" s="71" t="e">
        <f>AVERAGE($N$10:N499)</f>
        <v>#N/A</v>
      </c>
      <c r="P499" s="28" t="e">
        <f t="shared" si="123"/>
        <v>#N/A</v>
      </c>
      <c r="R499" s="28" t="e">
        <f t="shared" si="124"/>
        <v>#VALUE!</v>
      </c>
      <c r="S499" s="25"/>
      <c r="T499" s="25">
        <f t="shared" si="125"/>
        <v>15</v>
      </c>
      <c r="U499" s="33">
        <f>IF(PaybackCustom&gt;0, IF(PaybackCustom&lt;&gt;"Default", PaybackCustom, IF(PaybackStatus&lt;&gt;"",INDEX('Arbitrage Payback Engine'!$Y$2:$Y$6,MATCH(PaybackStatus,'Arbitrage Payback Engine'!$X$2:$X$6,FALSE)),-1)))</f>
        <v>25</v>
      </c>
      <c r="V499" s="32">
        <f t="shared" si="134"/>
        <v>15</v>
      </c>
      <c r="X499" s="29">
        <f t="shared" si="135"/>
        <v>490</v>
      </c>
      <c r="Z499" s="30">
        <f t="shared" si="126"/>
        <v>13.422818791946309</v>
      </c>
      <c r="AA499" s="28" t="e">
        <f t="shared" si="127"/>
        <v>#N/A</v>
      </c>
      <c r="AB499" s="28" t="e">
        <f t="shared" si="128"/>
        <v>#VALUE!</v>
      </c>
      <c r="AC499" s="29">
        <f t="shared" si="129"/>
        <v>464.89563567362433</v>
      </c>
      <c r="AD499" s="28" t="e">
        <f t="shared" si="130"/>
        <v>#VALUE!</v>
      </c>
      <c r="AE499" s="28" t="e">
        <f t="shared" si="131"/>
        <v>#N/A</v>
      </c>
      <c r="AF499" s="28" t="e">
        <f t="shared" si="132"/>
        <v>#VALUE!</v>
      </c>
      <c r="AH499" s="31" t="e">
        <f t="shared" si="133"/>
        <v>#N/A</v>
      </c>
      <c r="AI499" s="25"/>
      <c r="AJ499" s="31"/>
    </row>
    <row r="500" spans="2:36" x14ac:dyDescent="0.25">
      <c r="B500" s="33">
        <f>'Arbitrage Payback Engine'!E500</f>
        <v>13.450212299684974</v>
      </c>
      <c r="C500" s="33">
        <f t="shared" si="119"/>
        <v>1000</v>
      </c>
      <c r="D500" s="33">
        <f>'Battery Pricing Model'!$C$17</f>
        <v>1000</v>
      </c>
      <c r="E500" s="33">
        <f t="shared" si="120"/>
        <v>999</v>
      </c>
      <c r="F500" s="33" t="str">
        <f>'Peak Models'!$B$4</f>
        <v>Default</v>
      </c>
      <c r="G500" s="33" t="e">
        <f>'Peak Models'!$Q$7</f>
        <v>#VALUE!</v>
      </c>
      <c r="H500" s="33">
        <f>'Peak Models'!$P$16</f>
        <v>1.5</v>
      </c>
      <c r="I500" s="33">
        <v>12</v>
      </c>
      <c r="J500" s="33" t="e">
        <f>'Peak Models'!$P$13</f>
        <v>#N/A</v>
      </c>
      <c r="K500" s="28" t="e">
        <f t="shared" si="121"/>
        <v>#VALUE!</v>
      </c>
      <c r="L500" s="28" t="e">
        <f>INDEX('Peak Models'!$P$34:$P$64, MATCH(TRUNC(B500, 0), 'Peak Models'!$O$34:$O$64, 0))</f>
        <v>#N/A</v>
      </c>
      <c r="M500" s="28">
        <f>'Peak Models'!$P$15*INDEX('Peak Models'!$Q$34:$Q$64, MATCH(TRUNC(B500, 0),'Peak Models'!$O$34:$O$64, 0))/'Profit per cycles Model'!$E$78</f>
        <v>6.48711079930567</v>
      </c>
      <c r="N500" s="28" t="e">
        <f t="shared" si="122"/>
        <v>#N/A</v>
      </c>
      <c r="O500" s="71" t="e">
        <f>AVERAGE($N$10:N500)</f>
        <v>#N/A</v>
      </c>
      <c r="P500" s="28" t="e">
        <f t="shared" si="123"/>
        <v>#N/A</v>
      </c>
      <c r="R500" s="28" t="e">
        <f t="shared" si="124"/>
        <v>#VALUE!</v>
      </c>
      <c r="S500" s="25"/>
      <c r="T500" s="25">
        <f t="shared" si="125"/>
        <v>15</v>
      </c>
      <c r="U500" s="33">
        <f>IF(PaybackCustom&gt;0, IF(PaybackCustom&lt;&gt;"Default", PaybackCustom, IF(PaybackStatus&lt;&gt;"",INDEX('Arbitrage Payback Engine'!$Y$2:$Y$6,MATCH(PaybackStatus,'Arbitrage Payback Engine'!$X$2:$X$6,FALSE)),-1)))</f>
        <v>25</v>
      </c>
      <c r="V500" s="32">
        <f t="shared" si="134"/>
        <v>15</v>
      </c>
      <c r="X500" s="29">
        <f t="shared" si="135"/>
        <v>491</v>
      </c>
      <c r="Z500" s="30">
        <f t="shared" si="126"/>
        <v>13.450212299684974</v>
      </c>
      <c r="AA500" s="28" t="e">
        <f t="shared" si="127"/>
        <v>#N/A</v>
      </c>
      <c r="AB500" s="28" t="e">
        <f t="shared" si="128"/>
        <v>#VALUE!</v>
      </c>
      <c r="AC500" s="29">
        <f t="shared" si="129"/>
        <v>465.84440227703982</v>
      </c>
      <c r="AD500" s="28" t="e">
        <f t="shared" si="130"/>
        <v>#VALUE!</v>
      </c>
      <c r="AE500" s="28" t="e">
        <f t="shared" si="131"/>
        <v>#N/A</v>
      </c>
      <c r="AF500" s="28" t="e">
        <f t="shared" si="132"/>
        <v>#VALUE!</v>
      </c>
      <c r="AH500" s="31" t="e">
        <f t="shared" si="133"/>
        <v>#N/A</v>
      </c>
      <c r="AI500" s="25"/>
      <c r="AJ500" s="31"/>
    </row>
    <row r="501" spans="2:36" x14ac:dyDescent="0.25">
      <c r="B501" s="33">
        <f>'Arbitrage Payback Engine'!E501</f>
        <v>13.47760580742364</v>
      </c>
      <c r="C501" s="33">
        <f t="shared" si="119"/>
        <v>1000</v>
      </c>
      <c r="D501" s="33">
        <f>'Battery Pricing Model'!$C$17</f>
        <v>1000</v>
      </c>
      <c r="E501" s="33">
        <f t="shared" si="120"/>
        <v>999</v>
      </c>
      <c r="F501" s="33" t="str">
        <f>'Peak Models'!$B$4</f>
        <v>Default</v>
      </c>
      <c r="G501" s="33" t="e">
        <f>'Peak Models'!$Q$7</f>
        <v>#VALUE!</v>
      </c>
      <c r="H501" s="33">
        <f>'Peak Models'!$P$16</f>
        <v>1.5</v>
      </c>
      <c r="I501" s="33">
        <v>12</v>
      </c>
      <c r="J501" s="33" t="e">
        <f>'Peak Models'!$P$13</f>
        <v>#N/A</v>
      </c>
      <c r="K501" s="28" t="e">
        <f t="shared" si="121"/>
        <v>#VALUE!</v>
      </c>
      <c r="L501" s="28" t="e">
        <f>INDEX('Peak Models'!$P$34:$P$64, MATCH(TRUNC(B501, 0), 'Peak Models'!$O$34:$O$64, 0))</f>
        <v>#N/A</v>
      </c>
      <c r="M501" s="28">
        <f>'Peak Models'!$P$15*INDEX('Peak Models'!$Q$34:$Q$64, MATCH(TRUNC(B501, 0),'Peak Models'!$O$34:$O$64, 0))/'Profit per cycles Model'!$E$78</f>
        <v>6.48711079930567</v>
      </c>
      <c r="N501" s="28" t="e">
        <f t="shared" si="122"/>
        <v>#N/A</v>
      </c>
      <c r="O501" s="71" t="e">
        <f>AVERAGE($N$10:N501)</f>
        <v>#N/A</v>
      </c>
      <c r="P501" s="28" t="e">
        <f t="shared" si="123"/>
        <v>#N/A</v>
      </c>
      <c r="R501" s="28" t="e">
        <f t="shared" si="124"/>
        <v>#VALUE!</v>
      </c>
      <c r="S501" s="25"/>
      <c r="T501" s="25">
        <f t="shared" si="125"/>
        <v>15</v>
      </c>
      <c r="U501" s="33">
        <f>IF(PaybackCustom&gt;0, IF(PaybackCustom&lt;&gt;"Default", PaybackCustom, IF(PaybackStatus&lt;&gt;"",INDEX('Arbitrage Payback Engine'!$Y$2:$Y$6,MATCH(PaybackStatus,'Arbitrage Payback Engine'!$X$2:$X$6,FALSE)),-1)))</f>
        <v>25</v>
      </c>
      <c r="V501" s="32">
        <f t="shared" si="134"/>
        <v>15</v>
      </c>
      <c r="X501" s="29">
        <f t="shared" si="135"/>
        <v>492</v>
      </c>
      <c r="Z501" s="30">
        <f t="shared" si="126"/>
        <v>13.47760580742364</v>
      </c>
      <c r="AA501" s="28" t="e">
        <f t="shared" si="127"/>
        <v>#N/A</v>
      </c>
      <c r="AB501" s="28" t="e">
        <f t="shared" si="128"/>
        <v>#VALUE!</v>
      </c>
      <c r="AC501" s="29">
        <f t="shared" si="129"/>
        <v>466.79316888045537</v>
      </c>
      <c r="AD501" s="28" t="e">
        <f t="shared" si="130"/>
        <v>#VALUE!</v>
      </c>
      <c r="AE501" s="28" t="e">
        <f t="shared" si="131"/>
        <v>#N/A</v>
      </c>
      <c r="AF501" s="28" t="e">
        <f t="shared" si="132"/>
        <v>#VALUE!</v>
      </c>
      <c r="AH501" s="31" t="e">
        <f t="shared" si="133"/>
        <v>#N/A</v>
      </c>
      <c r="AI501" s="25"/>
      <c r="AJ501" s="31"/>
    </row>
    <row r="502" spans="2:36" x14ac:dyDescent="0.25">
      <c r="B502" s="33">
        <f>'Arbitrage Payback Engine'!E502</f>
        <v>13.504999315162307</v>
      </c>
      <c r="C502" s="33">
        <f t="shared" si="119"/>
        <v>1000</v>
      </c>
      <c r="D502" s="33">
        <f>'Battery Pricing Model'!$C$17</f>
        <v>1000</v>
      </c>
      <c r="E502" s="33">
        <f t="shared" si="120"/>
        <v>999</v>
      </c>
      <c r="F502" s="33" t="str">
        <f>'Peak Models'!$B$4</f>
        <v>Default</v>
      </c>
      <c r="G502" s="33" t="e">
        <f>'Peak Models'!$Q$7</f>
        <v>#VALUE!</v>
      </c>
      <c r="H502" s="33">
        <f>'Peak Models'!$P$16</f>
        <v>1.5</v>
      </c>
      <c r="I502" s="33">
        <v>12</v>
      </c>
      <c r="J502" s="33" t="e">
        <f>'Peak Models'!$P$13</f>
        <v>#N/A</v>
      </c>
      <c r="K502" s="28" t="e">
        <f t="shared" si="121"/>
        <v>#VALUE!</v>
      </c>
      <c r="L502" s="28" t="e">
        <f>INDEX('Peak Models'!$P$34:$P$64, MATCH(TRUNC(B502, 0), 'Peak Models'!$O$34:$O$64, 0))</f>
        <v>#N/A</v>
      </c>
      <c r="M502" s="28">
        <f>'Peak Models'!$P$15*INDEX('Peak Models'!$Q$34:$Q$64, MATCH(TRUNC(B502, 0),'Peak Models'!$O$34:$O$64, 0))/'Profit per cycles Model'!$E$78</f>
        <v>6.48711079930567</v>
      </c>
      <c r="N502" s="28" t="e">
        <f t="shared" si="122"/>
        <v>#N/A</v>
      </c>
      <c r="O502" s="71" t="e">
        <f>AVERAGE($N$10:N502)</f>
        <v>#N/A</v>
      </c>
      <c r="P502" s="28" t="e">
        <f t="shared" si="123"/>
        <v>#N/A</v>
      </c>
      <c r="R502" s="28" t="e">
        <f t="shared" si="124"/>
        <v>#VALUE!</v>
      </c>
      <c r="S502" s="25"/>
      <c r="T502" s="25">
        <f t="shared" si="125"/>
        <v>15</v>
      </c>
      <c r="U502" s="33">
        <f>IF(PaybackCustom&gt;0, IF(PaybackCustom&lt;&gt;"Default", PaybackCustom, IF(PaybackStatus&lt;&gt;"",INDEX('Arbitrage Payback Engine'!$Y$2:$Y$6,MATCH(PaybackStatus,'Arbitrage Payback Engine'!$X$2:$X$6,FALSE)),-1)))</f>
        <v>25</v>
      </c>
      <c r="V502" s="32">
        <f t="shared" si="134"/>
        <v>15</v>
      </c>
      <c r="X502" s="29">
        <f t="shared" si="135"/>
        <v>493</v>
      </c>
      <c r="Z502" s="30">
        <f t="shared" si="126"/>
        <v>13.504999315162307</v>
      </c>
      <c r="AA502" s="28" t="e">
        <f t="shared" si="127"/>
        <v>#N/A</v>
      </c>
      <c r="AB502" s="28" t="e">
        <f t="shared" si="128"/>
        <v>#VALUE!</v>
      </c>
      <c r="AC502" s="29">
        <f t="shared" si="129"/>
        <v>467.74193548387103</v>
      </c>
      <c r="AD502" s="28" t="e">
        <f t="shared" si="130"/>
        <v>#VALUE!</v>
      </c>
      <c r="AE502" s="28" t="e">
        <f t="shared" si="131"/>
        <v>#N/A</v>
      </c>
      <c r="AF502" s="28" t="e">
        <f t="shared" si="132"/>
        <v>#VALUE!</v>
      </c>
      <c r="AH502" s="31" t="e">
        <f t="shared" si="133"/>
        <v>#N/A</v>
      </c>
      <c r="AI502" s="25"/>
      <c r="AJ502" s="31"/>
    </row>
    <row r="503" spans="2:36" x14ac:dyDescent="0.25">
      <c r="B503" s="33">
        <f>'Arbitrage Payback Engine'!E503</f>
        <v>13.532392822900972</v>
      </c>
      <c r="C503" s="33">
        <f t="shared" si="119"/>
        <v>1000</v>
      </c>
      <c r="D503" s="33">
        <f>'Battery Pricing Model'!$C$17</f>
        <v>1000</v>
      </c>
      <c r="E503" s="33">
        <f t="shared" si="120"/>
        <v>999</v>
      </c>
      <c r="F503" s="33" t="str">
        <f>'Peak Models'!$B$4</f>
        <v>Default</v>
      </c>
      <c r="G503" s="33" t="e">
        <f>'Peak Models'!$Q$7</f>
        <v>#VALUE!</v>
      </c>
      <c r="H503" s="33">
        <f>'Peak Models'!$P$16</f>
        <v>1.5</v>
      </c>
      <c r="I503" s="33">
        <v>12</v>
      </c>
      <c r="J503" s="33" t="e">
        <f>'Peak Models'!$P$13</f>
        <v>#N/A</v>
      </c>
      <c r="K503" s="28" t="e">
        <f t="shared" si="121"/>
        <v>#VALUE!</v>
      </c>
      <c r="L503" s="28" t="e">
        <f>INDEX('Peak Models'!$P$34:$P$64, MATCH(TRUNC(B503, 0), 'Peak Models'!$O$34:$O$64, 0))</f>
        <v>#N/A</v>
      </c>
      <c r="M503" s="28">
        <f>'Peak Models'!$P$15*INDEX('Peak Models'!$Q$34:$Q$64, MATCH(TRUNC(B503, 0),'Peak Models'!$O$34:$O$64, 0))/'Profit per cycles Model'!$E$78</f>
        <v>6.48711079930567</v>
      </c>
      <c r="N503" s="28" t="e">
        <f t="shared" si="122"/>
        <v>#N/A</v>
      </c>
      <c r="O503" s="71" t="e">
        <f>AVERAGE($N$10:N503)</f>
        <v>#N/A</v>
      </c>
      <c r="P503" s="28" t="e">
        <f t="shared" si="123"/>
        <v>#N/A</v>
      </c>
      <c r="R503" s="28" t="e">
        <f t="shared" si="124"/>
        <v>#VALUE!</v>
      </c>
      <c r="S503" s="25"/>
      <c r="T503" s="25">
        <f t="shared" si="125"/>
        <v>15</v>
      </c>
      <c r="U503" s="33">
        <f>IF(PaybackCustom&gt;0, IF(PaybackCustom&lt;&gt;"Default", PaybackCustom, IF(PaybackStatus&lt;&gt;"",INDEX('Arbitrage Payback Engine'!$Y$2:$Y$6,MATCH(PaybackStatus,'Arbitrage Payback Engine'!$X$2:$X$6,FALSE)),-1)))</f>
        <v>25</v>
      </c>
      <c r="V503" s="32">
        <f t="shared" si="134"/>
        <v>15</v>
      </c>
      <c r="X503" s="29">
        <f t="shared" si="135"/>
        <v>494</v>
      </c>
      <c r="Z503" s="30">
        <f t="shared" si="126"/>
        <v>13.532392822900972</v>
      </c>
      <c r="AA503" s="28" t="e">
        <f t="shared" si="127"/>
        <v>#N/A</v>
      </c>
      <c r="AB503" s="28" t="e">
        <f t="shared" si="128"/>
        <v>#VALUE!</v>
      </c>
      <c r="AC503" s="29">
        <f t="shared" si="129"/>
        <v>468.69070208728658</v>
      </c>
      <c r="AD503" s="28" t="e">
        <f t="shared" si="130"/>
        <v>#VALUE!</v>
      </c>
      <c r="AE503" s="28" t="e">
        <f t="shared" si="131"/>
        <v>#N/A</v>
      </c>
      <c r="AF503" s="28" t="e">
        <f t="shared" si="132"/>
        <v>#VALUE!</v>
      </c>
      <c r="AH503" s="31" t="e">
        <f t="shared" si="133"/>
        <v>#N/A</v>
      </c>
      <c r="AI503" s="25"/>
      <c r="AJ503" s="31"/>
    </row>
    <row r="504" spans="2:36" x14ac:dyDescent="0.25">
      <c r="B504" s="33">
        <f>'Arbitrage Payback Engine'!E504</f>
        <v>13.559786330639637</v>
      </c>
      <c r="C504" s="33">
        <f t="shared" si="119"/>
        <v>1000</v>
      </c>
      <c r="D504" s="33">
        <f>'Battery Pricing Model'!$C$17</f>
        <v>1000</v>
      </c>
      <c r="E504" s="33">
        <f t="shared" si="120"/>
        <v>999</v>
      </c>
      <c r="F504" s="33" t="str">
        <f>'Peak Models'!$B$4</f>
        <v>Default</v>
      </c>
      <c r="G504" s="33" t="e">
        <f>'Peak Models'!$Q$7</f>
        <v>#VALUE!</v>
      </c>
      <c r="H504" s="33">
        <f>'Peak Models'!$P$16</f>
        <v>1.5</v>
      </c>
      <c r="I504" s="33">
        <v>12</v>
      </c>
      <c r="J504" s="33" t="e">
        <f>'Peak Models'!$P$13</f>
        <v>#N/A</v>
      </c>
      <c r="K504" s="28" t="e">
        <f t="shared" si="121"/>
        <v>#VALUE!</v>
      </c>
      <c r="L504" s="28" t="e">
        <f>INDEX('Peak Models'!$P$34:$P$64, MATCH(TRUNC(B504, 0), 'Peak Models'!$O$34:$O$64, 0))</f>
        <v>#N/A</v>
      </c>
      <c r="M504" s="28">
        <f>'Peak Models'!$P$15*INDEX('Peak Models'!$Q$34:$Q$64, MATCH(TRUNC(B504, 0),'Peak Models'!$O$34:$O$64, 0))/'Profit per cycles Model'!$E$78</f>
        <v>6.48711079930567</v>
      </c>
      <c r="N504" s="28" t="e">
        <f t="shared" si="122"/>
        <v>#N/A</v>
      </c>
      <c r="O504" s="71" t="e">
        <f>AVERAGE($N$10:N504)</f>
        <v>#N/A</v>
      </c>
      <c r="P504" s="28" t="e">
        <f t="shared" si="123"/>
        <v>#N/A</v>
      </c>
      <c r="R504" s="28" t="e">
        <f t="shared" si="124"/>
        <v>#VALUE!</v>
      </c>
      <c r="S504" s="25"/>
      <c r="T504" s="25">
        <f t="shared" si="125"/>
        <v>15</v>
      </c>
      <c r="U504" s="33">
        <f>IF(PaybackCustom&gt;0, IF(PaybackCustom&lt;&gt;"Default", PaybackCustom, IF(PaybackStatus&lt;&gt;"",INDEX('Arbitrage Payback Engine'!$Y$2:$Y$6,MATCH(PaybackStatus,'Arbitrage Payback Engine'!$X$2:$X$6,FALSE)),-1)))</f>
        <v>25</v>
      </c>
      <c r="V504" s="32">
        <f t="shared" si="134"/>
        <v>15</v>
      </c>
      <c r="X504" s="29">
        <f t="shared" si="135"/>
        <v>495</v>
      </c>
      <c r="Z504" s="30">
        <f t="shared" si="126"/>
        <v>13.559786330639637</v>
      </c>
      <c r="AA504" s="28" t="e">
        <f t="shared" si="127"/>
        <v>#N/A</v>
      </c>
      <c r="AB504" s="28" t="e">
        <f t="shared" si="128"/>
        <v>#VALUE!</v>
      </c>
      <c r="AC504" s="29">
        <f t="shared" si="129"/>
        <v>469.63946869070207</v>
      </c>
      <c r="AD504" s="28" t="e">
        <f t="shared" si="130"/>
        <v>#VALUE!</v>
      </c>
      <c r="AE504" s="28" t="e">
        <f t="shared" si="131"/>
        <v>#N/A</v>
      </c>
      <c r="AF504" s="28" t="e">
        <f t="shared" si="132"/>
        <v>#VALUE!</v>
      </c>
      <c r="AH504" s="31" t="e">
        <f t="shared" si="133"/>
        <v>#N/A</v>
      </c>
      <c r="AI504" s="25"/>
      <c r="AJ504" s="31"/>
    </row>
    <row r="505" spans="2:36" x14ac:dyDescent="0.25">
      <c r="B505" s="33">
        <f>'Arbitrage Payback Engine'!E505</f>
        <v>13.587179838378304</v>
      </c>
      <c r="C505" s="33">
        <f t="shared" si="119"/>
        <v>1000</v>
      </c>
      <c r="D505" s="33">
        <f>'Battery Pricing Model'!$C$17</f>
        <v>1000</v>
      </c>
      <c r="E505" s="33">
        <f t="shared" si="120"/>
        <v>999</v>
      </c>
      <c r="F505" s="33" t="str">
        <f>'Peak Models'!$B$4</f>
        <v>Default</v>
      </c>
      <c r="G505" s="33" t="e">
        <f>'Peak Models'!$Q$7</f>
        <v>#VALUE!</v>
      </c>
      <c r="H505" s="33">
        <f>'Peak Models'!$P$16</f>
        <v>1.5</v>
      </c>
      <c r="I505" s="33">
        <v>12</v>
      </c>
      <c r="J505" s="33" t="e">
        <f>'Peak Models'!$P$13</f>
        <v>#N/A</v>
      </c>
      <c r="K505" s="28" t="e">
        <f t="shared" si="121"/>
        <v>#VALUE!</v>
      </c>
      <c r="L505" s="28" t="e">
        <f>INDEX('Peak Models'!$P$34:$P$64, MATCH(TRUNC(B505, 0), 'Peak Models'!$O$34:$O$64, 0))</f>
        <v>#N/A</v>
      </c>
      <c r="M505" s="28">
        <f>'Peak Models'!$P$15*INDEX('Peak Models'!$Q$34:$Q$64, MATCH(TRUNC(B505, 0),'Peak Models'!$O$34:$O$64, 0))/'Profit per cycles Model'!$E$78</f>
        <v>6.48711079930567</v>
      </c>
      <c r="N505" s="28" t="e">
        <f t="shared" si="122"/>
        <v>#N/A</v>
      </c>
      <c r="O505" s="71" t="e">
        <f>AVERAGE($N$10:N505)</f>
        <v>#N/A</v>
      </c>
      <c r="P505" s="28" t="e">
        <f t="shared" si="123"/>
        <v>#N/A</v>
      </c>
      <c r="R505" s="28" t="e">
        <f t="shared" si="124"/>
        <v>#VALUE!</v>
      </c>
      <c r="S505" s="25"/>
      <c r="T505" s="25">
        <f t="shared" si="125"/>
        <v>15</v>
      </c>
      <c r="U505" s="33">
        <f>IF(PaybackCustom&gt;0, IF(PaybackCustom&lt;&gt;"Default", PaybackCustom, IF(PaybackStatus&lt;&gt;"",INDEX('Arbitrage Payback Engine'!$Y$2:$Y$6,MATCH(PaybackStatus,'Arbitrage Payback Engine'!$X$2:$X$6,FALSE)),-1)))</f>
        <v>25</v>
      </c>
      <c r="V505" s="32">
        <f t="shared" si="134"/>
        <v>15</v>
      </c>
      <c r="X505" s="29">
        <f t="shared" si="135"/>
        <v>496</v>
      </c>
      <c r="Z505" s="30">
        <f t="shared" si="126"/>
        <v>13.587179838378304</v>
      </c>
      <c r="AA505" s="28" t="e">
        <f t="shared" si="127"/>
        <v>#N/A</v>
      </c>
      <c r="AB505" s="28" t="e">
        <f t="shared" si="128"/>
        <v>#VALUE!</v>
      </c>
      <c r="AC505" s="29">
        <f t="shared" si="129"/>
        <v>470.58823529411768</v>
      </c>
      <c r="AD505" s="28" t="e">
        <f t="shared" si="130"/>
        <v>#VALUE!</v>
      </c>
      <c r="AE505" s="28" t="e">
        <f t="shared" si="131"/>
        <v>#N/A</v>
      </c>
      <c r="AF505" s="28" t="e">
        <f t="shared" si="132"/>
        <v>#VALUE!</v>
      </c>
      <c r="AH505" s="31" t="e">
        <f t="shared" si="133"/>
        <v>#N/A</v>
      </c>
      <c r="AI505" s="25"/>
      <c r="AJ505" s="31"/>
    </row>
    <row r="506" spans="2:36" x14ac:dyDescent="0.25">
      <c r="B506" s="33">
        <f>'Arbitrage Payback Engine'!E506</f>
        <v>13.61457334611697</v>
      </c>
      <c r="C506" s="33">
        <f t="shared" si="119"/>
        <v>1000</v>
      </c>
      <c r="D506" s="33">
        <f>'Battery Pricing Model'!$C$17</f>
        <v>1000</v>
      </c>
      <c r="E506" s="33">
        <f t="shared" si="120"/>
        <v>999</v>
      </c>
      <c r="F506" s="33" t="str">
        <f>'Peak Models'!$B$4</f>
        <v>Default</v>
      </c>
      <c r="G506" s="33" t="e">
        <f>'Peak Models'!$Q$7</f>
        <v>#VALUE!</v>
      </c>
      <c r="H506" s="33">
        <f>'Peak Models'!$P$16</f>
        <v>1.5</v>
      </c>
      <c r="I506" s="33">
        <v>12</v>
      </c>
      <c r="J506" s="33" t="e">
        <f>'Peak Models'!$P$13</f>
        <v>#N/A</v>
      </c>
      <c r="K506" s="28" t="e">
        <f t="shared" si="121"/>
        <v>#VALUE!</v>
      </c>
      <c r="L506" s="28" t="e">
        <f>INDEX('Peak Models'!$P$34:$P$64, MATCH(TRUNC(B506, 0), 'Peak Models'!$O$34:$O$64, 0))</f>
        <v>#N/A</v>
      </c>
      <c r="M506" s="28">
        <f>'Peak Models'!$P$15*INDEX('Peak Models'!$Q$34:$Q$64, MATCH(TRUNC(B506, 0),'Peak Models'!$O$34:$O$64, 0))/'Profit per cycles Model'!$E$78</f>
        <v>6.48711079930567</v>
      </c>
      <c r="N506" s="28" t="e">
        <f t="shared" si="122"/>
        <v>#N/A</v>
      </c>
      <c r="O506" s="71" t="e">
        <f>AVERAGE($N$10:N506)</f>
        <v>#N/A</v>
      </c>
      <c r="P506" s="28" t="e">
        <f t="shared" si="123"/>
        <v>#N/A</v>
      </c>
      <c r="R506" s="28" t="e">
        <f t="shared" si="124"/>
        <v>#VALUE!</v>
      </c>
      <c r="S506" s="25"/>
      <c r="T506" s="25">
        <f t="shared" si="125"/>
        <v>15</v>
      </c>
      <c r="U506" s="33">
        <f>IF(PaybackCustom&gt;0, IF(PaybackCustom&lt;&gt;"Default", PaybackCustom, IF(PaybackStatus&lt;&gt;"",INDEX('Arbitrage Payback Engine'!$Y$2:$Y$6,MATCH(PaybackStatus,'Arbitrage Payback Engine'!$X$2:$X$6,FALSE)),-1)))</f>
        <v>25</v>
      </c>
      <c r="V506" s="32">
        <f t="shared" si="134"/>
        <v>15</v>
      </c>
      <c r="X506" s="29">
        <f t="shared" si="135"/>
        <v>497</v>
      </c>
      <c r="Z506" s="30">
        <f t="shared" si="126"/>
        <v>13.61457334611697</v>
      </c>
      <c r="AA506" s="28" t="e">
        <f t="shared" si="127"/>
        <v>#N/A</v>
      </c>
      <c r="AB506" s="28" t="e">
        <f t="shared" si="128"/>
        <v>#VALUE!</v>
      </c>
      <c r="AC506" s="29">
        <f t="shared" si="129"/>
        <v>471.53700189753317</v>
      </c>
      <c r="AD506" s="28" t="e">
        <f t="shared" si="130"/>
        <v>#VALUE!</v>
      </c>
      <c r="AE506" s="28" t="e">
        <f t="shared" si="131"/>
        <v>#N/A</v>
      </c>
      <c r="AF506" s="28" t="e">
        <f t="shared" si="132"/>
        <v>#VALUE!</v>
      </c>
      <c r="AH506" s="31" t="e">
        <f t="shared" si="133"/>
        <v>#N/A</v>
      </c>
      <c r="AI506" s="25"/>
      <c r="AJ506" s="31"/>
    </row>
    <row r="507" spans="2:36" x14ac:dyDescent="0.25">
      <c r="B507" s="33">
        <f>'Arbitrage Payback Engine'!E507</f>
        <v>13.641966853855635</v>
      </c>
      <c r="C507" s="33">
        <f t="shared" si="119"/>
        <v>1000</v>
      </c>
      <c r="D507" s="33">
        <f>'Battery Pricing Model'!$C$17</f>
        <v>1000</v>
      </c>
      <c r="E507" s="33">
        <f t="shared" si="120"/>
        <v>999</v>
      </c>
      <c r="F507" s="33" t="str">
        <f>'Peak Models'!$B$4</f>
        <v>Default</v>
      </c>
      <c r="G507" s="33" t="e">
        <f>'Peak Models'!$Q$7</f>
        <v>#VALUE!</v>
      </c>
      <c r="H507" s="33">
        <f>'Peak Models'!$P$16</f>
        <v>1.5</v>
      </c>
      <c r="I507" s="33">
        <v>12</v>
      </c>
      <c r="J507" s="33" t="e">
        <f>'Peak Models'!$P$13</f>
        <v>#N/A</v>
      </c>
      <c r="K507" s="28" t="e">
        <f t="shared" si="121"/>
        <v>#VALUE!</v>
      </c>
      <c r="L507" s="28" t="e">
        <f>INDEX('Peak Models'!$P$34:$P$64, MATCH(TRUNC(B507, 0), 'Peak Models'!$O$34:$O$64, 0))</f>
        <v>#N/A</v>
      </c>
      <c r="M507" s="28">
        <f>'Peak Models'!$P$15*INDEX('Peak Models'!$Q$34:$Q$64, MATCH(TRUNC(B507, 0),'Peak Models'!$O$34:$O$64, 0))/'Profit per cycles Model'!$E$78</f>
        <v>6.48711079930567</v>
      </c>
      <c r="N507" s="28" t="e">
        <f t="shared" si="122"/>
        <v>#N/A</v>
      </c>
      <c r="O507" s="71" t="e">
        <f>AVERAGE($N$10:N507)</f>
        <v>#N/A</v>
      </c>
      <c r="P507" s="28" t="e">
        <f t="shared" si="123"/>
        <v>#N/A</v>
      </c>
      <c r="R507" s="28" t="e">
        <f t="shared" si="124"/>
        <v>#VALUE!</v>
      </c>
      <c r="S507" s="25"/>
      <c r="T507" s="25">
        <f t="shared" si="125"/>
        <v>15</v>
      </c>
      <c r="U507" s="33">
        <f>IF(PaybackCustom&gt;0, IF(PaybackCustom&lt;&gt;"Default", PaybackCustom, IF(PaybackStatus&lt;&gt;"",INDEX('Arbitrage Payback Engine'!$Y$2:$Y$6,MATCH(PaybackStatus,'Arbitrage Payback Engine'!$X$2:$X$6,FALSE)),-1)))</f>
        <v>25</v>
      </c>
      <c r="V507" s="32">
        <f t="shared" si="134"/>
        <v>15</v>
      </c>
      <c r="X507" s="29">
        <f t="shared" si="135"/>
        <v>498</v>
      </c>
      <c r="Z507" s="30">
        <f t="shared" si="126"/>
        <v>13.641966853855635</v>
      </c>
      <c r="AA507" s="28" t="e">
        <f t="shared" si="127"/>
        <v>#N/A</v>
      </c>
      <c r="AB507" s="28" t="e">
        <f t="shared" si="128"/>
        <v>#VALUE!</v>
      </c>
      <c r="AC507" s="29">
        <f t="shared" si="129"/>
        <v>472.48576850094872</v>
      </c>
      <c r="AD507" s="28" t="e">
        <f t="shared" si="130"/>
        <v>#VALUE!</v>
      </c>
      <c r="AE507" s="28" t="e">
        <f t="shared" si="131"/>
        <v>#N/A</v>
      </c>
      <c r="AF507" s="28" t="e">
        <f t="shared" si="132"/>
        <v>#VALUE!</v>
      </c>
      <c r="AH507" s="31" t="e">
        <f t="shared" si="133"/>
        <v>#N/A</v>
      </c>
      <c r="AI507" s="25"/>
      <c r="AJ507" s="31"/>
    </row>
    <row r="508" spans="2:36" x14ac:dyDescent="0.25">
      <c r="B508" s="33">
        <f>'Arbitrage Payback Engine'!E508</f>
        <v>13.669360361594302</v>
      </c>
      <c r="C508" s="33">
        <f t="shared" si="119"/>
        <v>1000</v>
      </c>
      <c r="D508" s="33">
        <f>'Battery Pricing Model'!$C$17</f>
        <v>1000</v>
      </c>
      <c r="E508" s="33">
        <f t="shared" si="120"/>
        <v>999</v>
      </c>
      <c r="F508" s="33" t="str">
        <f>'Peak Models'!$B$4</f>
        <v>Default</v>
      </c>
      <c r="G508" s="33" t="e">
        <f>'Peak Models'!$Q$7</f>
        <v>#VALUE!</v>
      </c>
      <c r="H508" s="33">
        <f>'Peak Models'!$P$16</f>
        <v>1.5</v>
      </c>
      <c r="I508" s="33">
        <v>12</v>
      </c>
      <c r="J508" s="33" t="e">
        <f>'Peak Models'!$P$13</f>
        <v>#N/A</v>
      </c>
      <c r="K508" s="28" t="e">
        <f t="shared" si="121"/>
        <v>#VALUE!</v>
      </c>
      <c r="L508" s="28" t="e">
        <f>INDEX('Peak Models'!$P$34:$P$64, MATCH(TRUNC(B508, 0), 'Peak Models'!$O$34:$O$64, 0))</f>
        <v>#N/A</v>
      </c>
      <c r="M508" s="28">
        <f>'Peak Models'!$P$15*INDEX('Peak Models'!$Q$34:$Q$64, MATCH(TRUNC(B508, 0),'Peak Models'!$O$34:$O$64, 0))/'Profit per cycles Model'!$E$78</f>
        <v>6.48711079930567</v>
      </c>
      <c r="N508" s="28" t="e">
        <f t="shared" si="122"/>
        <v>#N/A</v>
      </c>
      <c r="O508" s="71" t="e">
        <f>AVERAGE($N$10:N508)</f>
        <v>#N/A</v>
      </c>
      <c r="P508" s="28" t="e">
        <f t="shared" si="123"/>
        <v>#N/A</v>
      </c>
      <c r="R508" s="28" t="e">
        <f t="shared" si="124"/>
        <v>#VALUE!</v>
      </c>
      <c r="S508" s="25"/>
      <c r="T508" s="25">
        <f t="shared" si="125"/>
        <v>15</v>
      </c>
      <c r="U508" s="33">
        <f>IF(PaybackCustom&gt;0, IF(PaybackCustom&lt;&gt;"Default", PaybackCustom, IF(PaybackStatus&lt;&gt;"",INDEX('Arbitrage Payback Engine'!$Y$2:$Y$6,MATCH(PaybackStatus,'Arbitrage Payback Engine'!$X$2:$X$6,FALSE)),-1)))</f>
        <v>25</v>
      </c>
      <c r="V508" s="32">
        <f t="shared" si="134"/>
        <v>15</v>
      </c>
      <c r="X508" s="29">
        <f t="shared" si="135"/>
        <v>499</v>
      </c>
      <c r="Z508" s="30">
        <f t="shared" si="126"/>
        <v>13.669360361594302</v>
      </c>
      <c r="AA508" s="28" t="e">
        <f t="shared" si="127"/>
        <v>#N/A</v>
      </c>
      <c r="AB508" s="28" t="e">
        <f t="shared" si="128"/>
        <v>#VALUE!</v>
      </c>
      <c r="AC508" s="29">
        <f t="shared" si="129"/>
        <v>473.43453510436439</v>
      </c>
      <c r="AD508" s="28" t="e">
        <f t="shared" si="130"/>
        <v>#VALUE!</v>
      </c>
      <c r="AE508" s="28" t="e">
        <f t="shared" si="131"/>
        <v>#N/A</v>
      </c>
      <c r="AF508" s="28" t="e">
        <f t="shared" si="132"/>
        <v>#VALUE!</v>
      </c>
      <c r="AH508" s="31" t="e">
        <f t="shared" si="133"/>
        <v>#N/A</v>
      </c>
      <c r="AI508" s="25"/>
      <c r="AJ508" s="31"/>
    </row>
    <row r="509" spans="2:36" x14ac:dyDescent="0.25">
      <c r="B509" s="33">
        <f>'Arbitrage Payback Engine'!E509</f>
        <v>13.696753869332968</v>
      </c>
      <c r="C509" s="33">
        <f t="shared" si="119"/>
        <v>1000</v>
      </c>
      <c r="D509" s="33">
        <f>'Battery Pricing Model'!$C$17</f>
        <v>1000</v>
      </c>
      <c r="E509" s="33">
        <f t="shared" si="120"/>
        <v>999</v>
      </c>
      <c r="F509" s="33" t="str">
        <f>'Peak Models'!$B$4</f>
        <v>Default</v>
      </c>
      <c r="G509" s="33" t="e">
        <f>'Peak Models'!$Q$7</f>
        <v>#VALUE!</v>
      </c>
      <c r="H509" s="33">
        <f>'Peak Models'!$P$16</f>
        <v>1.5</v>
      </c>
      <c r="I509" s="33">
        <v>12</v>
      </c>
      <c r="J509" s="33" t="e">
        <f>'Peak Models'!$P$13</f>
        <v>#N/A</v>
      </c>
      <c r="K509" s="28" t="e">
        <f t="shared" si="121"/>
        <v>#VALUE!</v>
      </c>
      <c r="L509" s="28" t="e">
        <f>INDEX('Peak Models'!$P$34:$P$64, MATCH(TRUNC(B509, 0), 'Peak Models'!$O$34:$O$64, 0))</f>
        <v>#N/A</v>
      </c>
      <c r="M509" s="28">
        <f>'Peak Models'!$P$15*INDEX('Peak Models'!$Q$34:$Q$64, MATCH(TRUNC(B509, 0),'Peak Models'!$O$34:$O$64, 0))/'Profit per cycles Model'!$E$78</f>
        <v>6.48711079930567</v>
      </c>
      <c r="N509" s="28" t="e">
        <f t="shared" si="122"/>
        <v>#N/A</v>
      </c>
      <c r="O509" s="71" t="e">
        <f>AVERAGE($N$10:N509)</f>
        <v>#N/A</v>
      </c>
      <c r="P509" s="28" t="e">
        <f t="shared" si="123"/>
        <v>#N/A</v>
      </c>
      <c r="R509" s="28" t="e">
        <f t="shared" si="124"/>
        <v>#VALUE!</v>
      </c>
      <c r="S509" s="25"/>
      <c r="T509" s="25">
        <f t="shared" si="125"/>
        <v>15</v>
      </c>
      <c r="U509" s="33">
        <f>IF(PaybackCustom&gt;0, IF(PaybackCustom&lt;&gt;"Default", PaybackCustom, IF(PaybackStatus&lt;&gt;"",INDEX('Arbitrage Payback Engine'!$Y$2:$Y$6,MATCH(PaybackStatus,'Arbitrage Payback Engine'!$X$2:$X$6,FALSE)),-1)))</f>
        <v>25</v>
      </c>
      <c r="V509" s="32">
        <f t="shared" si="134"/>
        <v>15</v>
      </c>
      <c r="X509" s="29">
        <f t="shared" si="135"/>
        <v>500</v>
      </c>
      <c r="Z509" s="30">
        <f t="shared" si="126"/>
        <v>13.696753869332968</v>
      </c>
      <c r="AA509" s="28" t="e">
        <f t="shared" si="127"/>
        <v>#N/A</v>
      </c>
      <c r="AB509" s="28" t="e">
        <f t="shared" si="128"/>
        <v>#VALUE!</v>
      </c>
      <c r="AC509" s="29">
        <f t="shared" si="129"/>
        <v>474.38330170777988</v>
      </c>
      <c r="AD509" s="28" t="e">
        <f t="shared" si="130"/>
        <v>#VALUE!</v>
      </c>
      <c r="AE509" s="28" t="e">
        <f t="shared" si="131"/>
        <v>#N/A</v>
      </c>
      <c r="AF509" s="28" t="e">
        <f t="shared" si="132"/>
        <v>#VALUE!</v>
      </c>
      <c r="AH509" s="31" t="e">
        <f t="shared" si="133"/>
        <v>#N/A</v>
      </c>
      <c r="AI509" s="25"/>
      <c r="AJ509" s="31"/>
    </row>
    <row r="510" spans="2:36" x14ac:dyDescent="0.25">
      <c r="B510" s="33">
        <f>'Arbitrage Payback Engine'!E510</f>
        <v>13.724147377071633</v>
      </c>
      <c r="C510" s="33">
        <f t="shared" si="119"/>
        <v>1000</v>
      </c>
      <c r="D510" s="33">
        <f>'Battery Pricing Model'!$C$17</f>
        <v>1000</v>
      </c>
      <c r="E510" s="33">
        <f t="shared" si="120"/>
        <v>999</v>
      </c>
      <c r="F510" s="33" t="str">
        <f>'Peak Models'!$B$4</f>
        <v>Default</v>
      </c>
      <c r="G510" s="33" t="e">
        <f>'Peak Models'!$Q$7</f>
        <v>#VALUE!</v>
      </c>
      <c r="H510" s="33">
        <f>'Peak Models'!$P$16</f>
        <v>1.5</v>
      </c>
      <c r="I510" s="33">
        <v>12</v>
      </c>
      <c r="J510" s="33" t="e">
        <f>'Peak Models'!$P$13</f>
        <v>#N/A</v>
      </c>
      <c r="K510" s="28" t="e">
        <f t="shared" si="121"/>
        <v>#VALUE!</v>
      </c>
      <c r="L510" s="28" t="e">
        <f>INDEX('Peak Models'!$P$34:$P$64, MATCH(TRUNC(B510, 0), 'Peak Models'!$O$34:$O$64, 0))</f>
        <v>#N/A</v>
      </c>
      <c r="M510" s="28">
        <f>'Peak Models'!$P$15*INDEX('Peak Models'!$Q$34:$Q$64, MATCH(TRUNC(B510, 0),'Peak Models'!$O$34:$O$64, 0))/'Profit per cycles Model'!$E$78</f>
        <v>6.48711079930567</v>
      </c>
      <c r="N510" s="28" t="e">
        <f t="shared" si="122"/>
        <v>#N/A</v>
      </c>
      <c r="O510" s="71" t="e">
        <f>AVERAGE($N$10:N510)</f>
        <v>#N/A</v>
      </c>
      <c r="P510" s="28" t="e">
        <f t="shared" si="123"/>
        <v>#N/A</v>
      </c>
      <c r="R510" s="28" t="e">
        <f t="shared" si="124"/>
        <v>#VALUE!</v>
      </c>
      <c r="S510" s="25"/>
      <c r="T510" s="25">
        <f t="shared" si="125"/>
        <v>15</v>
      </c>
      <c r="U510" s="33">
        <f>IF(PaybackCustom&gt;0, IF(PaybackCustom&lt;&gt;"Default", PaybackCustom, IF(PaybackStatus&lt;&gt;"",INDEX('Arbitrage Payback Engine'!$Y$2:$Y$6,MATCH(PaybackStatus,'Arbitrage Payback Engine'!$X$2:$X$6,FALSE)),-1)))</f>
        <v>25</v>
      </c>
      <c r="V510" s="32">
        <f t="shared" si="134"/>
        <v>15</v>
      </c>
      <c r="X510" s="29">
        <f t="shared" si="135"/>
        <v>501</v>
      </c>
      <c r="Z510" s="30">
        <f t="shared" si="126"/>
        <v>13.724147377071633</v>
      </c>
      <c r="AA510" s="28" t="e">
        <f t="shared" si="127"/>
        <v>#N/A</v>
      </c>
      <c r="AB510" s="28" t="e">
        <f t="shared" si="128"/>
        <v>#VALUE!</v>
      </c>
      <c r="AC510" s="29">
        <f t="shared" si="129"/>
        <v>475.33206831119543</v>
      </c>
      <c r="AD510" s="28" t="e">
        <f t="shared" si="130"/>
        <v>#VALUE!</v>
      </c>
      <c r="AE510" s="28" t="e">
        <f t="shared" si="131"/>
        <v>#N/A</v>
      </c>
      <c r="AF510" s="28" t="e">
        <f t="shared" si="132"/>
        <v>#VALUE!</v>
      </c>
      <c r="AH510" s="31" t="e">
        <f t="shared" si="133"/>
        <v>#N/A</v>
      </c>
      <c r="AI510" s="25"/>
      <c r="AJ510" s="31"/>
    </row>
    <row r="511" spans="2:36" x14ac:dyDescent="0.25">
      <c r="B511" s="33">
        <f>'Arbitrage Payback Engine'!E511</f>
        <v>13.7515408848103</v>
      </c>
      <c r="C511" s="33">
        <f t="shared" si="119"/>
        <v>1000</v>
      </c>
      <c r="D511" s="33">
        <f>'Battery Pricing Model'!$C$17</f>
        <v>1000</v>
      </c>
      <c r="E511" s="33">
        <f t="shared" si="120"/>
        <v>999</v>
      </c>
      <c r="F511" s="33" t="str">
        <f>'Peak Models'!$B$4</f>
        <v>Default</v>
      </c>
      <c r="G511" s="33" t="e">
        <f>'Peak Models'!$Q$7</f>
        <v>#VALUE!</v>
      </c>
      <c r="H511" s="33">
        <f>'Peak Models'!$P$16</f>
        <v>1.5</v>
      </c>
      <c r="I511" s="33">
        <v>12</v>
      </c>
      <c r="J511" s="33" t="e">
        <f>'Peak Models'!$P$13</f>
        <v>#N/A</v>
      </c>
      <c r="K511" s="28" t="e">
        <f t="shared" si="121"/>
        <v>#VALUE!</v>
      </c>
      <c r="L511" s="28" t="e">
        <f>INDEX('Peak Models'!$P$34:$P$64, MATCH(TRUNC(B511, 0), 'Peak Models'!$O$34:$O$64, 0))</f>
        <v>#N/A</v>
      </c>
      <c r="M511" s="28">
        <f>'Peak Models'!$P$15*INDEX('Peak Models'!$Q$34:$Q$64, MATCH(TRUNC(B511, 0),'Peak Models'!$O$34:$O$64, 0))/'Profit per cycles Model'!$E$78</f>
        <v>6.48711079930567</v>
      </c>
      <c r="N511" s="28" t="e">
        <f t="shared" si="122"/>
        <v>#N/A</v>
      </c>
      <c r="O511" s="71" t="e">
        <f>AVERAGE($N$10:N511)</f>
        <v>#N/A</v>
      </c>
      <c r="P511" s="28" t="e">
        <f t="shared" si="123"/>
        <v>#N/A</v>
      </c>
      <c r="R511" s="28" t="e">
        <f t="shared" si="124"/>
        <v>#VALUE!</v>
      </c>
      <c r="S511" s="25"/>
      <c r="T511" s="25">
        <f t="shared" si="125"/>
        <v>15</v>
      </c>
      <c r="U511" s="33">
        <f>IF(PaybackCustom&gt;0, IF(PaybackCustom&lt;&gt;"Default", PaybackCustom, IF(PaybackStatus&lt;&gt;"",INDEX('Arbitrage Payback Engine'!$Y$2:$Y$6,MATCH(PaybackStatus,'Arbitrage Payback Engine'!$X$2:$X$6,FALSE)),-1)))</f>
        <v>25</v>
      </c>
      <c r="V511" s="32">
        <f t="shared" si="134"/>
        <v>15</v>
      </c>
      <c r="X511" s="29">
        <f t="shared" si="135"/>
        <v>502</v>
      </c>
      <c r="Z511" s="30">
        <f t="shared" si="126"/>
        <v>13.7515408848103</v>
      </c>
      <c r="AA511" s="28" t="e">
        <f t="shared" si="127"/>
        <v>#N/A</v>
      </c>
      <c r="AB511" s="28" t="e">
        <f t="shared" si="128"/>
        <v>#VALUE!</v>
      </c>
      <c r="AC511" s="29">
        <f t="shared" si="129"/>
        <v>476.28083491461103</v>
      </c>
      <c r="AD511" s="28" t="e">
        <f t="shared" si="130"/>
        <v>#VALUE!</v>
      </c>
      <c r="AE511" s="28" t="e">
        <f t="shared" si="131"/>
        <v>#N/A</v>
      </c>
      <c r="AF511" s="28" t="e">
        <f t="shared" si="132"/>
        <v>#VALUE!</v>
      </c>
      <c r="AH511" s="31" t="e">
        <f t="shared" si="133"/>
        <v>#N/A</v>
      </c>
      <c r="AI511" s="25"/>
      <c r="AJ511" s="31"/>
    </row>
    <row r="512" spans="2:36" x14ac:dyDescent="0.25">
      <c r="B512" s="33">
        <f>'Arbitrage Payback Engine'!E512</f>
        <v>13.778934392548965</v>
      </c>
      <c r="C512" s="33">
        <f t="shared" si="119"/>
        <v>1000</v>
      </c>
      <c r="D512" s="33">
        <f>'Battery Pricing Model'!$C$17</f>
        <v>1000</v>
      </c>
      <c r="E512" s="33">
        <f t="shared" si="120"/>
        <v>999</v>
      </c>
      <c r="F512" s="33" t="str">
        <f>'Peak Models'!$B$4</f>
        <v>Default</v>
      </c>
      <c r="G512" s="33" t="e">
        <f>'Peak Models'!$Q$7</f>
        <v>#VALUE!</v>
      </c>
      <c r="H512" s="33">
        <f>'Peak Models'!$P$16</f>
        <v>1.5</v>
      </c>
      <c r="I512" s="33">
        <v>12</v>
      </c>
      <c r="J512" s="33" t="e">
        <f>'Peak Models'!$P$13</f>
        <v>#N/A</v>
      </c>
      <c r="K512" s="28" t="e">
        <f t="shared" si="121"/>
        <v>#VALUE!</v>
      </c>
      <c r="L512" s="28" t="e">
        <f>INDEX('Peak Models'!$P$34:$P$64, MATCH(TRUNC(B512, 0), 'Peak Models'!$O$34:$O$64, 0))</f>
        <v>#N/A</v>
      </c>
      <c r="M512" s="28">
        <f>'Peak Models'!$P$15*INDEX('Peak Models'!$Q$34:$Q$64, MATCH(TRUNC(B512, 0),'Peak Models'!$O$34:$O$64, 0))/'Profit per cycles Model'!$E$78</f>
        <v>6.48711079930567</v>
      </c>
      <c r="N512" s="28" t="e">
        <f t="shared" si="122"/>
        <v>#N/A</v>
      </c>
      <c r="O512" s="71" t="e">
        <f>AVERAGE($N$10:N512)</f>
        <v>#N/A</v>
      </c>
      <c r="P512" s="28" t="e">
        <f t="shared" si="123"/>
        <v>#N/A</v>
      </c>
      <c r="R512" s="28" t="e">
        <f t="shared" si="124"/>
        <v>#VALUE!</v>
      </c>
      <c r="S512" s="25"/>
      <c r="T512" s="25">
        <f t="shared" si="125"/>
        <v>15</v>
      </c>
      <c r="U512" s="33">
        <f>IF(PaybackCustom&gt;0, IF(PaybackCustom&lt;&gt;"Default", PaybackCustom, IF(PaybackStatus&lt;&gt;"",INDEX('Arbitrage Payback Engine'!$Y$2:$Y$6,MATCH(PaybackStatus,'Arbitrage Payback Engine'!$X$2:$X$6,FALSE)),-1)))</f>
        <v>25</v>
      </c>
      <c r="V512" s="32">
        <f t="shared" si="134"/>
        <v>15</v>
      </c>
      <c r="X512" s="29">
        <f t="shared" si="135"/>
        <v>503</v>
      </c>
      <c r="Z512" s="30">
        <f t="shared" si="126"/>
        <v>13.778934392548965</v>
      </c>
      <c r="AA512" s="28" t="e">
        <f t="shared" si="127"/>
        <v>#N/A</v>
      </c>
      <c r="AB512" s="28" t="e">
        <f t="shared" si="128"/>
        <v>#VALUE!</v>
      </c>
      <c r="AC512" s="29">
        <f t="shared" si="129"/>
        <v>477.22960151802653</v>
      </c>
      <c r="AD512" s="28" t="e">
        <f t="shared" si="130"/>
        <v>#VALUE!</v>
      </c>
      <c r="AE512" s="28" t="e">
        <f t="shared" si="131"/>
        <v>#N/A</v>
      </c>
      <c r="AF512" s="28" t="e">
        <f t="shared" si="132"/>
        <v>#VALUE!</v>
      </c>
      <c r="AH512" s="31" t="e">
        <f t="shared" si="133"/>
        <v>#N/A</v>
      </c>
      <c r="AI512" s="25"/>
      <c r="AJ512" s="31"/>
    </row>
    <row r="513" spans="2:36" x14ac:dyDescent="0.25">
      <c r="B513" s="33">
        <f>'Arbitrage Payback Engine'!E513</f>
        <v>13.806327900287631</v>
      </c>
      <c r="C513" s="33">
        <f t="shared" si="119"/>
        <v>1000</v>
      </c>
      <c r="D513" s="33">
        <f>'Battery Pricing Model'!$C$17</f>
        <v>1000</v>
      </c>
      <c r="E513" s="33">
        <f t="shared" si="120"/>
        <v>999</v>
      </c>
      <c r="F513" s="33" t="str">
        <f>'Peak Models'!$B$4</f>
        <v>Default</v>
      </c>
      <c r="G513" s="33" t="e">
        <f>'Peak Models'!$Q$7</f>
        <v>#VALUE!</v>
      </c>
      <c r="H513" s="33">
        <f>'Peak Models'!$P$16</f>
        <v>1.5</v>
      </c>
      <c r="I513" s="33">
        <v>12</v>
      </c>
      <c r="J513" s="33" t="e">
        <f>'Peak Models'!$P$13</f>
        <v>#N/A</v>
      </c>
      <c r="K513" s="28" t="e">
        <f t="shared" si="121"/>
        <v>#VALUE!</v>
      </c>
      <c r="L513" s="28" t="e">
        <f>INDEX('Peak Models'!$P$34:$P$64, MATCH(TRUNC(B513, 0), 'Peak Models'!$O$34:$O$64, 0))</f>
        <v>#N/A</v>
      </c>
      <c r="M513" s="28">
        <f>'Peak Models'!$P$15*INDEX('Peak Models'!$Q$34:$Q$64, MATCH(TRUNC(B513, 0),'Peak Models'!$O$34:$O$64, 0))/'Profit per cycles Model'!$E$78</f>
        <v>6.48711079930567</v>
      </c>
      <c r="N513" s="28" t="e">
        <f t="shared" si="122"/>
        <v>#N/A</v>
      </c>
      <c r="O513" s="71" t="e">
        <f>AVERAGE($N$10:N513)</f>
        <v>#N/A</v>
      </c>
      <c r="P513" s="28" t="e">
        <f t="shared" si="123"/>
        <v>#N/A</v>
      </c>
      <c r="R513" s="28" t="e">
        <f t="shared" si="124"/>
        <v>#VALUE!</v>
      </c>
      <c r="S513" s="25"/>
      <c r="T513" s="25">
        <f t="shared" si="125"/>
        <v>15</v>
      </c>
      <c r="U513" s="33">
        <f>IF(PaybackCustom&gt;0, IF(PaybackCustom&lt;&gt;"Default", PaybackCustom, IF(PaybackStatus&lt;&gt;"",INDEX('Arbitrage Payback Engine'!$Y$2:$Y$6,MATCH(PaybackStatus,'Arbitrage Payback Engine'!$X$2:$X$6,FALSE)),-1)))</f>
        <v>25</v>
      </c>
      <c r="V513" s="32">
        <f t="shared" si="134"/>
        <v>15</v>
      </c>
      <c r="X513" s="29">
        <f t="shared" si="135"/>
        <v>504</v>
      </c>
      <c r="Z513" s="30">
        <f t="shared" si="126"/>
        <v>13.806327900287631</v>
      </c>
      <c r="AA513" s="28" t="e">
        <f t="shared" si="127"/>
        <v>#N/A</v>
      </c>
      <c r="AB513" s="28" t="e">
        <f t="shared" si="128"/>
        <v>#VALUE!</v>
      </c>
      <c r="AC513" s="29">
        <f t="shared" si="129"/>
        <v>478.17836812144213</v>
      </c>
      <c r="AD513" s="28" t="e">
        <f t="shared" si="130"/>
        <v>#VALUE!</v>
      </c>
      <c r="AE513" s="28" t="e">
        <f t="shared" si="131"/>
        <v>#N/A</v>
      </c>
      <c r="AF513" s="28" t="e">
        <f t="shared" si="132"/>
        <v>#VALUE!</v>
      </c>
      <c r="AH513" s="31" t="e">
        <f t="shared" si="133"/>
        <v>#N/A</v>
      </c>
      <c r="AI513" s="25"/>
      <c r="AJ513" s="31"/>
    </row>
    <row r="514" spans="2:36" x14ac:dyDescent="0.25">
      <c r="B514" s="33">
        <f>'Arbitrage Payback Engine'!E514</f>
        <v>13.833721408026298</v>
      </c>
      <c r="C514" s="33">
        <f t="shared" si="119"/>
        <v>1000</v>
      </c>
      <c r="D514" s="33">
        <f>'Battery Pricing Model'!$C$17</f>
        <v>1000</v>
      </c>
      <c r="E514" s="33">
        <f t="shared" si="120"/>
        <v>999</v>
      </c>
      <c r="F514" s="33" t="str">
        <f>'Peak Models'!$B$4</f>
        <v>Default</v>
      </c>
      <c r="G514" s="33" t="e">
        <f>'Peak Models'!$Q$7</f>
        <v>#VALUE!</v>
      </c>
      <c r="H514" s="33">
        <f>'Peak Models'!$P$16</f>
        <v>1.5</v>
      </c>
      <c r="I514" s="33">
        <v>12</v>
      </c>
      <c r="J514" s="33" t="e">
        <f>'Peak Models'!$P$13</f>
        <v>#N/A</v>
      </c>
      <c r="K514" s="28" t="e">
        <f t="shared" si="121"/>
        <v>#VALUE!</v>
      </c>
      <c r="L514" s="28" t="e">
        <f>INDEX('Peak Models'!$P$34:$P$64, MATCH(TRUNC(B514, 0), 'Peak Models'!$O$34:$O$64, 0))</f>
        <v>#N/A</v>
      </c>
      <c r="M514" s="28">
        <f>'Peak Models'!$P$15*INDEX('Peak Models'!$Q$34:$Q$64, MATCH(TRUNC(B514, 0),'Peak Models'!$O$34:$O$64, 0))/'Profit per cycles Model'!$E$78</f>
        <v>6.48711079930567</v>
      </c>
      <c r="N514" s="28" t="e">
        <f t="shared" si="122"/>
        <v>#N/A</v>
      </c>
      <c r="O514" s="71" t="e">
        <f>AVERAGE($N$10:N514)</f>
        <v>#N/A</v>
      </c>
      <c r="P514" s="28" t="e">
        <f t="shared" si="123"/>
        <v>#N/A</v>
      </c>
      <c r="R514" s="28" t="e">
        <f t="shared" si="124"/>
        <v>#VALUE!</v>
      </c>
      <c r="S514" s="25"/>
      <c r="T514" s="25">
        <f t="shared" si="125"/>
        <v>15</v>
      </c>
      <c r="U514" s="33">
        <f>IF(PaybackCustom&gt;0, IF(PaybackCustom&lt;&gt;"Default", PaybackCustom, IF(PaybackStatus&lt;&gt;"",INDEX('Arbitrage Payback Engine'!$Y$2:$Y$6,MATCH(PaybackStatus,'Arbitrage Payback Engine'!$X$2:$X$6,FALSE)),-1)))</f>
        <v>25</v>
      </c>
      <c r="V514" s="32">
        <f t="shared" si="134"/>
        <v>15</v>
      </c>
      <c r="X514" s="29">
        <f t="shared" si="135"/>
        <v>505</v>
      </c>
      <c r="Z514" s="30">
        <f t="shared" si="126"/>
        <v>13.833721408026298</v>
      </c>
      <c r="AA514" s="28" t="e">
        <f t="shared" si="127"/>
        <v>#N/A</v>
      </c>
      <c r="AB514" s="28" t="e">
        <f t="shared" si="128"/>
        <v>#VALUE!</v>
      </c>
      <c r="AC514" s="29">
        <f t="shared" si="129"/>
        <v>479.12713472485774</v>
      </c>
      <c r="AD514" s="28" t="e">
        <f t="shared" si="130"/>
        <v>#VALUE!</v>
      </c>
      <c r="AE514" s="28" t="e">
        <f t="shared" si="131"/>
        <v>#N/A</v>
      </c>
      <c r="AF514" s="28" t="e">
        <f t="shared" si="132"/>
        <v>#VALUE!</v>
      </c>
      <c r="AH514" s="31" t="e">
        <f t="shared" si="133"/>
        <v>#N/A</v>
      </c>
      <c r="AI514" s="25"/>
      <c r="AJ514" s="31"/>
    </row>
    <row r="515" spans="2:36" x14ac:dyDescent="0.25">
      <c r="B515" s="33">
        <f>'Arbitrage Payback Engine'!E515</f>
        <v>13.861114915764963</v>
      </c>
      <c r="C515" s="33">
        <f t="shared" si="119"/>
        <v>1000</v>
      </c>
      <c r="D515" s="33">
        <f>'Battery Pricing Model'!$C$17</f>
        <v>1000</v>
      </c>
      <c r="E515" s="33">
        <f t="shared" si="120"/>
        <v>999</v>
      </c>
      <c r="F515" s="33" t="str">
        <f>'Peak Models'!$B$4</f>
        <v>Default</v>
      </c>
      <c r="G515" s="33" t="e">
        <f>'Peak Models'!$Q$7</f>
        <v>#VALUE!</v>
      </c>
      <c r="H515" s="33">
        <f>'Peak Models'!$P$16</f>
        <v>1.5</v>
      </c>
      <c r="I515" s="33">
        <v>12</v>
      </c>
      <c r="J515" s="33" t="e">
        <f>'Peak Models'!$P$13</f>
        <v>#N/A</v>
      </c>
      <c r="K515" s="28" t="e">
        <f t="shared" si="121"/>
        <v>#VALUE!</v>
      </c>
      <c r="L515" s="28" t="e">
        <f>INDEX('Peak Models'!$P$34:$P$64, MATCH(TRUNC(B515, 0), 'Peak Models'!$O$34:$O$64, 0))</f>
        <v>#N/A</v>
      </c>
      <c r="M515" s="28">
        <f>'Peak Models'!$P$15*INDEX('Peak Models'!$Q$34:$Q$64, MATCH(TRUNC(B515, 0),'Peak Models'!$O$34:$O$64, 0))/'Profit per cycles Model'!$E$78</f>
        <v>6.48711079930567</v>
      </c>
      <c r="N515" s="28" t="e">
        <f t="shared" si="122"/>
        <v>#N/A</v>
      </c>
      <c r="O515" s="71" t="e">
        <f>AVERAGE($N$10:N515)</f>
        <v>#N/A</v>
      </c>
      <c r="P515" s="28" t="e">
        <f t="shared" si="123"/>
        <v>#N/A</v>
      </c>
      <c r="R515" s="28" t="e">
        <f t="shared" si="124"/>
        <v>#VALUE!</v>
      </c>
      <c r="S515" s="25"/>
      <c r="T515" s="25">
        <f t="shared" si="125"/>
        <v>15</v>
      </c>
      <c r="U515" s="33">
        <f>IF(PaybackCustom&gt;0, IF(PaybackCustom&lt;&gt;"Default", PaybackCustom, IF(PaybackStatus&lt;&gt;"",INDEX('Arbitrage Payback Engine'!$Y$2:$Y$6,MATCH(PaybackStatus,'Arbitrage Payback Engine'!$X$2:$X$6,FALSE)),-1)))</f>
        <v>25</v>
      </c>
      <c r="V515" s="32">
        <f t="shared" si="134"/>
        <v>15</v>
      </c>
      <c r="X515" s="29">
        <f t="shared" si="135"/>
        <v>506</v>
      </c>
      <c r="Z515" s="30">
        <f t="shared" si="126"/>
        <v>13.861114915764963</v>
      </c>
      <c r="AA515" s="28" t="e">
        <f t="shared" si="127"/>
        <v>#N/A</v>
      </c>
      <c r="AB515" s="28" t="e">
        <f t="shared" si="128"/>
        <v>#VALUE!</v>
      </c>
      <c r="AC515" s="29">
        <f t="shared" si="129"/>
        <v>480.07590132827323</v>
      </c>
      <c r="AD515" s="28" t="e">
        <f t="shared" si="130"/>
        <v>#VALUE!</v>
      </c>
      <c r="AE515" s="28" t="e">
        <f t="shared" si="131"/>
        <v>#N/A</v>
      </c>
      <c r="AF515" s="28" t="e">
        <f t="shared" si="132"/>
        <v>#VALUE!</v>
      </c>
      <c r="AH515" s="31" t="e">
        <f t="shared" si="133"/>
        <v>#N/A</v>
      </c>
      <c r="AI515" s="25"/>
      <c r="AJ515" s="31"/>
    </row>
    <row r="516" spans="2:36" x14ac:dyDescent="0.25">
      <c r="B516" s="33">
        <f>'Arbitrage Payback Engine'!E516</f>
        <v>13.888508423503628</v>
      </c>
      <c r="C516" s="33">
        <f t="shared" si="119"/>
        <v>1000</v>
      </c>
      <c r="D516" s="33">
        <f>'Battery Pricing Model'!$C$17</f>
        <v>1000</v>
      </c>
      <c r="E516" s="33">
        <f t="shared" si="120"/>
        <v>999</v>
      </c>
      <c r="F516" s="33" t="str">
        <f>'Peak Models'!$B$4</f>
        <v>Default</v>
      </c>
      <c r="G516" s="33" t="e">
        <f>'Peak Models'!$Q$7</f>
        <v>#VALUE!</v>
      </c>
      <c r="H516" s="33">
        <f>'Peak Models'!$P$16</f>
        <v>1.5</v>
      </c>
      <c r="I516" s="33">
        <v>12</v>
      </c>
      <c r="J516" s="33" t="e">
        <f>'Peak Models'!$P$13</f>
        <v>#N/A</v>
      </c>
      <c r="K516" s="28" t="e">
        <f t="shared" si="121"/>
        <v>#VALUE!</v>
      </c>
      <c r="L516" s="28" t="e">
        <f>INDEX('Peak Models'!$P$34:$P$64, MATCH(TRUNC(B516, 0), 'Peak Models'!$O$34:$O$64, 0))</f>
        <v>#N/A</v>
      </c>
      <c r="M516" s="28">
        <f>'Peak Models'!$P$15*INDEX('Peak Models'!$Q$34:$Q$64, MATCH(TRUNC(B516, 0),'Peak Models'!$O$34:$O$64, 0))/'Profit per cycles Model'!$E$78</f>
        <v>6.48711079930567</v>
      </c>
      <c r="N516" s="28" t="e">
        <f t="shared" si="122"/>
        <v>#N/A</v>
      </c>
      <c r="O516" s="71" t="e">
        <f>AVERAGE($N$10:N516)</f>
        <v>#N/A</v>
      </c>
      <c r="P516" s="28" t="e">
        <f t="shared" si="123"/>
        <v>#N/A</v>
      </c>
      <c r="R516" s="28" t="e">
        <f t="shared" si="124"/>
        <v>#VALUE!</v>
      </c>
      <c r="S516" s="25"/>
      <c r="T516" s="25">
        <f t="shared" si="125"/>
        <v>15</v>
      </c>
      <c r="U516" s="33">
        <f>IF(PaybackCustom&gt;0, IF(PaybackCustom&lt;&gt;"Default", PaybackCustom, IF(PaybackStatus&lt;&gt;"",INDEX('Arbitrage Payback Engine'!$Y$2:$Y$6,MATCH(PaybackStatus,'Arbitrage Payback Engine'!$X$2:$X$6,FALSE)),-1)))</f>
        <v>25</v>
      </c>
      <c r="V516" s="32">
        <f t="shared" si="134"/>
        <v>15</v>
      </c>
      <c r="X516" s="29">
        <f t="shared" si="135"/>
        <v>507</v>
      </c>
      <c r="Z516" s="30">
        <f t="shared" si="126"/>
        <v>13.888508423503628</v>
      </c>
      <c r="AA516" s="28" t="e">
        <f t="shared" si="127"/>
        <v>#N/A</v>
      </c>
      <c r="AB516" s="28" t="e">
        <f t="shared" si="128"/>
        <v>#VALUE!</v>
      </c>
      <c r="AC516" s="29">
        <f t="shared" si="129"/>
        <v>481.02466793168878</v>
      </c>
      <c r="AD516" s="28" t="e">
        <f t="shared" si="130"/>
        <v>#VALUE!</v>
      </c>
      <c r="AE516" s="28" t="e">
        <f t="shared" si="131"/>
        <v>#N/A</v>
      </c>
      <c r="AF516" s="28" t="e">
        <f t="shared" si="132"/>
        <v>#VALUE!</v>
      </c>
      <c r="AH516" s="31" t="e">
        <f t="shared" si="133"/>
        <v>#N/A</v>
      </c>
      <c r="AI516" s="25"/>
      <c r="AJ516" s="31"/>
    </row>
    <row r="517" spans="2:36" x14ac:dyDescent="0.25">
      <c r="B517" s="33">
        <f>'Arbitrage Payback Engine'!E517</f>
        <v>13.915901931242296</v>
      </c>
      <c r="C517" s="33">
        <f t="shared" si="119"/>
        <v>1000</v>
      </c>
      <c r="D517" s="33">
        <f>'Battery Pricing Model'!$C$17</f>
        <v>1000</v>
      </c>
      <c r="E517" s="33">
        <f t="shared" si="120"/>
        <v>999</v>
      </c>
      <c r="F517" s="33" t="str">
        <f>'Peak Models'!$B$4</f>
        <v>Default</v>
      </c>
      <c r="G517" s="33" t="e">
        <f>'Peak Models'!$Q$7</f>
        <v>#VALUE!</v>
      </c>
      <c r="H517" s="33">
        <f>'Peak Models'!$P$16</f>
        <v>1.5</v>
      </c>
      <c r="I517" s="33">
        <v>12</v>
      </c>
      <c r="J517" s="33" t="e">
        <f>'Peak Models'!$P$13</f>
        <v>#N/A</v>
      </c>
      <c r="K517" s="28" t="e">
        <f t="shared" si="121"/>
        <v>#VALUE!</v>
      </c>
      <c r="L517" s="28" t="e">
        <f>INDEX('Peak Models'!$P$34:$P$64, MATCH(TRUNC(B517, 0), 'Peak Models'!$O$34:$O$64, 0))</f>
        <v>#N/A</v>
      </c>
      <c r="M517" s="28">
        <f>'Peak Models'!$P$15*INDEX('Peak Models'!$Q$34:$Q$64, MATCH(TRUNC(B517, 0),'Peak Models'!$O$34:$O$64, 0))/'Profit per cycles Model'!$E$78</f>
        <v>6.48711079930567</v>
      </c>
      <c r="N517" s="28" t="e">
        <f t="shared" si="122"/>
        <v>#N/A</v>
      </c>
      <c r="O517" s="71" t="e">
        <f>AVERAGE($N$10:N517)</f>
        <v>#N/A</v>
      </c>
      <c r="P517" s="28" t="e">
        <f t="shared" si="123"/>
        <v>#N/A</v>
      </c>
      <c r="R517" s="28" t="e">
        <f t="shared" si="124"/>
        <v>#VALUE!</v>
      </c>
      <c r="S517" s="25"/>
      <c r="T517" s="25">
        <f t="shared" si="125"/>
        <v>15</v>
      </c>
      <c r="U517" s="33">
        <f>IF(PaybackCustom&gt;0, IF(PaybackCustom&lt;&gt;"Default", PaybackCustom, IF(PaybackStatus&lt;&gt;"",INDEX('Arbitrage Payback Engine'!$Y$2:$Y$6,MATCH(PaybackStatus,'Arbitrage Payback Engine'!$X$2:$X$6,FALSE)),-1)))</f>
        <v>25</v>
      </c>
      <c r="V517" s="32">
        <f t="shared" si="134"/>
        <v>15</v>
      </c>
      <c r="X517" s="29">
        <f t="shared" si="135"/>
        <v>508</v>
      </c>
      <c r="Z517" s="30">
        <f t="shared" si="126"/>
        <v>13.915901931242296</v>
      </c>
      <c r="AA517" s="28" t="e">
        <f t="shared" si="127"/>
        <v>#N/A</v>
      </c>
      <c r="AB517" s="28" t="e">
        <f t="shared" si="128"/>
        <v>#VALUE!</v>
      </c>
      <c r="AC517" s="29">
        <f t="shared" si="129"/>
        <v>481.97343453510439</v>
      </c>
      <c r="AD517" s="28" t="e">
        <f t="shared" si="130"/>
        <v>#VALUE!</v>
      </c>
      <c r="AE517" s="28" t="e">
        <f t="shared" si="131"/>
        <v>#N/A</v>
      </c>
      <c r="AF517" s="28" t="e">
        <f t="shared" si="132"/>
        <v>#VALUE!</v>
      </c>
      <c r="AH517" s="31" t="e">
        <f t="shared" si="133"/>
        <v>#N/A</v>
      </c>
      <c r="AI517" s="25"/>
      <c r="AJ517" s="31"/>
    </row>
    <row r="518" spans="2:36" x14ac:dyDescent="0.25">
      <c r="B518" s="33">
        <f>'Arbitrage Payback Engine'!E518</f>
        <v>13.943295438980961</v>
      </c>
      <c r="C518" s="33">
        <f t="shared" si="119"/>
        <v>1000</v>
      </c>
      <c r="D518" s="33">
        <f>'Battery Pricing Model'!$C$17</f>
        <v>1000</v>
      </c>
      <c r="E518" s="33">
        <f t="shared" si="120"/>
        <v>999</v>
      </c>
      <c r="F518" s="33" t="str">
        <f>'Peak Models'!$B$4</f>
        <v>Default</v>
      </c>
      <c r="G518" s="33" t="e">
        <f>'Peak Models'!$Q$7</f>
        <v>#VALUE!</v>
      </c>
      <c r="H518" s="33">
        <f>'Peak Models'!$P$16</f>
        <v>1.5</v>
      </c>
      <c r="I518" s="33">
        <v>12</v>
      </c>
      <c r="J518" s="33" t="e">
        <f>'Peak Models'!$P$13</f>
        <v>#N/A</v>
      </c>
      <c r="K518" s="28" t="e">
        <f t="shared" si="121"/>
        <v>#VALUE!</v>
      </c>
      <c r="L518" s="28" t="e">
        <f>INDEX('Peak Models'!$P$34:$P$64, MATCH(TRUNC(B518, 0), 'Peak Models'!$O$34:$O$64, 0))</f>
        <v>#N/A</v>
      </c>
      <c r="M518" s="28">
        <f>'Peak Models'!$P$15*INDEX('Peak Models'!$Q$34:$Q$64, MATCH(TRUNC(B518, 0),'Peak Models'!$O$34:$O$64, 0))/'Profit per cycles Model'!$E$78</f>
        <v>6.48711079930567</v>
      </c>
      <c r="N518" s="28" t="e">
        <f t="shared" si="122"/>
        <v>#N/A</v>
      </c>
      <c r="O518" s="71" t="e">
        <f>AVERAGE($N$10:N518)</f>
        <v>#N/A</v>
      </c>
      <c r="P518" s="28" t="e">
        <f t="shared" si="123"/>
        <v>#N/A</v>
      </c>
      <c r="R518" s="28" t="e">
        <f t="shared" si="124"/>
        <v>#VALUE!</v>
      </c>
      <c r="S518" s="25"/>
      <c r="T518" s="25">
        <f t="shared" si="125"/>
        <v>15</v>
      </c>
      <c r="U518" s="33">
        <f>IF(PaybackCustom&gt;0, IF(PaybackCustom&lt;&gt;"Default", PaybackCustom, IF(PaybackStatus&lt;&gt;"",INDEX('Arbitrage Payback Engine'!$Y$2:$Y$6,MATCH(PaybackStatus,'Arbitrage Payback Engine'!$X$2:$X$6,FALSE)),-1)))</f>
        <v>25</v>
      </c>
      <c r="V518" s="32">
        <f t="shared" si="134"/>
        <v>15</v>
      </c>
      <c r="X518" s="29">
        <f t="shared" si="135"/>
        <v>509</v>
      </c>
      <c r="Z518" s="30">
        <f t="shared" si="126"/>
        <v>13.943295438980961</v>
      </c>
      <c r="AA518" s="28" t="e">
        <f t="shared" si="127"/>
        <v>#N/A</v>
      </c>
      <c r="AB518" s="28" t="e">
        <f t="shared" si="128"/>
        <v>#VALUE!</v>
      </c>
      <c r="AC518" s="29">
        <f t="shared" si="129"/>
        <v>482.92220113851988</v>
      </c>
      <c r="AD518" s="28" t="e">
        <f t="shared" si="130"/>
        <v>#VALUE!</v>
      </c>
      <c r="AE518" s="28" t="e">
        <f t="shared" si="131"/>
        <v>#N/A</v>
      </c>
      <c r="AF518" s="28" t="e">
        <f t="shared" si="132"/>
        <v>#VALUE!</v>
      </c>
      <c r="AH518" s="31" t="e">
        <f t="shared" si="133"/>
        <v>#N/A</v>
      </c>
      <c r="AI518" s="25"/>
      <c r="AJ518" s="31"/>
    </row>
    <row r="519" spans="2:36" x14ac:dyDescent="0.25">
      <c r="B519" s="33">
        <f>'Arbitrage Payback Engine'!E519</f>
        <v>13.970688946719626</v>
      </c>
      <c r="C519" s="33">
        <f t="shared" si="119"/>
        <v>1000</v>
      </c>
      <c r="D519" s="33">
        <f>'Battery Pricing Model'!$C$17</f>
        <v>1000</v>
      </c>
      <c r="E519" s="33">
        <f t="shared" si="120"/>
        <v>999</v>
      </c>
      <c r="F519" s="33" t="str">
        <f>'Peak Models'!$B$4</f>
        <v>Default</v>
      </c>
      <c r="G519" s="33" t="e">
        <f>'Peak Models'!$Q$7</f>
        <v>#VALUE!</v>
      </c>
      <c r="H519" s="33">
        <f>'Peak Models'!$P$16</f>
        <v>1.5</v>
      </c>
      <c r="I519" s="33">
        <v>12</v>
      </c>
      <c r="J519" s="33" t="e">
        <f>'Peak Models'!$P$13</f>
        <v>#N/A</v>
      </c>
      <c r="K519" s="28" t="e">
        <f t="shared" si="121"/>
        <v>#VALUE!</v>
      </c>
      <c r="L519" s="28" t="e">
        <f>INDEX('Peak Models'!$P$34:$P$64, MATCH(TRUNC(B519, 0), 'Peak Models'!$O$34:$O$64, 0))</f>
        <v>#N/A</v>
      </c>
      <c r="M519" s="28">
        <f>'Peak Models'!$P$15*INDEX('Peak Models'!$Q$34:$Q$64, MATCH(TRUNC(B519, 0),'Peak Models'!$O$34:$O$64, 0))/'Profit per cycles Model'!$E$78</f>
        <v>6.48711079930567</v>
      </c>
      <c r="N519" s="28" t="e">
        <f t="shared" si="122"/>
        <v>#N/A</v>
      </c>
      <c r="O519" s="71" t="e">
        <f>AVERAGE($N$10:N519)</f>
        <v>#N/A</v>
      </c>
      <c r="P519" s="28" t="e">
        <f t="shared" si="123"/>
        <v>#N/A</v>
      </c>
      <c r="R519" s="28" t="e">
        <f t="shared" si="124"/>
        <v>#VALUE!</v>
      </c>
      <c r="S519" s="25"/>
      <c r="T519" s="25">
        <f t="shared" si="125"/>
        <v>15</v>
      </c>
      <c r="U519" s="33">
        <f>IF(PaybackCustom&gt;0, IF(PaybackCustom&lt;&gt;"Default", PaybackCustom, IF(PaybackStatus&lt;&gt;"",INDEX('Arbitrage Payback Engine'!$Y$2:$Y$6,MATCH(PaybackStatus,'Arbitrage Payback Engine'!$X$2:$X$6,FALSE)),-1)))</f>
        <v>25</v>
      </c>
      <c r="V519" s="32">
        <f t="shared" si="134"/>
        <v>15</v>
      </c>
      <c r="X519" s="29">
        <f t="shared" si="135"/>
        <v>510</v>
      </c>
      <c r="Z519" s="30">
        <f t="shared" si="126"/>
        <v>13.970688946719626</v>
      </c>
      <c r="AA519" s="28" t="e">
        <f t="shared" si="127"/>
        <v>#N/A</v>
      </c>
      <c r="AB519" s="28" t="e">
        <f t="shared" si="128"/>
        <v>#VALUE!</v>
      </c>
      <c r="AC519" s="29">
        <f t="shared" si="129"/>
        <v>483.87096774193549</v>
      </c>
      <c r="AD519" s="28" t="e">
        <f t="shared" si="130"/>
        <v>#VALUE!</v>
      </c>
      <c r="AE519" s="28" t="e">
        <f t="shared" si="131"/>
        <v>#N/A</v>
      </c>
      <c r="AF519" s="28" t="e">
        <f t="shared" si="132"/>
        <v>#VALUE!</v>
      </c>
      <c r="AH519" s="31" t="e">
        <f t="shared" si="133"/>
        <v>#N/A</v>
      </c>
      <c r="AI519" s="25"/>
      <c r="AJ519" s="31"/>
    </row>
    <row r="520" spans="2:36" x14ac:dyDescent="0.25">
      <c r="B520" s="33">
        <f>'Arbitrage Payback Engine'!E520</f>
        <v>13.998082454458293</v>
      </c>
      <c r="C520" s="33">
        <f t="shared" si="119"/>
        <v>1000</v>
      </c>
      <c r="D520" s="33">
        <f>'Battery Pricing Model'!$C$17</f>
        <v>1000</v>
      </c>
      <c r="E520" s="33">
        <f t="shared" si="120"/>
        <v>999</v>
      </c>
      <c r="F520" s="33" t="str">
        <f>'Peak Models'!$B$4</f>
        <v>Default</v>
      </c>
      <c r="G520" s="33" t="e">
        <f>'Peak Models'!$Q$7</f>
        <v>#VALUE!</v>
      </c>
      <c r="H520" s="33">
        <f>'Peak Models'!$P$16</f>
        <v>1.5</v>
      </c>
      <c r="I520" s="33">
        <v>12</v>
      </c>
      <c r="J520" s="33" t="e">
        <f>'Peak Models'!$P$13</f>
        <v>#N/A</v>
      </c>
      <c r="K520" s="28" t="e">
        <f t="shared" si="121"/>
        <v>#VALUE!</v>
      </c>
      <c r="L520" s="28" t="e">
        <f>INDEX('Peak Models'!$P$34:$P$64, MATCH(TRUNC(B520, 0), 'Peak Models'!$O$34:$O$64, 0))</f>
        <v>#N/A</v>
      </c>
      <c r="M520" s="28">
        <f>'Peak Models'!$P$15*INDEX('Peak Models'!$Q$34:$Q$64, MATCH(TRUNC(B520, 0),'Peak Models'!$O$34:$O$64, 0))/'Profit per cycles Model'!$E$78</f>
        <v>6.48711079930567</v>
      </c>
      <c r="N520" s="28" t="e">
        <f t="shared" si="122"/>
        <v>#N/A</v>
      </c>
      <c r="O520" s="71" t="e">
        <f>AVERAGE($N$10:N520)</f>
        <v>#N/A</v>
      </c>
      <c r="P520" s="28" t="e">
        <f t="shared" si="123"/>
        <v>#N/A</v>
      </c>
      <c r="R520" s="28" t="e">
        <f t="shared" si="124"/>
        <v>#VALUE!</v>
      </c>
      <c r="S520" s="25"/>
      <c r="T520" s="25">
        <f t="shared" si="125"/>
        <v>15</v>
      </c>
      <c r="U520" s="33">
        <f>IF(PaybackCustom&gt;0, IF(PaybackCustom&lt;&gt;"Default", PaybackCustom, IF(PaybackStatus&lt;&gt;"",INDEX('Arbitrage Payback Engine'!$Y$2:$Y$6,MATCH(PaybackStatus,'Arbitrage Payback Engine'!$X$2:$X$6,FALSE)),-1)))</f>
        <v>25</v>
      </c>
      <c r="V520" s="32">
        <f t="shared" si="134"/>
        <v>15</v>
      </c>
      <c r="X520" s="29">
        <f t="shared" si="135"/>
        <v>511</v>
      </c>
      <c r="Z520" s="30">
        <f t="shared" si="126"/>
        <v>13.998082454458293</v>
      </c>
      <c r="AA520" s="28" t="e">
        <f t="shared" si="127"/>
        <v>#N/A</v>
      </c>
      <c r="AB520" s="28" t="e">
        <f t="shared" si="128"/>
        <v>#VALUE!</v>
      </c>
      <c r="AC520" s="29">
        <f t="shared" si="129"/>
        <v>484.81973434535109</v>
      </c>
      <c r="AD520" s="28" t="e">
        <f t="shared" si="130"/>
        <v>#VALUE!</v>
      </c>
      <c r="AE520" s="28" t="e">
        <f t="shared" si="131"/>
        <v>#N/A</v>
      </c>
      <c r="AF520" s="28" t="e">
        <f t="shared" si="132"/>
        <v>#VALUE!</v>
      </c>
      <c r="AH520" s="31" t="e">
        <f t="shared" si="133"/>
        <v>#N/A</v>
      </c>
      <c r="AI520" s="25"/>
      <c r="AJ520" s="31"/>
    </row>
    <row r="521" spans="2:36" x14ac:dyDescent="0.25">
      <c r="B521" s="33">
        <f>'Arbitrage Payback Engine'!E521</f>
        <v>14.025475962196959</v>
      </c>
      <c r="C521" s="33">
        <f t="shared" si="119"/>
        <v>1000</v>
      </c>
      <c r="D521" s="33">
        <f>'Battery Pricing Model'!$C$17</f>
        <v>1000</v>
      </c>
      <c r="E521" s="33">
        <f t="shared" si="120"/>
        <v>999</v>
      </c>
      <c r="F521" s="33" t="str">
        <f>'Peak Models'!$B$4</f>
        <v>Default</v>
      </c>
      <c r="G521" s="33" t="e">
        <f>'Peak Models'!$Q$7</f>
        <v>#VALUE!</v>
      </c>
      <c r="H521" s="33">
        <f>'Peak Models'!$P$16</f>
        <v>1.5</v>
      </c>
      <c r="I521" s="33">
        <v>12</v>
      </c>
      <c r="J521" s="33" t="e">
        <f>'Peak Models'!$P$13</f>
        <v>#N/A</v>
      </c>
      <c r="K521" s="28" t="e">
        <f t="shared" si="121"/>
        <v>#VALUE!</v>
      </c>
      <c r="L521" s="28" t="e">
        <f>INDEX('Peak Models'!$P$34:$P$64, MATCH(TRUNC(B521, 0), 'Peak Models'!$O$34:$O$64, 0))</f>
        <v>#N/A</v>
      </c>
      <c r="M521" s="28">
        <f>'Peak Models'!$P$15*INDEX('Peak Models'!$Q$34:$Q$64, MATCH(TRUNC(B521, 0),'Peak Models'!$O$34:$O$64, 0))/'Profit per cycles Model'!$E$78</f>
        <v>6.649288569288311</v>
      </c>
      <c r="N521" s="28" t="e">
        <f t="shared" si="122"/>
        <v>#N/A</v>
      </c>
      <c r="O521" s="71" t="e">
        <f>AVERAGE($N$10:N521)</f>
        <v>#N/A</v>
      </c>
      <c r="P521" s="28" t="e">
        <f t="shared" si="123"/>
        <v>#N/A</v>
      </c>
      <c r="R521" s="28" t="e">
        <f t="shared" si="124"/>
        <v>#VALUE!</v>
      </c>
      <c r="S521" s="25"/>
      <c r="T521" s="25">
        <f t="shared" si="125"/>
        <v>15</v>
      </c>
      <c r="U521" s="33">
        <f>IF(PaybackCustom&gt;0, IF(PaybackCustom&lt;&gt;"Default", PaybackCustom, IF(PaybackStatus&lt;&gt;"",INDEX('Arbitrage Payback Engine'!$Y$2:$Y$6,MATCH(PaybackStatus,'Arbitrage Payback Engine'!$X$2:$X$6,FALSE)),-1)))</f>
        <v>25</v>
      </c>
      <c r="V521" s="32">
        <f t="shared" si="134"/>
        <v>15</v>
      </c>
      <c r="X521" s="29">
        <f t="shared" si="135"/>
        <v>512</v>
      </c>
      <c r="Z521" s="30">
        <f t="shared" si="126"/>
        <v>14.025475962196959</v>
      </c>
      <c r="AA521" s="28" t="e">
        <f t="shared" si="127"/>
        <v>#N/A</v>
      </c>
      <c r="AB521" s="28" t="e">
        <f t="shared" si="128"/>
        <v>#VALUE!</v>
      </c>
      <c r="AC521" s="29">
        <f t="shared" si="129"/>
        <v>485.76850094876659</v>
      </c>
      <c r="AD521" s="28" t="e">
        <f t="shared" si="130"/>
        <v>#VALUE!</v>
      </c>
      <c r="AE521" s="28" t="e">
        <f t="shared" si="131"/>
        <v>#N/A</v>
      </c>
      <c r="AF521" s="28" t="e">
        <f t="shared" si="132"/>
        <v>#VALUE!</v>
      </c>
      <c r="AH521" s="31" t="e">
        <f t="shared" si="133"/>
        <v>#N/A</v>
      </c>
      <c r="AI521" s="25"/>
      <c r="AJ521" s="31"/>
    </row>
    <row r="522" spans="2:36" x14ac:dyDescent="0.25">
      <c r="B522" s="33">
        <f>'Arbitrage Payback Engine'!E522</f>
        <v>14.052869469935624</v>
      </c>
      <c r="C522" s="33">
        <f t="shared" ref="C522:C585" si="136">IF(OR($E$6="None", $E$6=0), D522, E522)</f>
        <v>1000</v>
      </c>
      <c r="D522" s="33">
        <f>'Battery Pricing Model'!$C$17</f>
        <v>1000</v>
      </c>
      <c r="E522" s="33">
        <f t="shared" ref="E522:E585" si="137">IF(OR($E$6="None", $E$6=0), 999, $D522*(E$6))</f>
        <v>999</v>
      </c>
      <c r="F522" s="33" t="str">
        <f>'Peak Models'!$B$4</f>
        <v>Default</v>
      </c>
      <c r="G522" s="33" t="e">
        <f>'Peak Models'!$Q$7</f>
        <v>#VALUE!</v>
      </c>
      <c r="H522" s="33">
        <f>'Peak Models'!$P$16</f>
        <v>1.5</v>
      </c>
      <c r="I522" s="33">
        <v>12</v>
      </c>
      <c r="J522" s="33" t="e">
        <f>'Peak Models'!$P$13</f>
        <v>#N/A</v>
      </c>
      <c r="K522" s="28" t="e">
        <f t="shared" ref="K522:K585" si="138">C522*G522/(H522*B522)</f>
        <v>#VALUE!</v>
      </c>
      <c r="L522" s="28" t="e">
        <f>INDEX('Peak Models'!$P$34:$P$64, MATCH(TRUNC(B522, 0), 'Peak Models'!$O$34:$O$64, 0))</f>
        <v>#N/A</v>
      </c>
      <c r="M522" s="28">
        <f>'Peak Models'!$P$15*INDEX('Peak Models'!$Q$34:$Q$64, MATCH(TRUNC(B522, 0),'Peak Models'!$O$34:$O$64, 0))/'Profit per cycles Model'!$E$78</f>
        <v>6.649288569288311</v>
      </c>
      <c r="N522" s="28" t="e">
        <f t="shared" ref="N522:N585" si="139">L522-M522</f>
        <v>#N/A</v>
      </c>
      <c r="O522" s="71" t="e">
        <f>AVERAGE($N$10:N522)</f>
        <v>#N/A</v>
      </c>
      <c r="P522" s="28" t="e">
        <f t="shared" ref="P522:P585" si="140">IF(O522-K522&lt;0, 999, O522-K522)</f>
        <v>#N/A</v>
      </c>
      <c r="R522" s="28" t="e">
        <f t="shared" ref="R522:R585" si="141">IF(ISNA(INDEX($K$10:$K$1063,MATCH(T522,$B$10:$B$1063,1))),-1,INDEX($K$10:$K$1063,MATCH(T522,$B$10:$B$1063,1)))</f>
        <v>#VALUE!</v>
      </c>
      <c r="S522" s="25"/>
      <c r="T522" s="25">
        <f t="shared" ref="T522:T585" si="142">IF( AND(U522&gt;0, V522&gt;0), IF(U522&lt;V522, U522, V522),  IF(U522&gt;0, U522, IF(V522&gt;0, V522, -1)) )</f>
        <v>15</v>
      </c>
      <c r="U522" s="33">
        <f>IF(PaybackCustom&gt;0, IF(PaybackCustom&lt;&gt;"Default", PaybackCustom, IF(PaybackStatus&lt;&gt;"",INDEX('Arbitrage Payback Engine'!$Y$2:$Y$6,MATCH(PaybackStatus,'Arbitrage Payback Engine'!$X$2:$X$6,FALSE)),-1)))</f>
        <v>25</v>
      </c>
      <c r="V522" s="32">
        <f t="shared" si="134"/>
        <v>15</v>
      </c>
      <c r="X522" s="29">
        <f t="shared" si="135"/>
        <v>513</v>
      </c>
      <c r="Z522" s="30">
        <f t="shared" ref="Z522:Z585" si="143">B522</f>
        <v>14.052869469935624</v>
      </c>
      <c r="AA522" s="28" t="e">
        <f t="shared" ref="AA522:AA585" si="144">N522</f>
        <v>#N/A</v>
      </c>
      <c r="AB522" s="28" t="e">
        <f t="shared" ref="AB522:AB585" si="145">R522</f>
        <v>#VALUE!</v>
      </c>
      <c r="AC522" s="29">
        <f t="shared" ref="AC522:AC585" si="146">$AB$2*(Z522-$AB$3)/($AB$4-$AB$3)</f>
        <v>486.71726755218214</v>
      </c>
      <c r="AD522" s="28" t="e">
        <f t="shared" ref="AD522:AD585" si="147">MIN(AB522, AA522)</f>
        <v>#VALUE!</v>
      </c>
      <c r="AE522" s="28" t="e">
        <f t="shared" ref="AE522:AE585" si="148">IF(AND(Z522&lt;T522, AA522&gt;AB522), AA522-AB522, 0)</f>
        <v>#N/A</v>
      </c>
      <c r="AF522" s="28" t="e">
        <f t="shared" ref="AF522:AF585" si="149">IF(AND(Z522&lt;T522, AB522&gt;AA522), AB522-AA522, 0)</f>
        <v>#VALUE!</v>
      </c>
      <c r="AH522" s="31" t="e">
        <f t="shared" ref="AH522:AH585" si="150">(O522-K522)/K522</f>
        <v>#N/A</v>
      </c>
      <c r="AI522" s="25"/>
      <c r="AJ522" s="31"/>
    </row>
    <row r="523" spans="2:36" x14ac:dyDescent="0.25">
      <c r="B523" s="33">
        <f>'Arbitrage Payback Engine'!E523</f>
        <v>14.080262977674291</v>
      </c>
      <c r="C523" s="33">
        <f t="shared" si="136"/>
        <v>1000</v>
      </c>
      <c r="D523" s="33">
        <f>'Battery Pricing Model'!$C$17</f>
        <v>1000</v>
      </c>
      <c r="E523" s="33">
        <f t="shared" si="137"/>
        <v>999</v>
      </c>
      <c r="F523" s="33" t="str">
        <f>'Peak Models'!$B$4</f>
        <v>Default</v>
      </c>
      <c r="G523" s="33" t="e">
        <f>'Peak Models'!$Q$7</f>
        <v>#VALUE!</v>
      </c>
      <c r="H523" s="33">
        <f>'Peak Models'!$P$16</f>
        <v>1.5</v>
      </c>
      <c r="I523" s="33">
        <v>12</v>
      </c>
      <c r="J523" s="33" t="e">
        <f>'Peak Models'!$P$13</f>
        <v>#N/A</v>
      </c>
      <c r="K523" s="28" t="e">
        <f t="shared" si="138"/>
        <v>#VALUE!</v>
      </c>
      <c r="L523" s="28" t="e">
        <f>INDEX('Peak Models'!$P$34:$P$64, MATCH(TRUNC(B523, 0), 'Peak Models'!$O$34:$O$64, 0))</f>
        <v>#N/A</v>
      </c>
      <c r="M523" s="28">
        <f>'Peak Models'!$P$15*INDEX('Peak Models'!$Q$34:$Q$64, MATCH(TRUNC(B523, 0),'Peak Models'!$O$34:$O$64, 0))/'Profit per cycles Model'!$E$78</f>
        <v>6.649288569288311</v>
      </c>
      <c r="N523" s="28" t="e">
        <f t="shared" si="139"/>
        <v>#N/A</v>
      </c>
      <c r="O523" s="71" t="e">
        <f>AVERAGE($N$10:N523)</f>
        <v>#N/A</v>
      </c>
      <c r="P523" s="28" t="e">
        <f t="shared" si="140"/>
        <v>#N/A</v>
      </c>
      <c r="R523" s="28" t="e">
        <f t="shared" si="141"/>
        <v>#VALUE!</v>
      </c>
      <c r="S523" s="25"/>
      <c r="T523" s="25">
        <f t="shared" si="142"/>
        <v>15</v>
      </c>
      <c r="U523" s="33">
        <f>IF(PaybackCustom&gt;0, IF(PaybackCustom&lt;&gt;"Default", PaybackCustom, IF(PaybackStatus&lt;&gt;"",INDEX('Arbitrage Payback Engine'!$Y$2:$Y$6,MATCH(PaybackStatus,'Arbitrage Payback Engine'!$X$2:$X$6,FALSE)),-1)))</f>
        <v>25</v>
      </c>
      <c r="V523" s="32">
        <f t="shared" ref="V523:V586" si="151">IF(ISNUMBER($L$5), $L$5, 15)</f>
        <v>15</v>
      </c>
      <c r="X523" s="29">
        <f t="shared" ref="X523:X586" si="152">X522+1</f>
        <v>514</v>
      </c>
      <c r="Z523" s="30">
        <f t="shared" si="143"/>
        <v>14.080262977674291</v>
      </c>
      <c r="AA523" s="28" t="e">
        <f t="shared" si="144"/>
        <v>#N/A</v>
      </c>
      <c r="AB523" s="28" t="e">
        <f t="shared" si="145"/>
        <v>#VALUE!</v>
      </c>
      <c r="AC523" s="29">
        <f t="shared" si="146"/>
        <v>487.66603415559774</v>
      </c>
      <c r="AD523" s="28" t="e">
        <f t="shared" si="147"/>
        <v>#VALUE!</v>
      </c>
      <c r="AE523" s="28" t="e">
        <f t="shared" si="148"/>
        <v>#N/A</v>
      </c>
      <c r="AF523" s="28" t="e">
        <f t="shared" si="149"/>
        <v>#VALUE!</v>
      </c>
      <c r="AH523" s="31" t="e">
        <f t="shared" si="150"/>
        <v>#N/A</v>
      </c>
      <c r="AI523" s="25"/>
      <c r="AJ523" s="31"/>
    </row>
    <row r="524" spans="2:36" x14ac:dyDescent="0.25">
      <c r="B524" s="33">
        <f>'Arbitrage Payback Engine'!E524</f>
        <v>14.107656485412956</v>
      </c>
      <c r="C524" s="33">
        <f t="shared" si="136"/>
        <v>1000</v>
      </c>
      <c r="D524" s="33">
        <f>'Battery Pricing Model'!$C$17</f>
        <v>1000</v>
      </c>
      <c r="E524" s="33">
        <f t="shared" si="137"/>
        <v>999</v>
      </c>
      <c r="F524" s="33" t="str">
        <f>'Peak Models'!$B$4</f>
        <v>Default</v>
      </c>
      <c r="G524" s="33" t="e">
        <f>'Peak Models'!$Q$7</f>
        <v>#VALUE!</v>
      </c>
      <c r="H524" s="33">
        <f>'Peak Models'!$P$16</f>
        <v>1.5</v>
      </c>
      <c r="I524" s="33">
        <v>12</v>
      </c>
      <c r="J524" s="33" t="e">
        <f>'Peak Models'!$P$13</f>
        <v>#N/A</v>
      </c>
      <c r="K524" s="28" t="e">
        <f t="shared" si="138"/>
        <v>#VALUE!</v>
      </c>
      <c r="L524" s="28" t="e">
        <f>INDEX('Peak Models'!$P$34:$P$64, MATCH(TRUNC(B524, 0), 'Peak Models'!$O$34:$O$64, 0))</f>
        <v>#N/A</v>
      </c>
      <c r="M524" s="28">
        <f>'Peak Models'!$P$15*INDEX('Peak Models'!$Q$34:$Q$64, MATCH(TRUNC(B524, 0),'Peak Models'!$O$34:$O$64, 0))/'Profit per cycles Model'!$E$78</f>
        <v>6.649288569288311</v>
      </c>
      <c r="N524" s="28" t="e">
        <f t="shared" si="139"/>
        <v>#N/A</v>
      </c>
      <c r="O524" s="71" t="e">
        <f>AVERAGE($N$10:N524)</f>
        <v>#N/A</v>
      </c>
      <c r="P524" s="28" t="e">
        <f t="shared" si="140"/>
        <v>#N/A</v>
      </c>
      <c r="R524" s="28" t="e">
        <f t="shared" si="141"/>
        <v>#VALUE!</v>
      </c>
      <c r="S524" s="25"/>
      <c r="T524" s="25">
        <f t="shared" si="142"/>
        <v>15</v>
      </c>
      <c r="U524" s="33">
        <f>IF(PaybackCustom&gt;0, IF(PaybackCustom&lt;&gt;"Default", PaybackCustom, IF(PaybackStatus&lt;&gt;"",INDEX('Arbitrage Payback Engine'!$Y$2:$Y$6,MATCH(PaybackStatus,'Arbitrage Payback Engine'!$X$2:$X$6,FALSE)),-1)))</f>
        <v>25</v>
      </c>
      <c r="V524" s="32">
        <f t="shared" si="151"/>
        <v>15</v>
      </c>
      <c r="X524" s="29">
        <f t="shared" si="152"/>
        <v>515</v>
      </c>
      <c r="Z524" s="30">
        <f t="shared" si="143"/>
        <v>14.107656485412956</v>
      </c>
      <c r="AA524" s="28" t="e">
        <f t="shared" si="144"/>
        <v>#N/A</v>
      </c>
      <c r="AB524" s="28" t="e">
        <f t="shared" si="145"/>
        <v>#VALUE!</v>
      </c>
      <c r="AC524" s="29">
        <f t="shared" si="146"/>
        <v>488.61480075901324</v>
      </c>
      <c r="AD524" s="28" t="e">
        <f t="shared" si="147"/>
        <v>#VALUE!</v>
      </c>
      <c r="AE524" s="28" t="e">
        <f t="shared" si="148"/>
        <v>#N/A</v>
      </c>
      <c r="AF524" s="28" t="e">
        <f t="shared" si="149"/>
        <v>#VALUE!</v>
      </c>
      <c r="AH524" s="31" t="e">
        <f t="shared" si="150"/>
        <v>#N/A</v>
      </c>
      <c r="AI524" s="25"/>
      <c r="AJ524" s="31"/>
    </row>
    <row r="525" spans="2:36" x14ac:dyDescent="0.25">
      <c r="B525" s="33">
        <f>'Arbitrage Payback Engine'!E525</f>
        <v>14.135049993151622</v>
      </c>
      <c r="C525" s="33">
        <f t="shared" si="136"/>
        <v>1000</v>
      </c>
      <c r="D525" s="33">
        <f>'Battery Pricing Model'!$C$17</f>
        <v>1000</v>
      </c>
      <c r="E525" s="33">
        <f t="shared" si="137"/>
        <v>999</v>
      </c>
      <c r="F525" s="33" t="str">
        <f>'Peak Models'!$B$4</f>
        <v>Default</v>
      </c>
      <c r="G525" s="33" t="e">
        <f>'Peak Models'!$Q$7</f>
        <v>#VALUE!</v>
      </c>
      <c r="H525" s="33">
        <f>'Peak Models'!$P$16</f>
        <v>1.5</v>
      </c>
      <c r="I525" s="33">
        <v>12</v>
      </c>
      <c r="J525" s="33" t="e">
        <f>'Peak Models'!$P$13</f>
        <v>#N/A</v>
      </c>
      <c r="K525" s="28" t="e">
        <f t="shared" si="138"/>
        <v>#VALUE!</v>
      </c>
      <c r="L525" s="28" t="e">
        <f>INDEX('Peak Models'!$P$34:$P$64, MATCH(TRUNC(B525, 0), 'Peak Models'!$O$34:$O$64, 0))</f>
        <v>#N/A</v>
      </c>
      <c r="M525" s="28">
        <f>'Peak Models'!$P$15*INDEX('Peak Models'!$Q$34:$Q$64, MATCH(TRUNC(B525, 0),'Peak Models'!$O$34:$O$64, 0))/'Profit per cycles Model'!$E$78</f>
        <v>6.649288569288311</v>
      </c>
      <c r="N525" s="28" t="e">
        <f t="shared" si="139"/>
        <v>#N/A</v>
      </c>
      <c r="O525" s="71" t="e">
        <f>AVERAGE($N$10:N525)</f>
        <v>#N/A</v>
      </c>
      <c r="P525" s="28" t="e">
        <f t="shared" si="140"/>
        <v>#N/A</v>
      </c>
      <c r="R525" s="28" t="e">
        <f t="shared" si="141"/>
        <v>#VALUE!</v>
      </c>
      <c r="S525" s="25"/>
      <c r="T525" s="25">
        <f t="shared" si="142"/>
        <v>15</v>
      </c>
      <c r="U525" s="33">
        <f>IF(PaybackCustom&gt;0, IF(PaybackCustom&lt;&gt;"Default", PaybackCustom, IF(PaybackStatus&lt;&gt;"",INDEX('Arbitrage Payback Engine'!$Y$2:$Y$6,MATCH(PaybackStatus,'Arbitrage Payback Engine'!$X$2:$X$6,FALSE)),-1)))</f>
        <v>25</v>
      </c>
      <c r="V525" s="32">
        <f t="shared" si="151"/>
        <v>15</v>
      </c>
      <c r="X525" s="29">
        <f t="shared" si="152"/>
        <v>516</v>
      </c>
      <c r="Z525" s="30">
        <f t="shared" si="143"/>
        <v>14.135049993151622</v>
      </c>
      <c r="AA525" s="28" t="e">
        <f t="shared" si="144"/>
        <v>#N/A</v>
      </c>
      <c r="AB525" s="28" t="e">
        <f t="shared" si="145"/>
        <v>#VALUE!</v>
      </c>
      <c r="AC525" s="29">
        <f t="shared" si="146"/>
        <v>489.56356736242884</v>
      </c>
      <c r="AD525" s="28" t="e">
        <f t="shared" si="147"/>
        <v>#VALUE!</v>
      </c>
      <c r="AE525" s="28" t="e">
        <f t="shared" si="148"/>
        <v>#N/A</v>
      </c>
      <c r="AF525" s="28" t="e">
        <f t="shared" si="149"/>
        <v>#VALUE!</v>
      </c>
      <c r="AH525" s="31" t="e">
        <f t="shared" si="150"/>
        <v>#N/A</v>
      </c>
      <c r="AI525" s="25"/>
      <c r="AJ525" s="31"/>
    </row>
    <row r="526" spans="2:36" x14ac:dyDescent="0.25">
      <c r="B526" s="33">
        <f>'Arbitrage Payback Engine'!E526</f>
        <v>14.162443500890289</v>
      </c>
      <c r="C526" s="33">
        <f t="shared" si="136"/>
        <v>1000</v>
      </c>
      <c r="D526" s="33">
        <f>'Battery Pricing Model'!$C$17</f>
        <v>1000</v>
      </c>
      <c r="E526" s="33">
        <f t="shared" si="137"/>
        <v>999</v>
      </c>
      <c r="F526" s="33" t="str">
        <f>'Peak Models'!$B$4</f>
        <v>Default</v>
      </c>
      <c r="G526" s="33" t="e">
        <f>'Peak Models'!$Q$7</f>
        <v>#VALUE!</v>
      </c>
      <c r="H526" s="33">
        <f>'Peak Models'!$P$16</f>
        <v>1.5</v>
      </c>
      <c r="I526" s="33">
        <v>12</v>
      </c>
      <c r="J526" s="33" t="e">
        <f>'Peak Models'!$P$13</f>
        <v>#N/A</v>
      </c>
      <c r="K526" s="28" t="e">
        <f t="shared" si="138"/>
        <v>#VALUE!</v>
      </c>
      <c r="L526" s="28" t="e">
        <f>INDEX('Peak Models'!$P$34:$P$64, MATCH(TRUNC(B526, 0), 'Peak Models'!$O$34:$O$64, 0))</f>
        <v>#N/A</v>
      </c>
      <c r="M526" s="28">
        <f>'Peak Models'!$P$15*INDEX('Peak Models'!$Q$34:$Q$64, MATCH(TRUNC(B526, 0),'Peak Models'!$O$34:$O$64, 0))/'Profit per cycles Model'!$E$78</f>
        <v>6.649288569288311</v>
      </c>
      <c r="N526" s="28" t="e">
        <f t="shared" si="139"/>
        <v>#N/A</v>
      </c>
      <c r="O526" s="71" t="e">
        <f>AVERAGE($N$10:N526)</f>
        <v>#N/A</v>
      </c>
      <c r="P526" s="28" t="e">
        <f t="shared" si="140"/>
        <v>#N/A</v>
      </c>
      <c r="R526" s="28" t="e">
        <f t="shared" si="141"/>
        <v>#VALUE!</v>
      </c>
      <c r="S526" s="25"/>
      <c r="T526" s="25">
        <f t="shared" si="142"/>
        <v>15</v>
      </c>
      <c r="U526" s="33">
        <f>IF(PaybackCustom&gt;0, IF(PaybackCustom&lt;&gt;"Default", PaybackCustom, IF(PaybackStatus&lt;&gt;"",INDEX('Arbitrage Payback Engine'!$Y$2:$Y$6,MATCH(PaybackStatus,'Arbitrage Payback Engine'!$X$2:$X$6,FALSE)),-1)))</f>
        <v>25</v>
      </c>
      <c r="V526" s="32">
        <f t="shared" si="151"/>
        <v>15</v>
      </c>
      <c r="X526" s="29">
        <f t="shared" si="152"/>
        <v>517</v>
      </c>
      <c r="Z526" s="30">
        <f t="shared" si="143"/>
        <v>14.162443500890289</v>
      </c>
      <c r="AA526" s="28" t="e">
        <f t="shared" si="144"/>
        <v>#N/A</v>
      </c>
      <c r="AB526" s="28" t="e">
        <f t="shared" si="145"/>
        <v>#VALUE!</v>
      </c>
      <c r="AC526" s="29">
        <f t="shared" si="146"/>
        <v>490.51233396584445</v>
      </c>
      <c r="AD526" s="28" t="e">
        <f t="shared" si="147"/>
        <v>#VALUE!</v>
      </c>
      <c r="AE526" s="28" t="e">
        <f t="shared" si="148"/>
        <v>#N/A</v>
      </c>
      <c r="AF526" s="28" t="e">
        <f t="shared" si="149"/>
        <v>#VALUE!</v>
      </c>
      <c r="AH526" s="31" t="e">
        <f t="shared" si="150"/>
        <v>#N/A</v>
      </c>
      <c r="AI526" s="25"/>
      <c r="AJ526" s="31"/>
    </row>
    <row r="527" spans="2:36" x14ac:dyDescent="0.25">
      <c r="B527" s="33">
        <f>'Arbitrage Payback Engine'!E527</f>
        <v>14.189837008628954</v>
      </c>
      <c r="C527" s="33">
        <f t="shared" si="136"/>
        <v>1000</v>
      </c>
      <c r="D527" s="33">
        <f>'Battery Pricing Model'!$C$17</f>
        <v>1000</v>
      </c>
      <c r="E527" s="33">
        <f t="shared" si="137"/>
        <v>999</v>
      </c>
      <c r="F527" s="33" t="str">
        <f>'Peak Models'!$B$4</f>
        <v>Default</v>
      </c>
      <c r="G527" s="33" t="e">
        <f>'Peak Models'!$Q$7</f>
        <v>#VALUE!</v>
      </c>
      <c r="H527" s="33">
        <f>'Peak Models'!$P$16</f>
        <v>1.5</v>
      </c>
      <c r="I527" s="33">
        <v>12</v>
      </c>
      <c r="J527" s="33" t="e">
        <f>'Peak Models'!$P$13</f>
        <v>#N/A</v>
      </c>
      <c r="K527" s="28" t="e">
        <f t="shared" si="138"/>
        <v>#VALUE!</v>
      </c>
      <c r="L527" s="28" t="e">
        <f>INDEX('Peak Models'!$P$34:$P$64, MATCH(TRUNC(B527, 0), 'Peak Models'!$O$34:$O$64, 0))</f>
        <v>#N/A</v>
      </c>
      <c r="M527" s="28">
        <f>'Peak Models'!$P$15*INDEX('Peak Models'!$Q$34:$Q$64, MATCH(TRUNC(B527, 0),'Peak Models'!$O$34:$O$64, 0))/'Profit per cycles Model'!$E$78</f>
        <v>6.649288569288311</v>
      </c>
      <c r="N527" s="28" t="e">
        <f t="shared" si="139"/>
        <v>#N/A</v>
      </c>
      <c r="O527" s="71" t="e">
        <f>AVERAGE($N$10:N527)</f>
        <v>#N/A</v>
      </c>
      <c r="P527" s="28" t="e">
        <f t="shared" si="140"/>
        <v>#N/A</v>
      </c>
      <c r="R527" s="28" t="e">
        <f t="shared" si="141"/>
        <v>#VALUE!</v>
      </c>
      <c r="S527" s="25"/>
      <c r="T527" s="25">
        <f t="shared" si="142"/>
        <v>15</v>
      </c>
      <c r="U527" s="33">
        <f>IF(PaybackCustom&gt;0, IF(PaybackCustom&lt;&gt;"Default", PaybackCustom, IF(PaybackStatus&lt;&gt;"",INDEX('Arbitrage Payback Engine'!$Y$2:$Y$6,MATCH(PaybackStatus,'Arbitrage Payback Engine'!$X$2:$X$6,FALSE)),-1)))</f>
        <v>25</v>
      </c>
      <c r="V527" s="32">
        <f t="shared" si="151"/>
        <v>15</v>
      </c>
      <c r="X527" s="29">
        <f t="shared" si="152"/>
        <v>518</v>
      </c>
      <c r="Z527" s="30">
        <f t="shared" si="143"/>
        <v>14.189837008628954</v>
      </c>
      <c r="AA527" s="28" t="e">
        <f t="shared" si="144"/>
        <v>#N/A</v>
      </c>
      <c r="AB527" s="28" t="e">
        <f t="shared" si="145"/>
        <v>#VALUE!</v>
      </c>
      <c r="AC527" s="29">
        <f t="shared" si="146"/>
        <v>491.46110056925994</v>
      </c>
      <c r="AD527" s="28" t="e">
        <f t="shared" si="147"/>
        <v>#VALUE!</v>
      </c>
      <c r="AE527" s="28" t="e">
        <f t="shared" si="148"/>
        <v>#N/A</v>
      </c>
      <c r="AF527" s="28" t="e">
        <f t="shared" si="149"/>
        <v>#VALUE!</v>
      </c>
      <c r="AH527" s="31" t="e">
        <f t="shared" si="150"/>
        <v>#N/A</v>
      </c>
      <c r="AI527" s="25"/>
      <c r="AJ527" s="31"/>
    </row>
    <row r="528" spans="2:36" x14ac:dyDescent="0.25">
      <c r="B528" s="33">
        <f>'Arbitrage Payback Engine'!E528</f>
        <v>14.21723051636762</v>
      </c>
      <c r="C528" s="33">
        <f t="shared" si="136"/>
        <v>1000</v>
      </c>
      <c r="D528" s="33">
        <f>'Battery Pricing Model'!$C$17</f>
        <v>1000</v>
      </c>
      <c r="E528" s="33">
        <f t="shared" si="137"/>
        <v>999</v>
      </c>
      <c r="F528" s="33" t="str">
        <f>'Peak Models'!$B$4</f>
        <v>Default</v>
      </c>
      <c r="G528" s="33" t="e">
        <f>'Peak Models'!$Q$7</f>
        <v>#VALUE!</v>
      </c>
      <c r="H528" s="33">
        <f>'Peak Models'!$P$16</f>
        <v>1.5</v>
      </c>
      <c r="I528" s="33">
        <v>12</v>
      </c>
      <c r="J528" s="33" t="e">
        <f>'Peak Models'!$P$13</f>
        <v>#N/A</v>
      </c>
      <c r="K528" s="28" t="e">
        <f t="shared" si="138"/>
        <v>#VALUE!</v>
      </c>
      <c r="L528" s="28" t="e">
        <f>INDEX('Peak Models'!$P$34:$P$64, MATCH(TRUNC(B528, 0), 'Peak Models'!$O$34:$O$64, 0))</f>
        <v>#N/A</v>
      </c>
      <c r="M528" s="28">
        <f>'Peak Models'!$P$15*INDEX('Peak Models'!$Q$34:$Q$64, MATCH(TRUNC(B528, 0),'Peak Models'!$O$34:$O$64, 0))/'Profit per cycles Model'!$E$78</f>
        <v>6.649288569288311</v>
      </c>
      <c r="N528" s="28" t="e">
        <f t="shared" si="139"/>
        <v>#N/A</v>
      </c>
      <c r="O528" s="71" t="e">
        <f>AVERAGE($N$10:N528)</f>
        <v>#N/A</v>
      </c>
      <c r="P528" s="28" t="e">
        <f t="shared" si="140"/>
        <v>#N/A</v>
      </c>
      <c r="R528" s="28" t="e">
        <f t="shared" si="141"/>
        <v>#VALUE!</v>
      </c>
      <c r="S528" s="25"/>
      <c r="T528" s="25">
        <f t="shared" si="142"/>
        <v>15</v>
      </c>
      <c r="U528" s="33">
        <f>IF(PaybackCustom&gt;0, IF(PaybackCustom&lt;&gt;"Default", PaybackCustom, IF(PaybackStatus&lt;&gt;"",INDEX('Arbitrage Payback Engine'!$Y$2:$Y$6,MATCH(PaybackStatus,'Arbitrage Payback Engine'!$X$2:$X$6,FALSE)),-1)))</f>
        <v>25</v>
      </c>
      <c r="V528" s="32">
        <f t="shared" si="151"/>
        <v>15</v>
      </c>
      <c r="X528" s="29">
        <f t="shared" si="152"/>
        <v>519</v>
      </c>
      <c r="Z528" s="30">
        <f t="shared" si="143"/>
        <v>14.21723051636762</v>
      </c>
      <c r="AA528" s="28" t="e">
        <f t="shared" si="144"/>
        <v>#N/A</v>
      </c>
      <c r="AB528" s="28" t="e">
        <f t="shared" si="145"/>
        <v>#VALUE!</v>
      </c>
      <c r="AC528" s="29">
        <f t="shared" si="146"/>
        <v>492.40986717267549</v>
      </c>
      <c r="AD528" s="28" t="e">
        <f t="shared" si="147"/>
        <v>#VALUE!</v>
      </c>
      <c r="AE528" s="28" t="e">
        <f t="shared" si="148"/>
        <v>#N/A</v>
      </c>
      <c r="AF528" s="28" t="e">
        <f t="shared" si="149"/>
        <v>#VALUE!</v>
      </c>
      <c r="AH528" s="31" t="e">
        <f t="shared" si="150"/>
        <v>#N/A</v>
      </c>
      <c r="AI528" s="25"/>
      <c r="AJ528" s="31"/>
    </row>
    <row r="529" spans="2:36" x14ac:dyDescent="0.25">
      <c r="B529" s="33">
        <f>'Arbitrage Payback Engine'!E529</f>
        <v>14.244624024106287</v>
      </c>
      <c r="C529" s="33">
        <f t="shared" si="136"/>
        <v>1000</v>
      </c>
      <c r="D529" s="33">
        <f>'Battery Pricing Model'!$C$17</f>
        <v>1000</v>
      </c>
      <c r="E529" s="33">
        <f t="shared" si="137"/>
        <v>999</v>
      </c>
      <c r="F529" s="33" t="str">
        <f>'Peak Models'!$B$4</f>
        <v>Default</v>
      </c>
      <c r="G529" s="33" t="e">
        <f>'Peak Models'!$Q$7</f>
        <v>#VALUE!</v>
      </c>
      <c r="H529" s="33">
        <f>'Peak Models'!$P$16</f>
        <v>1.5</v>
      </c>
      <c r="I529" s="33">
        <v>12</v>
      </c>
      <c r="J529" s="33" t="e">
        <f>'Peak Models'!$P$13</f>
        <v>#N/A</v>
      </c>
      <c r="K529" s="28" t="e">
        <f t="shared" si="138"/>
        <v>#VALUE!</v>
      </c>
      <c r="L529" s="28" t="e">
        <f>INDEX('Peak Models'!$P$34:$P$64, MATCH(TRUNC(B529, 0), 'Peak Models'!$O$34:$O$64, 0))</f>
        <v>#N/A</v>
      </c>
      <c r="M529" s="28">
        <f>'Peak Models'!$P$15*INDEX('Peak Models'!$Q$34:$Q$64, MATCH(TRUNC(B529, 0),'Peak Models'!$O$34:$O$64, 0))/'Profit per cycles Model'!$E$78</f>
        <v>6.649288569288311</v>
      </c>
      <c r="N529" s="28" t="e">
        <f t="shared" si="139"/>
        <v>#N/A</v>
      </c>
      <c r="O529" s="71" t="e">
        <f>AVERAGE($N$10:N529)</f>
        <v>#N/A</v>
      </c>
      <c r="P529" s="28" t="e">
        <f t="shared" si="140"/>
        <v>#N/A</v>
      </c>
      <c r="R529" s="28" t="e">
        <f t="shared" si="141"/>
        <v>#VALUE!</v>
      </c>
      <c r="S529" s="25"/>
      <c r="T529" s="25">
        <f t="shared" si="142"/>
        <v>15</v>
      </c>
      <c r="U529" s="33">
        <f>IF(PaybackCustom&gt;0, IF(PaybackCustom&lt;&gt;"Default", PaybackCustom, IF(PaybackStatus&lt;&gt;"",INDEX('Arbitrage Payback Engine'!$Y$2:$Y$6,MATCH(PaybackStatus,'Arbitrage Payback Engine'!$X$2:$X$6,FALSE)),-1)))</f>
        <v>25</v>
      </c>
      <c r="V529" s="32">
        <f t="shared" si="151"/>
        <v>15</v>
      </c>
      <c r="X529" s="29">
        <f t="shared" si="152"/>
        <v>520</v>
      </c>
      <c r="Z529" s="30">
        <f t="shared" si="143"/>
        <v>14.244624024106287</v>
      </c>
      <c r="AA529" s="28" t="e">
        <f t="shared" si="144"/>
        <v>#N/A</v>
      </c>
      <c r="AB529" s="28" t="e">
        <f t="shared" si="145"/>
        <v>#VALUE!</v>
      </c>
      <c r="AC529" s="29">
        <f t="shared" si="146"/>
        <v>493.3586337760911</v>
      </c>
      <c r="AD529" s="28" t="e">
        <f t="shared" si="147"/>
        <v>#VALUE!</v>
      </c>
      <c r="AE529" s="28" t="e">
        <f t="shared" si="148"/>
        <v>#N/A</v>
      </c>
      <c r="AF529" s="28" t="e">
        <f t="shared" si="149"/>
        <v>#VALUE!</v>
      </c>
      <c r="AH529" s="31" t="e">
        <f t="shared" si="150"/>
        <v>#N/A</v>
      </c>
      <c r="AI529" s="25"/>
      <c r="AJ529" s="31"/>
    </row>
    <row r="530" spans="2:36" x14ac:dyDescent="0.25">
      <c r="B530" s="33">
        <f>'Arbitrage Payback Engine'!E530</f>
        <v>14.272017531844952</v>
      </c>
      <c r="C530" s="33">
        <f t="shared" si="136"/>
        <v>1000</v>
      </c>
      <c r="D530" s="33">
        <f>'Battery Pricing Model'!$C$17</f>
        <v>1000</v>
      </c>
      <c r="E530" s="33">
        <f t="shared" si="137"/>
        <v>999</v>
      </c>
      <c r="F530" s="33" t="str">
        <f>'Peak Models'!$B$4</f>
        <v>Default</v>
      </c>
      <c r="G530" s="33" t="e">
        <f>'Peak Models'!$Q$7</f>
        <v>#VALUE!</v>
      </c>
      <c r="H530" s="33">
        <f>'Peak Models'!$P$16</f>
        <v>1.5</v>
      </c>
      <c r="I530" s="33">
        <v>12</v>
      </c>
      <c r="J530" s="33" t="e">
        <f>'Peak Models'!$P$13</f>
        <v>#N/A</v>
      </c>
      <c r="K530" s="28" t="e">
        <f t="shared" si="138"/>
        <v>#VALUE!</v>
      </c>
      <c r="L530" s="28" t="e">
        <f>INDEX('Peak Models'!$P$34:$P$64, MATCH(TRUNC(B530, 0), 'Peak Models'!$O$34:$O$64, 0))</f>
        <v>#N/A</v>
      </c>
      <c r="M530" s="28">
        <f>'Peak Models'!$P$15*INDEX('Peak Models'!$Q$34:$Q$64, MATCH(TRUNC(B530, 0),'Peak Models'!$O$34:$O$64, 0))/'Profit per cycles Model'!$E$78</f>
        <v>6.649288569288311</v>
      </c>
      <c r="N530" s="28" t="e">
        <f t="shared" si="139"/>
        <v>#N/A</v>
      </c>
      <c r="O530" s="71" t="e">
        <f>AVERAGE($N$10:N530)</f>
        <v>#N/A</v>
      </c>
      <c r="P530" s="28" t="e">
        <f t="shared" si="140"/>
        <v>#N/A</v>
      </c>
      <c r="R530" s="28" t="e">
        <f t="shared" si="141"/>
        <v>#VALUE!</v>
      </c>
      <c r="S530" s="25"/>
      <c r="T530" s="25">
        <f t="shared" si="142"/>
        <v>15</v>
      </c>
      <c r="U530" s="33">
        <f>IF(PaybackCustom&gt;0, IF(PaybackCustom&lt;&gt;"Default", PaybackCustom, IF(PaybackStatus&lt;&gt;"",INDEX('Arbitrage Payback Engine'!$Y$2:$Y$6,MATCH(PaybackStatus,'Arbitrage Payback Engine'!$X$2:$X$6,FALSE)),-1)))</f>
        <v>25</v>
      </c>
      <c r="V530" s="32">
        <f t="shared" si="151"/>
        <v>15</v>
      </c>
      <c r="X530" s="29">
        <f t="shared" si="152"/>
        <v>521</v>
      </c>
      <c r="Z530" s="30">
        <f t="shared" si="143"/>
        <v>14.272017531844952</v>
      </c>
      <c r="AA530" s="28" t="e">
        <f t="shared" si="144"/>
        <v>#N/A</v>
      </c>
      <c r="AB530" s="28" t="e">
        <f t="shared" si="145"/>
        <v>#VALUE!</v>
      </c>
      <c r="AC530" s="29">
        <f t="shared" si="146"/>
        <v>494.30740037950665</v>
      </c>
      <c r="AD530" s="28" t="e">
        <f t="shared" si="147"/>
        <v>#VALUE!</v>
      </c>
      <c r="AE530" s="28" t="e">
        <f t="shared" si="148"/>
        <v>#N/A</v>
      </c>
      <c r="AF530" s="28" t="e">
        <f t="shared" si="149"/>
        <v>#VALUE!</v>
      </c>
      <c r="AH530" s="31" t="e">
        <f t="shared" si="150"/>
        <v>#N/A</v>
      </c>
      <c r="AI530" s="25"/>
      <c r="AJ530" s="31"/>
    </row>
    <row r="531" spans="2:36" x14ac:dyDescent="0.25">
      <c r="B531" s="33">
        <f>'Arbitrage Payback Engine'!E531</f>
        <v>14.299411039583617</v>
      </c>
      <c r="C531" s="33">
        <f t="shared" si="136"/>
        <v>1000</v>
      </c>
      <c r="D531" s="33">
        <f>'Battery Pricing Model'!$C$17</f>
        <v>1000</v>
      </c>
      <c r="E531" s="33">
        <f t="shared" si="137"/>
        <v>999</v>
      </c>
      <c r="F531" s="33" t="str">
        <f>'Peak Models'!$B$4</f>
        <v>Default</v>
      </c>
      <c r="G531" s="33" t="e">
        <f>'Peak Models'!$Q$7</f>
        <v>#VALUE!</v>
      </c>
      <c r="H531" s="33">
        <f>'Peak Models'!$P$16</f>
        <v>1.5</v>
      </c>
      <c r="I531" s="33">
        <v>12</v>
      </c>
      <c r="J531" s="33" t="e">
        <f>'Peak Models'!$P$13</f>
        <v>#N/A</v>
      </c>
      <c r="K531" s="28" t="e">
        <f t="shared" si="138"/>
        <v>#VALUE!</v>
      </c>
      <c r="L531" s="28" t="e">
        <f>INDEX('Peak Models'!$P$34:$P$64, MATCH(TRUNC(B531, 0), 'Peak Models'!$O$34:$O$64, 0))</f>
        <v>#N/A</v>
      </c>
      <c r="M531" s="28">
        <f>'Peak Models'!$P$15*INDEX('Peak Models'!$Q$34:$Q$64, MATCH(TRUNC(B531, 0),'Peak Models'!$O$34:$O$64, 0))/'Profit per cycles Model'!$E$78</f>
        <v>6.649288569288311</v>
      </c>
      <c r="N531" s="28" t="e">
        <f t="shared" si="139"/>
        <v>#N/A</v>
      </c>
      <c r="O531" s="71" t="e">
        <f>AVERAGE($N$10:N531)</f>
        <v>#N/A</v>
      </c>
      <c r="P531" s="28" t="e">
        <f t="shared" si="140"/>
        <v>#N/A</v>
      </c>
      <c r="R531" s="28" t="e">
        <f t="shared" si="141"/>
        <v>#VALUE!</v>
      </c>
      <c r="S531" s="25"/>
      <c r="T531" s="25">
        <f t="shared" si="142"/>
        <v>15</v>
      </c>
      <c r="U531" s="33">
        <f>IF(PaybackCustom&gt;0, IF(PaybackCustom&lt;&gt;"Default", PaybackCustom, IF(PaybackStatus&lt;&gt;"",INDEX('Arbitrage Payback Engine'!$Y$2:$Y$6,MATCH(PaybackStatus,'Arbitrage Payback Engine'!$X$2:$X$6,FALSE)),-1)))</f>
        <v>25</v>
      </c>
      <c r="V531" s="32">
        <f t="shared" si="151"/>
        <v>15</v>
      </c>
      <c r="X531" s="29">
        <f t="shared" si="152"/>
        <v>522</v>
      </c>
      <c r="Z531" s="30">
        <f t="shared" si="143"/>
        <v>14.299411039583617</v>
      </c>
      <c r="AA531" s="28" t="e">
        <f t="shared" si="144"/>
        <v>#N/A</v>
      </c>
      <c r="AB531" s="28" t="e">
        <f t="shared" si="145"/>
        <v>#VALUE!</v>
      </c>
      <c r="AC531" s="29">
        <f t="shared" si="146"/>
        <v>495.2561669829222</v>
      </c>
      <c r="AD531" s="28" t="e">
        <f t="shared" si="147"/>
        <v>#VALUE!</v>
      </c>
      <c r="AE531" s="28" t="e">
        <f t="shared" si="148"/>
        <v>#N/A</v>
      </c>
      <c r="AF531" s="28" t="e">
        <f t="shared" si="149"/>
        <v>#VALUE!</v>
      </c>
      <c r="AH531" s="31" t="e">
        <f t="shared" si="150"/>
        <v>#N/A</v>
      </c>
      <c r="AI531" s="25"/>
      <c r="AJ531" s="31"/>
    </row>
    <row r="532" spans="2:36" x14ac:dyDescent="0.25">
      <c r="B532" s="33">
        <f>'Arbitrage Payback Engine'!E532</f>
        <v>14.326804547322284</v>
      </c>
      <c r="C532" s="33">
        <f t="shared" si="136"/>
        <v>1000</v>
      </c>
      <c r="D532" s="33">
        <f>'Battery Pricing Model'!$C$17</f>
        <v>1000</v>
      </c>
      <c r="E532" s="33">
        <f t="shared" si="137"/>
        <v>999</v>
      </c>
      <c r="F532" s="33" t="str">
        <f>'Peak Models'!$B$4</f>
        <v>Default</v>
      </c>
      <c r="G532" s="33" t="e">
        <f>'Peak Models'!$Q$7</f>
        <v>#VALUE!</v>
      </c>
      <c r="H532" s="33">
        <f>'Peak Models'!$P$16</f>
        <v>1.5</v>
      </c>
      <c r="I532" s="33">
        <v>12</v>
      </c>
      <c r="J532" s="33" t="e">
        <f>'Peak Models'!$P$13</f>
        <v>#N/A</v>
      </c>
      <c r="K532" s="28" t="e">
        <f t="shared" si="138"/>
        <v>#VALUE!</v>
      </c>
      <c r="L532" s="28" t="e">
        <f>INDEX('Peak Models'!$P$34:$P$64, MATCH(TRUNC(B532, 0), 'Peak Models'!$O$34:$O$64, 0))</f>
        <v>#N/A</v>
      </c>
      <c r="M532" s="28">
        <f>'Peak Models'!$P$15*INDEX('Peak Models'!$Q$34:$Q$64, MATCH(TRUNC(B532, 0),'Peak Models'!$O$34:$O$64, 0))/'Profit per cycles Model'!$E$78</f>
        <v>6.649288569288311</v>
      </c>
      <c r="N532" s="28" t="e">
        <f t="shared" si="139"/>
        <v>#N/A</v>
      </c>
      <c r="O532" s="71" t="e">
        <f>AVERAGE($N$10:N532)</f>
        <v>#N/A</v>
      </c>
      <c r="P532" s="28" t="e">
        <f t="shared" si="140"/>
        <v>#N/A</v>
      </c>
      <c r="R532" s="28" t="e">
        <f t="shared" si="141"/>
        <v>#VALUE!</v>
      </c>
      <c r="S532" s="25"/>
      <c r="T532" s="25">
        <f t="shared" si="142"/>
        <v>15</v>
      </c>
      <c r="U532" s="33">
        <f>IF(PaybackCustom&gt;0, IF(PaybackCustom&lt;&gt;"Default", PaybackCustom, IF(PaybackStatus&lt;&gt;"",INDEX('Arbitrage Payback Engine'!$Y$2:$Y$6,MATCH(PaybackStatus,'Arbitrage Payback Engine'!$X$2:$X$6,FALSE)),-1)))</f>
        <v>25</v>
      </c>
      <c r="V532" s="32">
        <f t="shared" si="151"/>
        <v>15</v>
      </c>
      <c r="X532" s="29">
        <f t="shared" si="152"/>
        <v>523</v>
      </c>
      <c r="Z532" s="30">
        <f t="shared" si="143"/>
        <v>14.326804547322284</v>
      </c>
      <c r="AA532" s="28" t="e">
        <f t="shared" si="144"/>
        <v>#N/A</v>
      </c>
      <c r="AB532" s="28" t="e">
        <f t="shared" si="145"/>
        <v>#VALUE!</v>
      </c>
      <c r="AC532" s="29">
        <f t="shared" si="146"/>
        <v>496.2049335863378</v>
      </c>
      <c r="AD532" s="28" t="e">
        <f t="shared" si="147"/>
        <v>#VALUE!</v>
      </c>
      <c r="AE532" s="28" t="e">
        <f t="shared" si="148"/>
        <v>#N/A</v>
      </c>
      <c r="AF532" s="28" t="e">
        <f t="shared" si="149"/>
        <v>#VALUE!</v>
      </c>
      <c r="AH532" s="31" t="e">
        <f t="shared" si="150"/>
        <v>#N/A</v>
      </c>
      <c r="AI532" s="25"/>
      <c r="AJ532" s="31"/>
    </row>
    <row r="533" spans="2:36" x14ac:dyDescent="0.25">
      <c r="B533" s="33">
        <f>'Arbitrage Payback Engine'!E533</f>
        <v>14.35419805506095</v>
      </c>
      <c r="C533" s="33">
        <f t="shared" si="136"/>
        <v>1000</v>
      </c>
      <c r="D533" s="33">
        <f>'Battery Pricing Model'!$C$17</f>
        <v>1000</v>
      </c>
      <c r="E533" s="33">
        <f t="shared" si="137"/>
        <v>999</v>
      </c>
      <c r="F533" s="33" t="str">
        <f>'Peak Models'!$B$4</f>
        <v>Default</v>
      </c>
      <c r="G533" s="33" t="e">
        <f>'Peak Models'!$Q$7</f>
        <v>#VALUE!</v>
      </c>
      <c r="H533" s="33">
        <f>'Peak Models'!$P$16</f>
        <v>1.5</v>
      </c>
      <c r="I533" s="33">
        <v>12</v>
      </c>
      <c r="J533" s="33" t="e">
        <f>'Peak Models'!$P$13</f>
        <v>#N/A</v>
      </c>
      <c r="K533" s="28" t="e">
        <f t="shared" si="138"/>
        <v>#VALUE!</v>
      </c>
      <c r="L533" s="28" t="e">
        <f>INDEX('Peak Models'!$P$34:$P$64, MATCH(TRUNC(B533, 0), 'Peak Models'!$O$34:$O$64, 0))</f>
        <v>#N/A</v>
      </c>
      <c r="M533" s="28">
        <f>'Peak Models'!$P$15*INDEX('Peak Models'!$Q$34:$Q$64, MATCH(TRUNC(B533, 0),'Peak Models'!$O$34:$O$64, 0))/'Profit per cycles Model'!$E$78</f>
        <v>6.649288569288311</v>
      </c>
      <c r="N533" s="28" t="e">
        <f t="shared" si="139"/>
        <v>#N/A</v>
      </c>
      <c r="O533" s="71" t="e">
        <f>AVERAGE($N$10:N533)</f>
        <v>#N/A</v>
      </c>
      <c r="P533" s="28" t="e">
        <f t="shared" si="140"/>
        <v>#N/A</v>
      </c>
      <c r="R533" s="28" t="e">
        <f t="shared" si="141"/>
        <v>#VALUE!</v>
      </c>
      <c r="S533" s="25"/>
      <c r="T533" s="25">
        <f t="shared" si="142"/>
        <v>15</v>
      </c>
      <c r="U533" s="33">
        <f>IF(PaybackCustom&gt;0, IF(PaybackCustom&lt;&gt;"Default", PaybackCustom, IF(PaybackStatus&lt;&gt;"",INDEX('Arbitrage Payback Engine'!$Y$2:$Y$6,MATCH(PaybackStatus,'Arbitrage Payback Engine'!$X$2:$X$6,FALSE)),-1)))</f>
        <v>25</v>
      </c>
      <c r="V533" s="32">
        <f t="shared" si="151"/>
        <v>15</v>
      </c>
      <c r="X533" s="29">
        <f t="shared" si="152"/>
        <v>524</v>
      </c>
      <c r="Z533" s="30">
        <f t="shared" si="143"/>
        <v>14.35419805506095</v>
      </c>
      <c r="AA533" s="28" t="e">
        <f t="shared" si="144"/>
        <v>#N/A</v>
      </c>
      <c r="AB533" s="28" t="e">
        <f t="shared" si="145"/>
        <v>#VALUE!</v>
      </c>
      <c r="AC533" s="29">
        <f t="shared" si="146"/>
        <v>497.15370018975329</v>
      </c>
      <c r="AD533" s="28" t="e">
        <f t="shared" si="147"/>
        <v>#VALUE!</v>
      </c>
      <c r="AE533" s="28" t="e">
        <f t="shared" si="148"/>
        <v>#N/A</v>
      </c>
      <c r="AF533" s="28" t="e">
        <f t="shared" si="149"/>
        <v>#VALUE!</v>
      </c>
      <c r="AH533" s="31" t="e">
        <f t="shared" si="150"/>
        <v>#N/A</v>
      </c>
      <c r="AI533" s="25"/>
      <c r="AJ533" s="31"/>
    </row>
    <row r="534" spans="2:36" x14ac:dyDescent="0.25">
      <c r="B534" s="33">
        <f>'Arbitrage Payback Engine'!E534</f>
        <v>14.381591562799617</v>
      </c>
      <c r="C534" s="33">
        <f t="shared" si="136"/>
        <v>1000</v>
      </c>
      <c r="D534" s="33">
        <f>'Battery Pricing Model'!$C$17</f>
        <v>1000</v>
      </c>
      <c r="E534" s="33">
        <f t="shared" si="137"/>
        <v>999</v>
      </c>
      <c r="F534" s="33" t="str">
        <f>'Peak Models'!$B$4</f>
        <v>Default</v>
      </c>
      <c r="G534" s="33" t="e">
        <f>'Peak Models'!$Q$7</f>
        <v>#VALUE!</v>
      </c>
      <c r="H534" s="33">
        <f>'Peak Models'!$P$16</f>
        <v>1.5</v>
      </c>
      <c r="I534" s="33">
        <v>12</v>
      </c>
      <c r="J534" s="33" t="e">
        <f>'Peak Models'!$P$13</f>
        <v>#N/A</v>
      </c>
      <c r="K534" s="28" t="e">
        <f t="shared" si="138"/>
        <v>#VALUE!</v>
      </c>
      <c r="L534" s="28" t="e">
        <f>INDEX('Peak Models'!$P$34:$P$64, MATCH(TRUNC(B534, 0), 'Peak Models'!$O$34:$O$64, 0))</f>
        <v>#N/A</v>
      </c>
      <c r="M534" s="28">
        <f>'Peak Models'!$P$15*INDEX('Peak Models'!$Q$34:$Q$64, MATCH(TRUNC(B534, 0),'Peak Models'!$O$34:$O$64, 0))/'Profit per cycles Model'!$E$78</f>
        <v>6.649288569288311</v>
      </c>
      <c r="N534" s="28" t="e">
        <f t="shared" si="139"/>
        <v>#N/A</v>
      </c>
      <c r="O534" s="71" t="e">
        <f>AVERAGE($N$10:N534)</f>
        <v>#N/A</v>
      </c>
      <c r="P534" s="28" t="e">
        <f t="shared" si="140"/>
        <v>#N/A</v>
      </c>
      <c r="R534" s="28" t="e">
        <f t="shared" si="141"/>
        <v>#VALUE!</v>
      </c>
      <c r="S534" s="25"/>
      <c r="T534" s="25">
        <f t="shared" si="142"/>
        <v>15</v>
      </c>
      <c r="U534" s="33">
        <f>IF(PaybackCustom&gt;0, IF(PaybackCustom&lt;&gt;"Default", PaybackCustom, IF(PaybackStatus&lt;&gt;"",INDEX('Arbitrage Payback Engine'!$Y$2:$Y$6,MATCH(PaybackStatus,'Arbitrage Payback Engine'!$X$2:$X$6,FALSE)),-1)))</f>
        <v>25</v>
      </c>
      <c r="V534" s="32">
        <f t="shared" si="151"/>
        <v>15</v>
      </c>
      <c r="X534" s="29">
        <f t="shared" si="152"/>
        <v>525</v>
      </c>
      <c r="Z534" s="30">
        <f t="shared" si="143"/>
        <v>14.381591562799617</v>
      </c>
      <c r="AA534" s="28" t="e">
        <f t="shared" si="144"/>
        <v>#N/A</v>
      </c>
      <c r="AB534" s="28" t="e">
        <f t="shared" si="145"/>
        <v>#VALUE!</v>
      </c>
      <c r="AC534" s="29">
        <f t="shared" si="146"/>
        <v>498.1024667931689</v>
      </c>
      <c r="AD534" s="28" t="e">
        <f t="shared" si="147"/>
        <v>#VALUE!</v>
      </c>
      <c r="AE534" s="28" t="e">
        <f t="shared" si="148"/>
        <v>#N/A</v>
      </c>
      <c r="AF534" s="28" t="e">
        <f t="shared" si="149"/>
        <v>#VALUE!</v>
      </c>
      <c r="AH534" s="31" t="e">
        <f t="shared" si="150"/>
        <v>#N/A</v>
      </c>
      <c r="AI534" s="25"/>
      <c r="AJ534" s="31"/>
    </row>
    <row r="535" spans="2:36" x14ac:dyDescent="0.25">
      <c r="B535" s="33">
        <f>'Arbitrage Payback Engine'!E535</f>
        <v>14.408985070538282</v>
      </c>
      <c r="C535" s="33">
        <f t="shared" si="136"/>
        <v>1000</v>
      </c>
      <c r="D535" s="33">
        <f>'Battery Pricing Model'!$C$17</f>
        <v>1000</v>
      </c>
      <c r="E535" s="33">
        <f t="shared" si="137"/>
        <v>999</v>
      </c>
      <c r="F535" s="33" t="str">
        <f>'Peak Models'!$B$4</f>
        <v>Default</v>
      </c>
      <c r="G535" s="33" t="e">
        <f>'Peak Models'!$Q$7</f>
        <v>#VALUE!</v>
      </c>
      <c r="H535" s="33">
        <f>'Peak Models'!$P$16</f>
        <v>1.5</v>
      </c>
      <c r="I535" s="33">
        <v>12</v>
      </c>
      <c r="J535" s="33" t="e">
        <f>'Peak Models'!$P$13</f>
        <v>#N/A</v>
      </c>
      <c r="K535" s="28" t="e">
        <f t="shared" si="138"/>
        <v>#VALUE!</v>
      </c>
      <c r="L535" s="28" t="e">
        <f>INDEX('Peak Models'!$P$34:$P$64, MATCH(TRUNC(B535, 0), 'Peak Models'!$O$34:$O$64, 0))</f>
        <v>#N/A</v>
      </c>
      <c r="M535" s="28">
        <f>'Peak Models'!$P$15*INDEX('Peak Models'!$Q$34:$Q$64, MATCH(TRUNC(B535, 0),'Peak Models'!$O$34:$O$64, 0))/'Profit per cycles Model'!$E$78</f>
        <v>6.649288569288311</v>
      </c>
      <c r="N535" s="28" t="e">
        <f t="shared" si="139"/>
        <v>#N/A</v>
      </c>
      <c r="O535" s="71" t="e">
        <f>AVERAGE($N$10:N535)</f>
        <v>#N/A</v>
      </c>
      <c r="P535" s="28" t="e">
        <f t="shared" si="140"/>
        <v>#N/A</v>
      </c>
      <c r="R535" s="28" t="e">
        <f t="shared" si="141"/>
        <v>#VALUE!</v>
      </c>
      <c r="S535" s="25"/>
      <c r="T535" s="25">
        <f t="shared" si="142"/>
        <v>15</v>
      </c>
      <c r="U535" s="33">
        <f>IF(PaybackCustom&gt;0, IF(PaybackCustom&lt;&gt;"Default", PaybackCustom, IF(PaybackStatus&lt;&gt;"",INDEX('Arbitrage Payback Engine'!$Y$2:$Y$6,MATCH(PaybackStatus,'Arbitrage Payback Engine'!$X$2:$X$6,FALSE)),-1)))</f>
        <v>25</v>
      </c>
      <c r="V535" s="32">
        <f t="shared" si="151"/>
        <v>15</v>
      </c>
      <c r="X535" s="29">
        <f t="shared" si="152"/>
        <v>526</v>
      </c>
      <c r="Z535" s="30">
        <f t="shared" si="143"/>
        <v>14.408985070538282</v>
      </c>
      <c r="AA535" s="28" t="e">
        <f t="shared" si="144"/>
        <v>#N/A</v>
      </c>
      <c r="AB535" s="28" t="e">
        <f t="shared" si="145"/>
        <v>#VALUE!</v>
      </c>
      <c r="AC535" s="29">
        <f t="shared" si="146"/>
        <v>499.05123339658445</v>
      </c>
      <c r="AD535" s="28" t="e">
        <f t="shared" si="147"/>
        <v>#VALUE!</v>
      </c>
      <c r="AE535" s="28" t="e">
        <f t="shared" si="148"/>
        <v>#N/A</v>
      </c>
      <c r="AF535" s="28" t="e">
        <f t="shared" si="149"/>
        <v>#VALUE!</v>
      </c>
      <c r="AH535" s="31" t="e">
        <f t="shared" si="150"/>
        <v>#N/A</v>
      </c>
      <c r="AI535" s="25"/>
      <c r="AJ535" s="31"/>
    </row>
    <row r="536" spans="2:36" x14ac:dyDescent="0.25">
      <c r="B536" s="33">
        <f>'Arbitrage Payback Engine'!E536</f>
        <v>14.436378578276948</v>
      </c>
      <c r="C536" s="33">
        <f t="shared" si="136"/>
        <v>1000</v>
      </c>
      <c r="D536" s="33">
        <f>'Battery Pricing Model'!$C$17</f>
        <v>1000</v>
      </c>
      <c r="E536" s="33">
        <f t="shared" si="137"/>
        <v>999</v>
      </c>
      <c r="F536" s="33" t="str">
        <f>'Peak Models'!$B$4</f>
        <v>Default</v>
      </c>
      <c r="G536" s="33" t="e">
        <f>'Peak Models'!$Q$7</f>
        <v>#VALUE!</v>
      </c>
      <c r="H536" s="33">
        <f>'Peak Models'!$P$16</f>
        <v>1.5</v>
      </c>
      <c r="I536" s="33">
        <v>12</v>
      </c>
      <c r="J536" s="33" t="e">
        <f>'Peak Models'!$P$13</f>
        <v>#N/A</v>
      </c>
      <c r="K536" s="28" t="e">
        <f t="shared" si="138"/>
        <v>#VALUE!</v>
      </c>
      <c r="L536" s="28" t="e">
        <f>INDEX('Peak Models'!$P$34:$P$64, MATCH(TRUNC(B536, 0), 'Peak Models'!$O$34:$O$64, 0))</f>
        <v>#N/A</v>
      </c>
      <c r="M536" s="28">
        <f>'Peak Models'!$P$15*INDEX('Peak Models'!$Q$34:$Q$64, MATCH(TRUNC(B536, 0),'Peak Models'!$O$34:$O$64, 0))/'Profit per cycles Model'!$E$78</f>
        <v>6.649288569288311</v>
      </c>
      <c r="N536" s="28" t="e">
        <f t="shared" si="139"/>
        <v>#N/A</v>
      </c>
      <c r="O536" s="71" t="e">
        <f>AVERAGE($N$10:N536)</f>
        <v>#N/A</v>
      </c>
      <c r="P536" s="28" t="e">
        <f t="shared" si="140"/>
        <v>#N/A</v>
      </c>
      <c r="R536" s="28" t="e">
        <f t="shared" si="141"/>
        <v>#VALUE!</v>
      </c>
      <c r="S536" s="25"/>
      <c r="T536" s="25">
        <f t="shared" si="142"/>
        <v>15</v>
      </c>
      <c r="U536" s="33">
        <f>IF(PaybackCustom&gt;0, IF(PaybackCustom&lt;&gt;"Default", PaybackCustom, IF(PaybackStatus&lt;&gt;"",INDEX('Arbitrage Payback Engine'!$Y$2:$Y$6,MATCH(PaybackStatus,'Arbitrage Payback Engine'!$X$2:$X$6,FALSE)),-1)))</f>
        <v>25</v>
      </c>
      <c r="V536" s="32">
        <f t="shared" si="151"/>
        <v>15</v>
      </c>
      <c r="X536" s="29">
        <f t="shared" si="152"/>
        <v>527</v>
      </c>
      <c r="Z536" s="30">
        <f t="shared" si="143"/>
        <v>14.436378578276948</v>
      </c>
      <c r="AA536" s="28" t="e">
        <f t="shared" si="144"/>
        <v>#N/A</v>
      </c>
      <c r="AB536" s="28" t="e">
        <f t="shared" si="145"/>
        <v>#VALUE!</v>
      </c>
      <c r="AC536" s="29">
        <f t="shared" si="146"/>
        <v>500</v>
      </c>
      <c r="AD536" s="28" t="e">
        <f t="shared" si="147"/>
        <v>#VALUE!</v>
      </c>
      <c r="AE536" s="28" t="e">
        <f t="shared" si="148"/>
        <v>#N/A</v>
      </c>
      <c r="AF536" s="28" t="e">
        <f t="shared" si="149"/>
        <v>#VALUE!</v>
      </c>
      <c r="AH536" s="31" t="e">
        <f t="shared" si="150"/>
        <v>#N/A</v>
      </c>
      <c r="AI536" s="25"/>
      <c r="AJ536" s="31"/>
    </row>
    <row r="537" spans="2:36" x14ac:dyDescent="0.25">
      <c r="B537" s="33">
        <f>'Arbitrage Payback Engine'!E537</f>
        <v>14.463772086015615</v>
      </c>
      <c r="C537" s="33">
        <f t="shared" si="136"/>
        <v>1000</v>
      </c>
      <c r="D537" s="33">
        <f>'Battery Pricing Model'!$C$17</f>
        <v>1000</v>
      </c>
      <c r="E537" s="33">
        <f t="shared" si="137"/>
        <v>999</v>
      </c>
      <c r="F537" s="33" t="str">
        <f>'Peak Models'!$B$4</f>
        <v>Default</v>
      </c>
      <c r="G537" s="33" t="e">
        <f>'Peak Models'!$Q$7</f>
        <v>#VALUE!</v>
      </c>
      <c r="H537" s="33">
        <f>'Peak Models'!$P$16</f>
        <v>1.5</v>
      </c>
      <c r="I537" s="33">
        <v>12</v>
      </c>
      <c r="J537" s="33" t="e">
        <f>'Peak Models'!$P$13</f>
        <v>#N/A</v>
      </c>
      <c r="K537" s="28" t="e">
        <f t="shared" si="138"/>
        <v>#VALUE!</v>
      </c>
      <c r="L537" s="28" t="e">
        <f>INDEX('Peak Models'!$P$34:$P$64, MATCH(TRUNC(B537, 0), 'Peak Models'!$O$34:$O$64, 0))</f>
        <v>#N/A</v>
      </c>
      <c r="M537" s="28">
        <f>'Peak Models'!$P$15*INDEX('Peak Models'!$Q$34:$Q$64, MATCH(TRUNC(B537, 0),'Peak Models'!$O$34:$O$64, 0))/'Profit per cycles Model'!$E$78</f>
        <v>6.649288569288311</v>
      </c>
      <c r="N537" s="28" t="e">
        <f t="shared" si="139"/>
        <v>#N/A</v>
      </c>
      <c r="O537" s="71" t="e">
        <f>AVERAGE($N$10:N537)</f>
        <v>#N/A</v>
      </c>
      <c r="P537" s="28" t="e">
        <f t="shared" si="140"/>
        <v>#N/A</v>
      </c>
      <c r="R537" s="28" t="e">
        <f t="shared" si="141"/>
        <v>#VALUE!</v>
      </c>
      <c r="S537" s="25"/>
      <c r="T537" s="25">
        <f t="shared" si="142"/>
        <v>15</v>
      </c>
      <c r="U537" s="33">
        <f>IF(PaybackCustom&gt;0, IF(PaybackCustom&lt;&gt;"Default", PaybackCustom, IF(PaybackStatus&lt;&gt;"",INDEX('Arbitrage Payback Engine'!$Y$2:$Y$6,MATCH(PaybackStatus,'Arbitrage Payback Engine'!$X$2:$X$6,FALSE)),-1)))</f>
        <v>25</v>
      </c>
      <c r="V537" s="32">
        <f t="shared" si="151"/>
        <v>15</v>
      </c>
      <c r="X537" s="29">
        <f t="shared" si="152"/>
        <v>528</v>
      </c>
      <c r="Z537" s="30">
        <f t="shared" si="143"/>
        <v>14.463772086015615</v>
      </c>
      <c r="AA537" s="28" t="e">
        <f t="shared" si="144"/>
        <v>#N/A</v>
      </c>
      <c r="AB537" s="28" t="e">
        <f t="shared" si="145"/>
        <v>#VALUE!</v>
      </c>
      <c r="AC537" s="29">
        <f t="shared" si="146"/>
        <v>500.94876660341561</v>
      </c>
      <c r="AD537" s="28" t="e">
        <f t="shared" si="147"/>
        <v>#VALUE!</v>
      </c>
      <c r="AE537" s="28" t="e">
        <f t="shared" si="148"/>
        <v>#N/A</v>
      </c>
      <c r="AF537" s="28" t="e">
        <f t="shared" si="149"/>
        <v>#VALUE!</v>
      </c>
      <c r="AH537" s="31" t="e">
        <f t="shared" si="150"/>
        <v>#N/A</v>
      </c>
      <c r="AI537" s="25"/>
      <c r="AJ537" s="31"/>
    </row>
    <row r="538" spans="2:36" x14ac:dyDescent="0.25">
      <c r="B538" s="33">
        <f>'Arbitrage Payback Engine'!E538</f>
        <v>14.49116559375428</v>
      </c>
      <c r="C538" s="33">
        <f t="shared" si="136"/>
        <v>1000</v>
      </c>
      <c r="D538" s="33">
        <f>'Battery Pricing Model'!$C$17</f>
        <v>1000</v>
      </c>
      <c r="E538" s="33">
        <f t="shared" si="137"/>
        <v>999</v>
      </c>
      <c r="F538" s="33" t="str">
        <f>'Peak Models'!$B$4</f>
        <v>Default</v>
      </c>
      <c r="G538" s="33" t="e">
        <f>'Peak Models'!$Q$7</f>
        <v>#VALUE!</v>
      </c>
      <c r="H538" s="33">
        <f>'Peak Models'!$P$16</f>
        <v>1.5</v>
      </c>
      <c r="I538" s="33">
        <v>12</v>
      </c>
      <c r="J538" s="33" t="e">
        <f>'Peak Models'!$P$13</f>
        <v>#N/A</v>
      </c>
      <c r="K538" s="28" t="e">
        <f t="shared" si="138"/>
        <v>#VALUE!</v>
      </c>
      <c r="L538" s="28" t="e">
        <f>INDEX('Peak Models'!$P$34:$P$64, MATCH(TRUNC(B538, 0), 'Peak Models'!$O$34:$O$64, 0))</f>
        <v>#N/A</v>
      </c>
      <c r="M538" s="28">
        <f>'Peak Models'!$P$15*INDEX('Peak Models'!$Q$34:$Q$64, MATCH(TRUNC(B538, 0),'Peak Models'!$O$34:$O$64, 0))/'Profit per cycles Model'!$E$78</f>
        <v>6.649288569288311</v>
      </c>
      <c r="N538" s="28" t="e">
        <f t="shared" si="139"/>
        <v>#N/A</v>
      </c>
      <c r="O538" s="71" t="e">
        <f>AVERAGE($N$10:N538)</f>
        <v>#N/A</v>
      </c>
      <c r="P538" s="28" t="e">
        <f t="shared" si="140"/>
        <v>#N/A</v>
      </c>
      <c r="R538" s="28" t="e">
        <f t="shared" si="141"/>
        <v>#VALUE!</v>
      </c>
      <c r="S538" s="25"/>
      <c r="T538" s="25">
        <f t="shared" si="142"/>
        <v>15</v>
      </c>
      <c r="U538" s="33">
        <f>IF(PaybackCustom&gt;0, IF(PaybackCustom&lt;&gt;"Default", PaybackCustom, IF(PaybackStatus&lt;&gt;"",INDEX('Arbitrage Payback Engine'!$Y$2:$Y$6,MATCH(PaybackStatus,'Arbitrage Payback Engine'!$X$2:$X$6,FALSE)),-1)))</f>
        <v>25</v>
      </c>
      <c r="V538" s="32">
        <f t="shared" si="151"/>
        <v>15</v>
      </c>
      <c r="X538" s="29">
        <f t="shared" si="152"/>
        <v>529</v>
      </c>
      <c r="Z538" s="30">
        <f t="shared" si="143"/>
        <v>14.49116559375428</v>
      </c>
      <c r="AA538" s="28" t="e">
        <f t="shared" si="144"/>
        <v>#N/A</v>
      </c>
      <c r="AB538" s="28" t="e">
        <f t="shared" si="145"/>
        <v>#VALUE!</v>
      </c>
      <c r="AC538" s="29">
        <f t="shared" si="146"/>
        <v>501.89753320683116</v>
      </c>
      <c r="AD538" s="28" t="e">
        <f t="shared" si="147"/>
        <v>#VALUE!</v>
      </c>
      <c r="AE538" s="28" t="e">
        <f t="shared" si="148"/>
        <v>#N/A</v>
      </c>
      <c r="AF538" s="28" t="e">
        <f t="shared" si="149"/>
        <v>#VALUE!</v>
      </c>
      <c r="AH538" s="31" t="e">
        <f t="shared" si="150"/>
        <v>#N/A</v>
      </c>
      <c r="AI538" s="25"/>
      <c r="AJ538" s="31"/>
    </row>
    <row r="539" spans="2:36" x14ac:dyDescent="0.25">
      <c r="B539" s="33">
        <f>'Arbitrage Payback Engine'!E539</f>
        <v>14.518559101492945</v>
      </c>
      <c r="C539" s="33">
        <f t="shared" si="136"/>
        <v>1000</v>
      </c>
      <c r="D539" s="33">
        <f>'Battery Pricing Model'!$C$17</f>
        <v>1000</v>
      </c>
      <c r="E539" s="33">
        <f t="shared" si="137"/>
        <v>999</v>
      </c>
      <c r="F539" s="33" t="str">
        <f>'Peak Models'!$B$4</f>
        <v>Default</v>
      </c>
      <c r="G539" s="33" t="e">
        <f>'Peak Models'!$Q$7</f>
        <v>#VALUE!</v>
      </c>
      <c r="H539" s="33">
        <f>'Peak Models'!$P$16</f>
        <v>1.5</v>
      </c>
      <c r="I539" s="33">
        <v>12</v>
      </c>
      <c r="J539" s="33" t="e">
        <f>'Peak Models'!$P$13</f>
        <v>#N/A</v>
      </c>
      <c r="K539" s="28" t="e">
        <f t="shared" si="138"/>
        <v>#VALUE!</v>
      </c>
      <c r="L539" s="28" t="e">
        <f>INDEX('Peak Models'!$P$34:$P$64, MATCH(TRUNC(B539, 0), 'Peak Models'!$O$34:$O$64, 0))</f>
        <v>#N/A</v>
      </c>
      <c r="M539" s="28">
        <f>'Peak Models'!$P$15*INDEX('Peak Models'!$Q$34:$Q$64, MATCH(TRUNC(B539, 0),'Peak Models'!$O$34:$O$64, 0))/'Profit per cycles Model'!$E$78</f>
        <v>6.649288569288311</v>
      </c>
      <c r="N539" s="28" t="e">
        <f t="shared" si="139"/>
        <v>#N/A</v>
      </c>
      <c r="O539" s="71" t="e">
        <f>AVERAGE($N$10:N539)</f>
        <v>#N/A</v>
      </c>
      <c r="P539" s="28" t="e">
        <f t="shared" si="140"/>
        <v>#N/A</v>
      </c>
      <c r="R539" s="28" t="e">
        <f t="shared" si="141"/>
        <v>#VALUE!</v>
      </c>
      <c r="S539" s="25"/>
      <c r="T539" s="25">
        <f t="shared" si="142"/>
        <v>15</v>
      </c>
      <c r="U539" s="33">
        <f>IF(PaybackCustom&gt;0, IF(PaybackCustom&lt;&gt;"Default", PaybackCustom, IF(PaybackStatus&lt;&gt;"",INDEX('Arbitrage Payback Engine'!$Y$2:$Y$6,MATCH(PaybackStatus,'Arbitrage Payback Engine'!$X$2:$X$6,FALSE)),-1)))</f>
        <v>25</v>
      </c>
      <c r="V539" s="32">
        <f t="shared" si="151"/>
        <v>15</v>
      </c>
      <c r="X539" s="29">
        <f t="shared" si="152"/>
        <v>530</v>
      </c>
      <c r="Z539" s="30">
        <f t="shared" si="143"/>
        <v>14.518559101492945</v>
      </c>
      <c r="AA539" s="28" t="e">
        <f t="shared" si="144"/>
        <v>#N/A</v>
      </c>
      <c r="AB539" s="28" t="e">
        <f t="shared" si="145"/>
        <v>#VALUE!</v>
      </c>
      <c r="AC539" s="29">
        <f t="shared" si="146"/>
        <v>502.84629981024665</v>
      </c>
      <c r="AD539" s="28" t="e">
        <f t="shared" si="147"/>
        <v>#VALUE!</v>
      </c>
      <c r="AE539" s="28" t="e">
        <f t="shared" si="148"/>
        <v>#N/A</v>
      </c>
      <c r="AF539" s="28" t="e">
        <f t="shared" si="149"/>
        <v>#VALUE!</v>
      </c>
      <c r="AH539" s="31" t="e">
        <f t="shared" si="150"/>
        <v>#N/A</v>
      </c>
      <c r="AI539" s="25"/>
      <c r="AJ539" s="31"/>
    </row>
    <row r="540" spans="2:36" x14ac:dyDescent="0.25">
      <c r="B540" s="33">
        <f>'Arbitrage Payback Engine'!E540</f>
        <v>14.545952609231612</v>
      </c>
      <c r="C540" s="33">
        <f t="shared" si="136"/>
        <v>1000</v>
      </c>
      <c r="D540" s="33">
        <f>'Battery Pricing Model'!$C$17</f>
        <v>1000</v>
      </c>
      <c r="E540" s="33">
        <f t="shared" si="137"/>
        <v>999</v>
      </c>
      <c r="F540" s="33" t="str">
        <f>'Peak Models'!$B$4</f>
        <v>Default</v>
      </c>
      <c r="G540" s="33" t="e">
        <f>'Peak Models'!$Q$7</f>
        <v>#VALUE!</v>
      </c>
      <c r="H540" s="33">
        <f>'Peak Models'!$P$16</f>
        <v>1.5</v>
      </c>
      <c r="I540" s="33">
        <v>12</v>
      </c>
      <c r="J540" s="33" t="e">
        <f>'Peak Models'!$P$13</f>
        <v>#N/A</v>
      </c>
      <c r="K540" s="28" t="e">
        <f t="shared" si="138"/>
        <v>#VALUE!</v>
      </c>
      <c r="L540" s="28" t="e">
        <f>INDEX('Peak Models'!$P$34:$P$64, MATCH(TRUNC(B540, 0), 'Peak Models'!$O$34:$O$64, 0))</f>
        <v>#N/A</v>
      </c>
      <c r="M540" s="28">
        <f>'Peak Models'!$P$15*INDEX('Peak Models'!$Q$34:$Q$64, MATCH(TRUNC(B540, 0),'Peak Models'!$O$34:$O$64, 0))/'Profit per cycles Model'!$E$78</f>
        <v>6.649288569288311</v>
      </c>
      <c r="N540" s="28" t="e">
        <f t="shared" si="139"/>
        <v>#N/A</v>
      </c>
      <c r="O540" s="71" t="e">
        <f>AVERAGE($N$10:N540)</f>
        <v>#N/A</v>
      </c>
      <c r="P540" s="28" t="e">
        <f t="shared" si="140"/>
        <v>#N/A</v>
      </c>
      <c r="R540" s="28" t="e">
        <f t="shared" si="141"/>
        <v>#VALUE!</v>
      </c>
      <c r="S540" s="25"/>
      <c r="T540" s="25">
        <f t="shared" si="142"/>
        <v>15</v>
      </c>
      <c r="U540" s="33">
        <f>IF(PaybackCustom&gt;0, IF(PaybackCustom&lt;&gt;"Default", PaybackCustom, IF(PaybackStatus&lt;&gt;"",INDEX('Arbitrage Payback Engine'!$Y$2:$Y$6,MATCH(PaybackStatus,'Arbitrage Payback Engine'!$X$2:$X$6,FALSE)),-1)))</f>
        <v>25</v>
      </c>
      <c r="V540" s="32">
        <f t="shared" si="151"/>
        <v>15</v>
      </c>
      <c r="X540" s="29">
        <f t="shared" si="152"/>
        <v>531</v>
      </c>
      <c r="Z540" s="30">
        <f t="shared" si="143"/>
        <v>14.545952609231612</v>
      </c>
      <c r="AA540" s="28" t="e">
        <f t="shared" si="144"/>
        <v>#N/A</v>
      </c>
      <c r="AB540" s="28" t="e">
        <f t="shared" si="145"/>
        <v>#VALUE!</v>
      </c>
      <c r="AC540" s="29">
        <f t="shared" si="146"/>
        <v>503.79506641366225</v>
      </c>
      <c r="AD540" s="28" t="e">
        <f t="shared" si="147"/>
        <v>#VALUE!</v>
      </c>
      <c r="AE540" s="28" t="e">
        <f t="shared" si="148"/>
        <v>#N/A</v>
      </c>
      <c r="AF540" s="28" t="e">
        <f t="shared" si="149"/>
        <v>#VALUE!</v>
      </c>
      <c r="AH540" s="31" t="e">
        <f t="shared" si="150"/>
        <v>#N/A</v>
      </c>
      <c r="AI540" s="25"/>
      <c r="AJ540" s="31"/>
    </row>
    <row r="541" spans="2:36" x14ac:dyDescent="0.25">
      <c r="B541" s="33">
        <f>'Arbitrage Payback Engine'!E541</f>
        <v>14.573346116970278</v>
      </c>
      <c r="C541" s="33">
        <f t="shared" si="136"/>
        <v>1000</v>
      </c>
      <c r="D541" s="33">
        <f>'Battery Pricing Model'!$C$17</f>
        <v>1000</v>
      </c>
      <c r="E541" s="33">
        <f t="shared" si="137"/>
        <v>999</v>
      </c>
      <c r="F541" s="33" t="str">
        <f>'Peak Models'!$B$4</f>
        <v>Default</v>
      </c>
      <c r="G541" s="33" t="e">
        <f>'Peak Models'!$Q$7</f>
        <v>#VALUE!</v>
      </c>
      <c r="H541" s="33">
        <f>'Peak Models'!$P$16</f>
        <v>1.5</v>
      </c>
      <c r="I541" s="33">
        <v>12</v>
      </c>
      <c r="J541" s="33" t="e">
        <f>'Peak Models'!$P$13</f>
        <v>#N/A</v>
      </c>
      <c r="K541" s="28" t="e">
        <f t="shared" si="138"/>
        <v>#VALUE!</v>
      </c>
      <c r="L541" s="28" t="e">
        <f>INDEX('Peak Models'!$P$34:$P$64, MATCH(TRUNC(B541, 0), 'Peak Models'!$O$34:$O$64, 0))</f>
        <v>#N/A</v>
      </c>
      <c r="M541" s="28">
        <f>'Peak Models'!$P$15*INDEX('Peak Models'!$Q$34:$Q$64, MATCH(TRUNC(B541, 0),'Peak Models'!$O$34:$O$64, 0))/'Profit per cycles Model'!$E$78</f>
        <v>6.649288569288311</v>
      </c>
      <c r="N541" s="28" t="e">
        <f t="shared" si="139"/>
        <v>#N/A</v>
      </c>
      <c r="O541" s="71" t="e">
        <f>AVERAGE($N$10:N541)</f>
        <v>#N/A</v>
      </c>
      <c r="P541" s="28" t="e">
        <f t="shared" si="140"/>
        <v>#N/A</v>
      </c>
      <c r="R541" s="28" t="e">
        <f t="shared" si="141"/>
        <v>#VALUE!</v>
      </c>
      <c r="S541" s="25"/>
      <c r="T541" s="25">
        <f t="shared" si="142"/>
        <v>15</v>
      </c>
      <c r="U541" s="33">
        <f>IF(PaybackCustom&gt;0, IF(PaybackCustom&lt;&gt;"Default", PaybackCustom, IF(PaybackStatus&lt;&gt;"",INDEX('Arbitrage Payback Engine'!$Y$2:$Y$6,MATCH(PaybackStatus,'Arbitrage Payback Engine'!$X$2:$X$6,FALSE)),-1)))</f>
        <v>25</v>
      </c>
      <c r="V541" s="32">
        <f t="shared" si="151"/>
        <v>15</v>
      </c>
      <c r="X541" s="29">
        <f t="shared" si="152"/>
        <v>532</v>
      </c>
      <c r="Z541" s="30">
        <f t="shared" si="143"/>
        <v>14.573346116970278</v>
      </c>
      <c r="AA541" s="28" t="e">
        <f t="shared" si="144"/>
        <v>#N/A</v>
      </c>
      <c r="AB541" s="28" t="e">
        <f t="shared" si="145"/>
        <v>#VALUE!</v>
      </c>
      <c r="AC541" s="29">
        <f t="shared" si="146"/>
        <v>504.74383301707786</v>
      </c>
      <c r="AD541" s="28" t="e">
        <f t="shared" si="147"/>
        <v>#VALUE!</v>
      </c>
      <c r="AE541" s="28" t="e">
        <f t="shared" si="148"/>
        <v>#N/A</v>
      </c>
      <c r="AF541" s="28" t="e">
        <f t="shared" si="149"/>
        <v>#VALUE!</v>
      </c>
      <c r="AH541" s="31" t="e">
        <f t="shared" si="150"/>
        <v>#N/A</v>
      </c>
      <c r="AI541" s="25"/>
      <c r="AJ541" s="31"/>
    </row>
    <row r="542" spans="2:36" x14ac:dyDescent="0.25">
      <c r="B542" s="33">
        <f>'Arbitrage Payback Engine'!E542</f>
        <v>14.600739624708943</v>
      </c>
      <c r="C542" s="33">
        <f t="shared" si="136"/>
        <v>1000</v>
      </c>
      <c r="D542" s="33">
        <f>'Battery Pricing Model'!$C$17</f>
        <v>1000</v>
      </c>
      <c r="E542" s="33">
        <f t="shared" si="137"/>
        <v>999</v>
      </c>
      <c r="F542" s="33" t="str">
        <f>'Peak Models'!$B$4</f>
        <v>Default</v>
      </c>
      <c r="G542" s="33" t="e">
        <f>'Peak Models'!$Q$7</f>
        <v>#VALUE!</v>
      </c>
      <c r="H542" s="33">
        <f>'Peak Models'!$P$16</f>
        <v>1.5</v>
      </c>
      <c r="I542" s="33">
        <v>12</v>
      </c>
      <c r="J542" s="33" t="e">
        <f>'Peak Models'!$P$13</f>
        <v>#N/A</v>
      </c>
      <c r="K542" s="28" t="e">
        <f t="shared" si="138"/>
        <v>#VALUE!</v>
      </c>
      <c r="L542" s="28" t="e">
        <f>INDEX('Peak Models'!$P$34:$P$64, MATCH(TRUNC(B542, 0), 'Peak Models'!$O$34:$O$64, 0))</f>
        <v>#N/A</v>
      </c>
      <c r="M542" s="28">
        <f>'Peak Models'!$P$15*INDEX('Peak Models'!$Q$34:$Q$64, MATCH(TRUNC(B542, 0),'Peak Models'!$O$34:$O$64, 0))/'Profit per cycles Model'!$E$78</f>
        <v>6.649288569288311</v>
      </c>
      <c r="N542" s="28" t="e">
        <f t="shared" si="139"/>
        <v>#N/A</v>
      </c>
      <c r="O542" s="71" t="e">
        <f>AVERAGE($N$10:N542)</f>
        <v>#N/A</v>
      </c>
      <c r="P542" s="28" t="e">
        <f t="shared" si="140"/>
        <v>#N/A</v>
      </c>
      <c r="R542" s="28" t="e">
        <f t="shared" si="141"/>
        <v>#VALUE!</v>
      </c>
      <c r="S542" s="25"/>
      <c r="T542" s="25">
        <f t="shared" si="142"/>
        <v>15</v>
      </c>
      <c r="U542" s="33">
        <f>IF(PaybackCustom&gt;0, IF(PaybackCustom&lt;&gt;"Default", PaybackCustom, IF(PaybackStatus&lt;&gt;"",INDEX('Arbitrage Payback Engine'!$Y$2:$Y$6,MATCH(PaybackStatus,'Arbitrage Payback Engine'!$X$2:$X$6,FALSE)),-1)))</f>
        <v>25</v>
      </c>
      <c r="V542" s="32">
        <f t="shared" si="151"/>
        <v>15</v>
      </c>
      <c r="X542" s="29">
        <f t="shared" si="152"/>
        <v>533</v>
      </c>
      <c r="Z542" s="30">
        <f t="shared" si="143"/>
        <v>14.600739624708943</v>
      </c>
      <c r="AA542" s="28" t="e">
        <f t="shared" si="144"/>
        <v>#N/A</v>
      </c>
      <c r="AB542" s="28" t="e">
        <f t="shared" si="145"/>
        <v>#VALUE!</v>
      </c>
      <c r="AC542" s="29">
        <f t="shared" si="146"/>
        <v>505.69259962049335</v>
      </c>
      <c r="AD542" s="28" t="e">
        <f t="shared" si="147"/>
        <v>#VALUE!</v>
      </c>
      <c r="AE542" s="28" t="e">
        <f t="shared" si="148"/>
        <v>#N/A</v>
      </c>
      <c r="AF542" s="28" t="e">
        <f t="shared" si="149"/>
        <v>#VALUE!</v>
      </c>
      <c r="AH542" s="31" t="e">
        <f t="shared" si="150"/>
        <v>#N/A</v>
      </c>
      <c r="AI542" s="25"/>
      <c r="AJ542" s="31"/>
    </row>
    <row r="543" spans="2:36" x14ac:dyDescent="0.25">
      <c r="B543" s="33">
        <f>'Arbitrage Payback Engine'!E543</f>
        <v>14.62813313244761</v>
      </c>
      <c r="C543" s="33">
        <f t="shared" si="136"/>
        <v>1000</v>
      </c>
      <c r="D543" s="33">
        <f>'Battery Pricing Model'!$C$17</f>
        <v>1000</v>
      </c>
      <c r="E543" s="33">
        <f t="shared" si="137"/>
        <v>999</v>
      </c>
      <c r="F543" s="33" t="str">
        <f>'Peak Models'!$B$4</f>
        <v>Default</v>
      </c>
      <c r="G543" s="33" t="e">
        <f>'Peak Models'!$Q$7</f>
        <v>#VALUE!</v>
      </c>
      <c r="H543" s="33">
        <f>'Peak Models'!$P$16</f>
        <v>1.5</v>
      </c>
      <c r="I543" s="33">
        <v>12</v>
      </c>
      <c r="J543" s="33" t="e">
        <f>'Peak Models'!$P$13</f>
        <v>#N/A</v>
      </c>
      <c r="K543" s="28" t="e">
        <f t="shared" si="138"/>
        <v>#VALUE!</v>
      </c>
      <c r="L543" s="28" t="e">
        <f>INDEX('Peak Models'!$P$34:$P$64, MATCH(TRUNC(B543, 0), 'Peak Models'!$O$34:$O$64, 0))</f>
        <v>#N/A</v>
      </c>
      <c r="M543" s="28">
        <f>'Peak Models'!$P$15*INDEX('Peak Models'!$Q$34:$Q$64, MATCH(TRUNC(B543, 0),'Peak Models'!$O$34:$O$64, 0))/'Profit per cycles Model'!$E$78</f>
        <v>6.649288569288311</v>
      </c>
      <c r="N543" s="28" t="e">
        <f t="shared" si="139"/>
        <v>#N/A</v>
      </c>
      <c r="O543" s="71" t="e">
        <f>AVERAGE($N$10:N543)</f>
        <v>#N/A</v>
      </c>
      <c r="P543" s="28" t="e">
        <f t="shared" si="140"/>
        <v>#N/A</v>
      </c>
      <c r="R543" s="28" t="e">
        <f t="shared" si="141"/>
        <v>#VALUE!</v>
      </c>
      <c r="S543" s="25"/>
      <c r="T543" s="25">
        <f t="shared" si="142"/>
        <v>15</v>
      </c>
      <c r="U543" s="33">
        <f>IF(PaybackCustom&gt;0, IF(PaybackCustom&lt;&gt;"Default", PaybackCustom, IF(PaybackStatus&lt;&gt;"",INDEX('Arbitrage Payback Engine'!$Y$2:$Y$6,MATCH(PaybackStatus,'Arbitrage Payback Engine'!$X$2:$X$6,FALSE)),-1)))</f>
        <v>25</v>
      </c>
      <c r="V543" s="32">
        <f t="shared" si="151"/>
        <v>15</v>
      </c>
      <c r="X543" s="29">
        <f t="shared" si="152"/>
        <v>534</v>
      </c>
      <c r="Z543" s="30">
        <f t="shared" si="143"/>
        <v>14.62813313244761</v>
      </c>
      <c r="AA543" s="28" t="e">
        <f t="shared" si="144"/>
        <v>#N/A</v>
      </c>
      <c r="AB543" s="28" t="e">
        <f t="shared" si="145"/>
        <v>#VALUE!</v>
      </c>
      <c r="AC543" s="29">
        <f t="shared" si="146"/>
        <v>506.64136622390896</v>
      </c>
      <c r="AD543" s="28" t="e">
        <f t="shared" si="147"/>
        <v>#VALUE!</v>
      </c>
      <c r="AE543" s="28" t="e">
        <f t="shared" si="148"/>
        <v>#N/A</v>
      </c>
      <c r="AF543" s="28" t="e">
        <f t="shared" si="149"/>
        <v>#VALUE!</v>
      </c>
      <c r="AH543" s="31" t="e">
        <f t="shared" si="150"/>
        <v>#N/A</v>
      </c>
      <c r="AI543" s="25"/>
      <c r="AJ543" s="31"/>
    </row>
    <row r="544" spans="2:36" x14ac:dyDescent="0.25">
      <c r="B544" s="33">
        <f>'Arbitrage Payback Engine'!E544</f>
        <v>14.655526640186276</v>
      </c>
      <c r="C544" s="33">
        <f t="shared" si="136"/>
        <v>1000</v>
      </c>
      <c r="D544" s="33">
        <f>'Battery Pricing Model'!$C$17</f>
        <v>1000</v>
      </c>
      <c r="E544" s="33">
        <f t="shared" si="137"/>
        <v>999</v>
      </c>
      <c r="F544" s="33" t="str">
        <f>'Peak Models'!$B$4</f>
        <v>Default</v>
      </c>
      <c r="G544" s="33" t="e">
        <f>'Peak Models'!$Q$7</f>
        <v>#VALUE!</v>
      </c>
      <c r="H544" s="33">
        <f>'Peak Models'!$P$16</f>
        <v>1.5</v>
      </c>
      <c r="I544" s="33">
        <v>12</v>
      </c>
      <c r="J544" s="33" t="e">
        <f>'Peak Models'!$P$13</f>
        <v>#N/A</v>
      </c>
      <c r="K544" s="28" t="e">
        <f t="shared" si="138"/>
        <v>#VALUE!</v>
      </c>
      <c r="L544" s="28" t="e">
        <f>INDEX('Peak Models'!$P$34:$P$64, MATCH(TRUNC(B544, 0), 'Peak Models'!$O$34:$O$64, 0))</f>
        <v>#N/A</v>
      </c>
      <c r="M544" s="28">
        <f>'Peak Models'!$P$15*INDEX('Peak Models'!$Q$34:$Q$64, MATCH(TRUNC(B544, 0),'Peak Models'!$O$34:$O$64, 0))/'Profit per cycles Model'!$E$78</f>
        <v>6.649288569288311</v>
      </c>
      <c r="N544" s="28" t="e">
        <f t="shared" si="139"/>
        <v>#N/A</v>
      </c>
      <c r="O544" s="71" t="e">
        <f>AVERAGE($N$10:N544)</f>
        <v>#N/A</v>
      </c>
      <c r="P544" s="28" t="e">
        <f t="shared" si="140"/>
        <v>#N/A</v>
      </c>
      <c r="R544" s="28" t="e">
        <f t="shared" si="141"/>
        <v>#VALUE!</v>
      </c>
      <c r="S544" s="25"/>
      <c r="T544" s="25">
        <f t="shared" si="142"/>
        <v>15</v>
      </c>
      <c r="U544" s="33">
        <f>IF(PaybackCustom&gt;0, IF(PaybackCustom&lt;&gt;"Default", PaybackCustom, IF(PaybackStatus&lt;&gt;"",INDEX('Arbitrage Payback Engine'!$Y$2:$Y$6,MATCH(PaybackStatus,'Arbitrage Payback Engine'!$X$2:$X$6,FALSE)),-1)))</f>
        <v>25</v>
      </c>
      <c r="V544" s="32">
        <f t="shared" si="151"/>
        <v>15</v>
      </c>
      <c r="X544" s="29">
        <f t="shared" si="152"/>
        <v>535</v>
      </c>
      <c r="Z544" s="30">
        <f t="shared" si="143"/>
        <v>14.655526640186276</v>
      </c>
      <c r="AA544" s="28" t="e">
        <f t="shared" si="144"/>
        <v>#N/A</v>
      </c>
      <c r="AB544" s="28" t="e">
        <f t="shared" si="145"/>
        <v>#VALUE!</v>
      </c>
      <c r="AC544" s="29">
        <f t="shared" si="146"/>
        <v>507.59013282732451</v>
      </c>
      <c r="AD544" s="28" t="e">
        <f t="shared" si="147"/>
        <v>#VALUE!</v>
      </c>
      <c r="AE544" s="28" t="e">
        <f t="shared" si="148"/>
        <v>#N/A</v>
      </c>
      <c r="AF544" s="28" t="e">
        <f t="shared" si="149"/>
        <v>#VALUE!</v>
      </c>
      <c r="AH544" s="31" t="e">
        <f t="shared" si="150"/>
        <v>#N/A</v>
      </c>
      <c r="AI544" s="25"/>
      <c r="AJ544" s="31"/>
    </row>
    <row r="545" spans="2:36" x14ac:dyDescent="0.25">
      <c r="B545" s="33">
        <f>'Arbitrage Payback Engine'!E545</f>
        <v>14.682920147924941</v>
      </c>
      <c r="C545" s="33">
        <f t="shared" si="136"/>
        <v>1000</v>
      </c>
      <c r="D545" s="33">
        <f>'Battery Pricing Model'!$C$17</f>
        <v>1000</v>
      </c>
      <c r="E545" s="33">
        <f t="shared" si="137"/>
        <v>999</v>
      </c>
      <c r="F545" s="33" t="str">
        <f>'Peak Models'!$B$4</f>
        <v>Default</v>
      </c>
      <c r="G545" s="33" t="e">
        <f>'Peak Models'!$Q$7</f>
        <v>#VALUE!</v>
      </c>
      <c r="H545" s="33">
        <f>'Peak Models'!$P$16</f>
        <v>1.5</v>
      </c>
      <c r="I545" s="33">
        <v>12</v>
      </c>
      <c r="J545" s="33" t="e">
        <f>'Peak Models'!$P$13</f>
        <v>#N/A</v>
      </c>
      <c r="K545" s="28" t="e">
        <f t="shared" si="138"/>
        <v>#VALUE!</v>
      </c>
      <c r="L545" s="28" t="e">
        <f>INDEX('Peak Models'!$P$34:$P$64, MATCH(TRUNC(B545, 0), 'Peak Models'!$O$34:$O$64, 0))</f>
        <v>#N/A</v>
      </c>
      <c r="M545" s="28">
        <f>'Peak Models'!$P$15*INDEX('Peak Models'!$Q$34:$Q$64, MATCH(TRUNC(B545, 0),'Peak Models'!$O$34:$O$64, 0))/'Profit per cycles Model'!$E$78</f>
        <v>6.649288569288311</v>
      </c>
      <c r="N545" s="28" t="e">
        <f t="shared" si="139"/>
        <v>#N/A</v>
      </c>
      <c r="O545" s="71" t="e">
        <f>AVERAGE($N$10:N545)</f>
        <v>#N/A</v>
      </c>
      <c r="P545" s="28" t="e">
        <f t="shared" si="140"/>
        <v>#N/A</v>
      </c>
      <c r="R545" s="28" t="e">
        <f t="shared" si="141"/>
        <v>#VALUE!</v>
      </c>
      <c r="S545" s="25"/>
      <c r="T545" s="25">
        <f t="shared" si="142"/>
        <v>15</v>
      </c>
      <c r="U545" s="33">
        <f>IF(PaybackCustom&gt;0, IF(PaybackCustom&lt;&gt;"Default", PaybackCustom, IF(PaybackStatus&lt;&gt;"",INDEX('Arbitrage Payback Engine'!$Y$2:$Y$6,MATCH(PaybackStatus,'Arbitrage Payback Engine'!$X$2:$X$6,FALSE)),-1)))</f>
        <v>25</v>
      </c>
      <c r="V545" s="32">
        <f t="shared" si="151"/>
        <v>15</v>
      </c>
      <c r="X545" s="29">
        <f t="shared" si="152"/>
        <v>536</v>
      </c>
      <c r="Z545" s="30">
        <f t="shared" si="143"/>
        <v>14.682920147924941</v>
      </c>
      <c r="AA545" s="28" t="e">
        <f t="shared" si="144"/>
        <v>#N/A</v>
      </c>
      <c r="AB545" s="28" t="e">
        <f t="shared" si="145"/>
        <v>#VALUE!</v>
      </c>
      <c r="AC545" s="29">
        <f t="shared" si="146"/>
        <v>508.53889943074</v>
      </c>
      <c r="AD545" s="28" t="e">
        <f t="shared" si="147"/>
        <v>#VALUE!</v>
      </c>
      <c r="AE545" s="28" t="e">
        <f t="shared" si="148"/>
        <v>#N/A</v>
      </c>
      <c r="AF545" s="28" t="e">
        <f t="shared" si="149"/>
        <v>#VALUE!</v>
      </c>
      <c r="AH545" s="31" t="e">
        <f t="shared" si="150"/>
        <v>#N/A</v>
      </c>
      <c r="AI545" s="25"/>
      <c r="AJ545" s="31"/>
    </row>
    <row r="546" spans="2:36" x14ac:dyDescent="0.25">
      <c r="B546" s="33">
        <f>'Arbitrage Payback Engine'!E546</f>
        <v>14.710313655663608</v>
      </c>
      <c r="C546" s="33">
        <f t="shared" si="136"/>
        <v>1000</v>
      </c>
      <c r="D546" s="33">
        <f>'Battery Pricing Model'!$C$17</f>
        <v>1000</v>
      </c>
      <c r="E546" s="33">
        <f t="shared" si="137"/>
        <v>999</v>
      </c>
      <c r="F546" s="33" t="str">
        <f>'Peak Models'!$B$4</f>
        <v>Default</v>
      </c>
      <c r="G546" s="33" t="e">
        <f>'Peak Models'!$Q$7</f>
        <v>#VALUE!</v>
      </c>
      <c r="H546" s="33">
        <f>'Peak Models'!$P$16</f>
        <v>1.5</v>
      </c>
      <c r="I546" s="33">
        <v>12</v>
      </c>
      <c r="J546" s="33" t="e">
        <f>'Peak Models'!$P$13</f>
        <v>#N/A</v>
      </c>
      <c r="K546" s="28" t="e">
        <f t="shared" si="138"/>
        <v>#VALUE!</v>
      </c>
      <c r="L546" s="28" t="e">
        <f>INDEX('Peak Models'!$P$34:$P$64, MATCH(TRUNC(B546, 0), 'Peak Models'!$O$34:$O$64, 0))</f>
        <v>#N/A</v>
      </c>
      <c r="M546" s="28">
        <f>'Peak Models'!$P$15*INDEX('Peak Models'!$Q$34:$Q$64, MATCH(TRUNC(B546, 0),'Peak Models'!$O$34:$O$64, 0))/'Profit per cycles Model'!$E$78</f>
        <v>6.649288569288311</v>
      </c>
      <c r="N546" s="28" t="e">
        <f t="shared" si="139"/>
        <v>#N/A</v>
      </c>
      <c r="O546" s="71" t="e">
        <f>AVERAGE($N$10:N546)</f>
        <v>#N/A</v>
      </c>
      <c r="P546" s="28" t="e">
        <f t="shared" si="140"/>
        <v>#N/A</v>
      </c>
      <c r="R546" s="28" t="e">
        <f t="shared" si="141"/>
        <v>#VALUE!</v>
      </c>
      <c r="S546" s="25"/>
      <c r="T546" s="25">
        <f t="shared" si="142"/>
        <v>15</v>
      </c>
      <c r="U546" s="33">
        <f>IF(PaybackCustom&gt;0, IF(PaybackCustom&lt;&gt;"Default", PaybackCustom, IF(PaybackStatus&lt;&gt;"",INDEX('Arbitrage Payback Engine'!$Y$2:$Y$6,MATCH(PaybackStatus,'Arbitrage Payback Engine'!$X$2:$X$6,FALSE)),-1)))</f>
        <v>25</v>
      </c>
      <c r="V546" s="32">
        <f t="shared" si="151"/>
        <v>15</v>
      </c>
      <c r="X546" s="29">
        <f t="shared" si="152"/>
        <v>537</v>
      </c>
      <c r="Z546" s="30">
        <f t="shared" si="143"/>
        <v>14.710313655663608</v>
      </c>
      <c r="AA546" s="28" t="e">
        <f t="shared" si="144"/>
        <v>#N/A</v>
      </c>
      <c r="AB546" s="28" t="e">
        <f t="shared" si="145"/>
        <v>#VALUE!</v>
      </c>
      <c r="AC546" s="29">
        <f t="shared" si="146"/>
        <v>509.48766603415561</v>
      </c>
      <c r="AD546" s="28" t="e">
        <f t="shared" si="147"/>
        <v>#VALUE!</v>
      </c>
      <c r="AE546" s="28" t="e">
        <f t="shared" si="148"/>
        <v>#N/A</v>
      </c>
      <c r="AF546" s="28" t="e">
        <f t="shared" si="149"/>
        <v>#VALUE!</v>
      </c>
      <c r="AH546" s="31" t="e">
        <f t="shared" si="150"/>
        <v>#N/A</v>
      </c>
      <c r="AI546" s="25"/>
      <c r="AJ546" s="31"/>
    </row>
    <row r="547" spans="2:36" x14ac:dyDescent="0.25">
      <c r="B547" s="33">
        <f>'Arbitrage Payback Engine'!E547</f>
        <v>14.737707163402273</v>
      </c>
      <c r="C547" s="33">
        <f t="shared" si="136"/>
        <v>1000</v>
      </c>
      <c r="D547" s="33">
        <f>'Battery Pricing Model'!$C$17</f>
        <v>1000</v>
      </c>
      <c r="E547" s="33">
        <f t="shared" si="137"/>
        <v>999</v>
      </c>
      <c r="F547" s="33" t="str">
        <f>'Peak Models'!$B$4</f>
        <v>Default</v>
      </c>
      <c r="G547" s="33" t="e">
        <f>'Peak Models'!$Q$7</f>
        <v>#VALUE!</v>
      </c>
      <c r="H547" s="33">
        <f>'Peak Models'!$P$16</f>
        <v>1.5</v>
      </c>
      <c r="I547" s="33">
        <v>12</v>
      </c>
      <c r="J547" s="33" t="e">
        <f>'Peak Models'!$P$13</f>
        <v>#N/A</v>
      </c>
      <c r="K547" s="28" t="e">
        <f t="shared" si="138"/>
        <v>#VALUE!</v>
      </c>
      <c r="L547" s="28" t="e">
        <f>INDEX('Peak Models'!$P$34:$P$64, MATCH(TRUNC(B547, 0), 'Peak Models'!$O$34:$O$64, 0))</f>
        <v>#N/A</v>
      </c>
      <c r="M547" s="28">
        <f>'Peak Models'!$P$15*INDEX('Peak Models'!$Q$34:$Q$64, MATCH(TRUNC(B547, 0),'Peak Models'!$O$34:$O$64, 0))/'Profit per cycles Model'!$E$78</f>
        <v>6.649288569288311</v>
      </c>
      <c r="N547" s="28" t="e">
        <f t="shared" si="139"/>
        <v>#N/A</v>
      </c>
      <c r="O547" s="71" t="e">
        <f>AVERAGE($N$10:N547)</f>
        <v>#N/A</v>
      </c>
      <c r="P547" s="28" t="e">
        <f t="shared" si="140"/>
        <v>#N/A</v>
      </c>
      <c r="R547" s="28" t="e">
        <f t="shared" si="141"/>
        <v>#VALUE!</v>
      </c>
      <c r="S547" s="25"/>
      <c r="T547" s="25">
        <f t="shared" si="142"/>
        <v>15</v>
      </c>
      <c r="U547" s="33">
        <f>IF(PaybackCustom&gt;0, IF(PaybackCustom&lt;&gt;"Default", PaybackCustom, IF(PaybackStatus&lt;&gt;"",INDEX('Arbitrage Payback Engine'!$Y$2:$Y$6,MATCH(PaybackStatus,'Arbitrage Payback Engine'!$X$2:$X$6,FALSE)),-1)))</f>
        <v>25</v>
      </c>
      <c r="V547" s="32">
        <f t="shared" si="151"/>
        <v>15</v>
      </c>
      <c r="X547" s="29">
        <f t="shared" si="152"/>
        <v>538</v>
      </c>
      <c r="Z547" s="30">
        <f t="shared" si="143"/>
        <v>14.737707163402273</v>
      </c>
      <c r="AA547" s="28" t="e">
        <f t="shared" si="144"/>
        <v>#N/A</v>
      </c>
      <c r="AB547" s="28" t="e">
        <f t="shared" si="145"/>
        <v>#VALUE!</v>
      </c>
      <c r="AC547" s="29">
        <f t="shared" si="146"/>
        <v>510.43643263757122</v>
      </c>
      <c r="AD547" s="28" t="e">
        <f t="shared" si="147"/>
        <v>#VALUE!</v>
      </c>
      <c r="AE547" s="28" t="e">
        <f t="shared" si="148"/>
        <v>#N/A</v>
      </c>
      <c r="AF547" s="28" t="e">
        <f t="shared" si="149"/>
        <v>#VALUE!</v>
      </c>
      <c r="AH547" s="31" t="e">
        <f t="shared" si="150"/>
        <v>#N/A</v>
      </c>
      <c r="AI547" s="25"/>
      <c r="AJ547" s="31"/>
    </row>
    <row r="548" spans="2:36" x14ac:dyDescent="0.25">
      <c r="B548" s="33">
        <f>'Arbitrage Payback Engine'!E548</f>
        <v>14.765100671140939</v>
      </c>
      <c r="C548" s="33">
        <f t="shared" si="136"/>
        <v>1000</v>
      </c>
      <c r="D548" s="33">
        <f>'Battery Pricing Model'!$C$17</f>
        <v>1000</v>
      </c>
      <c r="E548" s="33">
        <f t="shared" si="137"/>
        <v>999</v>
      </c>
      <c r="F548" s="33" t="str">
        <f>'Peak Models'!$B$4</f>
        <v>Default</v>
      </c>
      <c r="G548" s="33" t="e">
        <f>'Peak Models'!$Q$7</f>
        <v>#VALUE!</v>
      </c>
      <c r="H548" s="33">
        <f>'Peak Models'!$P$16</f>
        <v>1.5</v>
      </c>
      <c r="I548" s="33">
        <v>12</v>
      </c>
      <c r="J548" s="33" t="e">
        <f>'Peak Models'!$P$13</f>
        <v>#N/A</v>
      </c>
      <c r="K548" s="28" t="e">
        <f t="shared" si="138"/>
        <v>#VALUE!</v>
      </c>
      <c r="L548" s="28" t="e">
        <f>INDEX('Peak Models'!$P$34:$P$64, MATCH(TRUNC(B548, 0), 'Peak Models'!$O$34:$O$64, 0))</f>
        <v>#N/A</v>
      </c>
      <c r="M548" s="28">
        <f>'Peak Models'!$P$15*INDEX('Peak Models'!$Q$34:$Q$64, MATCH(TRUNC(B548, 0),'Peak Models'!$O$34:$O$64, 0))/'Profit per cycles Model'!$E$78</f>
        <v>6.649288569288311</v>
      </c>
      <c r="N548" s="28" t="e">
        <f t="shared" si="139"/>
        <v>#N/A</v>
      </c>
      <c r="O548" s="71" t="e">
        <f>AVERAGE($N$10:N548)</f>
        <v>#N/A</v>
      </c>
      <c r="P548" s="28" t="e">
        <f t="shared" si="140"/>
        <v>#N/A</v>
      </c>
      <c r="R548" s="28" t="e">
        <f t="shared" si="141"/>
        <v>#VALUE!</v>
      </c>
      <c r="S548" s="25"/>
      <c r="T548" s="25">
        <f t="shared" si="142"/>
        <v>15</v>
      </c>
      <c r="U548" s="33">
        <f>IF(PaybackCustom&gt;0, IF(PaybackCustom&lt;&gt;"Default", PaybackCustom, IF(PaybackStatus&lt;&gt;"",INDEX('Arbitrage Payback Engine'!$Y$2:$Y$6,MATCH(PaybackStatus,'Arbitrage Payback Engine'!$X$2:$X$6,FALSE)),-1)))</f>
        <v>25</v>
      </c>
      <c r="V548" s="32">
        <f t="shared" si="151"/>
        <v>15</v>
      </c>
      <c r="X548" s="29">
        <f t="shared" si="152"/>
        <v>539</v>
      </c>
      <c r="Z548" s="30">
        <f t="shared" si="143"/>
        <v>14.765100671140939</v>
      </c>
      <c r="AA548" s="28" t="e">
        <f t="shared" si="144"/>
        <v>#N/A</v>
      </c>
      <c r="AB548" s="28" t="e">
        <f t="shared" si="145"/>
        <v>#VALUE!</v>
      </c>
      <c r="AC548" s="29">
        <f t="shared" si="146"/>
        <v>511.38519924098671</v>
      </c>
      <c r="AD548" s="28" t="e">
        <f t="shared" si="147"/>
        <v>#VALUE!</v>
      </c>
      <c r="AE548" s="28" t="e">
        <f t="shared" si="148"/>
        <v>#N/A</v>
      </c>
      <c r="AF548" s="28" t="e">
        <f t="shared" si="149"/>
        <v>#VALUE!</v>
      </c>
      <c r="AH548" s="31" t="e">
        <f t="shared" si="150"/>
        <v>#N/A</v>
      </c>
      <c r="AI548" s="25"/>
      <c r="AJ548" s="31"/>
    </row>
    <row r="549" spans="2:36" x14ac:dyDescent="0.25">
      <c r="B549" s="33">
        <f>'Arbitrage Payback Engine'!E549</f>
        <v>14.792494178879606</v>
      </c>
      <c r="C549" s="33">
        <f t="shared" si="136"/>
        <v>1000</v>
      </c>
      <c r="D549" s="33">
        <f>'Battery Pricing Model'!$C$17</f>
        <v>1000</v>
      </c>
      <c r="E549" s="33">
        <f t="shared" si="137"/>
        <v>999</v>
      </c>
      <c r="F549" s="33" t="str">
        <f>'Peak Models'!$B$4</f>
        <v>Default</v>
      </c>
      <c r="G549" s="33" t="e">
        <f>'Peak Models'!$Q$7</f>
        <v>#VALUE!</v>
      </c>
      <c r="H549" s="33">
        <f>'Peak Models'!$P$16</f>
        <v>1.5</v>
      </c>
      <c r="I549" s="33">
        <v>12</v>
      </c>
      <c r="J549" s="33" t="e">
        <f>'Peak Models'!$P$13</f>
        <v>#N/A</v>
      </c>
      <c r="K549" s="28" t="e">
        <f t="shared" si="138"/>
        <v>#VALUE!</v>
      </c>
      <c r="L549" s="28" t="e">
        <f>INDEX('Peak Models'!$P$34:$P$64, MATCH(TRUNC(B549, 0), 'Peak Models'!$O$34:$O$64, 0))</f>
        <v>#N/A</v>
      </c>
      <c r="M549" s="28">
        <f>'Peak Models'!$P$15*INDEX('Peak Models'!$Q$34:$Q$64, MATCH(TRUNC(B549, 0),'Peak Models'!$O$34:$O$64, 0))/'Profit per cycles Model'!$E$78</f>
        <v>6.649288569288311</v>
      </c>
      <c r="N549" s="28" t="e">
        <f t="shared" si="139"/>
        <v>#N/A</v>
      </c>
      <c r="O549" s="71" t="e">
        <f>AVERAGE($N$10:N549)</f>
        <v>#N/A</v>
      </c>
      <c r="P549" s="28" t="e">
        <f t="shared" si="140"/>
        <v>#N/A</v>
      </c>
      <c r="R549" s="28" t="e">
        <f t="shared" si="141"/>
        <v>#VALUE!</v>
      </c>
      <c r="S549" s="25"/>
      <c r="T549" s="25">
        <f t="shared" si="142"/>
        <v>15</v>
      </c>
      <c r="U549" s="33">
        <f>IF(PaybackCustom&gt;0, IF(PaybackCustom&lt;&gt;"Default", PaybackCustom, IF(PaybackStatus&lt;&gt;"",INDEX('Arbitrage Payback Engine'!$Y$2:$Y$6,MATCH(PaybackStatus,'Arbitrage Payback Engine'!$X$2:$X$6,FALSE)),-1)))</f>
        <v>25</v>
      </c>
      <c r="V549" s="32">
        <f t="shared" si="151"/>
        <v>15</v>
      </c>
      <c r="X549" s="29">
        <f t="shared" si="152"/>
        <v>540</v>
      </c>
      <c r="Z549" s="30">
        <f t="shared" si="143"/>
        <v>14.792494178879606</v>
      </c>
      <c r="AA549" s="28" t="e">
        <f t="shared" si="144"/>
        <v>#N/A</v>
      </c>
      <c r="AB549" s="28" t="e">
        <f t="shared" si="145"/>
        <v>#VALUE!</v>
      </c>
      <c r="AC549" s="29">
        <f t="shared" si="146"/>
        <v>512.33396584440231</v>
      </c>
      <c r="AD549" s="28" t="e">
        <f t="shared" si="147"/>
        <v>#VALUE!</v>
      </c>
      <c r="AE549" s="28" t="e">
        <f t="shared" si="148"/>
        <v>#N/A</v>
      </c>
      <c r="AF549" s="28" t="e">
        <f t="shared" si="149"/>
        <v>#VALUE!</v>
      </c>
      <c r="AH549" s="31" t="e">
        <f t="shared" si="150"/>
        <v>#N/A</v>
      </c>
      <c r="AI549" s="25"/>
      <c r="AJ549" s="31"/>
    </row>
    <row r="550" spans="2:36" x14ac:dyDescent="0.25">
      <c r="B550" s="33">
        <f>'Arbitrage Payback Engine'!E550</f>
        <v>14.819887686618271</v>
      </c>
      <c r="C550" s="33">
        <f t="shared" si="136"/>
        <v>1000</v>
      </c>
      <c r="D550" s="33">
        <f>'Battery Pricing Model'!$C$17</f>
        <v>1000</v>
      </c>
      <c r="E550" s="33">
        <f t="shared" si="137"/>
        <v>999</v>
      </c>
      <c r="F550" s="33" t="str">
        <f>'Peak Models'!$B$4</f>
        <v>Default</v>
      </c>
      <c r="G550" s="33" t="e">
        <f>'Peak Models'!$Q$7</f>
        <v>#VALUE!</v>
      </c>
      <c r="H550" s="33">
        <f>'Peak Models'!$P$16</f>
        <v>1.5</v>
      </c>
      <c r="I550" s="33">
        <v>12</v>
      </c>
      <c r="J550" s="33" t="e">
        <f>'Peak Models'!$P$13</f>
        <v>#N/A</v>
      </c>
      <c r="K550" s="28" t="e">
        <f t="shared" si="138"/>
        <v>#VALUE!</v>
      </c>
      <c r="L550" s="28" t="e">
        <f>INDEX('Peak Models'!$P$34:$P$64, MATCH(TRUNC(B550, 0), 'Peak Models'!$O$34:$O$64, 0))</f>
        <v>#N/A</v>
      </c>
      <c r="M550" s="28">
        <f>'Peak Models'!$P$15*INDEX('Peak Models'!$Q$34:$Q$64, MATCH(TRUNC(B550, 0),'Peak Models'!$O$34:$O$64, 0))/'Profit per cycles Model'!$E$78</f>
        <v>6.649288569288311</v>
      </c>
      <c r="N550" s="28" t="e">
        <f t="shared" si="139"/>
        <v>#N/A</v>
      </c>
      <c r="O550" s="71" t="e">
        <f>AVERAGE($N$10:N550)</f>
        <v>#N/A</v>
      </c>
      <c r="P550" s="28" t="e">
        <f t="shared" si="140"/>
        <v>#N/A</v>
      </c>
      <c r="R550" s="28" t="e">
        <f t="shared" si="141"/>
        <v>#VALUE!</v>
      </c>
      <c r="S550" s="25"/>
      <c r="T550" s="25">
        <f t="shared" si="142"/>
        <v>15</v>
      </c>
      <c r="U550" s="33">
        <f>IF(PaybackCustom&gt;0, IF(PaybackCustom&lt;&gt;"Default", PaybackCustom, IF(PaybackStatus&lt;&gt;"",INDEX('Arbitrage Payback Engine'!$Y$2:$Y$6,MATCH(PaybackStatus,'Arbitrage Payback Engine'!$X$2:$X$6,FALSE)),-1)))</f>
        <v>25</v>
      </c>
      <c r="V550" s="32">
        <f t="shared" si="151"/>
        <v>15</v>
      </c>
      <c r="X550" s="29">
        <f t="shared" si="152"/>
        <v>541</v>
      </c>
      <c r="Z550" s="30">
        <f t="shared" si="143"/>
        <v>14.819887686618271</v>
      </c>
      <c r="AA550" s="28" t="e">
        <f t="shared" si="144"/>
        <v>#N/A</v>
      </c>
      <c r="AB550" s="28" t="e">
        <f t="shared" si="145"/>
        <v>#VALUE!</v>
      </c>
      <c r="AC550" s="29">
        <f t="shared" si="146"/>
        <v>513.28273244781781</v>
      </c>
      <c r="AD550" s="28" t="e">
        <f t="shared" si="147"/>
        <v>#VALUE!</v>
      </c>
      <c r="AE550" s="28" t="e">
        <f t="shared" si="148"/>
        <v>#N/A</v>
      </c>
      <c r="AF550" s="28" t="e">
        <f t="shared" si="149"/>
        <v>#VALUE!</v>
      </c>
      <c r="AH550" s="31" t="e">
        <f t="shared" si="150"/>
        <v>#N/A</v>
      </c>
      <c r="AI550" s="25"/>
      <c r="AJ550" s="31"/>
    </row>
    <row r="551" spans="2:36" x14ac:dyDescent="0.25">
      <c r="B551" s="33">
        <f>'Arbitrage Payback Engine'!E551</f>
        <v>14.847281194356936</v>
      </c>
      <c r="C551" s="33">
        <f t="shared" si="136"/>
        <v>1000</v>
      </c>
      <c r="D551" s="33">
        <f>'Battery Pricing Model'!$C$17</f>
        <v>1000</v>
      </c>
      <c r="E551" s="33">
        <f t="shared" si="137"/>
        <v>999</v>
      </c>
      <c r="F551" s="33" t="str">
        <f>'Peak Models'!$B$4</f>
        <v>Default</v>
      </c>
      <c r="G551" s="33" t="e">
        <f>'Peak Models'!$Q$7</f>
        <v>#VALUE!</v>
      </c>
      <c r="H551" s="33">
        <f>'Peak Models'!$P$16</f>
        <v>1.5</v>
      </c>
      <c r="I551" s="33">
        <v>12</v>
      </c>
      <c r="J551" s="33" t="e">
        <f>'Peak Models'!$P$13</f>
        <v>#N/A</v>
      </c>
      <c r="K551" s="28" t="e">
        <f t="shared" si="138"/>
        <v>#VALUE!</v>
      </c>
      <c r="L551" s="28" t="e">
        <f>INDEX('Peak Models'!$P$34:$P$64, MATCH(TRUNC(B551, 0), 'Peak Models'!$O$34:$O$64, 0))</f>
        <v>#N/A</v>
      </c>
      <c r="M551" s="28">
        <f>'Peak Models'!$P$15*INDEX('Peak Models'!$Q$34:$Q$64, MATCH(TRUNC(B551, 0),'Peak Models'!$O$34:$O$64, 0))/'Profit per cycles Model'!$E$78</f>
        <v>6.649288569288311</v>
      </c>
      <c r="N551" s="28" t="e">
        <f t="shared" si="139"/>
        <v>#N/A</v>
      </c>
      <c r="O551" s="71" t="e">
        <f>AVERAGE($N$10:N551)</f>
        <v>#N/A</v>
      </c>
      <c r="P551" s="28" t="e">
        <f t="shared" si="140"/>
        <v>#N/A</v>
      </c>
      <c r="R551" s="28" t="e">
        <f t="shared" si="141"/>
        <v>#VALUE!</v>
      </c>
      <c r="S551" s="25"/>
      <c r="T551" s="25">
        <f t="shared" si="142"/>
        <v>15</v>
      </c>
      <c r="U551" s="33">
        <f>IF(PaybackCustom&gt;0, IF(PaybackCustom&lt;&gt;"Default", PaybackCustom, IF(PaybackStatus&lt;&gt;"",INDEX('Arbitrage Payback Engine'!$Y$2:$Y$6,MATCH(PaybackStatus,'Arbitrage Payback Engine'!$X$2:$X$6,FALSE)),-1)))</f>
        <v>25</v>
      </c>
      <c r="V551" s="32">
        <f t="shared" si="151"/>
        <v>15</v>
      </c>
      <c r="X551" s="29">
        <f t="shared" si="152"/>
        <v>542</v>
      </c>
      <c r="Z551" s="30">
        <f t="shared" si="143"/>
        <v>14.847281194356936</v>
      </c>
      <c r="AA551" s="28" t="e">
        <f t="shared" si="144"/>
        <v>#N/A</v>
      </c>
      <c r="AB551" s="28" t="e">
        <f t="shared" si="145"/>
        <v>#VALUE!</v>
      </c>
      <c r="AC551" s="29">
        <f t="shared" si="146"/>
        <v>514.23149905123341</v>
      </c>
      <c r="AD551" s="28" t="e">
        <f t="shared" si="147"/>
        <v>#VALUE!</v>
      </c>
      <c r="AE551" s="28" t="e">
        <f t="shared" si="148"/>
        <v>#N/A</v>
      </c>
      <c r="AF551" s="28" t="e">
        <f t="shared" si="149"/>
        <v>#VALUE!</v>
      </c>
      <c r="AH551" s="31" t="e">
        <f t="shared" si="150"/>
        <v>#N/A</v>
      </c>
      <c r="AI551" s="25"/>
      <c r="AJ551" s="31"/>
    </row>
    <row r="552" spans="2:36" x14ac:dyDescent="0.25">
      <c r="B552" s="33">
        <f>'Arbitrage Payback Engine'!E552</f>
        <v>14.874674702095604</v>
      </c>
      <c r="C552" s="33">
        <f t="shared" si="136"/>
        <v>1000</v>
      </c>
      <c r="D552" s="33">
        <f>'Battery Pricing Model'!$C$17</f>
        <v>1000</v>
      </c>
      <c r="E552" s="33">
        <f t="shared" si="137"/>
        <v>999</v>
      </c>
      <c r="F552" s="33" t="str">
        <f>'Peak Models'!$B$4</f>
        <v>Default</v>
      </c>
      <c r="G552" s="33" t="e">
        <f>'Peak Models'!$Q$7</f>
        <v>#VALUE!</v>
      </c>
      <c r="H552" s="33">
        <f>'Peak Models'!$P$16</f>
        <v>1.5</v>
      </c>
      <c r="I552" s="33">
        <v>12</v>
      </c>
      <c r="J552" s="33" t="e">
        <f>'Peak Models'!$P$13</f>
        <v>#N/A</v>
      </c>
      <c r="K552" s="28" t="e">
        <f t="shared" si="138"/>
        <v>#VALUE!</v>
      </c>
      <c r="L552" s="28" t="e">
        <f>INDEX('Peak Models'!$P$34:$P$64, MATCH(TRUNC(B552, 0), 'Peak Models'!$O$34:$O$64, 0))</f>
        <v>#N/A</v>
      </c>
      <c r="M552" s="28">
        <f>'Peak Models'!$P$15*INDEX('Peak Models'!$Q$34:$Q$64, MATCH(TRUNC(B552, 0),'Peak Models'!$O$34:$O$64, 0))/'Profit per cycles Model'!$E$78</f>
        <v>6.649288569288311</v>
      </c>
      <c r="N552" s="28" t="e">
        <f t="shared" si="139"/>
        <v>#N/A</v>
      </c>
      <c r="O552" s="71" t="e">
        <f>AVERAGE($N$10:N552)</f>
        <v>#N/A</v>
      </c>
      <c r="P552" s="28" t="e">
        <f t="shared" si="140"/>
        <v>#N/A</v>
      </c>
      <c r="R552" s="28" t="e">
        <f t="shared" si="141"/>
        <v>#VALUE!</v>
      </c>
      <c r="S552" s="25"/>
      <c r="T552" s="25">
        <f t="shared" si="142"/>
        <v>15</v>
      </c>
      <c r="U552" s="33">
        <f>IF(PaybackCustom&gt;0, IF(PaybackCustom&lt;&gt;"Default", PaybackCustom, IF(PaybackStatus&lt;&gt;"",INDEX('Arbitrage Payback Engine'!$Y$2:$Y$6,MATCH(PaybackStatus,'Arbitrage Payback Engine'!$X$2:$X$6,FALSE)),-1)))</f>
        <v>25</v>
      </c>
      <c r="V552" s="32">
        <f t="shared" si="151"/>
        <v>15</v>
      </c>
      <c r="X552" s="29">
        <f t="shared" si="152"/>
        <v>543</v>
      </c>
      <c r="Z552" s="30">
        <f t="shared" si="143"/>
        <v>14.874674702095604</v>
      </c>
      <c r="AA552" s="28" t="e">
        <f t="shared" si="144"/>
        <v>#N/A</v>
      </c>
      <c r="AB552" s="28" t="e">
        <f t="shared" si="145"/>
        <v>#VALUE!</v>
      </c>
      <c r="AC552" s="29">
        <f t="shared" si="146"/>
        <v>515.18026565464891</v>
      </c>
      <c r="AD552" s="28" t="e">
        <f t="shared" si="147"/>
        <v>#VALUE!</v>
      </c>
      <c r="AE552" s="28" t="e">
        <f t="shared" si="148"/>
        <v>#N/A</v>
      </c>
      <c r="AF552" s="28" t="e">
        <f t="shared" si="149"/>
        <v>#VALUE!</v>
      </c>
      <c r="AH552" s="31" t="e">
        <f t="shared" si="150"/>
        <v>#N/A</v>
      </c>
      <c r="AI552" s="25"/>
      <c r="AJ552" s="31"/>
    </row>
    <row r="553" spans="2:36" x14ac:dyDescent="0.25">
      <c r="B553" s="33">
        <f>'Arbitrage Payback Engine'!E553</f>
        <v>14.902068209834269</v>
      </c>
      <c r="C553" s="33">
        <f t="shared" si="136"/>
        <v>1000</v>
      </c>
      <c r="D553" s="33">
        <f>'Battery Pricing Model'!$C$17</f>
        <v>1000</v>
      </c>
      <c r="E553" s="33">
        <f t="shared" si="137"/>
        <v>999</v>
      </c>
      <c r="F553" s="33" t="str">
        <f>'Peak Models'!$B$4</f>
        <v>Default</v>
      </c>
      <c r="G553" s="33" t="e">
        <f>'Peak Models'!$Q$7</f>
        <v>#VALUE!</v>
      </c>
      <c r="H553" s="33">
        <f>'Peak Models'!$P$16</f>
        <v>1.5</v>
      </c>
      <c r="I553" s="33">
        <v>12</v>
      </c>
      <c r="J553" s="33" t="e">
        <f>'Peak Models'!$P$13</f>
        <v>#N/A</v>
      </c>
      <c r="K553" s="28" t="e">
        <f t="shared" si="138"/>
        <v>#VALUE!</v>
      </c>
      <c r="L553" s="28" t="e">
        <f>INDEX('Peak Models'!$P$34:$P$64, MATCH(TRUNC(B553, 0), 'Peak Models'!$O$34:$O$64, 0))</f>
        <v>#N/A</v>
      </c>
      <c r="M553" s="28">
        <f>'Peak Models'!$P$15*INDEX('Peak Models'!$Q$34:$Q$64, MATCH(TRUNC(B553, 0),'Peak Models'!$O$34:$O$64, 0))/'Profit per cycles Model'!$E$78</f>
        <v>6.649288569288311</v>
      </c>
      <c r="N553" s="28" t="e">
        <f t="shared" si="139"/>
        <v>#N/A</v>
      </c>
      <c r="O553" s="71" t="e">
        <f>AVERAGE($N$10:N553)</f>
        <v>#N/A</v>
      </c>
      <c r="P553" s="28" t="e">
        <f t="shared" si="140"/>
        <v>#N/A</v>
      </c>
      <c r="R553" s="28" t="e">
        <f t="shared" si="141"/>
        <v>#VALUE!</v>
      </c>
      <c r="S553" s="25"/>
      <c r="T553" s="25">
        <f t="shared" si="142"/>
        <v>15</v>
      </c>
      <c r="U553" s="33">
        <f>IF(PaybackCustom&gt;0, IF(PaybackCustom&lt;&gt;"Default", PaybackCustom, IF(PaybackStatus&lt;&gt;"",INDEX('Arbitrage Payback Engine'!$Y$2:$Y$6,MATCH(PaybackStatus,'Arbitrage Payback Engine'!$X$2:$X$6,FALSE)),-1)))</f>
        <v>25</v>
      </c>
      <c r="V553" s="32">
        <f t="shared" si="151"/>
        <v>15</v>
      </c>
      <c r="X553" s="29">
        <f t="shared" si="152"/>
        <v>544</v>
      </c>
      <c r="Z553" s="30">
        <f t="shared" si="143"/>
        <v>14.902068209834269</v>
      </c>
      <c r="AA553" s="28" t="e">
        <f t="shared" si="144"/>
        <v>#N/A</v>
      </c>
      <c r="AB553" s="28" t="e">
        <f t="shared" si="145"/>
        <v>#VALUE!</v>
      </c>
      <c r="AC553" s="29">
        <f t="shared" si="146"/>
        <v>516.12903225806451</v>
      </c>
      <c r="AD553" s="28" t="e">
        <f t="shared" si="147"/>
        <v>#VALUE!</v>
      </c>
      <c r="AE553" s="28" t="e">
        <f t="shared" si="148"/>
        <v>#N/A</v>
      </c>
      <c r="AF553" s="28" t="e">
        <f t="shared" si="149"/>
        <v>#VALUE!</v>
      </c>
      <c r="AH553" s="31" t="e">
        <f t="shared" si="150"/>
        <v>#N/A</v>
      </c>
      <c r="AI553" s="25"/>
      <c r="AJ553" s="31"/>
    </row>
    <row r="554" spans="2:36" x14ac:dyDescent="0.25">
      <c r="B554" s="33">
        <f>'Arbitrage Payback Engine'!E554</f>
        <v>14.929461717572934</v>
      </c>
      <c r="C554" s="33">
        <f t="shared" si="136"/>
        <v>1000</v>
      </c>
      <c r="D554" s="33">
        <f>'Battery Pricing Model'!$C$17</f>
        <v>1000</v>
      </c>
      <c r="E554" s="33">
        <f t="shared" si="137"/>
        <v>999</v>
      </c>
      <c r="F554" s="33" t="str">
        <f>'Peak Models'!$B$4</f>
        <v>Default</v>
      </c>
      <c r="G554" s="33" t="e">
        <f>'Peak Models'!$Q$7</f>
        <v>#VALUE!</v>
      </c>
      <c r="H554" s="33">
        <f>'Peak Models'!$P$16</f>
        <v>1.5</v>
      </c>
      <c r="I554" s="33">
        <v>12</v>
      </c>
      <c r="J554" s="33" t="e">
        <f>'Peak Models'!$P$13</f>
        <v>#N/A</v>
      </c>
      <c r="K554" s="28" t="e">
        <f t="shared" si="138"/>
        <v>#VALUE!</v>
      </c>
      <c r="L554" s="28" t="e">
        <f>INDEX('Peak Models'!$P$34:$P$64, MATCH(TRUNC(B554, 0), 'Peak Models'!$O$34:$O$64, 0))</f>
        <v>#N/A</v>
      </c>
      <c r="M554" s="28">
        <f>'Peak Models'!$P$15*INDEX('Peak Models'!$Q$34:$Q$64, MATCH(TRUNC(B554, 0),'Peak Models'!$O$34:$O$64, 0))/'Profit per cycles Model'!$E$78</f>
        <v>6.649288569288311</v>
      </c>
      <c r="N554" s="28" t="e">
        <f t="shared" si="139"/>
        <v>#N/A</v>
      </c>
      <c r="O554" s="71" t="e">
        <f>AVERAGE($N$10:N554)</f>
        <v>#N/A</v>
      </c>
      <c r="P554" s="28" t="e">
        <f t="shared" si="140"/>
        <v>#N/A</v>
      </c>
      <c r="R554" s="28" t="e">
        <f t="shared" si="141"/>
        <v>#VALUE!</v>
      </c>
      <c r="S554" s="25"/>
      <c r="T554" s="25">
        <f t="shared" si="142"/>
        <v>15</v>
      </c>
      <c r="U554" s="33">
        <f>IF(PaybackCustom&gt;0, IF(PaybackCustom&lt;&gt;"Default", PaybackCustom, IF(PaybackStatus&lt;&gt;"",INDEX('Arbitrage Payback Engine'!$Y$2:$Y$6,MATCH(PaybackStatus,'Arbitrage Payback Engine'!$X$2:$X$6,FALSE)),-1)))</f>
        <v>25</v>
      </c>
      <c r="V554" s="32">
        <f t="shared" si="151"/>
        <v>15</v>
      </c>
      <c r="X554" s="29">
        <f t="shared" si="152"/>
        <v>545</v>
      </c>
      <c r="Z554" s="30">
        <f t="shared" si="143"/>
        <v>14.929461717572934</v>
      </c>
      <c r="AA554" s="28" t="e">
        <f t="shared" si="144"/>
        <v>#N/A</v>
      </c>
      <c r="AB554" s="28" t="e">
        <f t="shared" si="145"/>
        <v>#VALUE!</v>
      </c>
      <c r="AC554" s="29">
        <f t="shared" si="146"/>
        <v>517.07779886148012</v>
      </c>
      <c r="AD554" s="28" t="e">
        <f t="shared" si="147"/>
        <v>#VALUE!</v>
      </c>
      <c r="AE554" s="28" t="e">
        <f t="shared" si="148"/>
        <v>#N/A</v>
      </c>
      <c r="AF554" s="28" t="e">
        <f t="shared" si="149"/>
        <v>#VALUE!</v>
      </c>
      <c r="AH554" s="31" t="e">
        <f t="shared" si="150"/>
        <v>#N/A</v>
      </c>
      <c r="AI554" s="25"/>
      <c r="AJ554" s="31"/>
    </row>
    <row r="555" spans="2:36" x14ac:dyDescent="0.25">
      <c r="B555" s="33">
        <f>'Arbitrage Payback Engine'!E555</f>
        <v>14.956855225311601</v>
      </c>
      <c r="C555" s="33">
        <f t="shared" si="136"/>
        <v>1000</v>
      </c>
      <c r="D555" s="33">
        <f>'Battery Pricing Model'!$C$17</f>
        <v>1000</v>
      </c>
      <c r="E555" s="33">
        <f t="shared" si="137"/>
        <v>999</v>
      </c>
      <c r="F555" s="33" t="str">
        <f>'Peak Models'!$B$4</f>
        <v>Default</v>
      </c>
      <c r="G555" s="33" t="e">
        <f>'Peak Models'!$Q$7</f>
        <v>#VALUE!</v>
      </c>
      <c r="H555" s="33">
        <f>'Peak Models'!$P$16</f>
        <v>1.5</v>
      </c>
      <c r="I555" s="33">
        <v>12</v>
      </c>
      <c r="J555" s="33" t="e">
        <f>'Peak Models'!$P$13</f>
        <v>#N/A</v>
      </c>
      <c r="K555" s="28" t="e">
        <f t="shared" si="138"/>
        <v>#VALUE!</v>
      </c>
      <c r="L555" s="28" t="e">
        <f>INDEX('Peak Models'!$P$34:$P$64, MATCH(TRUNC(B555, 0), 'Peak Models'!$O$34:$O$64, 0))</f>
        <v>#N/A</v>
      </c>
      <c r="M555" s="28">
        <f>'Peak Models'!$P$15*INDEX('Peak Models'!$Q$34:$Q$64, MATCH(TRUNC(B555, 0),'Peak Models'!$O$34:$O$64, 0))/'Profit per cycles Model'!$E$78</f>
        <v>6.649288569288311</v>
      </c>
      <c r="N555" s="28" t="e">
        <f t="shared" si="139"/>
        <v>#N/A</v>
      </c>
      <c r="O555" s="71" t="e">
        <f>AVERAGE($N$10:N555)</f>
        <v>#N/A</v>
      </c>
      <c r="P555" s="28" t="e">
        <f t="shared" si="140"/>
        <v>#N/A</v>
      </c>
      <c r="R555" s="28" t="e">
        <f t="shared" si="141"/>
        <v>#VALUE!</v>
      </c>
      <c r="S555" s="25"/>
      <c r="T555" s="25">
        <f t="shared" si="142"/>
        <v>15</v>
      </c>
      <c r="U555" s="33">
        <f>IF(PaybackCustom&gt;0, IF(PaybackCustom&lt;&gt;"Default", PaybackCustom, IF(PaybackStatus&lt;&gt;"",INDEX('Arbitrage Payback Engine'!$Y$2:$Y$6,MATCH(PaybackStatus,'Arbitrage Payback Engine'!$X$2:$X$6,FALSE)),-1)))</f>
        <v>25</v>
      </c>
      <c r="V555" s="32">
        <f t="shared" si="151"/>
        <v>15</v>
      </c>
      <c r="X555" s="29">
        <f t="shared" si="152"/>
        <v>546</v>
      </c>
      <c r="Z555" s="30">
        <f t="shared" si="143"/>
        <v>14.956855225311601</v>
      </c>
      <c r="AA555" s="28" t="e">
        <f t="shared" si="144"/>
        <v>#N/A</v>
      </c>
      <c r="AB555" s="28" t="e">
        <f t="shared" si="145"/>
        <v>#VALUE!</v>
      </c>
      <c r="AC555" s="29">
        <f t="shared" si="146"/>
        <v>518.02656546489573</v>
      </c>
      <c r="AD555" s="28" t="e">
        <f t="shared" si="147"/>
        <v>#VALUE!</v>
      </c>
      <c r="AE555" s="28" t="e">
        <f t="shared" si="148"/>
        <v>#N/A</v>
      </c>
      <c r="AF555" s="28" t="e">
        <f t="shared" si="149"/>
        <v>#VALUE!</v>
      </c>
      <c r="AH555" s="31" t="e">
        <f t="shared" si="150"/>
        <v>#N/A</v>
      </c>
      <c r="AI555" s="25"/>
      <c r="AJ555" s="31"/>
    </row>
    <row r="556" spans="2:36" x14ac:dyDescent="0.25">
      <c r="B556" s="33">
        <f>'Arbitrage Payback Engine'!E556</f>
        <v>14.984248733050267</v>
      </c>
      <c r="C556" s="33">
        <f t="shared" si="136"/>
        <v>1000</v>
      </c>
      <c r="D556" s="33">
        <f>'Battery Pricing Model'!$C$17</f>
        <v>1000</v>
      </c>
      <c r="E556" s="33">
        <f t="shared" si="137"/>
        <v>999</v>
      </c>
      <c r="F556" s="33" t="str">
        <f>'Peak Models'!$B$4</f>
        <v>Default</v>
      </c>
      <c r="G556" s="33" t="e">
        <f>'Peak Models'!$Q$7</f>
        <v>#VALUE!</v>
      </c>
      <c r="H556" s="33">
        <f>'Peak Models'!$P$16</f>
        <v>1.5</v>
      </c>
      <c r="I556" s="33">
        <v>12</v>
      </c>
      <c r="J556" s="33" t="e">
        <f>'Peak Models'!$P$13</f>
        <v>#N/A</v>
      </c>
      <c r="K556" s="28" t="e">
        <f t="shared" si="138"/>
        <v>#VALUE!</v>
      </c>
      <c r="L556" s="28" t="e">
        <f>INDEX('Peak Models'!$P$34:$P$64, MATCH(TRUNC(B556, 0), 'Peak Models'!$O$34:$O$64, 0))</f>
        <v>#N/A</v>
      </c>
      <c r="M556" s="28">
        <f>'Peak Models'!$P$15*INDEX('Peak Models'!$Q$34:$Q$64, MATCH(TRUNC(B556, 0),'Peak Models'!$O$34:$O$64, 0))/'Profit per cycles Model'!$E$78</f>
        <v>6.649288569288311</v>
      </c>
      <c r="N556" s="28" t="e">
        <f t="shared" si="139"/>
        <v>#N/A</v>
      </c>
      <c r="O556" s="71" t="e">
        <f>AVERAGE($N$10:N556)</f>
        <v>#N/A</v>
      </c>
      <c r="P556" s="28" t="e">
        <f t="shared" si="140"/>
        <v>#N/A</v>
      </c>
      <c r="R556" s="28" t="e">
        <f t="shared" si="141"/>
        <v>#VALUE!</v>
      </c>
      <c r="S556" s="25"/>
      <c r="T556" s="25">
        <f t="shared" si="142"/>
        <v>15</v>
      </c>
      <c r="U556" s="33">
        <f>IF(PaybackCustom&gt;0, IF(PaybackCustom&lt;&gt;"Default", PaybackCustom, IF(PaybackStatus&lt;&gt;"",INDEX('Arbitrage Payback Engine'!$Y$2:$Y$6,MATCH(PaybackStatus,'Arbitrage Payback Engine'!$X$2:$X$6,FALSE)),-1)))</f>
        <v>25</v>
      </c>
      <c r="V556" s="32">
        <f t="shared" si="151"/>
        <v>15</v>
      </c>
      <c r="X556" s="29">
        <f t="shared" si="152"/>
        <v>547</v>
      </c>
      <c r="Z556" s="30">
        <f t="shared" si="143"/>
        <v>14.984248733050267</v>
      </c>
      <c r="AA556" s="28" t="e">
        <f t="shared" si="144"/>
        <v>#N/A</v>
      </c>
      <c r="AB556" s="28" t="e">
        <f t="shared" si="145"/>
        <v>#VALUE!</v>
      </c>
      <c r="AC556" s="29">
        <f t="shared" si="146"/>
        <v>518.97533206831122</v>
      </c>
      <c r="AD556" s="28" t="e">
        <f t="shared" si="147"/>
        <v>#VALUE!</v>
      </c>
      <c r="AE556" s="28" t="e">
        <f t="shared" si="148"/>
        <v>#N/A</v>
      </c>
      <c r="AF556" s="28" t="e">
        <f t="shared" si="149"/>
        <v>#VALUE!</v>
      </c>
      <c r="AH556" s="31" t="e">
        <f t="shared" si="150"/>
        <v>#N/A</v>
      </c>
      <c r="AI556" s="25"/>
      <c r="AJ556" s="31"/>
    </row>
    <row r="557" spans="2:36" x14ac:dyDescent="0.25">
      <c r="B557" s="33">
        <f>'Arbitrage Payback Engine'!E557</f>
        <v>15.011642240788932</v>
      </c>
      <c r="C557" s="33">
        <f t="shared" si="136"/>
        <v>1000</v>
      </c>
      <c r="D557" s="33">
        <f>'Battery Pricing Model'!$C$17</f>
        <v>1000</v>
      </c>
      <c r="E557" s="33">
        <f t="shared" si="137"/>
        <v>999</v>
      </c>
      <c r="F557" s="33" t="str">
        <f>'Peak Models'!$B$4</f>
        <v>Default</v>
      </c>
      <c r="G557" s="33" t="e">
        <f>'Peak Models'!$Q$7</f>
        <v>#VALUE!</v>
      </c>
      <c r="H557" s="33">
        <f>'Peak Models'!$P$16</f>
        <v>1.5</v>
      </c>
      <c r="I557" s="33">
        <v>12</v>
      </c>
      <c r="J557" s="33" t="e">
        <f>'Peak Models'!$P$13</f>
        <v>#N/A</v>
      </c>
      <c r="K557" s="28" t="e">
        <f t="shared" si="138"/>
        <v>#VALUE!</v>
      </c>
      <c r="L557" s="28" t="e">
        <f>INDEX('Peak Models'!$P$34:$P$64, MATCH(TRUNC(B557, 0), 'Peak Models'!$O$34:$O$64, 0))</f>
        <v>#N/A</v>
      </c>
      <c r="M557" s="28">
        <f>'Peak Models'!$P$15*INDEX('Peak Models'!$Q$34:$Q$64, MATCH(TRUNC(B557, 0),'Peak Models'!$O$34:$O$64, 0))/'Profit per cycles Model'!$E$78</f>
        <v>6.8155207835205216</v>
      </c>
      <c r="N557" s="28" t="e">
        <f t="shared" si="139"/>
        <v>#N/A</v>
      </c>
      <c r="O557" s="71" t="e">
        <f>AVERAGE($N$10:N557)</f>
        <v>#N/A</v>
      </c>
      <c r="P557" s="28" t="e">
        <f t="shared" si="140"/>
        <v>#N/A</v>
      </c>
      <c r="R557" s="28" t="e">
        <f t="shared" si="141"/>
        <v>#VALUE!</v>
      </c>
      <c r="S557" s="25"/>
      <c r="T557" s="25">
        <f t="shared" si="142"/>
        <v>15</v>
      </c>
      <c r="U557" s="33">
        <f>IF(PaybackCustom&gt;0, IF(PaybackCustom&lt;&gt;"Default", PaybackCustom, IF(PaybackStatus&lt;&gt;"",INDEX('Arbitrage Payback Engine'!$Y$2:$Y$6,MATCH(PaybackStatus,'Arbitrage Payback Engine'!$X$2:$X$6,FALSE)),-1)))</f>
        <v>25</v>
      </c>
      <c r="V557" s="32">
        <f t="shared" si="151"/>
        <v>15</v>
      </c>
      <c r="X557" s="29">
        <f t="shared" si="152"/>
        <v>548</v>
      </c>
      <c r="Z557" s="30">
        <f t="shared" si="143"/>
        <v>15.011642240788932</v>
      </c>
      <c r="AA557" s="28" t="e">
        <f t="shared" si="144"/>
        <v>#N/A</v>
      </c>
      <c r="AB557" s="28" t="e">
        <f t="shared" si="145"/>
        <v>#VALUE!</v>
      </c>
      <c r="AC557" s="29">
        <f t="shared" si="146"/>
        <v>519.92409867172671</v>
      </c>
      <c r="AD557" s="28" t="e">
        <f t="shared" si="147"/>
        <v>#VALUE!</v>
      </c>
      <c r="AE557" s="28" t="e">
        <f t="shared" si="148"/>
        <v>#N/A</v>
      </c>
      <c r="AF557" s="28" t="e">
        <f t="shared" si="149"/>
        <v>#VALUE!</v>
      </c>
      <c r="AH557" s="31" t="e">
        <f t="shared" si="150"/>
        <v>#N/A</v>
      </c>
      <c r="AI557" s="25"/>
      <c r="AJ557" s="31"/>
    </row>
    <row r="558" spans="2:36" x14ac:dyDescent="0.25">
      <c r="B558" s="33">
        <f>'Arbitrage Payback Engine'!E558</f>
        <v>15.039035748527599</v>
      </c>
      <c r="C558" s="33">
        <f t="shared" si="136"/>
        <v>1000</v>
      </c>
      <c r="D558" s="33">
        <f>'Battery Pricing Model'!$C$17</f>
        <v>1000</v>
      </c>
      <c r="E558" s="33">
        <f t="shared" si="137"/>
        <v>999</v>
      </c>
      <c r="F558" s="33" t="str">
        <f>'Peak Models'!$B$4</f>
        <v>Default</v>
      </c>
      <c r="G558" s="33" t="e">
        <f>'Peak Models'!$Q$7</f>
        <v>#VALUE!</v>
      </c>
      <c r="H558" s="33">
        <f>'Peak Models'!$P$16</f>
        <v>1.5</v>
      </c>
      <c r="I558" s="33">
        <v>12</v>
      </c>
      <c r="J558" s="33" t="e">
        <f>'Peak Models'!$P$13</f>
        <v>#N/A</v>
      </c>
      <c r="K558" s="28" t="e">
        <f t="shared" si="138"/>
        <v>#VALUE!</v>
      </c>
      <c r="L558" s="28" t="e">
        <f>INDEX('Peak Models'!$P$34:$P$64, MATCH(TRUNC(B558, 0), 'Peak Models'!$O$34:$O$64, 0))</f>
        <v>#N/A</v>
      </c>
      <c r="M558" s="28">
        <f>'Peak Models'!$P$15*INDEX('Peak Models'!$Q$34:$Q$64, MATCH(TRUNC(B558, 0),'Peak Models'!$O$34:$O$64, 0))/'Profit per cycles Model'!$E$78</f>
        <v>6.8155207835205216</v>
      </c>
      <c r="N558" s="28" t="e">
        <f t="shared" si="139"/>
        <v>#N/A</v>
      </c>
      <c r="O558" s="71" t="e">
        <f>AVERAGE($N$10:N558)</f>
        <v>#N/A</v>
      </c>
      <c r="P558" s="28" t="e">
        <f t="shared" si="140"/>
        <v>#N/A</v>
      </c>
      <c r="R558" s="28" t="e">
        <f t="shared" si="141"/>
        <v>#VALUE!</v>
      </c>
      <c r="S558" s="25"/>
      <c r="T558" s="25">
        <f t="shared" si="142"/>
        <v>15</v>
      </c>
      <c r="U558" s="33">
        <f>IF(PaybackCustom&gt;0, IF(PaybackCustom&lt;&gt;"Default", PaybackCustom, IF(PaybackStatus&lt;&gt;"",INDEX('Arbitrage Payback Engine'!$Y$2:$Y$6,MATCH(PaybackStatus,'Arbitrage Payback Engine'!$X$2:$X$6,FALSE)),-1)))</f>
        <v>25</v>
      </c>
      <c r="V558" s="32">
        <f t="shared" si="151"/>
        <v>15</v>
      </c>
      <c r="X558" s="29">
        <f t="shared" si="152"/>
        <v>549</v>
      </c>
      <c r="Z558" s="30">
        <f t="shared" si="143"/>
        <v>15.039035748527599</v>
      </c>
      <c r="AA558" s="28" t="e">
        <f t="shared" si="144"/>
        <v>#N/A</v>
      </c>
      <c r="AB558" s="28" t="e">
        <f t="shared" si="145"/>
        <v>#VALUE!</v>
      </c>
      <c r="AC558" s="29">
        <f t="shared" si="146"/>
        <v>520.87286527514243</v>
      </c>
      <c r="AD558" s="28" t="e">
        <f t="shared" si="147"/>
        <v>#VALUE!</v>
      </c>
      <c r="AE558" s="28" t="e">
        <f t="shared" si="148"/>
        <v>#N/A</v>
      </c>
      <c r="AF558" s="28" t="e">
        <f t="shared" si="149"/>
        <v>#VALUE!</v>
      </c>
      <c r="AH558" s="31" t="e">
        <f t="shared" si="150"/>
        <v>#N/A</v>
      </c>
      <c r="AI558" s="25"/>
      <c r="AJ558" s="31"/>
    </row>
    <row r="559" spans="2:36" x14ac:dyDescent="0.25">
      <c r="B559" s="33">
        <f>'Arbitrage Payback Engine'!E559</f>
        <v>15.066429256266265</v>
      </c>
      <c r="C559" s="33">
        <f t="shared" si="136"/>
        <v>1000</v>
      </c>
      <c r="D559" s="33">
        <f>'Battery Pricing Model'!$C$17</f>
        <v>1000</v>
      </c>
      <c r="E559" s="33">
        <f t="shared" si="137"/>
        <v>999</v>
      </c>
      <c r="F559" s="33" t="str">
        <f>'Peak Models'!$B$4</f>
        <v>Default</v>
      </c>
      <c r="G559" s="33" t="e">
        <f>'Peak Models'!$Q$7</f>
        <v>#VALUE!</v>
      </c>
      <c r="H559" s="33">
        <f>'Peak Models'!$P$16</f>
        <v>1.5</v>
      </c>
      <c r="I559" s="33">
        <v>12</v>
      </c>
      <c r="J559" s="33" t="e">
        <f>'Peak Models'!$P$13</f>
        <v>#N/A</v>
      </c>
      <c r="K559" s="28" t="e">
        <f t="shared" si="138"/>
        <v>#VALUE!</v>
      </c>
      <c r="L559" s="28" t="e">
        <f>INDEX('Peak Models'!$P$34:$P$64, MATCH(TRUNC(B559, 0), 'Peak Models'!$O$34:$O$64, 0))</f>
        <v>#N/A</v>
      </c>
      <c r="M559" s="28">
        <f>'Peak Models'!$P$15*INDEX('Peak Models'!$Q$34:$Q$64, MATCH(TRUNC(B559, 0),'Peak Models'!$O$34:$O$64, 0))/'Profit per cycles Model'!$E$78</f>
        <v>6.8155207835205216</v>
      </c>
      <c r="N559" s="28" t="e">
        <f t="shared" si="139"/>
        <v>#N/A</v>
      </c>
      <c r="O559" s="71" t="e">
        <f>AVERAGE($N$10:N559)</f>
        <v>#N/A</v>
      </c>
      <c r="P559" s="28" t="e">
        <f t="shared" si="140"/>
        <v>#N/A</v>
      </c>
      <c r="R559" s="28" t="e">
        <f t="shared" si="141"/>
        <v>#VALUE!</v>
      </c>
      <c r="S559" s="25"/>
      <c r="T559" s="25">
        <f t="shared" si="142"/>
        <v>15</v>
      </c>
      <c r="U559" s="33">
        <f>IF(PaybackCustom&gt;0, IF(PaybackCustom&lt;&gt;"Default", PaybackCustom, IF(PaybackStatus&lt;&gt;"",INDEX('Arbitrage Payback Engine'!$Y$2:$Y$6,MATCH(PaybackStatus,'Arbitrage Payback Engine'!$X$2:$X$6,FALSE)),-1)))</f>
        <v>25</v>
      </c>
      <c r="V559" s="32">
        <f t="shared" si="151"/>
        <v>15</v>
      </c>
      <c r="X559" s="29">
        <f t="shared" si="152"/>
        <v>550</v>
      </c>
      <c r="Z559" s="30">
        <f t="shared" si="143"/>
        <v>15.066429256266265</v>
      </c>
      <c r="AA559" s="28" t="e">
        <f t="shared" si="144"/>
        <v>#N/A</v>
      </c>
      <c r="AB559" s="28" t="e">
        <f t="shared" si="145"/>
        <v>#VALUE!</v>
      </c>
      <c r="AC559" s="29">
        <f t="shared" si="146"/>
        <v>521.82163187855792</v>
      </c>
      <c r="AD559" s="28" t="e">
        <f t="shared" si="147"/>
        <v>#VALUE!</v>
      </c>
      <c r="AE559" s="28" t="e">
        <f t="shared" si="148"/>
        <v>#N/A</v>
      </c>
      <c r="AF559" s="28" t="e">
        <f t="shared" si="149"/>
        <v>#VALUE!</v>
      </c>
      <c r="AH559" s="31" t="e">
        <f t="shared" si="150"/>
        <v>#N/A</v>
      </c>
      <c r="AI559" s="25"/>
      <c r="AJ559" s="31"/>
    </row>
    <row r="560" spans="2:36" x14ac:dyDescent="0.25">
      <c r="B560" s="33">
        <f>'Arbitrage Payback Engine'!E560</f>
        <v>15.09382276400493</v>
      </c>
      <c r="C560" s="33">
        <f t="shared" si="136"/>
        <v>1000</v>
      </c>
      <c r="D560" s="33">
        <f>'Battery Pricing Model'!$C$17</f>
        <v>1000</v>
      </c>
      <c r="E560" s="33">
        <f t="shared" si="137"/>
        <v>999</v>
      </c>
      <c r="F560" s="33" t="str">
        <f>'Peak Models'!$B$4</f>
        <v>Default</v>
      </c>
      <c r="G560" s="33" t="e">
        <f>'Peak Models'!$Q$7</f>
        <v>#VALUE!</v>
      </c>
      <c r="H560" s="33">
        <f>'Peak Models'!$P$16</f>
        <v>1.5</v>
      </c>
      <c r="I560" s="33">
        <v>12</v>
      </c>
      <c r="J560" s="33" t="e">
        <f>'Peak Models'!$P$13</f>
        <v>#N/A</v>
      </c>
      <c r="K560" s="28" t="e">
        <f t="shared" si="138"/>
        <v>#VALUE!</v>
      </c>
      <c r="L560" s="28" t="e">
        <f>INDEX('Peak Models'!$P$34:$P$64, MATCH(TRUNC(B560, 0), 'Peak Models'!$O$34:$O$64, 0))</f>
        <v>#N/A</v>
      </c>
      <c r="M560" s="28">
        <f>'Peak Models'!$P$15*INDEX('Peak Models'!$Q$34:$Q$64, MATCH(TRUNC(B560, 0),'Peak Models'!$O$34:$O$64, 0))/'Profit per cycles Model'!$E$78</f>
        <v>6.8155207835205216</v>
      </c>
      <c r="N560" s="28" t="e">
        <f t="shared" si="139"/>
        <v>#N/A</v>
      </c>
      <c r="O560" s="71" t="e">
        <f>AVERAGE($N$10:N560)</f>
        <v>#N/A</v>
      </c>
      <c r="P560" s="28" t="e">
        <f t="shared" si="140"/>
        <v>#N/A</v>
      </c>
      <c r="R560" s="28" t="e">
        <f t="shared" si="141"/>
        <v>#VALUE!</v>
      </c>
      <c r="S560" s="25"/>
      <c r="T560" s="25">
        <f t="shared" si="142"/>
        <v>15</v>
      </c>
      <c r="U560" s="33">
        <f>IF(PaybackCustom&gt;0, IF(PaybackCustom&lt;&gt;"Default", PaybackCustom, IF(PaybackStatus&lt;&gt;"",INDEX('Arbitrage Payback Engine'!$Y$2:$Y$6,MATCH(PaybackStatus,'Arbitrage Payback Engine'!$X$2:$X$6,FALSE)),-1)))</f>
        <v>25</v>
      </c>
      <c r="V560" s="32">
        <f t="shared" si="151"/>
        <v>15</v>
      </c>
      <c r="X560" s="29">
        <f t="shared" si="152"/>
        <v>551</v>
      </c>
      <c r="Z560" s="30">
        <f t="shared" si="143"/>
        <v>15.09382276400493</v>
      </c>
      <c r="AA560" s="28" t="e">
        <f t="shared" si="144"/>
        <v>#N/A</v>
      </c>
      <c r="AB560" s="28" t="e">
        <f t="shared" si="145"/>
        <v>#VALUE!</v>
      </c>
      <c r="AC560" s="29">
        <f t="shared" si="146"/>
        <v>522.77039848197342</v>
      </c>
      <c r="AD560" s="28" t="e">
        <f t="shared" si="147"/>
        <v>#VALUE!</v>
      </c>
      <c r="AE560" s="28" t="e">
        <f t="shared" si="148"/>
        <v>#N/A</v>
      </c>
      <c r="AF560" s="28" t="e">
        <f t="shared" si="149"/>
        <v>#VALUE!</v>
      </c>
      <c r="AH560" s="31" t="e">
        <f t="shared" si="150"/>
        <v>#N/A</v>
      </c>
      <c r="AI560" s="25"/>
      <c r="AJ560" s="31"/>
    </row>
    <row r="561" spans="2:36" x14ac:dyDescent="0.25">
      <c r="B561" s="33">
        <f>'Arbitrage Payback Engine'!E561</f>
        <v>15.121216271743597</v>
      </c>
      <c r="C561" s="33">
        <f t="shared" si="136"/>
        <v>1000</v>
      </c>
      <c r="D561" s="33">
        <f>'Battery Pricing Model'!$C$17</f>
        <v>1000</v>
      </c>
      <c r="E561" s="33">
        <f t="shared" si="137"/>
        <v>999</v>
      </c>
      <c r="F561" s="33" t="str">
        <f>'Peak Models'!$B$4</f>
        <v>Default</v>
      </c>
      <c r="G561" s="33" t="e">
        <f>'Peak Models'!$Q$7</f>
        <v>#VALUE!</v>
      </c>
      <c r="H561" s="33">
        <f>'Peak Models'!$P$16</f>
        <v>1.5</v>
      </c>
      <c r="I561" s="33">
        <v>12</v>
      </c>
      <c r="J561" s="33" t="e">
        <f>'Peak Models'!$P$13</f>
        <v>#N/A</v>
      </c>
      <c r="K561" s="28" t="e">
        <f t="shared" si="138"/>
        <v>#VALUE!</v>
      </c>
      <c r="L561" s="28" t="e">
        <f>INDEX('Peak Models'!$P$34:$P$64, MATCH(TRUNC(B561, 0), 'Peak Models'!$O$34:$O$64, 0))</f>
        <v>#N/A</v>
      </c>
      <c r="M561" s="28">
        <f>'Peak Models'!$P$15*INDEX('Peak Models'!$Q$34:$Q$64, MATCH(TRUNC(B561, 0),'Peak Models'!$O$34:$O$64, 0))/'Profit per cycles Model'!$E$78</f>
        <v>6.8155207835205216</v>
      </c>
      <c r="N561" s="28" t="e">
        <f t="shared" si="139"/>
        <v>#N/A</v>
      </c>
      <c r="O561" s="71" t="e">
        <f>AVERAGE($N$10:N561)</f>
        <v>#N/A</v>
      </c>
      <c r="P561" s="28" t="e">
        <f t="shared" si="140"/>
        <v>#N/A</v>
      </c>
      <c r="R561" s="28" t="e">
        <f t="shared" si="141"/>
        <v>#VALUE!</v>
      </c>
      <c r="S561" s="25"/>
      <c r="T561" s="25">
        <f t="shared" si="142"/>
        <v>15</v>
      </c>
      <c r="U561" s="33">
        <f>IF(PaybackCustom&gt;0, IF(PaybackCustom&lt;&gt;"Default", PaybackCustom, IF(PaybackStatus&lt;&gt;"",INDEX('Arbitrage Payback Engine'!$Y$2:$Y$6,MATCH(PaybackStatus,'Arbitrage Payback Engine'!$X$2:$X$6,FALSE)),-1)))</f>
        <v>25</v>
      </c>
      <c r="V561" s="32">
        <f t="shared" si="151"/>
        <v>15</v>
      </c>
      <c r="X561" s="29">
        <f t="shared" si="152"/>
        <v>552</v>
      </c>
      <c r="Z561" s="30">
        <f t="shared" si="143"/>
        <v>15.121216271743597</v>
      </c>
      <c r="AA561" s="28" t="e">
        <f t="shared" si="144"/>
        <v>#N/A</v>
      </c>
      <c r="AB561" s="28" t="e">
        <f t="shared" si="145"/>
        <v>#VALUE!</v>
      </c>
      <c r="AC561" s="29">
        <f t="shared" si="146"/>
        <v>523.71916508538902</v>
      </c>
      <c r="AD561" s="28" t="e">
        <f t="shared" si="147"/>
        <v>#VALUE!</v>
      </c>
      <c r="AE561" s="28" t="e">
        <f t="shared" si="148"/>
        <v>#N/A</v>
      </c>
      <c r="AF561" s="28" t="e">
        <f t="shared" si="149"/>
        <v>#VALUE!</v>
      </c>
      <c r="AH561" s="31" t="e">
        <f t="shared" si="150"/>
        <v>#N/A</v>
      </c>
      <c r="AI561" s="25"/>
      <c r="AJ561" s="31"/>
    </row>
    <row r="562" spans="2:36" x14ac:dyDescent="0.25">
      <c r="B562" s="33">
        <f>'Arbitrage Payback Engine'!E562</f>
        <v>15.148609779482262</v>
      </c>
      <c r="C562" s="33">
        <f t="shared" si="136"/>
        <v>1000</v>
      </c>
      <c r="D562" s="33">
        <f>'Battery Pricing Model'!$C$17</f>
        <v>1000</v>
      </c>
      <c r="E562" s="33">
        <f t="shared" si="137"/>
        <v>999</v>
      </c>
      <c r="F562" s="33" t="str">
        <f>'Peak Models'!$B$4</f>
        <v>Default</v>
      </c>
      <c r="G562" s="33" t="e">
        <f>'Peak Models'!$Q$7</f>
        <v>#VALUE!</v>
      </c>
      <c r="H562" s="33">
        <f>'Peak Models'!$P$16</f>
        <v>1.5</v>
      </c>
      <c r="I562" s="33">
        <v>12</v>
      </c>
      <c r="J562" s="33" t="e">
        <f>'Peak Models'!$P$13</f>
        <v>#N/A</v>
      </c>
      <c r="K562" s="28" t="e">
        <f t="shared" si="138"/>
        <v>#VALUE!</v>
      </c>
      <c r="L562" s="28" t="e">
        <f>INDEX('Peak Models'!$P$34:$P$64, MATCH(TRUNC(B562, 0), 'Peak Models'!$O$34:$O$64, 0))</f>
        <v>#N/A</v>
      </c>
      <c r="M562" s="28">
        <f>'Peak Models'!$P$15*INDEX('Peak Models'!$Q$34:$Q$64, MATCH(TRUNC(B562, 0),'Peak Models'!$O$34:$O$64, 0))/'Profit per cycles Model'!$E$78</f>
        <v>6.8155207835205216</v>
      </c>
      <c r="N562" s="28" t="e">
        <f t="shared" si="139"/>
        <v>#N/A</v>
      </c>
      <c r="O562" s="71" t="e">
        <f>AVERAGE($N$10:N562)</f>
        <v>#N/A</v>
      </c>
      <c r="P562" s="28" t="e">
        <f t="shared" si="140"/>
        <v>#N/A</v>
      </c>
      <c r="R562" s="28" t="e">
        <f t="shared" si="141"/>
        <v>#VALUE!</v>
      </c>
      <c r="S562" s="25"/>
      <c r="T562" s="25">
        <f t="shared" si="142"/>
        <v>15</v>
      </c>
      <c r="U562" s="33">
        <f>IF(PaybackCustom&gt;0, IF(PaybackCustom&lt;&gt;"Default", PaybackCustom, IF(PaybackStatus&lt;&gt;"",INDEX('Arbitrage Payback Engine'!$Y$2:$Y$6,MATCH(PaybackStatus,'Arbitrage Payback Engine'!$X$2:$X$6,FALSE)),-1)))</f>
        <v>25</v>
      </c>
      <c r="V562" s="32">
        <f t="shared" si="151"/>
        <v>15</v>
      </c>
      <c r="X562" s="29">
        <f t="shared" si="152"/>
        <v>553</v>
      </c>
      <c r="Z562" s="30">
        <f t="shared" si="143"/>
        <v>15.148609779482262</v>
      </c>
      <c r="AA562" s="28" t="e">
        <f t="shared" si="144"/>
        <v>#N/A</v>
      </c>
      <c r="AB562" s="28" t="e">
        <f t="shared" si="145"/>
        <v>#VALUE!</v>
      </c>
      <c r="AC562" s="29">
        <f t="shared" si="146"/>
        <v>524.66793168880452</v>
      </c>
      <c r="AD562" s="28" t="e">
        <f t="shared" si="147"/>
        <v>#VALUE!</v>
      </c>
      <c r="AE562" s="28" t="e">
        <f t="shared" si="148"/>
        <v>#N/A</v>
      </c>
      <c r="AF562" s="28" t="e">
        <f t="shared" si="149"/>
        <v>#VALUE!</v>
      </c>
      <c r="AH562" s="31" t="e">
        <f t="shared" si="150"/>
        <v>#N/A</v>
      </c>
      <c r="AI562" s="25"/>
      <c r="AJ562" s="31"/>
    </row>
    <row r="563" spans="2:36" x14ac:dyDescent="0.25">
      <c r="B563" s="33">
        <f>'Arbitrage Payback Engine'!E563</f>
        <v>15.176003287220928</v>
      </c>
      <c r="C563" s="33">
        <f t="shared" si="136"/>
        <v>1000</v>
      </c>
      <c r="D563" s="33">
        <f>'Battery Pricing Model'!$C$17</f>
        <v>1000</v>
      </c>
      <c r="E563" s="33">
        <f t="shared" si="137"/>
        <v>999</v>
      </c>
      <c r="F563" s="33" t="str">
        <f>'Peak Models'!$B$4</f>
        <v>Default</v>
      </c>
      <c r="G563" s="33" t="e">
        <f>'Peak Models'!$Q$7</f>
        <v>#VALUE!</v>
      </c>
      <c r="H563" s="33">
        <f>'Peak Models'!$P$16</f>
        <v>1.5</v>
      </c>
      <c r="I563" s="33">
        <v>12</v>
      </c>
      <c r="J563" s="33" t="e">
        <f>'Peak Models'!$P$13</f>
        <v>#N/A</v>
      </c>
      <c r="K563" s="28" t="e">
        <f t="shared" si="138"/>
        <v>#VALUE!</v>
      </c>
      <c r="L563" s="28" t="e">
        <f>INDEX('Peak Models'!$P$34:$P$64, MATCH(TRUNC(B563, 0), 'Peak Models'!$O$34:$O$64, 0))</f>
        <v>#N/A</v>
      </c>
      <c r="M563" s="28">
        <f>'Peak Models'!$P$15*INDEX('Peak Models'!$Q$34:$Q$64, MATCH(TRUNC(B563, 0),'Peak Models'!$O$34:$O$64, 0))/'Profit per cycles Model'!$E$78</f>
        <v>6.8155207835205216</v>
      </c>
      <c r="N563" s="28" t="e">
        <f t="shared" si="139"/>
        <v>#N/A</v>
      </c>
      <c r="O563" s="71" t="e">
        <f>AVERAGE($N$10:N563)</f>
        <v>#N/A</v>
      </c>
      <c r="P563" s="28" t="e">
        <f t="shared" si="140"/>
        <v>#N/A</v>
      </c>
      <c r="R563" s="28" t="e">
        <f t="shared" si="141"/>
        <v>#VALUE!</v>
      </c>
      <c r="S563" s="25"/>
      <c r="T563" s="25">
        <f t="shared" si="142"/>
        <v>15</v>
      </c>
      <c r="U563" s="33">
        <f>IF(PaybackCustom&gt;0, IF(PaybackCustom&lt;&gt;"Default", PaybackCustom, IF(PaybackStatus&lt;&gt;"",INDEX('Arbitrage Payback Engine'!$Y$2:$Y$6,MATCH(PaybackStatus,'Arbitrage Payback Engine'!$X$2:$X$6,FALSE)),-1)))</f>
        <v>25</v>
      </c>
      <c r="V563" s="32">
        <f t="shared" si="151"/>
        <v>15</v>
      </c>
      <c r="X563" s="29">
        <f t="shared" si="152"/>
        <v>554</v>
      </c>
      <c r="Z563" s="30">
        <f t="shared" si="143"/>
        <v>15.176003287220928</v>
      </c>
      <c r="AA563" s="28" t="e">
        <f t="shared" si="144"/>
        <v>#N/A</v>
      </c>
      <c r="AB563" s="28" t="e">
        <f t="shared" si="145"/>
        <v>#VALUE!</v>
      </c>
      <c r="AC563" s="29">
        <f t="shared" si="146"/>
        <v>525.61669829222012</v>
      </c>
      <c r="AD563" s="28" t="e">
        <f t="shared" si="147"/>
        <v>#VALUE!</v>
      </c>
      <c r="AE563" s="28" t="e">
        <f t="shared" si="148"/>
        <v>#N/A</v>
      </c>
      <c r="AF563" s="28" t="e">
        <f t="shared" si="149"/>
        <v>#VALUE!</v>
      </c>
      <c r="AH563" s="31" t="e">
        <f t="shared" si="150"/>
        <v>#N/A</v>
      </c>
      <c r="AI563" s="25"/>
      <c r="AJ563" s="31"/>
    </row>
    <row r="564" spans="2:36" x14ac:dyDescent="0.25">
      <c r="B564" s="33">
        <f>'Arbitrage Payback Engine'!E564</f>
        <v>15.203396794959595</v>
      </c>
      <c r="C564" s="33">
        <f t="shared" si="136"/>
        <v>1000</v>
      </c>
      <c r="D564" s="33">
        <f>'Battery Pricing Model'!$C$17</f>
        <v>1000</v>
      </c>
      <c r="E564" s="33">
        <f t="shared" si="137"/>
        <v>999</v>
      </c>
      <c r="F564" s="33" t="str">
        <f>'Peak Models'!$B$4</f>
        <v>Default</v>
      </c>
      <c r="G564" s="33" t="e">
        <f>'Peak Models'!$Q$7</f>
        <v>#VALUE!</v>
      </c>
      <c r="H564" s="33">
        <f>'Peak Models'!$P$16</f>
        <v>1.5</v>
      </c>
      <c r="I564" s="33">
        <v>12</v>
      </c>
      <c r="J564" s="33" t="e">
        <f>'Peak Models'!$P$13</f>
        <v>#N/A</v>
      </c>
      <c r="K564" s="28" t="e">
        <f t="shared" si="138"/>
        <v>#VALUE!</v>
      </c>
      <c r="L564" s="28" t="e">
        <f>INDEX('Peak Models'!$P$34:$P$64, MATCH(TRUNC(B564, 0), 'Peak Models'!$O$34:$O$64, 0))</f>
        <v>#N/A</v>
      </c>
      <c r="M564" s="28">
        <f>'Peak Models'!$P$15*INDEX('Peak Models'!$Q$34:$Q$64, MATCH(TRUNC(B564, 0),'Peak Models'!$O$34:$O$64, 0))/'Profit per cycles Model'!$E$78</f>
        <v>6.8155207835205216</v>
      </c>
      <c r="N564" s="28" t="e">
        <f t="shared" si="139"/>
        <v>#N/A</v>
      </c>
      <c r="O564" s="71" t="e">
        <f>AVERAGE($N$10:N564)</f>
        <v>#N/A</v>
      </c>
      <c r="P564" s="28" t="e">
        <f t="shared" si="140"/>
        <v>#N/A</v>
      </c>
      <c r="R564" s="28" t="e">
        <f t="shared" si="141"/>
        <v>#VALUE!</v>
      </c>
      <c r="S564" s="25"/>
      <c r="T564" s="25">
        <f t="shared" si="142"/>
        <v>15</v>
      </c>
      <c r="U564" s="33">
        <f>IF(PaybackCustom&gt;0, IF(PaybackCustom&lt;&gt;"Default", PaybackCustom, IF(PaybackStatus&lt;&gt;"",INDEX('Arbitrage Payback Engine'!$Y$2:$Y$6,MATCH(PaybackStatus,'Arbitrage Payback Engine'!$X$2:$X$6,FALSE)),-1)))</f>
        <v>25</v>
      </c>
      <c r="V564" s="32">
        <f t="shared" si="151"/>
        <v>15</v>
      </c>
      <c r="X564" s="29">
        <f t="shared" si="152"/>
        <v>555</v>
      </c>
      <c r="Z564" s="30">
        <f t="shared" si="143"/>
        <v>15.203396794959595</v>
      </c>
      <c r="AA564" s="28" t="e">
        <f t="shared" si="144"/>
        <v>#N/A</v>
      </c>
      <c r="AB564" s="28" t="e">
        <f t="shared" si="145"/>
        <v>#VALUE!</v>
      </c>
      <c r="AC564" s="29">
        <f t="shared" si="146"/>
        <v>526.56546489563573</v>
      </c>
      <c r="AD564" s="28" t="e">
        <f t="shared" si="147"/>
        <v>#VALUE!</v>
      </c>
      <c r="AE564" s="28" t="e">
        <f t="shared" si="148"/>
        <v>#N/A</v>
      </c>
      <c r="AF564" s="28" t="e">
        <f t="shared" si="149"/>
        <v>#VALUE!</v>
      </c>
      <c r="AH564" s="31" t="e">
        <f t="shared" si="150"/>
        <v>#N/A</v>
      </c>
      <c r="AI564" s="25"/>
      <c r="AJ564" s="31"/>
    </row>
    <row r="565" spans="2:36" x14ac:dyDescent="0.25">
      <c r="B565" s="33">
        <f>'Arbitrage Payback Engine'!E565</f>
        <v>15.23079030269826</v>
      </c>
      <c r="C565" s="33">
        <f t="shared" si="136"/>
        <v>1000</v>
      </c>
      <c r="D565" s="33">
        <f>'Battery Pricing Model'!$C$17</f>
        <v>1000</v>
      </c>
      <c r="E565" s="33">
        <f t="shared" si="137"/>
        <v>999</v>
      </c>
      <c r="F565" s="33" t="str">
        <f>'Peak Models'!$B$4</f>
        <v>Default</v>
      </c>
      <c r="G565" s="33" t="e">
        <f>'Peak Models'!$Q$7</f>
        <v>#VALUE!</v>
      </c>
      <c r="H565" s="33">
        <f>'Peak Models'!$P$16</f>
        <v>1.5</v>
      </c>
      <c r="I565" s="33">
        <v>12</v>
      </c>
      <c r="J565" s="33" t="e">
        <f>'Peak Models'!$P$13</f>
        <v>#N/A</v>
      </c>
      <c r="K565" s="28" t="e">
        <f t="shared" si="138"/>
        <v>#VALUE!</v>
      </c>
      <c r="L565" s="28" t="e">
        <f>INDEX('Peak Models'!$P$34:$P$64, MATCH(TRUNC(B565, 0), 'Peak Models'!$O$34:$O$64, 0))</f>
        <v>#N/A</v>
      </c>
      <c r="M565" s="28">
        <f>'Peak Models'!$P$15*INDEX('Peak Models'!$Q$34:$Q$64, MATCH(TRUNC(B565, 0),'Peak Models'!$O$34:$O$64, 0))/'Profit per cycles Model'!$E$78</f>
        <v>6.8155207835205216</v>
      </c>
      <c r="N565" s="28" t="e">
        <f t="shared" si="139"/>
        <v>#N/A</v>
      </c>
      <c r="O565" s="71" t="e">
        <f>AVERAGE($N$10:N565)</f>
        <v>#N/A</v>
      </c>
      <c r="P565" s="28" t="e">
        <f t="shared" si="140"/>
        <v>#N/A</v>
      </c>
      <c r="R565" s="28" t="e">
        <f t="shared" si="141"/>
        <v>#VALUE!</v>
      </c>
      <c r="S565" s="25"/>
      <c r="T565" s="25">
        <f t="shared" si="142"/>
        <v>15</v>
      </c>
      <c r="U565" s="33">
        <f>IF(PaybackCustom&gt;0, IF(PaybackCustom&lt;&gt;"Default", PaybackCustom, IF(PaybackStatus&lt;&gt;"",INDEX('Arbitrage Payback Engine'!$Y$2:$Y$6,MATCH(PaybackStatus,'Arbitrage Payback Engine'!$X$2:$X$6,FALSE)),-1)))</f>
        <v>25</v>
      </c>
      <c r="V565" s="32">
        <f t="shared" si="151"/>
        <v>15</v>
      </c>
      <c r="X565" s="29">
        <f t="shared" si="152"/>
        <v>556</v>
      </c>
      <c r="Z565" s="30">
        <f t="shared" si="143"/>
        <v>15.23079030269826</v>
      </c>
      <c r="AA565" s="28" t="e">
        <f t="shared" si="144"/>
        <v>#N/A</v>
      </c>
      <c r="AB565" s="28" t="e">
        <f t="shared" si="145"/>
        <v>#VALUE!</v>
      </c>
      <c r="AC565" s="29">
        <f t="shared" si="146"/>
        <v>527.51423149905122</v>
      </c>
      <c r="AD565" s="28" t="e">
        <f t="shared" si="147"/>
        <v>#VALUE!</v>
      </c>
      <c r="AE565" s="28" t="e">
        <f t="shared" si="148"/>
        <v>#N/A</v>
      </c>
      <c r="AF565" s="28" t="e">
        <f t="shared" si="149"/>
        <v>#VALUE!</v>
      </c>
      <c r="AH565" s="31" t="e">
        <f t="shared" si="150"/>
        <v>#N/A</v>
      </c>
      <c r="AI565" s="25"/>
      <c r="AJ565" s="31"/>
    </row>
    <row r="566" spans="2:36" x14ac:dyDescent="0.25">
      <c r="B566" s="33">
        <f>'Arbitrage Payback Engine'!E566</f>
        <v>15.258183810436925</v>
      </c>
      <c r="C566" s="33">
        <f t="shared" si="136"/>
        <v>1000</v>
      </c>
      <c r="D566" s="33">
        <f>'Battery Pricing Model'!$C$17</f>
        <v>1000</v>
      </c>
      <c r="E566" s="33">
        <f t="shared" si="137"/>
        <v>999</v>
      </c>
      <c r="F566" s="33" t="str">
        <f>'Peak Models'!$B$4</f>
        <v>Default</v>
      </c>
      <c r="G566" s="33" t="e">
        <f>'Peak Models'!$Q$7</f>
        <v>#VALUE!</v>
      </c>
      <c r="H566" s="33">
        <f>'Peak Models'!$P$16</f>
        <v>1.5</v>
      </c>
      <c r="I566" s="33">
        <v>12</v>
      </c>
      <c r="J566" s="33" t="e">
        <f>'Peak Models'!$P$13</f>
        <v>#N/A</v>
      </c>
      <c r="K566" s="28" t="e">
        <f t="shared" si="138"/>
        <v>#VALUE!</v>
      </c>
      <c r="L566" s="28" t="e">
        <f>INDEX('Peak Models'!$P$34:$P$64, MATCH(TRUNC(B566, 0), 'Peak Models'!$O$34:$O$64, 0))</f>
        <v>#N/A</v>
      </c>
      <c r="M566" s="28">
        <f>'Peak Models'!$P$15*INDEX('Peak Models'!$Q$34:$Q$64, MATCH(TRUNC(B566, 0),'Peak Models'!$O$34:$O$64, 0))/'Profit per cycles Model'!$E$78</f>
        <v>6.8155207835205216</v>
      </c>
      <c r="N566" s="28" t="e">
        <f t="shared" si="139"/>
        <v>#N/A</v>
      </c>
      <c r="O566" s="71" t="e">
        <f>AVERAGE($N$10:N566)</f>
        <v>#N/A</v>
      </c>
      <c r="P566" s="28" t="e">
        <f t="shared" si="140"/>
        <v>#N/A</v>
      </c>
      <c r="R566" s="28" t="e">
        <f t="shared" si="141"/>
        <v>#VALUE!</v>
      </c>
      <c r="S566" s="25"/>
      <c r="T566" s="25">
        <f t="shared" si="142"/>
        <v>15</v>
      </c>
      <c r="U566" s="33">
        <f>IF(PaybackCustom&gt;0, IF(PaybackCustom&lt;&gt;"Default", PaybackCustom, IF(PaybackStatus&lt;&gt;"",INDEX('Arbitrage Payback Engine'!$Y$2:$Y$6,MATCH(PaybackStatus,'Arbitrage Payback Engine'!$X$2:$X$6,FALSE)),-1)))</f>
        <v>25</v>
      </c>
      <c r="V566" s="32">
        <f t="shared" si="151"/>
        <v>15</v>
      </c>
      <c r="X566" s="29">
        <f t="shared" si="152"/>
        <v>557</v>
      </c>
      <c r="Z566" s="30">
        <f t="shared" si="143"/>
        <v>15.258183810436925</v>
      </c>
      <c r="AA566" s="28" t="e">
        <f t="shared" si="144"/>
        <v>#N/A</v>
      </c>
      <c r="AB566" s="28" t="e">
        <f t="shared" si="145"/>
        <v>#VALUE!</v>
      </c>
      <c r="AC566" s="29">
        <f t="shared" si="146"/>
        <v>528.46299810246683</v>
      </c>
      <c r="AD566" s="28" t="e">
        <f t="shared" si="147"/>
        <v>#VALUE!</v>
      </c>
      <c r="AE566" s="28" t="e">
        <f t="shared" si="148"/>
        <v>#N/A</v>
      </c>
      <c r="AF566" s="28" t="e">
        <f t="shared" si="149"/>
        <v>#VALUE!</v>
      </c>
      <c r="AH566" s="31" t="e">
        <f t="shared" si="150"/>
        <v>#N/A</v>
      </c>
      <c r="AI566" s="25"/>
      <c r="AJ566" s="31"/>
    </row>
    <row r="567" spans="2:36" x14ac:dyDescent="0.25">
      <c r="B567" s="33">
        <f>'Arbitrage Payback Engine'!E567</f>
        <v>15.285577318175593</v>
      </c>
      <c r="C567" s="33">
        <f t="shared" si="136"/>
        <v>1000</v>
      </c>
      <c r="D567" s="33">
        <f>'Battery Pricing Model'!$C$17</f>
        <v>1000</v>
      </c>
      <c r="E567" s="33">
        <f t="shared" si="137"/>
        <v>999</v>
      </c>
      <c r="F567" s="33" t="str">
        <f>'Peak Models'!$B$4</f>
        <v>Default</v>
      </c>
      <c r="G567" s="33" t="e">
        <f>'Peak Models'!$Q$7</f>
        <v>#VALUE!</v>
      </c>
      <c r="H567" s="33">
        <f>'Peak Models'!$P$16</f>
        <v>1.5</v>
      </c>
      <c r="I567" s="33">
        <v>12</v>
      </c>
      <c r="J567" s="33" t="e">
        <f>'Peak Models'!$P$13</f>
        <v>#N/A</v>
      </c>
      <c r="K567" s="28" t="e">
        <f t="shared" si="138"/>
        <v>#VALUE!</v>
      </c>
      <c r="L567" s="28" t="e">
        <f>INDEX('Peak Models'!$P$34:$P$64, MATCH(TRUNC(B567, 0), 'Peak Models'!$O$34:$O$64, 0))</f>
        <v>#N/A</v>
      </c>
      <c r="M567" s="28">
        <f>'Peak Models'!$P$15*INDEX('Peak Models'!$Q$34:$Q$64, MATCH(TRUNC(B567, 0),'Peak Models'!$O$34:$O$64, 0))/'Profit per cycles Model'!$E$78</f>
        <v>6.8155207835205216</v>
      </c>
      <c r="N567" s="28" t="e">
        <f t="shared" si="139"/>
        <v>#N/A</v>
      </c>
      <c r="O567" s="71" t="e">
        <f>AVERAGE($N$10:N567)</f>
        <v>#N/A</v>
      </c>
      <c r="P567" s="28" t="e">
        <f t="shared" si="140"/>
        <v>#N/A</v>
      </c>
      <c r="R567" s="28" t="e">
        <f t="shared" si="141"/>
        <v>#VALUE!</v>
      </c>
      <c r="S567" s="25"/>
      <c r="T567" s="25">
        <f t="shared" si="142"/>
        <v>15</v>
      </c>
      <c r="U567" s="33">
        <f>IF(PaybackCustom&gt;0, IF(PaybackCustom&lt;&gt;"Default", PaybackCustom, IF(PaybackStatus&lt;&gt;"",INDEX('Arbitrage Payback Engine'!$Y$2:$Y$6,MATCH(PaybackStatus,'Arbitrage Payback Engine'!$X$2:$X$6,FALSE)),-1)))</f>
        <v>25</v>
      </c>
      <c r="V567" s="32">
        <f t="shared" si="151"/>
        <v>15</v>
      </c>
      <c r="X567" s="29">
        <f t="shared" si="152"/>
        <v>558</v>
      </c>
      <c r="Z567" s="30">
        <f t="shared" si="143"/>
        <v>15.285577318175593</v>
      </c>
      <c r="AA567" s="28" t="e">
        <f t="shared" si="144"/>
        <v>#N/A</v>
      </c>
      <c r="AB567" s="28" t="e">
        <f t="shared" si="145"/>
        <v>#VALUE!</v>
      </c>
      <c r="AC567" s="29">
        <f t="shared" si="146"/>
        <v>529.41176470588232</v>
      </c>
      <c r="AD567" s="28" t="e">
        <f t="shared" si="147"/>
        <v>#VALUE!</v>
      </c>
      <c r="AE567" s="28" t="e">
        <f t="shared" si="148"/>
        <v>#N/A</v>
      </c>
      <c r="AF567" s="28" t="e">
        <f t="shared" si="149"/>
        <v>#VALUE!</v>
      </c>
      <c r="AH567" s="31" t="e">
        <f t="shared" si="150"/>
        <v>#N/A</v>
      </c>
      <c r="AI567" s="25"/>
      <c r="AJ567" s="31"/>
    </row>
    <row r="568" spans="2:36" x14ac:dyDescent="0.25">
      <c r="B568" s="33">
        <f>'Arbitrage Payback Engine'!E568</f>
        <v>15.312970825914258</v>
      </c>
      <c r="C568" s="33">
        <f t="shared" si="136"/>
        <v>1000</v>
      </c>
      <c r="D568" s="33">
        <f>'Battery Pricing Model'!$C$17</f>
        <v>1000</v>
      </c>
      <c r="E568" s="33">
        <f t="shared" si="137"/>
        <v>999</v>
      </c>
      <c r="F568" s="33" t="str">
        <f>'Peak Models'!$B$4</f>
        <v>Default</v>
      </c>
      <c r="G568" s="33" t="e">
        <f>'Peak Models'!$Q$7</f>
        <v>#VALUE!</v>
      </c>
      <c r="H568" s="33">
        <f>'Peak Models'!$P$16</f>
        <v>1.5</v>
      </c>
      <c r="I568" s="33">
        <v>12</v>
      </c>
      <c r="J568" s="33" t="e">
        <f>'Peak Models'!$P$13</f>
        <v>#N/A</v>
      </c>
      <c r="K568" s="28" t="e">
        <f t="shared" si="138"/>
        <v>#VALUE!</v>
      </c>
      <c r="L568" s="28" t="e">
        <f>INDEX('Peak Models'!$P$34:$P$64, MATCH(TRUNC(B568, 0), 'Peak Models'!$O$34:$O$64, 0))</f>
        <v>#N/A</v>
      </c>
      <c r="M568" s="28">
        <f>'Peak Models'!$P$15*INDEX('Peak Models'!$Q$34:$Q$64, MATCH(TRUNC(B568, 0),'Peak Models'!$O$34:$O$64, 0))/'Profit per cycles Model'!$E$78</f>
        <v>6.8155207835205216</v>
      </c>
      <c r="N568" s="28" t="e">
        <f t="shared" si="139"/>
        <v>#N/A</v>
      </c>
      <c r="O568" s="71" t="e">
        <f>AVERAGE($N$10:N568)</f>
        <v>#N/A</v>
      </c>
      <c r="P568" s="28" t="e">
        <f t="shared" si="140"/>
        <v>#N/A</v>
      </c>
      <c r="R568" s="28" t="e">
        <f t="shared" si="141"/>
        <v>#VALUE!</v>
      </c>
      <c r="S568" s="25"/>
      <c r="T568" s="25">
        <f t="shared" si="142"/>
        <v>15</v>
      </c>
      <c r="U568" s="33">
        <f>IF(PaybackCustom&gt;0, IF(PaybackCustom&lt;&gt;"Default", PaybackCustom, IF(PaybackStatus&lt;&gt;"",INDEX('Arbitrage Payback Engine'!$Y$2:$Y$6,MATCH(PaybackStatus,'Arbitrage Payback Engine'!$X$2:$X$6,FALSE)),-1)))</f>
        <v>25</v>
      </c>
      <c r="V568" s="32">
        <f t="shared" si="151"/>
        <v>15</v>
      </c>
      <c r="X568" s="29">
        <f t="shared" si="152"/>
        <v>559</v>
      </c>
      <c r="Z568" s="30">
        <f t="shared" si="143"/>
        <v>15.312970825914258</v>
      </c>
      <c r="AA568" s="28" t="e">
        <f t="shared" si="144"/>
        <v>#N/A</v>
      </c>
      <c r="AB568" s="28" t="e">
        <f t="shared" si="145"/>
        <v>#VALUE!</v>
      </c>
      <c r="AC568" s="29">
        <f t="shared" si="146"/>
        <v>530.36053130929793</v>
      </c>
      <c r="AD568" s="28" t="e">
        <f t="shared" si="147"/>
        <v>#VALUE!</v>
      </c>
      <c r="AE568" s="28" t="e">
        <f t="shared" si="148"/>
        <v>#N/A</v>
      </c>
      <c r="AF568" s="28" t="e">
        <f t="shared" si="149"/>
        <v>#VALUE!</v>
      </c>
      <c r="AH568" s="31" t="e">
        <f t="shared" si="150"/>
        <v>#N/A</v>
      </c>
      <c r="AI568" s="25"/>
      <c r="AJ568" s="31"/>
    </row>
    <row r="569" spans="2:36" x14ac:dyDescent="0.25">
      <c r="B569" s="33">
        <f>'Arbitrage Payback Engine'!E569</f>
        <v>15.340364333652923</v>
      </c>
      <c r="C569" s="33">
        <f t="shared" si="136"/>
        <v>1000</v>
      </c>
      <c r="D569" s="33">
        <f>'Battery Pricing Model'!$C$17</f>
        <v>1000</v>
      </c>
      <c r="E569" s="33">
        <f t="shared" si="137"/>
        <v>999</v>
      </c>
      <c r="F569" s="33" t="str">
        <f>'Peak Models'!$B$4</f>
        <v>Default</v>
      </c>
      <c r="G569" s="33" t="e">
        <f>'Peak Models'!$Q$7</f>
        <v>#VALUE!</v>
      </c>
      <c r="H569" s="33">
        <f>'Peak Models'!$P$16</f>
        <v>1.5</v>
      </c>
      <c r="I569" s="33">
        <v>12</v>
      </c>
      <c r="J569" s="33" t="e">
        <f>'Peak Models'!$P$13</f>
        <v>#N/A</v>
      </c>
      <c r="K569" s="28" t="e">
        <f t="shared" si="138"/>
        <v>#VALUE!</v>
      </c>
      <c r="L569" s="28" t="e">
        <f>INDEX('Peak Models'!$P$34:$P$64, MATCH(TRUNC(B569, 0), 'Peak Models'!$O$34:$O$64, 0))</f>
        <v>#N/A</v>
      </c>
      <c r="M569" s="28">
        <f>'Peak Models'!$P$15*INDEX('Peak Models'!$Q$34:$Q$64, MATCH(TRUNC(B569, 0),'Peak Models'!$O$34:$O$64, 0))/'Profit per cycles Model'!$E$78</f>
        <v>6.8155207835205216</v>
      </c>
      <c r="N569" s="28" t="e">
        <f t="shared" si="139"/>
        <v>#N/A</v>
      </c>
      <c r="O569" s="71" t="e">
        <f>AVERAGE($N$10:N569)</f>
        <v>#N/A</v>
      </c>
      <c r="P569" s="28" t="e">
        <f t="shared" si="140"/>
        <v>#N/A</v>
      </c>
      <c r="R569" s="28" t="e">
        <f t="shared" si="141"/>
        <v>#VALUE!</v>
      </c>
      <c r="S569" s="25"/>
      <c r="T569" s="25">
        <f t="shared" si="142"/>
        <v>15</v>
      </c>
      <c r="U569" s="33">
        <f>IF(PaybackCustom&gt;0, IF(PaybackCustom&lt;&gt;"Default", PaybackCustom, IF(PaybackStatus&lt;&gt;"",INDEX('Arbitrage Payback Engine'!$Y$2:$Y$6,MATCH(PaybackStatus,'Arbitrage Payback Engine'!$X$2:$X$6,FALSE)),-1)))</f>
        <v>25</v>
      </c>
      <c r="V569" s="32">
        <f t="shared" si="151"/>
        <v>15</v>
      </c>
      <c r="X569" s="29">
        <f t="shared" si="152"/>
        <v>560</v>
      </c>
      <c r="Z569" s="30">
        <f t="shared" si="143"/>
        <v>15.340364333652923</v>
      </c>
      <c r="AA569" s="28" t="e">
        <f t="shared" si="144"/>
        <v>#N/A</v>
      </c>
      <c r="AB569" s="28" t="e">
        <f t="shared" si="145"/>
        <v>#VALUE!</v>
      </c>
      <c r="AC569" s="29">
        <f t="shared" si="146"/>
        <v>531.30929791271353</v>
      </c>
      <c r="AD569" s="28" t="e">
        <f t="shared" si="147"/>
        <v>#VALUE!</v>
      </c>
      <c r="AE569" s="28" t="e">
        <f t="shared" si="148"/>
        <v>#N/A</v>
      </c>
      <c r="AF569" s="28" t="e">
        <f t="shared" si="149"/>
        <v>#VALUE!</v>
      </c>
      <c r="AH569" s="31" t="e">
        <f t="shared" si="150"/>
        <v>#N/A</v>
      </c>
      <c r="AI569" s="25"/>
      <c r="AJ569" s="31"/>
    </row>
    <row r="570" spans="2:36" x14ac:dyDescent="0.25">
      <c r="B570" s="33">
        <f>'Arbitrage Payback Engine'!E570</f>
        <v>15.36775784139159</v>
      </c>
      <c r="C570" s="33">
        <f t="shared" si="136"/>
        <v>1000</v>
      </c>
      <c r="D570" s="33">
        <f>'Battery Pricing Model'!$C$17</f>
        <v>1000</v>
      </c>
      <c r="E570" s="33">
        <f t="shared" si="137"/>
        <v>999</v>
      </c>
      <c r="F570" s="33" t="str">
        <f>'Peak Models'!$B$4</f>
        <v>Default</v>
      </c>
      <c r="G570" s="33" t="e">
        <f>'Peak Models'!$Q$7</f>
        <v>#VALUE!</v>
      </c>
      <c r="H570" s="33">
        <f>'Peak Models'!$P$16</f>
        <v>1.5</v>
      </c>
      <c r="I570" s="33">
        <v>12</v>
      </c>
      <c r="J570" s="33" t="e">
        <f>'Peak Models'!$P$13</f>
        <v>#N/A</v>
      </c>
      <c r="K570" s="28" t="e">
        <f t="shared" si="138"/>
        <v>#VALUE!</v>
      </c>
      <c r="L570" s="28" t="e">
        <f>INDEX('Peak Models'!$P$34:$P$64, MATCH(TRUNC(B570, 0), 'Peak Models'!$O$34:$O$64, 0))</f>
        <v>#N/A</v>
      </c>
      <c r="M570" s="28">
        <f>'Peak Models'!$P$15*INDEX('Peak Models'!$Q$34:$Q$64, MATCH(TRUNC(B570, 0),'Peak Models'!$O$34:$O$64, 0))/'Profit per cycles Model'!$E$78</f>
        <v>6.8155207835205216</v>
      </c>
      <c r="N570" s="28" t="e">
        <f t="shared" si="139"/>
        <v>#N/A</v>
      </c>
      <c r="O570" s="71" t="e">
        <f>AVERAGE($N$10:N570)</f>
        <v>#N/A</v>
      </c>
      <c r="P570" s="28" t="e">
        <f t="shared" si="140"/>
        <v>#N/A</v>
      </c>
      <c r="R570" s="28" t="e">
        <f t="shared" si="141"/>
        <v>#VALUE!</v>
      </c>
      <c r="S570" s="25"/>
      <c r="T570" s="25">
        <f t="shared" si="142"/>
        <v>15</v>
      </c>
      <c r="U570" s="33">
        <f>IF(PaybackCustom&gt;0, IF(PaybackCustom&lt;&gt;"Default", PaybackCustom, IF(PaybackStatus&lt;&gt;"",INDEX('Arbitrage Payback Engine'!$Y$2:$Y$6,MATCH(PaybackStatus,'Arbitrage Payback Engine'!$X$2:$X$6,FALSE)),-1)))</f>
        <v>25</v>
      </c>
      <c r="V570" s="32">
        <f t="shared" si="151"/>
        <v>15</v>
      </c>
      <c r="X570" s="29">
        <f t="shared" si="152"/>
        <v>561</v>
      </c>
      <c r="Z570" s="30">
        <f t="shared" si="143"/>
        <v>15.36775784139159</v>
      </c>
      <c r="AA570" s="28" t="e">
        <f t="shared" si="144"/>
        <v>#N/A</v>
      </c>
      <c r="AB570" s="28" t="e">
        <f t="shared" si="145"/>
        <v>#VALUE!</v>
      </c>
      <c r="AC570" s="29">
        <f t="shared" si="146"/>
        <v>532.25806451612902</v>
      </c>
      <c r="AD570" s="28" t="e">
        <f t="shared" si="147"/>
        <v>#VALUE!</v>
      </c>
      <c r="AE570" s="28" t="e">
        <f t="shared" si="148"/>
        <v>#N/A</v>
      </c>
      <c r="AF570" s="28" t="e">
        <f t="shared" si="149"/>
        <v>#VALUE!</v>
      </c>
      <c r="AH570" s="31" t="e">
        <f t="shared" si="150"/>
        <v>#N/A</v>
      </c>
      <c r="AI570" s="25"/>
      <c r="AJ570" s="31"/>
    </row>
    <row r="571" spans="2:36" x14ac:dyDescent="0.25">
      <c r="B571" s="33">
        <f>'Arbitrage Payback Engine'!E571</f>
        <v>15.395151349130256</v>
      </c>
      <c r="C571" s="33">
        <f t="shared" si="136"/>
        <v>1000</v>
      </c>
      <c r="D571" s="33">
        <f>'Battery Pricing Model'!$C$17</f>
        <v>1000</v>
      </c>
      <c r="E571" s="33">
        <f t="shared" si="137"/>
        <v>999</v>
      </c>
      <c r="F571" s="33" t="str">
        <f>'Peak Models'!$B$4</f>
        <v>Default</v>
      </c>
      <c r="G571" s="33" t="e">
        <f>'Peak Models'!$Q$7</f>
        <v>#VALUE!</v>
      </c>
      <c r="H571" s="33">
        <f>'Peak Models'!$P$16</f>
        <v>1.5</v>
      </c>
      <c r="I571" s="33">
        <v>12</v>
      </c>
      <c r="J571" s="33" t="e">
        <f>'Peak Models'!$P$13</f>
        <v>#N/A</v>
      </c>
      <c r="K571" s="28" t="e">
        <f t="shared" si="138"/>
        <v>#VALUE!</v>
      </c>
      <c r="L571" s="28" t="e">
        <f>INDEX('Peak Models'!$P$34:$P$64, MATCH(TRUNC(B571, 0), 'Peak Models'!$O$34:$O$64, 0))</f>
        <v>#N/A</v>
      </c>
      <c r="M571" s="28">
        <f>'Peak Models'!$P$15*INDEX('Peak Models'!$Q$34:$Q$64, MATCH(TRUNC(B571, 0),'Peak Models'!$O$34:$O$64, 0))/'Profit per cycles Model'!$E$78</f>
        <v>6.8155207835205216</v>
      </c>
      <c r="N571" s="28" t="e">
        <f t="shared" si="139"/>
        <v>#N/A</v>
      </c>
      <c r="O571" s="71" t="e">
        <f>AVERAGE($N$10:N571)</f>
        <v>#N/A</v>
      </c>
      <c r="P571" s="28" t="e">
        <f t="shared" si="140"/>
        <v>#N/A</v>
      </c>
      <c r="R571" s="28" t="e">
        <f t="shared" si="141"/>
        <v>#VALUE!</v>
      </c>
      <c r="S571" s="25"/>
      <c r="T571" s="25">
        <f t="shared" si="142"/>
        <v>15</v>
      </c>
      <c r="U571" s="33">
        <f>IF(PaybackCustom&gt;0, IF(PaybackCustom&lt;&gt;"Default", PaybackCustom, IF(PaybackStatus&lt;&gt;"",INDEX('Arbitrage Payback Engine'!$Y$2:$Y$6,MATCH(PaybackStatus,'Arbitrage Payback Engine'!$X$2:$X$6,FALSE)),-1)))</f>
        <v>25</v>
      </c>
      <c r="V571" s="32">
        <f t="shared" si="151"/>
        <v>15</v>
      </c>
      <c r="X571" s="29">
        <f t="shared" si="152"/>
        <v>562</v>
      </c>
      <c r="Z571" s="30">
        <f t="shared" si="143"/>
        <v>15.395151349130256</v>
      </c>
      <c r="AA571" s="28" t="e">
        <f t="shared" si="144"/>
        <v>#N/A</v>
      </c>
      <c r="AB571" s="28" t="e">
        <f t="shared" si="145"/>
        <v>#VALUE!</v>
      </c>
      <c r="AC571" s="29">
        <f t="shared" si="146"/>
        <v>533.20683111954463</v>
      </c>
      <c r="AD571" s="28" t="e">
        <f t="shared" si="147"/>
        <v>#VALUE!</v>
      </c>
      <c r="AE571" s="28" t="e">
        <f t="shared" si="148"/>
        <v>#N/A</v>
      </c>
      <c r="AF571" s="28" t="e">
        <f t="shared" si="149"/>
        <v>#VALUE!</v>
      </c>
      <c r="AH571" s="31" t="e">
        <f t="shared" si="150"/>
        <v>#N/A</v>
      </c>
      <c r="AI571" s="25"/>
      <c r="AJ571" s="31"/>
    </row>
    <row r="572" spans="2:36" x14ac:dyDescent="0.25">
      <c r="B572" s="33">
        <f>'Arbitrage Payback Engine'!E572</f>
        <v>15.422544856868921</v>
      </c>
      <c r="C572" s="33">
        <f t="shared" si="136"/>
        <v>1000</v>
      </c>
      <c r="D572" s="33">
        <f>'Battery Pricing Model'!$C$17</f>
        <v>1000</v>
      </c>
      <c r="E572" s="33">
        <f t="shared" si="137"/>
        <v>999</v>
      </c>
      <c r="F572" s="33" t="str">
        <f>'Peak Models'!$B$4</f>
        <v>Default</v>
      </c>
      <c r="G572" s="33" t="e">
        <f>'Peak Models'!$Q$7</f>
        <v>#VALUE!</v>
      </c>
      <c r="H572" s="33">
        <f>'Peak Models'!$P$16</f>
        <v>1.5</v>
      </c>
      <c r="I572" s="33">
        <v>12</v>
      </c>
      <c r="J572" s="33" t="e">
        <f>'Peak Models'!$P$13</f>
        <v>#N/A</v>
      </c>
      <c r="K572" s="28" t="e">
        <f t="shared" si="138"/>
        <v>#VALUE!</v>
      </c>
      <c r="L572" s="28" t="e">
        <f>INDEX('Peak Models'!$P$34:$P$64, MATCH(TRUNC(B572, 0), 'Peak Models'!$O$34:$O$64, 0))</f>
        <v>#N/A</v>
      </c>
      <c r="M572" s="28">
        <f>'Peak Models'!$P$15*INDEX('Peak Models'!$Q$34:$Q$64, MATCH(TRUNC(B572, 0),'Peak Models'!$O$34:$O$64, 0))/'Profit per cycles Model'!$E$78</f>
        <v>6.8155207835205216</v>
      </c>
      <c r="N572" s="28" t="e">
        <f t="shared" si="139"/>
        <v>#N/A</v>
      </c>
      <c r="O572" s="71" t="e">
        <f>AVERAGE($N$10:N572)</f>
        <v>#N/A</v>
      </c>
      <c r="P572" s="28" t="e">
        <f t="shared" si="140"/>
        <v>#N/A</v>
      </c>
      <c r="R572" s="28" t="e">
        <f t="shared" si="141"/>
        <v>#VALUE!</v>
      </c>
      <c r="S572" s="25"/>
      <c r="T572" s="25">
        <f t="shared" si="142"/>
        <v>15</v>
      </c>
      <c r="U572" s="33">
        <f>IF(PaybackCustom&gt;0, IF(PaybackCustom&lt;&gt;"Default", PaybackCustom, IF(PaybackStatus&lt;&gt;"",INDEX('Arbitrage Payback Engine'!$Y$2:$Y$6,MATCH(PaybackStatus,'Arbitrage Payback Engine'!$X$2:$X$6,FALSE)),-1)))</f>
        <v>25</v>
      </c>
      <c r="V572" s="32">
        <f t="shared" si="151"/>
        <v>15</v>
      </c>
      <c r="X572" s="29">
        <f t="shared" si="152"/>
        <v>563</v>
      </c>
      <c r="Z572" s="30">
        <f t="shared" si="143"/>
        <v>15.422544856868921</v>
      </c>
      <c r="AA572" s="28" t="e">
        <f t="shared" si="144"/>
        <v>#N/A</v>
      </c>
      <c r="AB572" s="28" t="e">
        <f t="shared" si="145"/>
        <v>#VALUE!</v>
      </c>
      <c r="AC572" s="29">
        <f t="shared" si="146"/>
        <v>534.15559772296012</v>
      </c>
      <c r="AD572" s="28" t="e">
        <f t="shared" si="147"/>
        <v>#VALUE!</v>
      </c>
      <c r="AE572" s="28" t="e">
        <f t="shared" si="148"/>
        <v>#N/A</v>
      </c>
      <c r="AF572" s="28" t="e">
        <f t="shared" si="149"/>
        <v>#VALUE!</v>
      </c>
      <c r="AH572" s="31" t="e">
        <f t="shared" si="150"/>
        <v>#N/A</v>
      </c>
      <c r="AI572" s="25"/>
      <c r="AJ572" s="31"/>
    </row>
    <row r="573" spans="2:36" x14ac:dyDescent="0.25">
      <c r="B573" s="33">
        <f>'Arbitrage Payback Engine'!E573</f>
        <v>15.449938364607588</v>
      </c>
      <c r="C573" s="33">
        <f t="shared" si="136"/>
        <v>1000</v>
      </c>
      <c r="D573" s="33">
        <f>'Battery Pricing Model'!$C$17</f>
        <v>1000</v>
      </c>
      <c r="E573" s="33">
        <f t="shared" si="137"/>
        <v>999</v>
      </c>
      <c r="F573" s="33" t="str">
        <f>'Peak Models'!$B$4</f>
        <v>Default</v>
      </c>
      <c r="G573" s="33" t="e">
        <f>'Peak Models'!$Q$7</f>
        <v>#VALUE!</v>
      </c>
      <c r="H573" s="33">
        <f>'Peak Models'!$P$16</f>
        <v>1.5</v>
      </c>
      <c r="I573" s="33">
        <v>12</v>
      </c>
      <c r="J573" s="33" t="e">
        <f>'Peak Models'!$P$13</f>
        <v>#N/A</v>
      </c>
      <c r="K573" s="28" t="e">
        <f t="shared" si="138"/>
        <v>#VALUE!</v>
      </c>
      <c r="L573" s="28" t="e">
        <f>INDEX('Peak Models'!$P$34:$P$64, MATCH(TRUNC(B573, 0), 'Peak Models'!$O$34:$O$64, 0))</f>
        <v>#N/A</v>
      </c>
      <c r="M573" s="28">
        <f>'Peak Models'!$P$15*INDEX('Peak Models'!$Q$34:$Q$64, MATCH(TRUNC(B573, 0),'Peak Models'!$O$34:$O$64, 0))/'Profit per cycles Model'!$E$78</f>
        <v>6.8155207835205216</v>
      </c>
      <c r="N573" s="28" t="e">
        <f t="shared" si="139"/>
        <v>#N/A</v>
      </c>
      <c r="O573" s="71" t="e">
        <f>AVERAGE($N$10:N573)</f>
        <v>#N/A</v>
      </c>
      <c r="P573" s="28" t="e">
        <f t="shared" si="140"/>
        <v>#N/A</v>
      </c>
      <c r="R573" s="28" t="e">
        <f t="shared" si="141"/>
        <v>#VALUE!</v>
      </c>
      <c r="S573" s="25"/>
      <c r="T573" s="25">
        <f t="shared" si="142"/>
        <v>15</v>
      </c>
      <c r="U573" s="33">
        <f>IF(PaybackCustom&gt;0, IF(PaybackCustom&lt;&gt;"Default", PaybackCustom, IF(PaybackStatus&lt;&gt;"",INDEX('Arbitrage Payback Engine'!$Y$2:$Y$6,MATCH(PaybackStatus,'Arbitrage Payback Engine'!$X$2:$X$6,FALSE)),-1)))</f>
        <v>25</v>
      </c>
      <c r="V573" s="32">
        <f t="shared" si="151"/>
        <v>15</v>
      </c>
      <c r="X573" s="29">
        <f t="shared" si="152"/>
        <v>564</v>
      </c>
      <c r="Z573" s="30">
        <f t="shared" si="143"/>
        <v>15.449938364607588</v>
      </c>
      <c r="AA573" s="28" t="e">
        <f t="shared" si="144"/>
        <v>#N/A</v>
      </c>
      <c r="AB573" s="28" t="e">
        <f t="shared" si="145"/>
        <v>#VALUE!</v>
      </c>
      <c r="AC573" s="29">
        <f t="shared" si="146"/>
        <v>535.10436432637573</v>
      </c>
      <c r="AD573" s="28" t="e">
        <f t="shared" si="147"/>
        <v>#VALUE!</v>
      </c>
      <c r="AE573" s="28" t="e">
        <f t="shared" si="148"/>
        <v>#N/A</v>
      </c>
      <c r="AF573" s="28" t="e">
        <f t="shared" si="149"/>
        <v>#VALUE!</v>
      </c>
      <c r="AH573" s="31" t="e">
        <f t="shared" si="150"/>
        <v>#N/A</v>
      </c>
      <c r="AI573" s="25"/>
      <c r="AJ573" s="31"/>
    </row>
    <row r="574" spans="2:36" x14ac:dyDescent="0.25">
      <c r="B574" s="33">
        <f>'Arbitrage Payback Engine'!E574</f>
        <v>15.477331872346253</v>
      </c>
      <c r="C574" s="33">
        <f t="shared" si="136"/>
        <v>1000</v>
      </c>
      <c r="D574" s="33">
        <f>'Battery Pricing Model'!$C$17</f>
        <v>1000</v>
      </c>
      <c r="E574" s="33">
        <f t="shared" si="137"/>
        <v>999</v>
      </c>
      <c r="F574" s="33" t="str">
        <f>'Peak Models'!$B$4</f>
        <v>Default</v>
      </c>
      <c r="G574" s="33" t="e">
        <f>'Peak Models'!$Q$7</f>
        <v>#VALUE!</v>
      </c>
      <c r="H574" s="33">
        <f>'Peak Models'!$P$16</f>
        <v>1.5</v>
      </c>
      <c r="I574" s="33">
        <v>12</v>
      </c>
      <c r="J574" s="33" t="e">
        <f>'Peak Models'!$P$13</f>
        <v>#N/A</v>
      </c>
      <c r="K574" s="28" t="e">
        <f t="shared" si="138"/>
        <v>#VALUE!</v>
      </c>
      <c r="L574" s="28" t="e">
        <f>INDEX('Peak Models'!$P$34:$P$64, MATCH(TRUNC(B574, 0), 'Peak Models'!$O$34:$O$64, 0))</f>
        <v>#N/A</v>
      </c>
      <c r="M574" s="28">
        <f>'Peak Models'!$P$15*INDEX('Peak Models'!$Q$34:$Q$64, MATCH(TRUNC(B574, 0),'Peak Models'!$O$34:$O$64, 0))/'Profit per cycles Model'!$E$78</f>
        <v>6.8155207835205216</v>
      </c>
      <c r="N574" s="28" t="e">
        <f t="shared" si="139"/>
        <v>#N/A</v>
      </c>
      <c r="O574" s="71" t="e">
        <f>AVERAGE($N$10:N574)</f>
        <v>#N/A</v>
      </c>
      <c r="P574" s="28" t="e">
        <f t="shared" si="140"/>
        <v>#N/A</v>
      </c>
      <c r="R574" s="28" t="e">
        <f t="shared" si="141"/>
        <v>#VALUE!</v>
      </c>
      <c r="S574" s="25"/>
      <c r="T574" s="25">
        <f t="shared" si="142"/>
        <v>15</v>
      </c>
      <c r="U574" s="33">
        <f>IF(PaybackCustom&gt;0, IF(PaybackCustom&lt;&gt;"Default", PaybackCustom, IF(PaybackStatus&lt;&gt;"",INDEX('Arbitrage Payback Engine'!$Y$2:$Y$6,MATCH(PaybackStatus,'Arbitrage Payback Engine'!$X$2:$X$6,FALSE)),-1)))</f>
        <v>25</v>
      </c>
      <c r="V574" s="32">
        <f t="shared" si="151"/>
        <v>15</v>
      </c>
      <c r="X574" s="29">
        <f t="shared" si="152"/>
        <v>565</v>
      </c>
      <c r="Z574" s="30">
        <f t="shared" si="143"/>
        <v>15.477331872346253</v>
      </c>
      <c r="AA574" s="28" t="e">
        <f t="shared" si="144"/>
        <v>#N/A</v>
      </c>
      <c r="AB574" s="28" t="e">
        <f t="shared" si="145"/>
        <v>#VALUE!</v>
      </c>
      <c r="AC574" s="29">
        <f t="shared" si="146"/>
        <v>536.05313092979122</v>
      </c>
      <c r="AD574" s="28" t="e">
        <f t="shared" si="147"/>
        <v>#VALUE!</v>
      </c>
      <c r="AE574" s="28" t="e">
        <f t="shared" si="148"/>
        <v>#N/A</v>
      </c>
      <c r="AF574" s="28" t="e">
        <f t="shared" si="149"/>
        <v>#VALUE!</v>
      </c>
      <c r="AH574" s="31" t="e">
        <f t="shared" si="150"/>
        <v>#N/A</v>
      </c>
      <c r="AI574" s="25"/>
      <c r="AJ574" s="31"/>
    </row>
    <row r="575" spans="2:36" x14ac:dyDescent="0.25">
      <c r="B575" s="33">
        <f>'Arbitrage Payback Engine'!E575</f>
        <v>15.504725380084919</v>
      </c>
      <c r="C575" s="33">
        <f t="shared" si="136"/>
        <v>1000</v>
      </c>
      <c r="D575" s="33">
        <f>'Battery Pricing Model'!$C$17</f>
        <v>1000</v>
      </c>
      <c r="E575" s="33">
        <f t="shared" si="137"/>
        <v>999</v>
      </c>
      <c r="F575" s="33" t="str">
        <f>'Peak Models'!$B$4</f>
        <v>Default</v>
      </c>
      <c r="G575" s="33" t="e">
        <f>'Peak Models'!$Q$7</f>
        <v>#VALUE!</v>
      </c>
      <c r="H575" s="33">
        <f>'Peak Models'!$P$16</f>
        <v>1.5</v>
      </c>
      <c r="I575" s="33">
        <v>12</v>
      </c>
      <c r="J575" s="33" t="e">
        <f>'Peak Models'!$P$13</f>
        <v>#N/A</v>
      </c>
      <c r="K575" s="28" t="e">
        <f t="shared" si="138"/>
        <v>#VALUE!</v>
      </c>
      <c r="L575" s="28" t="e">
        <f>INDEX('Peak Models'!$P$34:$P$64, MATCH(TRUNC(B575, 0), 'Peak Models'!$O$34:$O$64, 0))</f>
        <v>#N/A</v>
      </c>
      <c r="M575" s="28">
        <f>'Peak Models'!$P$15*INDEX('Peak Models'!$Q$34:$Q$64, MATCH(TRUNC(B575, 0),'Peak Models'!$O$34:$O$64, 0))/'Profit per cycles Model'!$E$78</f>
        <v>6.8155207835205216</v>
      </c>
      <c r="N575" s="28" t="e">
        <f t="shared" si="139"/>
        <v>#N/A</v>
      </c>
      <c r="O575" s="71" t="e">
        <f>AVERAGE($N$10:N575)</f>
        <v>#N/A</v>
      </c>
      <c r="P575" s="28" t="e">
        <f t="shared" si="140"/>
        <v>#N/A</v>
      </c>
      <c r="R575" s="28" t="e">
        <f t="shared" si="141"/>
        <v>#VALUE!</v>
      </c>
      <c r="S575" s="25"/>
      <c r="T575" s="25">
        <f t="shared" si="142"/>
        <v>15</v>
      </c>
      <c r="U575" s="33">
        <f>IF(PaybackCustom&gt;0, IF(PaybackCustom&lt;&gt;"Default", PaybackCustom, IF(PaybackStatus&lt;&gt;"",INDEX('Arbitrage Payback Engine'!$Y$2:$Y$6,MATCH(PaybackStatus,'Arbitrage Payback Engine'!$X$2:$X$6,FALSE)),-1)))</f>
        <v>25</v>
      </c>
      <c r="V575" s="32">
        <f t="shared" si="151"/>
        <v>15</v>
      </c>
      <c r="X575" s="29">
        <f t="shared" si="152"/>
        <v>566</v>
      </c>
      <c r="Z575" s="30">
        <f t="shared" si="143"/>
        <v>15.504725380084919</v>
      </c>
      <c r="AA575" s="28" t="e">
        <f t="shared" si="144"/>
        <v>#N/A</v>
      </c>
      <c r="AB575" s="28" t="e">
        <f t="shared" si="145"/>
        <v>#VALUE!</v>
      </c>
      <c r="AC575" s="29">
        <f t="shared" si="146"/>
        <v>537.00189753320683</v>
      </c>
      <c r="AD575" s="28" t="e">
        <f t="shared" si="147"/>
        <v>#VALUE!</v>
      </c>
      <c r="AE575" s="28" t="e">
        <f t="shared" si="148"/>
        <v>#N/A</v>
      </c>
      <c r="AF575" s="28" t="e">
        <f t="shared" si="149"/>
        <v>#VALUE!</v>
      </c>
      <c r="AH575" s="31" t="e">
        <f t="shared" si="150"/>
        <v>#N/A</v>
      </c>
      <c r="AI575" s="25"/>
      <c r="AJ575" s="31"/>
    </row>
    <row r="576" spans="2:36" x14ac:dyDescent="0.25">
      <c r="B576" s="33">
        <f>'Arbitrage Payback Engine'!E576</f>
        <v>15.532118887823586</v>
      </c>
      <c r="C576" s="33">
        <f t="shared" si="136"/>
        <v>1000</v>
      </c>
      <c r="D576" s="33">
        <f>'Battery Pricing Model'!$C$17</f>
        <v>1000</v>
      </c>
      <c r="E576" s="33">
        <f t="shared" si="137"/>
        <v>999</v>
      </c>
      <c r="F576" s="33" t="str">
        <f>'Peak Models'!$B$4</f>
        <v>Default</v>
      </c>
      <c r="G576" s="33" t="e">
        <f>'Peak Models'!$Q$7</f>
        <v>#VALUE!</v>
      </c>
      <c r="H576" s="33">
        <f>'Peak Models'!$P$16</f>
        <v>1.5</v>
      </c>
      <c r="I576" s="33">
        <v>12</v>
      </c>
      <c r="J576" s="33" t="e">
        <f>'Peak Models'!$P$13</f>
        <v>#N/A</v>
      </c>
      <c r="K576" s="28" t="e">
        <f t="shared" si="138"/>
        <v>#VALUE!</v>
      </c>
      <c r="L576" s="28" t="e">
        <f>INDEX('Peak Models'!$P$34:$P$64, MATCH(TRUNC(B576, 0), 'Peak Models'!$O$34:$O$64, 0))</f>
        <v>#N/A</v>
      </c>
      <c r="M576" s="28">
        <f>'Peak Models'!$P$15*INDEX('Peak Models'!$Q$34:$Q$64, MATCH(TRUNC(B576, 0),'Peak Models'!$O$34:$O$64, 0))/'Profit per cycles Model'!$E$78</f>
        <v>6.8155207835205216</v>
      </c>
      <c r="N576" s="28" t="e">
        <f t="shared" si="139"/>
        <v>#N/A</v>
      </c>
      <c r="O576" s="71" t="e">
        <f>AVERAGE($N$10:N576)</f>
        <v>#N/A</v>
      </c>
      <c r="P576" s="28" t="e">
        <f t="shared" si="140"/>
        <v>#N/A</v>
      </c>
      <c r="R576" s="28" t="e">
        <f t="shared" si="141"/>
        <v>#VALUE!</v>
      </c>
      <c r="S576" s="25"/>
      <c r="T576" s="25">
        <f t="shared" si="142"/>
        <v>15</v>
      </c>
      <c r="U576" s="33">
        <f>IF(PaybackCustom&gt;0, IF(PaybackCustom&lt;&gt;"Default", PaybackCustom, IF(PaybackStatus&lt;&gt;"",INDEX('Arbitrage Payback Engine'!$Y$2:$Y$6,MATCH(PaybackStatus,'Arbitrage Payback Engine'!$X$2:$X$6,FALSE)),-1)))</f>
        <v>25</v>
      </c>
      <c r="V576" s="32">
        <f t="shared" si="151"/>
        <v>15</v>
      </c>
      <c r="X576" s="29">
        <f t="shared" si="152"/>
        <v>567</v>
      </c>
      <c r="Z576" s="30">
        <f t="shared" si="143"/>
        <v>15.532118887823586</v>
      </c>
      <c r="AA576" s="28" t="e">
        <f t="shared" si="144"/>
        <v>#N/A</v>
      </c>
      <c r="AB576" s="28" t="e">
        <f t="shared" si="145"/>
        <v>#VALUE!</v>
      </c>
      <c r="AC576" s="29">
        <f t="shared" si="146"/>
        <v>537.95066413662244</v>
      </c>
      <c r="AD576" s="28" t="e">
        <f t="shared" si="147"/>
        <v>#VALUE!</v>
      </c>
      <c r="AE576" s="28" t="e">
        <f t="shared" si="148"/>
        <v>#N/A</v>
      </c>
      <c r="AF576" s="28" t="e">
        <f t="shared" si="149"/>
        <v>#VALUE!</v>
      </c>
      <c r="AH576" s="31" t="e">
        <f t="shared" si="150"/>
        <v>#N/A</v>
      </c>
      <c r="AI576" s="25"/>
      <c r="AJ576" s="31"/>
    </row>
    <row r="577" spans="2:36" x14ac:dyDescent="0.25">
      <c r="B577" s="33">
        <f>'Arbitrage Payback Engine'!E577</f>
        <v>15.559512395562251</v>
      </c>
      <c r="C577" s="33">
        <f t="shared" si="136"/>
        <v>1000</v>
      </c>
      <c r="D577" s="33">
        <f>'Battery Pricing Model'!$C$17</f>
        <v>1000</v>
      </c>
      <c r="E577" s="33">
        <f t="shared" si="137"/>
        <v>999</v>
      </c>
      <c r="F577" s="33" t="str">
        <f>'Peak Models'!$B$4</f>
        <v>Default</v>
      </c>
      <c r="G577" s="33" t="e">
        <f>'Peak Models'!$Q$7</f>
        <v>#VALUE!</v>
      </c>
      <c r="H577" s="33">
        <f>'Peak Models'!$P$16</f>
        <v>1.5</v>
      </c>
      <c r="I577" s="33">
        <v>12</v>
      </c>
      <c r="J577" s="33" t="e">
        <f>'Peak Models'!$P$13</f>
        <v>#N/A</v>
      </c>
      <c r="K577" s="28" t="e">
        <f t="shared" si="138"/>
        <v>#VALUE!</v>
      </c>
      <c r="L577" s="28" t="e">
        <f>INDEX('Peak Models'!$P$34:$P$64, MATCH(TRUNC(B577, 0), 'Peak Models'!$O$34:$O$64, 0))</f>
        <v>#N/A</v>
      </c>
      <c r="M577" s="28">
        <f>'Peak Models'!$P$15*INDEX('Peak Models'!$Q$34:$Q$64, MATCH(TRUNC(B577, 0),'Peak Models'!$O$34:$O$64, 0))/'Profit per cycles Model'!$E$78</f>
        <v>6.8155207835205216</v>
      </c>
      <c r="N577" s="28" t="e">
        <f t="shared" si="139"/>
        <v>#N/A</v>
      </c>
      <c r="O577" s="71" t="e">
        <f>AVERAGE($N$10:N577)</f>
        <v>#N/A</v>
      </c>
      <c r="P577" s="28" t="e">
        <f t="shared" si="140"/>
        <v>#N/A</v>
      </c>
      <c r="R577" s="28" t="e">
        <f t="shared" si="141"/>
        <v>#VALUE!</v>
      </c>
      <c r="S577" s="25"/>
      <c r="T577" s="25">
        <f t="shared" si="142"/>
        <v>15</v>
      </c>
      <c r="U577" s="33">
        <f>IF(PaybackCustom&gt;0, IF(PaybackCustom&lt;&gt;"Default", PaybackCustom, IF(PaybackStatus&lt;&gt;"",INDEX('Arbitrage Payback Engine'!$Y$2:$Y$6,MATCH(PaybackStatus,'Arbitrage Payback Engine'!$X$2:$X$6,FALSE)),-1)))</f>
        <v>25</v>
      </c>
      <c r="V577" s="32">
        <f t="shared" si="151"/>
        <v>15</v>
      </c>
      <c r="X577" s="29">
        <f t="shared" si="152"/>
        <v>568</v>
      </c>
      <c r="Z577" s="30">
        <f t="shared" si="143"/>
        <v>15.559512395562251</v>
      </c>
      <c r="AA577" s="28" t="e">
        <f t="shared" si="144"/>
        <v>#N/A</v>
      </c>
      <c r="AB577" s="28" t="e">
        <f t="shared" si="145"/>
        <v>#VALUE!</v>
      </c>
      <c r="AC577" s="29">
        <f t="shared" si="146"/>
        <v>538.89943074003793</v>
      </c>
      <c r="AD577" s="28" t="e">
        <f t="shared" si="147"/>
        <v>#VALUE!</v>
      </c>
      <c r="AE577" s="28" t="e">
        <f t="shared" si="148"/>
        <v>#N/A</v>
      </c>
      <c r="AF577" s="28" t="e">
        <f t="shared" si="149"/>
        <v>#VALUE!</v>
      </c>
      <c r="AH577" s="31" t="e">
        <f t="shared" si="150"/>
        <v>#N/A</v>
      </c>
      <c r="AI577" s="25"/>
      <c r="AJ577" s="31"/>
    </row>
    <row r="578" spans="2:36" x14ac:dyDescent="0.25">
      <c r="B578" s="33">
        <f>'Arbitrage Payback Engine'!E578</f>
        <v>15.586905903300917</v>
      </c>
      <c r="C578" s="33">
        <f t="shared" si="136"/>
        <v>1000</v>
      </c>
      <c r="D578" s="33">
        <f>'Battery Pricing Model'!$C$17</f>
        <v>1000</v>
      </c>
      <c r="E578" s="33">
        <f t="shared" si="137"/>
        <v>999</v>
      </c>
      <c r="F578" s="33" t="str">
        <f>'Peak Models'!$B$4</f>
        <v>Default</v>
      </c>
      <c r="G578" s="33" t="e">
        <f>'Peak Models'!$Q$7</f>
        <v>#VALUE!</v>
      </c>
      <c r="H578" s="33">
        <f>'Peak Models'!$P$16</f>
        <v>1.5</v>
      </c>
      <c r="I578" s="33">
        <v>12</v>
      </c>
      <c r="J578" s="33" t="e">
        <f>'Peak Models'!$P$13</f>
        <v>#N/A</v>
      </c>
      <c r="K578" s="28" t="e">
        <f t="shared" si="138"/>
        <v>#VALUE!</v>
      </c>
      <c r="L578" s="28" t="e">
        <f>INDEX('Peak Models'!$P$34:$P$64, MATCH(TRUNC(B578, 0), 'Peak Models'!$O$34:$O$64, 0))</f>
        <v>#N/A</v>
      </c>
      <c r="M578" s="28">
        <f>'Peak Models'!$P$15*INDEX('Peak Models'!$Q$34:$Q$64, MATCH(TRUNC(B578, 0),'Peak Models'!$O$34:$O$64, 0))/'Profit per cycles Model'!$E$78</f>
        <v>6.8155207835205216</v>
      </c>
      <c r="N578" s="28" t="e">
        <f t="shared" si="139"/>
        <v>#N/A</v>
      </c>
      <c r="O578" s="71" t="e">
        <f>AVERAGE($N$10:N578)</f>
        <v>#N/A</v>
      </c>
      <c r="P578" s="28" t="e">
        <f t="shared" si="140"/>
        <v>#N/A</v>
      </c>
      <c r="R578" s="28" t="e">
        <f t="shared" si="141"/>
        <v>#VALUE!</v>
      </c>
      <c r="S578" s="25"/>
      <c r="T578" s="25">
        <f t="shared" si="142"/>
        <v>15</v>
      </c>
      <c r="U578" s="33">
        <f>IF(PaybackCustom&gt;0, IF(PaybackCustom&lt;&gt;"Default", PaybackCustom, IF(PaybackStatus&lt;&gt;"",INDEX('Arbitrage Payback Engine'!$Y$2:$Y$6,MATCH(PaybackStatus,'Arbitrage Payback Engine'!$X$2:$X$6,FALSE)),-1)))</f>
        <v>25</v>
      </c>
      <c r="V578" s="32">
        <f t="shared" si="151"/>
        <v>15</v>
      </c>
      <c r="X578" s="29">
        <f t="shared" si="152"/>
        <v>569</v>
      </c>
      <c r="Z578" s="30">
        <f t="shared" si="143"/>
        <v>15.586905903300917</v>
      </c>
      <c r="AA578" s="28" t="e">
        <f t="shared" si="144"/>
        <v>#N/A</v>
      </c>
      <c r="AB578" s="28" t="e">
        <f t="shared" si="145"/>
        <v>#VALUE!</v>
      </c>
      <c r="AC578" s="29">
        <f t="shared" si="146"/>
        <v>539.84819734345353</v>
      </c>
      <c r="AD578" s="28" t="e">
        <f t="shared" si="147"/>
        <v>#VALUE!</v>
      </c>
      <c r="AE578" s="28" t="e">
        <f t="shared" si="148"/>
        <v>#N/A</v>
      </c>
      <c r="AF578" s="28" t="e">
        <f t="shared" si="149"/>
        <v>#VALUE!</v>
      </c>
      <c r="AH578" s="31" t="e">
        <f t="shared" si="150"/>
        <v>#N/A</v>
      </c>
      <c r="AI578" s="25"/>
      <c r="AJ578" s="31"/>
    </row>
    <row r="579" spans="2:36" x14ac:dyDescent="0.25">
      <c r="B579" s="33">
        <f>'Arbitrage Payback Engine'!E579</f>
        <v>15.614299411039584</v>
      </c>
      <c r="C579" s="33">
        <f t="shared" si="136"/>
        <v>1000</v>
      </c>
      <c r="D579" s="33">
        <f>'Battery Pricing Model'!$C$17</f>
        <v>1000</v>
      </c>
      <c r="E579" s="33">
        <f t="shared" si="137"/>
        <v>999</v>
      </c>
      <c r="F579" s="33" t="str">
        <f>'Peak Models'!$B$4</f>
        <v>Default</v>
      </c>
      <c r="G579" s="33" t="e">
        <f>'Peak Models'!$Q$7</f>
        <v>#VALUE!</v>
      </c>
      <c r="H579" s="33">
        <f>'Peak Models'!$P$16</f>
        <v>1.5</v>
      </c>
      <c r="I579" s="33">
        <v>12</v>
      </c>
      <c r="J579" s="33" t="e">
        <f>'Peak Models'!$P$13</f>
        <v>#N/A</v>
      </c>
      <c r="K579" s="28" t="e">
        <f t="shared" si="138"/>
        <v>#VALUE!</v>
      </c>
      <c r="L579" s="28" t="e">
        <f>INDEX('Peak Models'!$P$34:$P$64, MATCH(TRUNC(B579, 0), 'Peak Models'!$O$34:$O$64, 0))</f>
        <v>#N/A</v>
      </c>
      <c r="M579" s="28">
        <f>'Peak Models'!$P$15*INDEX('Peak Models'!$Q$34:$Q$64, MATCH(TRUNC(B579, 0),'Peak Models'!$O$34:$O$64, 0))/'Profit per cycles Model'!$E$78</f>
        <v>6.8155207835205216</v>
      </c>
      <c r="N579" s="28" t="e">
        <f t="shared" si="139"/>
        <v>#N/A</v>
      </c>
      <c r="O579" s="71" t="e">
        <f>AVERAGE($N$10:N579)</f>
        <v>#N/A</v>
      </c>
      <c r="P579" s="28" t="e">
        <f t="shared" si="140"/>
        <v>#N/A</v>
      </c>
      <c r="R579" s="28" t="e">
        <f t="shared" si="141"/>
        <v>#VALUE!</v>
      </c>
      <c r="S579" s="25"/>
      <c r="T579" s="25">
        <f t="shared" si="142"/>
        <v>15</v>
      </c>
      <c r="U579" s="33">
        <f>IF(PaybackCustom&gt;0, IF(PaybackCustom&lt;&gt;"Default", PaybackCustom, IF(PaybackStatus&lt;&gt;"",INDEX('Arbitrage Payback Engine'!$Y$2:$Y$6,MATCH(PaybackStatus,'Arbitrage Payback Engine'!$X$2:$X$6,FALSE)),-1)))</f>
        <v>25</v>
      </c>
      <c r="V579" s="32">
        <f t="shared" si="151"/>
        <v>15</v>
      </c>
      <c r="X579" s="29">
        <f t="shared" si="152"/>
        <v>570</v>
      </c>
      <c r="Z579" s="30">
        <f t="shared" si="143"/>
        <v>15.614299411039584</v>
      </c>
      <c r="AA579" s="28" t="e">
        <f t="shared" si="144"/>
        <v>#N/A</v>
      </c>
      <c r="AB579" s="28" t="e">
        <f t="shared" si="145"/>
        <v>#VALUE!</v>
      </c>
      <c r="AC579" s="29">
        <f t="shared" si="146"/>
        <v>540.79696394686903</v>
      </c>
      <c r="AD579" s="28" t="e">
        <f t="shared" si="147"/>
        <v>#VALUE!</v>
      </c>
      <c r="AE579" s="28" t="e">
        <f t="shared" si="148"/>
        <v>#N/A</v>
      </c>
      <c r="AF579" s="28" t="e">
        <f t="shared" si="149"/>
        <v>#VALUE!</v>
      </c>
      <c r="AH579" s="31" t="e">
        <f t="shared" si="150"/>
        <v>#N/A</v>
      </c>
      <c r="AI579" s="25"/>
      <c r="AJ579" s="31"/>
    </row>
    <row r="580" spans="2:36" x14ac:dyDescent="0.25">
      <c r="B580" s="33">
        <f>'Arbitrage Payback Engine'!E580</f>
        <v>15.641692918778249</v>
      </c>
      <c r="C580" s="33">
        <f t="shared" si="136"/>
        <v>1000</v>
      </c>
      <c r="D580" s="33">
        <f>'Battery Pricing Model'!$C$17</f>
        <v>1000</v>
      </c>
      <c r="E580" s="33">
        <f t="shared" si="137"/>
        <v>999</v>
      </c>
      <c r="F580" s="33" t="str">
        <f>'Peak Models'!$B$4</f>
        <v>Default</v>
      </c>
      <c r="G580" s="33" t="e">
        <f>'Peak Models'!$Q$7</f>
        <v>#VALUE!</v>
      </c>
      <c r="H580" s="33">
        <f>'Peak Models'!$P$16</f>
        <v>1.5</v>
      </c>
      <c r="I580" s="33">
        <v>12</v>
      </c>
      <c r="J580" s="33" t="e">
        <f>'Peak Models'!$P$13</f>
        <v>#N/A</v>
      </c>
      <c r="K580" s="28" t="e">
        <f t="shared" si="138"/>
        <v>#VALUE!</v>
      </c>
      <c r="L580" s="28" t="e">
        <f>INDEX('Peak Models'!$P$34:$P$64, MATCH(TRUNC(B580, 0), 'Peak Models'!$O$34:$O$64, 0))</f>
        <v>#N/A</v>
      </c>
      <c r="M580" s="28">
        <f>'Peak Models'!$P$15*INDEX('Peak Models'!$Q$34:$Q$64, MATCH(TRUNC(B580, 0),'Peak Models'!$O$34:$O$64, 0))/'Profit per cycles Model'!$E$78</f>
        <v>6.8155207835205216</v>
      </c>
      <c r="N580" s="28" t="e">
        <f t="shared" si="139"/>
        <v>#N/A</v>
      </c>
      <c r="O580" s="71" t="e">
        <f>AVERAGE($N$10:N580)</f>
        <v>#N/A</v>
      </c>
      <c r="P580" s="28" t="e">
        <f t="shared" si="140"/>
        <v>#N/A</v>
      </c>
      <c r="R580" s="28" t="e">
        <f t="shared" si="141"/>
        <v>#VALUE!</v>
      </c>
      <c r="S580" s="25"/>
      <c r="T580" s="25">
        <f t="shared" si="142"/>
        <v>15</v>
      </c>
      <c r="U580" s="33">
        <f>IF(PaybackCustom&gt;0, IF(PaybackCustom&lt;&gt;"Default", PaybackCustom, IF(PaybackStatus&lt;&gt;"",INDEX('Arbitrage Payback Engine'!$Y$2:$Y$6,MATCH(PaybackStatus,'Arbitrage Payback Engine'!$X$2:$X$6,FALSE)),-1)))</f>
        <v>25</v>
      </c>
      <c r="V580" s="32">
        <f t="shared" si="151"/>
        <v>15</v>
      </c>
      <c r="X580" s="29">
        <f t="shared" si="152"/>
        <v>571</v>
      </c>
      <c r="Z580" s="30">
        <f t="shared" si="143"/>
        <v>15.641692918778249</v>
      </c>
      <c r="AA580" s="28" t="e">
        <f t="shared" si="144"/>
        <v>#N/A</v>
      </c>
      <c r="AB580" s="28" t="e">
        <f t="shared" si="145"/>
        <v>#VALUE!</v>
      </c>
      <c r="AC580" s="29">
        <f t="shared" si="146"/>
        <v>541.74573055028463</v>
      </c>
      <c r="AD580" s="28" t="e">
        <f t="shared" si="147"/>
        <v>#VALUE!</v>
      </c>
      <c r="AE580" s="28" t="e">
        <f t="shared" si="148"/>
        <v>#N/A</v>
      </c>
      <c r="AF580" s="28" t="e">
        <f t="shared" si="149"/>
        <v>#VALUE!</v>
      </c>
      <c r="AH580" s="31" t="e">
        <f t="shared" si="150"/>
        <v>#N/A</v>
      </c>
      <c r="AI580" s="25"/>
      <c r="AJ580" s="31"/>
    </row>
    <row r="581" spans="2:36" x14ac:dyDescent="0.25">
      <c r="B581" s="33">
        <f>'Arbitrage Payback Engine'!E581</f>
        <v>15.669086426516914</v>
      </c>
      <c r="C581" s="33">
        <f t="shared" si="136"/>
        <v>1000</v>
      </c>
      <c r="D581" s="33">
        <f>'Battery Pricing Model'!$C$17</f>
        <v>1000</v>
      </c>
      <c r="E581" s="33">
        <f t="shared" si="137"/>
        <v>999</v>
      </c>
      <c r="F581" s="33" t="str">
        <f>'Peak Models'!$B$4</f>
        <v>Default</v>
      </c>
      <c r="G581" s="33" t="e">
        <f>'Peak Models'!$Q$7</f>
        <v>#VALUE!</v>
      </c>
      <c r="H581" s="33">
        <f>'Peak Models'!$P$16</f>
        <v>1.5</v>
      </c>
      <c r="I581" s="33">
        <v>12</v>
      </c>
      <c r="J581" s="33" t="e">
        <f>'Peak Models'!$P$13</f>
        <v>#N/A</v>
      </c>
      <c r="K581" s="28" t="e">
        <f t="shared" si="138"/>
        <v>#VALUE!</v>
      </c>
      <c r="L581" s="28" t="e">
        <f>INDEX('Peak Models'!$P$34:$P$64, MATCH(TRUNC(B581, 0), 'Peak Models'!$O$34:$O$64, 0))</f>
        <v>#N/A</v>
      </c>
      <c r="M581" s="28">
        <f>'Peak Models'!$P$15*INDEX('Peak Models'!$Q$34:$Q$64, MATCH(TRUNC(B581, 0),'Peak Models'!$O$34:$O$64, 0))/'Profit per cycles Model'!$E$78</f>
        <v>6.8155207835205216</v>
      </c>
      <c r="N581" s="28" t="e">
        <f t="shared" si="139"/>
        <v>#N/A</v>
      </c>
      <c r="O581" s="71" t="e">
        <f>AVERAGE($N$10:N581)</f>
        <v>#N/A</v>
      </c>
      <c r="P581" s="28" t="e">
        <f t="shared" si="140"/>
        <v>#N/A</v>
      </c>
      <c r="R581" s="28" t="e">
        <f t="shared" si="141"/>
        <v>#VALUE!</v>
      </c>
      <c r="S581" s="25"/>
      <c r="T581" s="25">
        <f t="shared" si="142"/>
        <v>15</v>
      </c>
      <c r="U581" s="33">
        <f>IF(PaybackCustom&gt;0, IF(PaybackCustom&lt;&gt;"Default", PaybackCustom, IF(PaybackStatus&lt;&gt;"",INDEX('Arbitrage Payback Engine'!$Y$2:$Y$6,MATCH(PaybackStatus,'Arbitrage Payback Engine'!$X$2:$X$6,FALSE)),-1)))</f>
        <v>25</v>
      </c>
      <c r="V581" s="32">
        <f t="shared" si="151"/>
        <v>15</v>
      </c>
      <c r="X581" s="29">
        <f t="shared" si="152"/>
        <v>572</v>
      </c>
      <c r="Z581" s="30">
        <f t="shared" si="143"/>
        <v>15.669086426516914</v>
      </c>
      <c r="AA581" s="28" t="e">
        <f t="shared" si="144"/>
        <v>#N/A</v>
      </c>
      <c r="AB581" s="28" t="e">
        <f t="shared" si="145"/>
        <v>#VALUE!</v>
      </c>
      <c r="AC581" s="29">
        <f t="shared" si="146"/>
        <v>542.69449715370024</v>
      </c>
      <c r="AD581" s="28" t="e">
        <f t="shared" si="147"/>
        <v>#VALUE!</v>
      </c>
      <c r="AE581" s="28" t="e">
        <f t="shared" si="148"/>
        <v>#N/A</v>
      </c>
      <c r="AF581" s="28" t="e">
        <f t="shared" si="149"/>
        <v>#VALUE!</v>
      </c>
      <c r="AH581" s="31" t="e">
        <f t="shared" si="150"/>
        <v>#N/A</v>
      </c>
      <c r="AI581" s="25"/>
      <c r="AJ581" s="31"/>
    </row>
    <row r="582" spans="2:36" x14ac:dyDescent="0.25">
      <c r="B582" s="33">
        <f>'Arbitrage Payback Engine'!E582</f>
        <v>15.696479934255581</v>
      </c>
      <c r="C582" s="33">
        <f t="shared" si="136"/>
        <v>1000</v>
      </c>
      <c r="D582" s="33">
        <f>'Battery Pricing Model'!$C$17</f>
        <v>1000</v>
      </c>
      <c r="E582" s="33">
        <f t="shared" si="137"/>
        <v>999</v>
      </c>
      <c r="F582" s="33" t="str">
        <f>'Peak Models'!$B$4</f>
        <v>Default</v>
      </c>
      <c r="G582" s="33" t="e">
        <f>'Peak Models'!$Q$7</f>
        <v>#VALUE!</v>
      </c>
      <c r="H582" s="33">
        <f>'Peak Models'!$P$16</f>
        <v>1.5</v>
      </c>
      <c r="I582" s="33">
        <v>12</v>
      </c>
      <c r="J582" s="33" t="e">
        <f>'Peak Models'!$P$13</f>
        <v>#N/A</v>
      </c>
      <c r="K582" s="28" t="e">
        <f t="shared" si="138"/>
        <v>#VALUE!</v>
      </c>
      <c r="L582" s="28" t="e">
        <f>INDEX('Peak Models'!$P$34:$P$64, MATCH(TRUNC(B582, 0), 'Peak Models'!$O$34:$O$64, 0))</f>
        <v>#N/A</v>
      </c>
      <c r="M582" s="28">
        <f>'Peak Models'!$P$15*INDEX('Peak Models'!$Q$34:$Q$64, MATCH(TRUNC(B582, 0),'Peak Models'!$O$34:$O$64, 0))/'Profit per cycles Model'!$E$78</f>
        <v>6.8155207835205216</v>
      </c>
      <c r="N582" s="28" t="e">
        <f t="shared" si="139"/>
        <v>#N/A</v>
      </c>
      <c r="O582" s="71" t="e">
        <f>AVERAGE($N$10:N582)</f>
        <v>#N/A</v>
      </c>
      <c r="P582" s="28" t="e">
        <f t="shared" si="140"/>
        <v>#N/A</v>
      </c>
      <c r="R582" s="28" t="e">
        <f t="shared" si="141"/>
        <v>#VALUE!</v>
      </c>
      <c r="S582" s="25"/>
      <c r="T582" s="25">
        <f t="shared" si="142"/>
        <v>15</v>
      </c>
      <c r="U582" s="33">
        <f>IF(PaybackCustom&gt;0, IF(PaybackCustom&lt;&gt;"Default", PaybackCustom, IF(PaybackStatus&lt;&gt;"",INDEX('Arbitrage Payback Engine'!$Y$2:$Y$6,MATCH(PaybackStatus,'Arbitrage Payback Engine'!$X$2:$X$6,FALSE)),-1)))</f>
        <v>25</v>
      </c>
      <c r="V582" s="32">
        <f t="shared" si="151"/>
        <v>15</v>
      </c>
      <c r="X582" s="29">
        <f t="shared" si="152"/>
        <v>573</v>
      </c>
      <c r="Z582" s="30">
        <f t="shared" si="143"/>
        <v>15.696479934255581</v>
      </c>
      <c r="AA582" s="28" t="e">
        <f t="shared" si="144"/>
        <v>#N/A</v>
      </c>
      <c r="AB582" s="28" t="e">
        <f t="shared" si="145"/>
        <v>#VALUE!</v>
      </c>
      <c r="AC582" s="29">
        <f t="shared" si="146"/>
        <v>543.64326375711573</v>
      </c>
      <c r="AD582" s="28" t="e">
        <f t="shared" si="147"/>
        <v>#VALUE!</v>
      </c>
      <c r="AE582" s="28" t="e">
        <f t="shared" si="148"/>
        <v>#N/A</v>
      </c>
      <c r="AF582" s="28" t="e">
        <f t="shared" si="149"/>
        <v>#VALUE!</v>
      </c>
      <c r="AH582" s="31" t="e">
        <f t="shared" si="150"/>
        <v>#N/A</v>
      </c>
      <c r="AI582" s="25"/>
      <c r="AJ582" s="31"/>
    </row>
    <row r="583" spans="2:36" x14ac:dyDescent="0.25">
      <c r="B583" s="33">
        <f>'Arbitrage Payback Engine'!E583</f>
        <v>15.723873441994247</v>
      </c>
      <c r="C583" s="33">
        <f t="shared" si="136"/>
        <v>1000</v>
      </c>
      <c r="D583" s="33">
        <f>'Battery Pricing Model'!$C$17</f>
        <v>1000</v>
      </c>
      <c r="E583" s="33">
        <f t="shared" si="137"/>
        <v>999</v>
      </c>
      <c r="F583" s="33" t="str">
        <f>'Peak Models'!$B$4</f>
        <v>Default</v>
      </c>
      <c r="G583" s="33" t="e">
        <f>'Peak Models'!$Q$7</f>
        <v>#VALUE!</v>
      </c>
      <c r="H583" s="33">
        <f>'Peak Models'!$P$16</f>
        <v>1.5</v>
      </c>
      <c r="I583" s="33">
        <v>12</v>
      </c>
      <c r="J583" s="33" t="e">
        <f>'Peak Models'!$P$13</f>
        <v>#N/A</v>
      </c>
      <c r="K583" s="28" t="e">
        <f t="shared" si="138"/>
        <v>#VALUE!</v>
      </c>
      <c r="L583" s="28" t="e">
        <f>INDEX('Peak Models'!$P$34:$P$64, MATCH(TRUNC(B583, 0), 'Peak Models'!$O$34:$O$64, 0))</f>
        <v>#N/A</v>
      </c>
      <c r="M583" s="28">
        <f>'Peak Models'!$P$15*INDEX('Peak Models'!$Q$34:$Q$64, MATCH(TRUNC(B583, 0),'Peak Models'!$O$34:$O$64, 0))/'Profit per cycles Model'!$E$78</f>
        <v>6.8155207835205216</v>
      </c>
      <c r="N583" s="28" t="e">
        <f t="shared" si="139"/>
        <v>#N/A</v>
      </c>
      <c r="O583" s="71" t="e">
        <f>AVERAGE($N$10:N583)</f>
        <v>#N/A</v>
      </c>
      <c r="P583" s="28" t="e">
        <f t="shared" si="140"/>
        <v>#N/A</v>
      </c>
      <c r="R583" s="28" t="e">
        <f t="shared" si="141"/>
        <v>#VALUE!</v>
      </c>
      <c r="S583" s="25"/>
      <c r="T583" s="25">
        <f t="shared" si="142"/>
        <v>15</v>
      </c>
      <c r="U583" s="33">
        <f>IF(PaybackCustom&gt;0, IF(PaybackCustom&lt;&gt;"Default", PaybackCustom, IF(PaybackStatus&lt;&gt;"",INDEX('Arbitrage Payback Engine'!$Y$2:$Y$6,MATCH(PaybackStatus,'Arbitrage Payback Engine'!$X$2:$X$6,FALSE)),-1)))</f>
        <v>25</v>
      </c>
      <c r="V583" s="32">
        <f t="shared" si="151"/>
        <v>15</v>
      </c>
      <c r="X583" s="29">
        <f t="shared" si="152"/>
        <v>574</v>
      </c>
      <c r="Z583" s="30">
        <f t="shared" si="143"/>
        <v>15.723873441994247</v>
      </c>
      <c r="AA583" s="28" t="e">
        <f t="shared" si="144"/>
        <v>#N/A</v>
      </c>
      <c r="AB583" s="28" t="e">
        <f t="shared" si="145"/>
        <v>#VALUE!</v>
      </c>
      <c r="AC583" s="29">
        <f t="shared" si="146"/>
        <v>544.59203036053134</v>
      </c>
      <c r="AD583" s="28" t="e">
        <f t="shared" si="147"/>
        <v>#VALUE!</v>
      </c>
      <c r="AE583" s="28" t="e">
        <f t="shared" si="148"/>
        <v>#N/A</v>
      </c>
      <c r="AF583" s="28" t="e">
        <f t="shared" si="149"/>
        <v>#VALUE!</v>
      </c>
      <c r="AH583" s="31" t="e">
        <f t="shared" si="150"/>
        <v>#N/A</v>
      </c>
      <c r="AI583" s="25"/>
      <c r="AJ583" s="31"/>
    </row>
    <row r="584" spans="2:36" x14ac:dyDescent="0.25">
      <c r="B584" s="33">
        <f>'Arbitrage Payback Engine'!E584</f>
        <v>15.751266949732912</v>
      </c>
      <c r="C584" s="33">
        <f t="shared" si="136"/>
        <v>1000</v>
      </c>
      <c r="D584" s="33">
        <f>'Battery Pricing Model'!$C$17</f>
        <v>1000</v>
      </c>
      <c r="E584" s="33">
        <f t="shared" si="137"/>
        <v>999</v>
      </c>
      <c r="F584" s="33" t="str">
        <f>'Peak Models'!$B$4</f>
        <v>Default</v>
      </c>
      <c r="G584" s="33" t="e">
        <f>'Peak Models'!$Q$7</f>
        <v>#VALUE!</v>
      </c>
      <c r="H584" s="33">
        <f>'Peak Models'!$P$16</f>
        <v>1.5</v>
      </c>
      <c r="I584" s="33">
        <v>12</v>
      </c>
      <c r="J584" s="33" t="e">
        <f>'Peak Models'!$P$13</f>
        <v>#N/A</v>
      </c>
      <c r="K584" s="28" t="e">
        <f t="shared" si="138"/>
        <v>#VALUE!</v>
      </c>
      <c r="L584" s="28" t="e">
        <f>INDEX('Peak Models'!$P$34:$P$64, MATCH(TRUNC(B584, 0), 'Peak Models'!$O$34:$O$64, 0))</f>
        <v>#N/A</v>
      </c>
      <c r="M584" s="28">
        <f>'Peak Models'!$P$15*INDEX('Peak Models'!$Q$34:$Q$64, MATCH(TRUNC(B584, 0),'Peak Models'!$O$34:$O$64, 0))/'Profit per cycles Model'!$E$78</f>
        <v>6.8155207835205216</v>
      </c>
      <c r="N584" s="28" t="e">
        <f t="shared" si="139"/>
        <v>#N/A</v>
      </c>
      <c r="O584" s="71" t="e">
        <f>AVERAGE($N$10:N584)</f>
        <v>#N/A</v>
      </c>
      <c r="P584" s="28" t="e">
        <f t="shared" si="140"/>
        <v>#N/A</v>
      </c>
      <c r="R584" s="28" t="e">
        <f t="shared" si="141"/>
        <v>#VALUE!</v>
      </c>
      <c r="S584" s="25"/>
      <c r="T584" s="25">
        <f t="shared" si="142"/>
        <v>15</v>
      </c>
      <c r="U584" s="33">
        <f>IF(PaybackCustom&gt;0, IF(PaybackCustom&lt;&gt;"Default", PaybackCustom, IF(PaybackStatus&lt;&gt;"",INDEX('Arbitrage Payback Engine'!$Y$2:$Y$6,MATCH(PaybackStatus,'Arbitrage Payback Engine'!$X$2:$X$6,FALSE)),-1)))</f>
        <v>25</v>
      </c>
      <c r="V584" s="32">
        <f t="shared" si="151"/>
        <v>15</v>
      </c>
      <c r="X584" s="29">
        <f t="shared" si="152"/>
        <v>575</v>
      </c>
      <c r="Z584" s="30">
        <f t="shared" si="143"/>
        <v>15.751266949732912</v>
      </c>
      <c r="AA584" s="28" t="e">
        <f t="shared" si="144"/>
        <v>#N/A</v>
      </c>
      <c r="AB584" s="28" t="e">
        <f t="shared" si="145"/>
        <v>#VALUE!</v>
      </c>
      <c r="AC584" s="29">
        <f t="shared" si="146"/>
        <v>545.54079696394683</v>
      </c>
      <c r="AD584" s="28" t="e">
        <f t="shared" si="147"/>
        <v>#VALUE!</v>
      </c>
      <c r="AE584" s="28" t="e">
        <f t="shared" si="148"/>
        <v>#N/A</v>
      </c>
      <c r="AF584" s="28" t="e">
        <f t="shared" si="149"/>
        <v>#VALUE!</v>
      </c>
      <c r="AH584" s="31" t="e">
        <f t="shared" si="150"/>
        <v>#N/A</v>
      </c>
      <c r="AI584" s="25"/>
      <c r="AJ584" s="31"/>
    </row>
    <row r="585" spans="2:36" x14ac:dyDescent="0.25">
      <c r="B585" s="33">
        <f>'Arbitrage Payback Engine'!E585</f>
        <v>15.778660457471579</v>
      </c>
      <c r="C585" s="33">
        <f t="shared" si="136"/>
        <v>1000</v>
      </c>
      <c r="D585" s="33">
        <f>'Battery Pricing Model'!$C$17</f>
        <v>1000</v>
      </c>
      <c r="E585" s="33">
        <f t="shared" si="137"/>
        <v>999</v>
      </c>
      <c r="F585" s="33" t="str">
        <f>'Peak Models'!$B$4</f>
        <v>Default</v>
      </c>
      <c r="G585" s="33" t="e">
        <f>'Peak Models'!$Q$7</f>
        <v>#VALUE!</v>
      </c>
      <c r="H585" s="33">
        <f>'Peak Models'!$P$16</f>
        <v>1.5</v>
      </c>
      <c r="I585" s="33">
        <v>12</v>
      </c>
      <c r="J585" s="33" t="e">
        <f>'Peak Models'!$P$13</f>
        <v>#N/A</v>
      </c>
      <c r="K585" s="28" t="e">
        <f t="shared" si="138"/>
        <v>#VALUE!</v>
      </c>
      <c r="L585" s="28" t="e">
        <f>INDEX('Peak Models'!$P$34:$P$64, MATCH(TRUNC(B585, 0), 'Peak Models'!$O$34:$O$64, 0))</f>
        <v>#N/A</v>
      </c>
      <c r="M585" s="28">
        <f>'Peak Models'!$P$15*INDEX('Peak Models'!$Q$34:$Q$64, MATCH(TRUNC(B585, 0),'Peak Models'!$O$34:$O$64, 0))/'Profit per cycles Model'!$E$78</f>
        <v>6.8155207835205216</v>
      </c>
      <c r="N585" s="28" t="e">
        <f t="shared" si="139"/>
        <v>#N/A</v>
      </c>
      <c r="O585" s="71" t="e">
        <f>AVERAGE($N$10:N585)</f>
        <v>#N/A</v>
      </c>
      <c r="P585" s="28" t="e">
        <f t="shared" si="140"/>
        <v>#N/A</v>
      </c>
      <c r="R585" s="28" t="e">
        <f t="shared" si="141"/>
        <v>#VALUE!</v>
      </c>
      <c r="S585" s="25"/>
      <c r="T585" s="25">
        <f t="shared" si="142"/>
        <v>15</v>
      </c>
      <c r="U585" s="33">
        <f>IF(PaybackCustom&gt;0, IF(PaybackCustom&lt;&gt;"Default", PaybackCustom, IF(PaybackStatus&lt;&gt;"",INDEX('Arbitrage Payback Engine'!$Y$2:$Y$6,MATCH(PaybackStatus,'Arbitrage Payback Engine'!$X$2:$X$6,FALSE)),-1)))</f>
        <v>25</v>
      </c>
      <c r="V585" s="32">
        <f t="shared" si="151"/>
        <v>15</v>
      </c>
      <c r="X585" s="29">
        <f t="shared" si="152"/>
        <v>576</v>
      </c>
      <c r="Z585" s="30">
        <f t="shared" si="143"/>
        <v>15.778660457471579</v>
      </c>
      <c r="AA585" s="28" t="e">
        <f t="shared" si="144"/>
        <v>#N/A</v>
      </c>
      <c r="AB585" s="28" t="e">
        <f t="shared" si="145"/>
        <v>#VALUE!</v>
      </c>
      <c r="AC585" s="29">
        <f t="shared" si="146"/>
        <v>546.48956356736244</v>
      </c>
      <c r="AD585" s="28" t="e">
        <f t="shared" si="147"/>
        <v>#VALUE!</v>
      </c>
      <c r="AE585" s="28" t="e">
        <f t="shared" si="148"/>
        <v>#N/A</v>
      </c>
      <c r="AF585" s="28" t="e">
        <f t="shared" si="149"/>
        <v>#VALUE!</v>
      </c>
      <c r="AH585" s="31" t="e">
        <f t="shared" si="150"/>
        <v>#N/A</v>
      </c>
      <c r="AI585" s="25"/>
      <c r="AJ585" s="31"/>
    </row>
    <row r="586" spans="2:36" x14ac:dyDescent="0.25">
      <c r="B586" s="33">
        <f>'Arbitrage Payback Engine'!E586</f>
        <v>15.806053965210245</v>
      </c>
      <c r="C586" s="33">
        <f t="shared" ref="C586:C649" si="153">IF(OR($E$6="None", $E$6=0), D586, E586)</f>
        <v>1000</v>
      </c>
      <c r="D586" s="33">
        <f>'Battery Pricing Model'!$C$17</f>
        <v>1000</v>
      </c>
      <c r="E586" s="33">
        <f t="shared" ref="E586:E649" si="154">IF(OR($E$6="None", $E$6=0), 999, $D586*(E$6))</f>
        <v>999</v>
      </c>
      <c r="F586" s="33" t="str">
        <f>'Peak Models'!$B$4</f>
        <v>Default</v>
      </c>
      <c r="G586" s="33" t="e">
        <f>'Peak Models'!$Q$7</f>
        <v>#VALUE!</v>
      </c>
      <c r="H586" s="33">
        <f>'Peak Models'!$P$16</f>
        <v>1.5</v>
      </c>
      <c r="I586" s="33">
        <v>12</v>
      </c>
      <c r="J586" s="33" t="e">
        <f>'Peak Models'!$P$13</f>
        <v>#N/A</v>
      </c>
      <c r="K586" s="28" t="e">
        <f t="shared" ref="K586:K649" si="155">C586*G586/(H586*B586)</f>
        <v>#VALUE!</v>
      </c>
      <c r="L586" s="28" t="e">
        <f>INDEX('Peak Models'!$P$34:$P$64, MATCH(TRUNC(B586, 0), 'Peak Models'!$O$34:$O$64, 0))</f>
        <v>#N/A</v>
      </c>
      <c r="M586" s="28">
        <f>'Peak Models'!$P$15*INDEX('Peak Models'!$Q$34:$Q$64, MATCH(TRUNC(B586, 0),'Peak Models'!$O$34:$O$64, 0))/'Profit per cycles Model'!$E$78</f>
        <v>6.8155207835205216</v>
      </c>
      <c r="N586" s="28" t="e">
        <f t="shared" ref="N586:N649" si="156">L586-M586</f>
        <v>#N/A</v>
      </c>
      <c r="O586" s="71" t="e">
        <f>AVERAGE($N$10:N586)</f>
        <v>#N/A</v>
      </c>
      <c r="P586" s="28" t="e">
        <f t="shared" ref="P586:P649" si="157">IF(O586-K586&lt;0, 999, O586-K586)</f>
        <v>#N/A</v>
      </c>
      <c r="R586" s="28" t="e">
        <f t="shared" ref="R586:R649" si="158">IF(ISNA(INDEX($K$10:$K$1063,MATCH(T586,$B$10:$B$1063,1))),-1,INDEX($K$10:$K$1063,MATCH(T586,$B$10:$B$1063,1)))</f>
        <v>#VALUE!</v>
      </c>
      <c r="S586" s="25"/>
      <c r="T586" s="25">
        <f t="shared" ref="T586:T649" si="159">IF( AND(U586&gt;0, V586&gt;0), IF(U586&lt;V586, U586, V586),  IF(U586&gt;0, U586, IF(V586&gt;0, V586, -1)) )</f>
        <v>15</v>
      </c>
      <c r="U586" s="33">
        <f>IF(PaybackCustom&gt;0, IF(PaybackCustom&lt;&gt;"Default", PaybackCustom, IF(PaybackStatus&lt;&gt;"",INDEX('Arbitrage Payback Engine'!$Y$2:$Y$6,MATCH(PaybackStatus,'Arbitrage Payback Engine'!$X$2:$X$6,FALSE)),-1)))</f>
        <v>25</v>
      </c>
      <c r="V586" s="32">
        <f t="shared" si="151"/>
        <v>15</v>
      </c>
      <c r="X586" s="29">
        <f t="shared" si="152"/>
        <v>577</v>
      </c>
      <c r="Z586" s="30">
        <f t="shared" ref="Z586:Z649" si="160">B586</f>
        <v>15.806053965210245</v>
      </c>
      <c r="AA586" s="28" t="e">
        <f t="shared" ref="AA586:AA649" si="161">N586</f>
        <v>#N/A</v>
      </c>
      <c r="AB586" s="28" t="e">
        <f t="shared" ref="AB586:AB649" si="162">R586</f>
        <v>#VALUE!</v>
      </c>
      <c r="AC586" s="29">
        <f t="shared" ref="AC586:AC649" si="163">$AB$2*(Z586-$AB$3)/($AB$4-$AB$3)</f>
        <v>547.43833017077804</v>
      </c>
      <c r="AD586" s="28" t="e">
        <f t="shared" ref="AD586:AD649" si="164">MIN(AB586, AA586)</f>
        <v>#VALUE!</v>
      </c>
      <c r="AE586" s="28" t="e">
        <f t="shared" ref="AE586:AE649" si="165">IF(AND(Z586&lt;T586, AA586&gt;AB586), AA586-AB586, 0)</f>
        <v>#N/A</v>
      </c>
      <c r="AF586" s="28" t="e">
        <f t="shared" ref="AF586:AF649" si="166">IF(AND(Z586&lt;T586, AB586&gt;AA586), AB586-AA586, 0)</f>
        <v>#VALUE!</v>
      </c>
      <c r="AH586" s="31" t="e">
        <f t="shared" ref="AH586:AH649" si="167">(O586-K586)/K586</f>
        <v>#N/A</v>
      </c>
      <c r="AI586" s="25"/>
      <c r="AJ586" s="31"/>
    </row>
    <row r="587" spans="2:36" x14ac:dyDescent="0.25">
      <c r="B587" s="33">
        <f>'Arbitrage Payback Engine'!E587</f>
        <v>15.83344747294891</v>
      </c>
      <c r="C587" s="33">
        <f t="shared" si="153"/>
        <v>1000</v>
      </c>
      <c r="D587" s="33">
        <f>'Battery Pricing Model'!$C$17</f>
        <v>1000</v>
      </c>
      <c r="E587" s="33">
        <f t="shared" si="154"/>
        <v>999</v>
      </c>
      <c r="F587" s="33" t="str">
        <f>'Peak Models'!$B$4</f>
        <v>Default</v>
      </c>
      <c r="G587" s="33" t="e">
        <f>'Peak Models'!$Q$7</f>
        <v>#VALUE!</v>
      </c>
      <c r="H587" s="33">
        <f>'Peak Models'!$P$16</f>
        <v>1.5</v>
      </c>
      <c r="I587" s="33">
        <v>12</v>
      </c>
      <c r="J587" s="33" t="e">
        <f>'Peak Models'!$P$13</f>
        <v>#N/A</v>
      </c>
      <c r="K587" s="28" t="e">
        <f t="shared" si="155"/>
        <v>#VALUE!</v>
      </c>
      <c r="L587" s="28" t="e">
        <f>INDEX('Peak Models'!$P$34:$P$64, MATCH(TRUNC(B587, 0), 'Peak Models'!$O$34:$O$64, 0))</f>
        <v>#N/A</v>
      </c>
      <c r="M587" s="28">
        <f>'Peak Models'!$P$15*INDEX('Peak Models'!$Q$34:$Q$64, MATCH(TRUNC(B587, 0),'Peak Models'!$O$34:$O$64, 0))/'Profit per cycles Model'!$E$78</f>
        <v>6.8155207835205216</v>
      </c>
      <c r="N587" s="28" t="e">
        <f t="shared" si="156"/>
        <v>#N/A</v>
      </c>
      <c r="O587" s="71" t="e">
        <f>AVERAGE($N$10:N587)</f>
        <v>#N/A</v>
      </c>
      <c r="P587" s="28" t="e">
        <f t="shared" si="157"/>
        <v>#N/A</v>
      </c>
      <c r="R587" s="28" t="e">
        <f t="shared" si="158"/>
        <v>#VALUE!</v>
      </c>
      <c r="S587" s="25"/>
      <c r="T587" s="25">
        <f t="shared" si="159"/>
        <v>15</v>
      </c>
      <c r="U587" s="33">
        <f>IF(PaybackCustom&gt;0, IF(PaybackCustom&lt;&gt;"Default", PaybackCustom, IF(PaybackStatus&lt;&gt;"",INDEX('Arbitrage Payback Engine'!$Y$2:$Y$6,MATCH(PaybackStatus,'Arbitrage Payback Engine'!$X$2:$X$6,FALSE)),-1)))</f>
        <v>25</v>
      </c>
      <c r="V587" s="32">
        <f t="shared" ref="V587:V650" si="168">IF(ISNUMBER($L$5), $L$5, 15)</f>
        <v>15</v>
      </c>
      <c r="X587" s="29">
        <f t="shared" ref="X587:X650" si="169">X586+1</f>
        <v>578</v>
      </c>
      <c r="Z587" s="30">
        <f t="shared" si="160"/>
        <v>15.83344747294891</v>
      </c>
      <c r="AA587" s="28" t="e">
        <f t="shared" si="161"/>
        <v>#N/A</v>
      </c>
      <c r="AB587" s="28" t="e">
        <f t="shared" si="162"/>
        <v>#VALUE!</v>
      </c>
      <c r="AC587" s="29">
        <f t="shared" si="163"/>
        <v>548.38709677419354</v>
      </c>
      <c r="AD587" s="28" t="e">
        <f t="shared" si="164"/>
        <v>#VALUE!</v>
      </c>
      <c r="AE587" s="28" t="e">
        <f t="shared" si="165"/>
        <v>#N/A</v>
      </c>
      <c r="AF587" s="28" t="e">
        <f t="shared" si="166"/>
        <v>#VALUE!</v>
      </c>
      <c r="AH587" s="31" t="e">
        <f t="shared" si="167"/>
        <v>#N/A</v>
      </c>
      <c r="AI587" s="25"/>
      <c r="AJ587" s="31"/>
    </row>
    <row r="588" spans="2:36" x14ac:dyDescent="0.25">
      <c r="B588" s="33">
        <f>'Arbitrage Payback Engine'!E588</f>
        <v>15.860840980687577</v>
      </c>
      <c r="C588" s="33">
        <f t="shared" si="153"/>
        <v>1000</v>
      </c>
      <c r="D588" s="33">
        <f>'Battery Pricing Model'!$C$17</f>
        <v>1000</v>
      </c>
      <c r="E588" s="33">
        <f t="shared" si="154"/>
        <v>999</v>
      </c>
      <c r="F588" s="33" t="str">
        <f>'Peak Models'!$B$4</f>
        <v>Default</v>
      </c>
      <c r="G588" s="33" t="e">
        <f>'Peak Models'!$Q$7</f>
        <v>#VALUE!</v>
      </c>
      <c r="H588" s="33">
        <f>'Peak Models'!$P$16</f>
        <v>1.5</v>
      </c>
      <c r="I588" s="33">
        <v>12</v>
      </c>
      <c r="J588" s="33" t="e">
        <f>'Peak Models'!$P$13</f>
        <v>#N/A</v>
      </c>
      <c r="K588" s="28" t="e">
        <f t="shared" si="155"/>
        <v>#VALUE!</v>
      </c>
      <c r="L588" s="28" t="e">
        <f>INDEX('Peak Models'!$P$34:$P$64, MATCH(TRUNC(B588, 0), 'Peak Models'!$O$34:$O$64, 0))</f>
        <v>#N/A</v>
      </c>
      <c r="M588" s="28">
        <f>'Peak Models'!$P$15*INDEX('Peak Models'!$Q$34:$Q$64, MATCH(TRUNC(B588, 0),'Peak Models'!$O$34:$O$64, 0))/'Profit per cycles Model'!$E$78</f>
        <v>6.8155207835205216</v>
      </c>
      <c r="N588" s="28" t="e">
        <f t="shared" si="156"/>
        <v>#N/A</v>
      </c>
      <c r="O588" s="71" t="e">
        <f>AVERAGE($N$10:N588)</f>
        <v>#N/A</v>
      </c>
      <c r="P588" s="28" t="e">
        <f t="shared" si="157"/>
        <v>#N/A</v>
      </c>
      <c r="R588" s="28" t="e">
        <f t="shared" si="158"/>
        <v>#VALUE!</v>
      </c>
      <c r="S588" s="25"/>
      <c r="T588" s="25">
        <f t="shared" si="159"/>
        <v>15</v>
      </c>
      <c r="U588" s="33">
        <f>IF(PaybackCustom&gt;0, IF(PaybackCustom&lt;&gt;"Default", PaybackCustom, IF(PaybackStatus&lt;&gt;"",INDEX('Arbitrage Payback Engine'!$Y$2:$Y$6,MATCH(PaybackStatus,'Arbitrage Payback Engine'!$X$2:$X$6,FALSE)),-1)))</f>
        <v>25</v>
      </c>
      <c r="V588" s="32">
        <f t="shared" si="168"/>
        <v>15</v>
      </c>
      <c r="X588" s="29">
        <f t="shared" si="169"/>
        <v>579</v>
      </c>
      <c r="Z588" s="30">
        <f t="shared" si="160"/>
        <v>15.860840980687577</v>
      </c>
      <c r="AA588" s="28" t="e">
        <f t="shared" si="161"/>
        <v>#N/A</v>
      </c>
      <c r="AB588" s="28" t="e">
        <f t="shared" si="162"/>
        <v>#VALUE!</v>
      </c>
      <c r="AC588" s="29">
        <f t="shared" si="163"/>
        <v>549.33586337760914</v>
      </c>
      <c r="AD588" s="28" t="e">
        <f t="shared" si="164"/>
        <v>#VALUE!</v>
      </c>
      <c r="AE588" s="28" t="e">
        <f t="shared" si="165"/>
        <v>#N/A</v>
      </c>
      <c r="AF588" s="28" t="e">
        <f t="shared" si="166"/>
        <v>#VALUE!</v>
      </c>
      <c r="AH588" s="31" t="e">
        <f t="shared" si="167"/>
        <v>#N/A</v>
      </c>
      <c r="AI588" s="25"/>
      <c r="AJ588" s="31"/>
    </row>
    <row r="589" spans="2:36" x14ac:dyDescent="0.25">
      <c r="B589" s="33">
        <f>'Arbitrage Payback Engine'!E589</f>
        <v>15.888234488426242</v>
      </c>
      <c r="C589" s="33">
        <f t="shared" si="153"/>
        <v>1000</v>
      </c>
      <c r="D589" s="33">
        <f>'Battery Pricing Model'!$C$17</f>
        <v>1000</v>
      </c>
      <c r="E589" s="33">
        <f t="shared" si="154"/>
        <v>999</v>
      </c>
      <c r="F589" s="33" t="str">
        <f>'Peak Models'!$B$4</f>
        <v>Default</v>
      </c>
      <c r="G589" s="33" t="e">
        <f>'Peak Models'!$Q$7</f>
        <v>#VALUE!</v>
      </c>
      <c r="H589" s="33">
        <f>'Peak Models'!$P$16</f>
        <v>1.5</v>
      </c>
      <c r="I589" s="33">
        <v>12</v>
      </c>
      <c r="J589" s="33" t="e">
        <f>'Peak Models'!$P$13</f>
        <v>#N/A</v>
      </c>
      <c r="K589" s="28" t="e">
        <f t="shared" si="155"/>
        <v>#VALUE!</v>
      </c>
      <c r="L589" s="28" t="e">
        <f>INDEX('Peak Models'!$P$34:$P$64, MATCH(TRUNC(B589, 0), 'Peak Models'!$O$34:$O$64, 0))</f>
        <v>#N/A</v>
      </c>
      <c r="M589" s="28">
        <f>'Peak Models'!$P$15*INDEX('Peak Models'!$Q$34:$Q$64, MATCH(TRUNC(B589, 0),'Peak Models'!$O$34:$O$64, 0))/'Profit per cycles Model'!$E$78</f>
        <v>6.8155207835205216</v>
      </c>
      <c r="N589" s="28" t="e">
        <f t="shared" si="156"/>
        <v>#N/A</v>
      </c>
      <c r="O589" s="71" t="e">
        <f>AVERAGE($N$10:N589)</f>
        <v>#N/A</v>
      </c>
      <c r="P589" s="28" t="e">
        <f t="shared" si="157"/>
        <v>#N/A</v>
      </c>
      <c r="R589" s="28" t="e">
        <f t="shared" si="158"/>
        <v>#VALUE!</v>
      </c>
      <c r="S589" s="25"/>
      <c r="T589" s="25">
        <f t="shared" si="159"/>
        <v>15</v>
      </c>
      <c r="U589" s="33">
        <f>IF(PaybackCustom&gt;0, IF(PaybackCustom&lt;&gt;"Default", PaybackCustom, IF(PaybackStatus&lt;&gt;"",INDEX('Arbitrage Payback Engine'!$Y$2:$Y$6,MATCH(PaybackStatus,'Arbitrage Payback Engine'!$X$2:$X$6,FALSE)),-1)))</f>
        <v>25</v>
      </c>
      <c r="V589" s="32">
        <f t="shared" si="168"/>
        <v>15</v>
      </c>
      <c r="X589" s="29">
        <f t="shared" si="169"/>
        <v>580</v>
      </c>
      <c r="Z589" s="30">
        <f t="shared" si="160"/>
        <v>15.888234488426242</v>
      </c>
      <c r="AA589" s="28" t="e">
        <f t="shared" si="161"/>
        <v>#N/A</v>
      </c>
      <c r="AB589" s="28" t="e">
        <f t="shared" si="162"/>
        <v>#VALUE!</v>
      </c>
      <c r="AC589" s="29">
        <f t="shared" si="163"/>
        <v>550.28462998102464</v>
      </c>
      <c r="AD589" s="28" t="e">
        <f t="shared" si="164"/>
        <v>#VALUE!</v>
      </c>
      <c r="AE589" s="28" t="e">
        <f t="shared" si="165"/>
        <v>#N/A</v>
      </c>
      <c r="AF589" s="28" t="e">
        <f t="shared" si="166"/>
        <v>#VALUE!</v>
      </c>
      <c r="AH589" s="31" t="e">
        <f t="shared" si="167"/>
        <v>#N/A</v>
      </c>
      <c r="AI589" s="25"/>
      <c r="AJ589" s="31"/>
    </row>
    <row r="590" spans="2:36" x14ac:dyDescent="0.25">
      <c r="B590" s="33">
        <f>'Arbitrage Payback Engine'!E590</f>
        <v>15.915627996164908</v>
      </c>
      <c r="C590" s="33">
        <f t="shared" si="153"/>
        <v>1000</v>
      </c>
      <c r="D590" s="33">
        <f>'Battery Pricing Model'!$C$17</f>
        <v>1000</v>
      </c>
      <c r="E590" s="33">
        <f t="shared" si="154"/>
        <v>999</v>
      </c>
      <c r="F590" s="33" t="str">
        <f>'Peak Models'!$B$4</f>
        <v>Default</v>
      </c>
      <c r="G590" s="33" t="e">
        <f>'Peak Models'!$Q$7</f>
        <v>#VALUE!</v>
      </c>
      <c r="H590" s="33">
        <f>'Peak Models'!$P$16</f>
        <v>1.5</v>
      </c>
      <c r="I590" s="33">
        <v>12</v>
      </c>
      <c r="J590" s="33" t="e">
        <f>'Peak Models'!$P$13</f>
        <v>#N/A</v>
      </c>
      <c r="K590" s="28" t="e">
        <f t="shared" si="155"/>
        <v>#VALUE!</v>
      </c>
      <c r="L590" s="28" t="e">
        <f>INDEX('Peak Models'!$P$34:$P$64, MATCH(TRUNC(B590, 0), 'Peak Models'!$O$34:$O$64, 0))</f>
        <v>#N/A</v>
      </c>
      <c r="M590" s="28">
        <f>'Peak Models'!$P$15*INDEX('Peak Models'!$Q$34:$Q$64, MATCH(TRUNC(B590, 0),'Peak Models'!$O$34:$O$64, 0))/'Profit per cycles Model'!$E$78</f>
        <v>6.8155207835205216</v>
      </c>
      <c r="N590" s="28" t="e">
        <f t="shared" si="156"/>
        <v>#N/A</v>
      </c>
      <c r="O590" s="71" t="e">
        <f>AVERAGE($N$10:N590)</f>
        <v>#N/A</v>
      </c>
      <c r="P590" s="28" t="e">
        <f t="shared" si="157"/>
        <v>#N/A</v>
      </c>
      <c r="R590" s="28" t="e">
        <f t="shared" si="158"/>
        <v>#VALUE!</v>
      </c>
      <c r="S590" s="25"/>
      <c r="T590" s="25">
        <f t="shared" si="159"/>
        <v>15</v>
      </c>
      <c r="U590" s="33">
        <f>IF(PaybackCustom&gt;0, IF(PaybackCustom&lt;&gt;"Default", PaybackCustom, IF(PaybackStatus&lt;&gt;"",INDEX('Arbitrage Payback Engine'!$Y$2:$Y$6,MATCH(PaybackStatus,'Arbitrage Payback Engine'!$X$2:$X$6,FALSE)),-1)))</f>
        <v>25</v>
      </c>
      <c r="V590" s="32">
        <f t="shared" si="168"/>
        <v>15</v>
      </c>
      <c r="X590" s="29">
        <f t="shared" si="169"/>
        <v>581</v>
      </c>
      <c r="Z590" s="30">
        <f t="shared" si="160"/>
        <v>15.915627996164908</v>
      </c>
      <c r="AA590" s="28" t="e">
        <f t="shared" si="161"/>
        <v>#N/A</v>
      </c>
      <c r="AB590" s="28" t="e">
        <f t="shared" si="162"/>
        <v>#VALUE!</v>
      </c>
      <c r="AC590" s="29">
        <f t="shared" si="163"/>
        <v>551.23339658444024</v>
      </c>
      <c r="AD590" s="28" t="e">
        <f t="shared" si="164"/>
        <v>#VALUE!</v>
      </c>
      <c r="AE590" s="28" t="e">
        <f t="shared" si="165"/>
        <v>#N/A</v>
      </c>
      <c r="AF590" s="28" t="e">
        <f t="shared" si="166"/>
        <v>#VALUE!</v>
      </c>
      <c r="AH590" s="31" t="e">
        <f t="shared" si="167"/>
        <v>#N/A</v>
      </c>
      <c r="AI590" s="25"/>
      <c r="AJ590" s="31"/>
    </row>
    <row r="591" spans="2:36" x14ac:dyDescent="0.25">
      <c r="B591" s="33">
        <f>'Arbitrage Payback Engine'!E591</f>
        <v>15.943021503903575</v>
      </c>
      <c r="C591" s="33">
        <f t="shared" si="153"/>
        <v>1000</v>
      </c>
      <c r="D591" s="33">
        <f>'Battery Pricing Model'!$C$17</f>
        <v>1000</v>
      </c>
      <c r="E591" s="33">
        <f t="shared" si="154"/>
        <v>999</v>
      </c>
      <c r="F591" s="33" t="str">
        <f>'Peak Models'!$B$4</f>
        <v>Default</v>
      </c>
      <c r="G591" s="33" t="e">
        <f>'Peak Models'!$Q$7</f>
        <v>#VALUE!</v>
      </c>
      <c r="H591" s="33">
        <f>'Peak Models'!$P$16</f>
        <v>1.5</v>
      </c>
      <c r="I591" s="33">
        <v>12</v>
      </c>
      <c r="J591" s="33" t="e">
        <f>'Peak Models'!$P$13</f>
        <v>#N/A</v>
      </c>
      <c r="K591" s="28" t="e">
        <f t="shared" si="155"/>
        <v>#VALUE!</v>
      </c>
      <c r="L591" s="28" t="e">
        <f>INDEX('Peak Models'!$P$34:$P$64, MATCH(TRUNC(B591, 0), 'Peak Models'!$O$34:$O$64, 0))</f>
        <v>#N/A</v>
      </c>
      <c r="M591" s="28">
        <f>'Peak Models'!$P$15*INDEX('Peak Models'!$Q$34:$Q$64, MATCH(TRUNC(B591, 0),'Peak Models'!$O$34:$O$64, 0))/'Profit per cycles Model'!$E$78</f>
        <v>6.8155207835205216</v>
      </c>
      <c r="N591" s="28" t="e">
        <f t="shared" si="156"/>
        <v>#N/A</v>
      </c>
      <c r="O591" s="71" t="e">
        <f>AVERAGE($N$10:N591)</f>
        <v>#N/A</v>
      </c>
      <c r="P591" s="28" t="e">
        <f t="shared" si="157"/>
        <v>#N/A</v>
      </c>
      <c r="R591" s="28" t="e">
        <f t="shared" si="158"/>
        <v>#VALUE!</v>
      </c>
      <c r="S591" s="25"/>
      <c r="T591" s="25">
        <f t="shared" si="159"/>
        <v>15</v>
      </c>
      <c r="U591" s="33">
        <f>IF(PaybackCustom&gt;0, IF(PaybackCustom&lt;&gt;"Default", PaybackCustom, IF(PaybackStatus&lt;&gt;"",INDEX('Arbitrage Payback Engine'!$Y$2:$Y$6,MATCH(PaybackStatus,'Arbitrage Payback Engine'!$X$2:$X$6,FALSE)),-1)))</f>
        <v>25</v>
      </c>
      <c r="V591" s="32">
        <f t="shared" si="168"/>
        <v>15</v>
      </c>
      <c r="X591" s="29">
        <f t="shared" si="169"/>
        <v>582</v>
      </c>
      <c r="Z591" s="30">
        <f t="shared" si="160"/>
        <v>15.943021503903575</v>
      </c>
      <c r="AA591" s="28" t="e">
        <f t="shared" si="161"/>
        <v>#N/A</v>
      </c>
      <c r="AB591" s="28" t="e">
        <f t="shared" si="162"/>
        <v>#VALUE!</v>
      </c>
      <c r="AC591" s="29">
        <f t="shared" si="163"/>
        <v>552.18216318785585</v>
      </c>
      <c r="AD591" s="28" t="e">
        <f t="shared" si="164"/>
        <v>#VALUE!</v>
      </c>
      <c r="AE591" s="28" t="e">
        <f t="shared" si="165"/>
        <v>#N/A</v>
      </c>
      <c r="AF591" s="28" t="e">
        <f t="shared" si="166"/>
        <v>#VALUE!</v>
      </c>
      <c r="AH591" s="31" t="e">
        <f t="shared" si="167"/>
        <v>#N/A</v>
      </c>
      <c r="AI591" s="25"/>
      <c r="AJ591" s="31"/>
    </row>
    <row r="592" spans="2:36" x14ac:dyDescent="0.25">
      <c r="B592" s="33">
        <f>'Arbitrage Payback Engine'!E592</f>
        <v>15.97041501164224</v>
      </c>
      <c r="C592" s="33">
        <f t="shared" si="153"/>
        <v>1000</v>
      </c>
      <c r="D592" s="33">
        <f>'Battery Pricing Model'!$C$17</f>
        <v>1000</v>
      </c>
      <c r="E592" s="33">
        <f t="shared" si="154"/>
        <v>999</v>
      </c>
      <c r="F592" s="33" t="str">
        <f>'Peak Models'!$B$4</f>
        <v>Default</v>
      </c>
      <c r="G592" s="33" t="e">
        <f>'Peak Models'!$Q$7</f>
        <v>#VALUE!</v>
      </c>
      <c r="H592" s="33">
        <f>'Peak Models'!$P$16</f>
        <v>1.5</v>
      </c>
      <c r="I592" s="33">
        <v>12</v>
      </c>
      <c r="J592" s="33" t="e">
        <f>'Peak Models'!$P$13</f>
        <v>#N/A</v>
      </c>
      <c r="K592" s="28" t="e">
        <f t="shared" si="155"/>
        <v>#VALUE!</v>
      </c>
      <c r="L592" s="28" t="e">
        <f>INDEX('Peak Models'!$P$34:$P$64, MATCH(TRUNC(B592, 0), 'Peak Models'!$O$34:$O$64, 0))</f>
        <v>#N/A</v>
      </c>
      <c r="M592" s="28">
        <f>'Peak Models'!$P$15*INDEX('Peak Models'!$Q$34:$Q$64, MATCH(TRUNC(B592, 0),'Peak Models'!$O$34:$O$64, 0))/'Profit per cycles Model'!$E$78</f>
        <v>6.8155207835205216</v>
      </c>
      <c r="N592" s="28" t="e">
        <f t="shared" si="156"/>
        <v>#N/A</v>
      </c>
      <c r="O592" s="71" t="e">
        <f>AVERAGE($N$10:N592)</f>
        <v>#N/A</v>
      </c>
      <c r="P592" s="28" t="e">
        <f t="shared" si="157"/>
        <v>#N/A</v>
      </c>
      <c r="R592" s="28" t="e">
        <f t="shared" si="158"/>
        <v>#VALUE!</v>
      </c>
      <c r="S592" s="25"/>
      <c r="T592" s="25">
        <f t="shared" si="159"/>
        <v>15</v>
      </c>
      <c r="U592" s="33">
        <f>IF(PaybackCustom&gt;0, IF(PaybackCustom&lt;&gt;"Default", PaybackCustom, IF(PaybackStatus&lt;&gt;"",INDEX('Arbitrage Payback Engine'!$Y$2:$Y$6,MATCH(PaybackStatus,'Arbitrage Payback Engine'!$X$2:$X$6,FALSE)),-1)))</f>
        <v>25</v>
      </c>
      <c r="V592" s="32">
        <f t="shared" si="168"/>
        <v>15</v>
      </c>
      <c r="X592" s="29">
        <f t="shared" si="169"/>
        <v>583</v>
      </c>
      <c r="Z592" s="30">
        <f t="shared" si="160"/>
        <v>15.97041501164224</v>
      </c>
      <c r="AA592" s="28" t="e">
        <f t="shared" si="161"/>
        <v>#N/A</v>
      </c>
      <c r="AB592" s="28" t="e">
        <f t="shared" si="162"/>
        <v>#VALUE!</v>
      </c>
      <c r="AC592" s="29">
        <f t="shared" si="163"/>
        <v>553.13092979127134</v>
      </c>
      <c r="AD592" s="28" t="e">
        <f t="shared" si="164"/>
        <v>#VALUE!</v>
      </c>
      <c r="AE592" s="28" t="e">
        <f t="shared" si="165"/>
        <v>#N/A</v>
      </c>
      <c r="AF592" s="28" t="e">
        <f t="shared" si="166"/>
        <v>#VALUE!</v>
      </c>
      <c r="AH592" s="31" t="e">
        <f t="shared" si="167"/>
        <v>#N/A</v>
      </c>
      <c r="AI592" s="25"/>
      <c r="AJ592" s="31"/>
    </row>
    <row r="593" spans="2:36" x14ac:dyDescent="0.25">
      <c r="B593" s="33">
        <f>'Arbitrage Payback Engine'!E593</f>
        <v>15.997808519380905</v>
      </c>
      <c r="C593" s="33">
        <f t="shared" si="153"/>
        <v>1000</v>
      </c>
      <c r="D593" s="33">
        <f>'Battery Pricing Model'!$C$17</f>
        <v>1000</v>
      </c>
      <c r="E593" s="33">
        <f t="shared" si="154"/>
        <v>999</v>
      </c>
      <c r="F593" s="33" t="str">
        <f>'Peak Models'!$B$4</f>
        <v>Default</v>
      </c>
      <c r="G593" s="33" t="e">
        <f>'Peak Models'!$Q$7</f>
        <v>#VALUE!</v>
      </c>
      <c r="H593" s="33">
        <f>'Peak Models'!$P$16</f>
        <v>1.5</v>
      </c>
      <c r="I593" s="33">
        <v>12</v>
      </c>
      <c r="J593" s="33" t="e">
        <f>'Peak Models'!$P$13</f>
        <v>#N/A</v>
      </c>
      <c r="K593" s="28" t="e">
        <f t="shared" si="155"/>
        <v>#VALUE!</v>
      </c>
      <c r="L593" s="28" t="e">
        <f>INDEX('Peak Models'!$P$34:$P$64, MATCH(TRUNC(B593, 0), 'Peak Models'!$O$34:$O$64, 0))</f>
        <v>#N/A</v>
      </c>
      <c r="M593" s="28">
        <f>'Peak Models'!$P$15*INDEX('Peak Models'!$Q$34:$Q$64, MATCH(TRUNC(B593, 0),'Peak Models'!$O$34:$O$64, 0))/'Profit per cycles Model'!$E$78</f>
        <v>6.8155207835205216</v>
      </c>
      <c r="N593" s="28" t="e">
        <f t="shared" si="156"/>
        <v>#N/A</v>
      </c>
      <c r="O593" s="71" t="e">
        <f>AVERAGE($N$10:N593)</f>
        <v>#N/A</v>
      </c>
      <c r="P593" s="28" t="e">
        <f t="shared" si="157"/>
        <v>#N/A</v>
      </c>
      <c r="R593" s="28" t="e">
        <f t="shared" si="158"/>
        <v>#VALUE!</v>
      </c>
      <c r="S593" s="25"/>
      <c r="T593" s="25">
        <f t="shared" si="159"/>
        <v>15</v>
      </c>
      <c r="U593" s="33">
        <f>IF(PaybackCustom&gt;0, IF(PaybackCustom&lt;&gt;"Default", PaybackCustom, IF(PaybackStatus&lt;&gt;"",INDEX('Arbitrage Payback Engine'!$Y$2:$Y$6,MATCH(PaybackStatus,'Arbitrage Payback Engine'!$X$2:$X$6,FALSE)),-1)))</f>
        <v>25</v>
      </c>
      <c r="V593" s="32">
        <f t="shared" si="168"/>
        <v>15</v>
      </c>
      <c r="X593" s="29">
        <f t="shared" si="169"/>
        <v>584</v>
      </c>
      <c r="Z593" s="30">
        <f t="shared" si="160"/>
        <v>15.997808519380905</v>
      </c>
      <c r="AA593" s="28" t="e">
        <f t="shared" si="161"/>
        <v>#N/A</v>
      </c>
      <c r="AB593" s="28" t="e">
        <f t="shared" si="162"/>
        <v>#VALUE!</v>
      </c>
      <c r="AC593" s="29">
        <f t="shared" si="163"/>
        <v>554.07969639468695</v>
      </c>
      <c r="AD593" s="28" t="e">
        <f t="shared" si="164"/>
        <v>#VALUE!</v>
      </c>
      <c r="AE593" s="28" t="e">
        <f t="shared" si="165"/>
        <v>#N/A</v>
      </c>
      <c r="AF593" s="28" t="e">
        <f t="shared" si="166"/>
        <v>#VALUE!</v>
      </c>
      <c r="AH593" s="31" t="e">
        <f t="shared" si="167"/>
        <v>#N/A</v>
      </c>
      <c r="AI593" s="25"/>
      <c r="AJ593" s="31"/>
    </row>
    <row r="594" spans="2:36" x14ac:dyDescent="0.25">
      <c r="B594" s="33">
        <f>'Arbitrage Payback Engine'!E594</f>
        <v>16.025202027119573</v>
      </c>
      <c r="C594" s="33">
        <f t="shared" si="153"/>
        <v>1000</v>
      </c>
      <c r="D594" s="33">
        <f>'Battery Pricing Model'!$C$17</f>
        <v>1000</v>
      </c>
      <c r="E594" s="33">
        <f t="shared" si="154"/>
        <v>999</v>
      </c>
      <c r="F594" s="33" t="str">
        <f>'Peak Models'!$B$4</f>
        <v>Default</v>
      </c>
      <c r="G594" s="33" t="e">
        <f>'Peak Models'!$Q$7</f>
        <v>#VALUE!</v>
      </c>
      <c r="H594" s="33">
        <f>'Peak Models'!$P$16</f>
        <v>1.5</v>
      </c>
      <c r="I594" s="33">
        <v>12</v>
      </c>
      <c r="J594" s="33" t="e">
        <f>'Peak Models'!$P$13</f>
        <v>#N/A</v>
      </c>
      <c r="K594" s="28" t="e">
        <f t="shared" si="155"/>
        <v>#VALUE!</v>
      </c>
      <c r="L594" s="28" t="e">
        <f>INDEX('Peak Models'!$P$34:$P$64, MATCH(TRUNC(B594, 0), 'Peak Models'!$O$34:$O$64, 0))</f>
        <v>#N/A</v>
      </c>
      <c r="M594" s="28">
        <f>'Peak Models'!$P$15*INDEX('Peak Models'!$Q$34:$Q$64, MATCH(TRUNC(B594, 0),'Peak Models'!$O$34:$O$64, 0))/'Profit per cycles Model'!$E$78</f>
        <v>6.9859088031085328</v>
      </c>
      <c r="N594" s="28" t="e">
        <f t="shared" si="156"/>
        <v>#N/A</v>
      </c>
      <c r="O594" s="71" t="e">
        <f>AVERAGE($N$10:N594)</f>
        <v>#N/A</v>
      </c>
      <c r="P594" s="28" t="e">
        <f t="shared" si="157"/>
        <v>#N/A</v>
      </c>
      <c r="R594" s="28" t="e">
        <f t="shared" si="158"/>
        <v>#VALUE!</v>
      </c>
      <c r="S594" s="25"/>
      <c r="T594" s="25">
        <f t="shared" si="159"/>
        <v>15</v>
      </c>
      <c r="U594" s="33">
        <f>IF(PaybackCustom&gt;0, IF(PaybackCustom&lt;&gt;"Default", PaybackCustom, IF(PaybackStatus&lt;&gt;"",INDEX('Arbitrage Payback Engine'!$Y$2:$Y$6,MATCH(PaybackStatus,'Arbitrage Payback Engine'!$X$2:$X$6,FALSE)),-1)))</f>
        <v>25</v>
      </c>
      <c r="V594" s="32">
        <f t="shared" si="168"/>
        <v>15</v>
      </c>
      <c r="X594" s="29">
        <f t="shared" si="169"/>
        <v>585</v>
      </c>
      <c r="Z594" s="30">
        <f t="shared" si="160"/>
        <v>16.025202027119573</v>
      </c>
      <c r="AA594" s="28" t="e">
        <f t="shared" si="161"/>
        <v>#N/A</v>
      </c>
      <c r="AB594" s="28" t="e">
        <f t="shared" si="162"/>
        <v>#VALUE!</v>
      </c>
      <c r="AC594" s="29">
        <f t="shared" si="163"/>
        <v>555.02846299810244</v>
      </c>
      <c r="AD594" s="28" t="e">
        <f t="shared" si="164"/>
        <v>#VALUE!</v>
      </c>
      <c r="AE594" s="28" t="e">
        <f t="shared" si="165"/>
        <v>#N/A</v>
      </c>
      <c r="AF594" s="28" t="e">
        <f t="shared" si="166"/>
        <v>#VALUE!</v>
      </c>
      <c r="AH594" s="31" t="e">
        <f t="shared" si="167"/>
        <v>#N/A</v>
      </c>
      <c r="AI594" s="25"/>
      <c r="AJ594" s="31"/>
    </row>
    <row r="595" spans="2:36" x14ac:dyDescent="0.25">
      <c r="B595" s="33">
        <f>'Arbitrage Payback Engine'!E595</f>
        <v>16.052595534858238</v>
      </c>
      <c r="C595" s="33">
        <f t="shared" si="153"/>
        <v>1000</v>
      </c>
      <c r="D595" s="33">
        <f>'Battery Pricing Model'!$C$17</f>
        <v>1000</v>
      </c>
      <c r="E595" s="33">
        <f t="shared" si="154"/>
        <v>999</v>
      </c>
      <c r="F595" s="33" t="str">
        <f>'Peak Models'!$B$4</f>
        <v>Default</v>
      </c>
      <c r="G595" s="33" t="e">
        <f>'Peak Models'!$Q$7</f>
        <v>#VALUE!</v>
      </c>
      <c r="H595" s="33">
        <f>'Peak Models'!$P$16</f>
        <v>1.5</v>
      </c>
      <c r="I595" s="33">
        <v>12</v>
      </c>
      <c r="J595" s="33" t="e">
        <f>'Peak Models'!$P$13</f>
        <v>#N/A</v>
      </c>
      <c r="K595" s="28" t="e">
        <f t="shared" si="155"/>
        <v>#VALUE!</v>
      </c>
      <c r="L595" s="28" t="e">
        <f>INDEX('Peak Models'!$P$34:$P$64, MATCH(TRUNC(B595, 0), 'Peak Models'!$O$34:$O$64, 0))</f>
        <v>#N/A</v>
      </c>
      <c r="M595" s="28">
        <f>'Peak Models'!$P$15*INDEX('Peak Models'!$Q$34:$Q$64, MATCH(TRUNC(B595, 0),'Peak Models'!$O$34:$O$64, 0))/'Profit per cycles Model'!$E$78</f>
        <v>6.9859088031085328</v>
      </c>
      <c r="N595" s="28" t="e">
        <f t="shared" si="156"/>
        <v>#N/A</v>
      </c>
      <c r="O595" s="71" t="e">
        <f>AVERAGE($N$10:N595)</f>
        <v>#N/A</v>
      </c>
      <c r="P595" s="28" t="e">
        <f t="shared" si="157"/>
        <v>#N/A</v>
      </c>
      <c r="R595" s="28" t="e">
        <f t="shared" si="158"/>
        <v>#VALUE!</v>
      </c>
      <c r="S595" s="25"/>
      <c r="T595" s="25">
        <f t="shared" si="159"/>
        <v>15</v>
      </c>
      <c r="U595" s="33">
        <f>IF(PaybackCustom&gt;0, IF(PaybackCustom&lt;&gt;"Default", PaybackCustom, IF(PaybackStatus&lt;&gt;"",INDEX('Arbitrage Payback Engine'!$Y$2:$Y$6,MATCH(PaybackStatus,'Arbitrage Payback Engine'!$X$2:$X$6,FALSE)),-1)))</f>
        <v>25</v>
      </c>
      <c r="V595" s="32">
        <f t="shared" si="168"/>
        <v>15</v>
      </c>
      <c r="X595" s="29">
        <f t="shared" si="169"/>
        <v>586</v>
      </c>
      <c r="Z595" s="30">
        <f t="shared" si="160"/>
        <v>16.052595534858238</v>
      </c>
      <c r="AA595" s="28" t="e">
        <f t="shared" si="161"/>
        <v>#N/A</v>
      </c>
      <c r="AB595" s="28" t="e">
        <f t="shared" si="162"/>
        <v>#VALUE!</v>
      </c>
      <c r="AC595" s="29">
        <f t="shared" si="163"/>
        <v>555.97722960151805</v>
      </c>
      <c r="AD595" s="28" t="e">
        <f t="shared" si="164"/>
        <v>#VALUE!</v>
      </c>
      <c r="AE595" s="28" t="e">
        <f t="shared" si="165"/>
        <v>#N/A</v>
      </c>
      <c r="AF595" s="28" t="e">
        <f t="shared" si="166"/>
        <v>#VALUE!</v>
      </c>
      <c r="AH595" s="31" t="e">
        <f t="shared" si="167"/>
        <v>#N/A</v>
      </c>
      <c r="AI595" s="25"/>
      <c r="AJ595" s="31"/>
    </row>
    <row r="596" spans="2:36" x14ac:dyDescent="0.25">
      <c r="B596" s="33">
        <f>'Arbitrage Payback Engine'!E596</f>
        <v>16.079989042596903</v>
      </c>
      <c r="C596" s="33">
        <f t="shared" si="153"/>
        <v>1000</v>
      </c>
      <c r="D596" s="33">
        <f>'Battery Pricing Model'!$C$17</f>
        <v>1000</v>
      </c>
      <c r="E596" s="33">
        <f t="shared" si="154"/>
        <v>999</v>
      </c>
      <c r="F596" s="33" t="str">
        <f>'Peak Models'!$B$4</f>
        <v>Default</v>
      </c>
      <c r="G596" s="33" t="e">
        <f>'Peak Models'!$Q$7</f>
        <v>#VALUE!</v>
      </c>
      <c r="H596" s="33">
        <f>'Peak Models'!$P$16</f>
        <v>1.5</v>
      </c>
      <c r="I596" s="33">
        <v>12</v>
      </c>
      <c r="J596" s="33" t="e">
        <f>'Peak Models'!$P$13</f>
        <v>#N/A</v>
      </c>
      <c r="K596" s="28" t="e">
        <f t="shared" si="155"/>
        <v>#VALUE!</v>
      </c>
      <c r="L596" s="28" t="e">
        <f>INDEX('Peak Models'!$P$34:$P$64, MATCH(TRUNC(B596, 0), 'Peak Models'!$O$34:$O$64, 0))</f>
        <v>#N/A</v>
      </c>
      <c r="M596" s="28">
        <f>'Peak Models'!$P$15*INDEX('Peak Models'!$Q$34:$Q$64, MATCH(TRUNC(B596, 0),'Peak Models'!$O$34:$O$64, 0))/'Profit per cycles Model'!$E$78</f>
        <v>6.9859088031085328</v>
      </c>
      <c r="N596" s="28" t="e">
        <f t="shared" si="156"/>
        <v>#N/A</v>
      </c>
      <c r="O596" s="71" t="e">
        <f>AVERAGE($N$10:N596)</f>
        <v>#N/A</v>
      </c>
      <c r="P596" s="28" t="e">
        <f t="shared" si="157"/>
        <v>#N/A</v>
      </c>
      <c r="R596" s="28" t="e">
        <f t="shared" si="158"/>
        <v>#VALUE!</v>
      </c>
      <c r="S596" s="25"/>
      <c r="T596" s="25">
        <f t="shared" si="159"/>
        <v>15</v>
      </c>
      <c r="U596" s="33">
        <f>IF(PaybackCustom&gt;0, IF(PaybackCustom&lt;&gt;"Default", PaybackCustom, IF(PaybackStatus&lt;&gt;"",INDEX('Arbitrage Payback Engine'!$Y$2:$Y$6,MATCH(PaybackStatus,'Arbitrage Payback Engine'!$X$2:$X$6,FALSE)),-1)))</f>
        <v>25</v>
      </c>
      <c r="V596" s="32">
        <f t="shared" si="168"/>
        <v>15</v>
      </c>
      <c r="X596" s="29">
        <f t="shared" si="169"/>
        <v>587</v>
      </c>
      <c r="Z596" s="30">
        <f t="shared" si="160"/>
        <v>16.079989042596903</v>
      </c>
      <c r="AA596" s="28" t="e">
        <f t="shared" si="161"/>
        <v>#N/A</v>
      </c>
      <c r="AB596" s="28" t="e">
        <f t="shared" si="162"/>
        <v>#VALUE!</v>
      </c>
      <c r="AC596" s="29">
        <f t="shared" si="163"/>
        <v>556.92599620493354</v>
      </c>
      <c r="AD596" s="28" t="e">
        <f t="shared" si="164"/>
        <v>#VALUE!</v>
      </c>
      <c r="AE596" s="28" t="e">
        <f t="shared" si="165"/>
        <v>#N/A</v>
      </c>
      <c r="AF596" s="28" t="e">
        <f t="shared" si="166"/>
        <v>#VALUE!</v>
      </c>
      <c r="AH596" s="31" t="e">
        <f t="shared" si="167"/>
        <v>#N/A</v>
      </c>
      <c r="AI596" s="25"/>
      <c r="AJ596" s="31"/>
    </row>
    <row r="597" spans="2:36" x14ac:dyDescent="0.25">
      <c r="B597" s="33">
        <f>'Arbitrage Payback Engine'!E597</f>
        <v>16.107382550335569</v>
      </c>
      <c r="C597" s="33">
        <f t="shared" si="153"/>
        <v>1000</v>
      </c>
      <c r="D597" s="33">
        <f>'Battery Pricing Model'!$C$17</f>
        <v>1000</v>
      </c>
      <c r="E597" s="33">
        <f t="shared" si="154"/>
        <v>999</v>
      </c>
      <c r="F597" s="33" t="str">
        <f>'Peak Models'!$B$4</f>
        <v>Default</v>
      </c>
      <c r="G597" s="33" t="e">
        <f>'Peak Models'!$Q$7</f>
        <v>#VALUE!</v>
      </c>
      <c r="H597" s="33">
        <f>'Peak Models'!$P$16</f>
        <v>1.5</v>
      </c>
      <c r="I597" s="33">
        <v>12</v>
      </c>
      <c r="J597" s="33" t="e">
        <f>'Peak Models'!$P$13</f>
        <v>#N/A</v>
      </c>
      <c r="K597" s="28" t="e">
        <f t="shared" si="155"/>
        <v>#VALUE!</v>
      </c>
      <c r="L597" s="28" t="e">
        <f>INDEX('Peak Models'!$P$34:$P$64, MATCH(TRUNC(B597, 0), 'Peak Models'!$O$34:$O$64, 0))</f>
        <v>#N/A</v>
      </c>
      <c r="M597" s="28">
        <f>'Peak Models'!$P$15*INDEX('Peak Models'!$Q$34:$Q$64, MATCH(TRUNC(B597, 0),'Peak Models'!$O$34:$O$64, 0))/'Profit per cycles Model'!$E$78</f>
        <v>6.9859088031085328</v>
      </c>
      <c r="N597" s="28" t="e">
        <f t="shared" si="156"/>
        <v>#N/A</v>
      </c>
      <c r="O597" s="71" t="e">
        <f>AVERAGE($N$10:N597)</f>
        <v>#N/A</v>
      </c>
      <c r="P597" s="28" t="e">
        <f t="shared" si="157"/>
        <v>#N/A</v>
      </c>
      <c r="R597" s="28" t="e">
        <f t="shared" si="158"/>
        <v>#VALUE!</v>
      </c>
      <c r="S597" s="25"/>
      <c r="T597" s="25">
        <f t="shared" si="159"/>
        <v>15</v>
      </c>
      <c r="U597" s="33">
        <f>IF(PaybackCustom&gt;0, IF(PaybackCustom&lt;&gt;"Default", PaybackCustom, IF(PaybackStatus&lt;&gt;"",INDEX('Arbitrage Payback Engine'!$Y$2:$Y$6,MATCH(PaybackStatus,'Arbitrage Payback Engine'!$X$2:$X$6,FALSE)),-1)))</f>
        <v>25</v>
      </c>
      <c r="V597" s="32">
        <f t="shared" si="168"/>
        <v>15</v>
      </c>
      <c r="X597" s="29">
        <f t="shared" si="169"/>
        <v>588</v>
      </c>
      <c r="Z597" s="30">
        <f t="shared" si="160"/>
        <v>16.107382550335569</v>
      </c>
      <c r="AA597" s="28" t="e">
        <f t="shared" si="161"/>
        <v>#N/A</v>
      </c>
      <c r="AB597" s="28" t="e">
        <f t="shared" si="162"/>
        <v>#VALUE!</v>
      </c>
      <c r="AC597" s="29">
        <f t="shared" si="163"/>
        <v>557.87476280834915</v>
      </c>
      <c r="AD597" s="28" t="e">
        <f t="shared" si="164"/>
        <v>#VALUE!</v>
      </c>
      <c r="AE597" s="28" t="e">
        <f t="shared" si="165"/>
        <v>#N/A</v>
      </c>
      <c r="AF597" s="28" t="e">
        <f t="shared" si="166"/>
        <v>#VALUE!</v>
      </c>
      <c r="AH597" s="31" t="e">
        <f t="shared" si="167"/>
        <v>#N/A</v>
      </c>
      <c r="AI597" s="25"/>
      <c r="AJ597" s="31"/>
    </row>
    <row r="598" spans="2:36" x14ac:dyDescent="0.25">
      <c r="B598" s="33">
        <f>'Arbitrage Payback Engine'!E598</f>
        <v>16.134776058074237</v>
      </c>
      <c r="C598" s="33">
        <f t="shared" si="153"/>
        <v>1000</v>
      </c>
      <c r="D598" s="33">
        <f>'Battery Pricing Model'!$C$17</f>
        <v>1000</v>
      </c>
      <c r="E598" s="33">
        <f t="shared" si="154"/>
        <v>999</v>
      </c>
      <c r="F598" s="33" t="str">
        <f>'Peak Models'!$B$4</f>
        <v>Default</v>
      </c>
      <c r="G598" s="33" t="e">
        <f>'Peak Models'!$Q$7</f>
        <v>#VALUE!</v>
      </c>
      <c r="H598" s="33">
        <f>'Peak Models'!$P$16</f>
        <v>1.5</v>
      </c>
      <c r="I598" s="33">
        <v>12</v>
      </c>
      <c r="J598" s="33" t="e">
        <f>'Peak Models'!$P$13</f>
        <v>#N/A</v>
      </c>
      <c r="K598" s="28" t="e">
        <f t="shared" si="155"/>
        <v>#VALUE!</v>
      </c>
      <c r="L598" s="28" t="e">
        <f>INDEX('Peak Models'!$P$34:$P$64, MATCH(TRUNC(B598, 0), 'Peak Models'!$O$34:$O$64, 0))</f>
        <v>#N/A</v>
      </c>
      <c r="M598" s="28">
        <f>'Peak Models'!$P$15*INDEX('Peak Models'!$Q$34:$Q$64, MATCH(TRUNC(B598, 0),'Peak Models'!$O$34:$O$64, 0))/'Profit per cycles Model'!$E$78</f>
        <v>6.9859088031085328</v>
      </c>
      <c r="N598" s="28" t="e">
        <f t="shared" si="156"/>
        <v>#N/A</v>
      </c>
      <c r="O598" s="71" t="e">
        <f>AVERAGE($N$10:N598)</f>
        <v>#N/A</v>
      </c>
      <c r="P598" s="28" t="e">
        <f t="shared" si="157"/>
        <v>#N/A</v>
      </c>
      <c r="R598" s="28" t="e">
        <f t="shared" si="158"/>
        <v>#VALUE!</v>
      </c>
      <c r="S598" s="25"/>
      <c r="T598" s="25">
        <f t="shared" si="159"/>
        <v>15</v>
      </c>
      <c r="U598" s="33">
        <f>IF(PaybackCustom&gt;0, IF(PaybackCustom&lt;&gt;"Default", PaybackCustom, IF(PaybackStatus&lt;&gt;"",INDEX('Arbitrage Payback Engine'!$Y$2:$Y$6,MATCH(PaybackStatus,'Arbitrage Payback Engine'!$X$2:$X$6,FALSE)),-1)))</f>
        <v>25</v>
      </c>
      <c r="V598" s="32">
        <f t="shared" si="168"/>
        <v>15</v>
      </c>
      <c r="X598" s="29">
        <f t="shared" si="169"/>
        <v>589</v>
      </c>
      <c r="Z598" s="30">
        <f t="shared" si="160"/>
        <v>16.134776058074237</v>
      </c>
      <c r="AA598" s="28" t="e">
        <f t="shared" si="161"/>
        <v>#N/A</v>
      </c>
      <c r="AB598" s="28" t="e">
        <f t="shared" si="162"/>
        <v>#VALUE!</v>
      </c>
      <c r="AC598" s="29">
        <f t="shared" si="163"/>
        <v>558.82352941176475</v>
      </c>
      <c r="AD598" s="28" t="e">
        <f t="shared" si="164"/>
        <v>#VALUE!</v>
      </c>
      <c r="AE598" s="28" t="e">
        <f t="shared" si="165"/>
        <v>#N/A</v>
      </c>
      <c r="AF598" s="28" t="e">
        <f t="shared" si="166"/>
        <v>#VALUE!</v>
      </c>
      <c r="AH598" s="31" t="e">
        <f t="shared" si="167"/>
        <v>#N/A</v>
      </c>
      <c r="AI598" s="25"/>
      <c r="AJ598" s="31"/>
    </row>
    <row r="599" spans="2:36" x14ac:dyDescent="0.25">
      <c r="B599" s="33">
        <f>'Arbitrage Payback Engine'!E599</f>
        <v>16.162169565812903</v>
      </c>
      <c r="C599" s="33">
        <f t="shared" si="153"/>
        <v>1000</v>
      </c>
      <c r="D599" s="33">
        <f>'Battery Pricing Model'!$C$17</f>
        <v>1000</v>
      </c>
      <c r="E599" s="33">
        <f t="shared" si="154"/>
        <v>999</v>
      </c>
      <c r="F599" s="33" t="str">
        <f>'Peak Models'!$B$4</f>
        <v>Default</v>
      </c>
      <c r="G599" s="33" t="e">
        <f>'Peak Models'!$Q$7</f>
        <v>#VALUE!</v>
      </c>
      <c r="H599" s="33">
        <f>'Peak Models'!$P$16</f>
        <v>1.5</v>
      </c>
      <c r="I599" s="33">
        <v>12</v>
      </c>
      <c r="J599" s="33" t="e">
        <f>'Peak Models'!$P$13</f>
        <v>#N/A</v>
      </c>
      <c r="K599" s="28" t="e">
        <f t="shared" si="155"/>
        <v>#VALUE!</v>
      </c>
      <c r="L599" s="28" t="e">
        <f>INDEX('Peak Models'!$P$34:$P$64, MATCH(TRUNC(B599, 0), 'Peak Models'!$O$34:$O$64, 0))</f>
        <v>#N/A</v>
      </c>
      <c r="M599" s="28">
        <f>'Peak Models'!$P$15*INDEX('Peak Models'!$Q$34:$Q$64, MATCH(TRUNC(B599, 0),'Peak Models'!$O$34:$O$64, 0))/'Profit per cycles Model'!$E$78</f>
        <v>6.9859088031085328</v>
      </c>
      <c r="N599" s="28" t="e">
        <f t="shared" si="156"/>
        <v>#N/A</v>
      </c>
      <c r="O599" s="71" t="e">
        <f>AVERAGE($N$10:N599)</f>
        <v>#N/A</v>
      </c>
      <c r="P599" s="28" t="e">
        <f t="shared" si="157"/>
        <v>#N/A</v>
      </c>
      <c r="R599" s="28" t="e">
        <f t="shared" si="158"/>
        <v>#VALUE!</v>
      </c>
      <c r="S599" s="25"/>
      <c r="T599" s="25">
        <f t="shared" si="159"/>
        <v>15</v>
      </c>
      <c r="U599" s="33">
        <f>IF(PaybackCustom&gt;0, IF(PaybackCustom&lt;&gt;"Default", PaybackCustom, IF(PaybackStatus&lt;&gt;"",INDEX('Arbitrage Payback Engine'!$Y$2:$Y$6,MATCH(PaybackStatus,'Arbitrage Payback Engine'!$X$2:$X$6,FALSE)),-1)))</f>
        <v>25</v>
      </c>
      <c r="V599" s="32">
        <f t="shared" si="168"/>
        <v>15</v>
      </c>
      <c r="X599" s="29">
        <f t="shared" si="169"/>
        <v>590</v>
      </c>
      <c r="Z599" s="30">
        <f t="shared" si="160"/>
        <v>16.162169565812903</v>
      </c>
      <c r="AA599" s="28" t="e">
        <f t="shared" si="161"/>
        <v>#N/A</v>
      </c>
      <c r="AB599" s="28" t="e">
        <f t="shared" si="162"/>
        <v>#VALUE!</v>
      </c>
      <c r="AC599" s="29">
        <f t="shared" si="163"/>
        <v>559.77229601518036</v>
      </c>
      <c r="AD599" s="28" t="e">
        <f t="shared" si="164"/>
        <v>#VALUE!</v>
      </c>
      <c r="AE599" s="28" t="e">
        <f t="shared" si="165"/>
        <v>#N/A</v>
      </c>
      <c r="AF599" s="28" t="e">
        <f t="shared" si="166"/>
        <v>#VALUE!</v>
      </c>
      <c r="AH599" s="31" t="e">
        <f t="shared" si="167"/>
        <v>#N/A</v>
      </c>
      <c r="AI599" s="25"/>
      <c r="AJ599" s="31"/>
    </row>
    <row r="600" spans="2:36" x14ac:dyDescent="0.25">
      <c r="B600" s="33">
        <f>'Arbitrage Payback Engine'!E600</f>
        <v>16.189563073551568</v>
      </c>
      <c r="C600" s="33">
        <f t="shared" si="153"/>
        <v>1000</v>
      </c>
      <c r="D600" s="33">
        <f>'Battery Pricing Model'!$C$17</f>
        <v>1000</v>
      </c>
      <c r="E600" s="33">
        <f t="shared" si="154"/>
        <v>999</v>
      </c>
      <c r="F600" s="33" t="str">
        <f>'Peak Models'!$B$4</f>
        <v>Default</v>
      </c>
      <c r="G600" s="33" t="e">
        <f>'Peak Models'!$Q$7</f>
        <v>#VALUE!</v>
      </c>
      <c r="H600" s="33">
        <f>'Peak Models'!$P$16</f>
        <v>1.5</v>
      </c>
      <c r="I600" s="33">
        <v>12</v>
      </c>
      <c r="J600" s="33" t="e">
        <f>'Peak Models'!$P$13</f>
        <v>#N/A</v>
      </c>
      <c r="K600" s="28" t="e">
        <f t="shared" si="155"/>
        <v>#VALUE!</v>
      </c>
      <c r="L600" s="28" t="e">
        <f>INDEX('Peak Models'!$P$34:$P$64, MATCH(TRUNC(B600, 0), 'Peak Models'!$O$34:$O$64, 0))</f>
        <v>#N/A</v>
      </c>
      <c r="M600" s="28">
        <f>'Peak Models'!$P$15*INDEX('Peak Models'!$Q$34:$Q$64, MATCH(TRUNC(B600, 0),'Peak Models'!$O$34:$O$64, 0))/'Profit per cycles Model'!$E$78</f>
        <v>6.9859088031085328</v>
      </c>
      <c r="N600" s="28" t="e">
        <f t="shared" si="156"/>
        <v>#N/A</v>
      </c>
      <c r="O600" s="71" t="e">
        <f>AVERAGE($N$10:N600)</f>
        <v>#N/A</v>
      </c>
      <c r="P600" s="28" t="e">
        <f t="shared" si="157"/>
        <v>#N/A</v>
      </c>
      <c r="R600" s="28" t="e">
        <f t="shared" si="158"/>
        <v>#VALUE!</v>
      </c>
      <c r="S600" s="25"/>
      <c r="T600" s="25">
        <f t="shared" si="159"/>
        <v>15</v>
      </c>
      <c r="U600" s="33">
        <f>IF(PaybackCustom&gt;0, IF(PaybackCustom&lt;&gt;"Default", PaybackCustom, IF(PaybackStatus&lt;&gt;"",INDEX('Arbitrage Payback Engine'!$Y$2:$Y$6,MATCH(PaybackStatus,'Arbitrage Payback Engine'!$X$2:$X$6,FALSE)),-1)))</f>
        <v>25</v>
      </c>
      <c r="V600" s="32">
        <f t="shared" si="168"/>
        <v>15</v>
      </c>
      <c r="X600" s="29">
        <f t="shared" si="169"/>
        <v>591</v>
      </c>
      <c r="Z600" s="30">
        <f t="shared" si="160"/>
        <v>16.189563073551568</v>
      </c>
      <c r="AA600" s="28" t="e">
        <f t="shared" si="161"/>
        <v>#N/A</v>
      </c>
      <c r="AB600" s="28" t="e">
        <f t="shared" si="162"/>
        <v>#VALUE!</v>
      </c>
      <c r="AC600" s="29">
        <f t="shared" si="163"/>
        <v>560.72106261859585</v>
      </c>
      <c r="AD600" s="28" t="e">
        <f t="shared" si="164"/>
        <v>#VALUE!</v>
      </c>
      <c r="AE600" s="28" t="e">
        <f t="shared" si="165"/>
        <v>#N/A</v>
      </c>
      <c r="AF600" s="28" t="e">
        <f t="shared" si="166"/>
        <v>#VALUE!</v>
      </c>
      <c r="AH600" s="31" t="e">
        <f t="shared" si="167"/>
        <v>#N/A</v>
      </c>
      <c r="AI600" s="25"/>
      <c r="AJ600" s="31"/>
    </row>
    <row r="601" spans="2:36" x14ac:dyDescent="0.25">
      <c r="B601" s="33">
        <f>'Arbitrage Payback Engine'!E601</f>
        <v>16.216956581290233</v>
      </c>
      <c r="C601" s="33">
        <f t="shared" si="153"/>
        <v>1000</v>
      </c>
      <c r="D601" s="33">
        <f>'Battery Pricing Model'!$C$17</f>
        <v>1000</v>
      </c>
      <c r="E601" s="33">
        <f t="shared" si="154"/>
        <v>999</v>
      </c>
      <c r="F601" s="33" t="str">
        <f>'Peak Models'!$B$4</f>
        <v>Default</v>
      </c>
      <c r="G601" s="33" t="e">
        <f>'Peak Models'!$Q$7</f>
        <v>#VALUE!</v>
      </c>
      <c r="H601" s="33">
        <f>'Peak Models'!$P$16</f>
        <v>1.5</v>
      </c>
      <c r="I601" s="33">
        <v>12</v>
      </c>
      <c r="J601" s="33" t="e">
        <f>'Peak Models'!$P$13</f>
        <v>#N/A</v>
      </c>
      <c r="K601" s="28" t="e">
        <f t="shared" si="155"/>
        <v>#VALUE!</v>
      </c>
      <c r="L601" s="28" t="e">
        <f>INDEX('Peak Models'!$P$34:$P$64, MATCH(TRUNC(B601, 0), 'Peak Models'!$O$34:$O$64, 0))</f>
        <v>#N/A</v>
      </c>
      <c r="M601" s="28">
        <f>'Peak Models'!$P$15*INDEX('Peak Models'!$Q$34:$Q$64, MATCH(TRUNC(B601, 0),'Peak Models'!$O$34:$O$64, 0))/'Profit per cycles Model'!$E$78</f>
        <v>6.9859088031085328</v>
      </c>
      <c r="N601" s="28" t="e">
        <f t="shared" si="156"/>
        <v>#N/A</v>
      </c>
      <c r="O601" s="71" t="e">
        <f>AVERAGE($N$10:N601)</f>
        <v>#N/A</v>
      </c>
      <c r="P601" s="28" t="e">
        <f t="shared" si="157"/>
        <v>#N/A</v>
      </c>
      <c r="R601" s="28" t="e">
        <f t="shared" si="158"/>
        <v>#VALUE!</v>
      </c>
      <c r="S601" s="25"/>
      <c r="T601" s="25">
        <f t="shared" si="159"/>
        <v>15</v>
      </c>
      <c r="U601" s="33">
        <f>IF(PaybackCustom&gt;0, IF(PaybackCustom&lt;&gt;"Default", PaybackCustom, IF(PaybackStatus&lt;&gt;"",INDEX('Arbitrage Payback Engine'!$Y$2:$Y$6,MATCH(PaybackStatus,'Arbitrage Payback Engine'!$X$2:$X$6,FALSE)),-1)))</f>
        <v>25</v>
      </c>
      <c r="V601" s="32">
        <f t="shared" si="168"/>
        <v>15</v>
      </c>
      <c r="X601" s="29">
        <f t="shared" si="169"/>
        <v>592</v>
      </c>
      <c r="Z601" s="30">
        <f t="shared" si="160"/>
        <v>16.216956581290233</v>
      </c>
      <c r="AA601" s="28" t="e">
        <f t="shared" si="161"/>
        <v>#N/A</v>
      </c>
      <c r="AB601" s="28" t="e">
        <f t="shared" si="162"/>
        <v>#VALUE!</v>
      </c>
      <c r="AC601" s="29">
        <f t="shared" si="163"/>
        <v>561.66982922201134</v>
      </c>
      <c r="AD601" s="28" t="e">
        <f t="shared" si="164"/>
        <v>#VALUE!</v>
      </c>
      <c r="AE601" s="28" t="e">
        <f t="shared" si="165"/>
        <v>#N/A</v>
      </c>
      <c r="AF601" s="28" t="e">
        <f t="shared" si="166"/>
        <v>#VALUE!</v>
      </c>
      <c r="AH601" s="31" t="e">
        <f t="shared" si="167"/>
        <v>#N/A</v>
      </c>
      <c r="AI601" s="25"/>
      <c r="AJ601" s="31"/>
    </row>
    <row r="602" spans="2:36" x14ac:dyDescent="0.25">
      <c r="B602" s="33">
        <f>'Arbitrage Payback Engine'!E602</f>
        <v>16.244350089028899</v>
      </c>
      <c r="C602" s="33">
        <f t="shared" si="153"/>
        <v>1000</v>
      </c>
      <c r="D602" s="33">
        <f>'Battery Pricing Model'!$C$17</f>
        <v>1000</v>
      </c>
      <c r="E602" s="33">
        <f t="shared" si="154"/>
        <v>999</v>
      </c>
      <c r="F602" s="33" t="str">
        <f>'Peak Models'!$B$4</f>
        <v>Default</v>
      </c>
      <c r="G602" s="33" t="e">
        <f>'Peak Models'!$Q$7</f>
        <v>#VALUE!</v>
      </c>
      <c r="H602" s="33">
        <f>'Peak Models'!$P$16</f>
        <v>1.5</v>
      </c>
      <c r="I602" s="33">
        <v>12</v>
      </c>
      <c r="J602" s="33" t="e">
        <f>'Peak Models'!$P$13</f>
        <v>#N/A</v>
      </c>
      <c r="K602" s="28" t="e">
        <f t="shared" si="155"/>
        <v>#VALUE!</v>
      </c>
      <c r="L602" s="28" t="e">
        <f>INDEX('Peak Models'!$P$34:$P$64, MATCH(TRUNC(B602, 0), 'Peak Models'!$O$34:$O$64, 0))</f>
        <v>#N/A</v>
      </c>
      <c r="M602" s="28">
        <f>'Peak Models'!$P$15*INDEX('Peak Models'!$Q$34:$Q$64, MATCH(TRUNC(B602, 0),'Peak Models'!$O$34:$O$64, 0))/'Profit per cycles Model'!$E$78</f>
        <v>6.9859088031085328</v>
      </c>
      <c r="N602" s="28" t="e">
        <f t="shared" si="156"/>
        <v>#N/A</v>
      </c>
      <c r="O602" s="71" t="e">
        <f>AVERAGE($N$10:N602)</f>
        <v>#N/A</v>
      </c>
      <c r="P602" s="28" t="e">
        <f t="shared" si="157"/>
        <v>#N/A</v>
      </c>
      <c r="R602" s="28" t="e">
        <f t="shared" si="158"/>
        <v>#VALUE!</v>
      </c>
      <c r="S602" s="25"/>
      <c r="T602" s="25">
        <f t="shared" si="159"/>
        <v>15</v>
      </c>
      <c r="U602" s="33">
        <f>IF(PaybackCustom&gt;0, IF(PaybackCustom&lt;&gt;"Default", PaybackCustom, IF(PaybackStatus&lt;&gt;"",INDEX('Arbitrage Payback Engine'!$Y$2:$Y$6,MATCH(PaybackStatus,'Arbitrage Payback Engine'!$X$2:$X$6,FALSE)),-1)))</f>
        <v>25</v>
      </c>
      <c r="V602" s="32">
        <f t="shared" si="168"/>
        <v>15</v>
      </c>
      <c r="X602" s="29">
        <f t="shared" si="169"/>
        <v>593</v>
      </c>
      <c r="Z602" s="30">
        <f t="shared" si="160"/>
        <v>16.244350089028899</v>
      </c>
      <c r="AA602" s="28" t="e">
        <f t="shared" si="161"/>
        <v>#N/A</v>
      </c>
      <c r="AB602" s="28" t="e">
        <f t="shared" si="162"/>
        <v>#VALUE!</v>
      </c>
      <c r="AC602" s="29">
        <f t="shared" si="163"/>
        <v>562.61859582542695</v>
      </c>
      <c r="AD602" s="28" t="e">
        <f t="shared" si="164"/>
        <v>#VALUE!</v>
      </c>
      <c r="AE602" s="28" t="e">
        <f t="shared" si="165"/>
        <v>#N/A</v>
      </c>
      <c r="AF602" s="28" t="e">
        <f t="shared" si="166"/>
        <v>#VALUE!</v>
      </c>
      <c r="AH602" s="31" t="e">
        <f t="shared" si="167"/>
        <v>#N/A</v>
      </c>
      <c r="AI602" s="25"/>
      <c r="AJ602" s="31"/>
    </row>
    <row r="603" spans="2:36" x14ac:dyDescent="0.25">
      <c r="B603" s="33">
        <f>'Arbitrage Payback Engine'!E603</f>
        <v>16.271743596767564</v>
      </c>
      <c r="C603" s="33">
        <f t="shared" si="153"/>
        <v>1000</v>
      </c>
      <c r="D603" s="33">
        <f>'Battery Pricing Model'!$C$17</f>
        <v>1000</v>
      </c>
      <c r="E603" s="33">
        <f t="shared" si="154"/>
        <v>999</v>
      </c>
      <c r="F603" s="33" t="str">
        <f>'Peak Models'!$B$4</f>
        <v>Default</v>
      </c>
      <c r="G603" s="33" t="e">
        <f>'Peak Models'!$Q$7</f>
        <v>#VALUE!</v>
      </c>
      <c r="H603" s="33">
        <f>'Peak Models'!$P$16</f>
        <v>1.5</v>
      </c>
      <c r="I603" s="33">
        <v>12</v>
      </c>
      <c r="J603" s="33" t="e">
        <f>'Peak Models'!$P$13</f>
        <v>#N/A</v>
      </c>
      <c r="K603" s="28" t="e">
        <f t="shared" si="155"/>
        <v>#VALUE!</v>
      </c>
      <c r="L603" s="28" t="e">
        <f>INDEX('Peak Models'!$P$34:$P$64, MATCH(TRUNC(B603, 0), 'Peak Models'!$O$34:$O$64, 0))</f>
        <v>#N/A</v>
      </c>
      <c r="M603" s="28">
        <f>'Peak Models'!$P$15*INDEX('Peak Models'!$Q$34:$Q$64, MATCH(TRUNC(B603, 0),'Peak Models'!$O$34:$O$64, 0))/'Profit per cycles Model'!$E$78</f>
        <v>6.9859088031085328</v>
      </c>
      <c r="N603" s="28" t="e">
        <f t="shared" si="156"/>
        <v>#N/A</v>
      </c>
      <c r="O603" s="71" t="e">
        <f>AVERAGE($N$10:N603)</f>
        <v>#N/A</v>
      </c>
      <c r="P603" s="28" t="e">
        <f t="shared" si="157"/>
        <v>#N/A</v>
      </c>
      <c r="R603" s="28" t="e">
        <f t="shared" si="158"/>
        <v>#VALUE!</v>
      </c>
      <c r="S603" s="25"/>
      <c r="T603" s="25">
        <f t="shared" si="159"/>
        <v>15</v>
      </c>
      <c r="U603" s="33">
        <f>IF(PaybackCustom&gt;0, IF(PaybackCustom&lt;&gt;"Default", PaybackCustom, IF(PaybackStatus&lt;&gt;"",INDEX('Arbitrage Payback Engine'!$Y$2:$Y$6,MATCH(PaybackStatus,'Arbitrage Payback Engine'!$X$2:$X$6,FALSE)),-1)))</f>
        <v>25</v>
      </c>
      <c r="V603" s="32">
        <f t="shared" si="168"/>
        <v>15</v>
      </c>
      <c r="X603" s="29">
        <f t="shared" si="169"/>
        <v>594</v>
      </c>
      <c r="Z603" s="30">
        <f t="shared" si="160"/>
        <v>16.271743596767564</v>
      </c>
      <c r="AA603" s="28" t="e">
        <f t="shared" si="161"/>
        <v>#N/A</v>
      </c>
      <c r="AB603" s="28" t="e">
        <f t="shared" si="162"/>
        <v>#VALUE!</v>
      </c>
      <c r="AC603" s="29">
        <f t="shared" si="163"/>
        <v>563.56736242884244</v>
      </c>
      <c r="AD603" s="28" t="e">
        <f t="shared" si="164"/>
        <v>#VALUE!</v>
      </c>
      <c r="AE603" s="28" t="e">
        <f t="shared" si="165"/>
        <v>#N/A</v>
      </c>
      <c r="AF603" s="28" t="e">
        <f t="shared" si="166"/>
        <v>#VALUE!</v>
      </c>
      <c r="AH603" s="31" t="e">
        <f t="shared" si="167"/>
        <v>#N/A</v>
      </c>
      <c r="AI603" s="25"/>
      <c r="AJ603" s="31"/>
    </row>
    <row r="604" spans="2:36" x14ac:dyDescent="0.25">
      <c r="B604" s="33">
        <f>'Arbitrage Payback Engine'!E604</f>
        <v>16.299137104506233</v>
      </c>
      <c r="C604" s="33">
        <f t="shared" si="153"/>
        <v>1000</v>
      </c>
      <c r="D604" s="33">
        <f>'Battery Pricing Model'!$C$17</f>
        <v>1000</v>
      </c>
      <c r="E604" s="33">
        <f t="shared" si="154"/>
        <v>999</v>
      </c>
      <c r="F604" s="33" t="str">
        <f>'Peak Models'!$B$4</f>
        <v>Default</v>
      </c>
      <c r="G604" s="33" t="e">
        <f>'Peak Models'!$Q$7</f>
        <v>#VALUE!</v>
      </c>
      <c r="H604" s="33">
        <f>'Peak Models'!$P$16</f>
        <v>1.5</v>
      </c>
      <c r="I604" s="33">
        <v>12</v>
      </c>
      <c r="J604" s="33" t="e">
        <f>'Peak Models'!$P$13</f>
        <v>#N/A</v>
      </c>
      <c r="K604" s="28" t="e">
        <f t="shared" si="155"/>
        <v>#VALUE!</v>
      </c>
      <c r="L604" s="28" t="e">
        <f>INDEX('Peak Models'!$P$34:$P$64, MATCH(TRUNC(B604, 0), 'Peak Models'!$O$34:$O$64, 0))</f>
        <v>#N/A</v>
      </c>
      <c r="M604" s="28">
        <f>'Peak Models'!$P$15*INDEX('Peak Models'!$Q$34:$Q$64, MATCH(TRUNC(B604, 0),'Peak Models'!$O$34:$O$64, 0))/'Profit per cycles Model'!$E$78</f>
        <v>6.9859088031085328</v>
      </c>
      <c r="N604" s="28" t="e">
        <f t="shared" si="156"/>
        <v>#N/A</v>
      </c>
      <c r="O604" s="71" t="e">
        <f>AVERAGE($N$10:N604)</f>
        <v>#N/A</v>
      </c>
      <c r="P604" s="28" t="e">
        <f t="shared" si="157"/>
        <v>#N/A</v>
      </c>
      <c r="R604" s="28" t="e">
        <f t="shared" si="158"/>
        <v>#VALUE!</v>
      </c>
      <c r="S604" s="25"/>
      <c r="T604" s="25">
        <f t="shared" si="159"/>
        <v>15</v>
      </c>
      <c r="U604" s="33">
        <f>IF(PaybackCustom&gt;0, IF(PaybackCustom&lt;&gt;"Default", PaybackCustom, IF(PaybackStatus&lt;&gt;"",INDEX('Arbitrage Payback Engine'!$Y$2:$Y$6,MATCH(PaybackStatus,'Arbitrage Payback Engine'!$X$2:$X$6,FALSE)),-1)))</f>
        <v>25</v>
      </c>
      <c r="V604" s="32">
        <f t="shared" si="168"/>
        <v>15</v>
      </c>
      <c r="X604" s="29">
        <f t="shared" si="169"/>
        <v>595</v>
      </c>
      <c r="Z604" s="30">
        <f t="shared" si="160"/>
        <v>16.299137104506233</v>
      </c>
      <c r="AA604" s="28" t="e">
        <f t="shared" si="161"/>
        <v>#N/A</v>
      </c>
      <c r="AB604" s="28" t="e">
        <f t="shared" si="162"/>
        <v>#VALUE!</v>
      </c>
      <c r="AC604" s="29">
        <f t="shared" si="163"/>
        <v>564.51612903225816</v>
      </c>
      <c r="AD604" s="28" t="e">
        <f t="shared" si="164"/>
        <v>#VALUE!</v>
      </c>
      <c r="AE604" s="28" t="e">
        <f t="shared" si="165"/>
        <v>#N/A</v>
      </c>
      <c r="AF604" s="28" t="e">
        <f t="shared" si="166"/>
        <v>#VALUE!</v>
      </c>
      <c r="AH604" s="31" t="e">
        <f t="shared" si="167"/>
        <v>#N/A</v>
      </c>
      <c r="AI604" s="25"/>
      <c r="AJ604" s="31"/>
    </row>
    <row r="605" spans="2:36" x14ac:dyDescent="0.25">
      <c r="B605" s="33">
        <f>'Arbitrage Payback Engine'!E605</f>
        <v>16.326530612244898</v>
      </c>
      <c r="C605" s="33">
        <f t="shared" si="153"/>
        <v>1000</v>
      </c>
      <c r="D605" s="33">
        <f>'Battery Pricing Model'!$C$17</f>
        <v>1000</v>
      </c>
      <c r="E605" s="33">
        <f t="shared" si="154"/>
        <v>999</v>
      </c>
      <c r="F605" s="33" t="str">
        <f>'Peak Models'!$B$4</f>
        <v>Default</v>
      </c>
      <c r="G605" s="33" t="e">
        <f>'Peak Models'!$Q$7</f>
        <v>#VALUE!</v>
      </c>
      <c r="H605" s="33">
        <f>'Peak Models'!$P$16</f>
        <v>1.5</v>
      </c>
      <c r="I605" s="33">
        <v>12</v>
      </c>
      <c r="J605" s="33" t="e">
        <f>'Peak Models'!$P$13</f>
        <v>#N/A</v>
      </c>
      <c r="K605" s="28" t="e">
        <f t="shared" si="155"/>
        <v>#VALUE!</v>
      </c>
      <c r="L605" s="28" t="e">
        <f>INDEX('Peak Models'!$P$34:$P$64, MATCH(TRUNC(B605, 0), 'Peak Models'!$O$34:$O$64, 0))</f>
        <v>#N/A</v>
      </c>
      <c r="M605" s="28">
        <f>'Peak Models'!$P$15*INDEX('Peak Models'!$Q$34:$Q$64, MATCH(TRUNC(B605, 0),'Peak Models'!$O$34:$O$64, 0))/'Profit per cycles Model'!$E$78</f>
        <v>6.9859088031085328</v>
      </c>
      <c r="N605" s="28" t="e">
        <f t="shared" si="156"/>
        <v>#N/A</v>
      </c>
      <c r="O605" s="71" t="e">
        <f>AVERAGE($N$10:N605)</f>
        <v>#N/A</v>
      </c>
      <c r="P605" s="28" t="e">
        <f t="shared" si="157"/>
        <v>#N/A</v>
      </c>
      <c r="R605" s="28" t="e">
        <f t="shared" si="158"/>
        <v>#VALUE!</v>
      </c>
      <c r="S605" s="25"/>
      <c r="T605" s="25">
        <f t="shared" si="159"/>
        <v>15</v>
      </c>
      <c r="U605" s="33">
        <f>IF(PaybackCustom&gt;0, IF(PaybackCustom&lt;&gt;"Default", PaybackCustom, IF(PaybackStatus&lt;&gt;"",INDEX('Arbitrage Payback Engine'!$Y$2:$Y$6,MATCH(PaybackStatus,'Arbitrage Payback Engine'!$X$2:$X$6,FALSE)),-1)))</f>
        <v>25</v>
      </c>
      <c r="V605" s="32">
        <f t="shared" si="168"/>
        <v>15</v>
      </c>
      <c r="X605" s="29">
        <f t="shared" si="169"/>
        <v>596</v>
      </c>
      <c r="Z605" s="30">
        <f t="shared" si="160"/>
        <v>16.326530612244898</v>
      </c>
      <c r="AA605" s="28" t="e">
        <f t="shared" si="161"/>
        <v>#N/A</v>
      </c>
      <c r="AB605" s="28" t="e">
        <f t="shared" si="162"/>
        <v>#VALUE!</v>
      </c>
      <c r="AC605" s="29">
        <f t="shared" si="163"/>
        <v>565.46489563567366</v>
      </c>
      <c r="AD605" s="28" t="e">
        <f t="shared" si="164"/>
        <v>#VALUE!</v>
      </c>
      <c r="AE605" s="28" t="e">
        <f t="shared" si="165"/>
        <v>#N/A</v>
      </c>
      <c r="AF605" s="28" t="e">
        <f t="shared" si="166"/>
        <v>#VALUE!</v>
      </c>
      <c r="AH605" s="31" t="e">
        <f t="shared" si="167"/>
        <v>#N/A</v>
      </c>
      <c r="AI605" s="25"/>
      <c r="AJ605" s="31"/>
    </row>
    <row r="606" spans="2:36" x14ac:dyDescent="0.25">
      <c r="B606" s="33">
        <f>'Arbitrage Payback Engine'!E606</f>
        <v>16.353924119983564</v>
      </c>
      <c r="C606" s="33">
        <f t="shared" si="153"/>
        <v>1000</v>
      </c>
      <c r="D606" s="33">
        <f>'Battery Pricing Model'!$C$17</f>
        <v>1000</v>
      </c>
      <c r="E606" s="33">
        <f t="shared" si="154"/>
        <v>999</v>
      </c>
      <c r="F606" s="33" t="str">
        <f>'Peak Models'!$B$4</f>
        <v>Default</v>
      </c>
      <c r="G606" s="33" t="e">
        <f>'Peak Models'!$Q$7</f>
        <v>#VALUE!</v>
      </c>
      <c r="H606" s="33">
        <f>'Peak Models'!$P$16</f>
        <v>1.5</v>
      </c>
      <c r="I606" s="33">
        <v>12</v>
      </c>
      <c r="J606" s="33" t="e">
        <f>'Peak Models'!$P$13</f>
        <v>#N/A</v>
      </c>
      <c r="K606" s="28" t="e">
        <f t="shared" si="155"/>
        <v>#VALUE!</v>
      </c>
      <c r="L606" s="28" t="e">
        <f>INDEX('Peak Models'!$P$34:$P$64, MATCH(TRUNC(B606, 0), 'Peak Models'!$O$34:$O$64, 0))</f>
        <v>#N/A</v>
      </c>
      <c r="M606" s="28">
        <f>'Peak Models'!$P$15*INDEX('Peak Models'!$Q$34:$Q$64, MATCH(TRUNC(B606, 0),'Peak Models'!$O$34:$O$64, 0))/'Profit per cycles Model'!$E$78</f>
        <v>6.9859088031085328</v>
      </c>
      <c r="N606" s="28" t="e">
        <f t="shared" si="156"/>
        <v>#N/A</v>
      </c>
      <c r="O606" s="71" t="e">
        <f>AVERAGE($N$10:N606)</f>
        <v>#N/A</v>
      </c>
      <c r="P606" s="28" t="e">
        <f t="shared" si="157"/>
        <v>#N/A</v>
      </c>
      <c r="R606" s="28" t="e">
        <f t="shared" si="158"/>
        <v>#VALUE!</v>
      </c>
      <c r="S606" s="25"/>
      <c r="T606" s="25">
        <f t="shared" si="159"/>
        <v>15</v>
      </c>
      <c r="U606" s="33">
        <f>IF(PaybackCustom&gt;0, IF(PaybackCustom&lt;&gt;"Default", PaybackCustom, IF(PaybackStatus&lt;&gt;"",INDEX('Arbitrage Payback Engine'!$Y$2:$Y$6,MATCH(PaybackStatus,'Arbitrage Payback Engine'!$X$2:$X$6,FALSE)),-1)))</f>
        <v>25</v>
      </c>
      <c r="V606" s="32">
        <f t="shared" si="168"/>
        <v>15</v>
      </c>
      <c r="X606" s="29">
        <f t="shared" si="169"/>
        <v>597</v>
      </c>
      <c r="Z606" s="30">
        <f t="shared" si="160"/>
        <v>16.353924119983564</v>
      </c>
      <c r="AA606" s="28" t="e">
        <f t="shared" si="161"/>
        <v>#N/A</v>
      </c>
      <c r="AB606" s="28" t="e">
        <f t="shared" si="162"/>
        <v>#VALUE!</v>
      </c>
      <c r="AC606" s="29">
        <f t="shared" si="163"/>
        <v>566.41366223908915</v>
      </c>
      <c r="AD606" s="28" t="e">
        <f t="shared" si="164"/>
        <v>#VALUE!</v>
      </c>
      <c r="AE606" s="28" t="e">
        <f t="shared" si="165"/>
        <v>#N/A</v>
      </c>
      <c r="AF606" s="28" t="e">
        <f t="shared" si="166"/>
        <v>#VALUE!</v>
      </c>
      <c r="AH606" s="31" t="e">
        <f t="shared" si="167"/>
        <v>#N/A</v>
      </c>
      <c r="AI606" s="25"/>
      <c r="AJ606" s="31"/>
    </row>
    <row r="607" spans="2:36" x14ac:dyDescent="0.25">
      <c r="B607" s="33">
        <f>'Arbitrage Payback Engine'!E607</f>
        <v>16.381317627722229</v>
      </c>
      <c r="C607" s="33">
        <f t="shared" si="153"/>
        <v>1000</v>
      </c>
      <c r="D607" s="33">
        <f>'Battery Pricing Model'!$C$17</f>
        <v>1000</v>
      </c>
      <c r="E607" s="33">
        <f t="shared" si="154"/>
        <v>999</v>
      </c>
      <c r="F607" s="33" t="str">
        <f>'Peak Models'!$B$4</f>
        <v>Default</v>
      </c>
      <c r="G607" s="33" t="e">
        <f>'Peak Models'!$Q$7</f>
        <v>#VALUE!</v>
      </c>
      <c r="H607" s="33">
        <f>'Peak Models'!$P$16</f>
        <v>1.5</v>
      </c>
      <c r="I607" s="33">
        <v>12</v>
      </c>
      <c r="J607" s="33" t="e">
        <f>'Peak Models'!$P$13</f>
        <v>#N/A</v>
      </c>
      <c r="K607" s="28" t="e">
        <f t="shared" si="155"/>
        <v>#VALUE!</v>
      </c>
      <c r="L607" s="28" t="e">
        <f>INDEX('Peak Models'!$P$34:$P$64, MATCH(TRUNC(B607, 0), 'Peak Models'!$O$34:$O$64, 0))</f>
        <v>#N/A</v>
      </c>
      <c r="M607" s="28">
        <f>'Peak Models'!$P$15*INDEX('Peak Models'!$Q$34:$Q$64, MATCH(TRUNC(B607, 0),'Peak Models'!$O$34:$O$64, 0))/'Profit per cycles Model'!$E$78</f>
        <v>6.9859088031085328</v>
      </c>
      <c r="N607" s="28" t="e">
        <f t="shared" si="156"/>
        <v>#N/A</v>
      </c>
      <c r="O607" s="71" t="e">
        <f>AVERAGE($N$10:N607)</f>
        <v>#N/A</v>
      </c>
      <c r="P607" s="28" t="e">
        <f t="shared" si="157"/>
        <v>#N/A</v>
      </c>
      <c r="R607" s="28" t="e">
        <f t="shared" si="158"/>
        <v>#VALUE!</v>
      </c>
      <c r="S607" s="25"/>
      <c r="T607" s="25">
        <f t="shared" si="159"/>
        <v>15</v>
      </c>
      <c r="U607" s="33">
        <f>IF(PaybackCustom&gt;0, IF(PaybackCustom&lt;&gt;"Default", PaybackCustom, IF(PaybackStatus&lt;&gt;"",INDEX('Arbitrage Payback Engine'!$Y$2:$Y$6,MATCH(PaybackStatus,'Arbitrage Payback Engine'!$X$2:$X$6,FALSE)),-1)))</f>
        <v>25</v>
      </c>
      <c r="V607" s="32">
        <f t="shared" si="168"/>
        <v>15</v>
      </c>
      <c r="X607" s="29">
        <f t="shared" si="169"/>
        <v>598</v>
      </c>
      <c r="Z607" s="30">
        <f t="shared" si="160"/>
        <v>16.381317627722229</v>
      </c>
      <c r="AA607" s="28" t="e">
        <f t="shared" si="161"/>
        <v>#N/A</v>
      </c>
      <c r="AB607" s="28" t="e">
        <f t="shared" si="162"/>
        <v>#VALUE!</v>
      </c>
      <c r="AC607" s="29">
        <f t="shared" si="163"/>
        <v>567.36242884250476</v>
      </c>
      <c r="AD607" s="28" t="e">
        <f t="shared" si="164"/>
        <v>#VALUE!</v>
      </c>
      <c r="AE607" s="28" t="e">
        <f t="shared" si="165"/>
        <v>#N/A</v>
      </c>
      <c r="AF607" s="28" t="e">
        <f t="shared" si="166"/>
        <v>#VALUE!</v>
      </c>
      <c r="AH607" s="31" t="e">
        <f t="shared" si="167"/>
        <v>#N/A</v>
      </c>
      <c r="AI607" s="25"/>
      <c r="AJ607" s="31"/>
    </row>
    <row r="608" spans="2:36" x14ac:dyDescent="0.25">
      <c r="B608" s="33">
        <f>'Arbitrage Payback Engine'!E608</f>
        <v>16.408711135460894</v>
      </c>
      <c r="C608" s="33">
        <f t="shared" si="153"/>
        <v>1000</v>
      </c>
      <c r="D608" s="33">
        <f>'Battery Pricing Model'!$C$17</f>
        <v>1000</v>
      </c>
      <c r="E608" s="33">
        <f t="shared" si="154"/>
        <v>999</v>
      </c>
      <c r="F608" s="33" t="str">
        <f>'Peak Models'!$B$4</f>
        <v>Default</v>
      </c>
      <c r="G608" s="33" t="e">
        <f>'Peak Models'!$Q$7</f>
        <v>#VALUE!</v>
      </c>
      <c r="H608" s="33">
        <f>'Peak Models'!$P$16</f>
        <v>1.5</v>
      </c>
      <c r="I608" s="33">
        <v>12</v>
      </c>
      <c r="J608" s="33" t="e">
        <f>'Peak Models'!$P$13</f>
        <v>#N/A</v>
      </c>
      <c r="K608" s="28" t="e">
        <f t="shared" si="155"/>
        <v>#VALUE!</v>
      </c>
      <c r="L608" s="28" t="e">
        <f>INDEX('Peak Models'!$P$34:$P$64, MATCH(TRUNC(B608, 0), 'Peak Models'!$O$34:$O$64, 0))</f>
        <v>#N/A</v>
      </c>
      <c r="M608" s="28">
        <f>'Peak Models'!$P$15*INDEX('Peak Models'!$Q$34:$Q$64, MATCH(TRUNC(B608, 0),'Peak Models'!$O$34:$O$64, 0))/'Profit per cycles Model'!$E$78</f>
        <v>6.9859088031085328</v>
      </c>
      <c r="N608" s="28" t="e">
        <f t="shared" si="156"/>
        <v>#N/A</v>
      </c>
      <c r="O608" s="71" t="e">
        <f>AVERAGE($N$10:N608)</f>
        <v>#N/A</v>
      </c>
      <c r="P608" s="28" t="e">
        <f t="shared" si="157"/>
        <v>#N/A</v>
      </c>
      <c r="R608" s="28" t="e">
        <f t="shared" si="158"/>
        <v>#VALUE!</v>
      </c>
      <c r="S608" s="25"/>
      <c r="T608" s="25">
        <f t="shared" si="159"/>
        <v>15</v>
      </c>
      <c r="U608" s="33">
        <f>IF(PaybackCustom&gt;0, IF(PaybackCustom&lt;&gt;"Default", PaybackCustom, IF(PaybackStatus&lt;&gt;"",INDEX('Arbitrage Payback Engine'!$Y$2:$Y$6,MATCH(PaybackStatus,'Arbitrage Payback Engine'!$X$2:$X$6,FALSE)),-1)))</f>
        <v>25</v>
      </c>
      <c r="V608" s="32">
        <f t="shared" si="168"/>
        <v>15</v>
      </c>
      <c r="X608" s="29">
        <f t="shared" si="169"/>
        <v>599</v>
      </c>
      <c r="Z608" s="30">
        <f t="shared" si="160"/>
        <v>16.408711135460894</v>
      </c>
      <c r="AA608" s="28" t="e">
        <f t="shared" si="161"/>
        <v>#N/A</v>
      </c>
      <c r="AB608" s="28" t="e">
        <f t="shared" si="162"/>
        <v>#VALUE!</v>
      </c>
      <c r="AC608" s="29">
        <f t="shared" si="163"/>
        <v>568.31119544592025</v>
      </c>
      <c r="AD608" s="28" t="e">
        <f t="shared" si="164"/>
        <v>#VALUE!</v>
      </c>
      <c r="AE608" s="28" t="e">
        <f t="shared" si="165"/>
        <v>#N/A</v>
      </c>
      <c r="AF608" s="28" t="e">
        <f t="shared" si="166"/>
        <v>#VALUE!</v>
      </c>
      <c r="AH608" s="31" t="e">
        <f t="shared" si="167"/>
        <v>#N/A</v>
      </c>
      <c r="AI608" s="25"/>
      <c r="AJ608" s="31"/>
    </row>
    <row r="609" spans="2:36" x14ac:dyDescent="0.25">
      <c r="B609" s="33">
        <f>'Arbitrage Payback Engine'!E609</f>
        <v>16.43610464319956</v>
      </c>
      <c r="C609" s="33">
        <f t="shared" si="153"/>
        <v>1000</v>
      </c>
      <c r="D609" s="33">
        <f>'Battery Pricing Model'!$C$17</f>
        <v>1000</v>
      </c>
      <c r="E609" s="33">
        <f t="shared" si="154"/>
        <v>999</v>
      </c>
      <c r="F609" s="33" t="str">
        <f>'Peak Models'!$B$4</f>
        <v>Default</v>
      </c>
      <c r="G609" s="33" t="e">
        <f>'Peak Models'!$Q$7</f>
        <v>#VALUE!</v>
      </c>
      <c r="H609" s="33">
        <f>'Peak Models'!$P$16</f>
        <v>1.5</v>
      </c>
      <c r="I609" s="33">
        <v>12</v>
      </c>
      <c r="J609" s="33" t="e">
        <f>'Peak Models'!$P$13</f>
        <v>#N/A</v>
      </c>
      <c r="K609" s="28" t="e">
        <f t="shared" si="155"/>
        <v>#VALUE!</v>
      </c>
      <c r="L609" s="28" t="e">
        <f>INDEX('Peak Models'!$P$34:$P$64, MATCH(TRUNC(B609, 0), 'Peak Models'!$O$34:$O$64, 0))</f>
        <v>#N/A</v>
      </c>
      <c r="M609" s="28">
        <f>'Peak Models'!$P$15*INDEX('Peak Models'!$Q$34:$Q$64, MATCH(TRUNC(B609, 0),'Peak Models'!$O$34:$O$64, 0))/'Profit per cycles Model'!$E$78</f>
        <v>6.9859088031085328</v>
      </c>
      <c r="N609" s="28" t="e">
        <f t="shared" si="156"/>
        <v>#N/A</v>
      </c>
      <c r="O609" s="71" t="e">
        <f>AVERAGE($N$10:N609)</f>
        <v>#N/A</v>
      </c>
      <c r="P609" s="28" t="e">
        <f t="shared" si="157"/>
        <v>#N/A</v>
      </c>
      <c r="R609" s="28" t="e">
        <f t="shared" si="158"/>
        <v>#VALUE!</v>
      </c>
      <c r="S609" s="25"/>
      <c r="T609" s="25">
        <f t="shared" si="159"/>
        <v>15</v>
      </c>
      <c r="U609" s="33">
        <f>IF(PaybackCustom&gt;0, IF(PaybackCustom&lt;&gt;"Default", PaybackCustom, IF(PaybackStatus&lt;&gt;"",INDEX('Arbitrage Payback Engine'!$Y$2:$Y$6,MATCH(PaybackStatus,'Arbitrage Payback Engine'!$X$2:$X$6,FALSE)),-1)))</f>
        <v>25</v>
      </c>
      <c r="V609" s="32">
        <f t="shared" si="168"/>
        <v>15</v>
      </c>
      <c r="X609" s="29">
        <f t="shared" si="169"/>
        <v>600</v>
      </c>
      <c r="Z609" s="30">
        <f t="shared" si="160"/>
        <v>16.43610464319956</v>
      </c>
      <c r="AA609" s="28" t="e">
        <f t="shared" si="161"/>
        <v>#N/A</v>
      </c>
      <c r="AB609" s="28" t="e">
        <f t="shared" si="162"/>
        <v>#VALUE!</v>
      </c>
      <c r="AC609" s="29">
        <f t="shared" si="163"/>
        <v>569.25996204933585</v>
      </c>
      <c r="AD609" s="28" t="e">
        <f t="shared" si="164"/>
        <v>#VALUE!</v>
      </c>
      <c r="AE609" s="28" t="e">
        <f t="shared" si="165"/>
        <v>#N/A</v>
      </c>
      <c r="AF609" s="28" t="e">
        <f t="shared" si="166"/>
        <v>#VALUE!</v>
      </c>
      <c r="AH609" s="31" t="e">
        <f t="shared" si="167"/>
        <v>#N/A</v>
      </c>
      <c r="AI609" s="25"/>
      <c r="AJ609" s="31"/>
    </row>
    <row r="610" spans="2:36" x14ac:dyDescent="0.25">
      <c r="B610" s="33">
        <f>'Arbitrage Payback Engine'!E610</f>
        <v>16.463498150938229</v>
      </c>
      <c r="C610" s="33">
        <f t="shared" si="153"/>
        <v>1000</v>
      </c>
      <c r="D610" s="33">
        <f>'Battery Pricing Model'!$C$17</f>
        <v>1000</v>
      </c>
      <c r="E610" s="33">
        <f t="shared" si="154"/>
        <v>999</v>
      </c>
      <c r="F610" s="33" t="str">
        <f>'Peak Models'!$B$4</f>
        <v>Default</v>
      </c>
      <c r="G610" s="33" t="e">
        <f>'Peak Models'!$Q$7</f>
        <v>#VALUE!</v>
      </c>
      <c r="H610" s="33">
        <f>'Peak Models'!$P$16</f>
        <v>1.5</v>
      </c>
      <c r="I610" s="33">
        <v>12</v>
      </c>
      <c r="J610" s="33" t="e">
        <f>'Peak Models'!$P$13</f>
        <v>#N/A</v>
      </c>
      <c r="K610" s="28" t="e">
        <f t="shared" si="155"/>
        <v>#VALUE!</v>
      </c>
      <c r="L610" s="28" t="e">
        <f>INDEX('Peak Models'!$P$34:$P$64, MATCH(TRUNC(B610, 0), 'Peak Models'!$O$34:$O$64, 0))</f>
        <v>#N/A</v>
      </c>
      <c r="M610" s="28">
        <f>'Peak Models'!$P$15*INDEX('Peak Models'!$Q$34:$Q$64, MATCH(TRUNC(B610, 0),'Peak Models'!$O$34:$O$64, 0))/'Profit per cycles Model'!$E$78</f>
        <v>6.9859088031085328</v>
      </c>
      <c r="N610" s="28" t="e">
        <f t="shared" si="156"/>
        <v>#N/A</v>
      </c>
      <c r="O610" s="71" t="e">
        <f>AVERAGE($N$10:N610)</f>
        <v>#N/A</v>
      </c>
      <c r="P610" s="28" t="e">
        <f t="shared" si="157"/>
        <v>#N/A</v>
      </c>
      <c r="R610" s="28" t="e">
        <f t="shared" si="158"/>
        <v>#VALUE!</v>
      </c>
      <c r="S610" s="25"/>
      <c r="T610" s="25">
        <f t="shared" si="159"/>
        <v>15</v>
      </c>
      <c r="U610" s="33">
        <f>IF(PaybackCustom&gt;0, IF(PaybackCustom&lt;&gt;"Default", PaybackCustom, IF(PaybackStatus&lt;&gt;"",INDEX('Arbitrage Payback Engine'!$Y$2:$Y$6,MATCH(PaybackStatus,'Arbitrage Payback Engine'!$X$2:$X$6,FALSE)),-1)))</f>
        <v>25</v>
      </c>
      <c r="V610" s="32">
        <f t="shared" si="168"/>
        <v>15</v>
      </c>
      <c r="X610" s="29">
        <f t="shared" si="169"/>
        <v>601</v>
      </c>
      <c r="Z610" s="30">
        <f t="shared" si="160"/>
        <v>16.463498150938229</v>
      </c>
      <c r="AA610" s="28" t="e">
        <f t="shared" si="161"/>
        <v>#N/A</v>
      </c>
      <c r="AB610" s="28" t="e">
        <f t="shared" si="162"/>
        <v>#VALUE!</v>
      </c>
      <c r="AC610" s="29">
        <f t="shared" si="163"/>
        <v>570.20872865275146</v>
      </c>
      <c r="AD610" s="28" t="e">
        <f t="shared" si="164"/>
        <v>#VALUE!</v>
      </c>
      <c r="AE610" s="28" t="e">
        <f t="shared" si="165"/>
        <v>#N/A</v>
      </c>
      <c r="AF610" s="28" t="e">
        <f t="shared" si="166"/>
        <v>#VALUE!</v>
      </c>
      <c r="AH610" s="31" t="e">
        <f t="shared" si="167"/>
        <v>#N/A</v>
      </c>
      <c r="AI610" s="25"/>
      <c r="AJ610" s="31"/>
    </row>
    <row r="611" spans="2:36" x14ac:dyDescent="0.25">
      <c r="B611" s="33">
        <f>'Arbitrage Payback Engine'!E611</f>
        <v>16.490891658676894</v>
      </c>
      <c r="C611" s="33">
        <f t="shared" si="153"/>
        <v>1000</v>
      </c>
      <c r="D611" s="33">
        <f>'Battery Pricing Model'!$C$17</f>
        <v>1000</v>
      </c>
      <c r="E611" s="33">
        <f t="shared" si="154"/>
        <v>999</v>
      </c>
      <c r="F611" s="33" t="str">
        <f>'Peak Models'!$B$4</f>
        <v>Default</v>
      </c>
      <c r="G611" s="33" t="e">
        <f>'Peak Models'!$Q$7</f>
        <v>#VALUE!</v>
      </c>
      <c r="H611" s="33">
        <f>'Peak Models'!$P$16</f>
        <v>1.5</v>
      </c>
      <c r="I611" s="33">
        <v>12</v>
      </c>
      <c r="J611" s="33" t="e">
        <f>'Peak Models'!$P$13</f>
        <v>#N/A</v>
      </c>
      <c r="K611" s="28" t="e">
        <f t="shared" si="155"/>
        <v>#VALUE!</v>
      </c>
      <c r="L611" s="28" t="e">
        <f>INDEX('Peak Models'!$P$34:$P$64, MATCH(TRUNC(B611, 0), 'Peak Models'!$O$34:$O$64, 0))</f>
        <v>#N/A</v>
      </c>
      <c r="M611" s="28">
        <f>'Peak Models'!$P$15*INDEX('Peak Models'!$Q$34:$Q$64, MATCH(TRUNC(B611, 0),'Peak Models'!$O$34:$O$64, 0))/'Profit per cycles Model'!$E$78</f>
        <v>6.9859088031085328</v>
      </c>
      <c r="N611" s="28" t="e">
        <f t="shared" si="156"/>
        <v>#N/A</v>
      </c>
      <c r="O611" s="71" t="e">
        <f>AVERAGE($N$10:N611)</f>
        <v>#N/A</v>
      </c>
      <c r="P611" s="28" t="e">
        <f t="shared" si="157"/>
        <v>#N/A</v>
      </c>
      <c r="R611" s="28" t="e">
        <f t="shared" si="158"/>
        <v>#VALUE!</v>
      </c>
      <c r="S611" s="25"/>
      <c r="T611" s="25">
        <f t="shared" si="159"/>
        <v>15</v>
      </c>
      <c r="U611" s="33">
        <f>IF(PaybackCustom&gt;0, IF(PaybackCustom&lt;&gt;"Default", PaybackCustom, IF(PaybackStatus&lt;&gt;"",INDEX('Arbitrage Payback Engine'!$Y$2:$Y$6,MATCH(PaybackStatus,'Arbitrage Payback Engine'!$X$2:$X$6,FALSE)),-1)))</f>
        <v>25</v>
      </c>
      <c r="V611" s="32">
        <f t="shared" si="168"/>
        <v>15</v>
      </c>
      <c r="X611" s="29">
        <f t="shared" si="169"/>
        <v>602</v>
      </c>
      <c r="Z611" s="30">
        <f t="shared" si="160"/>
        <v>16.490891658676894</v>
      </c>
      <c r="AA611" s="28" t="e">
        <f t="shared" si="161"/>
        <v>#N/A</v>
      </c>
      <c r="AB611" s="28" t="e">
        <f t="shared" si="162"/>
        <v>#VALUE!</v>
      </c>
      <c r="AC611" s="29">
        <f t="shared" si="163"/>
        <v>571.15749525616707</v>
      </c>
      <c r="AD611" s="28" t="e">
        <f t="shared" si="164"/>
        <v>#VALUE!</v>
      </c>
      <c r="AE611" s="28" t="e">
        <f t="shared" si="165"/>
        <v>#N/A</v>
      </c>
      <c r="AF611" s="28" t="e">
        <f t="shared" si="166"/>
        <v>#VALUE!</v>
      </c>
      <c r="AH611" s="31" t="e">
        <f t="shared" si="167"/>
        <v>#N/A</v>
      </c>
      <c r="AI611" s="25"/>
      <c r="AJ611" s="31"/>
    </row>
    <row r="612" spans="2:36" x14ac:dyDescent="0.25">
      <c r="B612" s="33">
        <f>'Arbitrage Payback Engine'!E612</f>
        <v>16.518285166415559</v>
      </c>
      <c r="C612" s="33">
        <f t="shared" si="153"/>
        <v>1000</v>
      </c>
      <c r="D612" s="33">
        <f>'Battery Pricing Model'!$C$17</f>
        <v>1000</v>
      </c>
      <c r="E612" s="33">
        <f t="shared" si="154"/>
        <v>999</v>
      </c>
      <c r="F612" s="33" t="str">
        <f>'Peak Models'!$B$4</f>
        <v>Default</v>
      </c>
      <c r="G612" s="33" t="e">
        <f>'Peak Models'!$Q$7</f>
        <v>#VALUE!</v>
      </c>
      <c r="H612" s="33">
        <f>'Peak Models'!$P$16</f>
        <v>1.5</v>
      </c>
      <c r="I612" s="33">
        <v>12</v>
      </c>
      <c r="J612" s="33" t="e">
        <f>'Peak Models'!$P$13</f>
        <v>#N/A</v>
      </c>
      <c r="K612" s="28" t="e">
        <f t="shared" si="155"/>
        <v>#VALUE!</v>
      </c>
      <c r="L612" s="28" t="e">
        <f>INDEX('Peak Models'!$P$34:$P$64, MATCH(TRUNC(B612, 0), 'Peak Models'!$O$34:$O$64, 0))</f>
        <v>#N/A</v>
      </c>
      <c r="M612" s="28">
        <f>'Peak Models'!$P$15*INDEX('Peak Models'!$Q$34:$Q$64, MATCH(TRUNC(B612, 0),'Peak Models'!$O$34:$O$64, 0))/'Profit per cycles Model'!$E$78</f>
        <v>6.9859088031085328</v>
      </c>
      <c r="N612" s="28" t="e">
        <f t="shared" si="156"/>
        <v>#N/A</v>
      </c>
      <c r="O612" s="71" t="e">
        <f>AVERAGE($N$10:N612)</f>
        <v>#N/A</v>
      </c>
      <c r="P612" s="28" t="e">
        <f t="shared" si="157"/>
        <v>#N/A</v>
      </c>
      <c r="R612" s="28" t="e">
        <f t="shared" si="158"/>
        <v>#VALUE!</v>
      </c>
      <c r="S612" s="25"/>
      <c r="T612" s="25">
        <f t="shared" si="159"/>
        <v>15</v>
      </c>
      <c r="U612" s="33">
        <f>IF(PaybackCustom&gt;0, IF(PaybackCustom&lt;&gt;"Default", PaybackCustom, IF(PaybackStatus&lt;&gt;"",INDEX('Arbitrage Payback Engine'!$Y$2:$Y$6,MATCH(PaybackStatus,'Arbitrage Payback Engine'!$X$2:$X$6,FALSE)),-1)))</f>
        <v>25</v>
      </c>
      <c r="V612" s="32">
        <f t="shared" si="168"/>
        <v>15</v>
      </c>
      <c r="X612" s="29">
        <f t="shared" si="169"/>
        <v>603</v>
      </c>
      <c r="Z612" s="30">
        <f t="shared" si="160"/>
        <v>16.518285166415559</v>
      </c>
      <c r="AA612" s="28" t="e">
        <f t="shared" si="161"/>
        <v>#N/A</v>
      </c>
      <c r="AB612" s="28" t="e">
        <f t="shared" si="162"/>
        <v>#VALUE!</v>
      </c>
      <c r="AC612" s="29">
        <f t="shared" si="163"/>
        <v>572.10626185958256</v>
      </c>
      <c r="AD612" s="28" t="e">
        <f t="shared" si="164"/>
        <v>#VALUE!</v>
      </c>
      <c r="AE612" s="28" t="e">
        <f t="shared" si="165"/>
        <v>#N/A</v>
      </c>
      <c r="AF612" s="28" t="e">
        <f t="shared" si="166"/>
        <v>#VALUE!</v>
      </c>
      <c r="AH612" s="31" t="e">
        <f t="shared" si="167"/>
        <v>#N/A</v>
      </c>
      <c r="AI612" s="25"/>
      <c r="AJ612" s="31"/>
    </row>
    <row r="613" spans="2:36" x14ac:dyDescent="0.25">
      <c r="B613" s="33">
        <f>'Arbitrage Payback Engine'!E613</f>
        <v>16.545678674154225</v>
      </c>
      <c r="C613" s="33">
        <f t="shared" si="153"/>
        <v>1000</v>
      </c>
      <c r="D613" s="33">
        <f>'Battery Pricing Model'!$C$17</f>
        <v>1000</v>
      </c>
      <c r="E613" s="33">
        <f t="shared" si="154"/>
        <v>999</v>
      </c>
      <c r="F613" s="33" t="str">
        <f>'Peak Models'!$B$4</f>
        <v>Default</v>
      </c>
      <c r="G613" s="33" t="e">
        <f>'Peak Models'!$Q$7</f>
        <v>#VALUE!</v>
      </c>
      <c r="H613" s="33">
        <f>'Peak Models'!$P$16</f>
        <v>1.5</v>
      </c>
      <c r="I613" s="33">
        <v>12</v>
      </c>
      <c r="J613" s="33" t="e">
        <f>'Peak Models'!$P$13</f>
        <v>#N/A</v>
      </c>
      <c r="K613" s="28" t="e">
        <f t="shared" si="155"/>
        <v>#VALUE!</v>
      </c>
      <c r="L613" s="28" t="e">
        <f>INDEX('Peak Models'!$P$34:$P$64, MATCH(TRUNC(B613, 0), 'Peak Models'!$O$34:$O$64, 0))</f>
        <v>#N/A</v>
      </c>
      <c r="M613" s="28">
        <f>'Peak Models'!$P$15*INDEX('Peak Models'!$Q$34:$Q$64, MATCH(TRUNC(B613, 0),'Peak Models'!$O$34:$O$64, 0))/'Profit per cycles Model'!$E$78</f>
        <v>6.9859088031085328</v>
      </c>
      <c r="N613" s="28" t="e">
        <f t="shared" si="156"/>
        <v>#N/A</v>
      </c>
      <c r="O613" s="71" t="e">
        <f>AVERAGE($N$10:N613)</f>
        <v>#N/A</v>
      </c>
      <c r="P613" s="28" t="e">
        <f t="shared" si="157"/>
        <v>#N/A</v>
      </c>
      <c r="R613" s="28" t="e">
        <f t="shared" si="158"/>
        <v>#VALUE!</v>
      </c>
      <c r="S613" s="25"/>
      <c r="T613" s="25">
        <f t="shared" si="159"/>
        <v>15</v>
      </c>
      <c r="U613" s="33">
        <f>IF(PaybackCustom&gt;0, IF(PaybackCustom&lt;&gt;"Default", PaybackCustom, IF(PaybackStatus&lt;&gt;"",INDEX('Arbitrage Payback Engine'!$Y$2:$Y$6,MATCH(PaybackStatus,'Arbitrage Payback Engine'!$X$2:$X$6,FALSE)),-1)))</f>
        <v>25</v>
      </c>
      <c r="V613" s="32">
        <f t="shared" si="168"/>
        <v>15</v>
      </c>
      <c r="X613" s="29">
        <f t="shared" si="169"/>
        <v>604</v>
      </c>
      <c r="Z613" s="30">
        <f t="shared" si="160"/>
        <v>16.545678674154225</v>
      </c>
      <c r="AA613" s="28" t="e">
        <f t="shared" si="161"/>
        <v>#N/A</v>
      </c>
      <c r="AB613" s="28" t="e">
        <f t="shared" si="162"/>
        <v>#VALUE!</v>
      </c>
      <c r="AC613" s="29">
        <f t="shared" si="163"/>
        <v>573.05502846299805</v>
      </c>
      <c r="AD613" s="28" t="e">
        <f t="shared" si="164"/>
        <v>#VALUE!</v>
      </c>
      <c r="AE613" s="28" t="e">
        <f t="shared" si="165"/>
        <v>#N/A</v>
      </c>
      <c r="AF613" s="28" t="e">
        <f t="shared" si="166"/>
        <v>#VALUE!</v>
      </c>
      <c r="AH613" s="31" t="e">
        <f t="shared" si="167"/>
        <v>#N/A</v>
      </c>
      <c r="AI613" s="25"/>
      <c r="AJ613" s="31"/>
    </row>
    <row r="614" spans="2:36" x14ac:dyDescent="0.25">
      <c r="B614" s="33">
        <f>'Arbitrage Payback Engine'!E614</f>
        <v>16.57307218189289</v>
      </c>
      <c r="C614" s="33">
        <f t="shared" si="153"/>
        <v>1000</v>
      </c>
      <c r="D614" s="33">
        <f>'Battery Pricing Model'!$C$17</f>
        <v>1000</v>
      </c>
      <c r="E614" s="33">
        <f t="shared" si="154"/>
        <v>999</v>
      </c>
      <c r="F614" s="33" t="str">
        <f>'Peak Models'!$B$4</f>
        <v>Default</v>
      </c>
      <c r="G614" s="33" t="e">
        <f>'Peak Models'!$Q$7</f>
        <v>#VALUE!</v>
      </c>
      <c r="H614" s="33">
        <f>'Peak Models'!$P$16</f>
        <v>1.5</v>
      </c>
      <c r="I614" s="33">
        <v>12</v>
      </c>
      <c r="J614" s="33" t="e">
        <f>'Peak Models'!$P$13</f>
        <v>#N/A</v>
      </c>
      <c r="K614" s="28" t="e">
        <f t="shared" si="155"/>
        <v>#VALUE!</v>
      </c>
      <c r="L614" s="28" t="e">
        <f>INDEX('Peak Models'!$P$34:$P$64, MATCH(TRUNC(B614, 0), 'Peak Models'!$O$34:$O$64, 0))</f>
        <v>#N/A</v>
      </c>
      <c r="M614" s="28">
        <f>'Peak Models'!$P$15*INDEX('Peak Models'!$Q$34:$Q$64, MATCH(TRUNC(B614, 0),'Peak Models'!$O$34:$O$64, 0))/'Profit per cycles Model'!$E$78</f>
        <v>6.9859088031085328</v>
      </c>
      <c r="N614" s="28" t="e">
        <f t="shared" si="156"/>
        <v>#N/A</v>
      </c>
      <c r="O614" s="71" t="e">
        <f>AVERAGE($N$10:N614)</f>
        <v>#N/A</v>
      </c>
      <c r="P614" s="28" t="e">
        <f t="shared" si="157"/>
        <v>#N/A</v>
      </c>
      <c r="R614" s="28" t="e">
        <f t="shared" si="158"/>
        <v>#VALUE!</v>
      </c>
      <c r="S614" s="25"/>
      <c r="T614" s="25">
        <f t="shared" si="159"/>
        <v>15</v>
      </c>
      <c r="U614" s="33">
        <f>IF(PaybackCustom&gt;0, IF(PaybackCustom&lt;&gt;"Default", PaybackCustom, IF(PaybackStatus&lt;&gt;"",INDEX('Arbitrage Payback Engine'!$Y$2:$Y$6,MATCH(PaybackStatus,'Arbitrage Payback Engine'!$X$2:$X$6,FALSE)),-1)))</f>
        <v>25</v>
      </c>
      <c r="V614" s="32">
        <f t="shared" si="168"/>
        <v>15</v>
      </c>
      <c r="X614" s="29">
        <f t="shared" si="169"/>
        <v>605</v>
      </c>
      <c r="Z614" s="30">
        <f t="shared" si="160"/>
        <v>16.57307218189289</v>
      </c>
      <c r="AA614" s="28" t="e">
        <f t="shared" si="161"/>
        <v>#N/A</v>
      </c>
      <c r="AB614" s="28" t="e">
        <f t="shared" si="162"/>
        <v>#VALUE!</v>
      </c>
      <c r="AC614" s="29">
        <f t="shared" si="163"/>
        <v>574.00379506641366</v>
      </c>
      <c r="AD614" s="28" t="e">
        <f t="shared" si="164"/>
        <v>#VALUE!</v>
      </c>
      <c r="AE614" s="28" t="e">
        <f t="shared" si="165"/>
        <v>#N/A</v>
      </c>
      <c r="AF614" s="28" t="e">
        <f t="shared" si="166"/>
        <v>#VALUE!</v>
      </c>
      <c r="AH614" s="31" t="e">
        <f t="shared" si="167"/>
        <v>#N/A</v>
      </c>
      <c r="AI614" s="25"/>
      <c r="AJ614" s="31"/>
    </row>
    <row r="615" spans="2:36" x14ac:dyDescent="0.25">
      <c r="B615" s="33">
        <f>'Arbitrage Payback Engine'!E615</f>
        <v>16.600465689631555</v>
      </c>
      <c r="C615" s="33">
        <f t="shared" si="153"/>
        <v>1000</v>
      </c>
      <c r="D615" s="33">
        <f>'Battery Pricing Model'!$C$17</f>
        <v>1000</v>
      </c>
      <c r="E615" s="33">
        <f t="shared" si="154"/>
        <v>999</v>
      </c>
      <c r="F615" s="33" t="str">
        <f>'Peak Models'!$B$4</f>
        <v>Default</v>
      </c>
      <c r="G615" s="33" t="e">
        <f>'Peak Models'!$Q$7</f>
        <v>#VALUE!</v>
      </c>
      <c r="H615" s="33">
        <f>'Peak Models'!$P$16</f>
        <v>1.5</v>
      </c>
      <c r="I615" s="33">
        <v>12</v>
      </c>
      <c r="J615" s="33" t="e">
        <f>'Peak Models'!$P$13</f>
        <v>#N/A</v>
      </c>
      <c r="K615" s="28" t="e">
        <f t="shared" si="155"/>
        <v>#VALUE!</v>
      </c>
      <c r="L615" s="28" t="e">
        <f>INDEX('Peak Models'!$P$34:$P$64, MATCH(TRUNC(B615, 0), 'Peak Models'!$O$34:$O$64, 0))</f>
        <v>#N/A</v>
      </c>
      <c r="M615" s="28">
        <f>'Peak Models'!$P$15*INDEX('Peak Models'!$Q$34:$Q$64, MATCH(TRUNC(B615, 0),'Peak Models'!$O$34:$O$64, 0))/'Profit per cycles Model'!$E$78</f>
        <v>6.9859088031085328</v>
      </c>
      <c r="N615" s="28" t="e">
        <f t="shared" si="156"/>
        <v>#N/A</v>
      </c>
      <c r="O615" s="71" t="e">
        <f>AVERAGE($N$10:N615)</f>
        <v>#N/A</v>
      </c>
      <c r="P615" s="28" t="e">
        <f t="shared" si="157"/>
        <v>#N/A</v>
      </c>
      <c r="R615" s="28" t="e">
        <f t="shared" si="158"/>
        <v>#VALUE!</v>
      </c>
      <c r="S615" s="25"/>
      <c r="T615" s="25">
        <f t="shared" si="159"/>
        <v>15</v>
      </c>
      <c r="U615" s="33">
        <f>IF(PaybackCustom&gt;0, IF(PaybackCustom&lt;&gt;"Default", PaybackCustom, IF(PaybackStatus&lt;&gt;"",INDEX('Arbitrage Payback Engine'!$Y$2:$Y$6,MATCH(PaybackStatus,'Arbitrage Payback Engine'!$X$2:$X$6,FALSE)),-1)))</f>
        <v>25</v>
      </c>
      <c r="V615" s="32">
        <f t="shared" si="168"/>
        <v>15</v>
      </c>
      <c r="X615" s="29">
        <f t="shared" si="169"/>
        <v>606</v>
      </c>
      <c r="Z615" s="30">
        <f t="shared" si="160"/>
        <v>16.600465689631555</v>
      </c>
      <c r="AA615" s="28" t="e">
        <f t="shared" si="161"/>
        <v>#N/A</v>
      </c>
      <c r="AB615" s="28" t="e">
        <f t="shared" si="162"/>
        <v>#VALUE!</v>
      </c>
      <c r="AC615" s="29">
        <f t="shared" si="163"/>
        <v>574.95256166982915</v>
      </c>
      <c r="AD615" s="28" t="e">
        <f t="shared" si="164"/>
        <v>#VALUE!</v>
      </c>
      <c r="AE615" s="28" t="e">
        <f t="shared" si="165"/>
        <v>#N/A</v>
      </c>
      <c r="AF615" s="28" t="e">
        <f t="shared" si="166"/>
        <v>#VALUE!</v>
      </c>
      <c r="AH615" s="31" t="e">
        <f t="shared" si="167"/>
        <v>#N/A</v>
      </c>
      <c r="AI615" s="25"/>
      <c r="AJ615" s="31"/>
    </row>
    <row r="616" spans="2:36" x14ac:dyDescent="0.25">
      <c r="B616" s="33">
        <f>'Arbitrage Payback Engine'!E616</f>
        <v>16.627859197370224</v>
      </c>
      <c r="C616" s="33">
        <f t="shared" si="153"/>
        <v>1000</v>
      </c>
      <c r="D616" s="33">
        <f>'Battery Pricing Model'!$C$17</f>
        <v>1000</v>
      </c>
      <c r="E616" s="33">
        <f t="shared" si="154"/>
        <v>999</v>
      </c>
      <c r="F616" s="33" t="str">
        <f>'Peak Models'!$B$4</f>
        <v>Default</v>
      </c>
      <c r="G616" s="33" t="e">
        <f>'Peak Models'!$Q$7</f>
        <v>#VALUE!</v>
      </c>
      <c r="H616" s="33">
        <f>'Peak Models'!$P$16</f>
        <v>1.5</v>
      </c>
      <c r="I616" s="33">
        <v>12</v>
      </c>
      <c r="J616" s="33" t="e">
        <f>'Peak Models'!$P$13</f>
        <v>#N/A</v>
      </c>
      <c r="K616" s="28" t="e">
        <f t="shared" si="155"/>
        <v>#VALUE!</v>
      </c>
      <c r="L616" s="28" t="e">
        <f>INDEX('Peak Models'!$P$34:$P$64, MATCH(TRUNC(B616, 0), 'Peak Models'!$O$34:$O$64, 0))</f>
        <v>#N/A</v>
      </c>
      <c r="M616" s="28">
        <f>'Peak Models'!$P$15*INDEX('Peak Models'!$Q$34:$Q$64, MATCH(TRUNC(B616, 0),'Peak Models'!$O$34:$O$64, 0))/'Profit per cycles Model'!$E$78</f>
        <v>6.9859088031085328</v>
      </c>
      <c r="N616" s="28" t="e">
        <f t="shared" si="156"/>
        <v>#N/A</v>
      </c>
      <c r="O616" s="71" t="e">
        <f>AVERAGE($N$10:N616)</f>
        <v>#N/A</v>
      </c>
      <c r="P616" s="28" t="e">
        <f t="shared" si="157"/>
        <v>#N/A</v>
      </c>
      <c r="R616" s="28" t="e">
        <f t="shared" si="158"/>
        <v>#VALUE!</v>
      </c>
      <c r="S616" s="25"/>
      <c r="T616" s="25">
        <f t="shared" si="159"/>
        <v>15</v>
      </c>
      <c r="U616" s="33">
        <f>IF(PaybackCustom&gt;0, IF(PaybackCustom&lt;&gt;"Default", PaybackCustom, IF(PaybackStatus&lt;&gt;"",INDEX('Arbitrage Payback Engine'!$Y$2:$Y$6,MATCH(PaybackStatus,'Arbitrage Payback Engine'!$X$2:$X$6,FALSE)),-1)))</f>
        <v>25</v>
      </c>
      <c r="V616" s="32">
        <f t="shared" si="168"/>
        <v>15</v>
      </c>
      <c r="X616" s="29">
        <f t="shared" si="169"/>
        <v>607</v>
      </c>
      <c r="Z616" s="30">
        <f t="shared" si="160"/>
        <v>16.627859197370224</v>
      </c>
      <c r="AA616" s="28" t="e">
        <f t="shared" si="161"/>
        <v>#N/A</v>
      </c>
      <c r="AB616" s="28" t="e">
        <f t="shared" si="162"/>
        <v>#VALUE!</v>
      </c>
      <c r="AC616" s="29">
        <f t="shared" si="163"/>
        <v>575.90132827324487</v>
      </c>
      <c r="AD616" s="28" t="e">
        <f t="shared" si="164"/>
        <v>#VALUE!</v>
      </c>
      <c r="AE616" s="28" t="e">
        <f t="shared" si="165"/>
        <v>#N/A</v>
      </c>
      <c r="AF616" s="28" t="e">
        <f t="shared" si="166"/>
        <v>#VALUE!</v>
      </c>
      <c r="AH616" s="31" t="e">
        <f t="shared" si="167"/>
        <v>#N/A</v>
      </c>
      <c r="AI616" s="25"/>
      <c r="AJ616" s="31"/>
    </row>
    <row r="617" spans="2:36" x14ac:dyDescent="0.25">
      <c r="B617" s="33">
        <f>'Arbitrage Payback Engine'!E617</f>
        <v>16.655252705108889</v>
      </c>
      <c r="C617" s="33">
        <f t="shared" si="153"/>
        <v>1000</v>
      </c>
      <c r="D617" s="33">
        <f>'Battery Pricing Model'!$C$17</f>
        <v>1000</v>
      </c>
      <c r="E617" s="33">
        <f t="shared" si="154"/>
        <v>999</v>
      </c>
      <c r="F617" s="33" t="str">
        <f>'Peak Models'!$B$4</f>
        <v>Default</v>
      </c>
      <c r="G617" s="33" t="e">
        <f>'Peak Models'!$Q$7</f>
        <v>#VALUE!</v>
      </c>
      <c r="H617" s="33">
        <f>'Peak Models'!$P$16</f>
        <v>1.5</v>
      </c>
      <c r="I617" s="33">
        <v>12</v>
      </c>
      <c r="J617" s="33" t="e">
        <f>'Peak Models'!$P$13</f>
        <v>#N/A</v>
      </c>
      <c r="K617" s="28" t="e">
        <f t="shared" si="155"/>
        <v>#VALUE!</v>
      </c>
      <c r="L617" s="28" t="e">
        <f>INDEX('Peak Models'!$P$34:$P$64, MATCH(TRUNC(B617, 0), 'Peak Models'!$O$34:$O$64, 0))</f>
        <v>#N/A</v>
      </c>
      <c r="M617" s="28">
        <f>'Peak Models'!$P$15*INDEX('Peak Models'!$Q$34:$Q$64, MATCH(TRUNC(B617, 0),'Peak Models'!$O$34:$O$64, 0))/'Profit per cycles Model'!$E$78</f>
        <v>6.9859088031085328</v>
      </c>
      <c r="N617" s="28" t="e">
        <f t="shared" si="156"/>
        <v>#N/A</v>
      </c>
      <c r="O617" s="71" t="e">
        <f>AVERAGE($N$10:N617)</f>
        <v>#N/A</v>
      </c>
      <c r="P617" s="28" t="e">
        <f t="shared" si="157"/>
        <v>#N/A</v>
      </c>
      <c r="R617" s="28" t="e">
        <f t="shared" si="158"/>
        <v>#VALUE!</v>
      </c>
      <c r="S617" s="25"/>
      <c r="T617" s="25">
        <f t="shared" si="159"/>
        <v>15</v>
      </c>
      <c r="U617" s="33">
        <f>IF(PaybackCustom&gt;0, IF(PaybackCustom&lt;&gt;"Default", PaybackCustom, IF(PaybackStatus&lt;&gt;"",INDEX('Arbitrage Payback Engine'!$Y$2:$Y$6,MATCH(PaybackStatus,'Arbitrage Payback Engine'!$X$2:$X$6,FALSE)),-1)))</f>
        <v>25</v>
      </c>
      <c r="V617" s="32">
        <f t="shared" si="168"/>
        <v>15</v>
      </c>
      <c r="X617" s="29">
        <f t="shared" si="169"/>
        <v>608</v>
      </c>
      <c r="Z617" s="30">
        <f t="shared" si="160"/>
        <v>16.655252705108889</v>
      </c>
      <c r="AA617" s="28" t="e">
        <f t="shared" si="161"/>
        <v>#N/A</v>
      </c>
      <c r="AB617" s="28" t="e">
        <f t="shared" si="162"/>
        <v>#VALUE!</v>
      </c>
      <c r="AC617" s="29">
        <f t="shared" si="163"/>
        <v>576.85009487666048</v>
      </c>
      <c r="AD617" s="28" t="e">
        <f t="shared" si="164"/>
        <v>#VALUE!</v>
      </c>
      <c r="AE617" s="28" t="e">
        <f t="shared" si="165"/>
        <v>#N/A</v>
      </c>
      <c r="AF617" s="28" t="e">
        <f t="shared" si="166"/>
        <v>#VALUE!</v>
      </c>
      <c r="AH617" s="31" t="e">
        <f t="shared" si="167"/>
        <v>#N/A</v>
      </c>
      <c r="AI617" s="25"/>
      <c r="AJ617" s="31"/>
    </row>
    <row r="618" spans="2:36" x14ac:dyDescent="0.25">
      <c r="B618" s="33">
        <f>'Arbitrage Payback Engine'!E618</f>
        <v>16.682646212847555</v>
      </c>
      <c r="C618" s="33">
        <f t="shared" si="153"/>
        <v>1000</v>
      </c>
      <c r="D618" s="33">
        <f>'Battery Pricing Model'!$C$17</f>
        <v>1000</v>
      </c>
      <c r="E618" s="33">
        <f t="shared" si="154"/>
        <v>999</v>
      </c>
      <c r="F618" s="33" t="str">
        <f>'Peak Models'!$B$4</f>
        <v>Default</v>
      </c>
      <c r="G618" s="33" t="e">
        <f>'Peak Models'!$Q$7</f>
        <v>#VALUE!</v>
      </c>
      <c r="H618" s="33">
        <f>'Peak Models'!$P$16</f>
        <v>1.5</v>
      </c>
      <c r="I618" s="33">
        <v>12</v>
      </c>
      <c r="J618" s="33" t="e">
        <f>'Peak Models'!$P$13</f>
        <v>#N/A</v>
      </c>
      <c r="K618" s="28" t="e">
        <f t="shared" si="155"/>
        <v>#VALUE!</v>
      </c>
      <c r="L618" s="28" t="e">
        <f>INDEX('Peak Models'!$P$34:$P$64, MATCH(TRUNC(B618, 0), 'Peak Models'!$O$34:$O$64, 0))</f>
        <v>#N/A</v>
      </c>
      <c r="M618" s="28">
        <f>'Peak Models'!$P$15*INDEX('Peak Models'!$Q$34:$Q$64, MATCH(TRUNC(B618, 0),'Peak Models'!$O$34:$O$64, 0))/'Profit per cycles Model'!$E$78</f>
        <v>6.9859088031085328</v>
      </c>
      <c r="N618" s="28" t="e">
        <f t="shared" si="156"/>
        <v>#N/A</v>
      </c>
      <c r="O618" s="71" t="e">
        <f>AVERAGE($N$10:N618)</f>
        <v>#N/A</v>
      </c>
      <c r="P618" s="28" t="e">
        <f t="shared" si="157"/>
        <v>#N/A</v>
      </c>
      <c r="R618" s="28" t="e">
        <f t="shared" si="158"/>
        <v>#VALUE!</v>
      </c>
      <c r="S618" s="25"/>
      <c r="T618" s="25">
        <f t="shared" si="159"/>
        <v>15</v>
      </c>
      <c r="U618" s="33">
        <f>IF(PaybackCustom&gt;0, IF(PaybackCustom&lt;&gt;"Default", PaybackCustom, IF(PaybackStatus&lt;&gt;"",INDEX('Arbitrage Payback Engine'!$Y$2:$Y$6,MATCH(PaybackStatus,'Arbitrage Payback Engine'!$X$2:$X$6,FALSE)),-1)))</f>
        <v>25</v>
      </c>
      <c r="V618" s="32">
        <f t="shared" si="168"/>
        <v>15</v>
      </c>
      <c r="X618" s="29">
        <f t="shared" si="169"/>
        <v>609</v>
      </c>
      <c r="Z618" s="30">
        <f t="shared" si="160"/>
        <v>16.682646212847555</v>
      </c>
      <c r="AA618" s="28" t="e">
        <f t="shared" si="161"/>
        <v>#N/A</v>
      </c>
      <c r="AB618" s="28" t="e">
        <f t="shared" si="162"/>
        <v>#VALUE!</v>
      </c>
      <c r="AC618" s="29">
        <f t="shared" si="163"/>
        <v>577.79886148007586</v>
      </c>
      <c r="AD618" s="28" t="e">
        <f t="shared" si="164"/>
        <v>#VALUE!</v>
      </c>
      <c r="AE618" s="28" t="e">
        <f t="shared" si="165"/>
        <v>#N/A</v>
      </c>
      <c r="AF618" s="28" t="e">
        <f t="shared" si="166"/>
        <v>#VALUE!</v>
      </c>
      <c r="AH618" s="31" t="e">
        <f t="shared" si="167"/>
        <v>#N/A</v>
      </c>
      <c r="AI618" s="25"/>
      <c r="AJ618" s="31"/>
    </row>
    <row r="619" spans="2:36" x14ac:dyDescent="0.25">
      <c r="B619" s="33">
        <f>'Arbitrage Payback Engine'!E619</f>
        <v>16.71003972058622</v>
      </c>
      <c r="C619" s="33">
        <f t="shared" si="153"/>
        <v>1000</v>
      </c>
      <c r="D619" s="33">
        <f>'Battery Pricing Model'!$C$17</f>
        <v>1000</v>
      </c>
      <c r="E619" s="33">
        <f t="shared" si="154"/>
        <v>999</v>
      </c>
      <c r="F619" s="33" t="str">
        <f>'Peak Models'!$B$4</f>
        <v>Default</v>
      </c>
      <c r="G619" s="33" t="e">
        <f>'Peak Models'!$Q$7</f>
        <v>#VALUE!</v>
      </c>
      <c r="H619" s="33">
        <f>'Peak Models'!$P$16</f>
        <v>1.5</v>
      </c>
      <c r="I619" s="33">
        <v>12</v>
      </c>
      <c r="J619" s="33" t="e">
        <f>'Peak Models'!$P$13</f>
        <v>#N/A</v>
      </c>
      <c r="K619" s="28" t="e">
        <f t="shared" si="155"/>
        <v>#VALUE!</v>
      </c>
      <c r="L619" s="28" t="e">
        <f>INDEX('Peak Models'!$P$34:$P$64, MATCH(TRUNC(B619, 0), 'Peak Models'!$O$34:$O$64, 0))</f>
        <v>#N/A</v>
      </c>
      <c r="M619" s="28">
        <f>'Peak Models'!$P$15*INDEX('Peak Models'!$Q$34:$Q$64, MATCH(TRUNC(B619, 0),'Peak Models'!$O$34:$O$64, 0))/'Profit per cycles Model'!$E$78</f>
        <v>6.9859088031085328</v>
      </c>
      <c r="N619" s="28" t="e">
        <f t="shared" si="156"/>
        <v>#N/A</v>
      </c>
      <c r="O619" s="71" t="e">
        <f>AVERAGE($N$10:N619)</f>
        <v>#N/A</v>
      </c>
      <c r="P619" s="28" t="e">
        <f t="shared" si="157"/>
        <v>#N/A</v>
      </c>
      <c r="R619" s="28" t="e">
        <f t="shared" si="158"/>
        <v>#VALUE!</v>
      </c>
      <c r="S619" s="25"/>
      <c r="T619" s="25">
        <f t="shared" si="159"/>
        <v>15</v>
      </c>
      <c r="U619" s="33">
        <f>IF(PaybackCustom&gt;0, IF(PaybackCustom&lt;&gt;"Default", PaybackCustom, IF(PaybackStatus&lt;&gt;"",INDEX('Arbitrage Payback Engine'!$Y$2:$Y$6,MATCH(PaybackStatus,'Arbitrage Payback Engine'!$X$2:$X$6,FALSE)),-1)))</f>
        <v>25</v>
      </c>
      <c r="V619" s="32">
        <f t="shared" si="168"/>
        <v>15</v>
      </c>
      <c r="X619" s="29">
        <f t="shared" si="169"/>
        <v>610</v>
      </c>
      <c r="Z619" s="30">
        <f t="shared" si="160"/>
        <v>16.71003972058622</v>
      </c>
      <c r="AA619" s="28" t="e">
        <f t="shared" si="161"/>
        <v>#N/A</v>
      </c>
      <c r="AB619" s="28" t="e">
        <f t="shared" si="162"/>
        <v>#VALUE!</v>
      </c>
      <c r="AC619" s="29">
        <f t="shared" si="163"/>
        <v>578.74762808349146</v>
      </c>
      <c r="AD619" s="28" t="e">
        <f t="shared" si="164"/>
        <v>#VALUE!</v>
      </c>
      <c r="AE619" s="28" t="e">
        <f t="shared" si="165"/>
        <v>#N/A</v>
      </c>
      <c r="AF619" s="28" t="e">
        <f t="shared" si="166"/>
        <v>#VALUE!</v>
      </c>
      <c r="AH619" s="31" t="e">
        <f t="shared" si="167"/>
        <v>#N/A</v>
      </c>
      <c r="AI619" s="25"/>
      <c r="AJ619" s="31"/>
    </row>
    <row r="620" spans="2:36" x14ac:dyDescent="0.25">
      <c r="B620" s="33">
        <f>'Arbitrage Payback Engine'!E620</f>
        <v>16.737433228324885</v>
      </c>
      <c r="C620" s="33">
        <f t="shared" si="153"/>
        <v>1000</v>
      </c>
      <c r="D620" s="33">
        <f>'Battery Pricing Model'!$C$17</f>
        <v>1000</v>
      </c>
      <c r="E620" s="33">
        <f t="shared" si="154"/>
        <v>999</v>
      </c>
      <c r="F620" s="33" t="str">
        <f>'Peak Models'!$B$4</f>
        <v>Default</v>
      </c>
      <c r="G620" s="33" t="e">
        <f>'Peak Models'!$Q$7</f>
        <v>#VALUE!</v>
      </c>
      <c r="H620" s="33">
        <f>'Peak Models'!$P$16</f>
        <v>1.5</v>
      </c>
      <c r="I620" s="33">
        <v>12</v>
      </c>
      <c r="J620" s="33" t="e">
        <f>'Peak Models'!$P$13</f>
        <v>#N/A</v>
      </c>
      <c r="K620" s="28" t="e">
        <f t="shared" si="155"/>
        <v>#VALUE!</v>
      </c>
      <c r="L620" s="28" t="e">
        <f>INDEX('Peak Models'!$P$34:$P$64, MATCH(TRUNC(B620, 0), 'Peak Models'!$O$34:$O$64, 0))</f>
        <v>#N/A</v>
      </c>
      <c r="M620" s="28">
        <f>'Peak Models'!$P$15*INDEX('Peak Models'!$Q$34:$Q$64, MATCH(TRUNC(B620, 0),'Peak Models'!$O$34:$O$64, 0))/'Profit per cycles Model'!$E$78</f>
        <v>6.9859088031085328</v>
      </c>
      <c r="N620" s="28" t="e">
        <f t="shared" si="156"/>
        <v>#N/A</v>
      </c>
      <c r="O620" s="71" t="e">
        <f>AVERAGE($N$10:N620)</f>
        <v>#N/A</v>
      </c>
      <c r="P620" s="28" t="e">
        <f t="shared" si="157"/>
        <v>#N/A</v>
      </c>
      <c r="R620" s="28" t="e">
        <f t="shared" si="158"/>
        <v>#VALUE!</v>
      </c>
      <c r="S620" s="25"/>
      <c r="T620" s="25">
        <f t="shared" si="159"/>
        <v>15</v>
      </c>
      <c r="U620" s="33">
        <f>IF(PaybackCustom&gt;0, IF(PaybackCustom&lt;&gt;"Default", PaybackCustom, IF(PaybackStatus&lt;&gt;"",INDEX('Arbitrage Payback Engine'!$Y$2:$Y$6,MATCH(PaybackStatus,'Arbitrage Payback Engine'!$X$2:$X$6,FALSE)),-1)))</f>
        <v>25</v>
      </c>
      <c r="V620" s="32">
        <f t="shared" si="168"/>
        <v>15</v>
      </c>
      <c r="X620" s="29">
        <f t="shared" si="169"/>
        <v>611</v>
      </c>
      <c r="Z620" s="30">
        <f t="shared" si="160"/>
        <v>16.737433228324885</v>
      </c>
      <c r="AA620" s="28" t="e">
        <f t="shared" si="161"/>
        <v>#N/A</v>
      </c>
      <c r="AB620" s="28" t="e">
        <f t="shared" si="162"/>
        <v>#VALUE!</v>
      </c>
      <c r="AC620" s="29">
        <f t="shared" si="163"/>
        <v>579.69639468690696</v>
      </c>
      <c r="AD620" s="28" t="e">
        <f t="shared" si="164"/>
        <v>#VALUE!</v>
      </c>
      <c r="AE620" s="28" t="e">
        <f t="shared" si="165"/>
        <v>#N/A</v>
      </c>
      <c r="AF620" s="28" t="e">
        <f t="shared" si="166"/>
        <v>#VALUE!</v>
      </c>
      <c r="AH620" s="31" t="e">
        <f t="shared" si="167"/>
        <v>#N/A</v>
      </c>
      <c r="AI620" s="25"/>
      <c r="AJ620" s="31"/>
    </row>
    <row r="621" spans="2:36" x14ac:dyDescent="0.25">
      <c r="B621" s="33">
        <f>'Arbitrage Payback Engine'!E621</f>
        <v>16.764826736063551</v>
      </c>
      <c r="C621" s="33">
        <f t="shared" si="153"/>
        <v>1000</v>
      </c>
      <c r="D621" s="33">
        <f>'Battery Pricing Model'!$C$17</f>
        <v>1000</v>
      </c>
      <c r="E621" s="33">
        <f t="shared" si="154"/>
        <v>999</v>
      </c>
      <c r="F621" s="33" t="str">
        <f>'Peak Models'!$B$4</f>
        <v>Default</v>
      </c>
      <c r="G621" s="33" t="e">
        <f>'Peak Models'!$Q$7</f>
        <v>#VALUE!</v>
      </c>
      <c r="H621" s="33">
        <f>'Peak Models'!$P$16</f>
        <v>1.5</v>
      </c>
      <c r="I621" s="33">
        <v>12</v>
      </c>
      <c r="J621" s="33" t="e">
        <f>'Peak Models'!$P$13</f>
        <v>#N/A</v>
      </c>
      <c r="K621" s="28" t="e">
        <f t="shared" si="155"/>
        <v>#VALUE!</v>
      </c>
      <c r="L621" s="28" t="e">
        <f>INDEX('Peak Models'!$P$34:$P$64, MATCH(TRUNC(B621, 0), 'Peak Models'!$O$34:$O$64, 0))</f>
        <v>#N/A</v>
      </c>
      <c r="M621" s="28">
        <f>'Peak Models'!$P$15*INDEX('Peak Models'!$Q$34:$Q$64, MATCH(TRUNC(B621, 0),'Peak Models'!$O$34:$O$64, 0))/'Profit per cycles Model'!$E$78</f>
        <v>6.9859088031085328</v>
      </c>
      <c r="N621" s="28" t="e">
        <f t="shared" si="156"/>
        <v>#N/A</v>
      </c>
      <c r="O621" s="71" t="e">
        <f>AVERAGE($N$10:N621)</f>
        <v>#N/A</v>
      </c>
      <c r="P621" s="28" t="e">
        <f t="shared" si="157"/>
        <v>#N/A</v>
      </c>
      <c r="R621" s="28" t="e">
        <f t="shared" si="158"/>
        <v>#VALUE!</v>
      </c>
      <c r="S621" s="25"/>
      <c r="T621" s="25">
        <f t="shared" si="159"/>
        <v>15</v>
      </c>
      <c r="U621" s="33">
        <f>IF(PaybackCustom&gt;0, IF(PaybackCustom&lt;&gt;"Default", PaybackCustom, IF(PaybackStatus&lt;&gt;"",INDEX('Arbitrage Payback Engine'!$Y$2:$Y$6,MATCH(PaybackStatus,'Arbitrage Payback Engine'!$X$2:$X$6,FALSE)),-1)))</f>
        <v>25</v>
      </c>
      <c r="V621" s="32">
        <f t="shared" si="168"/>
        <v>15</v>
      </c>
      <c r="X621" s="29">
        <f t="shared" si="169"/>
        <v>612</v>
      </c>
      <c r="Z621" s="30">
        <f t="shared" si="160"/>
        <v>16.764826736063551</v>
      </c>
      <c r="AA621" s="28" t="e">
        <f t="shared" si="161"/>
        <v>#N/A</v>
      </c>
      <c r="AB621" s="28" t="e">
        <f t="shared" si="162"/>
        <v>#VALUE!</v>
      </c>
      <c r="AC621" s="29">
        <f t="shared" si="163"/>
        <v>580.64516129032256</v>
      </c>
      <c r="AD621" s="28" t="e">
        <f t="shared" si="164"/>
        <v>#VALUE!</v>
      </c>
      <c r="AE621" s="28" t="e">
        <f t="shared" si="165"/>
        <v>#N/A</v>
      </c>
      <c r="AF621" s="28" t="e">
        <f t="shared" si="166"/>
        <v>#VALUE!</v>
      </c>
      <c r="AH621" s="31" t="e">
        <f t="shared" si="167"/>
        <v>#N/A</v>
      </c>
      <c r="AI621" s="25"/>
      <c r="AJ621" s="31"/>
    </row>
    <row r="622" spans="2:36" x14ac:dyDescent="0.25">
      <c r="B622" s="33">
        <f>'Arbitrage Payback Engine'!E622</f>
        <v>16.79222024380222</v>
      </c>
      <c r="C622" s="33">
        <f t="shared" si="153"/>
        <v>1000</v>
      </c>
      <c r="D622" s="33">
        <f>'Battery Pricing Model'!$C$17</f>
        <v>1000</v>
      </c>
      <c r="E622" s="33">
        <f t="shared" si="154"/>
        <v>999</v>
      </c>
      <c r="F622" s="33" t="str">
        <f>'Peak Models'!$B$4</f>
        <v>Default</v>
      </c>
      <c r="G622" s="33" t="e">
        <f>'Peak Models'!$Q$7</f>
        <v>#VALUE!</v>
      </c>
      <c r="H622" s="33">
        <f>'Peak Models'!$P$16</f>
        <v>1.5</v>
      </c>
      <c r="I622" s="33">
        <v>12</v>
      </c>
      <c r="J622" s="33" t="e">
        <f>'Peak Models'!$P$13</f>
        <v>#N/A</v>
      </c>
      <c r="K622" s="28" t="e">
        <f t="shared" si="155"/>
        <v>#VALUE!</v>
      </c>
      <c r="L622" s="28" t="e">
        <f>INDEX('Peak Models'!$P$34:$P$64, MATCH(TRUNC(B622, 0), 'Peak Models'!$O$34:$O$64, 0))</f>
        <v>#N/A</v>
      </c>
      <c r="M622" s="28">
        <f>'Peak Models'!$P$15*INDEX('Peak Models'!$Q$34:$Q$64, MATCH(TRUNC(B622, 0),'Peak Models'!$O$34:$O$64, 0))/'Profit per cycles Model'!$E$78</f>
        <v>6.9859088031085328</v>
      </c>
      <c r="N622" s="28" t="e">
        <f t="shared" si="156"/>
        <v>#N/A</v>
      </c>
      <c r="O622" s="71" t="e">
        <f>AVERAGE($N$10:N622)</f>
        <v>#N/A</v>
      </c>
      <c r="P622" s="28" t="e">
        <f t="shared" si="157"/>
        <v>#N/A</v>
      </c>
      <c r="R622" s="28" t="e">
        <f t="shared" si="158"/>
        <v>#VALUE!</v>
      </c>
      <c r="S622" s="25"/>
      <c r="T622" s="25">
        <f t="shared" si="159"/>
        <v>15</v>
      </c>
      <c r="U622" s="33">
        <f>IF(PaybackCustom&gt;0, IF(PaybackCustom&lt;&gt;"Default", PaybackCustom, IF(PaybackStatus&lt;&gt;"",INDEX('Arbitrage Payback Engine'!$Y$2:$Y$6,MATCH(PaybackStatus,'Arbitrage Payback Engine'!$X$2:$X$6,FALSE)),-1)))</f>
        <v>25</v>
      </c>
      <c r="V622" s="32">
        <f t="shared" si="168"/>
        <v>15</v>
      </c>
      <c r="X622" s="29">
        <f t="shared" si="169"/>
        <v>613</v>
      </c>
      <c r="Z622" s="30">
        <f t="shared" si="160"/>
        <v>16.79222024380222</v>
      </c>
      <c r="AA622" s="28" t="e">
        <f t="shared" si="161"/>
        <v>#N/A</v>
      </c>
      <c r="AB622" s="28" t="e">
        <f t="shared" si="162"/>
        <v>#VALUE!</v>
      </c>
      <c r="AC622" s="29">
        <f t="shared" si="163"/>
        <v>581.59392789373828</v>
      </c>
      <c r="AD622" s="28" t="e">
        <f t="shared" si="164"/>
        <v>#VALUE!</v>
      </c>
      <c r="AE622" s="28" t="e">
        <f t="shared" si="165"/>
        <v>#N/A</v>
      </c>
      <c r="AF622" s="28" t="e">
        <f t="shared" si="166"/>
        <v>#VALUE!</v>
      </c>
      <c r="AH622" s="31" t="e">
        <f t="shared" si="167"/>
        <v>#N/A</v>
      </c>
      <c r="AI622" s="25"/>
      <c r="AJ622" s="31"/>
    </row>
    <row r="623" spans="2:36" x14ac:dyDescent="0.25">
      <c r="B623" s="33">
        <f>'Arbitrage Payback Engine'!E623</f>
        <v>16.819613751540885</v>
      </c>
      <c r="C623" s="33">
        <f t="shared" si="153"/>
        <v>1000</v>
      </c>
      <c r="D623" s="33">
        <f>'Battery Pricing Model'!$C$17</f>
        <v>1000</v>
      </c>
      <c r="E623" s="33">
        <f t="shared" si="154"/>
        <v>999</v>
      </c>
      <c r="F623" s="33" t="str">
        <f>'Peak Models'!$B$4</f>
        <v>Default</v>
      </c>
      <c r="G623" s="33" t="e">
        <f>'Peak Models'!$Q$7</f>
        <v>#VALUE!</v>
      </c>
      <c r="H623" s="33">
        <f>'Peak Models'!$P$16</f>
        <v>1.5</v>
      </c>
      <c r="I623" s="33">
        <v>12</v>
      </c>
      <c r="J623" s="33" t="e">
        <f>'Peak Models'!$P$13</f>
        <v>#N/A</v>
      </c>
      <c r="K623" s="28" t="e">
        <f t="shared" si="155"/>
        <v>#VALUE!</v>
      </c>
      <c r="L623" s="28" t="e">
        <f>INDEX('Peak Models'!$P$34:$P$64, MATCH(TRUNC(B623, 0), 'Peak Models'!$O$34:$O$64, 0))</f>
        <v>#N/A</v>
      </c>
      <c r="M623" s="28">
        <f>'Peak Models'!$P$15*INDEX('Peak Models'!$Q$34:$Q$64, MATCH(TRUNC(B623, 0),'Peak Models'!$O$34:$O$64, 0))/'Profit per cycles Model'!$E$78</f>
        <v>6.9859088031085328</v>
      </c>
      <c r="N623" s="28" t="e">
        <f t="shared" si="156"/>
        <v>#N/A</v>
      </c>
      <c r="O623" s="71" t="e">
        <f>AVERAGE($N$10:N623)</f>
        <v>#N/A</v>
      </c>
      <c r="P623" s="28" t="e">
        <f t="shared" si="157"/>
        <v>#N/A</v>
      </c>
      <c r="R623" s="28" t="e">
        <f t="shared" si="158"/>
        <v>#VALUE!</v>
      </c>
      <c r="S623" s="25"/>
      <c r="T623" s="25">
        <f t="shared" si="159"/>
        <v>15</v>
      </c>
      <c r="U623" s="33">
        <f>IF(PaybackCustom&gt;0, IF(PaybackCustom&lt;&gt;"Default", PaybackCustom, IF(PaybackStatus&lt;&gt;"",INDEX('Arbitrage Payback Engine'!$Y$2:$Y$6,MATCH(PaybackStatus,'Arbitrage Payback Engine'!$X$2:$X$6,FALSE)),-1)))</f>
        <v>25</v>
      </c>
      <c r="V623" s="32">
        <f t="shared" si="168"/>
        <v>15</v>
      </c>
      <c r="X623" s="29">
        <f t="shared" si="169"/>
        <v>614</v>
      </c>
      <c r="Z623" s="30">
        <f t="shared" si="160"/>
        <v>16.819613751540885</v>
      </c>
      <c r="AA623" s="28" t="e">
        <f t="shared" si="161"/>
        <v>#N/A</v>
      </c>
      <c r="AB623" s="28" t="e">
        <f t="shared" si="162"/>
        <v>#VALUE!</v>
      </c>
      <c r="AC623" s="29">
        <f t="shared" si="163"/>
        <v>582.54269449715378</v>
      </c>
      <c r="AD623" s="28" t="e">
        <f t="shared" si="164"/>
        <v>#VALUE!</v>
      </c>
      <c r="AE623" s="28" t="e">
        <f t="shared" si="165"/>
        <v>#N/A</v>
      </c>
      <c r="AF623" s="28" t="e">
        <f t="shared" si="166"/>
        <v>#VALUE!</v>
      </c>
      <c r="AH623" s="31" t="e">
        <f t="shared" si="167"/>
        <v>#N/A</v>
      </c>
      <c r="AI623" s="25"/>
      <c r="AJ623" s="31"/>
    </row>
    <row r="624" spans="2:36" x14ac:dyDescent="0.25">
      <c r="B624" s="33">
        <f>'Arbitrage Payback Engine'!E624</f>
        <v>16.84700725927955</v>
      </c>
      <c r="C624" s="33">
        <f t="shared" si="153"/>
        <v>1000</v>
      </c>
      <c r="D624" s="33">
        <f>'Battery Pricing Model'!$C$17</f>
        <v>1000</v>
      </c>
      <c r="E624" s="33">
        <f t="shared" si="154"/>
        <v>999</v>
      </c>
      <c r="F624" s="33" t="str">
        <f>'Peak Models'!$B$4</f>
        <v>Default</v>
      </c>
      <c r="G624" s="33" t="e">
        <f>'Peak Models'!$Q$7</f>
        <v>#VALUE!</v>
      </c>
      <c r="H624" s="33">
        <f>'Peak Models'!$P$16</f>
        <v>1.5</v>
      </c>
      <c r="I624" s="33">
        <v>12</v>
      </c>
      <c r="J624" s="33" t="e">
        <f>'Peak Models'!$P$13</f>
        <v>#N/A</v>
      </c>
      <c r="K624" s="28" t="e">
        <f t="shared" si="155"/>
        <v>#VALUE!</v>
      </c>
      <c r="L624" s="28" t="e">
        <f>INDEX('Peak Models'!$P$34:$P$64, MATCH(TRUNC(B624, 0), 'Peak Models'!$O$34:$O$64, 0))</f>
        <v>#N/A</v>
      </c>
      <c r="M624" s="28">
        <f>'Peak Models'!$P$15*INDEX('Peak Models'!$Q$34:$Q$64, MATCH(TRUNC(B624, 0),'Peak Models'!$O$34:$O$64, 0))/'Profit per cycles Model'!$E$78</f>
        <v>6.9859088031085328</v>
      </c>
      <c r="N624" s="28" t="e">
        <f t="shared" si="156"/>
        <v>#N/A</v>
      </c>
      <c r="O624" s="71" t="e">
        <f>AVERAGE($N$10:N624)</f>
        <v>#N/A</v>
      </c>
      <c r="P624" s="28" t="e">
        <f t="shared" si="157"/>
        <v>#N/A</v>
      </c>
      <c r="R624" s="28" t="e">
        <f t="shared" si="158"/>
        <v>#VALUE!</v>
      </c>
      <c r="S624" s="25"/>
      <c r="T624" s="25">
        <f t="shared" si="159"/>
        <v>15</v>
      </c>
      <c r="U624" s="33">
        <f>IF(PaybackCustom&gt;0, IF(PaybackCustom&lt;&gt;"Default", PaybackCustom, IF(PaybackStatus&lt;&gt;"",INDEX('Arbitrage Payback Engine'!$Y$2:$Y$6,MATCH(PaybackStatus,'Arbitrage Payback Engine'!$X$2:$X$6,FALSE)),-1)))</f>
        <v>25</v>
      </c>
      <c r="V624" s="32">
        <f t="shared" si="168"/>
        <v>15</v>
      </c>
      <c r="X624" s="29">
        <f t="shared" si="169"/>
        <v>615</v>
      </c>
      <c r="Z624" s="30">
        <f t="shared" si="160"/>
        <v>16.84700725927955</v>
      </c>
      <c r="AA624" s="28" t="e">
        <f t="shared" si="161"/>
        <v>#N/A</v>
      </c>
      <c r="AB624" s="28" t="e">
        <f t="shared" si="162"/>
        <v>#VALUE!</v>
      </c>
      <c r="AC624" s="29">
        <f t="shared" si="163"/>
        <v>583.49146110056927</v>
      </c>
      <c r="AD624" s="28" t="e">
        <f t="shared" si="164"/>
        <v>#VALUE!</v>
      </c>
      <c r="AE624" s="28" t="e">
        <f t="shared" si="165"/>
        <v>#N/A</v>
      </c>
      <c r="AF624" s="28" t="e">
        <f t="shared" si="166"/>
        <v>#VALUE!</v>
      </c>
      <c r="AH624" s="31" t="e">
        <f t="shared" si="167"/>
        <v>#N/A</v>
      </c>
      <c r="AI624" s="25"/>
      <c r="AJ624" s="31"/>
    </row>
    <row r="625" spans="2:36" x14ac:dyDescent="0.25">
      <c r="B625" s="33">
        <f>'Arbitrage Payback Engine'!E625</f>
        <v>16.874400767018216</v>
      </c>
      <c r="C625" s="33">
        <f t="shared" si="153"/>
        <v>1000</v>
      </c>
      <c r="D625" s="33">
        <f>'Battery Pricing Model'!$C$17</f>
        <v>1000</v>
      </c>
      <c r="E625" s="33">
        <f t="shared" si="154"/>
        <v>999</v>
      </c>
      <c r="F625" s="33" t="str">
        <f>'Peak Models'!$B$4</f>
        <v>Default</v>
      </c>
      <c r="G625" s="33" t="e">
        <f>'Peak Models'!$Q$7</f>
        <v>#VALUE!</v>
      </c>
      <c r="H625" s="33">
        <f>'Peak Models'!$P$16</f>
        <v>1.5</v>
      </c>
      <c r="I625" s="33">
        <v>12</v>
      </c>
      <c r="J625" s="33" t="e">
        <f>'Peak Models'!$P$13</f>
        <v>#N/A</v>
      </c>
      <c r="K625" s="28" t="e">
        <f t="shared" si="155"/>
        <v>#VALUE!</v>
      </c>
      <c r="L625" s="28" t="e">
        <f>INDEX('Peak Models'!$P$34:$P$64, MATCH(TRUNC(B625, 0), 'Peak Models'!$O$34:$O$64, 0))</f>
        <v>#N/A</v>
      </c>
      <c r="M625" s="28">
        <f>'Peak Models'!$P$15*INDEX('Peak Models'!$Q$34:$Q$64, MATCH(TRUNC(B625, 0),'Peak Models'!$O$34:$O$64, 0))/'Profit per cycles Model'!$E$78</f>
        <v>6.9859088031085328</v>
      </c>
      <c r="N625" s="28" t="e">
        <f t="shared" si="156"/>
        <v>#N/A</v>
      </c>
      <c r="O625" s="71" t="e">
        <f>AVERAGE($N$10:N625)</f>
        <v>#N/A</v>
      </c>
      <c r="P625" s="28" t="e">
        <f t="shared" si="157"/>
        <v>#N/A</v>
      </c>
      <c r="R625" s="28" t="e">
        <f t="shared" si="158"/>
        <v>#VALUE!</v>
      </c>
      <c r="S625" s="25"/>
      <c r="T625" s="25">
        <f t="shared" si="159"/>
        <v>15</v>
      </c>
      <c r="U625" s="33">
        <f>IF(PaybackCustom&gt;0, IF(PaybackCustom&lt;&gt;"Default", PaybackCustom, IF(PaybackStatus&lt;&gt;"",INDEX('Arbitrage Payback Engine'!$Y$2:$Y$6,MATCH(PaybackStatus,'Arbitrage Payback Engine'!$X$2:$X$6,FALSE)),-1)))</f>
        <v>25</v>
      </c>
      <c r="V625" s="32">
        <f t="shared" si="168"/>
        <v>15</v>
      </c>
      <c r="X625" s="29">
        <f t="shared" si="169"/>
        <v>616</v>
      </c>
      <c r="Z625" s="30">
        <f t="shared" si="160"/>
        <v>16.874400767018216</v>
      </c>
      <c r="AA625" s="28" t="e">
        <f t="shared" si="161"/>
        <v>#N/A</v>
      </c>
      <c r="AB625" s="28" t="e">
        <f t="shared" si="162"/>
        <v>#VALUE!</v>
      </c>
      <c r="AC625" s="29">
        <f t="shared" si="163"/>
        <v>584.44022770398476</v>
      </c>
      <c r="AD625" s="28" t="e">
        <f t="shared" si="164"/>
        <v>#VALUE!</v>
      </c>
      <c r="AE625" s="28" t="e">
        <f t="shared" si="165"/>
        <v>#N/A</v>
      </c>
      <c r="AF625" s="28" t="e">
        <f t="shared" si="166"/>
        <v>#VALUE!</v>
      </c>
      <c r="AH625" s="31" t="e">
        <f t="shared" si="167"/>
        <v>#N/A</v>
      </c>
      <c r="AI625" s="25"/>
      <c r="AJ625" s="31"/>
    </row>
    <row r="626" spans="2:36" x14ac:dyDescent="0.25">
      <c r="B626" s="33">
        <f>'Arbitrage Payback Engine'!E626</f>
        <v>16.901794274756881</v>
      </c>
      <c r="C626" s="33">
        <f t="shared" si="153"/>
        <v>1000</v>
      </c>
      <c r="D626" s="33">
        <f>'Battery Pricing Model'!$C$17</f>
        <v>1000</v>
      </c>
      <c r="E626" s="33">
        <f t="shared" si="154"/>
        <v>999</v>
      </c>
      <c r="F626" s="33" t="str">
        <f>'Peak Models'!$B$4</f>
        <v>Default</v>
      </c>
      <c r="G626" s="33" t="e">
        <f>'Peak Models'!$Q$7</f>
        <v>#VALUE!</v>
      </c>
      <c r="H626" s="33">
        <f>'Peak Models'!$P$16</f>
        <v>1.5</v>
      </c>
      <c r="I626" s="33">
        <v>12</v>
      </c>
      <c r="J626" s="33" t="e">
        <f>'Peak Models'!$P$13</f>
        <v>#N/A</v>
      </c>
      <c r="K626" s="28" t="e">
        <f t="shared" si="155"/>
        <v>#VALUE!</v>
      </c>
      <c r="L626" s="28" t="e">
        <f>INDEX('Peak Models'!$P$34:$P$64, MATCH(TRUNC(B626, 0), 'Peak Models'!$O$34:$O$64, 0))</f>
        <v>#N/A</v>
      </c>
      <c r="M626" s="28">
        <f>'Peak Models'!$P$15*INDEX('Peak Models'!$Q$34:$Q$64, MATCH(TRUNC(B626, 0),'Peak Models'!$O$34:$O$64, 0))/'Profit per cycles Model'!$E$78</f>
        <v>6.9859088031085328</v>
      </c>
      <c r="N626" s="28" t="e">
        <f t="shared" si="156"/>
        <v>#N/A</v>
      </c>
      <c r="O626" s="71" t="e">
        <f>AVERAGE($N$10:N626)</f>
        <v>#N/A</v>
      </c>
      <c r="P626" s="28" t="e">
        <f t="shared" si="157"/>
        <v>#N/A</v>
      </c>
      <c r="R626" s="28" t="e">
        <f t="shared" si="158"/>
        <v>#VALUE!</v>
      </c>
      <c r="S626" s="25"/>
      <c r="T626" s="25">
        <f t="shared" si="159"/>
        <v>15</v>
      </c>
      <c r="U626" s="33">
        <f>IF(PaybackCustom&gt;0, IF(PaybackCustom&lt;&gt;"Default", PaybackCustom, IF(PaybackStatus&lt;&gt;"",INDEX('Arbitrage Payback Engine'!$Y$2:$Y$6,MATCH(PaybackStatus,'Arbitrage Payback Engine'!$X$2:$X$6,FALSE)),-1)))</f>
        <v>25</v>
      </c>
      <c r="V626" s="32">
        <f t="shared" si="168"/>
        <v>15</v>
      </c>
      <c r="X626" s="29">
        <f t="shared" si="169"/>
        <v>617</v>
      </c>
      <c r="Z626" s="30">
        <f t="shared" si="160"/>
        <v>16.901794274756881</v>
      </c>
      <c r="AA626" s="28" t="e">
        <f t="shared" si="161"/>
        <v>#N/A</v>
      </c>
      <c r="AB626" s="28" t="e">
        <f t="shared" si="162"/>
        <v>#VALUE!</v>
      </c>
      <c r="AC626" s="29">
        <f t="shared" si="163"/>
        <v>585.38899430740037</v>
      </c>
      <c r="AD626" s="28" t="e">
        <f t="shared" si="164"/>
        <v>#VALUE!</v>
      </c>
      <c r="AE626" s="28" t="e">
        <f t="shared" si="165"/>
        <v>#N/A</v>
      </c>
      <c r="AF626" s="28" t="e">
        <f t="shared" si="166"/>
        <v>#VALUE!</v>
      </c>
      <c r="AH626" s="31" t="e">
        <f t="shared" si="167"/>
        <v>#N/A</v>
      </c>
      <c r="AI626" s="25"/>
      <c r="AJ626" s="31"/>
    </row>
    <row r="627" spans="2:36" x14ac:dyDescent="0.25">
      <c r="B627" s="33">
        <f>'Arbitrage Payback Engine'!E627</f>
        <v>16.929187782495546</v>
      </c>
      <c r="C627" s="33">
        <f t="shared" si="153"/>
        <v>1000</v>
      </c>
      <c r="D627" s="33">
        <f>'Battery Pricing Model'!$C$17</f>
        <v>1000</v>
      </c>
      <c r="E627" s="33">
        <f t="shared" si="154"/>
        <v>999</v>
      </c>
      <c r="F627" s="33" t="str">
        <f>'Peak Models'!$B$4</f>
        <v>Default</v>
      </c>
      <c r="G627" s="33" t="e">
        <f>'Peak Models'!$Q$7</f>
        <v>#VALUE!</v>
      </c>
      <c r="H627" s="33">
        <f>'Peak Models'!$P$16</f>
        <v>1.5</v>
      </c>
      <c r="I627" s="33">
        <v>12</v>
      </c>
      <c r="J627" s="33" t="e">
        <f>'Peak Models'!$P$13</f>
        <v>#N/A</v>
      </c>
      <c r="K627" s="28" t="e">
        <f t="shared" si="155"/>
        <v>#VALUE!</v>
      </c>
      <c r="L627" s="28" t="e">
        <f>INDEX('Peak Models'!$P$34:$P$64, MATCH(TRUNC(B627, 0), 'Peak Models'!$O$34:$O$64, 0))</f>
        <v>#N/A</v>
      </c>
      <c r="M627" s="28">
        <f>'Peak Models'!$P$15*INDEX('Peak Models'!$Q$34:$Q$64, MATCH(TRUNC(B627, 0),'Peak Models'!$O$34:$O$64, 0))/'Profit per cycles Model'!$E$78</f>
        <v>6.9859088031085328</v>
      </c>
      <c r="N627" s="28" t="e">
        <f t="shared" si="156"/>
        <v>#N/A</v>
      </c>
      <c r="O627" s="71" t="e">
        <f>AVERAGE($N$10:N627)</f>
        <v>#N/A</v>
      </c>
      <c r="P627" s="28" t="e">
        <f t="shared" si="157"/>
        <v>#N/A</v>
      </c>
      <c r="R627" s="28" t="e">
        <f t="shared" si="158"/>
        <v>#VALUE!</v>
      </c>
      <c r="S627" s="25"/>
      <c r="T627" s="25">
        <f t="shared" si="159"/>
        <v>15</v>
      </c>
      <c r="U627" s="33">
        <f>IF(PaybackCustom&gt;0, IF(PaybackCustom&lt;&gt;"Default", PaybackCustom, IF(PaybackStatus&lt;&gt;"",INDEX('Arbitrage Payback Engine'!$Y$2:$Y$6,MATCH(PaybackStatus,'Arbitrage Payback Engine'!$X$2:$X$6,FALSE)),-1)))</f>
        <v>25</v>
      </c>
      <c r="V627" s="32">
        <f t="shared" si="168"/>
        <v>15</v>
      </c>
      <c r="X627" s="29">
        <f t="shared" si="169"/>
        <v>618</v>
      </c>
      <c r="Z627" s="30">
        <f t="shared" si="160"/>
        <v>16.929187782495546</v>
      </c>
      <c r="AA627" s="28" t="e">
        <f t="shared" si="161"/>
        <v>#N/A</v>
      </c>
      <c r="AB627" s="28" t="e">
        <f t="shared" si="162"/>
        <v>#VALUE!</v>
      </c>
      <c r="AC627" s="29">
        <f t="shared" si="163"/>
        <v>586.33776091081586</v>
      </c>
      <c r="AD627" s="28" t="e">
        <f t="shared" si="164"/>
        <v>#VALUE!</v>
      </c>
      <c r="AE627" s="28" t="e">
        <f t="shared" si="165"/>
        <v>#N/A</v>
      </c>
      <c r="AF627" s="28" t="e">
        <f t="shared" si="166"/>
        <v>#VALUE!</v>
      </c>
      <c r="AH627" s="31" t="e">
        <f t="shared" si="167"/>
        <v>#N/A</v>
      </c>
      <c r="AI627" s="25"/>
      <c r="AJ627" s="31"/>
    </row>
    <row r="628" spans="2:36" x14ac:dyDescent="0.25">
      <c r="B628" s="33">
        <f>'Arbitrage Payback Engine'!E628</f>
        <v>16.956581290234215</v>
      </c>
      <c r="C628" s="33">
        <f t="shared" si="153"/>
        <v>1000</v>
      </c>
      <c r="D628" s="33">
        <f>'Battery Pricing Model'!$C$17</f>
        <v>1000</v>
      </c>
      <c r="E628" s="33">
        <f t="shared" si="154"/>
        <v>999</v>
      </c>
      <c r="F628" s="33" t="str">
        <f>'Peak Models'!$B$4</f>
        <v>Default</v>
      </c>
      <c r="G628" s="33" t="e">
        <f>'Peak Models'!$Q$7</f>
        <v>#VALUE!</v>
      </c>
      <c r="H628" s="33">
        <f>'Peak Models'!$P$16</f>
        <v>1.5</v>
      </c>
      <c r="I628" s="33">
        <v>12</v>
      </c>
      <c r="J628" s="33" t="e">
        <f>'Peak Models'!$P$13</f>
        <v>#N/A</v>
      </c>
      <c r="K628" s="28" t="e">
        <f t="shared" si="155"/>
        <v>#VALUE!</v>
      </c>
      <c r="L628" s="28" t="e">
        <f>INDEX('Peak Models'!$P$34:$P$64, MATCH(TRUNC(B628, 0), 'Peak Models'!$O$34:$O$64, 0))</f>
        <v>#N/A</v>
      </c>
      <c r="M628" s="28">
        <f>'Peak Models'!$P$15*INDEX('Peak Models'!$Q$34:$Q$64, MATCH(TRUNC(B628, 0),'Peak Models'!$O$34:$O$64, 0))/'Profit per cycles Model'!$E$78</f>
        <v>6.9859088031085328</v>
      </c>
      <c r="N628" s="28" t="e">
        <f t="shared" si="156"/>
        <v>#N/A</v>
      </c>
      <c r="O628" s="71" t="e">
        <f>AVERAGE($N$10:N628)</f>
        <v>#N/A</v>
      </c>
      <c r="P628" s="28" t="e">
        <f t="shared" si="157"/>
        <v>#N/A</v>
      </c>
      <c r="R628" s="28" t="e">
        <f t="shared" si="158"/>
        <v>#VALUE!</v>
      </c>
      <c r="S628" s="25"/>
      <c r="T628" s="25">
        <f t="shared" si="159"/>
        <v>15</v>
      </c>
      <c r="U628" s="33">
        <f>IF(PaybackCustom&gt;0, IF(PaybackCustom&lt;&gt;"Default", PaybackCustom, IF(PaybackStatus&lt;&gt;"",INDEX('Arbitrage Payback Engine'!$Y$2:$Y$6,MATCH(PaybackStatus,'Arbitrage Payback Engine'!$X$2:$X$6,FALSE)),-1)))</f>
        <v>25</v>
      </c>
      <c r="V628" s="32">
        <f t="shared" si="168"/>
        <v>15</v>
      </c>
      <c r="X628" s="29">
        <f t="shared" si="169"/>
        <v>619</v>
      </c>
      <c r="Z628" s="30">
        <f t="shared" si="160"/>
        <v>16.956581290234215</v>
      </c>
      <c r="AA628" s="28" t="e">
        <f t="shared" si="161"/>
        <v>#N/A</v>
      </c>
      <c r="AB628" s="28" t="e">
        <f t="shared" si="162"/>
        <v>#VALUE!</v>
      </c>
      <c r="AC628" s="29">
        <f t="shared" si="163"/>
        <v>587.28652751423158</v>
      </c>
      <c r="AD628" s="28" t="e">
        <f t="shared" si="164"/>
        <v>#VALUE!</v>
      </c>
      <c r="AE628" s="28" t="e">
        <f t="shared" si="165"/>
        <v>#N/A</v>
      </c>
      <c r="AF628" s="28" t="e">
        <f t="shared" si="166"/>
        <v>#VALUE!</v>
      </c>
      <c r="AH628" s="31" t="e">
        <f t="shared" si="167"/>
        <v>#N/A</v>
      </c>
      <c r="AI628" s="25"/>
      <c r="AJ628" s="31"/>
    </row>
    <row r="629" spans="2:36" x14ac:dyDescent="0.25">
      <c r="B629" s="33">
        <f>'Arbitrage Payback Engine'!E629</f>
        <v>16.983974797972881</v>
      </c>
      <c r="C629" s="33">
        <f t="shared" si="153"/>
        <v>1000</v>
      </c>
      <c r="D629" s="33">
        <f>'Battery Pricing Model'!$C$17</f>
        <v>1000</v>
      </c>
      <c r="E629" s="33">
        <f t="shared" si="154"/>
        <v>999</v>
      </c>
      <c r="F629" s="33" t="str">
        <f>'Peak Models'!$B$4</f>
        <v>Default</v>
      </c>
      <c r="G629" s="33" t="e">
        <f>'Peak Models'!$Q$7</f>
        <v>#VALUE!</v>
      </c>
      <c r="H629" s="33">
        <f>'Peak Models'!$P$16</f>
        <v>1.5</v>
      </c>
      <c r="I629" s="33">
        <v>12</v>
      </c>
      <c r="J629" s="33" t="e">
        <f>'Peak Models'!$P$13</f>
        <v>#N/A</v>
      </c>
      <c r="K629" s="28" t="e">
        <f t="shared" si="155"/>
        <v>#VALUE!</v>
      </c>
      <c r="L629" s="28" t="e">
        <f>INDEX('Peak Models'!$P$34:$P$64, MATCH(TRUNC(B629, 0), 'Peak Models'!$O$34:$O$64, 0))</f>
        <v>#N/A</v>
      </c>
      <c r="M629" s="28">
        <f>'Peak Models'!$P$15*INDEX('Peak Models'!$Q$34:$Q$64, MATCH(TRUNC(B629, 0),'Peak Models'!$O$34:$O$64, 0))/'Profit per cycles Model'!$E$78</f>
        <v>6.9859088031085328</v>
      </c>
      <c r="N629" s="28" t="e">
        <f t="shared" si="156"/>
        <v>#N/A</v>
      </c>
      <c r="O629" s="71" t="e">
        <f>AVERAGE($N$10:N629)</f>
        <v>#N/A</v>
      </c>
      <c r="P629" s="28" t="e">
        <f t="shared" si="157"/>
        <v>#N/A</v>
      </c>
      <c r="R629" s="28" t="e">
        <f t="shared" si="158"/>
        <v>#VALUE!</v>
      </c>
      <c r="S629" s="25"/>
      <c r="T629" s="25">
        <f t="shared" si="159"/>
        <v>15</v>
      </c>
      <c r="U629" s="33">
        <f>IF(PaybackCustom&gt;0, IF(PaybackCustom&lt;&gt;"Default", PaybackCustom, IF(PaybackStatus&lt;&gt;"",INDEX('Arbitrage Payback Engine'!$Y$2:$Y$6,MATCH(PaybackStatus,'Arbitrage Payback Engine'!$X$2:$X$6,FALSE)),-1)))</f>
        <v>25</v>
      </c>
      <c r="V629" s="32">
        <f t="shared" si="168"/>
        <v>15</v>
      </c>
      <c r="X629" s="29">
        <f t="shared" si="169"/>
        <v>620</v>
      </c>
      <c r="Z629" s="30">
        <f t="shared" si="160"/>
        <v>16.983974797972881</v>
      </c>
      <c r="AA629" s="28" t="e">
        <f t="shared" si="161"/>
        <v>#N/A</v>
      </c>
      <c r="AB629" s="28" t="e">
        <f t="shared" si="162"/>
        <v>#VALUE!</v>
      </c>
      <c r="AC629" s="29">
        <f t="shared" si="163"/>
        <v>588.23529411764719</v>
      </c>
      <c r="AD629" s="28" t="e">
        <f t="shared" si="164"/>
        <v>#VALUE!</v>
      </c>
      <c r="AE629" s="28" t="e">
        <f t="shared" si="165"/>
        <v>#N/A</v>
      </c>
      <c r="AF629" s="28" t="e">
        <f t="shared" si="166"/>
        <v>#VALUE!</v>
      </c>
      <c r="AH629" s="31" t="e">
        <f t="shared" si="167"/>
        <v>#N/A</v>
      </c>
      <c r="AI629" s="25"/>
      <c r="AJ629" s="31"/>
    </row>
    <row r="630" spans="2:36" x14ac:dyDescent="0.25">
      <c r="B630" s="33">
        <f>'Arbitrage Payback Engine'!E630</f>
        <v>17.011368305711546</v>
      </c>
      <c r="C630" s="33">
        <f t="shared" si="153"/>
        <v>1000</v>
      </c>
      <c r="D630" s="33">
        <f>'Battery Pricing Model'!$C$17</f>
        <v>1000</v>
      </c>
      <c r="E630" s="33">
        <f t="shared" si="154"/>
        <v>999</v>
      </c>
      <c r="F630" s="33" t="str">
        <f>'Peak Models'!$B$4</f>
        <v>Default</v>
      </c>
      <c r="G630" s="33" t="e">
        <f>'Peak Models'!$Q$7</f>
        <v>#VALUE!</v>
      </c>
      <c r="H630" s="33">
        <f>'Peak Models'!$P$16</f>
        <v>1.5</v>
      </c>
      <c r="I630" s="33">
        <v>12</v>
      </c>
      <c r="J630" s="33" t="e">
        <f>'Peak Models'!$P$13</f>
        <v>#N/A</v>
      </c>
      <c r="K630" s="28" t="e">
        <f t="shared" si="155"/>
        <v>#VALUE!</v>
      </c>
      <c r="L630" s="28" t="e">
        <f>INDEX('Peak Models'!$P$34:$P$64, MATCH(TRUNC(B630, 0), 'Peak Models'!$O$34:$O$64, 0))</f>
        <v>#N/A</v>
      </c>
      <c r="M630" s="28">
        <f>'Peak Models'!$P$15*INDEX('Peak Models'!$Q$34:$Q$64, MATCH(TRUNC(B630, 0),'Peak Models'!$O$34:$O$64, 0))/'Profit per cycles Model'!$E$78</f>
        <v>7.1605565231862451</v>
      </c>
      <c r="N630" s="28" t="e">
        <f t="shared" si="156"/>
        <v>#N/A</v>
      </c>
      <c r="O630" s="71" t="e">
        <f>AVERAGE($N$10:N630)</f>
        <v>#N/A</v>
      </c>
      <c r="P630" s="28" t="e">
        <f t="shared" si="157"/>
        <v>#N/A</v>
      </c>
      <c r="R630" s="28" t="e">
        <f t="shared" si="158"/>
        <v>#VALUE!</v>
      </c>
      <c r="S630" s="25"/>
      <c r="T630" s="25">
        <f t="shared" si="159"/>
        <v>15</v>
      </c>
      <c r="U630" s="33">
        <f>IF(PaybackCustom&gt;0, IF(PaybackCustom&lt;&gt;"Default", PaybackCustom, IF(PaybackStatus&lt;&gt;"",INDEX('Arbitrage Payback Engine'!$Y$2:$Y$6,MATCH(PaybackStatus,'Arbitrage Payback Engine'!$X$2:$X$6,FALSE)),-1)))</f>
        <v>25</v>
      </c>
      <c r="V630" s="32">
        <f t="shared" si="168"/>
        <v>15</v>
      </c>
      <c r="X630" s="29">
        <f t="shared" si="169"/>
        <v>621</v>
      </c>
      <c r="Z630" s="30">
        <f t="shared" si="160"/>
        <v>17.011368305711546</v>
      </c>
      <c r="AA630" s="28" t="e">
        <f t="shared" si="161"/>
        <v>#N/A</v>
      </c>
      <c r="AB630" s="28" t="e">
        <f t="shared" si="162"/>
        <v>#VALUE!</v>
      </c>
      <c r="AC630" s="29">
        <f t="shared" si="163"/>
        <v>589.18406072106256</v>
      </c>
      <c r="AD630" s="28" t="e">
        <f t="shared" si="164"/>
        <v>#VALUE!</v>
      </c>
      <c r="AE630" s="28" t="e">
        <f t="shared" si="165"/>
        <v>#N/A</v>
      </c>
      <c r="AF630" s="28" t="e">
        <f t="shared" si="166"/>
        <v>#VALUE!</v>
      </c>
      <c r="AH630" s="31" t="e">
        <f t="shared" si="167"/>
        <v>#N/A</v>
      </c>
      <c r="AI630" s="25"/>
      <c r="AJ630" s="31"/>
    </row>
    <row r="631" spans="2:36" x14ac:dyDescent="0.25">
      <c r="B631" s="33">
        <f>'Arbitrage Payback Engine'!E631</f>
        <v>17.038761813450211</v>
      </c>
      <c r="C631" s="33">
        <f t="shared" si="153"/>
        <v>1000</v>
      </c>
      <c r="D631" s="33">
        <f>'Battery Pricing Model'!$C$17</f>
        <v>1000</v>
      </c>
      <c r="E631" s="33">
        <f t="shared" si="154"/>
        <v>999</v>
      </c>
      <c r="F631" s="33" t="str">
        <f>'Peak Models'!$B$4</f>
        <v>Default</v>
      </c>
      <c r="G631" s="33" t="e">
        <f>'Peak Models'!$Q$7</f>
        <v>#VALUE!</v>
      </c>
      <c r="H631" s="33">
        <f>'Peak Models'!$P$16</f>
        <v>1.5</v>
      </c>
      <c r="I631" s="33">
        <v>12</v>
      </c>
      <c r="J631" s="33" t="e">
        <f>'Peak Models'!$P$13</f>
        <v>#N/A</v>
      </c>
      <c r="K631" s="28" t="e">
        <f t="shared" si="155"/>
        <v>#VALUE!</v>
      </c>
      <c r="L631" s="28" t="e">
        <f>INDEX('Peak Models'!$P$34:$P$64, MATCH(TRUNC(B631, 0), 'Peak Models'!$O$34:$O$64, 0))</f>
        <v>#N/A</v>
      </c>
      <c r="M631" s="28">
        <f>'Peak Models'!$P$15*INDEX('Peak Models'!$Q$34:$Q$64, MATCH(TRUNC(B631, 0),'Peak Models'!$O$34:$O$64, 0))/'Profit per cycles Model'!$E$78</f>
        <v>7.1605565231862451</v>
      </c>
      <c r="N631" s="28" t="e">
        <f t="shared" si="156"/>
        <v>#N/A</v>
      </c>
      <c r="O631" s="71" t="e">
        <f>AVERAGE($N$10:N631)</f>
        <v>#N/A</v>
      </c>
      <c r="P631" s="28" t="e">
        <f t="shared" si="157"/>
        <v>#N/A</v>
      </c>
      <c r="R631" s="28" t="e">
        <f t="shared" si="158"/>
        <v>#VALUE!</v>
      </c>
      <c r="S631" s="25"/>
      <c r="T631" s="25">
        <f t="shared" si="159"/>
        <v>15</v>
      </c>
      <c r="U631" s="33">
        <f>IF(PaybackCustom&gt;0, IF(PaybackCustom&lt;&gt;"Default", PaybackCustom, IF(PaybackStatus&lt;&gt;"",INDEX('Arbitrage Payback Engine'!$Y$2:$Y$6,MATCH(PaybackStatus,'Arbitrage Payback Engine'!$X$2:$X$6,FALSE)),-1)))</f>
        <v>25</v>
      </c>
      <c r="V631" s="32">
        <f t="shared" si="168"/>
        <v>15</v>
      </c>
      <c r="X631" s="29">
        <f t="shared" si="169"/>
        <v>622</v>
      </c>
      <c r="Z631" s="30">
        <f t="shared" si="160"/>
        <v>17.038761813450211</v>
      </c>
      <c r="AA631" s="28" t="e">
        <f t="shared" si="161"/>
        <v>#N/A</v>
      </c>
      <c r="AB631" s="28" t="e">
        <f t="shared" si="162"/>
        <v>#VALUE!</v>
      </c>
      <c r="AC631" s="29">
        <f t="shared" si="163"/>
        <v>590.13282732447817</v>
      </c>
      <c r="AD631" s="28" t="e">
        <f t="shared" si="164"/>
        <v>#VALUE!</v>
      </c>
      <c r="AE631" s="28" t="e">
        <f t="shared" si="165"/>
        <v>#N/A</v>
      </c>
      <c r="AF631" s="28" t="e">
        <f t="shared" si="166"/>
        <v>#VALUE!</v>
      </c>
      <c r="AH631" s="31" t="e">
        <f t="shared" si="167"/>
        <v>#N/A</v>
      </c>
      <c r="AI631" s="25"/>
      <c r="AJ631" s="31"/>
    </row>
    <row r="632" spans="2:36" x14ac:dyDescent="0.25">
      <c r="B632" s="33">
        <f>'Arbitrage Payback Engine'!E632</f>
        <v>17.066155321188877</v>
      </c>
      <c r="C632" s="33">
        <f t="shared" si="153"/>
        <v>1000</v>
      </c>
      <c r="D632" s="33">
        <f>'Battery Pricing Model'!$C$17</f>
        <v>1000</v>
      </c>
      <c r="E632" s="33">
        <f t="shared" si="154"/>
        <v>999</v>
      </c>
      <c r="F632" s="33" t="str">
        <f>'Peak Models'!$B$4</f>
        <v>Default</v>
      </c>
      <c r="G632" s="33" t="e">
        <f>'Peak Models'!$Q$7</f>
        <v>#VALUE!</v>
      </c>
      <c r="H632" s="33">
        <f>'Peak Models'!$P$16</f>
        <v>1.5</v>
      </c>
      <c r="I632" s="33">
        <v>12</v>
      </c>
      <c r="J632" s="33" t="e">
        <f>'Peak Models'!$P$13</f>
        <v>#N/A</v>
      </c>
      <c r="K632" s="28" t="e">
        <f t="shared" si="155"/>
        <v>#VALUE!</v>
      </c>
      <c r="L632" s="28" t="e">
        <f>INDEX('Peak Models'!$P$34:$P$64, MATCH(TRUNC(B632, 0), 'Peak Models'!$O$34:$O$64, 0))</f>
        <v>#N/A</v>
      </c>
      <c r="M632" s="28">
        <f>'Peak Models'!$P$15*INDEX('Peak Models'!$Q$34:$Q$64, MATCH(TRUNC(B632, 0),'Peak Models'!$O$34:$O$64, 0))/'Profit per cycles Model'!$E$78</f>
        <v>7.1605565231862451</v>
      </c>
      <c r="N632" s="28" t="e">
        <f t="shared" si="156"/>
        <v>#N/A</v>
      </c>
      <c r="O632" s="71" t="e">
        <f>AVERAGE($N$10:N632)</f>
        <v>#N/A</v>
      </c>
      <c r="P632" s="28" t="e">
        <f t="shared" si="157"/>
        <v>#N/A</v>
      </c>
      <c r="R632" s="28" t="e">
        <f t="shared" si="158"/>
        <v>#VALUE!</v>
      </c>
      <c r="S632" s="25"/>
      <c r="T632" s="25">
        <f t="shared" si="159"/>
        <v>15</v>
      </c>
      <c r="U632" s="33">
        <f>IF(PaybackCustom&gt;0, IF(PaybackCustom&lt;&gt;"Default", PaybackCustom, IF(PaybackStatus&lt;&gt;"",INDEX('Arbitrage Payback Engine'!$Y$2:$Y$6,MATCH(PaybackStatus,'Arbitrage Payback Engine'!$X$2:$X$6,FALSE)),-1)))</f>
        <v>25</v>
      </c>
      <c r="V632" s="32">
        <f t="shared" si="168"/>
        <v>15</v>
      </c>
      <c r="X632" s="29">
        <f t="shared" si="169"/>
        <v>623</v>
      </c>
      <c r="Z632" s="30">
        <f t="shared" si="160"/>
        <v>17.066155321188877</v>
      </c>
      <c r="AA632" s="28" t="e">
        <f t="shared" si="161"/>
        <v>#N/A</v>
      </c>
      <c r="AB632" s="28" t="e">
        <f t="shared" si="162"/>
        <v>#VALUE!</v>
      </c>
      <c r="AC632" s="29">
        <f t="shared" si="163"/>
        <v>591.08159392789366</v>
      </c>
      <c r="AD632" s="28" t="e">
        <f t="shared" si="164"/>
        <v>#VALUE!</v>
      </c>
      <c r="AE632" s="28" t="e">
        <f t="shared" si="165"/>
        <v>#N/A</v>
      </c>
      <c r="AF632" s="28" t="e">
        <f t="shared" si="166"/>
        <v>#VALUE!</v>
      </c>
      <c r="AH632" s="31" t="e">
        <f t="shared" si="167"/>
        <v>#N/A</v>
      </c>
      <c r="AI632" s="25"/>
      <c r="AJ632" s="31"/>
    </row>
    <row r="633" spans="2:36" x14ac:dyDescent="0.25">
      <c r="B633" s="33">
        <f>'Arbitrage Payback Engine'!E633</f>
        <v>17.093548828927542</v>
      </c>
      <c r="C633" s="33">
        <f t="shared" si="153"/>
        <v>1000</v>
      </c>
      <c r="D633" s="33">
        <f>'Battery Pricing Model'!$C$17</f>
        <v>1000</v>
      </c>
      <c r="E633" s="33">
        <f t="shared" si="154"/>
        <v>999</v>
      </c>
      <c r="F633" s="33" t="str">
        <f>'Peak Models'!$B$4</f>
        <v>Default</v>
      </c>
      <c r="G633" s="33" t="e">
        <f>'Peak Models'!$Q$7</f>
        <v>#VALUE!</v>
      </c>
      <c r="H633" s="33">
        <f>'Peak Models'!$P$16</f>
        <v>1.5</v>
      </c>
      <c r="I633" s="33">
        <v>12</v>
      </c>
      <c r="J633" s="33" t="e">
        <f>'Peak Models'!$P$13</f>
        <v>#N/A</v>
      </c>
      <c r="K633" s="28" t="e">
        <f t="shared" si="155"/>
        <v>#VALUE!</v>
      </c>
      <c r="L633" s="28" t="e">
        <f>INDEX('Peak Models'!$P$34:$P$64, MATCH(TRUNC(B633, 0), 'Peak Models'!$O$34:$O$64, 0))</f>
        <v>#N/A</v>
      </c>
      <c r="M633" s="28">
        <f>'Peak Models'!$P$15*INDEX('Peak Models'!$Q$34:$Q$64, MATCH(TRUNC(B633, 0),'Peak Models'!$O$34:$O$64, 0))/'Profit per cycles Model'!$E$78</f>
        <v>7.1605565231862451</v>
      </c>
      <c r="N633" s="28" t="e">
        <f t="shared" si="156"/>
        <v>#N/A</v>
      </c>
      <c r="O633" s="71" t="e">
        <f>AVERAGE($N$10:N633)</f>
        <v>#N/A</v>
      </c>
      <c r="P633" s="28" t="e">
        <f t="shared" si="157"/>
        <v>#N/A</v>
      </c>
      <c r="R633" s="28" t="e">
        <f t="shared" si="158"/>
        <v>#VALUE!</v>
      </c>
      <c r="S633" s="25"/>
      <c r="T633" s="25">
        <f t="shared" si="159"/>
        <v>15</v>
      </c>
      <c r="U633" s="33">
        <f>IF(PaybackCustom&gt;0, IF(PaybackCustom&lt;&gt;"Default", PaybackCustom, IF(PaybackStatus&lt;&gt;"",INDEX('Arbitrage Payback Engine'!$Y$2:$Y$6,MATCH(PaybackStatus,'Arbitrage Payback Engine'!$X$2:$X$6,FALSE)),-1)))</f>
        <v>25</v>
      </c>
      <c r="V633" s="32">
        <f t="shared" si="168"/>
        <v>15</v>
      </c>
      <c r="X633" s="29">
        <f t="shared" si="169"/>
        <v>624</v>
      </c>
      <c r="Z633" s="30">
        <f t="shared" si="160"/>
        <v>17.093548828927542</v>
      </c>
      <c r="AA633" s="28" t="e">
        <f t="shared" si="161"/>
        <v>#N/A</v>
      </c>
      <c r="AB633" s="28" t="e">
        <f t="shared" si="162"/>
        <v>#VALUE!</v>
      </c>
      <c r="AC633" s="29">
        <f t="shared" si="163"/>
        <v>592.03036053130927</v>
      </c>
      <c r="AD633" s="28" t="e">
        <f t="shared" si="164"/>
        <v>#VALUE!</v>
      </c>
      <c r="AE633" s="28" t="e">
        <f t="shared" si="165"/>
        <v>#N/A</v>
      </c>
      <c r="AF633" s="28" t="e">
        <f t="shared" si="166"/>
        <v>#VALUE!</v>
      </c>
      <c r="AH633" s="31" t="e">
        <f t="shared" si="167"/>
        <v>#N/A</v>
      </c>
      <c r="AI633" s="25"/>
      <c r="AJ633" s="31"/>
    </row>
    <row r="634" spans="2:36" x14ac:dyDescent="0.25">
      <c r="B634" s="33">
        <f>'Arbitrage Payback Engine'!E634</f>
        <v>17.120942336666211</v>
      </c>
      <c r="C634" s="33">
        <f t="shared" si="153"/>
        <v>1000</v>
      </c>
      <c r="D634" s="33">
        <f>'Battery Pricing Model'!$C$17</f>
        <v>1000</v>
      </c>
      <c r="E634" s="33">
        <f t="shared" si="154"/>
        <v>999</v>
      </c>
      <c r="F634" s="33" t="str">
        <f>'Peak Models'!$B$4</f>
        <v>Default</v>
      </c>
      <c r="G634" s="33" t="e">
        <f>'Peak Models'!$Q$7</f>
        <v>#VALUE!</v>
      </c>
      <c r="H634" s="33">
        <f>'Peak Models'!$P$16</f>
        <v>1.5</v>
      </c>
      <c r="I634" s="33">
        <v>12</v>
      </c>
      <c r="J634" s="33" t="e">
        <f>'Peak Models'!$P$13</f>
        <v>#N/A</v>
      </c>
      <c r="K634" s="28" t="e">
        <f t="shared" si="155"/>
        <v>#VALUE!</v>
      </c>
      <c r="L634" s="28" t="e">
        <f>INDEX('Peak Models'!$P$34:$P$64, MATCH(TRUNC(B634, 0), 'Peak Models'!$O$34:$O$64, 0))</f>
        <v>#N/A</v>
      </c>
      <c r="M634" s="28">
        <f>'Peak Models'!$P$15*INDEX('Peak Models'!$Q$34:$Q$64, MATCH(TRUNC(B634, 0),'Peak Models'!$O$34:$O$64, 0))/'Profit per cycles Model'!$E$78</f>
        <v>7.1605565231862451</v>
      </c>
      <c r="N634" s="28" t="e">
        <f t="shared" si="156"/>
        <v>#N/A</v>
      </c>
      <c r="O634" s="71" t="e">
        <f>AVERAGE($N$10:N634)</f>
        <v>#N/A</v>
      </c>
      <c r="P634" s="28" t="e">
        <f t="shared" si="157"/>
        <v>#N/A</v>
      </c>
      <c r="R634" s="28" t="e">
        <f t="shared" si="158"/>
        <v>#VALUE!</v>
      </c>
      <c r="S634" s="25"/>
      <c r="T634" s="25">
        <f t="shared" si="159"/>
        <v>15</v>
      </c>
      <c r="U634" s="33">
        <f>IF(PaybackCustom&gt;0, IF(PaybackCustom&lt;&gt;"Default", PaybackCustom, IF(PaybackStatus&lt;&gt;"",INDEX('Arbitrage Payback Engine'!$Y$2:$Y$6,MATCH(PaybackStatus,'Arbitrage Payback Engine'!$X$2:$X$6,FALSE)),-1)))</f>
        <v>25</v>
      </c>
      <c r="V634" s="32">
        <f t="shared" si="168"/>
        <v>15</v>
      </c>
      <c r="X634" s="29">
        <f t="shared" si="169"/>
        <v>625</v>
      </c>
      <c r="Z634" s="30">
        <f t="shared" si="160"/>
        <v>17.120942336666211</v>
      </c>
      <c r="AA634" s="28" t="e">
        <f t="shared" si="161"/>
        <v>#N/A</v>
      </c>
      <c r="AB634" s="28" t="e">
        <f t="shared" si="162"/>
        <v>#VALUE!</v>
      </c>
      <c r="AC634" s="29">
        <f t="shared" si="163"/>
        <v>592.97912713472499</v>
      </c>
      <c r="AD634" s="28" t="e">
        <f t="shared" si="164"/>
        <v>#VALUE!</v>
      </c>
      <c r="AE634" s="28" t="e">
        <f t="shared" si="165"/>
        <v>#N/A</v>
      </c>
      <c r="AF634" s="28" t="e">
        <f t="shared" si="166"/>
        <v>#VALUE!</v>
      </c>
      <c r="AH634" s="31" t="e">
        <f t="shared" si="167"/>
        <v>#N/A</v>
      </c>
      <c r="AI634" s="25"/>
      <c r="AJ634" s="31"/>
    </row>
    <row r="635" spans="2:36" x14ac:dyDescent="0.25">
      <c r="B635" s="33">
        <f>'Arbitrage Payback Engine'!E635</f>
        <v>17.148335844404876</v>
      </c>
      <c r="C635" s="33">
        <f t="shared" si="153"/>
        <v>1000</v>
      </c>
      <c r="D635" s="33">
        <f>'Battery Pricing Model'!$C$17</f>
        <v>1000</v>
      </c>
      <c r="E635" s="33">
        <f t="shared" si="154"/>
        <v>999</v>
      </c>
      <c r="F635" s="33" t="str">
        <f>'Peak Models'!$B$4</f>
        <v>Default</v>
      </c>
      <c r="G635" s="33" t="e">
        <f>'Peak Models'!$Q$7</f>
        <v>#VALUE!</v>
      </c>
      <c r="H635" s="33">
        <f>'Peak Models'!$P$16</f>
        <v>1.5</v>
      </c>
      <c r="I635" s="33">
        <v>12</v>
      </c>
      <c r="J635" s="33" t="e">
        <f>'Peak Models'!$P$13</f>
        <v>#N/A</v>
      </c>
      <c r="K635" s="28" t="e">
        <f t="shared" si="155"/>
        <v>#VALUE!</v>
      </c>
      <c r="L635" s="28" t="e">
        <f>INDEX('Peak Models'!$P$34:$P$64, MATCH(TRUNC(B635, 0), 'Peak Models'!$O$34:$O$64, 0))</f>
        <v>#N/A</v>
      </c>
      <c r="M635" s="28">
        <f>'Peak Models'!$P$15*INDEX('Peak Models'!$Q$34:$Q$64, MATCH(TRUNC(B635, 0),'Peak Models'!$O$34:$O$64, 0))/'Profit per cycles Model'!$E$78</f>
        <v>7.1605565231862451</v>
      </c>
      <c r="N635" s="28" t="e">
        <f t="shared" si="156"/>
        <v>#N/A</v>
      </c>
      <c r="O635" s="71" t="e">
        <f>AVERAGE($N$10:N635)</f>
        <v>#N/A</v>
      </c>
      <c r="P635" s="28" t="e">
        <f t="shared" si="157"/>
        <v>#N/A</v>
      </c>
      <c r="R635" s="28" t="e">
        <f t="shared" si="158"/>
        <v>#VALUE!</v>
      </c>
      <c r="S635" s="25"/>
      <c r="T635" s="25">
        <f t="shared" si="159"/>
        <v>15</v>
      </c>
      <c r="U635" s="33">
        <f>IF(PaybackCustom&gt;0, IF(PaybackCustom&lt;&gt;"Default", PaybackCustom, IF(PaybackStatus&lt;&gt;"",INDEX('Arbitrage Payback Engine'!$Y$2:$Y$6,MATCH(PaybackStatus,'Arbitrage Payback Engine'!$X$2:$X$6,FALSE)),-1)))</f>
        <v>25</v>
      </c>
      <c r="V635" s="32">
        <f t="shared" si="168"/>
        <v>15</v>
      </c>
      <c r="X635" s="29">
        <f t="shared" si="169"/>
        <v>626</v>
      </c>
      <c r="Z635" s="30">
        <f t="shared" si="160"/>
        <v>17.148335844404876</v>
      </c>
      <c r="AA635" s="28" t="e">
        <f t="shared" si="161"/>
        <v>#N/A</v>
      </c>
      <c r="AB635" s="28" t="e">
        <f t="shared" si="162"/>
        <v>#VALUE!</v>
      </c>
      <c r="AC635" s="29">
        <f t="shared" si="163"/>
        <v>593.92789373814048</v>
      </c>
      <c r="AD635" s="28" t="e">
        <f t="shared" si="164"/>
        <v>#VALUE!</v>
      </c>
      <c r="AE635" s="28" t="e">
        <f t="shared" si="165"/>
        <v>#N/A</v>
      </c>
      <c r="AF635" s="28" t="e">
        <f t="shared" si="166"/>
        <v>#VALUE!</v>
      </c>
      <c r="AH635" s="31" t="e">
        <f t="shared" si="167"/>
        <v>#N/A</v>
      </c>
      <c r="AI635" s="25"/>
      <c r="AJ635" s="31"/>
    </row>
    <row r="636" spans="2:36" x14ac:dyDescent="0.25">
      <c r="B636" s="33">
        <f>'Arbitrage Payback Engine'!E636</f>
        <v>17.175729352143541</v>
      </c>
      <c r="C636" s="33">
        <f t="shared" si="153"/>
        <v>1000</v>
      </c>
      <c r="D636" s="33">
        <f>'Battery Pricing Model'!$C$17</f>
        <v>1000</v>
      </c>
      <c r="E636" s="33">
        <f t="shared" si="154"/>
        <v>999</v>
      </c>
      <c r="F636" s="33" t="str">
        <f>'Peak Models'!$B$4</f>
        <v>Default</v>
      </c>
      <c r="G636" s="33" t="e">
        <f>'Peak Models'!$Q$7</f>
        <v>#VALUE!</v>
      </c>
      <c r="H636" s="33">
        <f>'Peak Models'!$P$16</f>
        <v>1.5</v>
      </c>
      <c r="I636" s="33">
        <v>12</v>
      </c>
      <c r="J636" s="33" t="e">
        <f>'Peak Models'!$P$13</f>
        <v>#N/A</v>
      </c>
      <c r="K636" s="28" t="e">
        <f t="shared" si="155"/>
        <v>#VALUE!</v>
      </c>
      <c r="L636" s="28" t="e">
        <f>INDEX('Peak Models'!$P$34:$P$64, MATCH(TRUNC(B636, 0), 'Peak Models'!$O$34:$O$64, 0))</f>
        <v>#N/A</v>
      </c>
      <c r="M636" s="28">
        <f>'Peak Models'!$P$15*INDEX('Peak Models'!$Q$34:$Q$64, MATCH(TRUNC(B636, 0),'Peak Models'!$O$34:$O$64, 0))/'Profit per cycles Model'!$E$78</f>
        <v>7.1605565231862451</v>
      </c>
      <c r="N636" s="28" t="e">
        <f t="shared" si="156"/>
        <v>#N/A</v>
      </c>
      <c r="O636" s="71" t="e">
        <f>AVERAGE($N$10:N636)</f>
        <v>#N/A</v>
      </c>
      <c r="P636" s="28" t="e">
        <f t="shared" si="157"/>
        <v>#N/A</v>
      </c>
      <c r="R636" s="28" t="e">
        <f t="shared" si="158"/>
        <v>#VALUE!</v>
      </c>
      <c r="S636" s="25"/>
      <c r="T636" s="25">
        <f t="shared" si="159"/>
        <v>15</v>
      </c>
      <c r="U636" s="33">
        <f>IF(PaybackCustom&gt;0, IF(PaybackCustom&lt;&gt;"Default", PaybackCustom, IF(PaybackStatus&lt;&gt;"",INDEX('Arbitrage Payback Engine'!$Y$2:$Y$6,MATCH(PaybackStatus,'Arbitrage Payback Engine'!$X$2:$X$6,FALSE)),-1)))</f>
        <v>25</v>
      </c>
      <c r="V636" s="32">
        <f t="shared" si="168"/>
        <v>15</v>
      </c>
      <c r="X636" s="29">
        <f t="shared" si="169"/>
        <v>627</v>
      </c>
      <c r="Z636" s="30">
        <f t="shared" si="160"/>
        <v>17.175729352143541</v>
      </c>
      <c r="AA636" s="28" t="e">
        <f t="shared" si="161"/>
        <v>#N/A</v>
      </c>
      <c r="AB636" s="28" t="e">
        <f t="shared" si="162"/>
        <v>#VALUE!</v>
      </c>
      <c r="AC636" s="29">
        <f t="shared" si="163"/>
        <v>594.87666034155598</v>
      </c>
      <c r="AD636" s="28" t="e">
        <f t="shared" si="164"/>
        <v>#VALUE!</v>
      </c>
      <c r="AE636" s="28" t="e">
        <f t="shared" si="165"/>
        <v>#N/A</v>
      </c>
      <c r="AF636" s="28" t="e">
        <f t="shared" si="166"/>
        <v>#VALUE!</v>
      </c>
      <c r="AH636" s="31" t="e">
        <f t="shared" si="167"/>
        <v>#N/A</v>
      </c>
      <c r="AI636" s="25"/>
      <c r="AJ636" s="31"/>
    </row>
    <row r="637" spans="2:36" x14ac:dyDescent="0.25">
      <c r="B637" s="33">
        <f>'Arbitrage Payback Engine'!E637</f>
        <v>17.203122859882207</v>
      </c>
      <c r="C637" s="33">
        <f t="shared" si="153"/>
        <v>1000</v>
      </c>
      <c r="D637" s="33">
        <f>'Battery Pricing Model'!$C$17</f>
        <v>1000</v>
      </c>
      <c r="E637" s="33">
        <f t="shared" si="154"/>
        <v>999</v>
      </c>
      <c r="F637" s="33" t="str">
        <f>'Peak Models'!$B$4</f>
        <v>Default</v>
      </c>
      <c r="G637" s="33" t="e">
        <f>'Peak Models'!$Q$7</f>
        <v>#VALUE!</v>
      </c>
      <c r="H637" s="33">
        <f>'Peak Models'!$P$16</f>
        <v>1.5</v>
      </c>
      <c r="I637" s="33">
        <v>12</v>
      </c>
      <c r="J637" s="33" t="e">
        <f>'Peak Models'!$P$13</f>
        <v>#N/A</v>
      </c>
      <c r="K637" s="28" t="e">
        <f t="shared" si="155"/>
        <v>#VALUE!</v>
      </c>
      <c r="L637" s="28" t="e">
        <f>INDEX('Peak Models'!$P$34:$P$64, MATCH(TRUNC(B637, 0), 'Peak Models'!$O$34:$O$64, 0))</f>
        <v>#N/A</v>
      </c>
      <c r="M637" s="28">
        <f>'Peak Models'!$P$15*INDEX('Peak Models'!$Q$34:$Q$64, MATCH(TRUNC(B637, 0),'Peak Models'!$O$34:$O$64, 0))/'Profit per cycles Model'!$E$78</f>
        <v>7.1605565231862451</v>
      </c>
      <c r="N637" s="28" t="e">
        <f t="shared" si="156"/>
        <v>#N/A</v>
      </c>
      <c r="O637" s="71" t="e">
        <f>AVERAGE($N$10:N637)</f>
        <v>#N/A</v>
      </c>
      <c r="P637" s="28" t="e">
        <f t="shared" si="157"/>
        <v>#N/A</v>
      </c>
      <c r="R637" s="28" t="e">
        <f t="shared" si="158"/>
        <v>#VALUE!</v>
      </c>
      <c r="S637" s="25"/>
      <c r="T637" s="25">
        <f t="shared" si="159"/>
        <v>15</v>
      </c>
      <c r="U637" s="33">
        <f>IF(PaybackCustom&gt;0, IF(PaybackCustom&lt;&gt;"Default", PaybackCustom, IF(PaybackStatus&lt;&gt;"",INDEX('Arbitrage Payback Engine'!$Y$2:$Y$6,MATCH(PaybackStatus,'Arbitrage Payback Engine'!$X$2:$X$6,FALSE)),-1)))</f>
        <v>25</v>
      </c>
      <c r="V637" s="32">
        <f t="shared" si="168"/>
        <v>15</v>
      </c>
      <c r="X637" s="29">
        <f t="shared" si="169"/>
        <v>628</v>
      </c>
      <c r="Z637" s="30">
        <f t="shared" si="160"/>
        <v>17.203122859882207</v>
      </c>
      <c r="AA637" s="28" t="e">
        <f t="shared" si="161"/>
        <v>#N/A</v>
      </c>
      <c r="AB637" s="28" t="e">
        <f t="shared" si="162"/>
        <v>#VALUE!</v>
      </c>
      <c r="AC637" s="29">
        <f t="shared" si="163"/>
        <v>595.82542694497147</v>
      </c>
      <c r="AD637" s="28" t="e">
        <f t="shared" si="164"/>
        <v>#VALUE!</v>
      </c>
      <c r="AE637" s="28" t="e">
        <f t="shared" si="165"/>
        <v>#N/A</v>
      </c>
      <c r="AF637" s="28" t="e">
        <f t="shared" si="166"/>
        <v>#VALUE!</v>
      </c>
      <c r="AH637" s="31" t="e">
        <f t="shared" si="167"/>
        <v>#N/A</v>
      </c>
      <c r="AI637" s="25"/>
      <c r="AJ637" s="31"/>
    </row>
    <row r="638" spans="2:36" x14ac:dyDescent="0.25">
      <c r="B638" s="33">
        <f>'Arbitrage Payback Engine'!E638</f>
        <v>17.230516367620872</v>
      </c>
      <c r="C638" s="33">
        <f t="shared" si="153"/>
        <v>1000</v>
      </c>
      <c r="D638" s="33">
        <f>'Battery Pricing Model'!$C$17</f>
        <v>1000</v>
      </c>
      <c r="E638" s="33">
        <f t="shared" si="154"/>
        <v>999</v>
      </c>
      <c r="F638" s="33" t="str">
        <f>'Peak Models'!$B$4</f>
        <v>Default</v>
      </c>
      <c r="G638" s="33" t="e">
        <f>'Peak Models'!$Q$7</f>
        <v>#VALUE!</v>
      </c>
      <c r="H638" s="33">
        <f>'Peak Models'!$P$16</f>
        <v>1.5</v>
      </c>
      <c r="I638" s="33">
        <v>12</v>
      </c>
      <c r="J638" s="33" t="e">
        <f>'Peak Models'!$P$13</f>
        <v>#N/A</v>
      </c>
      <c r="K638" s="28" t="e">
        <f t="shared" si="155"/>
        <v>#VALUE!</v>
      </c>
      <c r="L638" s="28" t="e">
        <f>INDEX('Peak Models'!$P$34:$P$64, MATCH(TRUNC(B638, 0), 'Peak Models'!$O$34:$O$64, 0))</f>
        <v>#N/A</v>
      </c>
      <c r="M638" s="28">
        <f>'Peak Models'!$P$15*INDEX('Peak Models'!$Q$34:$Q$64, MATCH(TRUNC(B638, 0),'Peak Models'!$O$34:$O$64, 0))/'Profit per cycles Model'!$E$78</f>
        <v>7.1605565231862451</v>
      </c>
      <c r="N638" s="28" t="e">
        <f t="shared" si="156"/>
        <v>#N/A</v>
      </c>
      <c r="O638" s="71" t="e">
        <f>AVERAGE($N$10:N638)</f>
        <v>#N/A</v>
      </c>
      <c r="P638" s="28" t="e">
        <f t="shared" si="157"/>
        <v>#N/A</v>
      </c>
      <c r="R638" s="28" t="e">
        <f t="shared" si="158"/>
        <v>#VALUE!</v>
      </c>
      <c r="S638" s="25"/>
      <c r="T638" s="25">
        <f t="shared" si="159"/>
        <v>15</v>
      </c>
      <c r="U638" s="33">
        <f>IF(PaybackCustom&gt;0, IF(PaybackCustom&lt;&gt;"Default", PaybackCustom, IF(PaybackStatus&lt;&gt;"",INDEX('Arbitrage Payback Engine'!$Y$2:$Y$6,MATCH(PaybackStatus,'Arbitrage Payback Engine'!$X$2:$X$6,FALSE)),-1)))</f>
        <v>25</v>
      </c>
      <c r="V638" s="32">
        <f t="shared" si="168"/>
        <v>15</v>
      </c>
      <c r="X638" s="29">
        <f t="shared" si="169"/>
        <v>629</v>
      </c>
      <c r="Z638" s="30">
        <f t="shared" si="160"/>
        <v>17.230516367620872</v>
      </c>
      <c r="AA638" s="28" t="e">
        <f t="shared" si="161"/>
        <v>#N/A</v>
      </c>
      <c r="AB638" s="28" t="e">
        <f t="shared" si="162"/>
        <v>#VALUE!</v>
      </c>
      <c r="AC638" s="29">
        <f t="shared" si="163"/>
        <v>596.77419354838707</v>
      </c>
      <c r="AD638" s="28" t="e">
        <f t="shared" si="164"/>
        <v>#VALUE!</v>
      </c>
      <c r="AE638" s="28" t="e">
        <f t="shared" si="165"/>
        <v>#N/A</v>
      </c>
      <c r="AF638" s="28" t="e">
        <f t="shared" si="166"/>
        <v>#VALUE!</v>
      </c>
      <c r="AH638" s="31" t="e">
        <f t="shared" si="167"/>
        <v>#N/A</v>
      </c>
      <c r="AI638" s="25"/>
      <c r="AJ638" s="31"/>
    </row>
    <row r="639" spans="2:36" x14ac:dyDescent="0.25">
      <c r="B639" s="33">
        <f>'Arbitrage Payback Engine'!E639</f>
        <v>17.257909875359541</v>
      </c>
      <c r="C639" s="33">
        <f t="shared" si="153"/>
        <v>1000</v>
      </c>
      <c r="D639" s="33">
        <f>'Battery Pricing Model'!$C$17</f>
        <v>1000</v>
      </c>
      <c r="E639" s="33">
        <f t="shared" si="154"/>
        <v>999</v>
      </c>
      <c r="F639" s="33" t="str">
        <f>'Peak Models'!$B$4</f>
        <v>Default</v>
      </c>
      <c r="G639" s="33" t="e">
        <f>'Peak Models'!$Q$7</f>
        <v>#VALUE!</v>
      </c>
      <c r="H639" s="33">
        <f>'Peak Models'!$P$16</f>
        <v>1.5</v>
      </c>
      <c r="I639" s="33">
        <v>12</v>
      </c>
      <c r="J639" s="33" t="e">
        <f>'Peak Models'!$P$13</f>
        <v>#N/A</v>
      </c>
      <c r="K639" s="28" t="e">
        <f t="shared" si="155"/>
        <v>#VALUE!</v>
      </c>
      <c r="L639" s="28" t="e">
        <f>INDEX('Peak Models'!$P$34:$P$64, MATCH(TRUNC(B639, 0), 'Peak Models'!$O$34:$O$64, 0))</f>
        <v>#N/A</v>
      </c>
      <c r="M639" s="28">
        <f>'Peak Models'!$P$15*INDEX('Peak Models'!$Q$34:$Q$64, MATCH(TRUNC(B639, 0),'Peak Models'!$O$34:$O$64, 0))/'Profit per cycles Model'!$E$78</f>
        <v>7.1605565231862451</v>
      </c>
      <c r="N639" s="28" t="e">
        <f t="shared" si="156"/>
        <v>#N/A</v>
      </c>
      <c r="O639" s="71" t="e">
        <f>AVERAGE($N$10:N639)</f>
        <v>#N/A</v>
      </c>
      <c r="P639" s="28" t="e">
        <f t="shared" si="157"/>
        <v>#N/A</v>
      </c>
      <c r="R639" s="28" t="e">
        <f t="shared" si="158"/>
        <v>#VALUE!</v>
      </c>
      <c r="S639" s="25"/>
      <c r="T639" s="25">
        <f t="shared" si="159"/>
        <v>15</v>
      </c>
      <c r="U639" s="33">
        <f>IF(PaybackCustom&gt;0, IF(PaybackCustom&lt;&gt;"Default", PaybackCustom, IF(PaybackStatus&lt;&gt;"",INDEX('Arbitrage Payback Engine'!$Y$2:$Y$6,MATCH(PaybackStatus,'Arbitrage Payback Engine'!$X$2:$X$6,FALSE)),-1)))</f>
        <v>25</v>
      </c>
      <c r="V639" s="32">
        <f t="shared" si="168"/>
        <v>15</v>
      </c>
      <c r="X639" s="29">
        <f t="shared" si="169"/>
        <v>630</v>
      </c>
      <c r="Z639" s="30">
        <f t="shared" si="160"/>
        <v>17.257909875359541</v>
      </c>
      <c r="AA639" s="28" t="e">
        <f t="shared" si="161"/>
        <v>#N/A</v>
      </c>
      <c r="AB639" s="28" t="e">
        <f t="shared" si="162"/>
        <v>#VALUE!</v>
      </c>
      <c r="AC639" s="29">
        <f t="shared" si="163"/>
        <v>597.72296015180279</v>
      </c>
      <c r="AD639" s="28" t="e">
        <f t="shared" si="164"/>
        <v>#VALUE!</v>
      </c>
      <c r="AE639" s="28" t="e">
        <f t="shared" si="165"/>
        <v>#N/A</v>
      </c>
      <c r="AF639" s="28" t="e">
        <f t="shared" si="166"/>
        <v>#VALUE!</v>
      </c>
      <c r="AH639" s="31" t="e">
        <f t="shared" si="167"/>
        <v>#N/A</v>
      </c>
      <c r="AI639" s="25"/>
      <c r="AJ639" s="31"/>
    </row>
    <row r="640" spans="2:36" x14ac:dyDescent="0.25">
      <c r="B640" s="33">
        <f>'Arbitrage Payback Engine'!E640</f>
        <v>17.285303383098206</v>
      </c>
      <c r="C640" s="33">
        <f t="shared" si="153"/>
        <v>1000</v>
      </c>
      <c r="D640" s="33">
        <f>'Battery Pricing Model'!$C$17</f>
        <v>1000</v>
      </c>
      <c r="E640" s="33">
        <f t="shared" si="154"/>
        <v>999</v>
      </c>
      <c r="F640" s="33" t="str">
        <f>'Peak Models'!$B$4</f>
        <v>Default</v>
      </c>
      <c r="G640" s="33" t="e">
        <f>'Peak Models'!$Q$7</f>
        <v>#VALUE!</v>
      </c>
      <c r="H640" s="33">
        <f>'Peak Models'!$P$16</f>
        <v>1.5</v>
      </c>
      <c r="I640" s="33">
        <v>12</v>
      </c>
      <c r="J640" s="33" t="e">
        <f>'Peak Models'!$P$13</f>
        <v>#N/A</v>
      </c>
      <c r="K640" s="28" t="e">
        <f t="shared" si="155"/>
        <v>#VALUE!</v>
      </c>
      <c r="L640" s="28" t="e">
        <f>INDEX('Peak Models'!$P$34:$P$64, MATCH(TRUNC(B640, 0), 'Peak Models'!$O$34:$O$64, 0))</f>
        <v>#N/A</v>
      </c>
      <c r="M640" s="28">
        <f>'Peak Models'!$P$15*INDEX('Peak Models'!$Q$34:$Q$64, MATCH(TRUNC(B640, 0),'Peak Models'!$O$34:$O$64, 0))/'Profit per cycles Model'!$E$78</f>
        <v>7.1605565231862451</v>
      </c>
      <c r="N640" s="28" t="e">
        <f t="shared" si="156"/>
        <v>#N/A</v>
      </c>
      <c r="O640" s="71" t="e">
        <f>AVERAGE($N$10:N640)</f>
        <v>#N/A</v>
      </c>
      <c r="P640" s="28" t="e">
        <f t="shared" si="157"/>
        <v>#N/A</v>
      </c>
      <c r="R640" s="28" t="e">
        <f t="shared" si="158"/>
        <v>#VALUE!</v>
      </c>
      <c r="S640" s="25"/>
      <c r="T640" s="25">
        <f t="shared" si="159"/>
        <v>15</v>
      </c>
      <c r="U640" s="33">
        <f>IF(PaybackCustom&gt;0, IF(PaybackCustom&lt;&gt;"Default", PaybackCustom, IF(PaybackStatus&lt;&gt;"",INDEX('Arbitrage Payback Engine'!$Y$2:$Y$6,MATCH(PaybackStatus,'Arbitrage Payback Engine'!$X$2:$X$6,FALSE)),-1)))</f>
        <v>25</v>
      </c>
      <c r="V640" s="32">
        <f t="shared" si="168"/>
        <v>15</v>
      </c>
      <c r="X640" s="29">
        <f t="shared" si="169"/>
        <v>631</v>
      </c>
      <c r="Z640" s="30">
        <f t="shared" si="160"/>
        <v>17.285303383098206</v>
      </c>
      <c r="AA640" s="28" t="e">
        <f t="shared" si="161"/>
        <v>#N/A</v>
      </c>
      <c r="AB640" s="28" t="e">
        <f t="shared" si="162"/>
        <v>#VALUE!</v>
      </c>
      <c r="AC640" s="29">
        <f t="shared" si="163"/>
        <v>598.67172675521829</v>
      </c>
      <c r="AD640" s="28" t="e">
        <f t="shared" si="164"/>
        <v>#VALUE!</v>
      </c>
      <c r="AE640" s="28" t="e">
        <f t="shared" si="165"/>
        <v>#N/A</v>
      </c>
      <c r="AF640" s="28" t="e">
        <f t="shared" si="166"/>
        <v>#VALUE!</v>
      </c>
      <c r="AH640" s="31" t="e">
        <f t="shared" si="167"/>
        <v>#N/A</v>
      </c>
      <c r="AI640" s="25"/>
      <c r="AJ640" s="31"/>
    </row>
    <row r="641" spans="2:36" x14ac:dyDescent="0.25">
      <c r="B641" s="33">
        <f>'Arbitrage Payback Engine'!E641</f>
        <v>17.312696890836872</v>
      </c>
      <c r="C641" s="33">
        <f t="shared" si="153"/>
        <v>1000</v>
      </c>
      <c r="D641" s="33">
        <f>'Battery Pricing Model'!$C$17</f>
        <v>1000</v>
      </c>
      <c r="E641" s="33">
        <f t="shared" si="154"/>
        <v>999</v>
      </c>
      <c r="F641" s="33" t="str">
        <f>'Peak Models'!$B$4</f>
        <v>Default</v>
      </c>
      <c r="G641" s="33" t="e">
        <f>'Peak Models'!$Q$7</f>
        <v>#VALUE!</v>
      </c>
      <c r="H641" s="33">
        <f>'Peak Models'!$P$16</f>
        <v>1.5</v>
      </c>
      <c r="I641" s="33">
        <v>12</v>
      </c>
      <c r="J641" s="33" t="e">
        <f>'Peak Models'!$P$13</f>
        <v>#N/A</v>
      </c>
      <c r="K641" s="28" t="e">
        <f t="shared" si="155"/>
        <v>#VALUE!</v>
      </c>
      <c r="L641" s="28" t="e">
        <f>INDEX('Peak Models'!$P$34:$P$64, MATCH(TRUNC(B641, 0), 'Peak Models'!$O$34:$O$64, 0))</f>
        <v>#N/A</v>
      </c>
      <c r="M641" s="28">
        <f>'Peak Models'!$P$15*INDEX('Peak Models'!$Q$34:$Q$64, MATCH(TRUNC(B641, 0),'Peak Models'!$O$34:$O$64, 0))/'Profit per cycles Model'!$E$78</f>
        <v>7.1605565231862451</v>
      </c>
      <c r="N641" s="28" t="e">
        <f t="shared" si="156"/>
        <v>#N/A</v>
      </c>
      <c r="O641" s="71" t="e">
        <f>AVERAGE($N$10:N641)</f>
        <v>#N/A</v>
      </c>
      <c r="P641" s="28" t="e">
        <f t="shared" si="157"/>
        <v>#N/A</v>
      </c>
      <c r="R641" s="28" t="e">
        <f t="shared" si="158"/>
        <v>#VALUE!</v>
      </c>
      <c r="S641" s="25"/>
      <c r="T641" s="25">
        <f t="shared" si="159"/>
        <v>15</v>
      </c>
      <c r="U641" s="33">
        <f>IF(PaybackCustom&gt;0, IF(PaybackCustom&lt;&gt;"Default", PaybackCustom, IF(PaybackStatus&lt;&gt;"",INDEX('Arbitrage Payback Engine'!$Y$2:$Y$6,MATCH(PaybackStatus,'Arbitrage Payback Engine'!$X$2:$X$6,FALSE)),-1)))</f>
        <v>25</v>
      </c>
      <c r="V641" s="32">
        <f t="shared" si="168"/>
        <v>15</v>
      </c>
      <c r="X641" s="29">
        <f t="shared" si="169"/>
        <v>632</v>
      </c>
      <c r="Z641" s="30">
        <f t="shared" si="160"/>
        <v>17.312696890836872</v>
      </c>
      <c r="AA641" s="28" t="e">
        <f t="shared" si="161"/>
        <v>#N/A</v>
      </c>
      <c r="AB641" s="28" t="e">
        <f t="shared" si="162"/>
        <v>#VALUE!</v>
      </c>
      <c r="AC641" s="29">
        <f t="shared" si="163"/>
        <v>599.62049335863389</v>
      </c>
      <c r="AD641" s="28" t="e">
        <f t="shared" si="164"/>
        <v>#VALUE!</v>
      </c>
      <c r="AE641" s="28" t="e">
        <f t="shared" si="165"/>
        <v>#N/A</v>
      </c>
      <c r="AF641" s="28" t="e">
        <f t="shared" si="166"/>
        <v>#VALUE!</v>
      </c>
      <c r="AH641" s="31" t="e">
        <f t="shared" si="167"/>
        <v>#N/A</v>
      </c>
      <c r="AI641" s="25"/>
      <c r="AJ641" s="31"/>
    </row>
    <row r="642" spans="2:36" x14ac:dyDescent="0.25">
      <c r="B642" s="33">
        <f>'Arbitrage Payback Engine'!E642</f>
        <v>17.340090398575537</v>
      </c>
      <c r="C642" s="33">
        <f t="shared" si="153"/>
        <v>1000</v>
      </c>
      <c r="D642" s="33">
        <f>'Battery Pricing Model'!$C$17</f>
        <v>1000</v>
      </c>
      <c r="E642" s="33">
        <f t="shared" si="154"/>
        <v>999</v>
      </c>
      <c r="F642" s="33" t="str">
        <f>'Peak Models'!$B$4</f>
        <v>Default</v>
      </c>
      <c r="G642" s="33" t="e">
        <f>'Peak Models'!$Q$7</f>
        <v>#VALUE!</v>
      </c>
      <c r="H642" s="33">
        <f>'Peak Models'!$P$16</f>
        <v>1.5</v>
      </c>
      <c r="I642" s="33">
        <v>12</v>
      </c>
      <c r="J642" s="33" t="e">
        <f>'Peak Models'!$P$13</f>
        <v>#N/A</v>
      </c>
      <c r="K642" s="28" t="e">
        <f t="shared" si="155"/>
        <v>#VALUE!</v>
      </c>
      <c r="L642" s="28" t="e">
        <f>INDEX('Peak Models'!$P$34:$P$64, MATCH(TRUNC(B642, 0), 'Peak Models'!$O$34:$O$64, 0))</f>
        <v>#N/A</v>
      </c>
      <c r="M642" s="28">
        <f>'Peak Models'!$P$15*INDEX('Peak Models'!$Q$34:$Q$64, MATCH(TRUNC(B642, 0),'Peak Models'!$O$34:$O$64, 0))/'Profit per cycles Model'!$E$78</f>
        <v>7.1605565231862451</v>
      </c>
      <c r="N642" s="28" t="e">
        <f t="shared" si="156"/>
        <v>#N/A</v>
      </c>
      <c r="O642" s="71" t="e">
        <f>AVERAGE($N$10:N642)</f>
        <v>#N/A</v>
      </c>
      <c r="P642" s="28" t="e">
        <f t="shared" si="157"/>
        <v>#N/A</v>
      </c>
      <c r="R642" s="28" t="e">
        <f t="shared" si="158"/>
        <v>#VALUE!</v>
      </c>
      <c r="S642" s="25"/>
      <c r="T642" s="25">
        <f t="shared" si="159"/>
        <v>15</v>
      </c>
      <c r="U642" s="33">
        <f>IF(PaybackCustom&gt;0, IF(PaybackCustom&lt;&gt;"Default", PaybackCustom, IF(PaybackStatus&lt;&gt;"",INDEX('Arbitrage Payback Engine'!$Y$2:$Y$6,MATCH(PaybackStatus,'Arbitrage Payback Engine'!$X$2:$X$6,FALSE)),-1)))</f>
        <v>25</v>
      </c>
      <c r="V642" s="32">
        <f t="shared" si="168"/>
        <v>15</v>
      </c>
      <c r="X642" s="29">
        <f t="shared" si="169"/>
        <v>633</v>
      </c>
      <c r="Z642" s="30">
        <f t="shared" si="160"/>
        <v>17.340090398575537</v>
      </c>
      <c r="AA642" s="28" t="e">
        <f t="shared" si="161"/>
        <v>#N/A</v>
      </c>
      <c r="AB642" s="28" t="e">
        <f t="shared" si="162"/>
        <v>#VALUE!</v>
      </c>
      <c r="AC642" s="29">
        <f t="shared" si="163"/>
        <v>600.56925996204927</v>
      </c>
      <c r="AD642" s="28" t="e">
        <f t="shared" si="164"/>
        <v>#VALUE!</v>
      </c>
      <c r="AE642" s="28" t="e">
        <f t="shared" si="165"/>
        <v>#N/A</v>
      </c>
      <c r="AF642" s="28" t="e">
        <f t="shared" si="166"/>
        <v>#VALUE!</v>
      </c>
      <c r="AH642" s="31" t="e">
        <f t="shared" si="167"/>
        <v>#N/A</v>
      </c>
      <c r="AI642" s="25"/>
      <c r="AJ642" s="31"/>
    </row>
    <row r="643" spans="2:36" x14ac:dyDescent="0.25">
      <c r="B643" s="33">
        <f>'Arbitrage Payback Engine'!E643</f>
        <v>17.367483906314202</v>
      </c>
      <c r="C643" s="33">
        <f t="shared" si="153"/>
        <v>1000</v>
      </c>
      <c r="D643" s="33">
        <f>'Battery Pricing Model'!$C$17</f>
        <v>1000</v>
      </c>
      <c r="E643" s="33">
        <f t="shared" si="154"/>
        <v>999</v>
      </c>
      <c r="F643" s="33" t="str">
        <f>'Peak Models'!$B$4</f>
        <v>Default</v>
      </c>
      <c r="G643" s="33" t="e">
        <f>'Peak Models'!$Q$7</f>
        <v>#VALUE!</v>
      </c>
      <c r="H643" s="33">
        <f>'Peak Models'!$P$16</f>
        <v>1.5</v>
      </c>
      <c r="I643" s="33">
        <v>12</v>
      </c>
      <c r="J643" s="33" t="e">
        <f>'Peak Models'!$P$13</f>
        <v>#N/A</v>
      </c>
      <c r="K643" s="28" t="e">
        <f t="shared" si="155"/>
        <v>#VALUE!</v>
      </c>
      <c r="L643" s="28" t="e">
        <f>INDEX('Peak Models'!$P$34:$P$64, MATCH(TRUNC(B643, 0), 'Peak Models'!$O$34:$O$64, 0))</f>
        <v>#N/A</v>
      </c>
      <c r="M643" s="28">
        <f>'Peak Models'!$P$15*INDEX('Peak Models'!$Q$34:$Q$64, MATCH(TRUNC(B643, 0),'Peak Models'!$O$34:$O$64, 0))/'Profit per cycles Model'!$E$78</f>
        <v>7.1605565231862451</v>
      </c>
      <c r="N643" s="28" t="e">
        <f t="shared" si="156"/>
        <v>#N/A</v>
      </c>
      <c r="O643" s="71" t="e">
        <f>AVERAGE($N$10:N643)</f>
        <v>#N/A</v>
      </c>
      <c r="P643" s="28" t="e">
        <f t="shared" si="157"/>
        <v>#N/A</v>
      </c>
      <c r="R643" s="28" t="e">
        <f t="shared" si="158"/>
        <v>#VALUE!</v>
      </c>
      <c r="S643" s="25"/>
      <c r="T643" s="25">
        <f t="shared" si="159"/>
        <v>15</v>
      </c>
      <c r="U643" s="33">
        <f>IF(PaybackCustom&gt;0, IF(PaybackCustom&lt;&gt;"Default", PaybackCustom, IF(PaybackStatus&lt;&gt;"",INDEX('Arbitrage Payback Engine'!$Y$2:$Y$6,MATCH(PaybackStatus,'Arbitrage Payback Engine'!$X$2:$X$6,FALSE)),-1)))</f>
        <v>25</v>
      </c>
      <c r="V643" s="32">
        <f t="shared" si="168"/>
        <v>15</v>
      </c>
      <c r="X643" s="29">
        <f t="shared" si="169"/>
        <v>634</v>
      </c>
      <c r="Z643" s="30">
        <f t="shared" si="160"/>
        <v>17.367483906314202</v>
      </c>
      <c r="AA643" s="28" t="e">
        <f t="shared" si="161"/>
        <v>#N/A</v>
      </c>
      <c r="AB643" s="28" t="e">
        <f t="shared" si="162"/>
        <v>#VALUE!</v>
      </c>
      <c r="AC643" s="29">
        <f t="shared" si="163"/>
        <v>601.51802656546488</v>
      </c>
      <c r="AD643" s="28" t="e">
        <f t="shared" si="164"/>
        <v>#VALUE!</v>
      </c>
      <c r="AE643" s="28" t="e">
        <f t="shared" si="165"/>
        <v>#N/A</v>
      </c>
      <c r="AF643" s="28" t="e">
        <f t="shared" si="166"/>
        <v>#VALUE!</v>
      </c>
      <c r="AH643" s="31" t="e">
        <f t="shared" si="167"/>
        <v>#N/A</v>
      </c>
      <c r="AI643" s="25"/>
      <c r="AJ643" s="31"/>
    </row>
    <row r="644" spans="2:36" x14ac:dyDescent="0.25">
      <c r="B644" s="33">
        <f>'Arbitrage Payback Engine'!E644</f>
        <v>17.394877414052868</v>
      </c>
      <c r="C644" s="33">
        <f t="shared" si="153"/>
        <v>1000</v>
      </c>
      <c r="D644" s="33">
        <f>'Battery Pricing Model'!$C$17</f>
        <v>1000</v>
      </c>
      <c r="E644" s="33">
        <f t="shared" si="154"/>
        <v>999</v>
      </c>
      <c r="F644" s="33" t="str">
        <f>'Peak Models'!$B$4</f>
        <v>Default</v>
      </c>
      <c r="G644" s="33" t="e">
        <f>'Peak Models'!$Q$7</f>
        <v>#VALUE!</v>
      </c>
      <c r="H644" s="33">
        <f>'Peak Models'!$P$16</f>
        <v>1.5</v>
      </c>
      <c r="I644" s="33">
        <v>12</v>
      </c>
      <c r="J644" s="33" t="e">
        <f>'Peak Models'!$P$13</f>
        <v>#N/A</v>
      </c>
      <c r="K644" s="28" t="e">
        <f t="shared" si="155"/>
        <v>#VALUE!</v>
      </c>
      <c r="L644" s="28" t="e">
        <f>INDEX('Peak Models'!$P$34:$P$64, MATCH(TRUNC(B644, 0), 'Peak Models'!$O$34:$O$64, 0))</f>
        <v>#N/A</v>
      </c>
      <c r="M644" s="28">
        <f>'Peak Models'!$P$15*INDEX('Peak Models'!$Q$34:$Q$64, MATCH(TRUNC(B644, 0),'Peak Models'!$O$34:$O$64, 0))/'Profit per cycles Model'!$E$78</f>
        <v>7.1605565231862451</v>
      </c>
      <c r="N644" s="28" t="e">
        <f t="shared" si="156"/>
        <v>#N/A</v>
      </c>
      <c r="O644" s="71" t="e">
        <f>AVERAGE($N$10:N644)</f>
        <v>#N/A</v>
      </c>
      <c r="P644" s="28" t="e">
        <f t="shared" si="157"/>
        <v>#N/A</v>
      </c>
      <c r="R644" s="28" t="e">
        <f t="shared" si="158"/>
        <v>#VALUE!</v>
      </c>
      <c r="S644" s="25"/>
      <c r="T644" s="25">
        <f t="shared" si="159"/>
        <v>15</v>
      </c>
      <c r="U644" s="33">
        <f>IF(PaybackCustom&gt;0, IF(PaybackCustom&lt;&gt;"Default", PaybackCustom, IF(PaybackStatus&lt;&gt;"",INDEX('Arbitrage Payback Engine'!$Y$2:$Y$6,MATCH(PaybackStatus,'Arbitrage Payback Engine'!$X$2:$X$6,FALSE)),-1)))</f>
        <v>25</v>
      </c>
      <c r="V644" s="32">
        <f t="shared" si="168"/>
        <v>15</v>
      </c>
      <c r="X644" s="29">
        <f t="shared" si="169"/>
        <v>635</v>
      </c>
      <c r="Z644" s="30">
        <f t="shared" si="160"/>
        <v>17.394877414052868</v>
      </c>
      <c r="AA644" s="28" t="e">
        <f t="shared" si="161"/>
        <v>#N/A</v>
      </c>
      <c r="AB644" s="28" t="e">
        <f t="shared" si="162"/>
        <v>#VALUE!</v>
      </c>
      <c r="AC644" s="29">
        <f t="shared" si="163"/>
        <v>602.46679316888049</v>
      </c>
      <c r="AD644" s="28" t="e">
        <f t="shared" si="164"/>
        <v>#VALUE!</v>
      </c>
      <c r="AE644" s="28" t="e">
        <f t="shared" si="165"/>
        <v>#N/A</v>
      </c>
      <c r="AF644" s="28" t="e">
        <f t="shared" si="166"/>
        <v>#VALUE!</v>
      </c>
      <c r="AH644" s="31" t="e">
        <f t="shared" si="167"/>
        <v>#N/A</v>
      </c>
      <c r="AI644" s="25"/>
      <c r="AJ644" s="31"/>
    </row>
    <row r="645" spans="2:36" x14ac:dyDescent="0.25">
      <c r="B645" s="33">
        <f>'Arbitrage Payback Engine'!E645</f>
        <v>17.422270921791537</v>
      </c>
      <c r="C645" s="33">
        <f t="shared" si="153"/>
        <v>1000</v>
      </c>
      <c r="D645" s="33">
        <f>'Battery Pricing Model'!$C$17</f>
        <v>1000</v>
      </c>
      <c r="E645" s="33">
        <f t="shared" si="154"/>
        <v>999</v>
      </c>
      <c r="F645" s="33" t="str">
        <f>'Peak Models'!$B$4</f>
        <v>Default</v>
      </c>
      <c r="G645" s="33" t="e">
        <f>'Peak Models'!$Q$7</f>
        <v>#VALUE!</v>
      </c>
      <c r="H645" s="33">
        <f>'Peak Models'!$P$16</f>
        <v>1.5</v>
      </c>
      <c r="I645" s="33">
        <v>12</v>
      </c>
      <c r="J645" s="33" t="e">
        <f>'Peak Models'!$P$13</f>
        <v>#N/A</v>
      </c>
      <c r="K645" s="28" t="e">
        <f t="shared" si="155"/>
        <v>#VALUE!</v>
      </c>
      <c r="L645" s="28" t="e">
        <f>INDEX('Peak Models'!$P$34:$P$64, MATCH(TRUNC(B645, 0), 'Peak Models'!$O$34:$O$64, 0))</f>
        <v>#N/A</v>
      </c>
      <c r="M645" s="28">
        <f>'Peak Models'!$P$15*INDEX('Peak Models'!$Q$34:$Q$64, MATCH(TRUNC(B645, 0),'Peak Models'!$O$34:$O$64, 0))/'Profit per cycles Model'!$E$78</f>
        <v>7.1605565231862451</v>
      </c>
      <c r="N645" s="28" t="e">
        <f t="shared" si="156"/>
        <v>#N/A</v>
      </c>
      <c r="O645" s="71" t="e">
        <f>AVERAGE($N$10:N645)</f>
        <v>#N/A</v>
      </c>
      <c r="P645" s="28" t="e">
        <f t="shared" si="157"/>
        <v>#N/A</v>
      </c>
      <c r="R645" s="28" t="e">
        <f t="shared" si="158"/>
        <v>#VALUE!</v>
      </c>
      <c r="S645" s="25"/>
      <c r="T645" s="25">
        <f t="shared" si="159"/>
        <v>15</v>
      </c>
      <c r="U645" s="33">
        <f>IF(PaybackCustom&gt;0, IF(PaybackCustom&lt;&gt;"Default", PaybackCustom, IF(PaybackStatus&lt;&gt;"",INDEX('Arbitrage Payback Engine'!$Y$2:$Y$6,MATCH(PaybackStatus,'Arbitrage Payback Engine'!$X$2:$X$6,FALSE)),-1)))</f>
        <v>25</v>
      </c>
      <c r="V645" s="32">
        <f t="shared" si="168"/>
        <v>15</v>
      </c>
      <c r="X645" s="29">
        <f t="shared" si="169"/>
        <v>636</v>
      </c>
      <c r="Z645" s="30">
        <f t="shared" si="160"/>
        <v>17.422270921791537</v>
      </c>
      <c r="AA645" s="28" t="e">
        <f t="shared" si="161"/>
        <v>#N/A</v>
      </c>
      <c r="AB645" s="28" t="e">
        <f t="shared" si="162"/>
        <v>#VALUE!</v>
      </c>
      <c r="AC645" s="29">
        <f t="shared" si="163"/>
        <v>603.41555977229609</v>
      </c>
      <c r="AD645" s="28" t="e">
        <f t="shared" si="164"/>
        <v>#VALUE!</v>
      </c>
      <c r="AE645" s="28" t="e">
        <f t="shared" si="165"/>
        <v>#N/A</v>
      </c>
      <c r="AF645" s="28" t="e">
        <f t="shared" si="166"/>
        <v>#VALUE!</v>
      </c>
      <c r="AH645" s="31" t="e">
        <f t="shared" si="167"/>
        <v>#N/A</v>
      </c>
      <c r="AI645" s="25"/>
      <c r="AJ645" s="31"/>
    </row>
    <row r="646" spans="2:36" x14ac:dyDescent="0.25">
      <c r="B646" s="33">
        <f>'Arbitrage Payback Engine'!E646</f>
        <v>17.449664429530202</v>
      </c>
      <c r="C646" s="33">
        <f t="shared" si="153"/>
        <v>1000</v>
      </c>
      <c r="D646" s="33">
        <f>'Battery Pricing Model'!$C$17</f>
        <v>1000</v>
      </c>
      <c r="E646" s="33">
        <f t="shared" si="154"/>
        <v>999</v>
      </c>
      <c r="F646" s="33" t="str">
        <f>'Peak Models'!$B$4</f>
        <v>Default</v>
      </c>
      <c r="G646" s="33" t="e">
        <f>'Peak Models'!$Q$7</f>
        <v>#VALUE!</v>
      </c>
      <c r="H646" s="33">
        <f>'Peak Models'!$P$16</f>
        <v>1.5</v>
      </c>
      <c r="I646" s="33">
        <v>12</v>
      </c>
      <c r="J646" s="33" t="e">
        <f>'Peak Models'!$P$13</f>
        <v>#N/A</v>
      </c>
      <c r="K646" s="28" t="e">
        <f t="shared" si="155"/>
        <v>#VALUE!</v>
      </c>
      <c r="L646" s="28" t="e">
        <f>INDEX('Peak Models'!$P$34:$P$64, MATCH(TRUNC(B646, 0), 'Peak Models'!$O$34:$O$64, 0))</f>
        <v>#N/A</v>
      </c>
      <c r="M646" s="28">
        <f>'Peak Models'!$P$15*INDEX('Peak Models'!$Q$34:$Q$64, MATCH(TRUNC(B646, 0),'Peak Models'!$O$34:$O$64, 0))/'Profit per cycles Model'!$E$78</f>
        <v>7.1605565231862451</v>
      </c>
      <c r="N646" s="28" t="e">
        <f t="shared" si="156"/>
        <v>#N/A</v>
      </c>
      <c r="O646" s="71" t="e">
        <f>AVERAGE($N$10:N646)</f>
        <v>#N/A</v>
      </c>
      <c r="P646" s="28" t="e">
        <f t="shared" si="157"/>
        <v>#N/A</v>
      </c>
      <c r="R646" s="28" t="e">
        <f t="shared" si="158"/>
        <v>#VALUE!</v>
      </c>
      <c r="S646" s="25"/>
      <c r="T646" s="25">
        <f t="shared" si="159"/>
        <v>15</v>
      </c>
      <c r="U646" s="33">
        <f>IF(PaybackCustom&gt;0, IF(PaybackCustom&lt;&gt;"Default", PaybackCustom, IF(PaybackStatus&lt;&gt;"",INDEX('Arbitrage Payback Engine'!$Y$2:$Y$6,MATCH(PaybackStatus,'Arbitrage Payback Engine'!$X$2:$X$6,FALSE)),-1)))</f>
        <v>25</v>
      </c>
      <c r="V646" s="32">
        <f t="shared" si="168"/>
        <v>15</v>
      </c>
      <c r="X646" s="29">
        <f t="shared" si="169"/>
        <v>637</v>
      </c>
      <c r="Z646" s="30">
        <f t="shared" si="160"/>
        <v>17.449664429530202</v>
      </c>
      <c r="AA646" s="28" t="e">
        <f t="shared" si="161"/>
        <v>#N/A</v>
      </c>
      <c r="AB646" s="28" t="e">
        <f t="shared" si="162"/>
        <v>#VALUE!</v>
      </c>
      <c r="AC646" s="29">
        <f t="shared" si="163"/>
        <v>604.3643263757117</v>
      </c>
      <c r="AD646" s="28" t="e">
        <f t="shared" si="164"/>
        <v>#VALUE!</v>
      </c>
      <c r="AE646" s="28" t="e">
        <f t="shared" si="165"/>
        <v>#N/A</v>
      </c>
      <c r="AF646" s="28" t="e">
        <f t="shared" si="166"/>
        <v>#VALUE!</v>
      </c>
      <c r="AH646" s="31" t="e">
        <f t="shared" si="167"/>
        <v>#N/A</v>
      </c>
      <c r="AI646" s="25"/>
      <c r="AJ646" s="31"/>
    </row>
    <row r="647" spans="2:36" x14ac:dyDescent="0.25">
      <c r="B647" s="33">
        <f>'Arbitrage Payback Engine'!E647</f>
        <v>17.477057937268867</v>
      </c>
      <c r="C647" s="33">
        <f t="shared" si="153"/>
        <v>1000</v>
      </c>
      <c r="D647" s="33">
        <f>'Battery Pricing Model'!$C$17</f>
        <v>1000</v>
      </c>
      <c r="E647" s="33">
        <f t="shared" si="154"/>
        <v>999</v>
      </c>
      <c r="F647" s="33" t="str">
        <f>'Peak Models'!$B$4</f>
        <v>Default</v>
      </c>
      <c r="G647" s="33" t="e">
        <f>'Peak Models'!$Q$7</f>
        <v>#VALUE!</v>
      </c>
      <c r="H647" s="33">
        <f>'Peak Models'!$P$16</f>
        <v>1.5</v>
      </c>
      <c r="I647" s="33">
        <v>12</v>
      </c>
      <c r="J647" s="33" t="e">
        <f>'Peak Models'!$P$13</f>
        <v>#N/A</v>
      </c>
      <c r="K647" s="28" t="e">
        <f t="shared" si="155"/>
        <v>#VALUE!</v>
      </c>
      <c r="L647" s="28" t="e">
        <f>INDEX('Peak Models'!$P$34:$P$64, MATCH(TRUNC(B647, 0), 'Peak Models'!$O$34:$O$64, 0))</f>
        <v>#N/A</v>
      </c>
      <c r="M647" s="28">
        <f>'Peak Models'!$P$15*INDEX('Peak Models'!$Q$34:$Q$64, MATCH(TRUNC(B647, 0),'Peak Models'!$O$34:$O$64, 0))/'Profit per cycles Model'!$E$78</f>
        <v>7.1605565231862451</v>
      </c>
      <c r="N647" s="28" t="e">
        <f t="shared" si="156"/>
        <v>#N/A</v>
      </c>
      <c r="O647" s="71" t="e">
        <f>AVERAGE($N$10:N647)</f>
        <v>#N/A</v>
      </c>
      <c r="P647" s="28" t="e">
        <f t="shared" si="157"/>
        <v>#N/A</v>
      </c>
      <c r="R647" s="28" t="e">
        <f t="shared" si="158"/>
        <v>#VALUE!</v>
      </c>
      <c r="S647" s="25"/>
      <c r="T647" s="25">
        <f t="shared" si="159"/>
        <v>15</v>
      </c>
      <c r="U647" s="33">
        <f>IF(PaybackCustom&gt;0, IF(PaybackCustom&lt;&gt;"Default", PaybackCustom, IF(PaybackStatus&lt;&gt;"",INDEX('Arbitrage Payback Engine'!$Y$2:$Y$6,MATCH(PaybackStatus,'Arbitrage Payback Engine'!$X$2:$X$6,FALSE)),-1)))</f>
        <v>25</v>
      </c>
      <c r="V647" s="32">
        <f t="shared" si="168"/>
        <v>15</v>
      </c>
      <c r="X647" s="29">
        <f t="shared" si="169"/>
        <v>638</v>
      </c>
      <c r="Z647" s="30">
        <f t="shared" si="160"/>
        <v>17.477057937268867</v>
      </c>
      <c r="AA647" s="28" t="e">
        <f t="shared" si="161"/>
        <v>#N/A</v>
      </c>
      <c r="AB647" s="28" t="e">
        <f t="shared" si="162"/>
        <v>#VALUE!</v>
      </c>
      <c r="AC647" s="29">
        <f t="shared" si="163"/>
        <v>605.31309297912708</v>
      </c>
      <c r="AD647" s="28" t="e">
        <f t="shared" si="164"/>
        <v>#VALUE!</v>
      </c>
      <c r="AE647" s="28" t="e">
        <f t="shared" si="165"/>
        <v>#N/A</v>
      </c>
      <c r="AF647" s="28" t="e">
        <f t="shared" si="166"/>
        <v>#VALUE!</v>
      </c>
      <c r="AH647" s="31" t="e">
        <f t="shared" si="167"/>
        <v>#N/A</v>
      </c>
      <c r="AI647" s="25"/>
      <c r="AJ647" s="31"/>
    </row>
    <row r="648" spans="2:36" x14ac:dyDescent="0.25">
      <c r="B648" s="33">
        <f>'Arbitrage Payback Engine'!E648</f>
        <v>17.504451445007533</v>
      </c>
      <c r="C648" s="33">
        <f t="shared" si="153"/>
        <v>1000</v>
      </c>
      <c r="D648" s="33">
        <f>'Battery Pricing Model'!$C$17</f>
        <v>1000</v>
      </c>
      <c r="E648" s="33">
        <f t="shared" si="154"/>
        <v>999</v>
      </c>
      <c r="F648" s="33" t="str">
        <f>'Peak Models'!$B$4</f>
        <v>Default</v>
      </c>
      <c r="G648" s="33" t="e">
        <f>'Peak Models'!$Q$7</f>
        <v>#VALUE!</v>
      </c>
      <c r="H648" s="33">
        <f>'Peak Models'!$P$16</f>
        <v>1.5</v>
      </c>
      <c r="I648" s="33">
        <v>12</v>
      </c>
      <c r="J648" s="33" t="e">
        <f>'Peak Models'!$P$13</f>
        <v>#N/A</v>
      </c>
      <c r="K648" s="28" t="e">
        <f t="shared" si="155"/>
        <v>#VALUE!</v>
      </c>
      <c r="L648" s="28" t="e">
        <f>INDEX('Peak Models'!$P$34:$P$64, MATCH(TRUNC(B648, 0), 'Peak Models'!$O$34:$O$64, 0))</f>
        <v>#N/A</v>
      </c>
      <c r="M648" s="28">
        <f>'Peak Models'!$P$15*INDEX('Peak Models'!$Q$34:$Q$64, MATCH(TRUNC(B648, 0),'Peak Models'!$O$34:$O$64, 0))/'Profit per cycles Model'!$E$78</f>
        <v>7.1605565231862451</v>
      </c>
      <c r="N648" s="28" t="e">
        <f t="shared" si="156"/>
        <v>#N/A</v>
      </c>
      <c r="O648" s="71" t="e">
        <f>AVERAGE($N$10:N648)</f>
        <v>#N/A</v>
      </c>
      <c r="P648" s="28" t="e">
        <f t="shared" si="157"/>
        <v>#N/A</v>
      </c>
      <c r="R648" s="28" t="e">
        <f t="shared" si="158"/>
        <v>#VALUE!</v>
      </c>
      <c r="S648" s="25"/>
      <c r="T648" s="25">
        <f t="shared" si="159"/>
        <v>15</v>
      </c>
      <c r="U648" s="33">
        <f>IF(PaybackCustom&gt;0, IF(PaybackCustom&lt;&gt;"Default", PaybackCustom, IF(PaybackStatus&lt;&gt;"",INDEX('Arbitrage Payback Engine'!$Y$2:$Y$6,MATCH(PaybackStatus,'Arbitrage Payback Engine'!$X$2:$X$6,FALSE)),-1)))</f>
        <v>25</v>
      </c>
      <c r="V648" s="32">
        <f t="shared" si="168"/>
        <v>15</v>
      </c>
      <c r="X648" s="29">
        <f t="shared" si="169"/>
        <v>639</v>
      </c>
      <c r="Z648" s="30">
        <f t="shared" si="160"/>
        <v>17.504451445007533</v>
      </c>
      <c r="AA648" s="28" t="e">
        <f t="shared" si="161"/>
        <v>#N/A</v>
      </c>
      <c r="AB648" s="28" t="e">
        <f t="shared" si="162"/>
        <v>#VALUE!</v>
      </c>
      <c r="AC648" s="29">
        <f t="shared" si="163"/>
        <v>606.26185958254268</v>
      </c>
      <c r="AD648" s="28" t="e">
        <f t="shared" si="164"/>
        <v>#VALUE!</v>
      </c>
      <c r="AE648" s="28" t="e">
        <f t="shared" si="165"/>
        <v>#N/A</v>
      </c>
      <c r="AF648" s="28" t="e">
        <f t="shared" si="166"/>
        <v>#VALUE!</v>
      </c>
      <c r="AH648" s="31" t="e">
        <f t="shared" si="167"/>
        <v>#N/A</v>
      </c>
      <c r="AI648" s="25"/>
      <c r="AJ648" s="31"/>
    </row>
    <row r="649" spans="2:36" x14ac:dyDescent="0.25">
      <c r="B649" s="33">
        <f>'Arbitrage Payback Engine'!E649</f>
        <v>17.531844952746198</v>
      </c>
      <c r="C649" s="33">
        <f t="shared" si="153"/>
        <v>1000</v>
      </c>
      <c r="D649" s="33">
        <f>'Battery Pricing Model'!$C$17</f>
        <v>1000</v>
      </c>
      <c r="E649" s="33">
        <f t="shared" si="154"/>
        <v>999</v>
      </c>
      <c r="F649" s="33" t="str">
        <f>'Peak Models'!$B$4</f>
        <v>Default</v>
      </c>
      <c r="G649" s="33" t="e">
        <f>'Peak Models'!$Q$7</f>
        <v>#VALUE!</v>
      </c>
      <c r="H649" s="33">
        <f>'Peak Models'!$P$16</f>
        <v>1.5</v>
      </c>
      <c r="I649" s="33">
        <v>12</v>
      </c>
      <c r="J649" s="33" t="e">
        <f>'Peak Models'!$P$13</f>
        <v>#N/A</v>
      </c>
      <c r="K649" s="28" t="e">
        <f t="shared" si="155"/>
        <v>#VALUE!</v>
      </c>
      <c r="L649" s="28" t="e">
        <f>INDEX('Peak Models'!$P$34:$P$64, MATCH(TRUNC(B649, 0), 'Peak Models'!$O$34:$O$64, 0))</f>
        <v>#N/A</v>
      </c>
      <c r="M649" s="28">
        <f>'Peak Models'!$P$15*INDEX('Peak Models'!$Q$34:$Q$64, MATCH(TRUNC(B649, 0),'Peak Models'!$O$34:$O$64, 0))/'Profit per cycles Model'!$E$78</f>
        <v>7.1605565231862451</v>
      </c>
      <c r="N649" s="28" t="e">
        <f t="shared" si="156"/>
        <v>#N/A</v>
      </c>
      <c r="O649" s="71" t="e">
        <f>AVERAGE($N$10:N649)</f>
        <v>#N/A</v>
      </c>
      <c r="P649" s="28" t="e">
        <f t="shared" si="157"/>
        <v>#N/A</v>
      </c>
      <c r="R649" s="28" t="e">
        <f t="shared" si="158"/>
        <v>#VALUE!</v>
      </c>
      <c r="S649" s="25"/>
      <c r="T649" s="25">
        <f t="shared" si="159"/>
        <v>15</v>
      </c>
      <c r="U649" s="33">
        <f>IF(PaybackCustom&gt;0, IF(PaybackCustom&lt;&gt;"Default", PaybackCustom, IF(PaybackStatus&lt;&gt;"",INDEX('Arbitrage Payback Engine'!$Y$2:$Y$6,MATCH(PaybackStatus,'Arbitrage Payback Engine'!$X$2:$X$6,FALSE)),-1)))</f>
        <v>25</v>
      </c>
      <c r="V649" s="32">
        <f t="shared" si="168"/>
        <v>15</v>
      </c>
      <c r="X649" s="29">
        <f t="shared" si="169"/>
        <v>640</v>
      </c>
      <c r="Z649" s="30">
        <f t="shared" si="160"/>
        <v>17.531844952746198</v>
      </c>
      <c r="AA649" s="28" t="e">
        <f t="shared" si="161"/>
        <v>#N/A</v>
      </c>
      <c r="AB649" s="28" t="e">
        <f t="shared" si="162"/>
        <v>#VALUE!</v>
      </c>
      <c r="AC649" s="29">
        <f t="shared" si="163"/>
        <v>607.21062618595818</v>
      </c>
      <c r="AD649" s="28" t="e">
        <f t="shared" si="164"/>
        <v>#VALUE!</v>
      </c>
      <c r="AE649" s="28" t="e">
        <f t="shared" si="165"/>
        <v>#N/A</v>
      </c>
      <c r="AF649" s="28" t="e">
        <f t="shared" si="166"/>
        <v>#VALUE!</v>
      </c>
      <c r="AH649" s="31" t="e">
        <f t="shared" si="167"/>
        <v>#N/A</v>
      </c>
      <c r="AI649" s="25"/>
      <c r="AJ649" s="31"/>
    </row>
    <row r="650" spans="2:36" x14ac:dyDescent="0.25">
      <c r="B650" s="33">
        <f>'Arbitrage Payback Engine'!E650</f>
        <v>17.559238460484863</v>
      </c>
      <c r="C650" s="33">
        <f t="shared" ref="C650:C713" si="170">IF(OR($E$6="None", $E$6=0), D650, E650)</f>
        <v>1000</v>
      </c>
      <c r="D650" s="33">
        <f>'Battery Pricing Model'!$C$17</f>
        <v>1000</v>
      </c>
      <c r="E650" s="33">
        <f t="shared" ref="E650:E713" si="171">IF(OR($E$6="None", $E$6=0), 999, $D650*(E$6))</f>
        <v>999</v>
      </c>
      <c r="F650" s="33" t="str">
        <f>'Peak Models'!$B$4</f>
        <v>Default</v>
      </c>
      <c r="G650" s="33" t="e">
        <f>'Peak Models'!$Q$7</f>
        <v>#VALUE!</v>
      </c>
      <c r="H650" s="33">
        <f>'Peak Models'!$P$16</f>
        <v>1.5</v>
      </c>
      <c r="I650" s="33">
        <v>12</v>
      </c>
      <c r="J650" s="33" t="e">
        <f>'Peak Models'!$P$13</f>
        <v>#N/A</v>
      </c>
      <c r="K650" s="28" t="e">
        <f t="shared" ref="K650:K713" si="172">C650*G650/(H650*B650)</f>
        <v>#VALUE!</v>
      </c>
      <c r="L650" s="28" t="e">
        <f>INDEX('Peak Models'!$P$34:$P$64, MATCH(TRUNC(B650, 0), 'Peak Models'!$O$34:$O$64, 0))</f>
        <v>#N/A</v>
      </c>
      <c r="M650" s="28">
        <f>'Peak Models'!$P$15*INDEX('Peak Models'!$Q$34:$Q$64, MATCH(TRUNC(B650, 0),'Peak Models'!$O$34:$O$64, 0))/'Profit per cycles Model'!$E$78</f>
        <v>7.1605565231862451</v>
      </c>
      <c r="N650" s="28" t="e">
        <f t="shared" ref="N650:N713" si="173">L650-M650</f>
        <v>#N/A</v>
      </c>
      <c r="O650" s="71" t="e">
        <f>AVERAGE($N$10:N650)</f>
        <v>#N/A</v>
      </c>
      <c r="P650" s="28" t="e">
        <f t="shared" ref="P650:P713" si="174">IF(O650-K650&lt;0, 999, O650-K650)</f>
        <v>#N/A</v>
      </c>
      <c r="R650" s="28" t="e">
        <f t="shared" ref="R650:R713" si="175">IF(ISNA(INDEX($K$10:$K$1063,MATCH(T650,$B$10:$B$1063,1))),-1,INDEX($K$10:$K$1063,MATCH(T650,$B$10:$B$1063,1)))</f>
        <v>#VALUE!</v>
      </c>
      <c r="S650" s="25"/>
      <c r="T650" s="25">
        <f t="shared" ref="T650:T713" si="176">IF( AND(U650&gt;0, V650&gt;0), IF(U650&lt;V650, U650, V650),  IF(U650&gt;0, U650, IF(V650&gt;0, V650, -1)) )</f>
        <v>15</v>
      </c>
      <c r="U650" s="33">
        <f>IF(PaybackCustom&gt;0, IF(PaybackCustom&lt;&gt;"Default", PaybackCustom, IF(PaybackStatus&lt;&gt;"",INDEX('Arbitrage Payback Engine'!$Y$2:$Y$6,MATCH(PaybackStatus,'Arbitrage Payback Engine'!$X$2:$X$6,FALSE)),-1)))</f>
        <v>25</v>
      </c>
      <c r="V650" s="32">
        <f t="shared" si="168"/>
        <v>15</v>
      </c>
      <c r="X650" s="29">
        <f t="shared" si="169"/>
        <v>641</v>
      </c>
      <c r="Z650" s="30">
        <f t="shared" ref="Z650:Z713" si="177">B650</f>
        <v>17.559238460484863</v>
      </c>
      <c r="AA650" s="28" t="e">
        <f t="shared" ref="AA650:AA713" si="178">N650</f>
        <v>#N/A</v>
      </c>
      <c r="AB650" s="28" t="e">
        <f t="shared" ref="AB650:AB713" si="179">R650</f>
        <v>#VALUE!</v>
      </c>
      <c r="AC650" s="29">
        <f t="shared" ref="AC650:AC713" si="180">$AB$2*(Z650-$AB$3)/($AB$4-$AB$3)</f>
        <v>608.15939278937378</v>
      </c>
      <c r="AD650" s="28" t="e">
        <f t="shared" ref="AD650:AD713" si="181">MIN(AB650, AA650)</f>
        <v>#VALUE!</v>
      </c>
      <c r="AE650" s="28" t="e">
        <f t="shared" ref="AE650:AE713" si="182">IF(AND(Z650&lt;T650, AA650&gt;AB650), AA650-AB650, 0)</f>
        <v>#N/A</v>
      </c>
      <c r="AF650" s="28" t="e">
        <f t="shared" ref="AF650:AF713" si="183">IF(AND(Z650&lt;T650, AB650&gt;AA650), AB650-AA650, 0)</f>
        <v>#VALUE!</v>
      </c>
      <c r="AH650" s="31" t="e">
        <f t="shared" ref="AH650:AH713" si="184">(O650-K650)/K650</f>
        <v>#N/A</v>
      </c>
      <c r="AI650" s="25"/>
      <c r="AJ650" s="31"/>
    </row>
    <row r="651" spans="2:36" x14ac:dyDescent="0.25">
      <c r="B651" s="33">
        <f>'Arbitrage Payback Engine'!E651</f>
        <v>17.586631968223532</v>
      </c>
      <c r="C651" s="33">
        <f t="shared" si="170"/>
        <v>1000</v>
      </c>
      <c r="D651" s="33">
        <f>'Battery Pricing Model'!$C$17</f>
        <v>1000</v>
      </c>
      <c r="E651" s="33">
        <f t="shared" si="171"/>
        <v>999</v>
      </c>
      <c r="F651" s="33" t="str">
        <f>'Peak Models'!$B$4</f>
        <v>Default</v>
      </c>
      <c r="G651" s="33" t="e">
        <f>'Peak Models'!$Q$7</f>
        <v>#VALUE!</v>
      </c>
      <c r="H651" s="33">
        <f>'Peak Models'!$P$16</f>
        <v>1.5</v>
      </c>
      <c r="I651" s="33">
        <v>12</v>
      </c>
      <c r="J651" s="33" t="e">
        <f>'Peak Models'!$P$13</f>
        <v>#N/A</v>
      </c>
      <c r="K651" s="28" t="e">
        <f t="shared" si="172"/>
        <v>#VALUE!</v>
      </c>
      <c r="L651" s="28" t="e">
        <f>INDEX('Peak Models'!$P$34:$P$64, MATCH(TRUNC(B651, 0), 'Peak Models'!$O$34:$O$64, 0))</f>
        <v>#N/A</v>
      </c>
      <c r="M651" s="28">
        <f>'Peak Models'!$P$15*INDEX('Peak Models'!$Q$34:$Q$64, MATCH(TRUNC(B651, 0),'Peak Models'!$O$34:$O$64, 0))/'Profit per cycles Model'!$E$78</f>
        <v>7.1605565231862451</v>
      </c>
      <c r="N651" s="28" t="e">
        <f t="shared" si="173"/>
        <v>#N/A</v>
      </c>
      <c r="O651" s="71" t="e">
        <f>AVERAGE($N$10:N651)</f>
        <v>#N/A</v>
      </c>
      <c r="P651" s="28" t="e">
        <f t="shared" si="174"/>
        <v>#N/A</v>
      </c>
      <c r="R651" s="28" t="e">
        <f t="shared" si="175"/>
        <v>#VALUE!</v>
      </c>
      <c r="S651" s="25"/>
      <c r="T651" s="25">
        <f t="shared" si="176"/>
        <v>15</v>
      </c>
      <c r="U651" s="33">
        <f>IF(PaybackCustom&gt;0, IF(PaybackCustom&lt;&gt;"Default", PaybackCustom, IF(PaybackStatus&lt;&gt;"",INDEX('Arbitrage Payback Engine'!$Y$2:$Y$6,MATCH(PaybackStatus,'Arbitrage Payback Engine'!$X$2:$X$6,FALSE)),-1)))</f>
        <v>25</v>
      </c>
      <c r="V651" s="32">
        <f t="shared" ref="V651:V714" si="185">IF(ISNUMBER($L$5), $L$5, 15)</f>
        <v>15</v>
      </c>
      <c r="X651" s="29">
        <f t="shared" ref="X651:X714" si="186">X650+1</f>
        <v>642</v>
      </c>
      <c r="Z651" s="30">
        <f t="shared" si="177"/>
        <v>17.586631968223532</v>
      </c>
      <c r="AA651" s="28" t="e">
        <f t="shared" si="178"/>
        <v>#N/A</v>
      </c>
      <c r="AB651" s="28" t="e">
        <f t="shared" si="179"/>
        <v>#VALUE!</v>
      </c>
      <c r="AC651" s="29">
        <f t="shared" si="180"/>
        <v>609.1081593927895</v>
      </c>
      <c r="AD651" s="28" t="e">
        <f t="shared" si="181"/>
        <v>#VALUE!</v>
      </c>
      <c r="AE651" s="28" t="e">
        <f t="shared" si="182"/>
        <v>#N/A</v>
      </c>
      <c r="AF651" s="28" t="e">
        <f t="shared" si="183"/>
        <v>#VALUE!</v>
      </c>
      <c r="AH651" s="31" t="e">
        <f t="shared" si="184"/>
        <v>#N/A</v>
      </c>
      <c r="AI651" s="25"/>
      <c r="AJ651" s="31"/>
    </row>
    <row r="652" spans="2:36" x14ac:dyDescent="0.25">
      <c r="B652" s="33">
        <f>'Arbitrage Payback Engine'!E652</f>
        <v>17.614025475962197</v>
      </c>
      <c r="C652" s="33">
        <f t="shared" si="170"/>
        <v>1000</v>
      </c>
      <c r="D652" s="33">
        <f>'Battery Pricing Model'!$C$17</f>
        <v>1000</v>
      </c>
      <c r="E652" s="33">
        <f t="shared" si="171"/>
        <v>999</v>
      </c>
      <c r="F652" s="33" t="str">
        <f>'Peak Models'!$B$4</f>
        <v>Default</v>
      </c>
      <c r="G652" s="33" t="e">
        <f>'Peak Models'!$Q$7</f>
        <v>#VALUE!</v>
      </c>
      <c r="H652" s="33">
        <f>'Peak Models'!$P$16</f>
        <v>1.5</v>
      </c>
      <c r="I652" s="33">
        <v>12</v>
      </c>
      <c r="J652" s="33" t="e">
        <f>'Peak Models'!$P$13</f>
        <v>#N/A</v>
      </c>
      <c r="K652" s="28" t="e">
        <f t="shared" si="172"/>
        <v>#VALUE!</v>
      </c>
      <c r="L652" s="28" t="e">
        <f>INDEX('Peak Models'!$P$34:$P$64, MATCH(TRUNC(B652, 0), 'Peak Models'!$O$34:$O$64, 0))</f>
        <v>#N/A</v>
      </c>
      <c r="M652" s="28">
        <f>'Peak Models'!$P$15*INDEX('Peak Models'!$Q$34:$Q$64, MATCH(TRUNC(B652, 0),'Peak Models'!$O$34:$O$64, 0))/'Profit per cycles Model'!$E$78</f>
        <v>7.1605565231862451</v>
      </c>
      <c r="N652" s="28" t="e">
        <f t="shared" si="173"/>
        <v>#N/A</v>
      </c>
      <c r="O652" s="71" t="e">
        <f>AVERAGE($N$10:N652)</f>
        <v>#N/A</v>
      </c>
      <c r="P652" s="28" t="e">
        <f t="shared" si="174"/>
        <v>#N/A</v>
      </c>
      <c r="R652" s="28" t="e">
        <f t="shared" si="175"/>
        <v>#VALUE!</v>
      </c>
      <c r="S652" s="25"/>
      <c r="T652" s="25">
        <f t="shared" si="176"/>
        <v>15</v>
      </c>
      <c r="U652" s="33">
        <f>IF(PaybackCustom&gt;0, IF(PaybackCustom&lt;&gt;"Default", PaybackCustom, IF(PaybackStatus&lt;&gt;"",INDEX('Arbitrage Payback Engine'!$Y$2:$Y$6,MATCH(PaybackStatus,'Arbitrage Payback Engine'!$X$2:$X$6,FALSE)),-1)))</f>
        <v>25</v>
      </c>
      <c r="V652" s="32">
        <f t="shared" si="185"/>
        <v>15</v>
      </c>
      <c r="X652" s="29">
        <f t="shared" si="186"/>
        <v>643</v>
      </c>
      <c r="Z652" s="30">
        <f t="shared" si="177"/>
        <v>17.614025475962197</v>
      </c>
      <c r="AA652" s="28" t="e">
        <f t="shared" si="178"/>
        <v>#N/A</v>
      </c>
      <c r="AB652" s="28" t="e">
        <f t="shared" si="179"/>
        <v>#VALUE!</v>
      </c>
      <c r="AC652" s="29">
        <f t="shared" si="180"/>
        <v>610.056925996205</v>
      </c>
      <c r="AD652" s="28" t="e">
        <f t="shared" si="181"/>
        <v>#VALUE!</v>
      </c>
      <c r="AE652" s="28" t="e">
        <f t="shared" si="182"/>
        <v>#N/A</v>
      </c>
      <c r="AF652" s="28" t="e">
        <f t="shared" si="183"/>
        <v>#VALUE!</v>
      </c>
      <c r="AH652" s="31" t="e">
        <f t="shared" si="184"/>
        <v>#N/A</v>
      </c>
      <c r="AI652" s="25"/>
      <c r="AJ652" s="31"/>
    </row>
    <row r="653" spans="2:36" x14ac:dyDescent="0.25">
      <c r="B653" s="33">
        <f>'Arbitrage Payback Engine'!E653</f>
        <v>17.641418983700863</v>
      </c>
      <c r="C653" s="33">
        <f t="shared" si="170"/>
        <v>1000</v>
      </c>
      <c r="D653" s="33">
        <f>'Battery Pricing Model'!$C$17</f>
        <v>1000</v>
      </c>
      <c r="E653" s="33">
        <f t="shared" si="171"/>
        <v>999</v>
      </c>
      <c r="F653" s="33" t="str">
        <f>'Peak Models'!$B$4</f>
        <v>Default</v>
      </c>
      <c r="G653" s="33" t="e">
        <f>'Peak Models'!$Q$7</f>
        <v>#VALUE!</v>
      </c>
      <c r="H653" s="33">
        <f>'Peak Models'!$P$16</f>
        <v>1.5</v>
      </c>
      <c r="I653" s="33">
        <v>12</v>
      </c>
      <c r="J653" s="33" t="e">
        <f>'Peak Models'!$P$13</f>
        <v>#N/A</v>
      </c>
      <c r="K653" s="28" t="e">
        <f t="shared" si="172"/>
        <v>#VALUE!</v>
      </c>
      <c r="L653" s="28" t="e">
        <f>INDEX('Peak Models'!$P$34:$P$64, MATCH(TRUNC(B653, 0), 'Peak Models'!$O$34:$O$64, 0))</f>
        <v>#N/A</v>
      </c>
      <c r="M653" s="28">
        <f>'Peak Models'!$P$15*INDEX('Peak Models'!$Q$34:$Q$64, MATCH(TRUNC(B653, 0),'Peak Models'!$O$34:$O$64, 0))/'Profit per cycles Model'!$E$78</f>
        <v>7.1605565231862451</v>
      </c>
      <c r="N653" s="28" t="e">
        <f t="shared" si="173"/>
        <v>#N/A</v>
      </c>
      <c r="O653" s="71" t="e">
        <f>AVERAGE($N$10:N653)</f>
        <v>#N/A</v>
      </c>
      <c r="P653" s="28" t="e">
        <f t="shared" si="174"/>
        <v>#N/A</v>
      </c>
      <c r="R653" s="28" t="e">
        <f t="shared" si="175"/>
        <v>#VALUE!</v>
      </c>
      <c r="S653" s="25"/>
      <c r="T653" s="25">
        <f t="shared" si="176"/>
        <v>15</v>
      </c>
      <c r="U653" s="33">
        <f>IF(PaybackCustom&gt;0, IF(PaybackCustom&lt;&gt;"Default", PaybackCustom, IF(PaybackStatus&lt;&gt;"",INDEX('Arbitrage Payback Engine'!$Y$2:$Y$6,MATCH(PaybackStatus,'Arbitrage Payback Engine'!$X$2:$X$6,FALSE)),-1)))</f>
        <v>25</v>
      </c>
      <c r="V653" s="32">
        <f t="shared" si="185"/>
        <v>15</v>
      </c>
      <c r="X653" s="29">
        <f t="shared" si="186"/>
        <v>644</v>
      </c>
      <c r="Z653" s="30">
        <f t="shared" si="177"/>
        <v>17.641418983700863</v>
      </c>
      <c r="AA653" s="28" t="e">
        <f t="shared" si="178"/>
        <v>#N/A</v>
      </c>
      <c r="AB653" s="28" t="e">
        <f t="shared" si="179"/>
        <v>#VALUE!</v>
      </c>
      <c r="AC653" s="29">
        <f t="shared" si="180"/>
        <v>611.0056925996206</v>
      </c>
      <c r="AD653" s="28" t="e">
        <f t="shared" si="181"/>
        <v>#VALUE!</v>
      </c>
      <c r="AE653" s="28" t="e">
        <f t="shared" si="182"/>
        <v>#N/A</v>
      </c>
      <c r="AF653" s="28" t="e">
        <f t="shared" si="183"/>
        <v>#VALUE!</v>
      </c>
      <c r="AH653" s="31" t="e">
        <f t="shared" si="184"/>
        <v>#N/A</v>
      </c>
      <c r="AI653" s="25"/>
      <c r="AJ653" s="31"/>
    </row>
    <row r="654" spans="2:36" x14ac:dyDescent="0.25">
      <c r="B654" s="33">
        <f>'Arbitrage Payback Engine'!E654</f>
        <v>17.668812491439528</v>
      </c>
      <c r="C654" s="33">
        <f t="shared" si="170"/>
        <v>1000</v>
      </c>
      <c r="D654" s="33">
        <f>'Battery Pricing Model'!$C$17</f>
        <v>1000</v>
      </c>
      <c r="E654" s="33">
        <f t="shared" si="171"/>
        <v>999</v>
      </c>
      <c r="F654" s="33" t="str">
        <f>'Peak Models'!$B$4</f>
        <v>Default</v>
      </c>
      <c r="G654" s="33" t="e">
        <f>'Peak Models'!$Q$7</f>
        <v>#VALUE!</v>
      </c>
      <c r="H654" s="33">
        <f>'Peak Models'!$P$16</f>
        <v>1.5</v>
      </c>
      <c r="I654" s="33">
        <v>12</v>
      </c>
      <c r="J654" s="33" t="e">
        <f>'Peak Models'!$P$13</f>
        <v>#N/A</v>
      </c>
      <c r="K654" s="28" t="e">
        <f t="shared" si="172"/>
        <v>#VALUE!</v>
      </c>
      <c r="L654" s="28" t="e">
        <f>INDEX('Peak Models'!$P$34:$P$64, MATCH(TRUNC(B654, 0), 'Peak Models'!$O$34:$O$64, 0))</f>
        <v>#N/A</v>
      </c>
      <c r="M654" s="28">
        <f>'Peak Models'!$P$15*INDEX('Peak Models'!$Q$34:$Q$64, MATCH(TRUNC(B654, 0),'Peak Models'!$O$34:$O$64, 0))/'Profit per cycles Model'!$E$78</f>
        <v>7.1605565231862451</v>
      </c>
      <c r="N654" s="28" t="e">
        <f t="shared" si="173"/>
        <v>#N/A</v>
      </c>
      <c r="O654" s="71" t="e">
        <f>AVERAGE($N$10:N654)</f>
        <v>#N/A</v>
      </c>
      <c r="P654" s="28" t="e">
        <f t="shared" si="174"/>
        <v>#N/A</v>
      </c>
      <c r="R654" s="28" t="e">
        <f t="shared" si="175"/>
        <v>#VALUE!</v>
      </c>
      <c r="S654" s="25"/>
      <c r="T654" s="25">
        <f t="shared" si="176"/>
        <v>15</v>
      </c>
      <c r="U654" s="33">
        <f>IF(PaybackCustom&gt;0, IF(PaybackCustom&lt;&gt;"Default", PaybackCustom, IF(PaybackStatus&lt;&gt;"",INDEX('Arbitrage Payback Engine'!$Y$2:$Y$6,MATCH(PaybackStatus,'Arbitrage Payback Engine'!$X$2:$X$6,FALSE)),-1)))</f>
        <v>25</v>
      </c>
      <c r="V654" s="32">
        <f t="shared" si="185"/>
        <v>15</v>
      </c>
      <c r="X654" s="29">
        <f t="shared" si="186"/>
        <v>645</v>
      </c>
      <c r="Z654" s="30">
        <f t="shared" si="177"/>
        <v>17.668812491439528</v>
      </c>
      <c r="AA654" s="28" t="e">
        <f t="shared" si="178"/>
        <v>#N/A</v>
      </c>
      <c r="AB654" s="28" t="e">
        <f t="shared" si="179"/>
        <v>#VALUE!</v>
      </c>
      <c r="AC654" s="29">
        <f t="shared" si="180"/>
        <v>611.95445920303598</v>
      </c>
      <c r="AD654" s="28" t="e">
        <f t="shared" si="181"/>
        <v>#VALUE!</v>
      </c>
      <c r="AE654" s="28" t="e">
        <f t="shared" si="182"/>
        <v>#N/A</v>
      </c>
      <c r="AF654" s="28" t="e">
        <f t="shared" si="183"/>
        <v>#VALUE!</v>
      </c>
      <c r="AH654" s="31" t="e">
        <f t="shared" si="184"/>
        <v>#N/A</v>
      </c>
      <c r="AI654" s="25"/>
      <c r="AJ654" s="31"/>
    </row>
    <row r="655" spans="2:36" x14ac:dyDescent="0.25">
      <c r="B655" s="33">
        <f>'Arbitrage Payback Engine'!E655</f>
        <v>17.696205999178193</v>
      </c>
      <c r="C655" s="33">
        <f t="shared" si="170"/>
        <v>1000</v>
      </c>
      <c r="D655" s="33">
        <f>'Battery Pricing Model'!$C$17</f>
        <v>1000</v>
      </c>
      <c r="E655" s="33">
        <f t="shared" si="171"/>
        <v>999</v>
      </c>
      <c r="F655" s="33" t="str">
        <f>'Peak Models'!$B$4</f>
        <v>Default</v>
      </c>
      <c r="G655" s="33" t="e">
        <f>'Peak Models'!$Q$7</f>
        <v>#VALUE!</v>
      </c>
      <c r="H655" s="33">
        <f>'Peak Models'!$P$16</f>
        <v>1.5</v>
      </c>
      <c r="I655" s="33">
        <v>12</v>
      </c>
      <c r="J655" s="33" t="e">
        <f>'Peak Models'!$P$13</f>
        <v>#N/A</v>
      </c>
      <c r="K655" s="28" t="e">
        <f t="shared" si="172"/>
        <v>#VALUE!</v>
      </c>
      <c r="L655" s="28" t="e">
        <f>INDEX('Peak Models'!$P$34:$P$64, MATCH(TRUNC(B655, 0), 'Peak Models'!$O$34:$O$64, 0))</f>
        <v>#N/A</v>
      </c>
      <c r="M655" s="28">
        <f>'Peak Models'!$P$15*INDEX('Peak Models'!$Q$34:$Q$64, MATCH(TRUNC(B655, 0),'Peak Models'!$O$34:$O$64, 0))/'Profit per cycles Model'!$E$78</f>
        <v>7.1605565231862451</v>
      </c>
      <c r="N655" s="28" t="e">
        <f t="shared" si="173"/>
        <v>#N/A</v>
      </c>
      <c r="O655" s="71" t="e">
        <f>AVERAGE($N$10:N655)</f>
        <v>#N/A</v>
      </c>
      <c r="P655" s="28" t="e">
        <f t="shared" si="174"/>
        <v>#N/A</v>
      </c>
      <c r="R655" s="28" t="e">
        <f t="shared" si="175"/>
        <v>#VALUE!</v>
      </c>
      <c r="S655" s="25"/>
      <c r="T655" s="25">
        <f t="shared" si="176"/>
        <v>15</v>
      </c>
      <c r="U655" s="33">
        <f>IF(PaybackCustom&gt;0, IF(PaybackCustom&lt;&gt;"Default", PaybackCustom, IF(PaybackStatus&lt;&gt;"",INDEX('Arbitrage Payback Engine'!$Y$2:$Y$6,MATCH(PaybackStatus,'Arbitrage Payback Engine'!$X$2:$X$6,FALSE)),-1)))</f>
        <v>25</v>
      </c>
      <c r="V655" s="32">
        <f t="shared" si="185"/>
        <v>15</v>
      </c>
      <c r="X655" s="29">
        <f t="shared" si="186"/>
        <v>646</v>
      </c>
      <c r="Z655" s="30">
        <f t="shared" si="177"/>
        <v>17.696205999178193</v>
      </c>
      <c r="AA655" s="28" t="e">
        <f t="shared" si="178"/>
        <v>#N/A</v>
      </c>
      <c r="AB655" s="28" t="e">
        <f t="shared" si="179"/>
        <v>#VALUE!</v>
      </c>
      <c r="AC655" s="29">
        <f t="shared" si="180"/>
        <v>612.90322580645159</v>
      </c>
      <c r="AD655" s="28" t="e">
        <f t="shared" si="181"/>
        <v>#VALUE!</v>
      </c>
      <c r="AE655" s="28" t="e">
        <f t="shared" si="182"/>
        <v>#N/A</v>
      </c>
      <c r="AF655" s="28" t="e">
        <f t="shared" si="183"/>
        <v>#VALUE!</v>
      </c>
      <c r="AH655" s="31" t="e">
        <f t="shared" si="184"/>
        <v>#N/A</v>
      </c>
      <c r="AI655" s="25"/>
      <c r="AJ655" s="31"/>
    </row>
    <row r="656" spans="2:36" x14ac:dyDescent="0.25">
      <c r="B656" s="33">
        <f>'Arbitrage Payback Engine'!E656</f>
        <v>17.723599506916859</v>
      </c>
      <c r="C656" s="33">
        <f t="shared" si="170"/>
        <v>1000</v>
      </c>
      <c r="D656" s="33">
        <f>'Battery Pricing Model'!$C$17</f>
        <v>1000</v>
      </c>
      <c r="E656" s="33">
        <f t="shared" si="171"/>
        <v>999</v>
      </c>
      <c r="F656" s="33" t="str">
        <f>'Peak Models'!$B$4</f>
        <v>Default</v>
      </c>
      <c r="G656" s="33" t="e">
        <f>'Peak Models'!$Q$7</f>
        <v>#VALUE!</v>
      </c>
      <c r="H656" s="33">
        <f>'Peak Models'!$P$16</f>
        <v>1.5</v>
      </c>
      <c r="I656" s="33">
        <v>12</v>
      </c>
      <c r="J656" s="33" t="e">
        <f>'Peak Models'!$P$13</f>
        <v>#N/A</v>
      </c>
      <c r="K656" s="28" t="e">
        <f t="shared" si="172"/>
        <v>#VALUE!</v>
      </c>
      <c r="L656" s="28" t="e">
        <f>INDEX('Peak Models'!$P$34:$P$64, MATCH(TRUNC(B656, 0), 'Peak Models'!$O$34:$O$64, 0))</f>
        <v>#N/A</v>
      </c>
      <c r="M656" s="28">
        <f>'Peak Models'!$P$15*INDEX('Peak Models'!$Q$34:$Q$64, MATCH(TRUNC(B656, 0),'Peak Models'!$O$34:$O$64, 0))/'Profit per cycles Model'!$E$78</f>
        <v>7.1605565231862451</v>
      </c>
      <c r="N656" s="28" t="e">
        <f t="shared" si="173"/>
        <v>#N/A</v>
      </c>
      <c r="O656" s="71" t="e">
        <f>AVERAGE($N$10:N656)</f>
        <v>#N/A</v>
      </c>
      <c r="P656" s="28" t="e">
        <f t="shared" si="174"/>
        <v>#N/A</v>
      </c>
      <c r="R656" s="28" t="e">
        <f t="shared" si="175"/>
        <v>#VALUE!</v>
      </c>
      <c r="S656" s="25"/>
      <c r="T656" s="25">
        <f t="shared" si="176"/>
        <v>15</v>
      </c>
      <c r="U656" s="33">
        <f>IF(PaybackCustom&gt;0, IF(PaybackCustom&lt;&gt;"Default", PaybackCustom, IF(PaybackStatus&lt;&gt;"",INDEX('Arbitrage Payback Engine'!$Y$2:$Y$6,MATCH(PaybackStatus,'Arbitrage Payback Engine'!$X$2:$X$6,FALSE)),-1)))</f>
        <v>25</v>
      </c>
      <c r="V656" s="32">
        <f t="shared" si="185"/>
        <v>15</v>
      </c>
      <c r="X656" s="29">
        <f t="shared" si="186"/>
        <v>647</v>
      </c>
      <c r="Z656" s="30">
        <f t="shared" si="177"/>
        <v>17.723599506916859</v>
      </c>
      <c r="AA656" s="28" t="e">
        <f t="shared" si="178"/>
        <v>#N/A</v>
      </c>
      <c r="AB656" s="28" t="e">
        <f t="shared" si="179"/>
        <v>#VALUE!</v>
      </c>
      <c r="AC656" s="29">
        <f t="shared" si="180"/>
        <v>613.85199240986719</v>
      </c>
      <c r="AD656" s="28" t="e">
        <f t="shared" si="181"/>
        <v>#VALUE!</v>
      </c>
      <c r="AE656" s="28" t="e">
        <f t="shared" si="182"/>
        <v>#N/A</v>
      </c>
      <c r="AF656" s="28" t="e">
        <f t="shared" si="183"/>
        <v>#VALUE!</v>
      </c>
      <c r="AH656" s="31" t="e">
        <f t="shared" si="184"/>
        <v>#N/A</v>
      </c>
      <c r="AI656" s="25"/>
      <c r="AJ656" s="31"/>
    </row>
    <row r="657" spans="2:36" x14ac:dyDescent="0.25">
      <c r="B657" s="33">
        <f>'Arbitrage Payback Engine'!E657</f>
        <v>17.750993014655528</v>
      </c>
      <c r="C657" s="33">
        <f t="shared" si="170"/>
        <v>1000</v>
      </c>
      <c r="D657" s="33">
        <f>'Battery Pricing Model'!$C$17</f>
        <v>1000</v>
      </c>
      <c r="E657" s="33">
        <f t="shared" si="171"/>
        <v>999</v>
      </c>
      <c r="F657" s="33" t="str">
        <f>'Peak Models'!$B$4</f>
        <v>Default</v>
      </c>
      <c r="G657" s="33" t="e">
        <f>'Peak Models'!$Q$7</f>
        <v>#VALUE!</v>
      </c>
      <c r="H657" s="33">
        <f>'Peak Models'!$P$16</f>
        <v>1.5</v>
      </c>
      <c r="I657" s="33">
        <v>12</v>
      </c>
      <c r="J657" s="33" t="e">
        <f>'Peak Models'!$P$13</f>
        <v>#N/A</v>
      </c>
      <c r="K657" s="28" t="e">
        <f t="shared" si="172"/>
        <v>#VALUE!</v>
      </c>
      <c r="L657" s="28" t="e">
        <f>INDEX('Peak Models'!$P$34:$P$64, MATCH(TRUNC(B657, 0), 'Peak Models'!$O$34:$O$64, 0))</f>
        <v>#N/A</v>
      </c>
      <c r="M657" s="28">
        <f>'Peak Models'!$P$15*INDEX('Peak Models'!$Q$34:$Q$64, MATCH(TRUNC(B657, 0),'Peak Models'!$O$34:$O$64, 0))/'Profit per cycles Model'!$E$78</f>
        <v>7.1605565231862451</v>
      </c>
      <c r="N657" s="28" t="e">
        <f t="shared" si="173"/>
        <v>#N/A</v>
      </c>
      <c r="O657" s="71" t="e">
        <f>AVERAGE($N$10:N657)</f>
        <v>#N/A</v>
      </c>
      <c r="P657" s="28" t="e">
        <f t="shared" si="174"/>
        <v>#N/A</v>
      </c>
      <c r="R657" s="28" t="e">
        <f t="shared" si="175"/>
        <v>#VALUE!</v>
      </c>
      <c r="S657" s="25"/>
      <c r="T657" s="25">
        <f t="shared" si="176"/>
        <v>15</v>
      </c>
      <c r="U657" s="33">
        <f>IF(PaybackCustom&gt;0, IF(PaybackCustom&lt;&gt;"Default", PaybackCustom, IF(PaybackStatus&lt;&gt;"",INDEX('Arbitrage Payback Engine'!$Y$2:$Y$6,MATCH(PaybackStatus,'Arbitrage Payback Engine'!$X$2:$X$6,FALSE)),-1)))</f>
        <v>25</v>
      </c>
      <c r="V657" s="32">
        <f t="shared" si="185"/>
        <v>15</v>
      </c>
      <c r="X657" s="29">
        <f t="shared" si="186"/>
        <v>648</v>
      </c>
      <c r="Z657" s="30">
        <f t="shared" si="177"/>
        <v>17.750993014655528</v>
      </c>
      <c r="AA657" s="28" t="e">
        <f t="shared" si="178"/>
        <v>#N/A</v>
      </c>
      <c r="AB657" s="28" t="e">
        <f t="shared" si="179"/>
        <v>#VALUE!</v>
      </c>
      <c r="AC657" s="29">
        <f t="shared" si="180"/>
        <v>614.8007590132828</v>
      </c>
      <c r="AD657" s="28" t="e">
        <f t="shared" si="181"/>
        <v>#VALUE!</v>
      </c>
      <c r="AE657" s="28" t="e">
        <f t="shared" si="182"/>
        <v>#N/A</v>
      </c>
      <c r="AF657" s="28" t="e">
        <f t="shared" si="183"/>
        <v>#VALUE!</v>
      </c>
      <c r="AH657" s="31" t="e">
        <f t="shared" si="184"/>
        <v>#N/A</v>
      </c>
      <c r="AI657" s="25"/>
      <c r="AJ657" s="31"/>
    </row>
    <row r="658" spans="2:36" x14ac:dyDescent="0.25">
      <c r="B658" s="33">
        <f>'Arbitrage Payback Engine'!E658</f>
        <v>17.778386522394193</v>
      </c>
      <c r="C658" s="33">
        <f t="shared" si="170"/>
        <v>1000</v>
      </c>
      <c r="D658" s="33">
        <f>'Battery Pricing Model'!$C$17</f>
        <v>1000</v>
      </c>
      <c r="E658" s="33">
        <f t="shared" si="171"/>
        <v>999</v>
      </c>
      <c r="F658" s="33" t="str">
        <f>'Peak Models'!$B$4</f>
        <v>Default</v>
      </c>
      <c r="G658" s="33" t="e">
        <f>'Peak Models'!$Q$7</f>
        <v>#VALUE!</v>
      </c>
      <c r="H658" s="33">
        <f>'Peak Models'!$P$16</f>
        <v>1.5</v>
      </c>
      <c r="I658" s="33">
        <v>12</v>
      </c>
      <c r="J658" s="33" t="e">
        <f>'Peak Models'!$P$13</f>
        <v>#N/A</v>
      </c>
      <c r="K658" s="28" t="e">
        <f t="shared" si="172"/>
        <v>#VALUE!</v>
      </c>
      <c r="L658" s="28" t="e">
        <f>INDEX('Peak Models'!$P$34:$P$64, MATCH(TRUNC(B658, 0), 'Peak Models'!$O$34:$O$64, 0))</f>
        <v>#N/A</v>
      </c>
      <c r="M658" s="28">
        <f>'Peak Models'!$P$15*INDEX('Peak Models'!$Q$34:$Q$64, MATCH(TRUNC(B658, 0),'Peak Models'!$O$34:$O$64, 0))/'Profit per cycles Model'!$E$78</f>
        <v>7.1605565231862451</v>
      </c>
      <c r="N658" s="28" t="e">
        <f t="shared" si="173"/>
        <v>#N/A</v>
      </c>
      <c r="O658" s="71" t="e">
        <f>AVERAGE($N$10:N658)</f>
        <v>#N/A</v>
      </c>
      <c r="P658" s="28" t="e">
        <f t="shared" si="174"/>
        <v>#N/A</v>
      </c>
      <c r="R658" s="28" t="e">
        <f t="shared" si="175"/>
        <v>#VALUE!</v>
      </c>
      <c r="S658" s="25"/>
      <c r="T658" s="25">
        <f t="shared" si="176"/>
        <v>15</v>
      </c>
      <c r="U658" s="33">
        <f>IF(PaybackCustom&gt;0, IF(PaybackCustom&lt;&gt;"Default", PaybackCustom, IF(PaybackStatus&lt;&gt;"",INDEX('Arbitrage Payback Engine'!$Y$2:$Y$6,MATCH(PaybackStatus,'Arbitrage Payback Engine'!$X$2:$X$6,FALSE)),-1)))</f>
        <v>25</v>
      </c>
      <c r="V658" s="32">
        <f t="shared" si="185"/>
        <v>15</v>
      </c>
      <c r="X658" s="29">
        <f t="shared" si="186"/>
        <v>649</v>
      </c>
      <c r="Z658" s="30">
        <f t="shared" si="177"/>
        <v>17.778386522394193</v>
      </c>
      <c r="AA658" s="28" t="e">
        <f t="shared" si="178"/>
        <v>#N/A</v>
      </c>
      <c r="AB658" s="28" t="e">
        <f t="shared" si="179"/>
        <v>#VALUE!</v>
      </c>
      <c r="AC658" s="29">
        <f t="shared" si="180"/>
        <v>615.74952561669841</v>
      </c>
      <c r="AD658" s="28" t="e">
        <f t="shared" si="181"/>
        <v>#VALUE!</v>
      </c>
      <c r="AE658" s="28" t="e">
        <f t="shared" si="182"/>
        <v>#N/A</v>
      </c>
      <c r="AF658" s="28" t="e">
        <f t="shared" si="183"/>
        <v>#VALUE!</v>
      </c>
      <c r="AH658" s="31" t="e">
        <f t="shared" si="184"/>
        <v>#N/A</v>
      </c>
      <c r="AI658" s="25"/>
      <c r="AJ658" s="31"/>
    </row>
    <row r="659" spans="2:36" x14ac:dyDescent="0.25">
      <c r="B659" s="33">
        <f>'Arbitrage Payback Engine'!E659</f>
        <v>17.805780030132858</v>
      </c>
      <c r="C659" s="33">
        <f t="shared" si="170"/>
        <v>1000</v>
      </c>
      <c r="D659" s="33">
        <f>'Battery Pricing Model'!$C$17</f>
        <v>1000</v>
      </c>
      <c r="E659" s="33">
        <f t="shared" si="171"/>
        <v>999</v>
      </c>
      <c r="F659" s="33" t="str">
        <f>'Peak Models'!$B$4</f>
        <v>Default</v>
      </c>
      <c r="G659" s="33" t="e">
        <f>'Peak Models'!$Q$7</f>
        <v>#VALUE!</v>
      </c>
      <c r="H659" s="33">
        <f>'Peak Models'!$P$16</f>
        <v>1.5</v>
      </c>
      <c r="I659" s="33">
        <v>12</v>
      </c>
      <c r="J659" s="33" t="e">
        <f>'Peak Models'!$P$13</f>
        <v>#N/A</v>
      </c>
      <c r="K659" s="28" t="e">
        <f t="shared" si="172"/>
        <v>#VALUE!</v>
      </c>
      <c r="L659" s="28" t="e">
        <f>INDEX('Peak Models'!$P$34:$P$64, MATCH(TRUNC(B659, 0), 'Peak Models'!$O$34:$O$64, 0))</f>
        <v>#N/A</v>
      </c>
      <c r="M659" s="28">
        <f>'Peak Models'!$P$15*INDEX('Peak Models'!$Q$34:$Q$64, MATCH(TRUNC(B659, 0),'Peak Models'!$O$34:$O$64, 0))/'Profit per cycles Model'!$E$78</f>
        <v>7.1605565231862451</v>
      </c>
      <c r="N659" s="28" t="e">
        <f t="shared" si="173"/>
        <v>#N/A</v>
      </c>
      <c r="O659" s="71" t="e">
        <f>AVERAGE($N$10:N659)</f>
        <v>#N/A</v>
      </c>
      <c r="P659" s="28" t="e">
        <f t="shared" si="174"/>
        <v>#N/A</v>
      </c>
      <c r="R659" s="28" t="e">
        <f t="shared" si="175"/>
        <v>#VALUE!</v>
      </c>
      <c r="S659" s="25"/>
      <c r="T659" s="25">
        <f t="shared" si="176"/>
        <v>15</v>
      </c>
      <c r="U659" s="33">
        <f>IF(PaybackCustom&gt;0, IF(PaybackCustom&lt;&gt;"Default", PaybackCustom, IF(PaybackStatus&lt;&gt;"",INDEX('Arbitrage Payback Engine'!$Y$2:$Y$6,MATCH(PaybackStatus,'Arbitrage Payback Engine'!$X$2:$X$6,FALSE)),-1)))</f>
        <v>25</v>
      </c>
      <c r="V659" s="32">
        <f t="shared" si="185"/>
        <v>15</v>
      </c>
      <c r="X659" s="29">
        <f t="shared" si="186"/>
        <v>650</v>
      </c>
      <c r="Z659" s="30">
        <f t="shared" si="177"/>
        <v>17.805780030132858</v>
      </c>
      <c r="AA659" s="28" t="e">
        <f t="shared" si="178"/>
        <v>#N/A</v>
      </c>
      <c r="AB659" s="28" t="e">
        <f t="shared" si="179"/>
        <v>#VALUE!</v>
      </c>
      <c r="AC659" s="29">
        <f t="shared" si="180"/>
        <v>616.69829222011379</v>
      </c>
      <c r="AD659" s="28" t="e">
        <f t="shared" si="181"/>
        <v>#VALUE!</v>
      </c>
      <c r="AE659" s="28" t="e">
        <f t="shared" si="182"/>
        <v>#N/A</v>
      </c>
      <c r="AF659" s="28" t="e">
        <f t="shared" si="183"/>
        <v>#VALUE!</v>
      </c>
      <c r="AH659" s="31" t="e">
        <f t="shared" si="184"/>
        <v>#N/A</v>
      </c>
      <c r="AI659" s="25"/>
      <c r="AJ659" s="31"/>
    </row>
    <row r="660" spans="2:36" x14ac:dyDescent="0.25">
      <c r="B660" s="33">
        <f>'Arbitrage Payback Engine'!E660</f>
        <v>17.833173537871524</v>
      </c>
      <c r="C660" s="33">
        <f t="shared" si="170"/>
        <v>1000</v>
      </c>
      <c r="D660" s="33">
        <f>'Battery Pricing Model'!$C$17</f>
        <v>1000</v>
      </c>
      <c r="E660" s="33">
        <f t="shared" si="171"/>
        <v>999</v>
      </c>
      <c r="F660" s="33" t="str">
        <f>'Peak Models'!$B$4</f>
        <v>Default</v>
      </c>
      <c r="G660" s="33" t="e">
        <f>'Peak Models'!$Q$7</f>
        <v>#VALUE!</v>
      </c>
      <c r="H660" s="33">
        <f>'Peak Models'!$P$16</f>
        <v>1.5</v>
      </c>
      <c r="I660" s="33">
        <v>12</v>
      </c>
      <c r="J660" s="33" t="e">
        <f>'Peak Models'!$P$13</f>
        <v>#N/A</v>
      </c>
      <c r="K660" s="28" t="e">
        <f t="shared" si="172"/>
        <v>#VALUE!</v>
      </c>
      <c r="L660" s="28" t="e">
        <f>INDEX('Peak Models'!$P$34:$P$64, MATCH(TRUNC(B660, 0), 'Peak Models'!$O$34:$O$64, 0))</f>
        <v>#N/A</v>
      </c>
      <c r="M660" s="28">
        <f>'Peak Models'!$P$15*INDEX('Peak Models'!$Q$34:$Q$64, MATCH(TRUNC(B660, 0),'Peak Models'!$O$34:$O$64, 0))/'Profit per cycles Model'!$E$78</f>
        <v>7.1605565231862451</v>
      </c>
      <c r="N660" s="28" t="e">
        <f t="shared" si="173"/>
        <v>#N/A</v>
      </c>
      <c r="O660" s="71" t="e">
        <f>AVERAGE($N$10:N660)</f>
        <v>#N/A</v>
      </c>
      <c r="P660" s="28" t="e">
        <f t="shared" si="174"/>
        <v>#N/A</v>
      </c>
      <c r="R660" s="28" t="e">
        <f t="shared" si="175"/>
        <v>#VALUE!</v>
      </c>
      <c r="S660" s="25"/>
      <c r="T660" s="25">
        <f t="shared" si="176"/>
        <v>15</v>
      </c>
      <c r="U660" s="33">
        <f>IF(PaybackCustom&gt;0, IF(PaybackCustom&lt;&gt;"Default", PaybackCustom, IF(PaybackStatus&lt;&gt;"",INDEX('Arbitrage Payback Engine'!$Y$2:$Y$6,MATCH(PaybackStatus,'Arbitrage Payback Engine'!$X$2:$X$6,FALSE)),-1)))</f>
        <v>25</v>
      </c>
      <c r="V660" s="32">
        <f t="shared" si="185"/>
        <v>15</v>
      </c>
      <c r="X660" s="29">
        <f t="shared" si="186"/>
        <v>651</v>
      </c>
      <c r="Z660" s="30">
        <f t="shared" si="177"/>
        <v>17.833173537871524</v>
      </c>
      <c r="AA660" s="28" t="e">
        <f t="shared" si="178"/>
        <v>#N/A</v>
      </c>
      <c r="AB660" s="28" t="e">
        <f t="shared" si="179"/>
        <v>#VALUE!</v>
      </c>
      <c r="AC660" s="29">
        <f t="shared" si="180"/>
        <v>617.64705882352939</v>
      </c>
      <c r="AD660" s="28" t="e">
        <f t="shared" si="181"/>
        <v>#VALUE!</v>
      </c>
      <c r="AE660" s="28" t="e">
        <f t="shared" si="182"/>
        <v>#N/A</v>
      </c>
      <c r="AF660" s="28" t="e">
        <f t="shared" si="183"/>
        <v>#VALUE!</v>
      </c>
      <c r="AH660" s="31" t="e">
        <f t="shared" si="184"/>
        <v>#N/A</v>
      </c>
      <c r="AI660" s="25"/>
      <c r="AJ660" s="31"/>
    </row>
    <row r="661" spans="2:36" x14ac:dyDescent="0.25">
      <c r="B661" s="33">
        <f>'Arbitrage Payback Engine'!E661</f>
        <v>17.860567045610189</v>
      </c>
      <c r="C661" s="33">
        <f t="shared" si="170"/>
        <v>1000</v>
      </c>
      <c r="D661" s="33">
        <f>'Battery Pricing Model'!$C$17</f>
        <v>1000</v>
      </c>
      <c r="E661" s="33">
        <f t="shared" si="171"/>
        <v>999</v>
      </c>
      <c r="F661" s="33" t="str">
        <f>'Peak Models'!$B$4</f>
        <v>Default</v>
      </c>
      <c r="G661" s="33" t="e">
        <f>'Peak Models'!$Q$7</f>
        <v>#VALUE!</v>
      </c>
      <c r="H661" s="33">
        <f>'Peak Models'!$P$16</f>
        <v>1.5</v>
      </c>
      <c r="I661" s="33">
        <v>12</v>
      </c>
      <c r="J661" s="33" t="e">
        <f>'Peak Models'!$P$13</f>
        <v>#N/A</v>
      </c>
      <c r="K661" s="28" t="e">
        <f t="shared" si="172"/>
        <v>#VALUE!</v>
      </c>
      <c r="L661" s="28" t="e">
        <f>INDEX('Peak Models'!$P$34:$P$64, MATCH(TRUNC(B661, 0), 'Peak Models'!$O$34:$O$64, 0))</f>
        <v>#N/A</v>
      </c>
      <c r="M661" s="28">
        <f>'Peak Models'!$P$15*INDEX('Peak Models'!$Q$34:$Q$64, MATCH(TRUNC(B661, 0),'Peak Models'!$O$34:$O$64, 0))/'Profit per cycles Model'!$E$78</f>
        <v>7.1605565231862451</v>
      </c>
      <c r="N661" s="28" t="e">
        <f t="shared" si="173"/>
        <v>#N/A</v>
      </c>
      <c r="O661" s="71" t="e">
        <f>AVERAGE($N$10:N661)</f>
        <v>#N/A</v>
      </c>
      <c r="P661" s="28" t="e">
        <f t="shared" si="174"/>
        <v>#N/A</v>
      </c>
      <c r="R661" s="28" t="e">
        <f t="shared" si="175"/>
        <v>#VALUE!</v>
      </c>
      <c r="S661" s="25"/>
      <c r="T661" s="25">
        <f t="shared" si="176"/>
        <v>15</v>
      </c>
      <c r="U661" s="33">
        <f>IF(PaybackCustom&gt;0, IF(PaybackCustom&lt;&gt;"Default", PaybackCustom, IF(PaybackStatus&lt;&gt;"",INDEX('Arbitrage Payback Engine'!$Y$2:$Y$6,MATCH(PaybackStatus,'Arbitrage Payback Engine'!$X$2:$X$6,FALSE)),-1)))</f>
        <v>25</v>
      </c>
      <c r="V661" s="32">
        <f t="shared" si="185"/>
        <v>15</v>
      </c>
      <c r="X661" s="29">
        <f t="shared" si="186"/>
        <v>652</v>
      </c>
      <c r="Z661" s="30">
        <f t="shared" si="177"/>
        <v>17.860567045610189</v>
      </c>
      <c r="AA661" s="28" t="e">
        <f t="shared" si="178"/>
        <v>#N/A</v>
      </c>
      <c r="AB661" s="28" t="e">
        <f t="shared" si="179"/>
        <v>#VALUE!</v>
      </c>
      <c r="AC661" s="29">
        <f t="shared" si="180"/>
        <v>618.595825426945</v>
      </c>
      <c r="AD661" s="28" t="e">
        <f t="shared" si="181"/>
        <v>#VALUE!</v>
      </c>
      <c r="AE661" s="28" t="e">
        <f t="shared" si="182"/>
        <v>#N/A</v>
      </c>
      <c r="AF661" s="28" t="e">
        <f t="shared" si="183"/>
        <v>#VALUE!</v>
      </c>
      <c r="AH661" s="31" t="e">
        <f t="shared" si="184"/>
        <v>#N/A</v>
      </c>
      <c r="AI661" s="25"/>
      <c r="AJ661" s="31"/>
    </row>
    <row r="662" spans="2:36" x14ac:dyDescent="0.25">
      <c r="B662" s="33">
        <f>'Arbitrage Payback Engine'!E662</f>
        <v>17.887960553348854</v>
      </c>
      <c r="C662" s="33">
        <f t="shared" si="170"/>
        <v>1000</v>
      </c>
      <c r="D662" s="33">
        <f>'Battery Pricing Model'!$C$17</f>
        <v>1000</v>
      </c>
      <c r="E662" s="33">
        <f t="shared" si="171"/>
        <v>999</v>
      </c>
      <c r="F662" s="33" t="str">
        <f>'Peak Models'!$B$4</f>
        <v>Default</v>
      </c>
      <c r="G662" s="33" t="e">
        <f>'Peak Models'!$Q$7</f>
        <v>#VALUE!</v>
      </c>
      <c r="H662" s="33">
        <f>'Peak Models'!$P$16</f>
        <v>1.5</v>
      </c>
      <c r="I662" s="33">
        <v>12</v>
      </c>
      <c r="J662" s="33" t="e">
        <f>'Peak Models'!$P$13</f>
        <v>#N/A</v>
      </c>
      <c r="K662" s="28" t="e">
        <f t="shared" si="172"/>
        <v>#VALUE!</v>
      </c>
      <c r="L662" s="28" t="e">
        <f>INDEX('Peak Models'!$P$34:$P$64, MATCH(TRUNC(B662, 0), 'Peak Models'!$O$34:$O$64, 0))</f>
        <v>#N/A</v>
      </c>
      <c r="M662" s="28">
        <f>'Peak Models'!$P$15*INDEX('Peak Models'!$Q$34:$Q$64, MATCH(TRUNC(B662, 0),'Peak Models'!$O$34:$O$64, 0))/'Profit per cycles Model'!$E$78</f>
        <v>7.1605565231862451</v>
      </c>
      <c r="N662" s="28" t="e">
        <f t="shared" si="173"/>
        <v>#N/A</v>
      </c>
      <c r="O662" s="71" t="e">
        <f>AVERAGE($N$10:N662)</f>
        <v>#N/A</v>
      </c>
      <c r="P662" s="28" t="e">
        <f t="shared" si="174"/>
        <v>#N/A</v>
      </c>
      <c r="R662" s="28" t="e">
        <f t="shared" si="175"/>
        <v>#VALUE!</v>
      </c>
      <c r="S662" s="25"/>
      <c r="T662" s="25">
        <f t="shared" si="176"/>
        <v>15</v>
      </c>
      <c r="U662" s="33">
        <f>IF(PaybackCustom&gt;0, IF(PaybackCustom&lt;&gt;"Default", PaybackCustom, IF(PaybackStatus&lt;&gt;"",INDEX('Arbitrage Payback Engine'!$Y$2:$Y$6,MATCH(PaybackStatus,'Arbitrage Payback Engine'!$X$2:$X$6,FALSE)),-1)))</f>
        <v>25</v>
      </c>
      <c r="V662" s="32">
        <f t="shared" si="185"/>
        <v>15</v>
      </c>
      <c r="X662" s="29">
        <f t="shared" si="186"/>
        <v>653</v>
      </c>
      <c r="Z662" s="30">
        <f t="shared" si="177"/>
        <v>17.887960553348854</v>
      </c>
      <c r="AA662" s="28" t="e">
        <f t="shared" si="178"/>
        <v>#N/A</v>
      </c>
      <c r="AB662" s="28" t="e">
        <f t="shared" si="179"/>
        <v>#VALUE!</v>
      </c>
      <c r="AC662" s="29">
        <f t="shared" si="180"/>
        <v>619.54459203036049</v>
      </c>
      <c r="AD662" s="28" t="e">
        <f t="shared" si="181"/>
        <v>#VALUE!</v>
      </c>
      <c r="AE662" s="28" t="e">
        <f t="shared" si="182"/>
        <v>#N/A</v>
      </c>
      <c r="AF662" s="28" t="e">
        <f t="shared" si="183"/>
        <v>#VALUE!</v>
      </c>
      <c r="AH662" s="31" t="e">
        <f t="shared" si="184"/>
        <v>#N/A</v>
      </c>
      <c r="AI662" s="25"/>
      <c r="AJ662" s="31"/>
    </row>
    <row r="663" spans="2:36" x14ac:dyDescent="0.25">
      <c r="B663" s="33">
        <f>'Arbitrage Payback Engine'!E663</f>
        <v>17.915354061087523</v>
      </c>
      <c r="C663" s="33">
        <f t="shared" si="170"/>
        <v>1000</v>
      </c>
      <c r="D663" s="33">
        <f>'Battery Pricing Model'!$C$17</f>
        <v>1000</v>
      </c>
      <c r="E663" s="33">
        <f t="shared" si="171"/>
        <v>999</v>
      </c>
      <c r="F663" s="33" t="str">
        <f>'Peak Models'!$B$4</f>
        <v>Default</v>
      </c>
      <c r="G663" s="33" t="e">
        <f>'Peak Models'!$Q$7</f>
        <v>#VALUE!</v>
      </c>
      <c r="H663" s="33">
        <f>'Peak Models'!$P$16</f>
        <v>1.5</v>
      </c>
      <c r="I663" s="33">
        <v>12</v>
      </c>
      <c r="J663" s="33" t="e">
        <f>'Peak Models'!$P$13</f>
        <v>#N/A</v>
      </c>
      <c r="K663" s="28" t="e">
        <f t="shared" si="172"/>
        <v>#VALUE!</v>
      </c>
      <c r="L663" s="28" t="e">
        <f>INDEX('Peak Models'!$P$34:$P$64, MATCH(TRUNC(B663, 0), 'Peak Models'!$O$34:$O$64, 0))</f>
        <v>#N/A</v>
      </c>
      <c r="M663" s="28">
        <f>'Peak Models'!$P$15*INDEX('Peak Models'!$Q$34:$Q$64, MATCH(TRUNC(B663, 0),'Peak Models'!$O$34:$O$64, 0))/'Profit per cycles Model'!$E$78</f>
        <v>7.1605565231862451</v>
      </c>
      <c r="N663" s="28" t="e">
        <f t="shared" si="173"/>
        <v>#N/A</v>
      </c>
      <c r="O663" s="71" t="e">
        <f>AVERAGE($N$10:N663)</f>
        <v>#N/A</v>
      </c>
      <c r="P663" s="28" t="e">
        <f t="shared" si="174"/>
        <v>#N/A</v>
      </c>
      <c r="R663" s="28" t="e">
        <f t="shared" si="175"/>
        <v>#VALUE!</v>
      </c>
      <c r="S663" s="25"/>
      <c r="T663" s="25">
        <f t="shared" si="176"/>
        <v>15</v>
      </c>
      <c r="U663" s="33">
        <f>IF(PaybackCustom&gt;0, IF(PaybackCustom&lt;&gt;"Default", PaybackCustom, IF(PaybackStatus&lt;&gt;"",INDEX('Arbitrage Payback Engine'!$Y$2:$Y$6,MATCH(PaybackStatus,'Arbitrage Payback Engine'!$X$2:$X$6,FALSE)),-1)))</f>
        <v>25</v>
      </c>
      <c r="V663" s="32">
        <f t="shared" si="185"/>
        <v>15</v>
      </c>
      <c r="X663" s="29">
        <f t="shared" si="186"/>
        <v>654</v>
      </c>
      <c r="Z663" s="30">
        <f t="shared" si="177"/>
        <v>17.915354061087523</v>
      </c>
      <c r="AA663" s="28" t="e">
        <f t="shared" si="178"/>
        <v>#N/A</v>
      </c>
      <c r="AB663" s="28" t="e">
        <f t="shared" si="179"/>
        <v>#VALUE!</v>
      </c>
      <c r="AC663" s="29">
        <f t="shared" si="180"/>
        <v>620.49335863377621</v>
      </c>
      <c r="AD663" s="28" t="e">
        <f t="shared" si="181"/>
        <v>#VALUE!</v>
      </c>
      <c r="AE663" s="28" t="e">
        <f t="shared" si="182"/>
        <v>#N/A</v>
      </c>
      <c r="AF663" s="28" t="e">
        <f t="shared" si="183"/>
        <v>#VALUE!</v>
      </c>
      <c r="AH663" s="31" t="e">
        <f t="shared" si="184"/>
        <v>#N/A</v>
      </c>
      <c r="AI663" s="25"/>
      <c r="AJ663" s="31"/>
    </row>
    <row r="664" spans="2:36" x14ac:dyDescent="0.25">
      <c r="B664" s="33">
        <f>'Arbitrage Payback Engine'!E664</f>
        <v>17.942747568826189</v>
      </c>
      <c r="C664" s="33">
        <f t="shared" si="170"/>
        <v>1000</v>
      </c>
      <c r="D664" s="33">
        <f>'Battery Pricing Model'!$C$17</f>
        <v>1000</v>
      </c>
      <c r="E664" s="33">
        <f t="shared" si="171"/>
        <v>999</v>
      </c>
      <c r="F664" s="33" t="str">
        <f>'Peak Models'!$B$4</f>
        <v>Default</v>
      </c>
      <c r="G664" s="33" t="e">
        <f>'Peak Models'!$Q$7</f>
        <v>#VALUE!</v>
      </c>
      <c r="H664" s="33">
        <f>'Peak Models'!$P$16</f>
        <v>1.5</v>
      </c>
      <c r="I664" s="33">
        <v>12</v>
      </c>
      <c r="J664" s="33" t="e">
        <f>'Peak Models'!$P$13</f>
        <v>#N/A</v>
      </c>
      <c r="K664" s="28" t="e">
        <f t="shared" si="172"/>
        <v>#VALUE!</v>
      </c>
      <c r="L664" s="28" t="e">
        <f>INDEX('Peak Models'!$P$34:$P$64, MATCH(TRUNC(B664, 0), 'Peak Models'!$O$34:$O$64, 0))</f>
        <v>#N/A</v>
      </c>
      <c r="M664" s="28">
        <f>'Peak Models'!$P$15*INDEX('Peak Models'!$Q$34:$Q$64, MATCH(TRUNC(B664, 0),'Peak Models'!$O$34:$O$64, 0))/'Profit per cycles Model'!$E$78</f>
        <v>7.1605565231862451</v>
      </c>
      <c r="N664" s="28" t="e">
        <f t="shared" si="173"/>
        <v>#N/A</v>
      </c>
      <c r="O664" s="71" t="e">
        <f>AVERAGE($N$10:N664)</f>
        <v>#N/A</v>
      </c>
      <c r="P664" s="28" t="e">
        <f t="shared" si="174"/>
        <v>#N/A</v>
      </c>
      <c r="R664" s="28" t="e">
        <f t="shared" si="175"/>
        <v>#VALUE!</v>
      </c>
      <c r="S664" s="25"/>
      <c r="T664" s="25">
        <f t="shared" si="176"/>
        <v>15</v>
      </c>
      <c r="U664" s="33">
        <f>IF(PaybackCustom&gt;0, IF(PaybackCustom&lt;&gt;"Default", PaybackCustom, IF(PaybackStatus&lt;&gt;"",INDEX('Arbitrage Payback Engine'!$Y$2:$Y$6,MATCH(PaybackStatus,'Arbitrage Payback Engine'!$X$2:$X$6,FALSE)),-1)))</f>
        <v>25</v>
      </c>
      <c r="V664" s="32">
        <f t="shared" si="185"/>
        <v>15</v>
      </c>
      <c r="X664" s="29">
        <f t="shared" si="186"/>
        <v>655</v>
      </c>
      <c r="Z664" s="30">
        <f t="shared" si="177"/>
        <v>17.942747568826189</v>
      </c>
      <c r="AA664" s="28" t="e">
        <f t="shared" si="178"/>
        <v>#N/A</v>
      </c>
      <c r="AB664" s="28" t="e">
        <f t="shared" si="179"/>
        <v>#VALUE!</v>
      </c>
      <c r="AC664" s="29">
        <f t="shared" si="180"/>
        <v>621.4421252371917</v>
      </c>
      <c r="AD664" s="28" t="e">
        <f t="shared" si="181"/>
        <v>#VALUE!</v>
      </c>
      <c r="AE664" s="28" t="e">
        <f t="shared" si="182"/>
        <v>#N/A</v>
      </c>
      <c r="AF664" s="28" t="e">
        <f t="shared" si="183"/>
        <v>#VALUE!</v>
      </c>
      <c r="AH664" s="31" t="e">
        <f t="shared" si="184"/>
        <v>#N/A</v>
      </c>
      <c r="AI664" s="25"/>
      <c r="AJ664" s="31"/>
    </row>
    <row r="665" spans="2:36" x14ac:dyDescent="0.25">
      <c r="B665" s="33">
        <f>'Arbitrage Payback Engine'!E665</f>
        <v>17.970141076564854</v>
      </c>
      <c r="C665" s="33">
        <f t="shared" si="170"/>
        <v>1000</v>
      </c>
      <c r="D665" s="33">
        <f>'Battery Pricing Model'!$C$17</f>
        <v>1000</v>
      </c>
      <c r="E665" s="33">
        <f t="shared" si="171"/>
        <v>999</v>
      </c>
      <c r="F665" s="33" t="str">
        <f>'Peak Models'!$B$4</f>
        <v>Default</v>
      </c>
      <c r="G665" s="33" t="e">
        <f>'Peak Models'!$Q$7</f>
        <v>#VALUE!</v>
      </c>
      <c r="H665" s="33">
        <f>'Peak Models'!$P$16</f>
        <v>1.5</v>
      </c>
      <c r="I665" s="33">
        <v>12</v>
      </c>
      <c r="J665" s="33" t="e">
        <f>'Peak Models'!$P$13</f>
        <v>#N/A</v>
      </c>
      <c r="K665" s="28" t="e">
        <f t="shared" si="172"/>
        <v>#VALUE!</v>
      </c>
      <c r="L665" s="28" t="e">
        <f>INDEX('Peak Models'!$P$34:$P$64, MATCH(TRUNC(B665, 0), 'Peak Models'!$O$34:$O$64, 0))</f>
        <v>#N/A</v>
      </c>
      <c r="M665" s="28">
        <f>'Peak Models'!$P$15*INDEX('Peak Models'!$Q$34:$Q$64, MATCH(TRUNC(B665, 0),'Peak Models'!$O$34:$O$64, 0))/'Profit per cycles Model'!$E$78</f>
        <v>7.1605565231862451</v>
      </c>
      <c r="N665" s="28" t="e">
        <f t="shared" si="173"/>
        <v>#N/A</v>
      </c>
      <c r="O665" s="71" t="e">
        <f>AVERAGE($N$10:N665)</f>
        <v>#N/A</v>
      </c>
      <c r="P665" s="28" t="e">
        <f t="shared" si="174"/>
        <v>#N/A</v>
      </c>
      <c r="R665" s="28" t="e">
        <f t="shared" si="175"/>
        <v>#VALUE!</v>
      </c>
      <c r="S665" s="25"/>
      <c r="T665" s="25">
        <f t="shared" si="176"/>
        <v>15</v>
      </c>
      <c r="U665" s="33">
        <f>IF(PaybackCustom&gt;0, IF(PaybackCustom&lt;&gt;"Default", PaybackCustom, IF(PaybackStatus&lt;&gt;"",INDEX('Arbitrage Payback Engine'!$Y$2:$Y$6,MATCH(PaybackStatus,'Arbitrage Payback Engine'!$X$2:$X$6,FALSE)),-1)))</f>
        <v>25</v>
      </c>
      <c r="V665" s="32">
        <f t="shared" si="185"/>
        <v>15</v>
      </c>
      <c r="X665" s="29">
        <f t="shared" si="186"/>
        <v>656</v>
      </c>
      <c r="Z665" s="30">
        <f t="shared" si="177"/>
        <v>17.970141076564854</v>
      </c>
      <c r="AA665" s="28" t="e">
        <f t="shared" si="178"/>
        <v>#N/A</v>
      </c>
      <c r="AB665" s="28" t="e">
        <f t="shared" si="179"/>
        <v>#VALUE!</v>
      </c>
      <c r="AC665" s="29">
        <f t="shared" si="180"/>
        <v>622.3908918406072</v>
      </c>
      <c r="AD665" s="28" t="e">
        <f t="shared" si="181"/>
        <v>#VALUE!</v>
      </c>
      <c r="AE665" s="28" t="e">
        <f t="shared" si="182"/>
        <v>#N/A</v>
      </c>
      <c r="AF665" s="28" t="e">
        <f t="shared" si="183"/>
        <v>#VALUE!</v>
      </c>
      <c r="AH665" s="31" t="e">
        <f t="shared" si="184"/>
        <v>#N/A</v>
      </c>
      <c r="AI665" s="25"/>
      <c r="AJ665" s="31"/>
    </row>
    <row r="666" spans="2:36" x14ac:dyDescent="0.25">
      <c r="B666" s="33">
        <f>'Arbitrage Payback Engine'!E666</f>
        <v>17.997534584303519</v>
      </c>
      <c r="C666" s="33">
        <f t="shared" si="170"/>
        <v>1000</v>
      </c>
      <c r="D666" s="33">
        <f>'Battery Pricing Model'!$C$17</f>
        <v>1000</v>
      </c>
      <c r="E666" s="33">
        <f t="shared" si="171"/>
        <v>999</v>
      </c>
      <c r="F666" s="33" t="str">
        <f>'Peak Models'!$B$4</f>
        <v>Default</v>
      </c>
      <c r="G666" s="33" t="e">
        <f>'Peak Models'!$Q$7</f>
        <v>#VALUE!</v>
      </c>
      <c r="H666" s="33">
        <f>'Peak Models'!$P$16</f>
        <v>1.5</v>
      </c>
      <c r="I666" s="33">
        <v>12</v>
      </c>
      <c r="J666" s="33" t="e">
        <f>'Peak Models'!$P$13</f>
        <v>#N/A</v>
      </c>
      <c r="K666" s="28" t="e">
        <f t="shared" si="172"/>
        <v>#VALUE!</v>
      </c>
      <c r="L666" s="28" t="e">
        <f>INDEX('Peak Models'!$P$34:$P$64, MATCH(TRUNC(B666, 0), 'Peak Models'!$O$34:$O$64, 0))</f>
        <v>#N/A</v>
      </c>
      <c r="M666" s="28">
        <f>'Peak Models'!$P$15*INDEX('Peak Models'!$Q$34:$Q$64, MATCH(TRUNC(B666, 0),'Peak Models'!$O$34:$O$64, 0))/'Profit per cycles Model'!$E$78</f>
        <v>7.1605565231862451</v>
      </c>
      <c r="N666" s="28" t="e">
        <f t="shared" si="173"/>
        <v>#N/A</v>
      </c>
      <c r="O666" s="71" t="e">
        <f>AVERAGE($N$10:N666)</f>
        <v>#N/A</v>
      </c>
      <c r="P666" s="28" t="e">
        <f t="shared" si="174"/>
        <v>#N/A</v>
      </c>
      <c r="R666" s="28" t="e">
        <f t="shared" si="175"/>
        <v>#VALUE!</v>
      </c>
      <c r="S666" s="25"/>
      <c r="T666" s="25">
        <f t="shared" si="176"/>
        <v>15</v>
      </c>
      <c r="U666" s="33">
        <f>IF(PaybackCustom&gt;0, IF(PaybackCustom&lt;&gt;"Default", PaybackCustom, IF(PaybackStatus&lt;&gt;"",INDEX('Arbitrage Payback Engine'!$Y$2:$Y$6,MATCH(PaybackStatus,'Arbitrage Payback Engine'!$X$2:$X$6,FALSE)),-1)))</f>
        <v>25</v>
      </c>
      <c r="V666" s="32">
        <f t="shared" si="185"/>
        <v>15</v>
      </c>
      <c r="X666" s="29">
        <f t="shared" si="186"/>
        <v>657</v>
      </c>
      <c r="Z666" s="30">
        <f t="shared" si="177"/>
        <v>17.997534584303519</v>
      </c>
      <c r="AA666" s="28" t="e">
        <f t="shared" si="178"/>
        <v>#N/A</v>
      </c>
      <c r="AB666" s="28" t="e">
        <f t="shared" si="179"/>
        <v>#VALUE!</v>
      </c>
      <c r="AC666" s="29">
        <f t="shared" si="180"/>
        <v>623.33965844402269</v>
      </c>
      <c r="AD666" s="28" t="e">
        <f t="shared" si="181"/>
        <v>#VALUE!</v>
      </c>
      <c r="AE666" s="28" t="e">
        <f t="shared" si="182"/>
        <v>#N/A</v>
      </c>
      <c r="AF666" s="28" t="e">
        <f t="shared" si="183"/>
        <v>#VALUE!</v>
      </c>
      <c r="AH666" s="31" t="e">
        <f t="shared" si="184"/>
        <v>#N/A</v>
      </c>
      <c r="AI666" s="25"/>
      <c r="AJ666" s="31"/>
    </row>
    <row r="667" spans="2:36" x14ac:dyDescent="0.25">
      <c r="B667" s="33">
        <f>'Arbitrage Payback Engine'!E667</f>
        <v>18.024928092042185</v>
      </c>
      <c r="C667" s="33">
        <f t="shared" si="170"/>
        <v>1000</v>
      </c>
      <c r="D667" s="33">
        <f>'Battery Pricing Model'!$C$17</f>
        <v>1000</v>
      </c>
      <c r="E667" s="33">
        <f t="shared" si="171"/>
        <v>999</v>
      </c>
      <c r="F667" s="33" t="str">
        <f>'Peak Models'!$B$4</f>
        <v>Default</v>
      </c>
      <c r="G667" s="33" t="e">
        <f>'Peak Models'!$Q$7</f>
        <v>#VALUE!</v>
      </c>
      <c r="H667" s="33">
        <f>'Peak Models'!$P$16</f>
        <v>1.5</v>
      </c>
      <c r="I667" s="33">
        <v>12</v>
      </c>
      <c r="J667" s="33" t="e">
        <f>'Peak Models'!$P$13</f>
        <v>#N/A</v>
      </c>
      <c r="K667" s="28" t="e">
        <f t="shared" si="172"/>
        <v>#VALUE!</v>
      </c>
      <c r="L667" s="28" t="e">
        <f>INDEX('Peak Models'!$P$34:$P$64, MATCH(TRUNC(B667, 0), 'Peak Models'!$O$34:$O$64, 0))</f>
        <v>#N/A</v>
      </c>
      <c r="M667" s="28">
        <f>'Peak Models'!$P$15*INDEX('Peak Models'!$Q$34:$Q$64, MATCH(TRUNC(B667, 0),'Peak Models'!$O$34:$O$64, 0))/'Profit per cycles Model'!$E$78</f>
        <v>7.3395704362659027</v>
      </c>
      <c r="N667" s="28" t="e">
        <f t="shared" si="173"/>
        <v>#N/A</v>
      </c>
      <c r="O667" s="71" t="e">
        <f>AVERAGE($N$10:N667)</f>
        <v>#N/A</v>
      </c>
      <c r="P667" s="28" t="e">
        <f t="shared" si="174"/>
        <v>#N/A</v>
      </c>
      <c r="R667" s="28" t="e">
        <f t="shared" si="175"/>
        <v>#VALUE!</v>
      </c>
      <c r="S667" s="25"/>
      <c r="T667" s="25">
        <f t="shared" si="176"/>
        <v>15</v>
      </c>
      <c r="U667" s="33">
        <f>IF(PaybackCustom&gt;0, IF(PaybackCustom&lt;&gt;"Default", PaybackCustom, IF(PaybackStatus&lt;&gt;"",INDEX('Arbitrage Payback Engine'!$Y$2:$Y$6,MATCH(PaybackStatus,'Arbitrage Payback Engine'!$X$2:$X$6,FALSE)),-1)))</f>
        <v>25</v>
      </c>
      <c r="V667" s="32">
        <f t="shared" si="185"/>
        <v>15</v>
      </c>
      <c r="X667" s="29">
        <f t="shared" si="186"/>
        <v>658</v>
      </c>
      <c r="Z667" s="30">
        <f t="shared" si="177"/>
        <v>18.024928092042185</v>
      </c>
      <c r="AA667" s="28" t="e">
        <f t="shared" si="178"/>
        <v>#N/A</v>
      </c>
      <c r="AB667" s="28" t="e">
        <f t="shared" si="179"/>
        <v>#VALUE!</v>
      </c>
      <c r="AC667" s="29">
        <f t="shared" si="180"/>
        <v>624.2884250474383</v>
      </c>
      <c r="AD667" s="28" t="e">
        <f t="shared" si="181"/>
        <v>#VALUE!</v>
      </c>
      <c r="AE667" s="28" t="e">
        <f t="shared" si="182"/>
        <v>#N/A</v>
      </c>
      <c r="AF667" s="28" t="e">
        <f t="shared" si="183"/>
        <v>#VALUE!</v>
      </c>
      <c r="AH667" s="31" t="e">
        <f t="shared" si="184"/>
        <v>#N/A</v>
      </c>
      <c r="AI667" s="25"/>
      <c r="AJ667" s="31"/>
    </row>
    <row r="668" spans="2:36" x14ac:dyDescent="0.25">
      <c r="B668" s="33">
        <f>'Arbitrage Payback Engine'!E668</f>
        <v>18.05232159978085</v>
      </c>
      <c r="C668" s="33">
        <f t="shared" si="170"/>
        <v>1000</v>
      </c>
      <c r="D668" s="33">
        <f>'Battery Pricing Model'!$C$17</f>
        <v>1000</v>
      </c>
      <c r="E668" s="33">
        <f t="shared" si="171"/>
        <v>999</v>
      </c>
      <c r="F668" s="33" t="str">
        <f>'Peak Models'!$B$4</f>
        <v>Default</v>
      </c>
      <c r="G668" s="33" t="e">
        <f>'Peak Models'!$Q$7</f>
        <v>#VALUE!</v>
      </c>
      <c r="H668" s="33">
        <f>'Peak Models'!$P$16</f>
        <v>1.5</v>
      </c>
      <c r="I668" s="33">
        <v>12</v>
      </c>
      <c r="J668" s="33" t="e">
        <f>'Peak Models'!$P$13</f>
        <v>#N/A</v>
      </c>
      <c r="K668" s="28" t="e">
        <f t="shared" si="172"/>
        <v>#VALUE!</v>
      </c>
      <c r="L668" s="28" t="e">
        <f>INDEX('Peak Models'!$P$34:$P$64, MATCH(TRUNC(B668, 0), 'Peak Models'!$O$34:$O$64, 0))</f>
        <v>#N/A</v>
      </c>
      <c r="M668" s="28">
        <f>'Peak Models'!$P$15*INDEX('Peak Models'!$Q$34:$Q$64, MATCH(TRUNC(B668, 0),'Peak Models'!$O$34:$O$64, 0))/'Profit per cycles Model'!$E$78</f>
        <v>7.3395704362659027</v>
      </c>
      <c r="N668" s="28" t="e">
        <f t="shared" si="173"/>
        <v>#N/A</v>
      </c>
      <c r="O668" s="71" t="e">
        <f>AVERAGE($N$10:N668)</f>
        <v>#N/A</v>
      </c>
      <c r="P668" s="28" t="e">
        <f t="shared" si="174"/>
        <v>#N/A</v>
      </c>
      <c r="R668" s="28" t="e">
        <f t="shared" si="175"/>
        <v>#VALUE!</v>
      </c>
      <c r="S668" s="25"/>
      <c r="T668" s="25">
        <f t="shared" si="176"/>
        <v>15</v>
      </c>
      <c r="U668" s="33">
        <f>IF(PaybackCustom&gt;0, IF(PaybackCustom&lt;&gt;"Default", PaybackCustom, IF(PaybackStatus&lt;&gt;"",INDEX('Arbitrage Payback Engine'!$Y$2:$Y$6,MATCH(PaybackStatus,'Arbitrage Payback Engine'!$X$2:$X$6,FALSE)),-1)))</f>
        <v>25</v>
      </c>
      <c r="V668" s="32">
        <f t="shared" si="185"/>
        <v>15</v>
      </c>
      <c r="X668" s="29">
        <f t="shared" si="186"/>
        <v>659</v>
      </c>
      <c r="Z668" s="30">
        <f t="shared" si="177"/>
        <v>18.05232159978085</v>
      </c>
      <c r="AA668" s="28" t="e">
        <f t="shared" si="178"/>
        <v>#N/A</v>
      </c>
      <c r="AB668" s="28" t="e">
        <f t="shared" si="179"/>
        <v>#VALUE!</v>
      </c>
      <c r="AC668" s="29">
        <f t="shared" si="180"/>
        <v>625.2371916508539</v>
      </c>
      <c r="AD668" s="28" t="e">
        <f t="shared" si="181"/>
        <v>#VALUE!</v>
      </c>
      <c r="AE668" s="28" t="e">
        <f t="shared" si="182"/>
        <v>#N/A</v>
      </c>
      <c r="AF668" s="28" t="e">
        <f t="shared" si="183"/>
        <v>#VALUE!</v>
      </c>
      <c r="AH668" s="31" t="e">
        <f t="shared" si="184"/>
        <v>#N/A</v>
      </c>
      <c r="AI668" s="25"/>
      <c r="AJ668" s="31"/>
    </row>
    <row r="669" spans="2:36" x14ac:dyDescent="0.25">
      <c r="B669" s="33">
        <f>'Arbitrage Payback Engine'!E669</f>
        <v>18.079715107519519</v>
      </c>
      <c r="C669" s="33">
        <f t="shared" si="170"/>
        <v>1000</v>
      </c>
      <c r="D669" s="33">
        <f>'Battery Pricing Model'!$C$17</f>
        <v>1000</v>
      </c>
      <c r="E669" s="33">
        <f t="shared" si="171"/>
        <v>999</v>
      </c>
      <c r="F669" s="33" t="str">
        <f>'Peak Models'!$B$4</f>
        <v>Default</v>
      </c>
      <c r="G669" s="33" t="e">
        <f>'Peak Models'!$Q$7</f>
        <v>#VALUE!</v>
      </c>
      <c r="H669" s="33">
        <f>'Peak Models'!$P$16</f>
        <v>1.5</v>
      </c>
      <c r="I669" s="33">
        <v>12</v>
      </c>
      <c r="J669" s="33" t="e">
        <f>'Peak Models'!$P$13</f>
        <v>#N/A</v>
      </c>
      <c r="K669" s="28" t="e">
        <f t="shared" si="172"/>
        <v>#VALUE!</v>
      </c>
      <c r="L669" s="28" t="e">
        <f>INDEX('Peak Models'!$P$34:$P$64, MATCH(TRUNC(B669, 0), 'Peak Models'!$O$34:$O$64, 0))</f>
        <v>#N/A</v>
      </c>
      <c r="M669" s="28">
        <f>'Peak Models'!$P$15*INDEX('Peak Models'!$Q$34:$Q$64, MATCH(TRUNC(B669, 0),'Peak Models'!$O$34:$O$64, 0))/'Profit per cycles Model'!$E$78</f>
        <v>7.3395704362659027</v>
      </c>
      <c r="N669" s="28" t="e">
        <f t="shared" si="173"/>
        <v>#N/A</v>
      </c>
      <c r="O669" s="71" t="e">
        <f>AVERAGE($N$10:N669)</f>
        <v>#N/A</v>
      </c>
      <c r="P669" s="28" t="e">
        <f t="shared" si="174"/>
        <v>#N/A</v>
      </c>
      <c r="R669" s="28" t="e">
        <f t="shared" si="175"/>
        <v>#VALUE!</v>
      </c>
      <c r="S669" s="25"/>
      <c r="T669" s="25">
        <f t="shared" si="176"/>
        <v>15</v>
      </c>
      <c r="U669" s="33">
        <f>IF(PaybackCustom&gt;0, IF(PaybackCustom&lt;&gt;"Default", PaybackCustom, IF(PaybackStatus&lt;&gt;"",INDEX('Arbitrage Payback Engine'!$Y$2:$Y$6,MATCH(PaybackStatus,'Arbitrage Payback Engine'!$X$2:$X$6,FALSE)),-1)))</f>
        <v>25</v>
      </c>
      <c r="V669" s="32">
        <f t="shared" si="185"/>
        <v>15</v>
      </c>
      <c r="X669" s="29">
        <f t="shared" si="186"/>
        <v>660</v>
      </c>
      <c r="Z669" s="30">
        <f t="shared" si="177"/>
        <v>18.079715107519519</v>
      </c>
      <c r="AA669" s="28" t="e">
        <f t="shared" si="178"/>
        <v>#N/A</v>
      </c>
      <c r="AB669" s="28" t="e">
        <f t="shared" si="179"/>
        <v>#VALUE!</v>
      </c>
      <c r="AC669" s="29">
        <f t="shared" si="180"/>
        <v>626.18595825426951</v>
      </c>
      <c r="AD669" s="28" t="e">
        <f t="shared" si="181"/>
        <v>#VALUE!</v>
      </c>
      <c r="AE669" s="28" t="e">
        <f t="shared" si="182"/>
        <v>#N/A</v>
      </c>
      <c r="AF669" s="28" t="e">
        <f t="shared" si="183"/>
        <v>#VALUE!</v>
      </c>
      <c r="AH669" s="31" t="e">
        <f t="shared" si="184"/>
        <v>#N/A</v>
      </c>
      <c r="AI669" s="25"/>
      <c r="AJ669" s="31"/>
    </row>
    <row r="670" spans="2:36" x14ac:dyDescent="0.25">
      <c r="B670" s="33">
        <f>'Arbitrage Payback Engine'!E670</f>
        <v>18.107108615258184</v>
      </c>
      <c r="C670" s="33">
        <f t="shared" si="170"/>
        <v>1000</v>
      </c>
      <c r="D670" s="33">
        <f>'Battery Pricing Model'!$C$17</f>
        <v>1000</v>
      </c>
      <c r="E670" s="33">
        <f t="shared" si="171"/>
        <v>999</v>
      </c>
      <c r="F670" s="33" t="str">
        <f>'Peak Models'!$B$4</f>
        <v>Default</v>
      </c>
      <c r="G670" s="33" t="e">
        <f>'Peak Models'!$Q$7</f>
        <v>#VALUE!</v>
      </c>
      <c r="H670" s="33">
        <f>'Peak Models'!$P$16</f>
        <v>1.5</v>
      </c>
      <c r="I670" s="33">
        <v>12</v>
      </c>
      <c r="J670" s="33" t="e">
        <f>'Peak Models'!$P$13</f>
        <v>#N/A</v>
      </c>
      <c r="K670" s="28" t="e">
        <f t="shared" si="172"/>
        <v>#VALUE!</v>
      </c>
      <c r="L670" s="28" t="e">
        <f>INDEX('Peak Models'!$P$34:$P$64, MATCH(TRUNC(B670, 0), 'Peak Models'!$O$34:$O$64, 0))</f>
        <v>#N/A</v>
      </c>
      <c r="M670" s="28">
        <f>'Peak Models'!$P$15*INDEX('Peak Models'!$Q$34:$Q$64, MATCH(TRUNC(B670, 0),'Peak Models'!$O$34:$O$64, 0))/'Profit per cycles Model'!$E$78</f>
        <v>7.3395704362659027</v>
      </c>
      <c r="N670" s="28" t="e">
        <f t="shared" si="173"/>
        <v>#N/A</v>
      </c>
      <c r="O670" s="71" t="e">
        <f>AVERAGE($N$10:N670)</f>
        <v>#N/A</v>
      </c>
      <c r="P670" s="28" t="e">
        <f t="shared" si="174"/>
        <v>#N/A</v>
      </c>
      <c r="R670" s="28" t="e">
        <f t="shared" si="175"/>
        <v>#VALUE!</v>
      </c>
      <c r="S670" s="25"/>
      <c r="T670" s="25">
        <f t="shared" si="176"/>
        <v>15</v>
      </c>
      <c r="U670" s="33">
        <f>IF(PaybackCustom&gt;0, IF(PaybackCustom&lt;&gt;"Default", PaybackCustom, IF(PaybackStatus&lt;&gt;"",INDEX('Arbitrage Payback Engine'!$Y$2:$Y$6,MATCH(PaybackStatus,'Arbitrage Payback Engine'!$X$2:$X$6,FALSE)),-1)))</f>
        <v>25</v>
      </c>
      <c r="V670" s="32">
        <f t="shared" si="185"/>
        <v>15</v>
      </c>
      <c r="X670" s="29">
        <f t="shared" si="186"/>
        <v>661</v>
      </c>
      <c r="Z670" s="30">
        <f t="shared" si="177"/>
        <v>18.107108615258184</v>
      </c>
      <c r="AA670" s="28" t="e">
        <f t="shared" si="178"/>
        <v>#N/A</v>
      </c>
      <c r="AB670" s="28" t="e">
        <f t="shared" si="179"/>
        <v>#VALUE!</v>
      </c>
      <c r="AC670" s="29">
        <f t="shared" si="180"/>
        <v>627.13472485768511</v>
      </c>
      <c r="AD670" s="28" t="e">
        <f t="shared" si="181"/>
        <v>#VALUE!</v>
      </c>
      <c r="AE670" s="28" t="e">
        <f t="shared" si="182"/>
        <v>#N/A</v>
      </c>
      <c r="AF670" s="28" t="e">
        <f t="shared" si="183"/>
        <v>#VALUE!</v>
      </c>
      <c r="AH670" s="31" t="e">
        <f t="shared" si="184"/>
        <v>#N/A</v>
      </c>
      <c r="AI670" s="25"/>
      <c r="AJ670" s="31"/>
    </row>
    <row r="671" spans="2:36" x14ac:dyDescent="0.25">
      <c r="B671" s="33">
        <f>'Arbitrage Payback Engine'!E671</f>
        <v>18.134502122996849</v>
      </c>
      <c r="C671" s="33">
        <f t="shared" si="170"/>
        <v>1000</v>
      </c>
      <c r="D671" s="33">
        <f>'Battery Pricing Model'!$C$17</f>
        <v>1000</v>
      </c>
      <c r="E671" s="33">
        <f t="shared" si="171"/>
        <v>999</v>
      </c>
      <c r="F671" s="33" t="str">
        <f>'Peak Models'!$B$4</f>
        <v>Default</v>
      </c>
      <c r="G671" s="33" t="e">
        <f>'Peak Models'!$Q$7</f>
        <v>#VALUE!</v>
      </c>
      <c r="H671" s="33">
        <f>'Peak Models'!$P$16</f>
        <v>1.5</v>
      </c>
      <c r="I671" s="33">
        <v>12</v>
      </c>
      <c r="J671" s="33" t="e">
        <f>'Peak Models'!$P$13</f>
        <v>#N/A</v>
      </c>
      <c r="K671" s="28" t="e">
        <f t="shared" si="172"/>
        <v>#VALUE!</v>
      </c>
      <c r="L671" s="28" t="e">
        <f>INDEX('Peak Models'!$P$34:$P$64, MATCH(TRUNC(B671, 0), 'Peak Models'!$O$34:$O$64, 0))</f>
        <v>#N/A</v>
      </c>
      <c r="M671" s="28">
        <f>'Peak Models'!$P$15*INDEX('Peak Models'!$Q$34:$Q$64, MATCH(TRUNC(B671, 0),'Peak Models'!$O$34:$O$64, 0))/'Profit per cycles Model'!$E$78</f>
        <v>7.3395704362659027</v>
      </c>
      <c r="N671" s="28" t="e">
        <f t="shared" si="173"/>
        <v>#N/A</v>
      </c>
      <c r="O671" s="71" t="e">
        <f>AVERAGE($N$10:N671)</f>
        <v>#N/A</v>
      </c>
      <c r="P671" s="28" t="e">
        <f t="shared" si="174"/>
        <v>#N/A</v>
      </c>
      <c r="R671" s="28" t="e">
        <f t="shared" si="175"/>
        <v>#VALUE!</v>
      </c>
      <c r="S671" s="25"/>
      <c r="T671" s="25">
        <f t="shared" si="176"/>
        <v>15</v>
      </c>
      <c r="U671" s="33">
        <f>IF(PaybackCustom&gt;0, IF(PaybackCustom&lt;&gt;"Default", PaybackCustom, IF(PaybackStatus&lt;&gt;"",INDEX('Arbitrage Payback Engine'!$Y$2:$Y$6,MATCH(PaybackStatus,'Arbitrage Payback Engine'!$X$2:$X$6,FALSE)),-1)))</f>
        <v>25</v>
      </c>
      <c r="V671" s="32">
        <f t="shared" si="185"/>
        <v>15</v>
      </c>
      <c r="X671" s="29">
        <f t="shared" si="186"/>
        <v>662</v>
      </c>
      <c r="Z671" s="30">
        <f t="shared" si="177"/>
        <v>18.134502122996849</v>
      </c>
      <c r="AA671" s="28" t="e">
        <f t="shared" si="178"/>
        <v>#N/A</v>
      </c>
      <c r="AB671" s="28" t="e">
        <f t="shared" si="179"/>
        <v>#VALUE!</v>
      </c>
      <c r="AC671" s="29">
        <f t="shared" si="180"/>
        <v>628.08349146110049</v>
      </c>
      <c r="AD671" s="28" t="e">
        <f t="shared" si="181"/>
        <v>#VALUE!</v>
      </c>
      <c r="AE671" s="28" t="e">
        <f t="shared" si="182"/>
        <v>#N/A</v>
      </c>
      <c r="AF671" s="28" t="e">
        <f t="shared" si="183"/>
        <v>#VALUE!</v>
      </c>
      <c r="AH671" s="31" t="e">
        <f t="shared" si="184"/>
        <v>#N/A</v>
      </c>
      <c r="AI671" s="25"/>
      <c r="AJ671" s="31"/>
    </row>
    <row r="672" spans="2:36" x14ac:dyDescent="0.25">
      <c r="B672" s="33">
        <f>'Arbitrage Payback Engine'!E672</f>
        <v>18.161895630735515</v>
      </c>
      <c r="C672" s="33">
        <f t="shared" si="170"/>
        <v>1000</v>
      </c>
      <c r="D672" s="33">
        <f>'Battery Pricing Model'!$C$17</f>
        <v>1000</v>
      </c>
      <c r="E672" s="33">
        <f t="shared" si="171"/>
        <v>999</v>
      </c>
      <c r="F672" s="33" t="str">
        <f>'Peak Models'!$B$4</f>
        <v>Default</v>
      </c>
      <c r="G672" s="33" t="e">
        <f>'Peak Models'!$Q$7</f>
        <v>#VALUE!</v>
      </c>
      <c r="H672" s="33">
        <f>'Peak Models'!$P$16</f>
        <v>1.5</v>
      </c>
      <c r="I672" s="33">
        <v>12</v>
      </c>
      <c r="J672" s="33" t="e">
        <f>'Peak Models'!$P$13</f>
        <v>#N/A</v>
      </c>
      <c r="K672" s="28" t="e">
        <f t="shared" si="172"/>
        <v>#VALUE!</v>
      </c>
      <c r="L672" s="28" t="e">
        <f>INDEX('Peak Models'!$P$34:$P$64, MATCH(TRUNC(B672, 0), 'Peak Models'!$O$34:$O$64, 0))</f>
        <v>#N/A</v>
      </c>
      <c r="M672" s="28">
        <f>'Peak Models'!$P$15*INDEX('Peak Models'!$Q$34:$Q$64, MATCH(TRUNC(B672, 0),'Peak Models'!$O$34:$O$64, 0))/'Profit per cycles Model'!$E$78</f>
        <v>7.3395704362659027</v>
      </c>
      <c r="N672" s="28" t="e">
        <f t="shared" si="173"/>
        <v>#N/A</v>
      </c>
      <c r="O672" s="71" t="e">
        <f>AVERAGE($N$10:N672)</f>
        <v>#N/A</v>
      </c>
      <c r="P672" s="28" t="e">
        <f t="shared" si="174"/>
        <v>#N/A</v>
      </c>
      <c r="R672" s="28" t="e">
        <f t="shared" si="175"/>
        <v>#VALUE!</v>
      </c>
      <c r="S672" s="25"/>
      <c r="T672" s="25">
        <f t="shared" si="176"/>
        <v>15</v>
      </c>
      <c r="U672" s="33">
        <f>IF(PaybackCustom&gt;0, IF(PaybackCustom&lt;&gt;"Default", PaybackCustom, IF(PaybackStatus&lt;&gt;"",INDEX('Arbitrage Payback Engine'!$Y$2:$Y$6,MATCH(PaybackStatus,'Arbitrage Payback Engine'!$X$2:$X$6,FALSE)),-1)))</f>
        <v>25</v>
      </c>
      <c r="V672" s="32">
        <f t="shared" si="185"/>
        <v>15</v>
      </c>
      <c r="X672" s="29">
        <f t="shared" si="186"/>
        <v>663</v>
      </c>
      <c r="Z672" s="30">
        <f t="shared" si="177"/>
        <v>18.161895630735515</v>
      </c>
      <c r="AA672" s="28" t="e">
        <f t="shared" si="178"/>
        <v>#N/A</v>
      </c>
      <c r="AB672" s="28" t="e">
        <f t="shared" si="179"/>
        <v>#VALUE!</v>
      </c>
      <c r="AC672" s="29">
        <f t="shared" si="180"/>
        <v>629.0322580645161</v>
      </c>
      <c r="AD672" s="28" t="e">
        <f t="shared" si="181"/>
        <v>#VALUE!</v>
      </c>
      <c r="AE672" s="28" t="e">
        <f t="shared" si="182"/>
        <v>#N/A</v>
      </c>
      <c r="AF672" s="28" t="e">
        <f t="shared" si="183"/>
        <v>#VALUE!</v>
      </c>
      <c r="AH672" s="31" t="e">
        <f t="shared" si="184"/>
        <v>#N/A</v>
      </c>
      <c r="AI672" s="25"/>
      <c r="AJ672" s="31"/>
    </row>
    <row r="673" spans="2:36" x14ac:dyDescent="0.25">
      <c r="B673" s="33">
        <f>'Arbitrage Payback Engine'!E673</f>
        <v>18.18928913847418</v>
      </c>
      <c r="C673" s="33">
        <f t="shared" si="170"/>
        <v>1000</v>
      </c>
      <c r="D673" s="33">
        <f>'Battery Pricing Model'!$C$17</f>
        <v>1000</v>
      </c>
      <c r="E673" s="33">
        <f t="shared" si="171"/>
        <v>999</v>
      </c>
      <c r="F673" s="33" t="str">
        <f>'Peak Models'!$B$4</f>
        <v>Default</v>
      </c>
      <c r="G673" s="33" t="e">
        <f>'Peak Models'!$Q$7</f>
        <v>#VALUE!</v>
      </c>
      <c r="H673" s="33">
        <f>'Peak Models'!$P$16</f>
        <v>1.5</v>
      </c>
      <c r="I673" s="33">
        <v>12</v>
      </c>
      <c r="J673" s="33" t="e">
        <f>'Peak Models'!$P$13</f>
        <v>#N/A</v>
      </c>
      <c r="K673" s="28" t="e">
        <f t="shared" si="172"/>
        <v>#VALUE!</v>
      </c>
      <c r="L673" s="28" t="e">
        <f>INDEX('Peak Models'!$P$34:$P$64, MATCH(TRUNC(B673, 0), 'Peak Models'!$O$34:$O$64, 0))</f>
        <v>#N/A</v>
      </c>
      <c r="M673" s="28">
        <f>'Peak Models'!$P$15*INDEX('Peak Models'!$Q$34:$Q$64, MATCH(TRUNC(B673, 0),'Peak Models'!$O$34:$O$64, 0))/'Profit per cycles Model'!$E$78</f>
        <v>7.3395704362659027</v>
      </c>
      <c r="N673" s="28" t="e">
        <f t="shared" si="173"/>
        <v>#N/A</v>
      </c>
      <c r="O673" s="71" t="e">
        <f>AVERAGE($N$10:N673)</f>
        <v>#N/A</v>
      </c>
      <c r="P673" s="28" t="e">
        <f t="shared" si="174"/>
        <v>#N/A</v>
      </c>
      <c r="R673" s="28" t="e">
        <f t="shared" si="175"/>
        <v>#VALUE!</v>
      </c>
      <c r="S673" s="25"/>
      <c r="T673" s="25">
        <f t="shared" si="176"/>
        <v>15</v>
      </c>
      <c r="U673" s="33">
        <f>IF(PaybackCustom&gt;0, IF(PaybackCustom&lt;&gt;"Default", PaybackCustom, IF(PaybackStatus&lt;&gt;"",INDEX('Arbitrage Payback Engine'!$Y$2:$Y$6,MATCH(PaybackStatus,'Arbitrage Payback Engine'!$X$2:$X$6,FALSE)),-1)))</f>
        <v>25</v>
      </c>
      <c r="V673" s="32">
        <f t="shared" si="185"/>
        <v>15</v>
      </c>
      <c r="X673" s="29">
        <f t="shared" si="186"/>
        <v>664</v>
      </c>
      <c r="Z673" s="30">
        <f t="shared" si="177"/>
        <v>18.18928913847418</v>
      </c>
      <c r="AA673" s="28" t="e">
        <f t="shared" si="178"/>
        <v>#N/A</v>
      </c>
      <c r="AB673" s="28" t="e">
        <f t="shared" si="179"/>
        <v>#VALUE!</v>
      </c>
      <c r="AC673" s="29">
        <f t="shared" si="180"/>
        <v>629.98102466793171</v>
      </c>
      <c r="AD673" s="28" t="e">
        <f t="shared" si="181"/>
        <v>#VALUE!</v>
      </c>
      <c r="AE673" s="28" t="e">
        <f t="shared" si="182"/>
        <v>#N/A</v>
      </c>
      <c r="AF673" s="28" t="e">
        <f t="shared" si="183"/>
        <v>#VALUE!</v>
      </c>
      <c r="AH673" s="31" t="e">
        <f t="shared" si="184"/>
        <v>#N/A</v>
      </c>
      <c r="AI673" s="25"/>
      <c r="AJ673" s="31"/>
    </row>
    <row r="674" spans="2:36" x14ac:dyDescent="0.25">
      <c r="B674" s="33">
        <f>'Arbitrage Payback Engine'!E674</f>
        <v>18.216682646212845</v>
      </c>
      <c r="C674" s="33">
        <f t="shared" si="170"/>
        <v>1000</v>
      </c>
      <c r="D674" s="33">
        <f>'Battery Pricing Model'!$C$17</f>
        <v>1000</v>
      </c>
      <c r="E674" s="33">
        <f t="shared" si="171"/>
        <v>999</v>
      </c>
      <c r="F674" s="33" t="str">
        <f>'Peak Models'!$B$4</f>
        <v>Default</v>
      </c>
      <c r="G674" s="33" t="e">
        <f>'Peak Models'!$Q$7</f>
        <v>#VALUE!</v>
      </c>
      <c r="H674" s="33">
        <f>'Peak Models'!$P$16</f>
        <v>1.5</v>
      </c>
      <c r="I674" s="33">
        <v>12</v>
      </c>
      <c r="J674" s="33" t="e">
        <f>'Peak Models'!$P$13</f>
        <v>#N/A</v>
      </c>
      <c r="K674" s="28" t="e">
        <f t="shared" si="172"/>
        <v>#VALUE!</v>
      </c>
      <c r="L674" s="28" t="e">
        <f>INDEX('Peak Models'!$P$34:$P$64, MATCH(TRUNC(B674, 0), 'Peak Models'!$O$34:$O$64, 0))</f>
        <v>#N/A</v>
      </c>
      <c r="M674" s="28">
        <f>'Peak Models'!$P$15*INDEX('Peak Models'!$Q$34:$Q$64, MATCH(TRUNC(B674, 0),'Peak Models'!$O$34:$O$64, 0))/'Profit per cycles Model'!$E$78</f>
        <v>7.3395704362659027</v>
      </c>
      <c r="N674" s="28" t="e">
        <f t="shared" si="173"/>
        <v>#N/A</v>
      </c>
      <c r="O674" s="71" t="e">
        <f>AVERAGE($N$10:N674)</f>
        <v>#N/A</v>
      </c>
      <c r="P674" s="28" t="e">
        <f t="shared" si="174"/>
        <v>#N/A</v>
      </c>
      <c r="R674" s="28" t="e">
        <f t="shared" si="175"/>
        <v>#VALUE!</v>
      </c>
      <c r="S674" s="25"/>
      <c r="T674" s="25">
        <f t="shared" si="176"/>
        <v>15</v>
      </c>
      <c r="U674" s="33">
        <f>IF(PaybackCustom&gt;0, IF(PaybackCustom&lt;&gt;"Default", PaybackCustom, IF(PaybackStatus&lt;&gt;"",INDEX('Arbitrage Payback Engine'!$Y$2:$Y$6,MATCH(PaybackStatus,'Arbitrage Payback Engine'!$X$2:$X$6,FALSE)),-1)))</f>
        <v>25</v>
      </c>
      <c r="V674" s="32">
        <f t="shared" si="185"/>
        <v>15</v>
      </c>
      <c r="X674" s="29">
        <f t="shared" si="186"/>
        <v>665</v>
      </c>
      <c r="Z674" s="30">
        <f t="shared" si="177"/>
        <v>18.216682646212845</v>
      </c>
      <c r="AA674" s="28" t="e">
        <f t="shared" si="178"/>
        <v>#N/A</v>
      </c>
      <c r="AB674" s="28" t="e">
        <f t="shared" si="179"/>
        <v>#VALUE!</v>
      </c>
      <c r="AC674" s="29">
        <f t="shared" si="180"/>
        <v>630.9297912713472</v>
      </c>
      <c r="AD674" s="28" t="e">
        <f t="shared" si="181"/>
        <v>#VALUE!</v>
      </c>
      <c r="AE674" s="28" t="e">
        <f t="shared" si="182"/>
        <v>#N/A</v>
      </c>
      <c r="AF674" s="28" t="e">
        <f t="shared" si="183"/>
        <v>#VALUE!</v>
      </c>
      <c r="AH674" s="31" t="e">
        <f t="shared" si="184"/>
        <v>#N/A</v>
      </c>
      <c r="AI674" s="25"/>
      <c r="AJ674" s="31"/>
    </row>
    <row r="675" spans="2:36" x14ac:dyDescent="0.25">
      <c r="B675" s="33">
        <f>'Arbitrage Payback Engine'!E675</f>
        <v>18.244076153951514</v>
      </c>
      <c r="C675" s="33">
        <f t="shared" si="170"/>
        <v>1000</v>
      </c>
      <c r="D675" s="33">
        <f>'Battery Pricing Model'!$C$17</f>
        <v>1000</v>
      </c>
      <c r="E675" s="33">
        <f t="shared" si="171"/>
        <v>999</v>
      </c>
      <c r="F675" s="33" t="str">
        <f>'Peak Models'!$B$4</f>
        <v>Default</v>
      </c>
      <c r="G675" s="33" t="e">
        <f>'Peak Models'!$Q$7</f>
        <v>#VALUE!</v>
      </c>
      <c r="H675" s="33">
        <f>'Peak Models'!$P$16</f>
        <v>1.5</v>
      </c>
      <c r="I675" s="33">
        <v>12</v>
      </c>
      <c r="J675" s="33" t="e">
        <f>'Peak Models'!$P$13</f>
        <v>#N/A</v>
      </c>
      <c r="K675" s="28" t="e">
        <f t="shared" si="172"/>
        <v>#VALUE!</v>
      </c>
      <c r="L675" s="28" t="e">
        <f>INDEX('Peak Models'!$P$34:$P$64, MATCH(TRUNC(B675, 0), 'Peak Models'!$O$34:$O$64, 0))</f>
        <v>#N/A</v>
      </c>
      <c r="M675" s="28">
        <f>'Peak Models'!$P$15*INDEX('Peak Models'!$Q$34:$Q$64, MATCH(TRUNC(B675, 0),'Peak Models'!$O$34:$O$64, 0))/'Profit per cycles Model'!$E$78</f>
        <v>7.3395704362659027</v>
      </c>
      <c r="N675" s="28" t="e">
        <f t="shared" si="173"/>
        <v>#N/A</v>
      </c>
      <c r="O675" s="71" t="e">
        <f>AVERAGE($N$10:N675)</f>
        <v>#N/A</v>
      </c>
      <c r="P675" s="28" t="e">
        <f t="shared" si="174"/>
        <v>#N/A</v>
      </c>
      <c r="R675" s="28" t="e">
        <f t="shared" si="175"/>
        <v>#VALUE!</v>
      </c>
      <c r="S675" s="25"/>
      <c r="T675" s="25">
        <f t="shared" si="176"/>
        <v>15</v>
      </c>
      <c r="U675" s="33">
        <f>IF(PaybackCustom&gt;0, IF(PaybackCustom&lt;&gt;"Default", PaybackCustom, IF(PaybackStatus&lt;&gt;"",INDEX('Arbitrage Payback Engine'!$Y$2:$Y$6,MATCH(PaybackStatus,'Arbitrage Payback Engine'!$X$2:$X$6,FALSE)),-1)))</f>
        <v>25</v>
      </c>
      <c r="V675" s="32">
        <f t="shared" si="185"/>
        <v>15</v>
      </c>
      <c r="X675" s="29">
        <f t="shared" si="186"/>
        <v>666</v>
      </c>
      <c r="Z675" s="30">
        <f t="shared" si="177"/>
        <v>18.244076153951514</v>
      </c>
      <c r="AA675" s="28" t="e">
        <f t="shared" si="178"/>
        <v>#N/A</v>
      </c>
      <c r="AB675" s="28" t="e">
        <f t="shared" si="179"/>
        <v>#VALUE!</v>
      </c>
      <c r="AC675" s="29">
        <f t="shared" si="180"/>
        <v>631.87855787476292</v>
      </c>
      <c r="AD675" s="28" t="e">
        <f t="shared" si="181"/>
        <v>#VALUE!</v>
      </c>
      <c r="AE675" s="28" t="e">
        <f t="shared" si="182"/>
        <v>#N/A</v>
      </c>
      <c r="AF675" s="28" t="e">
        <f t="shared" si="183"/>
        <v>#VALUE!</v>
      </c>
      <c r="AH675" s="31" t="e">
        <f t="shared" si="184"/>
        <v>#N/A</v>
      </c>
      <c r="AI675" s="25"/>
      <c r="AJ675" s="31"/>
    </row>
    <row r="676" spans="2:36" x14ac:dyDescent="0.25">
      <c r="B676" s="33">
        <f>'Arbitrage Payback Engine'!E676</f>
        <v>18.27146966169018</v>
      </c>
      <c r="C676" s="33">
        <f t="shared" si="170"/>
        <v>1000</v>
      </c>
      <c r="D676" s="33">
        <f>'Battery Pricing Model'!$C$17</f>
        <v>1000</v>
      </c>
      <c r="E676" s="33">
        <f t="shared" si="171"/>
        <v>999</v>
      </c>
      <c r="F676" s="33" t="str">
        <f>'Peak Models'!$B$4</f>
        <v>Default</v>
      </c>
      <c r="G676" s="33" t="e">
        <f>'Peak Models'!$Q$7</f>
        <v>#VALUE!</v>
      </c>
      <c r="H676" s="33">
        <f>'Peak Models'!$P$16</f>
        <v>1.5</v>
      </c>
      <c r="I676" s="33">
        <v>12</v>
      </c>
      <c r="J676" s="33" t="e">
        <f>'Peak Models'!$P$13</f>
        <v>#N/A</v>
      </c>
      <c r="K676" s="28" t="e">
        <f t="shared" si="172"/>
        <v>#VALUE!</v>
      </c>
      <c r="L676" s="28" t="e">
        <f>INDEX('Peak Models'!$P$34:$P$64, MATCH(TRUNC(B676, 0), 'Peak Models'!$O$34:$O$64, 0))</f>
        <v>#N/A</v>
      </c>
      <c r="M676" s="28">
        <f>'Peak Models'!$P$15*INDEX('Peak Models'!$Q$34:$Q$64, MATCH(TRUNC(B676, 0),'Peak Models'!$O$34:$O$64, 0))/'Profit per cycles Model'!$E$78</f>
        <v>7.3395704362659027</v>
      </c>
      <c r="N676" s="28" t="e">
        <f t="shared" si="173"/>
        <v>#N/A</v>
      </c>
      <c r="O676" s="71" t="e">
        <f>AVERAGE($N$10:N676)</f>
        <v>#N/A</v>
      </c>
      <c r="P676" s="28" t="e">
        <f t="shared" si="174"/>
        <v>#N/A</v>
      </c>
      <c r="R676" s="28" t="e">
        <f t="shared" si="175"/>
        <v>#VALUE!</v>
      </c>
      <c r="S676" s="25"/>
      <c r="T676" s="25">
        <f t="shared" si="176"/>
        <v>15</v>
      </c>
      <c r="U676" s="33">
        <f>IF(PaybackCustom&gt;0, IF(PaybackCustom&lt;&gt;"Default", PaybackCustom, IF(PaybackStatus&lt;&gt;"",INDEX('Arbitrage Payback Engine'!$Y$2:$Y$6,MATCH(PaybackStatus,'Arbitrage Payback Engine'!$X$2:$X$6,FALSE)),-1)))</f>
        <v>25</v>
      </c>
      <c r="V676" s="32">
        <f t="shared" si="185"/>
        <v>15</v>
      </c>
      <c r="X676" s="29">
        <f t="shared" si="186"/>
        <v>667</v>
      </c>
      <c r="Z676" s="30">
        <f t="shared" si="177"/>
        <v>18.27146966169018</v>
      </c>
      <c r="AA676" s="28" t="e">
        <f t="shared" si="178"/>
        <v>#N/A</v>
      </c>
      <c r="AB676" s="28" t="e">
        <f t="shared" si="179"/>
        <v>#VALUE!</v>
      </c>
      <c r="AC676" s="29">
        <f t="shared" si="180"/>
        <v>632.82732447817841</v>
      </c>
      <c r="AD676" s="28" t="e">
        <f t="shared" si="181"/>
        <v>#VALUE!</v>
      </c>
      <c r="AE676" s="28" t="e">
        <f t="shared" si="182"/>
        <v>#N/A</v>
      </c>
      <c r="AF676" s="28" t="e">
        <f t="shared" si="183"/>
        <v>#VALUE!</v>
      </c>
      <c r="AH676" s="31" t="e">
        <f t="shared" si="184"/>
        <v>#N/A</v>
      </c>
      <c r="AI676" s="25"/>
      <c r="AJ676" s="31"/>
    </row>
    <row r="677" spans="2:36" x14ac:dyDescent="0.25">
      <c r="B677" s="33">
        <f>'Arbitrage Payback Engine'!E677</f>
        <v>18.298863169428845</v>
      </c>
      <c r="C677" s="33">
        <f t="shared" si="170"/>
        <v>1000</v>
      </c>
      <c r="D677" s="33">
        <f>'Battery Pricing Model'!$C$17</f>
        <v>1000</v>
      </c>
      <c r="E677" s="33">
        <f t="shared" si="171"/>
        <v>999</v>
      </c>
      <c r="F677" s="33" t="str">
        <f>'Peak Models'!$B$4</f>
        <v>Default</v>
      </c>
      <c r="G677" s="33" t="e">
        <f>'Peak Models'!$Q$7</f>
        <v>#VALUE!</v>
      </c>
      <c r="H677" s="33">
        <f>'Peak Models'!$P$16</f>
        <v>1.5</v>
      </c>
      <c r="I677" s="33">
        <v>12</v>
      </c>
      <c r="J677" s="33" t="e">
        <f>'Peak Models'!$P$13</f>
        <v>#N/A</v>
      </c>
      <c r="K677" s="28" t="e">
        <f t="shared" si="172"/>
        <v>#VALUE!</v>
      </c>
      <c r="L677" s="28" t="e">
        <f>INDEX('Peak Models'!$P$34:$P$64, MATCH(TRUNC(B677, 0), 'Peak Models'!$O$34:$O$64, 0))</f>
        <v>#N/A</v>
      </c>
      <c r="M677" s="28">
        <f>'Peak Models'!$P$15*INDEX('Peak Models'!$Q$34:$Q$64, MATCH(TRUNC(B677, 0),'Peak Models'!$O$34:$O$64, 0))/'Profit per cycles Model'!$E$78</f>
        <v>7.3395704362659027</v>
      </c>
      <c r="N677" s="28" t="e">
        <f t="shared" si="173"/>
        <v>#N/A</v>
      </c>
      <c r="O677" s="71" t="e">
        <f>AVERAGE($N$10:N677)</f>
        <v>#N/A</v>
      </c>
      <c r="P677" s="28" t="e">
        <f t="shared" si="174"/>
        <v>#N/A</v>
      </c>
      <c r="R677" s="28" t="e">
        <f t="shared" si="175"/>
        <v>#VALUE!</v>
      </c>
      <c r="S677" s="25"/>
      <c r="T677" s="25">
        <f t="shared" si="176"/>
        <v>15</v>
      </c>
      <c r="U677" s="33">
        <f>IF(PaybackCustom&gt;0, IF(PaybackCustom&lt;&gt;"Default", PaybackCustom, IF(PaybackStatus&lt;&gt;"",INDEX('Arbitrage Payback Engine'!$Y$2:$Y$6,MATCH(PaybackStatus,'Arbitrage Payback Engine'!$X$2:$X$6,FALSE)),-1)))</f>
        <v>25</v>
      </c>
      <c r="V677" s="32">
        <f t="shared" si="185"/>
        <v>15</v>
      </c>
      <c r="X677" s="29">
        <f t="shared" si="186"/>
        <v>668</v>
      </c>
      <c r="Z677" s="30">
        <f t="shared" si="177"/>
        <v>18.298863169428845</v>
      </c>
      <c r="AA677" s="28" t="e">
        <f t="shared" si="178"/>
        <v>#N/A</v>
      </c>
      <c r="AB677" s="28" t="e">
        <f t="shared" si="179"/>
        <v>#VALUE!</v>
      </c>
      <c r="AC677" s="29">
        <f t="shared" si="180"/>
        <v>633.7760910815939</v>
      </c>
      <c r="AD677" s="28" t="e">
        <f t="shared" si="181"/>
        <v>#VALUE!</v>
      </c>
      <c r="AE677" s="28" t="e">
        <f t="shared" si="182"/>
        <v>#N/A</v>
      </c>
      <c r="AF677" s="28" t="e">
        <f t="shared" si="183"/>
        <v>#VALUE!</v>
      </c>
      <c r="AH677" s="31" t="e">
        <f t="shared" si="184"/>
        <v>#N/A</v>
      </c>
      <c r="AI677" s="25"/>
      <c r="AJ677" s="31"/>
    </row>
    <row r="678" spans="2:36" x14ac:dyDescent="0.25">
      <c r="B678" s="33">
        <f>'Arbitrage Payback Engine'!E678</f>
        <v>18.32625667716751</v>
      </c>
      <c r="C678" s="33">
        <f t="shared" si="170"/>
        <v>1000</v>
      </c>
      <c r="D678" s="33">
        <f>'Battery Pricing Model'!$C$17</f>
        <v>1000</v>
      </c>
      <c r="E678" s="33">
        <f t="shared" si="171"/>
        <v>999</v>
      </c>
      <c r="F678" s="33" t="str">
        <f>'Peak Models'!$B$4</f>
        <v>Default</v>
      </c>
      <c r="G678" s="33" t="e">
        <f>'Peak Models'!$Q$7</f>
        <v>#VALUE!</v>
      </c>
      <c r="H678" s="33">
        <f>'Peak Models'!$P$16</f>
        <v>1.5</v>
      </c>
      <c r="I678" s="33">
        <v>12</v>
      </c>
      <c r="J678" s="33" t="e">
        <f>'Peak Models'!$P$13</f>
        <v>#N/A</v>
      </c>
      <c r="K678" s="28" t="e">
        <f t="shared" si="172"/>
        <v>#VALUE!</v>
      </c>
      <c r="L678" s="28" t="e">
        <f>INDEX('Peak Models'!$P$34:$P$64, MATCH(TRUNC(B678, 0), 'Peak Models'!$O$34:$O$64, 0))</f>
        <v>#N/A</v>
      </c>
      <c r="M678" s="28">
        <f>'Peak Models'!$P$15*INDEX('Peak Models'!$Q$34:$Q$64, MATCH(TRUNC(B678, 0),'Peak Models'!$O$34:$O$64, 0))/'Profit per cycles Model'!$E$78</f>
        <v>7.3395704362659027</v>
      </c>
      <c r="N678" s="28" t="e">
        <f t="shared" si="173"/>
        <v>#N/A</v>
      </c>
      <c r="O678" s="71" t="e">
        <f>AVERAGE($N$10:N678)</f>
        <v>#N/A</v>
      </c>
      <c r="P678" s="28" t="e">
        <f t="shared" si="174"/>
        <v>#N/A</v>
      </c>
      <c r="R678" s="28" t="e">
        <f t="shared" si="175"/>
        <v>#VALUE!</v>
      </c>
      <c r="S678" s="25"/>
      <c r="T678" s="25">
        <f t="shared" si="176"/>
        <v>15</v>
      </c>
      <c r="U678" s="33">
        <f>IF(PaybackCustom&gt;0, IF(PaybackCustom&lt;&gt;"Default", PaybackCustom, IF(PaybackStatus&lt;&gt;"",INDEX('Arbitrage Payback Engine'!$Y$2:$Y$6,MATCH(PaybackStatus,'Arbitrage Payback Engine'!$X$2:$X$6,FALSE)),-1)))</f>
        <v>25</v>
      </c>
      <c r="V678" s="32">
        <f t="shared" si="185"/>
        <v>15</v>
      </c>
      <c r="X678" s="29">
        <f t="shared" si="186"/>
        <v>669</v>
      </c>
      <c r="Z678" s="30">
        <f t="shared" si="177"/>
        <v>18.32625667716751</v>
      </c>
      <c r="AA678" s="28" t="e">
        <f t="shared" si="178"/>
        <v>#N/A</v>
      </c>
      <c r="AB678" s="28" t="e">
        <f t="shared" si="179"/>
        <v>#VALUE!</v>
      </c>
      <c r="AC678" s="29">
        <f t="shared" si="180"/>
        <v>634.72485768500951</v>
      </c>
      <c r="AD678" s="28" t="e">
        <f t="shared" si="181"/>
        <v>#VALUE!</v>
      </c>
      <c r="AE678" s="28" t="e">
        <f t="shared" si="182"/>
        <v>#N/A</v>
      </c>
      <c r="AF678" s="28" t="e">
        <f t="shared" si="183"/>
        <v>#VALUE!</v>
      </c>
      <c r="AH678" s="31" t="e">
        <f t="shared" si="184"/>
        <v>#N/A</v>
      </c>
      <c r="AI678" s="25"/>
      <c r="AJ678" s="31"/>
    </row>
    <row r="679" spans="2:36" x14ac:dyDescent="0.25">
      <c r="B679" s="33">
        <f>'Arbitrage Payback Engine'!E679</f>
        <v>18.353650184906176</v>
      </c>
      <c r="C679" s="33">
        <f t="shared" si="170"/>
        <v>1000</v>
      </c>
      <c r="D679" s="33">
        <f>'Battery Pricing Model'!$C$17</f>
        <v>1000</v>
      </c>
      <c r="E679" s="33">
        <f t="shared" si="171"/>
        <v>999</v>
      </c>
      <c r="F679" s="33" t="str">
        <f>'Peak Models'!$B$4</f>
        <v>Default</v>
      </c>
      <c r="G679" s="33" t="e">
        <f>'Peak Models'!$Q$7</f>
        <v>#VALUE!</v>
      </c>
      <c r="H679" s="33">
        <f>'Peak Models'!$P$16</f>
        <v>1.5</v>
      </c>
      <c r="I679" s="33">
        <v>12</v>
      </c>
      <c r="J679" s="33" t="e">
        <f>'Peak Models'!$P$13</f>
        <v>#N/A</v>
      </c>
      <c r="K679" s="28" t="e">
        <f t="shared" si="172"/>
        <v>#VALUE!</v>
      </c>
      <c r="L679" s="28" t="e">
        <f>INDEX('Peak Models'!$P$34:$P$64, MATCH(TRUNC(B679, 0), 'Peak Models'!$O$34:$O$64, 0))</f>
        <v>#N/A</v>
      </c>
      <c r="M679" s="28">
        <f>'Peak Models'!$P$15*INDEX('Peak Models'!$Q$34:$Q$64, MATCH(TRUNC(B679, 0),'Peak Models'!$O$34:$O$64, 0))/'Profit per cycles Model'!$E$78</f>
        <v>7.3395704362659027</v>
      </c>
      <c r="N679" s="28" t="e">
        <f t="shared" si="173"/>
        <v>#N/A</v>
      </c>
      <c r="O679" s="71" t="e">
        <f>AVERAGE($N$10:N679)</f>
        <v>#N/A</v>
      </c>
      <c r="P679" s="28" t="e">
        <f t="shared" si="174"/>
        <v>#N/A</v>
      </c>
      <c r="R679" s="28" t="e">
        <f t="shared" si="175"/>
        <v>#VALUE!</v>
      </c>
      <c r="S679" s="25"/>
      <c r="T679" s="25">
        <f t="shared" si="176"/>
        <v>15</v>
      </c>
      <c r="U679" s="33">
        <f>IF(PaybackCustom&gt;0, IF(PaybackCustom&lt;&gt;"Default", PaybackCustom, IF(PaybackStatus&lt;&gt;"",INDEX('Arbitrage Payback Engine'!$Y$2:$Y$6,MATCH(PaybackStatus,'Arbitrage Payback Engine'!$X$2:$X$6,FALSE)),-1)))</f>
        <v>25</v>
      </c>
      <c r="V679" s="32">
        <f t="shared" si="185"/>
        <v>15</v>
      </c>
      <c r="X679" s="29">
        <f t="shared" si="186"/>
        <v>670</v>
      </c>
      <c r="Z679" s="30">
        <f t="shared" si="177"/>
        <v>18.353650184906176</v>
      </c>
      <c r="AA679" s="28" t="e">
        <f t="shared" si="178"/>
        <v>#N/A</v>
      </c>
      <c r="AB679" s="28" t="e">
        <f t="shared" si="179"/>
        <v>#VALUE!</v>
      </c>
      <c r="AC679" s="29">
        <f t="shared" si="180"/>
        <v>635.673624288425</v>
      </c>
      <c r="AD679" s="28" t="e">
        <f t="shared" si="181"/>
        <v>#VALUE!</v>
      </c>
      <c r="AE679" s="28" t="e">
        <f t="shared" si="182"/>
        <v>#N/A</v>
      </c>
      <c r="AF679" s="28" t="e">
        <f t="shared" si="183"/>
        <v>#VALUE!</v>
      </c>
      <c r="AH679" s="31" t="e">
        <f t="shared" si="184"/>
        <v>#N/A</v>
      </c>
      <c r="AI679" s="25"/>
      <c r="AJ679" s="31"/>
    </row>
    <row r="680" spans="2:36" x14ac:dyDescent="0.25">
      <c r="B680" s="33">
        <f>'Arbitrage Payback Engine'!E680</f>
        <v>18.381043692644841</v>
      </c>
      <c r="C680" s="33">
        <f t="shared" si="170"/>
        <v>1000</v>
      </c>
      <c r="D680" s="33">
        <f>'Battery Pricing Model'!$C$17</f>
        <v>1000</v>
      </c>
      <c r="E680" s="33">
        <f t="shared" si="171"/>
        <v>999</v>
      </c>
      <c r="F680" s="33" t="str">
        <f>'Peak Models'!$B$4</f>
        <v>Default</v>
      </c>
      <c r="G680" s="33" t="e">
        <f>'Peak Models'!$Q$7</f>
        <v>#VALUE!</v>
      </c>
      <c r="H680" s="33">
        <f>'Peak Models'!$P$16</f>
        <v>1.5</v>
      </c>
      <c r="I680" s="33">
        <v>12</v>
      </c>
      <c r="J680" s="33" t="e">
        <f>'Peak Models'!$P$13</f>
        <v>#N/A</v>
      </c>
      <c r="K680" s="28" t="e">
        <f t="shared" si="172"/>
        <v>#VALUE!</v>
      </c>
      <c r="L680" s="28" t="e">
        <f>INDEX('Peak Models'!$P$34:$P$64, MATCH(TRUNC(B680, 0), 'Peak Models'!$O$34:$O$64, 0))</f>
        <v>#N/A</v>
      </c>
      <c r="M680" s="28">
        <f>'Peak Models'!$P$15*INDEX('Peak Models'!$Q$34:$Q$64, MATCH(TRUNC(B680, 0),'Peak Models'!$O$34:$O$64, 0))/'Profit per cycles Model'!$E$78</f>
        <v>7.3395704362659027</v>
      </c>
      <c r="N680" s="28" t="e">
        <f t="shared" si="173"/>
        <v>#N/A</v>
      </c>
      <c r="O680" s="71" t="e">
        <f>AVERAGE($N$10:N680)</f>
        <v>#N/A</v>
      </c>
      <c r="P680" s="28" t="e">
        <f t="shared" si="174"/>
        <v>#N/A</v>
      </c>
      <c r="R680" s="28" t="e">
        <f t="shared" si="175"/>
        <v>#VALUE!</v>
      </c>
      <c r="S680" s="25"/>
      <c r="T680" s="25">
        <f t="shared" si="176"/>
        <v>15</v>
      </c>
      <c r="U680" s="33">
        <f>IF(PaybackCustom&gt;0, IF(PaybackCustom&lt;&gt;"Default", PaybackCustom, IF(PaybackStatus&lt;&gt;"",INDEX('Arbitrage Payback Engine'!$Y$2:$Y$6,MATCH(PaybackStatus,'Arbitrage Payback Engine'!$X$2:$X$6,FALSE)),-1)))</f>
        <v>25</v>
      </c>
      <c r="V680" s="32">
        <f t="shared" si="185"/>
        <v>15</v>
      </c>
      <c r="X680" s="29">
        <f t="shared" si="186"/>
        <v>671</v>
      </c>
      <c r="Z680" s="30">
        <f t="shared" si="177"/>
        <v>18.381043692644841</v>
      </c>
      <c r="AA680" s="28" t="e">
        <f t="shared" si="178"/>
        <v>#N/A</v>
      </c>
      <c r="AB680" s="28" t="e">
        <f t="shared" si="179"/>
        <v>#VALUE!</v>
      </c>
      <c r="AC680" s="29">
        <f t="shared" si="180"/>
        <v>636.62239089184061</v>
      </c>
      <c r="AD680" s="28" t="e">
        <f t="shared" si="181"/>
        <v>#VALUE!</v>
      </c>
      <c r="AE680" s="28" t="e">
        <f t="shared" si="182"/>
        <v>#N/A</v>
      </c>
      <c r="AF680" s="28" t="e">
        <f t="shared" si="183"/>
        <v>#VALUE!</v>
      </c>
      <c r="AH680" s="31" t="e">
        <f t="shared" si="184"/>
        <v>#N/A</v>
      </c>
      <c r="AI680" s="25"/>
      <c r="AJ680" s="31"/>
    </row>
    <row r="681" spans="2:36" x14ac:dyDescent="0.25">
      <c r="B681" s="33">
        <f>'Arbitrage Payback Engine'!E681</f>
        <v>18.40843720038351</v>
      </c>
      <c r="C681" s="33">
        <f t="shared" si="170"/>
        <v>1000</v>
      </c>
      <c r="D681" s="33">
        <f>'Battery Pricing Model'!$C$17</f>
        <v>1000</v>
      </c>
      <c r="E681" s="33">
        <f t="shared" si="171"/>
        <v>999</v>
      </c>
      <c r="F681" s="33" t="str">
        <f>'Peak Models'!$B$4</f>
        <v>Default</v>
      </c>
      <c r="G681" s="33" t="e">
        <f>'Peak Models'!$Q$7</f>
        <v>#VALUE!</v>
      </c>
      <c r="H681" s="33">
        <f>'Peak Models'!$P$16</f>
        <v>1.5</v>
      </c>
      <c r="I681" s="33">
        <v>12</v>
      </c>
      <c r="J681" s="33" t="e">
        <f>'Peak Models'!$P$13</f>
        <v>#N/A</v>
      </c>
      <c r="K681" s="28" t="e">
        <f t="shared" si="172"/>
        <v>#VALUE!</v>
      </c>
      <c r="L681" s="28" t="e">
        <f>INDEX('Peak Models'!$P$34:$P$64, MATCH(TRUNC(B681, 0), 'Peak Models'!$O$34:$O$64, 0))</f>
        <v>#N/A</v>
      </c>
      <c r="M681" s="28">
        <f>'Peak Models'!$P$15*INDEX('Peak Models'!$Q$34:$Q$64, MATCH(TRUNC(B681, 0),'Peak Models'!$O$34:$O$64, 0))/'Profit per cycles Model'!$E$78</f>
        <v>7.3395704362659027</v>
      </c>
      <c r="N681" s="28" t="e">
        <f t="shared" si="173"/>
        <v>#N/A</v>
      </c>
      <c r="O681" s="71" t="e">
        <f>AVERAGE($N$10:N681)</f>
        <v>#N/A</v>
      </c>
      <c r="P681" s="28" t="e">
        <f t="shared" si="174"/>
        <v>#N/A</v>
      </c>
      <c r="R681" s="28" t="e">
        <f t="shared" si="175"/>
        <v>#VALUE!</v>
      </c>
      <c r="S681" s="25"/>
      <c r="T681" s="25">
        <f t="shared" si="176"/>
        <v>15</v>
      </c>
      <c r="U681" s="33">
        <f>IF(PaybackCustom&gt;0, IF(PaybackCustom&lt;&gt;"Default", PaybackCustom, IF(PaybackStatus&lt;&gt;"",INDEX('Arbitrage Payback Engine'!$Y$2:$Y$6,MATCH(PaybackStatus,'Arbitrage Payback Engine'!$X$2:$X$6,FALSE)),-1)))</f>
        <v>25</v>
      </c>
      <c r="V681" s="32">
        <f t="shared" si="185"/>
        <v>15</v>
      </c>
      <c r="X681" s="29">
        <f t="shared" si="186"/>
        <v>672</v>
      </c>
      <c r="Z681" s="30">
        <f t="shared" si="177"/>
        <v>18.40843720038351</v>
      </c>
      <c r="AA681" s="28" t="e">
        <f t="shared" si="178"/>
        <v>#N/A</v>
      </c>
      <c r="AB681" s="28" t="e">
        <f t="shared" si="179"/>
        <v>#VALUE!</v>
      </c>
      <c r="AC681" s="29">
        <f t="shared" si="180"/>
        <v>637.57115749525622</v>
      </c>
      <c r="AD681" s="28" t="e">
        <f t="shared" si="181"/>
        <v>#VALUE!</v>
      </c>
      <c r="AE681" s="28" t="e">
        <f t="shared" si="182"/>
        <v>#N/A</v>
      </c>
      <c r="AF681" s="28" t="e">
        <f t="shared" si="183"/>
        <v>#VALUE!</v>
      </c>
      <c r="AH681" s="31" t="e">
        <f t="shared" si="184"/>
        <v>#N/A</v>
      </c>
      <c r="AI681" s="25"/>
      <c r="AJ681" s="31"/>
    </row>
    <row r="682" spans="2:36" x14ac:dyDescent="0.25">
      <c r="B682" s="33">
        <f>'Arbitrage Payback Engine'!E682</f>
        <v>18.435830708122175</v>
      </c>
      <c r="C682" s="33">
        <f t="shared" si="170"/>
        <v>1000</v>
      </c>
      <c r="D682" s="33">
        <f>'Battery Pricing Model'!$C$17</f>
        <v>1000</v>
      </c>
      <c r="E682" s="33">
        <f t="shared" si="171"/>
        <v>999</v>
      </c>
      <c r="F682" s="33" t="str">
        <f>'Peak Models'!$B$4</f>
        <v>Default</v>
      </c>
      <c r="G682" s="33" t="e">
        <f>'Peak Models'!$Q$7</f>
        <v>#VALUE!</v>
      </c>
      <c r="H682" s="33">
        <f>'Peak Models'!$P$16</f>
        <v>1.5</v>
      </c>
      <c r="I682" s="33">
        <v>12</v>
      </c>
      <c r="J682" s="33" t="e">
        <f>'Peak Models'!$P$13</f>
        <v>#N/A</v>
      </c>
      <c r="K682" s="28" t="e">
        <f t="shared" si="172"/>
        <v>#VALUE!</v>
      </c>
      <c r="L682" s="28" t="e">
        <f>INDEX('Peak Models'!$P$34:$P$64, MATCH(TRUNC(B682, 0), 'Peak Models'!$O$34:$O$64, 0))</f>
        <v>#N/A</v>
      </c>
      <c r="M682" s="28">
        <f>'Peak Models'!$P$15*INDEX('Peak Models'!$Q$34:$Q$64, MATCH(TRUNC(B682, 0),'Peak Models'!$O$34:$O$64, 0))/'Profit per cycles Model'!$E$78</f>
        <v>7.3395704362659027</v>
      </c>
      <c r="N682" s="28" t="e">
        <f t="shared" si="173"/>
        <v>#N/A</v>
      </c>
      <c r="O682" s="71" t="e">
        <f>AVERAGE($N$10:N682)</f>
        <v>#N/A</v>
      </c>
      <c r="P682" s="28" t="e">
        <f t="shared" si="174"/>
        <v>#N/A</v>
      </c>
      <c r="R682" s="28" t="e">
        <f t="shared" si="175"/>
        <v>#VALUE!</v>
      </c>
      <c r="S682" s="25"/>
      <c r="T682" s="25">
        <f t="shared" si="176"/>
        <v>15</v>
      </c>
      <c r="U682" s="33">
        <f>IF(PaybackCustom&gt;0, IF(PaybackCustom&lt;&gt;"Default", PaybackCustom, IF(PaybackStatus&lt;&gt;"",INDEX('Arbitrage Payback Engine'!$Y$2:$Y$6,MATCH(PaybackStatus,'Arbitrage Payback Engine'!$X$2:$X$6,FALSE)),-1)))</f>
        <v>25</v>
      </c>
      <c r="V682" s="32">
        <f t="shared" si="185"/>
        <v>15</v>
      </c>
      <c r="X682" s="29">
        <f t="shared" si="186"/>
        <v>673</v>
      </c>
      <c r="Z682" s="30">
        <f t="shared" si="177"/>
        <v>18.435830708122175</v>
      </c>
      <c r="AA682" s="28" t="e">
        <f t="shared" si="178"/>
        <v>#N/A</v>
      </c>
      <c r="AB682" s="28" t="e">
        <f t="shared" si="179"/>
        <v>#VALUE!</v>
      </c>
      <c r="AC682" s="29">
        <f t="shared" si="180"/>
        <v>638.51992409867182</v>
      </c>
      <c r="AD682" s="28" t="e">
        <f t="shared" si="181"/>
        <v>#VALUE!</v>
      </c>
      <c r="AE682" s="28" t="e">
        <f t="shared" si="182"/>
        <v>#N/A</v>
      </c>
      <c r="AF682" s="28" t="e">
        <f t="shared" si="183"/>
        <v>#VALUE!</v>
      </c>
      <c r="AH682" s="31" t="e">
        <f t="shared" si="184"/>
        <v>#N/A</v>
      </c>
      <c r="AI682" s="25"/>
      <c r="AJ682" s="31"/>
    </row>
    <row r="683" spans="2:36" x14ac:dyDescent="0.25">
      <c r="B683" s="33">
        <f>'Arbitrage Payback Engine'!E683</f>
        <v>18.463224215860841</v>
      </c>
      <c r="C683" s="33">
        <f t="shared" si="170"/>
        <v>1000</v>
      </c>
      <c r="D683" s="33">
        <f>'Battery Pricing Model'!$C$17</f>
        <v>1000</v>
      </c>
      <c r="E683" s="33">
        <f t="shared" si="171"/>
        <v>999</v>
      </c>
      <c r="F683" s="33" t="str">
        <f>'Peak Models'!$B$4</f>
        <v>Default</v>
      </c>
      <c r="G683" s="33" t="e">
        <f>'Peak Models'!$Q$7</f>
        <v>#VALUE!</v>
      </c>
      <c r="H683" s="33">
        <f>'Peak Models'!$P$16</f>
        <v>1.5</v>
      </c>
      <c r="I683" s="33">
        <v>12</v>
      </c>
      <c r="J683" s="33" t="e">
        <f>'Peak Models'!$P$13</f>
        <v>#N/A</v>
      </c>
      <c r="K683" s="28" t="e">
        <f t="shared" si="172"/>
        <v>#VALUE!</v>
      </c>
      <c r="L683" s="28" t="e">
        <f>INDEX('Peak Models'!$P$34:$P$64, MATCH(TRUNC(B683, 0), 'Peak Models'!$O$34:$O$64, 0))</f>
        <v>#N/A</v>
      </c>
      <c r="M683" s="28">
        <f>'Peak Models'!$P$15*INDEX('Peak Models'!$Q$34:$Q$64, MATCH(TRUNC(B683, 0),'Peak Models'!$O$34:$O$64, 0))/'Profit per cycles Model'!$E$78</f>
        <v>7.3395704362659027</v>
      </c>
      <c r="N683" s="28" t="e">
        <f t="shared" si="173"/>
        <v>#N/A</v>
      </c>
      <c r="O683" s="71" t="e">
        <f>AVERAGE($N$10:N683)</f>
        <v>#N/A</v>
      </c>
      <c r="P683" s="28" t="e">
        <f t="shared" si="174"/>
        <v>#N/A</v>
      </c>
      <c r="R683" s="28" t="e">
        <f t="shared" si="175"/>
        <v>#VALUE!</v>
      </c>
      <c r="S683" s="25"/>
      <c r="T683" s="25">
        <f t="shared" si="176"/>
        <v>15</v>
      </c>
      <c r="U683" s="33">
        <f>IF(PaybackCustom&gt;0, IF(PaybackCustom&lt;&gt;"Default", PaybackCustom, IF(PaybackStatus&lt;&gt;"",INDEX('Arbitrage Payback Engine'!$Y$2:$Y$6,MATCH(PaybackStatus,'Arbitrage Payback Engine'!$X$2:$X$6,FALSE)),-1)))</f>
        <v>25</v>
      </c>
      <c r="V683" s="32">
        <f t="shared" si="185"/>
        <v>15</v>
      </c>
      <c r="X683" s="29">
        <f t="shared" si="186"/>
        <v>674</v>
      </c>
      <c r="Z683" s="30">
        <f t="shared" si="177"/>
        <v>18.463224215860841</v>
      </c>
      <c r="AA683" s="28" t="e">
        <f t="shared" si="178"/>
        <v>#N/A</v>
      </c>
      <c r="AB683" s="28" t="e">
        <f t="shared" si="179"/>
        <v>#VALUE!</v>
      </c>
      <c r="AC683" s="29">
        <f t="shared" si="180"/>
        <v>639.46869070208732</v>
      </c>
      <c r="AD683" s="28" t="e">
        <f t="shared" si="181"/>
        <v>#VALUE!</v>
      </c>
      <c r="AE683" s="28" t="e">
        <f t="shared" si="182"/>
        <v>#N/A</v>
      </c>
      <c r="AF683" s="28" t="e">
        <f t="shared" si="183"/>
        <v>#VALUE!</v>
      </c>
      <c r="AH683" s="31" t="e">
        <f t="shared" si="184"/>
        <v>#N/A</v>
      </c>
      <c r="AI683" s="25"/>
      <c r="AJ683" s="31"/>
    </row>
    <row r="684" spans="2:36" x14ac:dyDescent="0.25">
      <c r="B684" s="33">
        <f>'Arbitrage Payback Engine'!E684</f>
        <v>18.490617723599506</v>
      </c>
      <c r="C684" s="33">
        <f t="shared" si="170"/>
        <v>1000</v>
      </c>
      <c r="D684" s="33">
        <f>'Battery Pricing Model'!$C$17</f>
        <v>1000</v>
      </c>
      <c r="E684" s="33">
        <f t="shared" si="171"/>
        <v>999</v>
      </c>
      <c r="F684" s="33" t="str">
        <f>'Peak Models'!$B$4</f>
        <v>Default</v>
      </c>
      <c r="G684" s="33" t="e">
        <f>'Peak Models'!$Q$7</f>
        <v>#VALUE!</v>
      </c>
      <c r="H684" s="33">
        <f>'Peak Models'!$P$16</f>
        <v>1.5</v>
      </c>
      <c r="I684" s="33">
        <v>12</v>
      </c>
      <c r="J684" s="33" t="e">
        <f>'Peak Models'!$P$13</f>
        <v>#N/A</v>
      </c>
      <c r="K684" s="28" t="e">
        <f t="shared" si="172"/>
        <v>#VALUE!</v>
      </c>
      <c r="L684" s="28" t="e">
        <f>INDEX('Peak Models'!$P$34:$P$64, MATCH(TRUNC(B684, 0), 'Peak Models'!$O$34:$O$64, 0))</f>
        <v>#N/A</v>
      </c>
      <c r="M684" s="28">
        <f>'Peak Models'!$P$15*INDEX('Peak Models'!$Q$34:$Q$64, MATCH(TRUNC(B684, 0),'Peak Models'!$O$34:$O$64, 0))/'Profit per cycles Model'!$E$78</f>
        <v>7.3395704362659027</v>
      </c>
      <c r="N684" s="28" t="e">
        <f t="shared" si="173"/>
        <v>#N/A</v>
      </c>
      <c r="O684" s="71" t="e">
        <f>AVERAGE($N$10:N684)</f>
        <v>#N/A</v>
      </c>
      <c r="P684" s="28" t="e">
        <f t="shared" si="174"/>
        <v>#N/A</v>
      </c>
      <c r="R684" s="28" t="e">
        <f t="shared" si="175"/>
        <v>#VALUE!</v>
      </c>
      <c r="S684" s="25"/>
      <c r="T684" s="25">
        <f t="shared" si="176"/>
        <v>15</v>
      </c>
      <c r="U684" s="33">
        <f>IF(PaybackCustom&gt;0, IF(PaybackCustom&lt;&gt;"Default", PaybackCustom, IF(PaybackStatus&lt;&gt;"",INDEX('Arbitrage Payback Engine'!$Y$2:$Y$6,MATCH(PaybackStatus,'Arbitrage Payback Engine'!$X$2:$X$6,FALSE)),-1)))</f>
        <v>25</v>
      </c>
      <c r="V684" s="32">
        <f t="shared" si="185"/>
        <v>15</v>
      </c>
      <c r="X684" s="29">
        <f t="shared" si="186"/>
        <v>675</v>
      </c>
      <c r="Z684" s="30">
        <f t="shared" si="177"/>
        <v>18.490617723599506</v>
      </c>
      <c r="AA684" s="28" t="e">
        <f t="shared" si="178"/>
        <v>#N/A</v>
      </c>
      <c r="AB684" s="28" t="e">
        <f t="shared" si="179"/>
        <v>#VALUE!</v>
      </c>
      <c r="AC684" s="29">
        <f t="shared" si="180"/>
        <v>640.41745730550281</v>
      </c>
      <c r="AD684" s="28" t="e">
        <f t="shared" si="181"/>
        <v>#VALUE!</v>
      </c>
      <c r="AE684" s="28" t="e">
        <f t="shared" si="182"/>
        <v>#N/A</v>
      </c>
      <c r="AF684" s="28" t="e">
        <f t="shared" si="183"/>
        <v>#VALUE!</v>
      </c>
      <c r="AH684" s="31" t="e">
        <f t="shared" si="184"/>
        <v>#N/A</v>
      </c>
      <c r="AI684" s="25"/>
      <c r="AJ684" s="31"/>
    </row>
    <row r="685" spans="2:36" x14ac:dyDescent="0.25">
      <c r="B685" s="33">
        <f>'Arbitrage Payback Engine'!E685</f>
        <v>18.518011231338171</v>
      </c>
      <c r="C685" s="33">
        <f t="shared" si="170"/>
        <v>1000</v>
      </c>
      <c r="D685" s="33">
        <f>'Battery Pricing Model'!$C$17</f>
        <v>1000</v>
      </c>
      <c r="E685" s="33">
        <f t="shared" si="171"/>
        <v>999</v>
      </c>
      <c r="F685" s="33" t="str">
        <f>'Peak Models'!$B$4</f>
        <v>Default</v>
      </c>
      <c r="G685" s="33" t="e">
        <f>'Peak Models'!$Q$7</f>
        <v>#VALUE!</v>
      </c>
      <c r="H685" s="33">
        <f>'Peak Models'!$P$16</f>
        <v>1.5</v>
      </c>
      <c r="I685" s="33">
        <v>12</v>
      </c>
      <c r="J685" s="33" t="e">
        <f>'Peak Models'!$P$13</f>
        <v>#N/A</v>
      </c>
      <c r="K685" s="28" t="e">
        <f t="shared" si="172"/>
        <v>#VALUE!</v>
      </c>
      <c r="L685" s="28" t="e">
        <f>INDEX('Peak Models'!$P$34:$P$64, MATCH(TRUNC(B685, 0), 'Peak Models'!$O$34:$O$64, 0))</f>
        <v>#N/A</v>
      </c>
      <c r="M685" s="28">
        <f>'Peak Models'!$P$15*INDEX('Peak Models'!$Q$34:$Q$64, MATCH(TRUNC(B685, 0),'Peak Models'!$O$34:$O$64, 0))/'Profit per cycles Model'!$E$78</f>
        <v>7.3395704362659027</v>
      </c>
      <c r="N685" s="28" t="e">
        <f t="shared" si="173"/>
        <v>#N/A</v>
      </c>
      <c r="O685" s="71" t="e">
        <f>AVERAGE($N$10:N685)</f>
        <v>#N/A</v>
      </c>
      <c r="P685" s="28" t="e">
        <f t="shared" si="174"/>
        <v>#N/A</v>
      </c>
      <c r="R685" s="28" t="e">
        <f t="shared" si="175"/>
        <v>#VALUE!</v>
      </c>
      <c r="S685" s="25"/>
      <c r="T685" s="25">
        <f t="shared" si="176"/>
        <v>15</v>
      </c>
      <c r="U685" s="33">
        <f>IF(PaybackCustom&gt;0, IF(PaybackCustom&lt;&gt;"Default", PaybackCustom, IF(PaybackStatus&lt;&gt;"",INDEX('Arbitrage Payback Engine'!$Y$2:$Y$6,MATCH(PaybackStatus,'Arbitrage Payback Engine'!$X$2:$X$6,FALSE)),-1)))</f>
        <v>25</v>
      </c>
      <c r="V685" s="32">
        <f t="shared" si="185"/>
        <v>15</v>
      </c>
      <c r="X685" s="29">
        <f t="shared" si="186"/>
        <v>676</v>
      </c>
      <c r="Z685" s="30">
        <f t="shared" si="177"/>
        <v>18.518011231338171</v>
      </c>
      <c r="AA685" s="28" t="e">
        <f t="shared" si="178"/>
        <v>#N/A</v>
      </c>
      <c r="AB685" s="28" t="e">
        <f t="shared" si="179"/>
        <v>#VALUE!</v>
      </c>
      <c r="AC685" s="29">
        <f t="shared" si="180"/>
        <v>641.36622390891841</v>
      </c>
      <c r="AD685" s="28" t="e">
        <f t="shared" si="181"/>
        <v>#VALUE!</v>
      </c>
      <c r="AE685" s="28" t="e">
        <f t="shared" si="182"/>
        <v>#N/A</v>
      </c>
      <c r="AF685" s="28" t="e">
        <f t="shared" si="183"/>
        <v>#VALUE!</v>
      </c>
      <c r="AH685" s="31" t="e">
        <f t="shared" si="184"/>
        <v>#N/A</v>
      </c>
      <c r="AI685" s="25"/>
      <c r="AJ685" s="31"/>
    </row>
    <row r="686" spans="2:36" x14ac:dyDescent="0.25">
      <c r="B686" s="33">
        <f>'Arbitrage Payback Engine'!E686</f>
        <v>18.545404739076837</v>
      </c>
      <c r="C686" s="33">
        <f t="shared" si="170"/>
        <v>1000</v>
      </c>
      <c r="D686" s="33">
        <f>'Battery Pricing Model'!$C$17</f>
        <v>1000</v>
      </c>
      <c r="E686" s="33">
        <f t="shared" si="171"/>
        <v>999</v>
      </c>
      <c r="F686" s="33" t="str">
        <f>'Peak Models'!$B$4</f>
        <v>Default</v>
      </c>
      <c r="G686" s="33" t="e">
        <f>'Peak Models'!$Q$7</f>
        <v>#VALUE!</v>
      </c>
      <c r="H686" s="33">
        <f>'Peak Models'!$P$16</f>
        <v>1.5</v>
      </c>
      <c r="I686" s="33">
        <v>12</v>
      </c>
      <c r="J686" s="33" t="e">
        <f>'Peak Models'!$P$13</f>
        <v>#N/A</v>
      </c>
      <c r="K686" s="28" t="e">
        <f t="shared" si="172"/>
        <v>#VALUE!</v>
      </c>
      <c r="L686" s="28" t="e">
        <f>INDEX('Peak Models'!$P$34:$P$64, MATCH(TRUNC(B686, 0), 'Peak Models'!$O$34:$O$64, 0))</f>
        <v>#N/A</v>
      </c>
      <c r="M686" s="28">
        <f>'Peak Models'!$P$15*INDEX('Peak Models'!$Q$34:$Q$64, MATCH(TRUNC(B686, 0),'Peak Models'!$O$34:$O$64, 0))/'Profit per cycles Model'!$E$78</f>
        <v>7.3395704362659027</v>
      </c>
      <c r="N686" s="28" t="e">
        <f t="shared" si="173"/>
        <v>#N/A</v>
      </c>
      <c r="O686" s="71" t="e">
        <f>AVERAGE($N$10:N686)</f>
        <v>#N/A</v>
      </c>
      <c r="P686" s="28" t="e">
        <f t="shared" si="174"/>
        <v>#N/A</v>
      </c>
      <c r="R686" s="28" t="e">
        <f t="shared" si="175"/>
        <v>#VALUE!</v>
      </c>
      <c r="S686" s="25"/>
      <c r="T686" s="25">
        <f t="shared" si="176"/>
        <v>15</v>
      </c>
      <c r="U686" s="33">
        <f>IF(PaybackCustom&gt;0, IF(PaybackCustom&lt;&gt;"Default", PaybackCustom, IF(PaybackStatus&lt;&gt;"",INDEX('Arbitrage Payback Engine'!$Y$2:$Y$6,MATCH(PaybackStatus,'Arbitrage Payback Engine'!$X$2:$X$6,FALSE)),-1)))</f>
        <v>25</v>
      </c>
      <c r="V686" s="32">
        <f t="shared" si="185"/>
        <v>15</v>
      </c>
      <c r="X686" s="29">
        <f t="shared" si="186"/>
        <v>677</v>
      </c>
      <c r="Z686" s="30">
        <f t="shared" si="177"/>
        <v>18.545404739076837</v>
      </c>
      <c r="AA686" s="28" t="e">
        <f t="shared" si="178"/>
        <v>#N/A</v>
      </c>
      <c r="AB686" s="28" t="e">
        <f t="shared" si="179"/>
        <v>#VALUE!</v>
      </c>
      <c r="AC686" s="29">
        <f t="shared" si="180"/>
        <v>642.31499051233391</v>
      </c>
      <c r="AD686" s="28" t="e">
        <f t="shared" si="181"/>
        <v>#VALUE!</v>
      </c>
      <c r="AE686" s="28" t="e">
        <f t="shared" si="182"/>
        <v>#N/A</v>
      </c>
      <c r="AF686" s="28" t="e">
        <f t="shared" si="183"/>
        <v>#VALUE!</v>
      </c>
      <c r="AH686" s="31" t="e">
        <f t="shared" si="184"/>
        <v>#N/A</v>
      </c>
      <c r="AI686" s="25"/>
      <c r="AJ686" s="31"/>
    </row>
    <row r="687" spans="2:36" x14ac:dyDescent="0.25">
      <c r="B687" s="33">
        <f>'Arbitrage Payback Engine'!E687</f>
        <v>18.572798246815506</v>
      </c>
      <c r="C687" s="33">
        <f t="shared" si="170"/>
        <v>1000</v>
      </c>
      <c r="D687" s="33">
        <f>'Battery Pricing Model'!$C$17</f>
        <v>1000</v>
      </c>
      <c r="E687" s="33">
        <f t="shared" si="171"/>
        <v>999</v>
      </c>
      <c r="F687" s="33" t="str">
        <f>'Peak Models'!$B$4</f>
        <v>Default</v>
      </c>
      <c r="G687" s="33" t="e">
        <f>'Peak Models'!$Q$7</f>
        <v>#VALUE!</v>
      </c>
      <c r="H687" s="33">
        <f>'Peak Models'!$P$16</f>
        <v>1.5</v>
      </c>
      <c r="I687" s="33">
        <v>12</v>
      </c>
      <c r="J687" s="33" t="e">
        <f>'Peak Models'!$P$13</f>
        <v>#N/A</v>
      </c>
      <c r="K687" s="28" t="e">
        <f t="shared" si="172"/>
        <v>#VALUE!</v>
      </c>
      <c r="L687" s="28" t="e">
        <f>INDEX('Peak Models'!$P$34:$P$64, MATCH(TRUNC(B687, 0), 'Peak Models'!$O$34:$O$64, 0))</f>
        <v>#N/A</v>
      </c>
      <c r="M687" s="28">
        <f>'Peak Models'!$P$15*INDEX('Peak Models'!$Q$34:$Q$64, MATCH(TRUNC(B687, 0),'Peak Models'!$O$34:$O$64, 0))/'Profit per cycles Model'!$E$78</f>
        <v>7.3395704362659027</v>
      </c>
      <c r="N687" s="28" t="e">
        <f t="shared" si="173"/>
        <v>#N/A</v>
      </c>
      <c r="O687" s="71" t="e">
        <f>AVERAGE($N$10:N687)</f>
        <v>#N/A</v>
      </c>
      <c r="P687" s="28" t="e">
        <f t="shared" si="174"/>
        <v>#N/A</v>
      </c>
      <c r="R687" s="28" t="e">
        <f t="shared" si="175"/>
        <v>#VALUE!</v>
      </c>
      <c r="S687" s="25"/>
      <c r="T687" s="25">
        <f t="shared" si="176"/>
        <v>15</v>
      </c>
      <c r="U687" s="33">
        <f>IF(PaybackCustom&gt;0, IF(PaybackCustom&lt;&gt;"Default", PaybackCustom, IF(PaybackStatus&lt;&gt;"",INDEX('Arbitrage Payback Engine'!$Y$2:$Y$6,MATCH(PaybackStatus,'Arbitrage Payback Engine'!$X$2:$X$6,FALSE)),-1)))</f>
        <v>25</v>
      </c>
      <c r="V687" s="32">
        <f t="shared" si="185"/>
        <v>15</v>
      </c>
      <c r="X687" s="29">
        <f t="shared" si="186"/>
        <v>678</v>
      </c>
      <c r="Z687" s="30">
        <f t="shared" si="177"/>
        <v>18.572798246815506</v>
      </c>
      <c r="AA687" s="28" t="e">
        <f t="shared" si="178"/>
        <v>#N/A</v>
      </c>
      <c r="AB687" s="28" t="e">
        <f t="shared" si="179"/>
        <v>#VALUE!</v>
      </c>
      <c r="AC687" s="29">
        <f t="shared" si="180"/>
        <v>643.26375711574963</v>
      </c>
      <c r="AD687" s="28" t="e">
        <f t="shared" si="181"/>
        <v>#VALUE!</v>
      </c>
      <c r="AE687" s="28" t="e">
        <f t="shared" si="182"/>
        <v>#N/A</v>
      </c>
      <c r="AF687" s="28" t="e">
        <f t="shared" si="183"/>
        <v>#VALUE!</v>
      </c>
      <c r="AH687" s="31" t="e">
        <f t="shared" si="184"/>
        <v>#N/A</v>
      </c>
      <c r="AI687" s="25"/>
      <c r="AJ687" s="31"/>
    </row>
    <row r="688" spans="2:36" x14ac:dyDescent="0.25">
      <c r="B688" s="33">
        <f>'Arbitrage Payback Engine'!E688</f>
        <v>18.600191754554171</v>
      </c>
      <c r="C688" s="33">
        <f t="shared" si="170"/>
        <v>1000</v>
      </c>
      <c r="D688" s="33">
        <f>'Battery Pricing Model'!$C$17</f>
        <v>1000</v>
      </c>
      <c r="E688" s="33">
        <f t="shared" si="171"/>
        <v>999</v>
      </c>
      <c r="F688" s="33" t="str">
        <f>'Peak Models'!$B$4</f>
        <v>Default</v>
      </c>
      <c r="G688" s="33" t="e">
        <f>'Peak Models'!$Q$7</f>
        <v>#VALUE!</v>
      </c>
      <c r="H688" s="33">
        <f>'Peak Models'!$P$16</f>
        <v>1.5</v>
      </c>
      <c r="I688" s="33">
        <v>12</v>
      </c>
      <c r="J688" s="33" t="e">
        <f>'Peak Models'!$P$13</f>
        <v>#N/A</v>
      </c>
      <c r="K688" s="28" t="e">
        <f t="shared" si="172"/>
        <v>#VALUE!</v>
      </c>
      <c r="L688" s="28" t="e">
        <f>INDEX('Peak Models'!$P$34:$P$64, MATCH(TRUNC(B688, 0), 'Peak Models'!$O$34:$O$64, 0))</f>
        <v>#N/A</v>
      </c>
      <c r="M688" s="28">
        <f>'Peak Models'!$P$15*INDEX('Peak Models'!$Q$34:$Q$64, MATCH(TRUNC(B688, 0),'Peak Models'!$O$34:$O$64, 0))/'Profit per cycles Model'!$E$78</f>
        <v>7.3395704362659027</v>
      </c>
      <c r="N688" s="28" t="e">
        <f t="shared" si="173"/>
        <v>#N/A</v>
      </c>
      <c r="O688" s="71" t="e">
        <f>AVERAGE($N$10:N688)</f>
        <v>#N/A</v>
      </c>
      <c r="P688" s="28" t="e">
        <f t="shared" si="174"/>
        <v>#N/A</v>
      </c>
      <c r="R688" s="28" t="e">
        <f t="shared" si="175"/>
        <v>#VALUE!</v>
      </c>
      <c r="S688" s="25"/>
      <c r="T688" s="25">
        <f t="shared" si="176"/>
        <v>15</v>
      </c>
      <c r="U688" s="33">
        <f>IF(PaybackCustom&gt;0, IF(PaybackCustom&lt;&gt;"Default", PaybackCustom, IF(PaybackStatus&lt;&gt;"",INDEX('Arbitrage Payback Engine'!$Y$2:$Y$6,MATCH(PaybackStatus,'Arbitrage Payback Engine'!$X$2:$X$6,FALSE)),-1)))</f>
        <v>25</v>
      </c>
      <c r="V688" s="32">
        <f t="shared" si="185"/>
        <v>15</v>
      </c>
      <c r="X688" s="29">
        <f t="shared" si="186"/>
        <v>679</v>
      </c>
      <c r="Z688" s="30">
        <f t="shared" si="177"/>
        <v>18.600191754554171</v>
      </c>
      <c r="AA688" s="28" t="e">
        <f t="shared" si="178"/>
        <v>#N/A</v>
      </c>
      <c r="AB688" s="28" t="e">
        <f t="shared" si="179"/>
        <v>#VALUE!</v>
      </c>
      <c r="AC688" s="29">
        <f t="shared" si="180"/>
        <v>644.21252371916512</v>
      </c>
      <c r="AD688" s="28" t="e">
        <f t="shared" si="181"/>
        <v>#VALUE!</v>
      </c>
      <c r="AE688" s="28" t="e">
        <f t="shared" si="182"/>
        <v>#N/A</v>
      </c>
      <c r="AF688" s="28" t="e">
        <f t="shared" si="183"/>
        <v>#VALUE!</v>
      </c>
      <c r="AH688" s="31" t="e">
        <f t="shared" si="184"/>
        <v>#N/A</v>
      </c>
      <c r="AI688" s="25"/>
      <c r="AJ688" s="31"/>
    </row>
    <row r="689" spans="2:36" x14ac:dyDescent="0.25">
      <c r="B689" s="33">
        <f>'Arbitrage Payback Engine'!E689</f>
        <v>18.627585262292836</v>
      </c>
      <c r="C689" s="33">
        <f t="shared" si="170"/>
        <v>1000</v>
      </c>
      <c r="D689" s="33">
        <f>'Battery Pricing Model'!$C$17</f>
        <v>1000</v>
      </c>
      <c r="E689" s="33">
        <f t="shared" si="171"/>
        <v>999</v>
      </c>
      <c r="F689" s="33" t="str">
        <f>'Peak Models'!$B$4</f>
        <v>Default</v>
      </c>
      <c r="G689" s="33" t="e">
        <f>'Peak Models'!$Q$7</f>
        <v>#VALUE!</v>
      </c>
      <c r="H689" s="33">
        <f>'Peak Models'!$P$16</f>
        <v>1.5</v>
      </c>
      <c r="I689" s="33">
        <v>12</v>
      </c>
      <c r="J689" s="33" t="e">
        <f>'Peak Models'!$P$13</f>
        <v>#N/A</v>
      </c>
      <c r="K689" s="28" t="e">
        <f t="shared" si="172"/>
        <v>#VALUE!</v>
      </c>
      <c r="L689" s="28" t="e">
        <f>INDEX('Peak Models'!$P$34:$P$64, MATCH(TRUNC(B689, 0), 'Peak Models'!$O$34:$O$64, 0))</f>
        <v>#N/A</v>
      </c>
      <c r="M689" s="28">
        <f>'Peak Models'!$P$15*INDEX('Peak Models'!$Q$34:$Q$64, MATCH(TRUNC(B689, 0),'Peak Models'!$O$34:$O$64, 0))/'Profit per cycles Model'!$E$78</f>
        <v>7.3395704362659027</v>
      </c>
      <c r="N689" s="28" t="e">
        <f t="shared" si="173"/>
        <v>#N/A</v>
      </c>
      <c r="O689" s="71" t="e">
        <f>AVERAGE($N$10:N689)</f>
        <v>#N/A</v>
      </c>
      <c r="P689" s="28" t="e">
        <f t="shared" si="174"/>
        <v>#N/A</v>
      </c>
      <c r="R689" s="28" t="e">
        <f t="shared" si="175"/>
        <v>#VALUE!</v>
      </c>
      <c r="S689" s="25"/>
      <c r="T689" s="25">
        <f t="shared" si="176"/>
        <v>15</v>
      </c>
      <c r="U689" s="33">
        <f>IF(PaybackCustom&gt;0, IF(PaybackCustom&lt;&gt;"Default", PaybackCustom, IF(PaybackStatus&lt;&gt;"",INDEX('Arbitrage Payback Engine'!$Y$2:$Y$6,MATCH(PaybackStatus,'Arbitrage Payback Engine'!$X$2:$X$6,FALSE)),-1)))</f>
        <v>25</v>
      </c>
      <c r="V689" s="32">
        <f t="shared" si="185"/>
        <v>15</v>
      </c>
      <c r="X689" s="29">
        <f t="shared" si="186"/>
        <v>680</v>
      </c>
      <c r="Z689" s="30">
        <f t="shared" si="177"/>
        <v>18.627585262292836</v>
      </c>
      <c r="AA689" s="28" t="e">
        <f t="shared" si="178"/>
        <v>#N/A</v>
      </c>
      <c r="AB689" s="28" t="e">
        <f t="shared" si="179"/>
        <v>#VALUE!</v>
      </c>
      <c r="AC689" s="29">
        <f t="shared" si="180"/>
        <v>645.16129032258061</v>
      </c>
      <c r="AD689" s="28" t="e">
        <f t="shared" si="181"/>
        <v>#VALUE!</v>
      </c>
      <c r="AE689" s="28" t="e">
        <f t="shared" si="182"/>
        <v>#N/A</v>
      </c>
      <c r="AF689" s="28" t="e">
        <f t="shared" si="183"/>
        <v>#VALUE!</v>
      </c>
      <c r="AH689" s="31" t="e">
        <f t="shared" si="184"/>
        <v>#N/A</v>
      </c>
      <c r="AI689" s="25"/>
      <c r="AJ689" s="31"/>
    </row>
    <row r="690" spans="2:36" x14ac:dyDescent="0.25">
      <c r="B690" s="33">
        <f>'Arbitrage Payback Engine'!E690</f>
        <v>18.654978770031502</v>
      </c>
      <c r="C690" s="33">
        <f t="shared" si="170"/>
        <v>1000</v>
      </c>
      <c r="D690" s="33">
        <f>'Battery Pricing Model'!$C$17</f>
        <v>1000</v>
      </c>
      <c r="E690" s="33">
        <f t="shared" si="171"/>
        <v>999</v>
      </c>
      <c r="F690" s="33" t="str">
        <f>'Peak Models'!$B$4</f>
        <v>Default</v>
      </c>
      <c r="G690" s="33" t="e">
        <f>'Peak Models'!$Q$7</f>
        <v>#VALUE!</v>
      </c>
      <c r="H690" s="33">
        <f>'Peak Models'!$P$16</f>
        <v>1.5</v>
      </c>
      <c r="I690" s="33">
        <v>12</v>
      </c>
      <c r="J690" s="33" t="e">
        <f>'Peak Models'!$P$13</f>
        <v>#N/A</v>
      </c>
      <c r="K690" s="28" t="e">
        <f t="shared" si="172"/>
        <v>#VALUE!</v>
      </c>
      <c r="L690" s="28" t="e">
        <f>INDEX('Peak Models'!$P$34:$P$64, MATCH(TRUNC(B690, 0), 'Peak Models'!$O$34:$O$64, 0))</f>
        <v>#N/A</v>
      </c>
      <c r="M690" s="28">
        <f>'Peak Models'!$P$15*INDEX('Peak Models'!$Q$34:$Q$64, MATCH(TRUNC(B690, 0),'Peak Models'!$O$34:$O$64, 0))/'Profit per cycles Model'!$E$78</f>
        <v>7.3395704362659027</v>
      </c>
      <c r="N690" s="28" t="e">
        <f t="shared" si="173"/>
        <v>#N/A</v>
      </c>
      <c r="O690" s="71" t="e">
        <f>AVERAGE($N$10:N690)</f>
        <v>#N/A</v>
      </c>
      <c r="P690" s="28" t="e">
        <f t="shared" si="174"/>
        <v>#N/A</v>
      </c>
      <c r="R690" s="28" t="e">
        <f t="shared" si="175"/>
        <v>#VALUE!</v>
      </c>
      <c r="S690" s="25"/>
      <c r="T690" s="25">
        <f t="shared" si="176"/>
        <v>15</v>
      </c>
      <c r="U690" s="33">
        <f>IF(PaybackCustom&gt;0, IF(PaybackCustom&lt;&gt;"Default", PaybackCustom, IF(PaybackStatus&lt;&gt;"",INDEX('Arbitrage Payback Engine'!$Y$2:$Y$6,MATCH(PaybackStatus,'Arbitrage Payback Engine'!$X$2:$X$6,FALSE)),-1)))</f>
        <v>25</v>
      </c>
      <c r="V690" s="32">
        <f t="shared" si="185"/>
        <v>15</v>
      </c>
      <c r="X690" s="29">
        <f t="shared" si="186"/>
        <v>681</v>
      </c>
      <c r="Z690" s="30">
        <f t="shared" si="177"/>
        <v>18.654978770031502</v>
      </c>
      <c r="AA690" s="28" t="e">
        <f t="shared" si="178"/>
        <v>#N/A</v>
      </c>
      <c r="AB690" s="28" t="e">
        <f t="shared" si="179"/>
        <v>#VALUE!</v>
      </c>
      <c r="AC690" s="29">
        <f t="shared" si="180"/>
        <v>646.11005692599622</v>
      </c>
      <c r="AD690" s="28" t="e">
        <f t="shared" si="181"/>
        <v>#VALUE!</v>
      </c>
      <c r="AE690" s="28" t="e">
        <f t="shared" si="182"/>
        <v>#N/A</v>
      </c>
      <c r="AF690" s="28" t="e">
        <f t="shared" si="183"/>
        <v>#VALUE!</v>
      </c>
      <c r="AH690" s="31" t="e">
        <f t="shared" si="184"/>
        <v>#N/A</v>
      </c>
      <c r="AI690" s="25"/>
      <c r="AJ690" s="31"/>
    </row>
    <row r="691" spans="2:36" x14ac:dyDescent="0.25">
      <c r="B691" s="33">
        <f>'Arbitrage Payback Engine'!E691</f>
        <v>18.682372277770167</v>
      </c>
      <c r="C691" s="33">
        <f t="shared" si="170"/>
        <v>1000</v>
      </c>
      <c r="D691" s="33">
        <f>'Battery Pricing Model'!$C$17</f>
        <v>1000</v>
      </c>
      <c r="E691" s="33">
        <f t="shared" si="171"/>
        <v>999</v>
      </c>
      <c r="F691" s="33" t="str">
        <f>'Peak Models'!$B$4</f>
        <v>Default</v>
      </c>
      <c r="G691" s="33" t="e">
        <f>'Peak Models'!$Q$7</f>
        <v>#VALUE!</v>
      </c>
      <c r="H691" s="33">
        <f>'Peak Models'!$P$16</f>
        <v>1.5</v>
      </c>
      <c r="I691" s="33">
        <v>12</v>
      </c>
      <c r="J691" s="33" t="e">
        <f>'Peak Models'!$P$13</f>
        <v>#N/A</v>
      </c>
      <c r="K691" s="28" t="e">
        <f t="shared" si="172"/>
        <v>#VALUE!</v>
      </c>
      <c r="L691" s="28" t="e">
        <f>INDEX('Peak Models'!$P$34:$P$64, MATCH(TRUNC(B691, 0), 'Peak Models'!$O$34:$O$64, 0))</f>
        <v>#N/A</v>
      </c>
      <c r="M691" s="28">
        <f>'Peak Models'!$P$15*INDEX('Peak Models'!$Q$34:$Q$64, MATCH(TRUNC(B691, 0),'Peak Models'!$O$34:$O$64, 0))/'Profit per cycles Model'!$E$78</f>
        <v>7.3395704362659027</v>
      </c>
      <c r="N691" s="28" t="e">
        <f t="shared" si="173"/>
        <v>#N/A</v>
      </c>
      <c r="O691" s="71" t="e">
        <f>AVERAGE($N$10:N691)</f>
        <v>#N/A</v>
      </c>
      <c r="P691" s="28" t="e">
        <f t="shared" si="174"/>
        <v>#N/A</v>
      </c>
      <c r="R691" s="28" t="e">
        <f t="shared" si="175"/>
        <v>#VALUE!</v>
      </c>
      <c r="S691" s="25"/>
      <c r="T691" s="25">
        <f t="shared" si="176"/>
        <v>15</v>
      </c>
      <c r="U691" s="33">
        <f>IF(PaybackCustom&gt;0, IF(PaybackCustom&lt;&gt;"Default", PaybackCustom, IF(PaybackStatus&lt;&gt;"",INDEX('Arbitrage Payback Engine'!$Y$2:$Y$6,MATCH(PaybackStatus,'Arbitrage Payback Engine'!$X$2:$X$6,FALSE)),-1)))</f>
        <v>25</v>
      </c>
      <c r="V691" s="32">
        <f t="shared" si="185"/>
        <v>15</v>
      </c>
      <c r="X691" s="29">
        <f t="shared" si="186"/>
        <v>682</v>
      </c>
      <c r="Z691" s="30">
        <f t="shared" si="177"/>
        <v>18.682372277770167</v>
      </c>
      <c r="AA691" s="28" t="e">
        <f t="shared" si="178"/>
        <v>#N/A</v>
      </c>
      <c r="AB691" s="28" t="e">
        <f t="shared" si="179"/>
        <v>#VALUE!</v>
      </c>
      <c r="AC691" s="29">
        <f t="shared" si="180"/>
        <v>647.05882352941171</v>
      </c>
      <c r="AD691" s="28" t="e">
        <f t="shared" si="181"/>
        <v>#VALUE!</v>
      </c>
      <c r="AE691" s="28" t="e">
        <f t="shared" si="182"/>
        <v>#N/A</v>
      </c>
      <c r="AF691" s="28" t="e">
        <f t="shared" si="183"/>
        <v>#VALUE!</v>
      </c>
      <c r="AH691" s="31" t="e">
        <f t="shared" si="184"/>
        <v>#N/A</v>
      </c>
      <c r="AI691" s="25"/>
      <c r="AJ691" s="31"/>
    </row>
    <row r="692" spans="2:36" x14ac:dyDescent="0.25">
      <c r="B692" s="33">
        <f>'Arbitrage Payback Engine'!E692</f>
        <v>18.709765785508832</v>
      </c>
      <c r="C692" s="33">
        <f t="shared" si="170"/>
        <v>1000</v>
      </c>
      <c r="D692" s="33">
        <f>'Battery Pricing Model'!$C$17</f>
        <v>1000</v>
      </c>
      <c r="E692" s="33">
        <f t="shared" si="171"/>
        <v>999</v>
      </c>
      <c r="F692" s="33" t="str">
        <f>'Peak Models'!$B$4</f>
        <v>Default</v>
      </c>
      <c r="G692" s="33" t="e">
        <f>'Peak Models'!$Q$7</f>
        <v>#VALUE!</v>
      </c>
      <c r="H692" s="33">
        <f>'Peak Models'!$P$16</f>
        <v>1.5</v>
      </c>
      <c r="I692" s="33">
        <v>12</v>
      </c>
      <c r="J692" s="33" t="e">
        <f>'Peak Models'!$P$13</f>
        <v>#N/A</v>
      </c>
      <c r="K692" s="28" t="e">
        <f t="shared" si="172"/>
        <v>#VALUE!</v>
      </c>
      <c r="L692" s="28" t="e">
        <f>INDEX('Peak Models'!$P$34:$P$64, MATCH(TRUNC(B692, 0), 'Peak Models'!$O$34:$O$64, 0))</f>
        <v>#N/A</v>
      </c>
      <c r="M692" s="28">
        <f>'Peak Models'!$P$15*INDEX('Peak Models'!$Q$34:$Q$64, MATCH(TRUNC(B692, 0),'Peak Models'!$O$34:$O$64, 0))/'Profit per cycles Model'!$E$78</f>
        <v>7.3395704362659027</v>
      </c>
      <c r="N692" s="28" t="e">
        <f t="shared" si="173"/>
        <v>#N/A</v>
      </c>
      <c r="O692" s="71" t="e">
        <f>AVERAGE($N$10:N692)</f>
        <v>#N/A</v>
      </c>
      <c r="P692" s="28" t="e">
        <f t="shared" si="174"/>
        <v>#N/A</v>
      </c>
      <c r="R692" s="28" t="e">
        <f t="shared" si="175"/>
        <v>#VALUE!</v>
      </c>
      <c r="S692" s="25"/>
      <c r="T692" s="25">
        <f t="shared" si="176"/>
        <v>15</v>
      </c>
      <c r="U692" s="33">
        <f>IF(PaybackCustom&gt;0, IF(PaybackCustom&lt;&gt;"Default", PaybackCustom, IF(PaybackStatus&lt;&gt;"",INDEX('Arbitrage Payback Engine'!$Y$2:$Y$6,MATCH(PaybackStatus,'Arbitrage Payback Engine'!$X$2:$X$6,FALSE)),-1)))</f>
        <v>25</v>
      </c>
      <c r="V692" s="32">
        <f t="shared" si="185"/>
        <v>15</v>
      </c>
      <c r="X692" s="29">
        <f t="shared" si="186"/>
        <v>683</v>
      </c>
      <c r="Z692" s="30">
        <f t="shared" si="177"/>
        <v>18.709765785508832</v>
      </c>
      <c r="AA692" s="28" t="e">
        <f t="shared" si="178"/>
        <v>#N/A</v>
      </c>
      <c r="AB692" s="28" t="e">
        <f t="shared" si="179"/>
        <v>#VALUE!</v>
      </c>
      <c r="AC692" s="29">
        <f t="shared" si="180"/>
        <v>648.00759013282732</v>
      </c>
      <c r="AD692" s="28" t="e">
        <f t="shared" si="181"/>
        <v>#VALUE!</v>
      </c>
      <c r="AE692" s="28" t="e">
        <f t="shared" si="182"/>
        <v>#N/A</v>
      </c>
      <c r="AF692" s="28" t="e">
        <f t="shared" si="183"/>
        <v>#VALUE!</v>
      </c>
      <c r="AH692" s="31" t="e">
        <f t="shared" si="184"/>
        <v>#N/A</v>
      </c>
      <c r="AI692" s="25"/>
      <c r="AJ692" s="31"/>
    </row>
    <row r="693" spans="2:36" x14ac:dyDescent="0.25">
      <c r="B693" s="33">
        <f>'Arbitrage Payback Engine'!E693</f>
        <v>18.737159293247501</v>
      </c>
      <c r="C693" s="33">
        <f t="shared" si="170"/>
        <v>1000</v>
      </c>
      <c r="D693" s="33">
        <f>'Battery Pricing Model'!$C$17</f>
        <v>1000</v>
      </c>
      <c r="E693" s="33">
        <f t="shared" si="171"/>
        <v>999</v>
      </c>
      <c r="F693" s="33" t="str">
        <f>'Peak Models'!$B$4</f>
        <v>Default</v>
      </c>
      <c r="G693" s="33" t="e">
        <f>'Peak Models'!$Q$7</f>
        <v>#VALUE!</v>
      </c>
      <c r="H693" s="33">
        <f>'Peak Models'!$P$16</f>
        <v>1.5</v>
      </c>
      <c r="I693" s="33">
        <v>12</v>
      </c>
      <c r="J693" s="33" t="e">
        <f>'Peak Models'!$P$13</f>
        <v>#N/A</v>
      </c>
      <c r="K693" s="28" t="e">
        <f t="shared" si="172"/>
        <v>#VALUE!</v>
      </c>
      <c r="L693" s="28" t="e">
        <f>INDEX('Peak Models'!$P$34:$P$64, MATCH(TRUNC(B693, 0), 'Peak Models'!$O$34:$O$64, 0))</f>
        <v>#N/A</v>
      </c>
      <c r="M693" s="28">
        <f>'Peak Models'!$P$15*INDEX('Peak Models'!$Q$34:$Q$64, MATCH(TRUNC(B693, 0),'Peak Models'!$O$34:$O$64, 0))/'Profit per cycles Model'!$E$78</f>
        <v>7.3395704362659027</v>
      </c>
      <c r="N693" s="28" t="e">
        <f t="shared" si="173"/>
        <v>#N/A</v>
      </c>
      <c r="O693" s="71" t="e">
        <f>AVERAGE($N$10:N693)</f>
        <v>#N/A</v>
      </c>
      <c r="P693" s="28" t="e">
        <f t="shared" si="174"/>
        <v>#N/A</v>
      </c>
      <c r="R693" s="28" t="e">
        <f t="shared" si="175"/>
        <v>#VALUE!</v>
      </c>
      <c r="S693" s="25"/>
      <c r="T693" s="25">
        <f t="shared" si="176"/>
        <v>15</v>
      </c>
      <c r="U693" s="33">
        <f>IF(PaybackCustom&gt;0, IF(PaybackCustom&lt;&gt;"Default", PaybackCustom, IF(PaybackStatus&lt;&gt;"",INDEX('Arbitrage Payback Engine'!$Y$2:$Y$6,MATCH(PaybackStatus,'Arbitrage Payback Engine'!$X$2:$X$6,FALSE)),-1)))</f>
        <v>25</v>
      </c>
      <c r="V693" s="32">
        <f t="shared" si="185"/>
        <v>15</v>
      </c>
      <c r="X693" s="29">
        <f t="shared" si="186"/>
        <v>684</v>
      </c>
      <c r="Z693" s="30">
        <f t="shared" si="177"/>
        <v>18.737159293247501</v>
      </c>
      <c r="AA693" s="28" t="e">
        <f t="shared" si="178"/>
        <v>#N/A</v>
      </c>
      <c r="AB693" s="28" t="e">
        <f t="shared" si="179"/>
        <v>#VALUE!</v>
      </c>
      <c r="AC693" s="29">
        <f t="shared" si="180"/>
        <v>648.95635673624292</v>
      </c>
      <c r="AD693" s="28" t="e">
        <f t="shared" si="181"/>
        <v>#VALUE!</v>
      </c>
      <c r="AE693" s="28" t="e">
        <f t="shared" si="182"/>
        <v>#N/A</v>
      </c>
      <c r="AF693" s="28" t="e">
        <f t="shared" si="183"/>
        <v>#VALUE!</v>
      </c>
      <c r="AH693" s="31" t="e">
        <f t="shared" si="184"/>
        <v>#N/A</v>
      </c>
      <c r="AI693" s="25"/>
      <c r="AJ693" s="31"/>
    </row>
    <row r="694" spans="2:36" x14ac:dyDescent="0.25">
      <c r="B694" s="33">
        <f>'Arbitrage Payback Engine'!E694</f>
        <v>18.764552800986166</v>
      </c>
      <c r="C694" s="33">
        <f t="shared" si="170"/>
        <v>1000</v>
      </c>
      <c r="D694" s="33">
        <f>'Battery Pricing Model'!$C$17</f>
        <v>1000</v>
      </c>
      <c r="E694" s="33">
        <f t="shared" si="171"/>
        <v>999</v>
      </c>
      <c r="F694" s="33" t="str">
        <f>'Peak Models'!$B$4</f>
        <v>Default</v>
      </c>
      <c r="G694" s="33" t="e">
        <f>'Peak Models'!$Q$7</f>
        <v>#VALUE!</v>
      </c>
      <c r="H694" s="33">
        <f>'Peak Models'!$P$16</f>
        <v>1.5</v>
      </c>
      <c r="I694" s="33">
        <v>12</v>
      </c>
      <c r="J694" s="33" t="e">
        <f>'Peak Models'!$P$13</f>
        <v>#N/A</v>
      </c>
      <c r="K694" s="28" t="e">
        <f t="shared" si="172"/>
        <v>#VALUE!</v>
      </c>
      <c r="L694" s="28" t="e">
        <f>INDEX('Peak Models'!$P$34:$P$64, MATCH(TRUNC(B694, 0), 'Peak Models'!$O$34:$O$64, 0))</f>
        <v>#N/A</v>
      </c>
      <c r="M694" s="28">
        <f>'Peak Models'!$P$15*INDEX('Peak Models'!$Q$34:$Q$64, MATCH(TRUNC(B694, 0),'Peak Models'!$O$34:$O$64, 0))/'Profit per cycles Model'!$E$78</f>
        <v>7.3395704362659027</v>
      </c>
      <c r="N694" s="28" t="e">
        <f t="shared" si="173"/>
        <v>#N/A</v>
      </c>
      <c r="O694" s="71" t="e">
        <f>AVERAGE($N$10:N694)</f>
        <v>#N/A</v>
      </c>
      <c r="P694" s="28" t="e">
        <f t="shared" si="174"/>
        <v>#N/A</v>
      </c>
      <c r="R694" s="28" t="e">
        <f t="shared" si="175"/>
        <v>#VALUE!</v>
      </c>
      <c r="S694" s="25"/>
      <c r="T694" s="25">
        <f t="shared" si="176"/>
        <v>15</v>
      </c>
      <c r="U694" s="33">
        <f>IF(PaybackCustom&gt;0, IF(PaybackCustom&lt;&gt;"Default", PaybackCustom, IF(PaybackStatus&lt;&gt;"",INDEX('Arbitrage Payback Engine'!$Y$2:$Y$6,MATCH(PaybackStatus,'Arbitrage Payback Engine'!$X$2:$X$6,FALSE)),-1)))</f>
        <v>25</v>
      </c>
      <c r="V694" s="32">
        <f t="shared" si="185"/>
        <v>15</v>
      </c>
      <c r="X694" s="29">
        <f t="shared" si="186"/>
        <v>685</v>
      </c>
      <c r="Z694" s="30">
        <f t="shared" si="177"/>
        <v>18.764552800986166</v>
      </c>
      <c r="AA694" s="28" t="e">
        <f t="shared" si="178"/>
        <v>#N/A</v>
      </c>
      <c r="AB694" s="28" t="e">
        <f t="shared" si="179"/>
        <v>#VALUE!</v>
      </c>
      <c r="AC694" s="29">
        <f t="shared" si="180"/>
        <v>649.90512333965853</v>
      </c>
      <c r="AD694" s="28" t="e">
        <f t="shared" si="181"/>
        <v>#VALUE!</v>
      </c>
      <c r="AE694" s="28" t="e">
        <f t="shared" si="182"/>
        <v>#N/A</v>
      </c>
      <c r="AF694" s="28" t="e">
        <f t="shared" si="183"/>
        <v>#VALUE!</v>
      </c>
      <c r="AH694" s="31" t="e">
        <f t="shared" si="184"/>
        <v>#N/A</v>
      </c>
      <c r="AI694" s="25"/>
      <c r="AJ694" s="31"/>
    </row>
    <row r="695" spans="2:36" x14ac:dyDescent="0.25">
      <c r="B695" s="33">
        <f>'Arbitrage Payback Engine'!E695</f>
        <v>18.791946308724832</v>
      </c>
      <c r="C695" s="33">
        <f t="shared" si="170"/>
        <v>1000</v>
      </c>
      <c r="D695" s="33">
        <f>'Battery Pricing Model'!$C$17</f>
        <v>1000</v>
      </c>
      <c r="E695" s="33">
        <f t="shared" si="171"/>
        <v>999</v>
      </c>
      <c r="F695" s="33" t="str">
        <f>'Peak Models'!$B$4</f>
        <v>Default</v>
      </c>
      <c r="G695" s="33" t="e">
        <f>'Peak Models'!$Q$7</f>
        <v>#VALUE!</v>
      </c>
      <c r="H695" s="33">
        <f>'Peak Models'!$P$16</f>
        <v>1.5</v>
      </c>
      <c r="I695" s="33">
        <v>12</v>
      </c>
      <c r="J695" s="33" t="e">
        <f>'Peak Models'!$P$13</f>
        <v>#N/A</v>
      </c>
      <c r="K695" s="28" t="e">
        <f t="shared" si="172"/>
        <v>#VALUE!</v>
      </c>
      <c r="L695" s="28" t="e">
        <f>INDEX('Peak Models'!$P$34:$P$64, MATCH(TRUNC(B695, 0), 'Peak Models'!$O$34:$O$64, 0))</f>
        <v>#N/A</v>
      </c>
      <c r="M695" s="28">
        <f>'Peak Models'!$P$15*INDEX('Peak Models'!$Q$34:$Q$64, MATCH(TRUNC(B695, 0),'Peak Models'!$O$34:$O$64, 0))/'Profit per cycles Model'!$E$78</f>
        <v>7.3395704362659027</v>
      </c>
      <c r="N695" s="28" t="e">
        <f t="shared" si="173"/>
        <v>#N/A</v>
      </c>
      <c r="O695" s="71" t="e">
        <f>AVERAGE($N$10:N695)</f>
        <v>#N/A</v>
      </c>
      <c r="P695" s="28" t="e">
        <f t="shared" si="174"/>
        <v>#N/A</v>
      </c>
      <c r="R695" s="28" t="e">
        <f t="shared" si="175"/>
        <v>#VALUE!</v>
      </c>
      <c r="S695" s="25"/>
      <c r="T695" s="25">
        <f t="shared" si="176"/>
        <v>15</v>
      </c>
      <c r="U695" s="33">
        <f>IF(PaybackCustom&gt;0, IF(PaybackCustom&lt;&gt;"Default", PaybackCustom, IF(PaybackStatus&lt;&gt;"",INDEX('Arbitrage Payback Engine'!$Y$2:$Y$6,MATCH(PaybackStatus,'Arbitrage Payback Engine'!$X$2:$X$6,FALSE)),-1)))</f>
        <v>25</v>
      </c>
      <c r="V695" s="32">
        <f t="shared" si="185"/>
        <v>15</v>
      </c>
      <c r="X695" s="29">
        <f t="shared" si="186"/>
        <v>686</v>
      </c>
      <c r="Z695" s="30">
        <f t="shared" si="177"/>
        <v>18.791946308724832</v>
      </c>
      <c r="AA695" s="28" t="e">
        <f t="shared" si="178"/>
        <v>#N/A</v>
      </c>
      <c r="AB695" s="28" t="e">
        <f t="shared" si="179"/>
        <v>#VALUE!</v>
      </c>
      <c r="AC695" s="29">
        <f t="shared" si="180"/>
        <v>650.85388994307402</v>
      </c>
      <c r="AD695" s="28" t="e">
        <f t="shared" si="181"/>
        <v>#VALUE!</v>
      </c>
      <c r="AE695" s="28" t="e">
        <f t="shared" si="182"/>
        <v>#N/A</v>
      </c>
      <c r="AF695" s="28" t="e">
        <f t="shared" si="183"/>
        <v>#VALUE!</v>
      </c>
      <c r="AH695" s="31" t="e">
        <f t="shared" si="184"/>
        <v>#N/A</v>
      </c>
      <c r="AI695" s="25"/>
      <c r="AJ695" s="31"/>
    </row>
    <row r="696" spans="2:36" x14ac:dyDescent="0.25">
      <c r="B696" s="33">
        <f>'Arbitrage Payback Engine'!E696</f>
        <v>18.819339816463497</v>
      </c>
      <c r="C696" s="33">
        <f t="shared" si="170"/>
        <v>1000</v>
      </c>
      <c r="D696" s="33">
        <f>'Battery Pricing Model'!$C$17</f>
        <v>1000</v>
      </c>
      <c r="E696" s="33">
        <f t="shared" si="171"/>
        <v>999</v>
      </c>
      <c r="F696" s="33" t="str">
        <f>'Peak Models'!$B$4</f>
        <v>Default</v>
      </c>
      <c r="G696" s="33" t="e">
        <f>'Peak Models'!$Q$7</f>
        <v>#VALUE!</v>
      </c>
      <c r="H696" s="33">
        <f>'Peak Models'!$P$16</f>
        <v>1.5</v>
      </c>
      <c r="I696" s="33">
        <v>12</v>
      </c>
      <c r="J696" s="33" t="e">
        <f>'Peak Models'!$P$13</f>
        <v>#N/A</v>
      </c>
      <c r="K696" s="28" t="e">
        <f t="shared" si="172"/>
        <v>#VALUE!</v>
      </c>
      <c r="L696" s="28" t="e">
        <f>INDEX('Peak Models'!$P$34:$P$64, MATCH(TRUNC(B696, 0), 'Peak Models'!$O$34:$O$64, 0))</f>
        <v>#N/A</v>
      </c>
      <c r="M696" s="28">
        <f>'Peak Models'!$P$15*INDEX('Peak Models'!$Q$34:$Q$64, MATCH(TRUNC(B696, 0),'Peak Models'!$O$34:$O$64, 0))/'Profit per cycles Model'!$E$78</f>
        <v>7.3395704362659027</v>
      </c>
      <c r="N696" s="28" t="e">
        <f t="shared" si="173"/>
        <v>#N/A</v>
      </c>
      <c r="O696" s="71" t="e">
        <f>AVERAGE($N$10:N696)</f>
        <v>#N/A</v>
      </c>
      <c r="P696" s="28" t="e">
        <f t="shared" si="174"/>
        <v>#N/A</v>
      </c>
      <c r="R696" s="28" t="e">
        <f t="shared" si="175"/>
        <v>#VALUE!</v>
      </c>
      <c r="S696" s="25"/>
      <c r="T696" s="25">
        <f t="shared" si="176"/>
        <v>15</v>
      </c>
      <c r="U696" s="33">
        <f>IF(PaybackCustom&gt;0, IF(PaybackCustom&lt;&gt;"Default", PaybackCustom, IF(PaybackStatus&lt;&gt;"",INDEX('Arbitrage Payback Engine'!$Y$2:$Y$6,MATCH(PaybackStatus,'Arbitrage Payback Engine'!$X$2:$X$6,FALSE)),-1)))</f>
        <v>25</v>
      </c>
      <c r="V696" s="32">
        <f t="shared" si="185"/>
        <v>15</v>
      </c>
      <c r="X696" s="29">
        <f t="shared" si="186"/>
        <v>687</v>
      </c>
      <c r="Z696" s="30">
        <f t="shared" si="177"/>
        <v>18.819339816463497</v>
      </c>
      <c r="AA696" s="28" t="e">
        <f t="shared" si="178"/>
        <v>#N/A</v>
      </c>
      <c r="AB696" s="28" t="e">
        <f t="shared" si="179"/>
        <v>#VALUE!</v>
      </c>
      <c r="AC696" s="29">
        <f t="shared" si="180"/>
        <v>651.80265654648952</v>
      </c>
      <c r="AD696" s="28" t="e">
        <f t="shared" si="181"/>
        <v>#VALUE!</v>
      </c>
      <c r="AE696" s="28" t="e">
        <f t="shared" si="182"/>
        <v>#N/A</v>
      </c>
      <c r="AF696" s="28" t="e">
        <f t="shared" si="183"/>
        <v>#VALUE!</v>
      </c>
      <c r="AH696" s="31" t="e">
        <f t="shared" si="184"/>
        <v>#N/A</v>
      </c>
      <c r="AI696" s="25"/>
      <c r="AJ696" s="31"/>
    </row>
    <row r="697" spans="2:36" x14ac:dyDescent="0.25">
      <c r="B697" s="33">
        <f>'Arbitrage Payback Engine'!E697</f>
        <v>18.846733324202162</v>
      </c>
      <c r="C697" s="33">
        <f t="shared" si="170"/>
        <v>1000</v>
      </c>
      <c r="D697" s="33">
        <f>'Battery Pricing Model'!$C$17</f>
        <v>1000</v>
      </c>
      <c r="E697" s="33">
        <f t="shared" si="171"/>
        <v>999</v>
      </c>
      <c r="F697" s="33" t="str">
        <f>'Peak Models'!$B$4</f>
        <v>Default</v>
      </c>
      <c r="G697" s="33" t="e">
        <f>'Peak Models'!$Q$7</f>
        <v>#VALUE!</v>
      </c>
      <c r="H697" s="33">
        <f>'Peak Models'!$P$16</f>
        <v>1.5</v>
      </c>
      <c r="I697" s="33">
        <v>12</v>
      </c>
      <c r="J697" s="33" t="e">
        <f>'Peak Models'!$P$13</f>
        <v>#N/A</v>
      </c>
      <c r="K697" s="28" t="e">
        <f t="shared" si="172"/>
        <v>#VALUE!</v>
      </c>
      <c r="L697" s="28" t="e">
        <f>INDEX('Peak Models'!$P$34:$P$64, MATCH(TRUNC(B697, 0), 'Peak Models'!$O$34:$O$64, 0))</f>
        <v>#N/A</v>
      </c>
      <c r="M697" s="28">
        <f>'Peak Models'!$P$15*INDEX('Peak Models'!$Q$34:$Q$64, MATCH(TRUNC(B697, 0),'Peak Models'!$O$34:$O$64, 0))/'Profit per cycles Model'!$E$78</f>
        <v>7.3395704362659027</v>
      </c>
      <c r="N697" s="28" t="e">
        <f t="shared" si="173"/>
        <v>#N/A</v>
      </c>
      <c r="O697" s="71" t="e">
        <f>AVERAGE($N$10:N697)</f>
        <v>#N/A</v>
      </c>
      <c r="P697" s="28" t="e">
        <f t="shared" si="174"/>
        <v>#N/A</v>
      </c>
      <c r="R697" s="28" t="e">
        <f t="shared" si="175"/>
        <v>#VALUE!</v>
      </c>
      <c r="S697" s="25"/>
      <c r="T697" s="25">
        <f t="shared" si="176"/>
        <v>15</v>
      </c>
      <c r="U697" s="33">
        <f>IF(PaybackCustom&gt;0, IF(PaybackCustom&lt;&gt;"Default", PaybackCustom, IF(PaybackStatus&lt;&gt;"",INDEX('Arbitrage Payback Engine'!$Y$2:$Y$6,MATCH(PaybackStatus,'Arbitrage Payback Engine'!$X$2:$X$6,FALSE)),-1)))</f>
        <v>25</v>
      </c>
      <c r="V697" s="32">
        <f t="shared" si="185"/>
        <v>15</v>
      </c>
      <c r="X697" s="29">
        <f t="shared" si="186"/>
        <v>688</v>
      </c>
      <c r="Z697" s="30">
        <f t="shared" si="177"/>
        <v>18.846733324202162</v>
      </c>
      <c r="AA697" s="28" t="e">
        <f t="shared" si="178"/>
        <v>#N/A</v>
      </c>
      <c r="AB697" s="28" t="e">
        <f t="shared" si="179"/>
        <v>#VALUE!</v>
      </c>
      <c r="AC697" s="29">
        <f t="shared" si="180"/>
        <v>652.75142314990512</v>
      </c>
      <c r="AD697" s="28" t="e">
        <f t="shared" si="181"/>
        <v>#VALUE!</v>
      </c>
      <c r="AE697" s="28" t="e">
        <f t="shared" si="182"/>
        <v>#N/A</v>
      </c>
      <c r="AF697" s="28" t="e">
        <f t="shared" si="183"/>
        <v>#VALUE!</v>
      </c>
      <c r="AH697" s="31" t="e">
        <f t="shared" si="184"/>
        <v>#N/A</v>
      </c>
      <c r="AI697" s="25"/>
      <c r="AJ697" s="31"/>
    </row>
    <row r="698" spans="2:36" x14ac:dyDescent="0.25">
      <c r="B698" s="33">
        <f>'Arbitrage Payback Engine'!E698</f>
        <v>18.874126831940828</v>
      </c>
      <c r="C698" s="33">
        <f t="shared" si="170"/>
        <v>1000</v>
      </c>
      <c r="D698" s="33">
        <f>'Battery Pricing Model'!$C$17</f>
        <v>1000</v>
      </c>
      <c r="E698" s="33">
        <f t="shared" si="171"/>
        <v>999</v>
      </c>
      <c r="F698" s="33" t="str">
        <f>'Peak Models'!$B$4</f>
        <v>Default</v>
      </c>
      <c r="G698" s="33" t="e">
        <f>'Peak Models'!$Q$7</f>
        <v>#VALUE!</v>
      </c>
      <c r="H698" s="33">
        <f>'Peak Models'!$P$16</f>
        <v>1.5</v>
      </c>
      <c r="I698" s="33">
        <v>12</v>
      </c>
      <c r="J698" s="33" t="e">
        <f>'Peak Models'!$P$13</f>
        <v>#N/A</v>
      </c>
      <c r="K698" s="28" t="e">
        <f t="shared" si="172"/>
        <v>#VALUE!</v>
      </c>
      <c r="L698" s="28" t="e">
        <f>INDEX('Peak Models'!$P$34:$P$64, MATCH(TRUNC(B698, 0), 'Peak Models'!$O$34:$O$64, 0))</f>
        <v>#N/A</v>
      </c>
      <c r="M698" s="28">
        <f>'Peak Models'!$P$15*INDEX('Peak Models'!$Q$34:$Q$64, MATCH(TRUNC(B698, 0),'Peak Models'!$O$34:$O$64, 0))/'Profit per cycles Model'!$E$78</f>
        <v>7.3395704362659027</v>
      </c>
      <c r="N698" s="28" t="e">
        <f t="shared" si="173"/>
        <v>#N/A</v>
      </c>
      <c r="O698" s="71" t="e">
        <f>AVERAGE($N$10:N698)</f>
        <v>#N/A</v>
      </c>
      <c r="P698" s="28" t="e">
        <f t="shared" si="174"/>
        <v>#N/A</v>
      </c>
      <c r="R698" s="28" t="e">
        <f t="shared" si="175"/>
        <v>#VALUE!</v>
      </c>
      <c r="S698" s="25"/>
      <c r="T698" s="25">
        <f t="shared" si="176"/>
        <v>15</v>
      </c>
      <c r="U698" s="33">
        <f>IF(PaybackCustom&gt;0, IF(PaybackCustom&lt;&gt;"Default", PaybackCustom, IF(PaybackStatus&lt;&gt;"",INDEX('Arbitrage Payback Engine'!$Y$2:$Y$6,MATCH(PaybackStatus,'Arbitrage Payback Engine'!$X$2:$X$6,FALSE)),-1)))</f>
        <v>25</v>
      </c>
      <c r="V698" s="32">
        <f t="shared" si="185"/>
        <v>15</v>
      </c>
      <c r="X698" s="29">
        <f t="shared" si="186"/>
        <v>689</v>
      </c>
      <c r="Z698" s="30">
        <f t="shared" si="177"/>
        <v>18.874126831940828</v>
      </c>
      <c r="AA698" s="28" t="e">
        <f t="shared" si="178"/>
        <v>#N/A</v>
      </c>
      <c r="AB698" s="28" t="e">
        <f t="shared" si="179"/>
        <v>#VALUE!</v>
      </c>
      <c r="AC698" s="29">
        <f t="shared" si="180"/>
        <v>653.70018975332061</v>
      </c>
      <c r="AD698" s="28" t="e">
        <f t="shared" si="181"/>
        <v>#VALUE!</v>
      </c>
      <c r="AE698" s="28" t="e">
        <f t="shared" si="182"/>
        <v>#N/A</v>
      </c>
      <c r="AF698" s="28" t="e">
        <f t="shared" si="183"/>
        <v>#VALUE!</v>
      </c>
      <c r="AH698" s="31" t="e">
        <f t="shared" si="184"/>
        <v>#N/A</v>
      </c>
      <c r="AI698" s="25"/>
      <c r="AJ698" s="31"/>
    </row>
    <row r="699" spans="2:36" x14ac:dyDescent="0.25">
      <c r="B699" s="33">
        <f>'Arbitrage Payback Engine'!E699</f>
        <v>18.901520339679497</v>
      </c>
      <c r="C699" s="33">
        <f t="shared" si="170"/>
        <v>1000</v>
      </c>
      <c r="D699" s="33">
        <f>'Battery Pricing Model'!$C$17</f>
        <v>1000</v>
      </c>
      <c r="E699" s="33">
        <f t="shared" si="171"/>
        <v>999</v>
      </c>
      <c r="F699" s="33" t="str">
        <f>'Peak Models'!$B$4</f>
        <v>Default</v>
      </c>
      <c r="G699" s="33" t="e">
        <f>'Peak Models'!$Q$7</f>
        <v>#VALUE!</v>
      </c>
      <c r="H699" s="33">
        <f>'Peak Models'!$P$16</f>
        <v>1.5</v>
      </c>
      <c r="I699" s="33">
        <v>12</v>
      </c>
      <c r="J699" s="33" t="e">
        <f>'Peak Models'!$P$13</f>
        <v>#N/A</v>
      </c>
      <c r="K699" s="28" t="e">
        <f t="shared" si="172"/>
        <v>#VALUE!</v>
      </c>
      <c r="L699" s="28" t="e">
        <f>INDEX('Peak Models'!$P$34:$P$64, MATCH(TRUNC(B699, 0), 'Peak Models'!$O$34:$O$64, 0))</f>
        <v>#N/A</v>
      </c>
      <c r="M699" s="28">
        <f>'Peak Models'!$P$15*INDEX('Peak Models'!$Q$34:$Q$64, MATCH(TRUNC(B699, 0),'Peak Models'!$O$34:$O$64, 0))/'Profit per cycles Model'!$E$78</f>
        <v>7.3395704362659027</v>
      </c>
      <c r="N699" s="28" t="e">
        <f t="shared" si="173"/>
        <v>#N/A</v>
      </c>
      <c r="O699" s="71" t="e">
        <f>AVERAGE($N$10:N699)</f>
        <v>#N/A</v>
      </c>
      <c r="P699" s="28" t="e">
        <f t="shared" si="174"/>
        <v>#N/A</v>
      </c>
      <c r="R699" s="28" t="e">
        <f t="shared" si="175"/>
        <v>#VALUE!</v>
      </c>
      <c r="S699" s="25"/>
      <c r="T699" s="25">
        <f t="shared" si="176"/>
        <v>15</v>
      </c>
      <c r="U699" s="33">
        <f>IF(PaybackCustom&gt;0, IF(PaybackCustom&lt;&gt;"Default", PaybackCustom, IF(PaybackStatus&lt;&gt;"",INDEX('Arbitrage Payback Engine'!$Y$2:$Y$6,MATCH(PaybackStatus,'Arbitrage Payback Engine'!$X$2:$X$6,FALSE)),-1)))</f>
        <v>25</v>
      </c>
      <c r="V699" s="32">
        <f t="shared" si="185"/>
        <v>15</v>
      </c>
      <c r="X699" s="29">
        <f t="shared" si="186"/>
        <v>690</v>
      </c>
      <c r="Z699" s="30">
        <f t="shared" si="177"/>
        <v>18.901520339679497</v>
      </c>
      <c r="AA699" s="28" t="e">
        <f t="shared" si="178"/>
        <v>#N/A</v>
      </c>
      <c r="AB699" s="28" t="e">
        <f t="shared" si="179"/>
        <v>#VALUE!</v>
      </c>
      <c r="AC699" s="29">
        <f t="shared" si="180"/>
        <v>654.64895635673633</v>
      </c>
      <c r="AD699" s="28" t="e">
        <f t="shared" si="181"/>
        <v>#VALUE!</v>
      </c>
      <c r="AE699" s="28" t="e">
        <f t="shared" si="182"/>
        <v>#N/A</v>
      </c>
      <c r="AF699" s="28" t="e">
        <f t="shared" si="183"/>
        <v>#VALUE!</v>
      </c>
      <c r="AH699" s="31" t="e">
        <f t="shared" si="184"/>
        <v>#N/A</v>
      </c>
      <c r="AI699" s="25"/>
      <c r="AJ699" s="31"/>
    </row>
    <row r="700" spans="2:36" x14ac:dyDescent="0.25">
      <c r="B700" s="33">
        <f>'Arbitrage Payback Engine'!E700</f>
        <v>18.928913847418162</v>
      </c>
      <c r="C700" s="33">
        <f t="shared" si="170"/>
        <v>1000</v>
      </c>
      <c r="D700" s="33">
        <f>'Battery Pricing Model'!$C$17</f>
        <v>1000</v>
      </c>
      <c r="E700" s="33">
        <f t="shared" si="171"/>
        <v>999</v>
      </c>
      <c r="F700" s="33" t="str">
        <f>'Peak Models'!$B$4</f>
        <v>Default</v>
      </c>
      <c r="G700" s="33" t="e">
        <f>'Peak Models'!$Q$7</f>
        <v>#VALUE!</v>
      </c>
      <c r="H700" s="33">
        <f>'Peak Models'!$P$16</f>
        <v>1.5</v>
      </c>
      <c r="I700" s="33">
        <v>12</v>
      </c>
      <c r="J700" s="33" t="e">
        <f>'Peak Models'!$P$13</f>
        <v>#N/A</v>
      </c>
      <c r="K700" s="28" t="e">
        <f t="shared" si="172"/>
        <v>#VALUE!</v>
      </c>
      <c r="L700" s="28" t="e">
        <f>INDEX('Peak Models'!$P$34:$P$64, MATCH(TRUNC(B700, 0), 'Peak Models'!$O$34:$O$64, 0))</f>
        <v>#N/A</v>
      </c>
      <c r="M700" s="28">
        <f>'Peak Models'!$P$15*INDEX('Peak Models'!$Q$34:$Q$64, MATCH(TRUNC(B700, 0),'Peak Models'!$O$34:$O$64, 0))/'Profit per cycles Model'!$E$78</f>
        <v>7.3395704362659027</v>
      </c>
      <c r="N700" s="28" t="e">
        <f t="shared" si="173"/>
        <v>#N/A</v>
      </c>
      <c r="O700" s="71" t="e">
        <f>AVERAGE($N$10:N700)</f>
        <v>#N/A</v>
      </c>
      <c r="P700" s="28" t="e">
        <f t="shared" si="174"/>
        <v>#N/A</v>
      </c>
      <c r="R700" s="28" t="e">
        <f t="shared" si="175"/>
        <v>#VALUE!</v>
      </c>
      <c r="S700" s="25"/>
      <c r="T700" s="25">
        <f t="shared" si="176"/>
        <v>15</v>
      </c>
      <c r="U700" s="33">
        <f>IF(PaybackCustom&gt;0, IF(PaybackCustom&lt;&gt;"Default", PaybackCustom, IF(PaybackStatus&lt;&gt;"",INDEX('Arbitrage Payback Engine'!$Y$2:$Y$6,MATCH(PaybackStatus,'Arbitrage Payback Engine'!$X$2:$X$6,FALSE)),-1)))</f>
        <v>25</v>
      </c>
      <c r="V700" s="32">
        <f t="shared" si="185"/>
        <v>15</v>
      </c>
      <c r="X700" s="29">
        <f t="shared" si="186"/>
        <v>691</v>
      </c>
      <c r="Z700" s="30">
        <f t="shared" si="177"/>
        <v>18.928913847418162</v>
      </c>
      <c r="AA700" s="28" t="e">
        <f t="shared" si="178"/>
        <v>#N/A</v>
      </c>
      <c r="AB700" s="28" t="e">
        <f t="shared" si="179"/>
        <v>#VALUE!</v>
      </c>
      <c r="AC700" s="29">
        <f t="shared" si="180"/>
        <v>655.59772296015194</v>
      </c>
      <c r="AD700" s="28" t="e">
        <f t="shared" si="181"/>
        <v>#VALUE!</v>
      </c>
      <c r="AE700" s="28" t="e">
        <f t="shared" si="182"/>
        <v>#N/A</v>
      </c>
      <c r="AF700" s="28" t="e">
        <f t="shared" si="183"/>
        <v>#VALUE!</v>
      </c>
      <c r="AH700" s="31" t="e">
        <f t="shared" si="184"/>
        <v>#N/A</v>
      </c>
      <c r="AI700" s="25"/>
      <c r="AJ700" s="31"/>
    </row>
    <row r="701" spans="2:36" x14ac:dyDescent="0.25">
      <c r="B701" s="33">
        <f>'Arbitrage Payback Engine'!E701</f>
        <v>18.956307355156827</v>
      </c>
      <c r="C701" s="33">
        <f t="shared" si="170"/>
        <v>1000</v>
      </c>
      <c r="D701" s="33">
        <f>'Battery Pricing Model'!$C$17</f>
        <v>1000</v>
      </c>
      <c r="E701" s="33">
        <f t="shared" si="171"/>
        <v>999</v>
      </c>
      <c r="F701" s="33" t="str">
        <f>'Peak Models'!$B$4</f>
        <v>Default</v>
      </c>
      <c r="G701" s="33" t="e">
        <f>'Peak Models'!$Q$7</f>
        <v>#VALUE!</v>
      </c>
      <c r="H701" s="33">
        <f>'Peak Models'!$P$16</f>
        <v>1.5</v>
      </c>
      <c r="I701" s="33">
        <v>12</v>
      </c>
      <c r="J701" s="33" t="e">
        <f>'Peak Models'!$P$13</f>
        <v>#N/A</v>
      </c>
      <c r="K701" s="28" t="e">
        <f t="shared" si="172"/>
        <v>#VALUE!</v>
      </c>
      <c r="L701" s="28" t="e">
        <f>INDEX('Peak Models'!$P$34:$P$64, MATCH(TRUNC(B701, 0), 'Peak Models'!$O$34:$O$64, 0))</f>
        <v>#N/A</v>
      </c>
      <c r="M701" s="28">
        <f>'Peak Models'!$P$15*INDEX('Peak Models'!$Q$34:$Q$64, MATCH(TRUNC(B701, 0),'Peak Models'!$O$34:$O$64, 0))/'Profit per cycles Model'!$E$78</f>
        <v>7.3395704362659027</v>
      </c>
      <c r="N701" s="28" t="e">
        <f t="shared" si="173"/>
        <v>#N/A</v>
      </c>
      <c r="O701" s="71" t="e">
        <f>AVERAGE($N$10:N701)</f>
        <v>#N/A</v>
      </c>
      <c r="P701" s="28" t="e">
        <f t="shared" si="174"/>
        <v>#N/A</v>
      </c>
      <c r="R701" s="28" t="e">
        <f t="shared" si="175"/>
        <v>#VALUE!</v>
      </c>
      <c r="S701" s="25"/>
      <c r="T701" s="25">
        <f t="shared" si="176"/>
        <v>15</v>
      </c>
      <c r="U701" s="33">
        <f>IF(PaybackCustom&gt;0, IF(PaybackCustom&lt;&gt;"Default", PaybackCustom, IF(PaybackStatus&lt;&gt;"",INDEX('Arbitrage Payback Engine'!$Y$2:$Y$6,MATCH(PaybackStatus,'Arbitrage Payback Engine'!$X$2:$X$6,FALSE)),-1)))</f>
        <v>25</v>
      </c>
      <c r="V701" s="32">
        <f t="shared" si="185"/>
        <v>15</v>
      </c>
      <c r="X701" s="29">
        <f t="shared" si="186"/>
        <v>692</v>
      </c>
      <c r="Z701" s="30">
        <f t="shared" si="177"/>
        <v>18.956307355156827</v>
      </c>
      <c r="AA701" s="28" t="e">
        <f t="shared" si="178"/>
        <v>#N/A</v>
      </c>
      <c r="AB701" s="28" t="e">
        <f t="shared" si="179"/>
        <v>#VALUE!</v>
      </c>
      <c r="AC701" s="29">
        <f t="shared" si="180"/>
        <v>656.54648956356732</v>
      </c>
      <c r="AD701" s="28" t="e">
        <f t="shared" si="181"/>
        <v>#VALUE!</v>
      </c>
      <c r="AE701" s="28" t="e">
        <f t="shared" si="182"/>
        <v>#N/A</v>
      </c>
      <c r="AF701" s="28" t="e">
        <f t="shared" si="183"/>
        <v>#VALUE!</v>
      </c>
      <c r="AH701" s="31" t="e">
        <f t="shared" si="184"/>
        <v>#N/A</v>
      </c>
      <c r="AI701" s="25"/>
      <c r="AJ701" s="31"/>
    </row>
    <row r="702" spans="2:36" x14ac:dyDescent="0.25">
      <c r="B702" s="33">
        <f>'Arbitrage Payback Engine'!E702</f>
        <v>18.983700862895493</v>
      </c>
      <c r="C702" s="33">
        <f t="shared" si="170"/>
        <v>1000</v>
      </c>
      <c r="D702" s="33">
        <f>'Battery Pricing Model'!$C$17</f>
        <v>1000</v>
      </c>
      <c r="E702" s="33">
        <f t="shared" si="171"/>
        <v>999</v>
      </c>
      <c r="F702" s="33" t="str">
        <f>'Peak Models'!$B$4</f>
        <v>Default</v>
      </c>
      <c r="G702" s="33" t="e">
        <f>'Peak Models'!$Q$7</f>
        <v>#VALUE!</v>
      </c>
      <c r="H702" s="33">
        <f>'Peak Models'!$P$16</f>
        <v>1.5</v>
      </c>
      <c r="I702" s="33">
        <v>12</v>
      </c>
      <c r="J702" s="33" t="e">
        <f>'Peak Models'!$P$13</f>
        <v>#N/A</v>
      </c>
      <c r="K702" s="28" t="e">
        <f t="shared" si="172"/>
        <v>#VALUE!</v>
      </c>
      <c r="L702" s="28" t="e">
        <f>INDEX('Peak Models'!$P$34:$P$64, MATCH(TRUNC(B702, 0), 'Peak Models'!$O$34:$O$64, 0))</f>
        <v>#N/A</v>
      </c>
      <c r="M702" s="28">
        <f>'Peak Models'!$P$15*INDEX('Peak Models'!$Q$34:$Q$64, MATCH(TRUNC(B702, 0),'Peak Models'!$O$34:$O$64, 0))/'Profit per cycles Model'!$E$78</f>
        <v>7.3395704362659027</v>
      </c>
      <c r="N702" s="28" t="e">
        <f t="shared" si="173"/>
        <v>#N/A</v>
      </c>
      <c r="O702" s="71" t="e">
        <f>AVERAGE($N$10:N702)</f>
        <v>#N/A</v>
      </c>
      <c r="P702" s="28" t="e">
        <f t="shared" si="174"/>
        <v>#N/A</v>
      </c>
      <c r="R702" s="28" t="e">
        <f t="shared" si="175"/>
        <v>#VALUE!</v>
      </c>
      <c r="S702" s="25"/>
      <c r="T702" s="25">
        <f t="shared" si="176"/>
        <v>15</v>
      </c>
      <c r="U702" s="33">
        <f>IF(PaybackCustom&gt;0, IF(PaybackCustom&lt;&gt;"Default", PaybackCustom, IF(PaybackStatus&lt;&gt;"",INDEX('Arbitrage Payback Engine'!$Y$2:$Y$6,MATCH(PaybackStatus,'Arbitrage Payback Engine'!$X$2:$X$6,FALSE)),-1)))</f>
        <v>25</v>
      </c>
      <c r="V702" s="32">
        <f t="shared" si="185"/>
        <v>15</v>
      </c>
      <c r="X702" s="29">
        <f t="shared" si="186"/>
        <v>693</v>
      </c>
      <c r="Z702" s="30">
        <f t="shared" si="177"/>
        <v>18.983700862895493</v>
      </c>
      <c r="AA702" s="28" t="e">
        <f t="shared" si="178"/>
        <v>#N/A</v>
      </c>
      <c r="AB702" s="28" t="e">
        <f t="shared" si="179"/>
        <v>#VALUE!</v>
      </c>
      <c r="AC702" s="29">
        <f t="shared" si="180"/>
        <v>657.49525616698293</v>
      </c>
      <c r="AD702" s="28" t="e">
        <f t="shared" si="181"/>
        <v>#VALUE!</v>
      </c>
      <c r="AE702" s="28" t="e">
        <f t="shared" si="182"/>
        <v>#N/A</v>
      </c>
      <c r="AF702" s="28" t="e">
        <f t="shared" si="183"/>
        <v>#VALUE!</v>
      </c>
      <c r="AH702" s="31" t="e">
        <f t="shared" si="184"/>
        <v>#N/A</v>
      </c>
      <c r="AI702" s="25"/>
      <c r="AJ702" s="31"/>
    </row>
    <row r="703" spans="2:36" x14ac:dyDescent="0.25">
      <c r="B703" s="33">
        <f>'Arbitrage Payback Engine'!E703</f>
        <v>19.011094370634158</v>
      </c>
      <c r="C703" s="33">
        <f t="shared" si="170"/>
        <v>1000</v>
      </c>
      <c r="D703" s="33">
        <f>'Battery Pricing Model'!$C$17</f>
        <v>1000</v>
      </c>
      <c r="E703" s="33">
        <f t="shared" si="171"/>
        <v>999</v>
      </c>
      <c r="F703" s="33" t="str">
        <f>'Peak Models'!$B$4</f>
        <v>Default</v>
      </c>
      <c r="G703" s="33" t="e">
        <f>'Peak Models'!$Q$7</f>
        <v>#VALUE!</v>
      </c>
      <c r="H703" s="33">
        <f>'Peak Models'!$P$16</f>
        <v>1.5</v>
      </c>
      <c r="I703" s="33">
        <v>12</v>
      </c>
      <c r="J703" s="33" t="e">
        <f>'Peak Models'!$P$13</f>
        <v>#N/A</v>
      </c>
      <c r="K703" s="28" t="e">
        <f t="shared" si="172"/>
        <v>#VALUE!</v>
      </c>
      <c r="L703" s="28" t="e">
        <f>INDEX('Peak Models'!$P$34:$P$64, MATCH(TRUNC(B703, 0), 'Peak Models'!$O$34:$O$64, 0))</f>
        <v>#N/A</v>
      </c>
      <c r="M703" s="28">
        <f>'Peak Models'!$P$15*INDEX('Peak Models'!$Q$34:$Q$64, MATCH(TRUNC(B703, 0),'Peak Models'!$O$34:$O$64, 0))/'Profit per cycles Model'!$E$78</f>
        <v>7.523059697172549</v>
      </c>
      <c r="N703" s="28" t="e">
        <f t="shared" si="173"/>
        <v>#N/A</v>
      </c>
      <c r="O703" s="71" t="e">
        <f>AVERAGE($N$10:N703)</f>
        <v>#N/A</v>
      </c>
      <c r="P703" s="28" t="e">
        <f t="shared" si="174"/>
        <v>#N/A</v>
      </c>
      <c r="R703" s="28" t="e">
        <f t="shared" si="175"/>
        <v>#VALUE!</v>
      </c>
      <c r="S703" s="25"/>
      <c r="T703" s="25">
        <f t="shared" si="176"/>
        <v>15</v>
      </c>
      <c r="U703" s="33">
        <f>IF(PaybackCustom&gt;0, IF(PaybackCustom&lt;&gt;"Default", PaybackCustom, IF(PaybackStatus&lt;&gt;"",INDEX('Arbitrage Payback Engine'!$Y$2:$Y$6,MATCH(PaybackStatus,'Arbitrage Payback Engine'!$X$2:$X$6,FALSE)),-1)))</f>
        <v>25</v>
      </c>
      <c r="V703" s="32">
        <f t="shared" si="185"/>
        <v>15</v>
      </c>
      <c r="X703" s="29">
        <f t="shared" si="186"/>
        <v>694</v>
      </c>
      <c r="Z703" s="30">
        <f t="shared" si="177"/>
        <v>19.011094370634158</v>
      </c>
      <c r="AA703" s="28" t="e">
        <f t="shared" si="178"/>
        <v>#N/A</v>
      </c>
      <c r="AB703" s="28" t="e">
        <f t="shared" si="179"/>
        <v>#VALUE!</v>
      </c>
      <c r="AC703" s="29">
        <f t="shared" si="180"/>
        <v>658.44402277039842</v>
      </c>
      <c r="AD703" s="28" t="e">
        <f t="shared" si="181"/>
        <v>#VALUE!</v>
      </c>
      <c r="AE703" s="28" t="e">
        <f t="shared" si="182"/>
        <v>#N/A</v>
      </c>
      <c r="AF703" s="28" t="e">
        <f t="shared" si="183"/>
        <v>#VALUE!</v>
      </c>
      <c r="AH703" s="31" t="e">
        <f t="shared" si="184"/>
        <v>#N/A</v>
      </c>
      <c r="AI703" s="25"/>
      <c r="AJ703" s="31"/>
    </row>
    <row r="704" spans="2:36" x14ac:dyDescent="0.25">
      <c r="B704" s="33">
        <f>'Arbitrage Payback Engine'!E704</f>
        <v>19.038487878372823</v>
      </c>
      <c r="C704" s="33">
        <f t="shared" si="170"/>
        <v>1000</v>
      </c>
      <c r="D704" s="33">
        <f>'Battery Pricing Model'!$C$17</f>
        <v>1000</v>
      </c>
      <c r="E704" s="33">
        <f t="shared" si="171"/>
        <v>999</v>
      </c>
      <c r="F704" s="33" t="str">
        <f>'Peak Models'!$B$4</f>
        <v>Default</v>
      </c>
      <c r="G704" s="33" t="e">
        <f>'Peak Models'!$Q$7</f>
        <v>#VALUE!</v>
      </c>
      <c r="H704" s="33">
        <f>'Peak Models'!$P$16</f>
        <v>1.5</v>
      </c>
      <c r="I704" s="33">
        <v>12</v>
      </c>
      <c r="J704" s="33" t="e">
        <f>'Peak Models'!$P$13</f>
        <v>#N/A</v>
      </c>
      <c r="K704" s="28" t="e">
        <f t="shared" si="172"/>
        <v>#VALUE!</v>
      </c>
      <c r="L704" s="28" t="e">
        <f>INDEX('Peak Models'!$P$34:$P$64, MATCH(TRUNC(B704, 0), 'Peak Models'!$O$34:$O$64, 0))</f>
        <v>#N/A</v>
      </c>
      <c r="M704" s="28">
        <f>'Peak Models'!$P$15*INDEX('Peak Models'!$Q$34:$Q$64, MATCH(TRUNC(B704, 0),'Peak Models'!$O$34:$O$64, 0))/'Profit per cycles Model'!$E$78</f>
        <v>7.523059697172549</v>
      </c>
      <c r="N704" s="28" t="e">
        <f t="shared" si="173"/>
        <v>#N/A</v>
      </c>
      <c r="O704" s="71" t="e">
        <f>AVERAGE($N$10:N704)</f>
        <v>#N/A</v>
      </c>
      <c r="P704" s="28" t="e">
        <f t="shared" si="174"/>
        <v>#N/A</v>
      </c>
      <c r="R704" s="28" t="e">
        <f t="shared" si="175"/>
        <v>#VALUE!</v>
      </c>
      <c r="S704" s="25"/>
      <c r="T704" s="25">
        <f t="shared" si="176"/>
        <v>15</v>
      </c>
      <c r="U704" s="33">
        <f>IF(PaybackCustom&gt;0, IF(PaybackCustom&lt;&gt;"Default", PaybackCustom, IF(PaybackStatus&lt;&gt;"",INDEX('Arbitrage Payback Engine'!$Y$2:$Y$6,MATCH(PaybackStatus,'Arbitrage Payback Engine'!$X$2:$X$6,FALSE)),-1)))</f>
        <v>25</v>
      </c>
      <c r="V704" s="32">
        <f t="shared" si="185"/>
        <v>15</v>
      </c>
      <c r="X704" s="29">
        <f t="shared" si="186"/>
        <v>695</v>
      </c>
      <c r="Z704" s="30">
        <f t="shared" si="177"/>
        <v>19.038487878372823</v>
      </c>
      <c r="AA704" s="28" t="e">
        <f t="shared" si="178"/>
        <v>#N/A</v>
      </c>
      <c r="AB704" s="28" t="e">
        <f t="shared" si="179"/>
        <v>#VALUE!</v>
      </c>
      <c r="AC704" s="29">
        <f t="shared" si="180"/>
        <v>659.39278937381403</v>
      </c>
      <c r="AD704" s="28" t="e">
        <f t="shared" si="181"/>
        <v>#VALUE!</v>
      </c>
      <c r="AE704" s="28" t="e">
        <f t="shared" si="182"/>
        <v>#N/A</v>
      </c>
      <c r="AF704" s="28" t="e">
        <f t="shared" si="183"/>
        <v>#VALUE!</v>
      </c>
      <c r="AH704" s="31" t="e">
        <f t="shared" si="184"/>
        <v>#N/A</v>
      </c>
      <c r="AI704" s="25"/>
      <c r="AJ704" s="31"/>
    </row>
    <row r="705" spans="2:36" x14ac:dyDescent="0.25">
      <c r="B705" s="33">
        <f>'Arbitrage Payback Engine'!E705</f>
        <v>19.065881386111492</v>
      </c>
      <c r="C705" s="33">
        <f t="shared" si="170"/>
        <v>1000</v>
      </c>
      <c r="D705" s="33">
        <f>'Battery Pricing Model'!$C$17</f>
        <v>1000</v>
      </c>
      <c r="E705" s="33">
        <f t="shared" si="171"/>
        <v>999</v>
      </c>
      <c r="F705" s="33" t="str">
        <f>'Peak Models'!$B$4</f>
        <v>Default</v>
      </c>
      <c r="G705" s="33" t="e">
        <f>'Peak Models'!$Q$7</f>
        <v>#VALUE!</v>
      </c>
      <c r="H705" s="33">
        <f>'Peak Models'!$P$16</f>
        <v>1.5</v>
      </c>
      <c r="I705" s="33">
        <v>12</v>
      </c>
      <c r="J705" s="33" t="e">
        <f>'Peak Models'!$P$13</f>
        <v>#N/A</v>
      </c>
      <c r="K705" s="28" t="e">
        <f t="shared" si="172"/>
        <v>#VALUE!</v>
      </c>
      <c r="L705" s="28" t="e">
        <f>INDEX('Peak Models'!$P$34:$P$64, MATCH(TRUNC(B705, 0), 'Peak Models'!$O$34:$O$64, 0))</f>
        <v>#N/A</v>
      </c>
      <c r="M705" s="28">
        <f>'Peak Models'!$P$15*INDEX('Peak Models'!$Q$34:$Q$64, MATCH(TRUNC(B705, 0),'Peak Models'!$O$34:$O$64, 0))/'Profit per cycles Model'!$E$78</f>
        <v>7.523059697172549</v>
      </c>
      <c r="N705" s="28" t="e">
        <f t="shared" si="173"/>
        <v>#N/A</v>
      </c>
      <c r="O705" s="71" t="e">
        <f>AVERAGE($N$10:N705)</f>
        <v>#N/A</v>
      </c>
      <c r="P705" s="28" t="e">
        <f t="shared" si="174"/>
        <v>#N/A</v>
      </c>
      <c r="R705" s="28" t="e">
        <f t="shared" si="175"/>
        <v>#VALUE!</v>
      </c>
      <c r="S705" s="25"/>
      <c r="T705" s="25">
        <f t="shared" si="176"/>
        <v>15</v>
      </c>
      <c r="U705" s="33">
        <f>IF(PaybackCustom&gt;0, IF(PaybackCustom&lt;&gt;"Default", PaybackCustom, IF(PaybackStatus&lt;&gt;"",INDEX('Arbitrage Payback Engine'!$Y$2:$Y$6,MATCH(PaybackStatus,'Arbitrage Payback Engine'!$X$2:$X$6,FALSE)),-1)))</f>
        <v>25</v>
      </c>
      <c r="V705" s="32">
        <f t="shared" si="185"/>
        <v>15</v>
      </c>
      <c r="X705" s="29">
        <f t="shared" si="186"/>
        <v>696</v>
      </c>
      <c r="Z705" s="30">
        <f t="shared" si="177"/>
        <v>19.065881386111492</v>
      </c>
      <c r="AA705" s="28" t="e">
        <f t="shared" si="178"/>
        <v>#N/A</v>
      </c>
      <c r="AB705" s="28" t="e">
        <f t="shared" si="179"/>
        <v>#VALUE!</v>
      </c>
      <c r="AC705" s="29">
        <f t="shared" si="180"/>
        <v>660.34155597722963</v>
      </c>
      <c r="AD705" s="28" t="e">
        <f t="shared" si="181"/>
        <v>#VALUE!</v>
      </c>
      <c r="AE705" s="28" t="e">
        <f t="shared" si="182"/>
        <v>#N/A</v>
      </c>
      <c r="AF705" s="28" t="e">
        <f t="shared" si="183"/>
        <v>#VALUE!</v>
      </c>
      <c r="AH705" s="31" t="e">
        <f t="shared" si="184"/>
        <v>#N/A</v>
      </c>
      <c r="AI705" s="25"/>
      <c r="AJ705" s="31"/>
    </row>
    <row r="706" spans="2:36" x14ac:dyDescent="0.25">
      <c r="B706" s="33">
        <f>'Arbitrage Payback Engine'!E706</f>
        <v>19.093274893850158</v>
      </c>
      <c r="C706" s="33">
        <f t="shared" si="170"/>
        <v>1000</v>
      </c>
      <c r="D706" s="33">
        <f>'Battery Pricing Model'!$C$17</f>
        <v>1000</v>
      </c>
      <c r="E706" s="33">
        <f t="shared" si="171"/>
        <v>999</v>
      </c>
      <c r="F706" s="33" t="str">
        <f>'Peak Models'!$B$4</f>
        <v>Default</v>
      </c>
      <c r="G706" s="33" t="e">
        <f>'Peak Models'!$Q$7</f>
        <v>#VALUE!</v>
      </c>
      <c r="H706" s="33">
        <f>'Peak Models'!$P$16</f>
        <v>1.5</v>
      </c>
      <c r="I706" s="33">
        <v>12</v>
      </c>
      <c r="J706" s="33" t="e">
        <f>'Peak Models'!$P$13</f>
        <v>#N/A</v>
      </c>
      <c r="K706" s="28" t="e">
        <f t="shared" si="172"/>
        <v>#VALUE!</v>
      </c>
      <c r="L706" s="28" t="e">
        <f>INDEX('Peak Models'!$P$34:$P$64, MATCH(TRUNC(B706, 0), 'Peak Models'!$O$34:$O$64, 0))</f>
        <v>#N/A</v>
      </c>
      <c r="M706" s="28">
        <f>'Peak Models'!$P$15*INDEX('Peak Models'!$Q$34:$Q$64, MATCH(TRUNC(B706, 0),'Peak Models'!$O$34:$O$64, 0))/'Profit per cycles Model'!$E$78</f>
        <v>7.523059697172549</v>
      </c>
      <c r="N706" s="28" t="e">
        <f t="shared" si="173"/>
        <v>#N/A</v>
      </c>
      <c r="O706" s="71" t="e">
        <f>AVERAGE($N$10:N706)</f>
        <v>#N/A</v>
      </c>
      <c r="P706" s="28" t="e">
        <f t="shared" si="174"/>
        <v>#N/A</v>
      </c>
      <c r="R706" s="28" t="e">
        <f t="shared" si="175"/>
        <v>#VALUE!</v>
      </c>
      <c r="S706" s="25"/>
      <c r="T706" s="25">
        <f t="shared" si="176"/>
        <v>15</v>
      </c>
      <c r="U706" s="33">
        <f>IF(PaybackCustom&gt;0, IF(PaybackCustom&lt;&gt;"Default", PaybackCustom, IF(PaybackStatus&lt;&gt;"",INDEX('Arbitrage Payback Engine'!$Y$2:$Y$6,MATCH(PaybackStatus,'Arbitrage Payback Engine'!$X$2:$X$6,FALSE)),-1)))</f>
        <v>25</v>
      </c>
      <c r="V706" s="32">
        <f t="shared" si="185"/>
        <v>15</v>
      </c>
      <c r="X706" s="29">
        <f t="shared" si="186"/>
        <v>697</v>
      </c>
      <c r="Z706" s="30">
        <f t="shared" si="177"/>
        <v>19.093274893850158</v>
      </c>
      <c r="AA706" s="28" t="e">
        <f t="shared" si="178"/>
        <v>#N/A</v>
      </c>
      <c r="AB706" s="28" t="e">
        <f t="shared" si="179"/>
        <v>#VALUE!</v>
      </c>
      <c r="AC706" s="29">
        <f t="shared" si="180"/>
        <v>661.29032258064524</v>
      </c>
      <c r="AD706" s="28" t="e">
        <f t="shared" si="181"/>
        <v>#VALUE!</v>
      </c>
      <c r="AE706" s="28" t="e">
        <f t="shared" si="182"/>
        <v>#N/A</v>
      </c>
      <c r="AF706" s="28" t="e">
        <f t="shared" si="183"/>
        <v>#VALUE!</v>
      </c>
      <c r="AH706" s="31" t="e">
        <f t="shared" si="184"/>
        <v>#N/A</v>
      </c>
      <c r="AI706" s="25"/>
      <c r="AJ706" s="31"/>
    </row>
    <row r="707" spans="2:36" x14ac:dyDescent="0.25">
      <c r="B707" s="33">
        <f>'Arbitrage Payback Engine'!E707</f>
        <v>19.120668401588823</v>
      </c>
      <c r="C707" s="33">
        <f t="shared" si="170"/>
        <v>1000</v>
      </c>
      <c r="D707" s="33">
        <f>'Battery Pricing Model'!$C$17</f>
        <v>1000</v>
      </c>
      <c r="E707" s="33">
        <f t="shared" si="171"/>
        <v>999</v>
      </c>
      <c r="F707" s="33" t="str">
        <f>'Peak Models'!$B$4</f>
        <v>Default</v>
      </c>
      <c r="G707" s="33" t="e">
        <f>'Peak Models'!$Q$7</f>
        <v>#VALUE!</v>
      </c>
      <c r="H707" s="33">
        <f>'Peak Models'!$P$16</f>
        <v>1.5</v>
      </c>
      <c r="I707" s="33">
        <v>12</v>
      </c>
      <c r="J707" s="33" t="e">
        <f>'Peak Models'!$P$13</f>
        <v>#N/A</v>
      </c>
      <c r="K707" s="28" t="e">
        <f t="shared" si="172"/>
        <v>#VALUE!</v>
      </c>
      <c r="L707" s="28" t="e">
        <f>INDEX('Peak Models'!$P$34:$P$64, MATCH(TRUNC(B707, 0), 'Peak Models'!$O$34:$O$64, 0))</f>
        <v>#N/A</v>
      </c>
      <c r="M707" s="28">
        <f>'Peak Models'!$P$15*INDEX('Peak Models'!$Q$34:$Q$64, MATCH(TRUNC(B707, 0),'Peak Models'!$O$34:$O$64, 0))/'Profit per cycles Model'!$E$78</f>
        <v>7.523059697172549</v>
      </c>
      <c r="N707" s="28" t="e">
        <f t="shared" si="173"/>
        <v>#N/A</v>
      </c>
      <c r="O707" s="71" t="e">
        <f>AVERAGE($N$10:N707)</f>
        <v>#N/A</v>
      </c>
      <c r="P707" s="28" t="e">
        <f t="shared" si="174"/>
        <v>#N/A</v>
      </c>
      <c r="R707" s="28" t="e">
        <f t="shared" si="175"/>
        <v>#VALUE!</v>
      </c>
      <c r="S707" s="25"/>
      <c r="T707" s="25">
        <f t="shared" si="176"/>
        <v>15</v>
      </c>
      <c r="U707" s="33">
        <f>IF(PaybackCustom&gt;0, IF(PaybackCustom&lt;&gt;"Default", PaybackCustom, IF(PaybackStatus&lt;&gt;"",INDEX('Arbitrage Payback Engine'!$Y$2:$Y$6,MATCH(PaybackStatus,'Arbitrage Payback Engine'!$X$2:$X$6,FALSE)),-1)))</f>
        <v>25</v>
      </c>
      <c r="V707" s="32">
        <f t="shared" si="185"/>
        <v>15</v>
      </c>
      <c r="X707" s="29">
        <f t="shared" si="186"/>
        <v>698</v>
      </c>
      <c r="Z707" s="30">
        <f t="shared" si="177"/>
        <v>19.120668401588823</v>
      </c>
      <c r="AA707" s="28" t="e">
        <f t="shared" si="178"/>
        <v>#N/A</v>
      </c>
      <c r="AB707" s="28" t="e">
        <f t="shared" si="179"/>
        <v>#VALUE!</v>
      </c>
      <c r="AC707" s="29">
        <f t="shared" si="180"/>
        <v>662.23908918406073</v>
      </c>
      <c r="AD707" s="28" t="e">
        <f t="shared" si="181"/>
        <v>#VALUE!</v>
      </c>
      <c r="AE707" s="28" t="e">
        <f t="shared" si="182"/>
        <v>#N/A</v>
      </c>
      <c r="AF707" s="28" t="e">
        <f t="shared" si="183"/>
        <v>#VALUE!</v>
      </c>
      <c r="AH707" s="31" t="e">
        <f t="shared" si="184"/>
        <v>#N/A</v>
      </c>
      <c r="AI707" s="25"/>
      <c r="AJ707" s="31"/>
    </row>
    <row r="708" spans="2:36" x14ac:dyDescent="0.25">
      <c r="B708" s="33">
        <f>'Arbitrage Payback Engine'!E708</f>
        <v>19.148061909327488</v>
      </c>
      <c r="C708" s="33">
        <f t="shared" si="170"/>
        <v>1000</v>
      </c>
      <c r="D708" s="33">
        <f>'Battery Pricing Model'!$C$17</f>
        <v>1000</v>
      </c>
      <c r="E708" s="33">
        <f t="shared" si="171"/>
        <v>999</v>
      </c>
      <c r="F708" s="33" t="str">
        <f>'Peak Models'!$B$4</f>
        <v>Default</v>
      </c>
      <c r="G708" s="33" t="e">
        <f>'Peak Models'!$Q$7</f>
        <v>#VALUE!</v>
      </c>
      <c r="H708" s="33">
        <f>'Peak Models'!$P$16</f>
        <v>1.5</v>
      </c>
      <c r="I708" s="33">
        <v>12</v>
      </c>
      <c r="J708" s="33" t="e">
        <f>'Peak Models'!$P$13</f>
        <v>#N/A</v>
      </c>
      <c r="K708" s="28" t="e">
        <f t="shared" si="172"/>
        <v>#VALUE!</v>
      </c>
      <c r="L708" s="28" t="e">
        <f>INDEX('Peak Models'!$P$34:$P$64, MATCH(TRUNC(B708, 0), 'Peak Models'!$O$34:$O$64, 0))</f>
        <v>#N/A</v>
      </c>
      <c r="M708" s="28">
        <f>'Peak Models'!$P$15*INDEX('Peak Models'!$Q$34:$Q$64, MATCH(TRUNC(B708, 0),'Peak Models'!$O$34:$O$64, 0))/'Profit per cycles Model'!$E$78</f>
        <v>7.523059697172549</v>
      </c>
      <c r="N708" s="28" t="e">
        <f t="shared" si="173"/>
        <v>#N/A</v>
      </c>
      <c r="O708" s="71" t="e">
        <f>AVERAGE($N$10:N708)</f>
        <v>#N/A</v>
      </c>
      <c r="P708" s="28" t="e">
        <f t="shared" si="174"/>
        <v>#N/A</v>
      </c>
      <c r="R708" s="28" t="e">
        <f t="shared" si="175"/>
        <v>#VALUE!</v>
      </c>
      <c r="S708" s="25"/>
      <c r="T708" s="25">
        <f t="shared" si="176"/>
        <v>15</v>
      </c>
      <c r="U708" s="33">
        <f>IF(PaybackCustom&gt;0, IF(PaybackCustom&lt;&gt;"Default", PaybackCustom, IF(PaybackStatus&lt;&gt;"",INDEX('Arbitrage Payback Engine'!$Y$2:$Y$6,MATCH(PaybackStatus,'Arbitrage Payback Engine'!$X$2:$X$6,FALSE)),-1)))</f>
        <v>25</v>
      </c>
      <c r="V708" s="32">
        <f t="shared" si="185"/>
        <v>15</v>
      </c>
      <c r="X708" s="29">
        <f t="shared" si="186"/>
        <v>699</v>
      </c>
      <c r="Z708" s="30">
        <f t="shared" si="177"/>
        <v>19.148061909327488</v>
      </c>
      <c r="AA708" s="28" t="e">
        <f t="shared" si="178"/>
        <v>#N/A</v>
      </c>
      <c r="AB708" s="28" t="e">
        <f t="shared" si="179"/>
        <v>#VALUE!</v>
      </c>
      <c r="AC708" s="29">
        <f t="shared" si="180"/>
        <v>663.18785578747622</v>
      </c>
      <c r="AD708" s="28" t="e">
        <f t="shared" si="181"/>
        <v>#VALUE!</v>
      </c>
      <c r="AE708" s="28" t="e">
        <f t="shared" si="182"/>
        <v>#N/A</v>
      </c>
      <c r="AF708" s="28" t="e">
        <f t="shared" si="183"/>
        <v>#VALUE!</v>
      </c>
      <c r="AH708" s="31" t="e">
        <f t="shared" si="184"/>
        <v>#N/A</v>
      </c>
      <c r="AI708" s="25"/>
      <c r="AJ708" s="31"/>
    </row>
    <row r="709" spans="2:36" x14ac:dyDescent="0.25">
      <c r="B709" s="33">
        <f>'Arbitrage Payback Engine'!E709</f>
        <v>19.175455417066154</v>
      </c>
      <c r="C709" s="33">
        <f t="shared" si="170"/>
        <v>1000</v>
      </c>
      <c r="D709" s="33">
        <f>'Battery Pricing Model'!$C$17</f>
        <v>1000</v>
      </c>
      <c r="E709" s="33">
        <f t="shared" si="171"/>
        <v>999</v>
      </c>
      <c r="F709" s="33" t="str">
        <f>'Peak Models'!$B$4</f>
        <v>Default</v>
      </c>
      <c r="G709" s="33" t="e">
        <f>'Peak Models'!$Q$7</f>
        <v>#VALUE!</v>
      </c>
      <c r="H709" s="33">
        <f>'Peak Models'!$P$16</f>
        <v>1.5</v>
      </c>
      <c r="I709" s="33">
        <v>12</v>
      </c>
      <c r="J709" s="33" t="e">
        <f>'Peak Models'!$P$13</f>
        <v>#N/A</v>
      </c>
      <c r="K709" s="28" t="e">
        <f t="shared" si="172"/>
        <v>#VALUE!</v>
      </c>
      <c r="L709" s="28" t="e">
        <f>INDEX('Peak Models'!$P$34:$P$64, MATCH(TRUNC(B709, 0), 'Peak Models'!$O$34:$O$64, 0))</f>
        <v>#N/A</v>
      </c>
      <c r="M709" s="28">
        <f>'Peak Models'!$P$15*INDEX('Peak Models'!$Q$34:$Q$64, MATCH(TRUNC(B709, 0),'Peak Models'!$O$34:$O$64, 0))/'Profit per cycles Model'!$E$78</f>
        <v>7.523059697172549</v>
      </c>
      <c r="N709" s="28" t="e">
        <f t="shared" si="173"/>
        <v>#N/A</v>
      </c>
      <c r="O709" s="71" t="e">
        <f>AVERAGE($N$10:N709)</f>
        <v>#N/A</v>
      </c>
      <c r="P709" s="28" t="e">
        <f t="shared" si="174"/>
        <v>#N/A</v>
      </c>
      <c r="R709" s="28" t="e">
        <f t="shared" si="175"/>
        <v>#VALUE!</v>
      </c>
      <c r="S709" s="25"/>
      <c r="T709" s="25">
        <f t="shared" si="176"/>
        <v>15</v>
      </c>
      <c r="U709" s="33">
        <f>IF(PaybackCustom&gt;0, IF(PaybackCustom&lt;&gt;"Default", PaybackCustom, IF(PaybackStatus&lt;&gt;"",INDEX('Arbitrage Payback Engine'!$Y$2:$Y$6,MATCH(PaybackStatus,'Arbitrage Payback Engine'!$X$2:$X$6,FALSE)),-1)))</f>
        <v>25</v>
      </c>
      <c r="V709" s="32">
        <f t="shared" si="185"/>
        <v>15</v>
      </c>
      <c r="X709" s="29">
        <f t="shared" si="186"/>
        <v>700</v>
      </c>
      <c r="Z709" s="30">
        <f t="shared" si="177"/>
        <v>19.175455417066154</v>
      </c>
      <c r="AA709" s="28" t="e">
        <f t="shared" si="178"/>
        <v>#N/A</v>
      </c>
      <c r="AB709" s="28" t="e">
        <f t="shared" si="179"/>
        <v>#VALUE!</v>
      </c>
      <c r="AC709" s="29">
        <f t="shared" si="180"/>
        <v>664.13662239089183</v>
      </c>
      <c r="AD709" s="28" t="e">
        <f t="shared" si="181"/>
        <v>#VALUE!</v>
      </c>
      <c r="AE709" s="28" t="e">
        <f t="shared" si="182"/>
        <v>#N/A</v>
      </c>
      <c r="AF709" s="28" t="e">
        <f t="shared" si="183"/>
        <v>#VALUE!</v>
      </c>
      <c r="AH709" s="31" t="e">
        <f t="shared" si="184"/>
        <v>#N/A</v>
      </c>
      <c r="AI709" s="25"/>
      <c r="AJ709" s="31"/>
    </row>
    <row r="710" spans="2:36" x14ac:dyDescent="0.25">
      <c r="B710" s="33">
        <f>'Arbitrage Payback Engine'!E710</f>
        <v>19.202848924804822</v>
      </c>
      <c r="C710" s="33">
        <f t="shared" si="170"/>
        <v>1000</v>
      </c>
      <c r="D710" s="33">
        <f>'Battery Pricing Model'!$C$17</f>
        <v>1000</v>
      </c>
      <c r="E710" s="33">
        <f t="shared" si="171"/>
        <v>999</v>
      </c>
      <c r="F710" s="33" t="str">
        <f>'Peak Models'!$B$4</f>
        <v>Default</v>
      </c>
      <c r="G710" s="33" t="e">
        <f>'Peak Models'!$Q$7</f>
        <v>#VALUE!</v>
      </c>
      <c r="H710" s="33">
        <f>'Peak Models'!$P$16</f>
        <v>1.5</v>
      </c>
      <c r="I710" s="33">
        <v>12</v>
      </c>
      <c r="J710" s="33" t="e">
        <f>'Peak Models'!$P$13</f>
        <v>#N/A</v>
      </c>
      <c r="K710" s="28" t="e">
        <f t="shared" si="172"/>
        <v>#VALUE!</v>
      </c>
      <c r="L710" s="28" t="e">
        <f>INDEX('Peak Models'!$P$34:$P$64, MATCH(TRUNC(B710, 0), 'Peak Models'!$O$34:$O$64, 0))</f>
        <v>#N/A</v>
      </c>
      <c r="M710" s="28">
        <f>'Peak Models'!$P$15*INDEX('Peak Models'!$Q$34:$Q$64, MATCH(TRUNC(B710, 0),'Peak Models'!$O$34:$O$64, 0))/'Profit per cycles Model'!$E$78</f>
        <v>7.523059697172549</v>
      </c>
      <c r="N710" s="28" t="e">
        <f t="shared" si="173"/>
        <v>#N/A</v>
      </c>
      <c r="O710" s="71" t="e">
        <f>AVERAGE($N$10:N710)</f>
        <v>#N/A</v>
      </c>
      <c r="P710" s="28" t="e">
        <f t="shared" si="174"/>
        <v>#N/A</v>
      </c>
      <c r="R710" s="28" t="e">
        <f t="shared" si="175"/>
        <v>#VALUE!</v>
      </c>
      <c r="S710" s="25"/>
      <c r="T710" s="25">
        <f t="shared" si="176"/>
        <v>15</v>
      </c>
      <c r="U710" s="33">
        <f>IF(PaybackCustom&gt;0, IF(PaybackCustom&lt;&gt;"Default", PaybackCustom, IF(PaybackStatus&lt;&gt;"",INDEX('Arbitrage Payback Engine'!$Y$2:$Y$6,MATCH(PaybackStatus,'Arbitrage Payback Engine'!$X$2:$X$6,FALSE)),-1)))</f>
        <v>25</v>
      </c>
      <c r="V710" s="32">
        <f t="shared" si="185"/>
        <v>15</v>
      </c>
      <c r="X710" s="29">
        <f t="shared" si="186"/>
        <v>701</v>
      </c>
      <c r="Z710" s="30">
        <f t="shared" si="177"/>
        <v>19.202848924804822</v>
      </c>
      <c r="AA710" s="28" t="e">
        <f t="shared" si="178"/>
        <v>#N/A</v>
      </c>
      <c r="AB710" s="28" t="e">
        <f t="shared" si="179"/>
        <v>#VALUE!</v>
      </c>
      <c r="AC710" s="29">
        <f t="shared" si="180"/>
        <v>665.08538899430744</v>
      </c>
      <c r="AD710" s="28" t="e">
        <f t="shared" si="181"/>
        <v>#VALUE!</v>
      </c>
      <c r="AE710" s="28" t="e">
        <f t="shared" si="182"/>
        <v>#N/A</v>
      </c>
      <c r="AF710" s="28" t="e">
        <f t="shared" si="183"/>
        <v>#VALUE!</v>
      </c>
      <c r="AH710" s="31" t="e">
        <f t="shared" si="184"/>
        <v>#N/A</v>
      </c>
      <c r="AI710" s="25"/>
      <c r="AJ710" s="31"/>
    </row>
    <row r="711" spans="2:36" x14ac:dyDescent="0.25">
      <c r="B711" s="33">
        <f>'Arbitrage Payback Engine'!E711</f>
        <v>19.230242432543488</v>
      </c>
      <c r="C711" s="33">
        <f t="shared" si="170"/>
        <v>1000</v>
      </c>
      <c r="D711" s="33">
        <f>'Battery Pricing Model'!$C$17</f>
        <v>1000</v>
      </c>
      <c r="E711" s="33">
        <f t="shared" si="171"/>
        <v>999</v>
      </c>
      <c r="F711" s="33" t="str">
        <f>'Peak Models'!$B$4</f>
        <v>Default</v>
      </c>
      <c r="G711" s="33" t="e">
        <f>'Peak Models'!$Q$7</f>
        <v>#VALUE!</v>
      </c>
      <c r="H711" s="33">
        <f>'Peak Models'!$P$16</f>
        <v>1.5</v>
      </c>
      <c r="I711" s="33">
        <v>12</v>
      </c>
      <c r="J711" s="33" t="e">
        <f>'Peak Models'!$P$13</f>
        <v>#N/A</v>
      </c>
      <c r="K711" s="28" t="e">
        <f t="shared" si="172"/>
        <v>#VALUE!</v>
      </c>
      <c r="L711" s="28" t="e">
        <f>INDEX('Peak Models'!$P$34:$P$64, MATCH(TRUNC(B711, 0), 'Peak Models'!$O$34:$O$64, 0))</f>
        <v>#N/A</v>
      </c>
      <c r="M711" s="28">
        <f>'Peak Models'!$P$15*INDEX('Peak Models'!$Q$34:$Q$64, MATCH(TRUNC(B711, 0),'Peak Models'!$O$34:$O$64, 0))/'Profit per cycles Model'!$E$78</f>
        <v>7.523059697172549</v>
      </c>
      <c r="N711" s="28" t="e">
        <f t="shared" si="173"/>
        <v>#N/A</v>
      </c>
      <c r="O711" s="71" t="e">
        <f>AVERAGE($N$10:N711)</f>
        <v>#N/A</v>
      </c>
      <c r="P711" s="28" t="e">
        <f t="shared" si="174"/>
        <v>#N/A</v>
      </c>
      <c r="R711" s="28" t="e">
        <f t="shared" si="175"/>
        <v>#VALUE!</v>
      </c>
      <c r="S711" s="25"/>
      <c r="T711" s="25">
        <f t="shared" si="176"/>
        <v>15</v>
      </c>
      <c r="U711" s="33">
        <f>IF(PaybackCustom&gt;0, IF(PaybackCustom&lt;&gt;"Default", PaybackCustom, IF(PaybackStatus&lt;&gt;"",INDEX('Arbitrage Payback Engine'!$Y$2:$Y$6,MATCH(PaybackStatus,'Arbitrage Payback Engine'!$X$2:$X$6,FALSE)),-1)))</f>
        <v>25</v>
      </c>
      <c r="V711" s="32">
        <f t="shared" si="185"/>
        <v>15</v>
      </c>
      <c r="X711" s="29">
        <f t="shared" si="186"/>
        <v>702</v>
      </c>
      <c r="Z711" s="30">
        <f t="shared" si="177"/>
        <v>19.230242432543488</v>
      </c>
      <c r="AA711" s="28" t="e">
        <f t="shared" si="178"/>
        <v>#N/A</v>
      </c>
      <c r="AB711" s="28" t="e">
        <f t="shared" si="179"/>
        <v>#VALUE!</v>
      </c>
      <c r="AC711" s="29">
        <f t="shared" si="180"/>
        <v>666.03415559772304</v>
      </c>
      <c r="AD711" s="28" t="e">
        <f t="shared" si="181"/>
        <v>#VALUE!</v>
      </c>
      <c r="AE711" s="28" t="e">
        <f t="shared" si="182"/>
        <v>#N/A</v>
      </c>
      <c r="AF711" s="28" t="e">
        <f t="shared" si="183"/>
        <v>#VALUE!</v>
      </c>
      <c r="AH711" s="31" t="e">
        <f t="shared" si="184"/>
        <v>#N/A</v>
      </c>
      <c r="AI711" s="25"/>
      <c r="AJ711" s="31"/>
    </row>
    <row r="712" spans="2:36" x14ac:dyDescent="0.25">
      <c r="B712" s="33">
        <f>'Arbitrage Payback Engine'!E712</f>
        <v>19.257635940282153</v>
      </c>
      <c r="C712" s="33">
        <f t="shared" si="170"/>
        <v>1000</v>
      </c>
      <c r="D712" s="33">
        <f>'Battery Pricing Model'!$C$17</f>
        <v>1000</v>
      </c>
      <c r="E712" s="33">
        <f t="shared" si="171"/>
        <v>999</v>
      </c>
      <c r="F712" s="33" t="str">
        <f>'Peak Models'!$B$4</f>
        <v>Default</v>
      </c>
      <c r="G712" s="33" t="e">
        <f>'Peak Models'!$Q$7</f>
        <v>#VALUE!</v>
      </c>
      <c r="H712" s="33">
        <f>'Peak Models'!$P$16</f>
        <v>1.5</v>
      </c>
      <c r="I712" s="33">
        <v>12</v>
      </c>
      <c r="J712" s="33" t="e">
        <f>'Peak Models'!$P$13</f>
        <v>#N/A</v>
      </c>
      <c r="K712" s="28" t="e">
        <f t="shared" si="172"/>
        <v>#VALUE!</v>
      </c>
      <c r="L712" s="28" t="e">
        <f>INDEX('Peak Models'!$P$34:$P$64, MATCH(TRUNC(B712, 0), 'Peak Models'!$O$34:$O$64, 0))</f>
        <v>#N/A</v>
      </c>
      <c r="M712" s="28">
        <f>'Peak Models'!$P$15*INDEX('Peak Models'!$Q$34:$Q$64, MATCH(TRUNC(B712, 0),'Peak Models'!$O$34:$O$64, 0))/'Profit per cycles Model'!$E$78</f>
        <v>7.523059697172549</v>
      </c>
      <c r="N712" s="28" t="e">
        <f t="shared" si="173"/>
        <v>#N/A</v>
      </c>
      <c r="O712" s="71" t="e">
        <f>AVERAGE($N$10:N712)</f>
        <v>#N/A</v>
      </c>
      <c r="P712" s="28" t="e">
        <f t="shared" si="174"/>
        <v>#N/A</v>
      </c>
      <c r="R712" s="28" t="e">
        <f t="shared" si="175"/>
        <v>#VALUE!</v>
      </c>
      <c r="S712" s="25"/>
      <c r="T712" s="25">
        <f t="shared" si="176"/>
        <v>15</v>
      </c>
      <c r="U712" s="33">
        <f>IF(PaybackCustom&gt;0, IF(PaybackCustom&lt;&gt;"Default", PaybackCustom, IF(PaybackStatus&lt;&gt;"",INDEX('Arbitrage Payback Engine'!$Y$2:$Y$6,MATCH(PaybackStatus,'Arbitrage Payback Engine'!$X$2:$X$6,FALSE)),-1)))</f>
        <v>25</v>
      </c>
      <c r="V712" s="32">
        <f t="shared" si="185"/>
        <v>15</v>
      </c>
      <c r="X712" s="29">
        <f t="shared" si="186"/>
        <v>703</v>
      </c>
      <c r="Z712" s="30">
        <f t="shared" si="177"/>
        <v>19.257635940282153</v>
      </c>
      <c r="AA712" s="28" t="e">
        <f t="shared" si="178"/>
        <v>#N/A</v>
      </c>
      <c r="AB712" s="28" t="e">
        <f t="shared" si="179"/>
        <v>#VALUE!</v>
      </c>
      <c r="AC712" s="29">
        <f t="shared" si="180"/>
        <v>666.98292220113865</v>
      </c>
      <c r="AD712" s="28" t="e">
        <f t="shared" si="181"/>
        <v>#VALUE!</v>
      </c>
      <c r="AE712" s="28" t="e">
        <f t="shared" si="182"/>
        <v>#N/A</v>
      </c>
      <c r="AF712" s="28" t="e">
        <f t="shared" si="183"/>
        <v>#VALUE!</v>
      </c>
      <c r="AH712" s="31" t="e">
        <f t="shared" si="184"/>
        <v>#N/A</v>
      </c>
      <c r="AI712" s="25"/>
      <c r="AJ712" s="31"/>
    </row>
    <row r="713" spans="2:36" x14ac:dyDescent="0.25">
      <c r="B713" s="33">
        <f>'Arbitrage Payback Engine'!E713</f>
        <v>19.285029448020818</v>
      </c>
      <c r="C713" s="33">
        <f t="shared" si="170"/>
        <v>1000</v>
      </c>
      <c r="D713" s="33">
        <f>'Battery Pricing Model'!$C$17</f>
        <v>1000</v>
      </c>
      <c r="E713" s="33">
        <f t="shared" si="171"/>
        <v>999</v>
      </c>
      <c r="F713" s="33" t="str">
        <f>'Peak Models'!$B$4</f>
        <v>Default</v>
      </c>
      <c r="G713" s="33" t="e">
        <f>'Peak Models'!$Q$7</f>
        <v>#VALUE!</v>
      </c>
      <c r="H713" s="33">
        <f>'Peak Models'!$P$16</f>
        <v>1.5</v>
      </c>
      <c r="I713" s="33">
        <v>12</v>
      </c>
      <c r="J713" s="33" t="e">
        <f>'Peak Models'!$P$13</f>
        <v>#N/A</v>
      </c>
      <c r="K713" s="28" t="e">
        <f t="shared" si="172"/>
        <v>#VALUE!</v>
      </c>
      <c r="L713" s="28" t="e">
        <f>INDEX('Peak Models'!$P$34:$P$64, MATCH(TRUNC(B713, 0), 'Peak Models'!$O$34:$O$64, 0))</f>
        <v>#N/A</v>
      </c>
      <c r="M713" s="28">
        <f>'Peak Models'!$P$15*INDEX('Peak Models'!$Q$34:$Q$64, MATCH(TRUNC(B713, 0),'Peak Models'!$O$34:$O$64, 0))/'Profit per cycles Model'!$E$78</f>
        <v>7.523059697172549</v>
      </c>
      <c r="N713" s="28" t="e">
        <f t="shared" si="173"/>
        <v>#N/A</v>
      </c>
      <c r="O713" s="71" t="e">
        <f>AVERAGE($N$10:N713)</f>
        <v>#N/A</v>
      </c>
      <c r="P713" s="28" t="e">
        <f t="shared" si="174"/>
        <v>#N/A</v>
      </c>
      <c r="R713" s="28" t="e">
        <f t="shared" si="175"/>
        <v>#VALUE!</v>
      </c>
      <c r="S713" s="25"/>
      <c r="T713" s="25">
        <f t="shared" si="176"/>
        <v>15</v>
      </c>
      <c r="U713" s="33">
        <f>IF(PaybackCustom&gt;0, IF(PaybackCustom&lt;&gt;"Default", PaybackCustom, IF(PaybackStatus&lt;&gt;"",INDEX('Arbitrage Payback Engine'!$Y$2:$Y$6,MATCH(PaybackStatus,'Arbitrage Payback Engine'!$X$2:$X$6,FALSE)),-1)))</f>
        <v>25</v>
      </c>
      <c r="V713" s="32">
        <f t="shared" si="185"/>
        <v>15</v>
      </c>
      <c r="X713" s="29">
        <f t="shared" si="186"/>
        <v>704</v>
      </c>
      <c r="Z713" s="30">
        <f t="shared" si="177"/>
        <v>19.285029448020818</v>
      </c>
      <c r="AA713" s="28" t="e">
        <f t="shared" si="178"/>
        <v>#N/A</v>
      </c>
      <c r="AB713" s="28" t="e">
        <f t="shared" si="179"/>
        <v>#VALUE!</v>
      </c>
      <c r="AC713" s="29">
        <f t="shared" si="180"/>
        <v>667.93168880455403</v>
      </c>
      <c r="AD713" s="28" t="e">
        <f t="shared" si="181"/>
        <v>#VALUE!</v>
      </c>
      <c r="AE713" s="28" t="e">
        <f t="shared" si="182"/>
        <v>#N/A</v>
      </c>
      <c r="AF713" s="28" t="e">
        <f t="shared" si="183"/>
        <v>#VALUE!</v>
      </c>
      <c r="AH713" s="31" t="e">
        <f t="shared" si="184"/>
        <v>#N/A</v>
      </c>
      <c r="AI713" s="25"/>
      <c r="AJ713" s="31"/>
    </row>
    <row r="714" spans="2:36" x14ac:dyDescent="0.25">
      <c r="B714" s="33">
        <f>'Arbitrage Payback Engine'!E714</f>
        <v>19.312422955759484</v>
      </c>
      <c r="C714" s="33">
        <f t="shared" ref="C714:C777" si="187">IF(OR($E$6="None", $E$6=0), D714, E714)</f>
        <v>1000</v>
      </c>
      <c r="D714" s="33">
        <f>'Battery Pricing Model'!$C$17</f>
        <v>1000</v>
      </c>
      <c r="E714" s="33">
        <f t="shared" ref="E714:E777" si="188">IF(OR($E$6="None", $E$6=0), 999, $D714*(E$6))</f>
        <v>999</v>
      </c>
      <c r="F714" s="33" t="str">
        <f>'Peak Models'!$B$4</f>
        <v>Default</v>
      </c>
      <c r="G714" s="33" t="e">
        <f>'Peak Models'!$Q$7</f>
        <v>#VALUE!</v>
      </c>
      <c r="H714" s="33">
        <f>'Peak Models'!$P$16</f>
        <v>1.5</v>
      </c>
      <c r="I714" s="33">
        <v>12</v>
      </c>
      <c r="J714" s="33" t="e">
        <f>'Peak Models'!$P$13</f>
        <v>#N/A</v>
      </c>
      <c r="K714" s="28" t="e">
        <f t="shared" ref="K714:K777" si="189">C714*G714/(H714*B714)</f>
        <v>#VALUE!</v>
      </c>
      <c r="L714" s="28" t="e">
        <f>INDEX('Peak Models'!$P$34:$P$64, MATCH(TRUNC(B714, 0), 'Peak Models'!$O$34:$O$64, 0))</f>
        <v>#N/A</v>
      </c>
      <c r="M714" s="28">
        <f>'Peak Models'!$P$15*INDEX('Peak Models'!$Q$34:$Q$64, MATCH(TRUNC(B714, 0),'Peak Models'!$O$34:$O$64, 0))/'Profit per cycles Model'!$E$78</f>
        <v>7.523059697172549</v>
      </c>
      <c r="N714" s="28" t="e">
        <f t="shared" ref="N714:N777" si="190">L714-M714</f>
        <v>#N/A</v>
      </c>
      <c r="O714" s="71" t="e">
        <f>AVERAGE($N$10:N714)</f>
        <v>#N/A</v>
      </c>
      <c r="P714" s="28" t="e">
        <f t="shared" ref="P714:P777" si="191">IF(O714-K714&lt;0, 999, O714-K714)</f>
        <v>#N/A</v>
      </c>
      <c r="R714" s="28" t="e">
        <f t="shared" ref="R714:R777" si="192">IF(ISNA(INDEX($K$10:$K$1063,MATCH(T714,$B$10:$B$1063,1))),-1,INDEX($K$10:$K$1063,MATCH(T714,$B$10:$B$1063,1)))</f>
        <v>#VALUE!</v>
      </c>
      <c r="S714" s="25"/>
      <c r="T714" s="25">
        <f t="shared" ref="T714:T777" si="193">IF( AND(U714&gt;0, V714&gt;0), IF(U714&lt;V714, U714, V714),  IF(U714&gt;0, U714, IF(V714&gt;0, V714, -1)) )</f>
        <v>15</v>
      </c>
      <c r="U714" s="33">
        <f>IF(PaybackCustom&gt;0, IF(PaybackCustom&lt;&gt;"Default", PaybackCustom, IF(PaybackStatus&lt;&gt;"",INDEX('Arbitrage Payback Engine'!$Y$2:$Y$6,MATCH(PaybackStatus,'Arbitrage Payback Engine'!$X$2:$X$6,FALSE)),-1)))</f>
        <v>25</v>
      </c>
      <c r="V714" s="32">
        <f t="shared" si="185"/>
        <v>15</v>
      </c>
      <c r="X714" s="29">
        <f t="shared" si="186"/>
        <v>705</v>
      </c>
      <c r="Z714" s="30">
        <f t="shared" ref="Z714:Z777" si="194">B714</f>
        <v>19.312422955759484</v>
      </c>
      <c r="AA714" s="28" t="e">
        <f t="shared" ref="AA714:AA777" si="195">N714</f>
        <v>#N/A</v>
      </c>
      <c r="AB714" s="28" t="e">
        <f t="shared" ref="AB714:AB777" si="196">R714</f>
        <v>#VALUE!</v>
      </c>
      <c r="AC714" s="29">
        <f t="shared" ref="AC714:AC777" si="197">$AB$2*(Z714-$AB$3)/($AB$4-$AB$3)</f>
        <v>668.88045540796963</v>
      </c>
      <c r="AD714" s="28" t="e">
        <f t="shared" ref="AD714:AD777" si="198">MIN(AB714, AA714)</f>
        <v>#VALUE!</v>
      </c>
      <c r="AE714" s="28" t="e">
        <f t="shared" ref="AE714:AE777" si="199">IF(AND(Z714&lt;T714, AA714&gt;AB714), AA714-AB714, 0)</f>
        <v>#N/A</v>
      </c>
      <c r="AF714" s="28" t="e">
        <f t="shared" ref="AF714:AF777" si="200">IF(AND(Z714&lt;T714, AB714&gt;AA714), AB714-AA714, 0)</f>
        <v>#VALUE!</v>
      </c>
      <c r="AH714" s="31" t="e">
        <f t="shared" ref="AH714:AH777" si="201">(O714-K714)/K714</f>
        <v>#N/A</v>
      </c>
      <c r="AI714" s="25"/>
      <c r="AJ714" s="31"/>
    </row>
    <row r="715" spans="2:36" x14ac:dyDescent="0.25">
      <c r="B715" s="33">
        <f>'Arbitrage Payback Engine'!E715</f>
        <v>19.339816463498149</v>
      </c>
      <c r="C715" s="33">
        <f t="shared" si="187"/>
        <v>1000</v>
      </c>
      <c r="D715" s="33">
        <f>'Battery Pricing Model'!$C$17</f>
        <v>1000</v>
      </c>
      <c r="E715" s="33">
        <f t="shared" si="188"/>
        <v>999</v>
      </c>
      <c r="F715" s="33" t="str">
        <f>'Peak Models'!$B$4</f>
        <v>Default</v>
      </c>
      <c r="G715" s="33" t="e">
        <f>'Peak Models'!$Q$7</f>
        <v>#VALUE!</v>
      </c>
      <c r="H715" s="33">
        <f>'Peak Models'!$P$16</f>
        <v>1.5</v>
      </c>
      <c r="I715" s="33">
        <v>12</v>
      </c>
      <c r="J715" s="33" t="e">
        <f>'Peak Models'!$P$13</f>
        <v>#N/A</v>
      </c>
      <c r="K715" s="28" t="e">
        <f t="shared" si="189"/>
        <v>#VALUE!</v>
      </c>
      <c r="L715" s="28" t="e">
        <f>INDEX('Peak Models'!$P$34:$P$64, MATCH(TRUNC(B715, 0), 'Peak Models'!$O$34:$O$64, 0))</f>
        <v>#N/A</v>
      </c>
      <c r="M715" s="28">
        <f>'Peak Models'!$P$15*INDEX('Peak Models'!$Q$34:$Q$64, MATCH(TRUNC(B715, 0),'Peak Models'!$O$34:$O$64, 0))/'Profit per cycles Model'!$E$78</f>
        <v>7.523059697172549</v>
      </c>
      <c r="N715" s="28" t="e">
        <f t="shared" si="190"/>
        <v>#N/A</v>
      </c>
      <c r="O715" s="71" t="e">
        <f>AVERAGE($N$10:N715)</f>
        <v>#N/A</v>
      </c>
      <c r="P715" s="28" t="e">
        <f t="shared" si="191"/>
        <v>#N/A</v>
      </c>
      <c r="R715" s="28" t="e">
        <f t="shared" si="192"/>
        <v>#VALUE!</v>
      </c>
      <c r="S715" s="25"/>
      <c r="T715" s="25">
        <f t="shared" si="193"/>
        <v>15</v>
      </c>
      <c r="U715" s="33">
        <f>IF(PaybackCustom&gt;0, IF(PaybackCustom&lt;&gt;"Default", PaybackCustom, IF(PaybackStatus&lt;&gt;"",INDEX('Arbitrage Payback Engine'!$Y$2:$Y$6,MATCH(PaybackStatus,'Arbitrage Payback Engine'!$X$2:$X$6,FALSE)),-1)))</f>
        <v>25</v>
      </c>
      <c r="V715" s="32">
        <f t="shared" ref="V715:V778" si="202">IF(ISNUMBER($L$5), $L$5, 15)</f>
        <v>15</v>
      </c>
      <c r="X715" s="29">
        <f t="shared" ref="X715:X778" si="203">X714+1</f>
        <v>706</v>
      </c>
      <c r="Z715" s="30">
        <f t="shared" si="194"/>
        <v>19.339816463498149</v>
      </c>
      <c r="AA715" s="28" t="e">
        <f t="shared" si="195"/>
        <v>#N/A</v>
      </c>
      <c r="AB715" s="28" t="e">
        <f t="shared" si="196"/>
        <v>#VALUE!</v>
      </c>
      <c r="AC715" s="29">
        <f t="shared" si="197"/>
        <v>669.82922201138513</v>
      </c>
      <c r="AD715" s="28" t="e">
        <f t="shared" si="198"/>
        <v>#VALUE!</v>
      </c>
      <c r="AE715" s="28" t="e">
        <f t="shared" si="199"/>
        <v>#N/A</v>
      </c>
      <c r="AF715" s="28" t="e">
        <f t="shared" si="200"/>
        <v>#VALUE!</v>
      </c>
      <c r="AH715" s="31" t="e">
        <f t="shared" si="201"/>
        <v>#N/A</v>
      </c>
      <c r="AI715" s="25"/>
      <c r="AJ715" s="31"/>
    </row>
    <row r="716" spans="2:36" x14ac:dyDescent="0.25">
      <c r="B716" s="33">
        <f>'Arbitrage Payback Engine'!E716</f>
        <v>19.367209971236818</v>
      </c>
      <c r="C716" s="33">
        <f t="shared" si="187"/>
        <v>1000</v>
      </c>
      <c r="D716" s="33">
        <f>'Battery Pricing Model'!$C$17</f>
        <v>1000</v>
      </c>
      <c r="E716" s="33">
        <f t="shared" si="188"/>
        <v>999</v>
      </c>
      <c r="F716" s="33" t="str">
        <f>'Peak Models'!$B$4</f>
        <v>Default</v>
      </c>
      <c r="G716" s="33" t="e">
        <f>'Peak Models'!$Q$7</f>
        <v>#VALUE!</v>
      </c>
      <c r="H716" s="33">
        <f>'Peak Models'!$P$16</f>
        <v>1.5</v>
      </c>
      <c r="I716" s="33">
        <v>12</v>
      </c>
      <c r="J716" s="33" t="e">
        <f>'Peak Models'!$P$13</f>
        <v>#N/A</v>
      </c>
      <c r="K716" s="28" t="e">
        <f t="shared" si="189"/>
        <v>#VALUE!</v>
      </c>
      <c r="L716" s="28" t="e">
        <f>INDEX('Peak Models'!$P$34:$P$64, MATCH(TRUNC(B716, 0), 'Peak Models'!$O$34:$O$64, 0))</f>
        <v>#N/A</v>
      </c>
      <c r="M716" s="28">
        <f>'Peak Models'!$P$15*INDEX('Peak Models'!$Q$34:$Q$64, MATCH(TRUNC(B716, 0),'Peak Models'!$O$34:$O$64, 0))/'Profit per cycles Model'!$E$78</f>
        <v>7.523059697172549</v>
      </c>
      <c r="N716" s="28" t="e">
        <f t="shared" si="190"/>
        <v>#N/A</v>
      </c>
      <c r="O716" s="71" t="e">
        <f>AVERAGE($N$10:N716)</f>
        <v>#N/A</v>
      </c>
      <c r="P716" s="28" t="e">
        <f t="shared" si="191"/>
        <v>#N/A</v>
      </c>
      <c r="R716" s="28" t="e">
        <f t="shared" si="192"/>
        <v>#VALUE!</v>
      </c>
      <c r="S716" s="25"/>
      <c r="T716" s="25">
        <f t="shared" si="193"/>
        <v>15</v>
      </c>
      <c r="U716" s="33">
        <f>IF(PaybackCustom&gt;0, IF(PaybackCustom&lt;&gt;"Default", PaybackCustom, IF(PaybackStatus&lt;&gt;"",INDEX('Arbitrage Payback Engine'!$Y$2:$Y$6,MATCH(PaybackStatus,'Arbitrage Payback Engine'!$X$2:$X$6,FALSE)),-1)))</f>
        <v>25</v>
      </c>
      <c r="V716" s="32">
        <f t="shared" si="202"/>
        <v>15</v>
      </c>
      <c r="X716" s="29">
        <f t="shared" si="203"/>
        <v>707</v>
      </c>
      <c r="Z716" s="30">
        <f t="shared" si="194"/>
        <v>19.367209971236818</v>
      </c>
      <c r="AA716" s="28" t="e">
        <f t="shared" si="195"/>
        <v>#N/A</v>
      </c>
      <c r="AB716" s="28" t="e">
        <f t="shared" si="196"/>
        <v>#VALUE!</v>
      </c>
      <c r="AC716" s="29">
        <f t="shared" si="197"/>
        <v>670.77798861480085</v>
      </c>
      <c r="AD716" s="28" t="e">
        <f t="shared" si="198"/>
        <v>#VALUE!</v>
      </c>
      <c r="AE716" s="28" t="e">
        <f t="shared" si="199"/>
        <v>#N/A</v>
      </c>
      <c r="AF716" s="28" t="e">
        <f t="shared" si="200"/>
        <v>#VALUE!</v>
      </c>
      <c r="AH716" s="31" t="e">
        <f t="shared" si="201"/>
        <v>#N/A</v>
      </c>
      <c r="AI716" s="25"/>
      <c r="AJ716" s="31"/>
    </row>
    <row r="717" spans="2:36" x14ac:dyDescent="0.25">
      <c r="B717" s="33">
        <f>'Arbitrage Payback Engine'!E717</f>
        <v>19.394603478975483</v>
      </c>
      <c r="C717" s="33">
        <f t="shared" si="187"/>
        <v>1000</v>
      </c>
      <c r="D717" s="33">
        <f>'Battery Pricing Model'!$C$17</f>
        <v>1000</v>
      </c>
      <c r="E717" s="33">
        <f t="shared" si="188"/>
        <v>999</v>
      </c>
      <c r="F717" s="33" t="str">
        <f>'Peak Models'!$B$4</f>
        <v>Default</v>
      </c>
      <c r="G717" s="33" t="e">
        <f>'Peak Models'!$Q$7</f>
        <v>#VALUE!</v>
      </c>
      <c r="H717" s="33">
        <f>'Peak Models'!$P$16</f>
        <v>1.5</v>
      </c>
      <c r="I717" s="33">
        <v>12</v>
      </c>
      <c r="J717" s="33" t="e">
        <f>'Peak Models'!$P$13</f>
        <v>#N/A</v>
      </c>
      <c r="K717" s="28" t="e">
        <f t="shared" si="189"/>
        <v>#VALUE!</v>
      </c>
      <c r="L717" s="28" t="e">
        <f>INDEX('Peak Models'!$P$34:$P$64, MATCH(TRUNC(B717, 0), 'Peak Models'!$O$34:$O$64, 0))</f>
        <v>#N/A</v>
      </c>
      <c r="M717" s="28">
        <f>'Peak Models'!$P$15*INDEX('Peak Models'!$Q$34:$Q$64, MATCH(TRUNC(B717, 0),'Peak Models'!$O$34:$O$64, 0))/'Profit per cycles Model'!$E$78</f>
        <v>7.523059697172549</v>
      </c>
      <c r="N717" s="28" t="e">
        <f t="shared" si="190"/>
        <v>#N/A</v>
      </c>
      <c r="O717" s="71" t="e">
        <f>AVERAGE($N$10:N717)</f>
        <v>#N/A</v>
      </c>
      <c r="P717" s="28" t="e">
        <f t="shared" si="191"/>
        <v>#N/A</v>
      </c>
      <c r="R717" s="28" t="e">
        <f t="shared" si="192"/>
        <v>#VALUE!</v>
      </c>
      <c r="S717" s="25"/>
      <c r="T717" s="25">
        <f t="shared" si="193"/>
        <v>15</v>
      </c>
      <c r="U717" s="33">
        <f>IF(PaybackCustom&gt;0, IF(PaybackCustom&lt;&gt;"Default", PaybackCustom, IF(PaybackStatus&lt;&gt;"",INDEX('Arbitrage Payback Engine'!$Y$2:$Y$6,MATCH(PaybackStatus,'Arbitrage Payback Engine'!$X$2:$X$6,FALSE)),-1)))</f>
        <v>25</v>
      </c>
      <c r="V717" s="32">
        <f t="shared" si="202"/>
        <v>15</v>
      </c>
      <c r="X717" s="29">
        <f t="shared" si="203"/>
        <v>708</v>
      </c>
      <c r="Z717" s="30">
        <f t="shared" si="194"/>
        <v>19.394603478975483</v>
      </c>
      <c r="AA717" s="28" t="e">
        <f t="shared" si="195"/>
        <v>#N/A</v>
      </c>
      <c r="AB717" s="28" t="e">
        <f t="shared" si="196"/>
        <v>#VALUE!</v>
      </c>
      <c r="AC717" s="29">
        <f t="shared" si="197"/>
        <v>671.72675521821645</v>
      </c>
      <c r="AD717" s="28" t="e">
        <f t="shared" si="198"/>
        <v>#VALUE!</v>
      </c>
      <c r="AE717" s="28" t="e">
        <f t="shared" si="199"/>
        <v>#N/A</v>
      </c>
      <c r="AF717" s="28" t="e">
        <f t="shared" si="200"/>
        <v>#VALUE!</v>
      </c>
      <c r="AH717" s="31" t="e">
        <f t="shared" si="201"/>
        <v>#N/A</v>
      </c>
      <c r="AI717" s="25"/>
      <c r="AJ717" s="31"/>
    </row>
    <row r="718" spans="2:36" x14ac:dyDescent="0.25">
      <c r="B718" s="33">
        <f>'Arbitrage Payback Engine'!E718</f>
        <v>19.421996986714149</v>
      </c>
      <c r="C718" s="33">
        <f t="shared" si="187"/>
        <v>1000</v>
      </c>
      <c r="D718" s="33">
        <f>'Battery Pricing Model'!$C$17</f>
        <v>1000</v>
      </c>
      <c r="E718" s="33">
        <f t="shared" si="188"/>
        <v>999</v>
      </c>
      <c r="F718" s="33" t="str">
        <f>'Peak Models'!$B$4</f>
        <v>Default</v>
      </c>
      <c r="G718" s="33" t="e">
        <f>'Peak Models'!$Q$7</f>
        <v>#VALUE!</v>
      </c>
      <c r="H718" s="33">
        <f>'Peak Models'!$P$16</f>
        <v>1.5</v>
      </c>
      <c r="I718" s="33">
        <v>12</v>
      </c>
      <c r="J718" s="33" t="e">
        <f>'Peak Models'!$P$13</f>
        <v>#N/A</v>
      </c>
      <c r="K718" s="28" t="e">
        <f t="shared" si="189"/>
        <v>#VALUE!</v>
      </c>
      <c r="L718" s="28" t="e">
        <f>INDEX('Peak Models'!$P$34:$P$64, MATCH(TRUNC(B718, 0), 'Peak Models'!$O$34:$O$64, 0))</f>
        <v>#N/A</v>
      </c>
      <c r="M718" s="28">
        <f>'Peak Models'!$P$15*INDEX('Peak Models'!$Q$34:$Q$64, MATCH(TRUNC(B718, 0),'Peak Models'!$O$34:$O$64, 0))/'Profit per cycles Model'!$E$78</f>
        <v>7.523059697172549</v>
      </c>
      <c r="N718" s="28" t="e">
        <f t="shared" si="190"/>
        <v>#N/A</v>
      </c>
      <c r="O718" s="71" t="e">
        <f>AVERAGE($N$10:N718)</f>
        <v>#N/A</v>
      </c>
      <c r="P718" s="28" t="e">
        <f t="shared" si="191"/>
        <v>#N/A</v>
      </c>
      <c r="R718" s="28" t="e">
        <f t="shared" si="192"/>
        <v>#VALUE!</v>
      </c>
      <c r="S718" s="25"/>
      <c r="T718" s="25">
        <f t="shared" si="193"/>
        <v>15</v>
      </c>
      <c r="U718" s="33">
        <f>IF(PaybackCustom&gt;0, IF(PaybackCustom&lt;&gt;"Default", PaybackCustom, IF(PaybackStatus&lt;&gt;"",INDEX('Arbitrage Payback Engine'!$Y$2:$Y$6,MATCH(PaybackStatus,'Arbitrage Payback Engine'!$X$2:$X$6,FALSE)),-1)))</f>
        <v>25</v>
      </c>
      <c r="V718" s="32">
        <f t="shared" si="202"/>
        <v>15</v>
      </c>
      <c r="X718" s="29">
        <f t="shared" si="203"/>
        <v>709</v>
      </c>
      <c r="Z718" s="30">
        <f t="shared" si="194"/>
        <v>19.421996986714149</v>
      </c>
      <c r="AA718" s="28" t="e">
        <f t="shared" si="195"/>
        <v>#N/A</v>
      </c>
      <c r="AB718" s="28" t="e">
        <f t="shared" si="196"/>
        <v>#VALUE!</v>
      </c>
      <c r="AC718" s="29">
        <f t="shared" si="197"/>
        <v>672.67552182163195</v>
      </c>
      <c r="AD718" s="28" t="e">
        <f t="shared" si="198"/>
        <v>#VALUE!</v>
      </c>
      <c r="AE718" s="28" t="e">
        <f t="shared" si="199"/>
        <v>#N/A</v>
      </c>
      <c r="AF718" s="28" t="e">
        <f t="shared" si="200"/>
        <v>#VALUE!</v>
      </c>
      <c r="AH718" s="31" t="e">
        <f t="shared" si="201"/>
        <v>#N/A</v>
      </c>
      <c r="AI718" s="25"/>
      <c r="AJ718" s="31"/>
    </row>
    <row r="719" spans="2:36" x14ac:dyDescent="0.25">
      <c r="B719" s="33">
        <f>'Arbitrage Payback Engine'!E719</f>
        <v>19.449390494452814</v>
      </c>
      <c r="C719" s="33">
        <f t="shared" si="187"/>
        <v>1000</v>
      </c>
      <c r="D719" s="33">
        <f>'Battery Pricing Model'!$C$17</f>
        <v>1000</v>
      </c>
      <c r="E719" s="33">
        <f t="shared" si="188"/>
        <v>999</v>
      </c>
      <c r="F719" s="33" t="str">
        <f>'Peak Models'!$B$4</f>
        <v>Default</v>
      </c>
      <c r="G719" s="33" t="e">
        <f>'Peak Models'!$Q$7</f>
        <v>#VALUE!</v>
      </c>
      <c r="H719" s="33">
        <f>'Peak Models'!$P$16</f>
        <v>1.5</v>
      </c>
      <c r="I719" s="33">
        <v>12</v>
      </c>
      <c r="J719" s="33" t="e">
        <f>'Peak Models'!$P$13</f>
        <v>#N/A</v>
      </c>
      <c r="K719" s="28" t="e">
        <f t="shared" si="189"/>
        <v>#VALUE!</v>
      </c>
      <c r="L719" s="28" t="e">
        <f>INDEX('Peak Models'!$P$34:$P$64, MATCH(TRUNC(B719, 0), 'Peak Models'!$O$34:$O$64, 0))</f>
        <v>#N/A</v>
      </c>
      <c r="M719" s="28">
        <f>'Peak Models'!$P$15*INDEX('Peak Models'!$Q$34:$Q$64, MATCH(TRUNC(B719, 0),'Peak Models'!$O$34:$O$64, 0))/'Profit per cycles Model'!$E$78</f>
        <v>7.523059697172549</v>
      </c>
      <c r="N719" s="28" t="e">
        <f t="shared" si="190"/>
        <v>#N/A</v>
      </c>
      <c r="O719" s="71" t="e">
        <f>AVERAGE($N$10:N719)</f>
        <v>#N/A</v>
      </c>
      <c r="P719" s="28" t="e">
        <f t="shared" si="191"/>
        <v>#N/A</v>
      </c>
      <c r="R719" s="28" t="e">
        <f t="shared" si="192"/>
        <v>#VALUE!</v>
      </c>
      <c r="S719" s="25"/>
      <c r="T719" s="25">
        <f t="shared" si="193"/>
        <v>15</v>
      </c>
      <c r="U719" s="33">
        <f>IF(PaybackCustom&gt;0, IF(PaybackCustom&lt;&gt;"Default", PaybackCustom, IF(PaybackStatus&lt;&gt;"",INDEX('Arbitrage Payback Engine'!$Y$2:$Y$6,MATCH(PaybackStatus,'Arbitrage Payback Engine'!$X$2:$X$6,FALSE)),-1)))</f>
        <v>25</v>
      </c>
      <c r="V719" s="32">
        <f t="shared" si="202"/>
        <v>15</v>
      </c>
      <c r="X719" s="29">
        <f t="shared" si="203"/>
        <v>710</v>
      </c>
      <c r="Z719" s="30">
        <f t="shared" si="194"/>
        <v>19.449390494452814</v>
      </c>
      <c r="AA719" s="28" t="e">
        <f t="shared" si="195"/>
        <v>#N/A</v>
      </c>
      <c r="AB719" s="28" t="e">
        <f t="shared" si="196"/>
        <v>#VALUE!</v>
      </c>
      <c r="AC719" s="29">
        <f t="shared" si="197"/>
        <v>673.62428842504744</v>
      </c>
      <c r="AD719" s="28" t="e">
        <f t="shared" si="198"/>
        <v>#VALUE!</v>
      </c>
      <c r="AE719" s="28" t="e">
        <f t="shared" si="199"/>
        <v>#N/A</v>
      </c>
      <c r="AF719" s="28" t="e">
        <f t="shared" si="200"/>
        <v>#VALUE!</v>
      </c>
      <c r="AH719" s="31" t="e">
        <f t="shared" si="201"/>
        <v>#N/A</v>
      </c>
      <c r="AI719" s="25"/>
      <c r="AJ719" s="31"/>
    </row>
    <row r="720" spans="2:36" x14ac:dyDescent="0.25">
      <c r="B720" s="33">
        <f>'Arbitrage Payback Engine'!E720</f>
        <v>19.476784002191479</v>
      </c>
      <c r="C720" s="33">
        <f t="shared" si="187"/>
        <v>1000</v>
      </c>
      <c r="D720" s="33">
        <f>'Battery Pricing Model'!$C$17</f>
        <v>1000</v>
      </c>
      <c r="E720" s="33">
        <f t="shared" si="188"/>
        <v>999</v>
      </c>
      <c r="F720" s="33" t="str">
        <f>'Peak Models'!$B$4</f>
        <v>Default</v>
      </c>
      <c r="G720" s="33" t="e">
        <f>'Peak Models'!$Q$7</f>
        <v>#VALUE!</v>
      </c>
      <c r="H720" s="33">
        <f>'Peak Models'!$P$16</f>
        <v>1.5</v>
      </c>
      <c r="I720" s="33">
        <v>12</v>
      </c>
      <c r="J720" s="33" t="e">
        <f>'Peak Models'!$P$13</f>
        <v>#N/A</v>
      </c>
      <c r="K720" s="28" t="e">
        <f t="shared" si="189"/>
        <v>#VALUE!</v>
      </c>
      <c r="L720" s="28" t="e">
        <f>INDEX('Peak Models'!$P$34:$P$64, MATCH(TRUNC(B720, 0), 'Peak Models'!$O$34:$O$64, 0))</f>
        <v>#N/A</v>
      </c>
      <c r="M720" s="28">
        <f>'Peak Models'!$P$15*INDEX('Peak Models'!$Q$34:$Q$64, MATCH(TRUNC(B720, 0),'Peak Models'!$O$34:$O$64, 0))/'Profit per cycles Model'!$E$78</f>
        <v>7.523059697172549</v>
      </c>
      <c r="N720" s="28" t="e">
        <f t="shared" si="190"/>
        <v>#N/A</v>
      </c>
      <c r="O720" s="71" t="e">
        <f>AVERAGE($N$10:N720)</f>
        <v>#N/A</v>
      </c>
      <c r="P720" s="28" t="e">
        <f t="shared" si="191"/>
        <v>#N/A</v>
      </c>
      <c r="R720" s="28" t="e">
        <f t="shared" si="192"/>
        <v>#VALUE!</v>
      </c>
      <c r="S720" s="25"/>
      <c r="T720" s="25">
        <f t="shared" si="193"/>
        <v>15</v>
      </c>
      <c r="U720" s="33">
        <f>IF(PaybackCustom&gt;0, IF(PaybackCustom&lt;&gt;"Default", PaybackCustom, IF(PaybackStatus&lt;&gt;"",INDEX('Arbitrage Payback Engine'!$Y$2:$Y$6,MATCH(PaybackStatus,'Arbitrage Payback Engine'!$X$2:$X$6,FALSE)),-1)))</f>
        <v>25</v>
      </c>
      <c r="V720" s="32">
        <f t="shared" si="202"/>
        <v>15</v>
      </c>
      <c r="X720" s="29">
        <f t="shared" si="203"/>
        <v>711</v>
      </c>
      <c r="Z720" s="30">
        <f t="shared" si="194"/>
        <v>19.476784002191479</v>
      </c>
      <c r="AA720" s="28" t="e">
        <f t="shared" si="195"/>
        <v>#N/A</v>
      </c>
      <c r="AB720" s="28" t="e">
        <f t="shared" si="196"/>
        <v>#VALUE!</v>
      </c>
      <c r="AC720" s="29">
        <f t="shared" si="197"/>
        <v>674.57305502846293</v>
      </c>
      <c r="AD720" s="28" t="e">
        <f t="shared" si="198"/>
        <v>#VALUE!</v>
      </c>
      <c r="AE720" s="28" t="e">
        <f t="shared" si="199"/>
        <v>#N/A</v>
      </c>
      <c r="AF720" s="28" t="e">
        <f t="shared" si="200"/>
        <v>#VALUE!</v>
      </c>
      <c r="AH720" s="31" t="e">
        <f t="shared" si="201"/>
        <v>#N/A</v>
      </c>
      <c r="AI720" s="25"/>
      <c r="AJ720" s="31"/>
    </row>
    <row r="721" spans="2:36" x14ac:dyDescent="0.25">
      <c r="B721" s="33">
        <f>'Arbitrage Payback Engine'!E721</f>
        <v>19.504177509930145</v>
      </c>
      <c r="C721" s="33">
        <f t="shared" si="187"/>
        <v>1000</v>
      </c>
      <c r="D721" s="33">
        <f>'Battery Pricing Model'!$C$17</f>
        <v>1000</v>
      </c>
      <c r="E721" s="33">
        <f t="shared" si="188"/>
        <v>999</v>
      </c>
      <c r="F721" s="33" t="str">
        <f>'Peak Models'!$B$4</f>
        <v>Default</v>
      </c>
      <c r="G721" s="33" t="e">
        <f>'Peak Models'!$Q$7</f>
        <v>#VALUE!</v>
      </c>
      <c r="H721" s="33">
        <f>'Peak Models'!$P$16</f>
        <v>1.5</v>
      </c>
      <c r="I721" s="33">
        <v>12</v>
      </c>
      <c r="J721" s="33" t="e">
        <f>'Peak Models'!$P$13</f>
        <v>#N/A</v>
      </c>
      <c r="K721" s="28" t="e">
        <f t="shared" si="189"/>
        <v>#VALUE!</v>
      </c>
      <c r="L721" s="28" t="e">
        <f>INDEX('Peak Models'!$P$34:$P$64, MATCH(TRUNC(B721, 0), 'Peak Models'!$O$34:$O$64, 0))</f>
        <v>#N/A</v>
      </c>
      <c r="M721" s="28">
        <f>'Peak Models'!$P$15*INDEX('Peak Models'!$Q$34:$Q$64, MATCH(TRUNC(B721, 0),'Peak Models'!$O$34:$O$64, 0))/'Profit per cycles Model'!$E$78</f>
        <v>7.523059697172549</v>
      </c>
      <c r="N721" s="28" t="e">
        <f t="shared" si="190"/>
        <v>#N/A</v>
      </c>
      <c r="O721" s="71" t="e">
        <f>AVERAGE($N$10:N721)</f>
        <v>#N/A</v>
      </c>
      <c r="P721" s="28" t="e">
        <f t="shared" si="191"/>
        <v>#N/A</v>
      </c>
      <c r="R721" s="28" t="e">
        <f t="shared" si="192"/>
        <v>#VALUE!</v>
      </c>
      <c r="S721" s="25"/>
      <c r="T721" s="25">
        <f t="shared" si="193"/>
        <v>15</v>
      </c>
      <c r="U721" s="33">
        <f>IF(PaybackCustom&gt;0, IF(PaybackCustom&lt;&gt;"Default", PaybackCustom, IF(PaybackStatus&lt;&gt;"",INDEX('Arbitrage Payback Engine'!$Y$2:$Y$6,MATCH(PaybackStatus,'Arbitrage Payback Engine'!$X$2:$X$6,FALSE)),-1)))</f>
        <v>25</v>
      </c>
      <c r="V721" s="32">
        <f t="shared" si="202"/>
        <v>15</v>
      </c>
      <c r="X721" s="29">
        <f t="shared" si="203"/>
        <v>712</v>
      </c>
      <c r="Z721" s="30">
        <f t="shared" si="194"/>
        <v>19.504177509930145</v>
      </c>
      <c r="AA721" s="28" t="e">
        <f t="shared" si="195"/>
        <v>#N/A</v>
      </c>
      <c r="AB721" s="28" t="e">
        <f t="shared" si="196"/>
        <v>#VALUE!</v>
      </c>
      <c r="AC721" s="29">
        <f t="shared" si="197"/>
        <v>675.52182163187854</v>
      </c>
      <c r="AD721" s="28" t="e">
        <f t="shared" si="198"/>
        <v>#VALUE!</v>
      </c>
      <c r="AE721" s="28" t="e">
        <f t="shared" si="199"/>
        <v>#N/A</v>
      </c>
      <c r="AF721" s="28" t="e">
        <f t="shared" si="200"/>
        <v>#VALUE!</v>
      </c>
      <c r="AH721" s="31" t="e">
        <f t="shared" si="201"/>
        <v>#N/A</v>
      </c>
      <c r="AI721" s="25"/>
      <c r="AJ721" s="31"/>
    </row>
    <row r="722" spans="2:36" x14ac:dyDescent="0.25">
      <c r="B722" s="33">
        <f>'Arbitrage Payback Engine'!E722</f>
        <v>19.531571017668814</v>
      </c>
      <c r="C722" s="33">
        <f t="shared" si="187"/>
        <v>1000</v>
      </c>
      <c r="D722" s="33">
        <f>'Battery Pricing Model'!$C$17</f>
        <v>1000</v>
      </c>
      <c r="E722" s="33">
        <f t="shared" si="188"/>
        <v>999</v>
      </c>
      <c r="F722" s="33" t="str">
        <f>'Peak Models'!$B$4</f>
        <v>Default</v>
      </c>
      <c r="G722" s="33" t="e">
        <f>'Peak Models'!$Q$7</f>
        <v>#VALUE!</v>
      </c>
      <c r="H722" s="33">
        <f>'Peak Models'!$P$16</f>
        <v>1.5</v>
      </c>
      <c r="I722" s="33">
        <v>12</v>
      </c>
      <c r="J722" s="33" t="e">
        <f>'Peak Models'!$P$13</f>
        <v>#N/A</v>
      </c>
      <c r="K722" s="28" t="e">
        <f t="shared" si="189"/>
        <v>#VALUE!</v>
      </c>
      <c r="L722" s="28" t="e">
        <f>INDEX('Peak Models'!$P$34:$P$64, MATCH(TRUNC(B722, 0), 'Peak Models'!$O$34:$O$64, 0))</f>
        <v>#N/A</v>
      </c>
      <c r="M722" s="28">
        <f>'Peak Models'!$P$15*INDEX('Peak Models'!$Q$34:$Q$64, MATCH(TRUNC(B722, 0),'Peak Models'!$O$34:$O$64, 0))/'Profit per cycles Model'!$E$78</f>
        <v>7.523059697172549</v>
      </c>
      <c r="N722" s="28" t="e">
        <f t="shared" si="190"/>
        <v>#N/A</v>
      </c>
      <c r="O722" s="71" t="e">
        <f>AVERAGE($N$10:N722)</f>
        <v>#N/A</v>
      </c>
      <c r="P722" s="28" t="e">
        <f t="shared" si="191"/>
        <v>#N/A</v>
      </c>
      <c r="R722" s="28" t="e">
        <f t="shared" si="192"/>
        <v>#VALUE!</v>
      </c>
      <c r="S722" s="25"/>
      <c r="T722" s="25">
        <f t="shared" si="193"/>
        <v>15</v>
      </c>
      <c r="U722" s="33">
        <f>IF(PaybackCustom&gt;0, IF(PaybackCustom&lt;&gt;"Default", PaybackCustom, IF(PaybackStatus&lt;&gt;"",INDEX('Arbitrage Payback Engine'!$Y$2:$Y$6,MATCH(PaybackStatus,'Arbitrage Payback Engine'!$X$2:$X$6,FALSE)),-1)))</f>
        <v>25</v>
      </c>
      <c r="V722" s="32">
        <f t="shared" si="202"/>
        <v>15</v>
      </c>
      <c r="X722" s="29">
        <f t="shared" si="203"/>
        <v>713</v>
      </c>
      <c r="Z722" s="30">
        <f t="shared" si="194"/>
        <v>19.531571017668814</v>
      </c>
      <c r="AA722" s="28" t="e">
        <f t="shared" si="195"/>
        <v>#N/A</v>
      </c>
      <c r="AB722" s="28" t="e">
        <f t="shared" si="196"/>
        <v>#VALUE!</v>
      </c>
      <c r="AC722" s="29">
        <f t="shared" si="197"/>
        <v>676.47058823529426</v>
      </c>
      <c r="AD722" s="28" t="e">
        <f t="shared" si="198"/>
        <v>#VALUE!</v>
      </c>
      <c r="AE722" s="28" t="e">
        <f t="shared" si="199"/>
        <v>#N/A</v>
      </c>
      <c r="AF722" s="28" t="e">
        <f t="shared" si="200"/>
        <v>#VALUE!</v>
      </c>
      <c r="AH722" s="31" t="e">
        <f t="shared" si="201"/>
        <v>#N/A</v>
      </c>
      <c r="AI722" s="25"/>
      <c r="AJ722" s="31"/>
    </row>
    <row r="723" spans="2:36" x14ac:dyDescent="0.25">
      <c r="B723" s="33">
        <f>'Arbitrage Payback Engine'!E723</f>
        <v>19.558964525407479</v>
      </c>
      <c r="C723" s="33">
        <f t="shared" si="187"/>
        <v>1000</v>
      </c>
      <c r="D723" s="33">
        <f>'Battery Pricing Model'!$C$17</f>
        <v>1000</v>
      </c>
      <c r="E723" s="33">
        <f t="shared" si="188"/>
        <v>999</v>
      </c>
      <c r="F723" s="33" t="str">
        <f>'Peak Models'!$B$4</f>
        <v>Default</v>
      </c>
      <c r="G723" s="33" t="e">
        <f>'Peak Models'!$Q$7</f>
        <v>#VALUE!</v>
      </c>
      <c r="H723" s="33">
        <f>'Peak Models'!$P$16</f>
        <v>1.5</v>
      </c>
      <c r="I723" s="33">
        <v>12</v>
      </c>
      <c r="J723" s="33" t="e">
        <f>'Peak Models'!$P$13</f>
        <v>#N/A</v>
      </c>
      <c r="K723" s="28" t="e">
        <f t="shared" si="189"/>
        <v>#VALUE!</v>
      </c>
      <c r="L723" s="28" t="e">
        <f>INDEX('Peak Models'!$P$34:$P$64, MATCH(TRUNC(B723, 0), 'Peak Models'!$O$34:$O$64, 0))</f>
        <v>#N/A</v>
      </c>
      <c r="M723" s="28">
        <f>'Peak Models'!$P$15*INDEX('Peak Models'!$Q$34:$Q$64, MATCH(TRUNC(B723, 0),'Peak Models'!$O$34:$O$64, 0))/'Profit per cycles Model'!$E$78</f>
        <v>7.523059697172549</v>
      </c>
      <c r="N723" s="28" t="e">
        <f t="shared" si="190"/>
        <v>#N/A</v>
      </c>
      <c r="O723" s="71" t="e">
        <f>AVERAGE($N$10:N723)</f>
        <v>#N/A</v>
      </c>
      <c r="P723" s="28" t="e">
        <f t="shared" si="191"/>
        <v>#N/A</v>
      </c>
      <c r="R723" s="28" t="e">
        <f t="shared" si="192"/>
        <v>#VALUE!</v>
      </c>
      <c r="S723" s="25"/>
      <c r="T723" s="25">
        <f t="shared" si="193"/>
        <v>15</v>
      </c>
      <c r="U723" s="33">
        <f>IF(PaybackCustom&gt;0, IF(PaybackCustom&lt;&gt;"Default", PaybackCustom, IF(PaybackStatus&lt;&gt;"",INDEX('Arbitrage Payback Engine'!$Y$2:$Y$6,MATCH(PaybackStatus,'Arbitrage Payback Engine'!$X$2:$X$6,FALSE)),-1)))</f>
        <v>25</v>
      </c>
      <c r="V723" s="32">
        <f t="shared" si="202"/>
        <v>15</v>
      </c>
      <c r="X723" s="29">
        <f t="shared" si="203"/>
        <v>714</v>
      </c>
      <c r="Z723" s="30">
        <f t="shared" si="194"/>
        <v>19.558964525407479</v>
      </c>
      <c r="AA723" s="28" t="e">
        <f t="shared" si="195"/>
        <v>#N/A</v>
      </c>
      <c r="AB723" s="28" t="e">
        <f t="shared" si="196"/>
        <v>#VALUE!</v>
      </c>
      <c r="AC723" s="29">
        <f t="shared" si="197"/>
        <v>677.41935483870975</v>
      </c>
      <c r="AD723" s="28" t="e">
        <f t="shared" si="198"/>
        <v>#VALUE!</v>
      </c>
      <c r="AE723" s="28" t="e">
        <f t="shared" si="199"/>
        <v>#N/A</v>
      </c>
      <c r="AF723" s="28" t="e">
        <f t="shared" si="200"/>
        <v>#VALUE!</v>
      </c>
      <c r="AH723" s="31" t="e">
        <f t="shared" si="201"/>
        <v>#N/A</v>
      </c>
      <c r="AI723" s="25"/>
      <c r="AJ723" s="31"/>
    </row>
    <row r="724" spans="2:36" x14ac:dyDescent="0.25">
      <c r="B724" s="33">
        <f>'Arbitrage Payback Engine'!E724</f>
        <v>19.586358033146144</v>
      </c>
      <c r="C724" s="33">
        <f t="shared" si="187"/>
        <v>1000</v>
      </c>
      <c r="D724" s="33">
        <f>'Battery Pricing Model'!$C$17</f>
        <v>1000</v>
      </c>
      <c r="E724" s="33">
        <f t="shared" si="188"/>
        <v>999</v>
      </c>
      <c r="F724" s="33" t="str">
        <f>'Peak Models'!$B$4</f>
        <v>Default</v>
      </c>
      <c r="G724" s="33" t="e">
        <f>'Peak Models'!$Q$7</f>
        <v>#VALUE!</v>
      </c>
      <c r="H724" s="33">
        <f>'Peak Models'!$P$16</f>
        <v>1.5</v>
      </c>
      <c r="I724" s="33">
        <v>12</v>
      </c>
      <c r="J724" s="33" t="e">
        <f>'Peak Models'!$P$13</f>
        <v>#N/A</v>
      </c>
      <c r="K724" s="28" t="e">
        <f t="shared" si="189"/>
        <v>#VALUE!</v>
      </c>
      <c r="L724" s="28" t="e">
        <f>INDEX('Peak Models'!$P$34:$P$64, MATCH(TRUNC(B724, 0), 'Peak Models'!$O$34:$O$64, 0))</f>
        <v>#N/A</v>
      </c>
      <c r="M724" s="28">
        <f>'Peak Models'!$P$15*INDEX('Peak Models'!$Q$34:$Q$64, MATCH(TRUNC(B724, 0),'Peak Models'!$O$34:$O$64, 0))/'Profit per cycles Model'!$E$78</f>
        <v>7.523059697172549</v>
      </c>
      <c r="N724" s="28" t="e">
        <f t="shared" si="190"/>
        <v>#N/A</v>
      </c>
      <c r="O724" s="71" t="e">
        <f>AVERAGE($N$10:N724)</f>
        <v>#N/A</v>
      </c>
      <c r="P724" s="28" t="e">
        <f t="shared" si="191"/>
        <v>#N/A</v>
      </c>
      <c r="R724" s="28" t="e">
        <f t="shared" si="192"/>
        <v>#VALUE!</v>
      </c>
      <c r="S724" s="25"/>
      <c r="T724" s="25">
        <f t="shared" si="193"/>
        <v>15</v>
      </c>
      <c r="U724" s="33">
        <f>IF(PaybackCustom&gt;0, IF(PaybackCustom&lt;&gt;"Default", PaybackCustom, IF(PaybackStatus&lt;&gt;"",INDEX('Arbitrage Payback Engine'!$Y$2:$Y$6,MATCH(PaybackStatus,'Arbitrage Payback Engine'!$X$2:$X$6,FALSE)),-1)))</f>
        <v>25</v>
      </c>
      <c r="V724" s="32">
        <f t="shared" si="202"/>
        <v>15</v>
      </c>
      <c r="X724" s="29">
        <f t="shared" si="203"/>
        <v>715</v>
      </c>
      <c r="Z724" s="30">
        <f t="shared" si="194"/>
        <v>19.586358033146144</v>
      </c>
      <c r="AA724" s="28" t="e">
        <f t="shared" si="195"/>
        <v>#N/A</v>
      </c>
      <c r="AB724" s="28" t="e">
        <f t="shared" si="196"/>
        <v>#VALUE!</v>
      </c>
      <c r="AC724" s="29">
        <f t="shared" si="197"/>
        <v>678.36812144212536</v>
      </c>
      <c r="AD724" s="28" t="e">
        <f t="shared" si="198"/>
        <v>#VALUE!</v>
      </c>
      <c r="AE724" s="28" t="e">
        <f t="shared" si="199"/>
        <v>#N/A</v>
      </c>
      <c r="AF724" s="28" t="e">
        <f t="shared" si="200"/>
        <v>#VALUE!</v>
      </c>
      <c r="AH724" s="31" t="e">
        <f t="shared" si="201"/>
        <v>#N/A</v>
      </c>
      <c r="AI724" s="25"/>
      <c r="AJ724" s="31"/>
    </row>
    <row r="725" spans="2:36" x14ac:dyDescent="0.25">
      <c r="B725" s="33">
        <f>'Arbitrage Payback Engine'!E725</f>
        <v>19.61375154088481</v>
      </c>
      <c r="C725" s="33">
        <f t="shared" si="187"/>
        <v>1000</v>
      </c>
      <c r="D725" s="33">
        <f>'Battery Pricing Model'!$C$17</f>
        <v>1000</v>
      </c>
      <c r="E725" s="33">
        <f t="shared" si="188"/>
        <v>999</v>
      </c>
      <c r="F725" s="33" t="str">
        <f>'Peak Models'!$B$4</f>
        <v>Default</v>
      </c>
      <c r="G725" s="33" t="e">
        <f>'Peak Models'!$Q$7</f>
        <v>#VALUE!</v>
      </c>
      <c r="H725" s="33">
        <f>'Peak Models'!$P$16</f>
        <v>1.5</v>
      </c>
      <c r="I725" s="33">
        <v>12</v>
      </c>
      <c r="J725" s="33" t="e">
        <f>'Peak Models'!$P$13</f>
        <v>#N/A</v>
      </c>
      <c r="K725" s="28" t="e">
        <f t="shared" si="189"/>
        <v>#VALUE!</v>
      </c>
      <c r="L725" s="28" t="e">
        <f>INDEX('Peak Models'!$P$34:$P$64, MATCH(TRUNC(B725, 0), 'Peak Models'!$O$34:$O$64, 0))</f>
        <v>#N/A</v>
      </c>
      <c r="M725" s="28">
        <f>'Peak Models'!$P$15*INDEX('Peak Models'!$Q$34:$Q$64, MATCH(TRUNC(B725, 0),'Peak Models'!$O$34:$O$64, 0))/'Profit per cycles Model'!$E$78</f>
        <v>7.523059697172549</v>
      </c>
      <c r="N725" s="28" t="e">
        <f t="shared" si="190"/>
        <v>#N/A</v>
      </c>
      <c r="O725" s="71" t="e">
        <f>AVERAGE($N$10:N725)</f>
        <v>#N/A</v>
      </c>
      <c r="P725" s="28" t="e">
        <f t="shared" si="191"/>
        <v>#N/A</v>
      </c>
      <c r="R725" s="28" t="e">
        <f t="shared" si="192"/>
        <v>#VALUE!</v>
      </c>
      <c r="S725" s="25"/>
      <c r="T725" s="25">
        <f t="shared" si="193"/>
        <v>15</v>
      </c>
      <c r="U725" s="33">
        <f>IF(PaybackCustom&gt;0, IF(PaybackCustom&lt;&gt;"Default", PaybackCustom, IF(PaybackStatus&lt;&gt;"",INDEX('Arbitrage Payback Engine'!$Y$2:$Y$6,MATCH(PaybackStatus,'Arbitrage Payback Engine'!$X$2:$X$6,FALSE)),-1)))</f>
        <v>25</v>
      </c>
      <c r="V725" s="32">
        <f t="shared" si="202"/>
        <v>15</v>
      </c>
      <c r="X725" s="29">
        <f t="shared" si="203"/>
        <v>716</v>
      </c>
      <c r="Z725" s="30">
        <f t="shared" si="194"/>
        <v>19.61375154088481</v>
      </c>
      <c r="AA725" s="28" t="e">
        <f t="shared" si="195"/>
        <v>#N/A</v>
      </c>
      <c r="AB725" s="28" t="e">
        <f t="shared" si="196"/>
        <v>#VALUE!</v>
      </c>
      <c r="AC725" s="29">
        <f t="shared" si="197"/>
        <v>679.31688804554074</v>
      </c>
      <c r="AD725" s="28" t="e">
        <f t="shared" si="198"/>
        <v>#VALUE!</v>
      </c>
      <c r="AE725" s="28" t="e">
        <f t="shared" si="199"/>
        <v>#N/A</v>
      </c>
      <c r="AF725" s="28" t="e">
        <f t="shared" si="200"/>
        <v>#VALUE!</v>
      </c>
      <c r="AH725" s="31" t="e">
        <f t="shared" si="201"/>
        <v>#N/A</v>
      </c>
      <c r="AI725" s="25"/>
      <c r="AJ725" s="31"/>
    </row>
    <row r="726" spans="2:36" x14ac:dyDescent="0.25">
      <c r="B726" s="33">
        <f>'Arbitrage Payback Engine'!E726</f>
        <v>19.641145048623475</v>
      </c>
      <c r="C726" s="33">
        <f t="shared" si="187"/>
        <v>1000</v>
      </c>
      <c r="D726" s="33">
        <f>'Battery Pricing Model'!$C$17</f>
        <v>1000</v>
      </c>
      <c r="E726" s="33">
        <f t="shared" si="188"/>
        <v>999</v>
      </c>
      <c r="F726" s="33" t="str">
        <f>'Peak Models'!$B$4</f>
        <v>Default</v>
      </c>
      <c r="G726" s="33" t="e">
        <f>'Peak Models'!$Q$7</f>
        <v>#VALUE!</v>
      </c>
      <c r="H726" s="33">
        <f>'Peak Models'!$P$16</f>
        <v>1.5</v>
      </c>
      <c r="I726" s="33">
        <v>12</v>
      </c>
      <c r="J726" s="33" t="e">
        <f>'Peak Models'!$P$13</f>
        <v>#N/A</v>
      </c>
      <c r="K726" s="28" t="e">
        <f t="shared" si="189"/>
        <v>#VALUE!</v>
      </c>
      <c r="L726" s="28" t="e">
        <f>INDEX('Peak Models'!$P$34:$P$64, MATCH(TRUNC(B726, 0), 'Peak Models'!$O$34:$O$64, 0))</f>
        <v>#N/A</v>
      </c>
      <c r="M726" s="28">
        <f>'Peak Models'!$P$15*INDEX('Peak Models'!$Q$34:$Q$64, MATCH(TRUNC(B726, 0),'Peak Models'!$O$34:$O$64, 0))/'Profit per cycles Model'!$E$78</f>
        <v>7.523059697172549</v>
      </c>
      <c r="N726" s="28" t="e">
        <f t="shared" si="190"/>
        <v>#N/A</v>
      </c>
      <c r="O726" s="71" t="e">
        <f>AVERAGE($N$10:N726)</f>
        <v>#N/A</v>
      </c>
      <c r="P726" s="28" t="e">
        <f t="shared" si="191"/>
        <v>#N/A</v>
      </c>
      <c r="R726" s="28" t="e">
        <f t="shared" si="192"/>
        <v>#VALUE!</v>
      </c>
      <c r="S726" s="25"/>
      <c r="T726" s="25">
        <f t="shared" si="193"/>
        <v>15</v>
      </c>
      <c r="U726" s="33">
        <f>IF(PaybackCustom&gt;0, IF(PaybackCustom&lt;&gt;"Default", PaybackCustom, IF(PaybackStatus&lt;&gt;"",INDEX('Arbitrage Payback Engine'!$Y$2:$Y$6,MATCH(PaybackStatus,'Arbitrage Payback Engine'!$X$2:$X$6,FALSE)),-1)))</f>
        <v>25</v>
      </c>
      <c r="V726" s="32">
        <f t="shared" si="202"/>
        <v>15</v>
      </c>
      <c r="X726" s="29">
        <f t="shared" si="203"/>
        <v>717</v>
      </c>
      <c r="Z726" s="30">
        <f t="shared" si="194"/>
        <v>19.641145048623475</v>
      </c>
      <c r="AA726" s="28" t="e">
        <f t="shared" si="195"/>
        <v>#N/A</v>
      </c>
      <c r="AB726" s="28" t="e">
        <f t="shared" si="196"/>
        <v>#VALUE!</v>
      </c>
      <c r="AC726" s="29">
        <f t="shared" si="197"/>
        <v>680.26565464895634</v>
      </c>
      <c r="AD726" s="28" t="e">
        <f t="shared" si="198"/>
        <v>#VALUE!</v>
      </c>
      <c r="AE726" s="28" t="e">
        <f t="shared" si="199"/>
        <v>#N/A</v>
      </c>
      <c r="AF726" s="28" t="e">
        <f t="shared" si="200"/>
        <v>#VALUE!</v>
      </c>
      <c r="AH726" s="31" t="e">
        <f t="shared" si="201"/>
        <v>#N/A</v>
      </c>
      <c r="AI726" s="25"/>
      <c r="AJ726" s="31"/>
    </row>
    <row r="727" spans="2:36" x14ac:dyDescent="0.25">
      <c r="B727" s="33">
        <f>'Arbitrage Payback Engine'!E727</f>
        <v>19.66853855636214</v>
      </c>
      <c r="C727" s="33">
        <f t="shared" si="187"/>
        <v>1000</v>
      </c>
      <c r="D727" s="33">
        <f>'Battery Pricing Model'!$C$17</f>
        <v>1000</v>
      </c>
      <c r="E727" s="33">
        <f t="shared" si="188"/>
        <v>999</v>
      </c>
      <c r="F727" s="33" t="str">
        <f>'Peak Models'!$B$4</f>
        <v>Default</v>
      </c>
      <c r="G727" s="33" t="e">
        <f>'Peak Models'!$Q$7</f>
        <v>#VALUE!</v>
      </c>
      <c r="H727" s="33">
        <f>'Peak Models'!$P$16</f>
        <v>1.5</v>
      </c>
      <c r="I727" s="33">
        <v>12</v>
      </c>
      <c r="J727" s="33" t="e">
        <f>'Peak Models'!$P$13</f>
        <v>#N/A</v>
      </c>
      <c r="K727" s="28" t="e">
        <f t="shared" si="189"/>
        <v>#VALUE!</v>
      </c>
      <c r="L727" s="28" t="e">
        <f>INDEX('Peak Models'!$P$34:$P$64, MATCH(TRUNC(B727, 0), 'Peak Models'!$O$34:$O$64, 0))</f>
        <v>#N/A</v>
      </c>
      <c r="M727" s="28">
        <f>'Peak Models'!$P$15*INDEX('Peak Models'!$Q$34:$Q$64, MATCH(TRUNC(B727, 0),'Peak Models'!$O$34:$O$64, 0))/'Profit per cycles Model'!$E$78</f>
        <v>7.523059697172549</v>
      </c>
      <c r="N727" s="28" t="e">
        <f t="shared" si="190"/>
        <v>#N/A</v>
      </c>
      <c r="O727" s="71" t="e">
        <f>AVERAGE($N$10:N727)</f>
        <v>#N/A</v>
      </c>
      <c r="P727" s="28" t="e">
        <f t="shared" si="191"/>
        <v>#N/A</v>
      </c>
      <c r="R727" s="28" t="e">
        <f t="shared" si="192"/>
        <v>#VALUE!</v>
      </c>
      <c r="S727" s="25"/>
      <c r="T727" s="25">
        <f t="shared" si="193"/>
        <v>15</v>
      </c>
      <c r="U727" s="33">
        <f>IF(PaybackCustom&gt;0, IF(PaybackCustom&lt;&gt;"Default", PaybackCustom, IF(PaybackStatus&lt;&gt;"",INDEX('Arbitrage Payback Engine'!$Y$2:$Y$6,MATCH(PaybackStatus,'Arbitrage Payback Engine'!$X$2:$X$6,FALSE)),-1)))</f>
        <v>25</v>
      </c>
      <c r="V727" s="32">
        <f t="shared" si="202"/>
        <v>15</v>
      </c>
      <c r="X727" s="29">
        <f t="shared" si="203"/>
        <v>718</v>
      </c>
      <c r="Z727" s="30">
        <f t="shared" si="194"/>
        <v>19.66853855636214</v>
      </c>
      <c r="AA727" s="28" t="e">
        <f t="shared" si="195"/>
        <v>#N/A</v>
      </c>
      <c r="AB727" s="28" t="e">
        <f t="shared" si="196"/>
        <v>#VALUE!</v>
      </c>
      <c r="AC727" s="29">
        <f t="shared" si="197"/>
        <v>681.21442125237184</v>
      </c>
      <c r="AD727" s="28" t="e">
        <f t="shared" si="198"/>
        <v>#VALUE!</v>
      </c>
      <c r="AE727" s="28" t="e">
        <f t="shared" si="199"/>
        <v>#N/A</v>
      </c>
      <c r="AF727" s="28" t="e">
        <f t="shared" si="200"/>
        <v>#VALUE!</v>
      </c>
      <c r="AH727" s="31" t="e">
        <f t="shared" si="201"/>
        <v>#N/A</v>
      </c>
      <c r="AI727" s="25"/>
      <c r="AJ727" s="31"/>
    </row>
    <row r="728" spans="2:36" x14ac:dyDescent="0.25">
      <c r="B728" s="33">
        <f>'Arbitrage Payback Engine'!E728</f>
        <v>19.695932064100809</v>
      </c>
      <c r="C728" s="33">
        <f t="shared" si="187"/>
        <v>1000</v>
      </c>
      <c r="D728" s="33">
        <f>'Battery Pricing Model'!$C$17</f>
        <v>1000</v>
      </c>
      <c r="E728" s="33">
        <f t="shared" si="188"/>
        <v>999</v>
      </c>
      <c r="F728" s="33" t="str">
        <f>'Peak Models'!$B$4</f>
        <v>Default</v>
      </c>
      <c r="G728" s="33" t="e">
        <f>'Peak Models'!$Q$7</f>
        <v>#VALUE!</v>
      </c>
      <c r="H728" s="33">
        <f>'Peak Models'!$P$16</f>
        <v>1.5</v>
      </c>
      <c r="I728" s="33">
        <v>12</v>
      </c>
      <c r="J728" s="33" t="e">
        <f>'Peak Models'!$P$13</f>
        <v>#N/A</v>
      </c>
      <c r="K728" s="28" t="e">
        <f t="shared" si="189"/>
        <v>#VALUE!</v>
      </c>
      <c r="L728" s="28" t="e">
        <f>INDEX('Peak Models'!$P$34:$P$64, MATCH(TRUNC(B728, 0), 'Peak Models'!$O$34:$O$64, 0))</f>
        <v>#N/A</v>
      </c>
      <c r="M728" s="28">
        <f>'Peak Models'!$P$15*INDEX('Peak Models'!$Q$34:$Q$64, MATCH(TRUNC(B728, 0),'Peak Models'!$O$34:$O$64, 0))/'Profit per cycles Model'!$E$78</f>
        <v>7.523059697172549</v>
      </c>
      <c r="N728" s="28" t="e">
        <f t="shared" si="190"/>
        <v>#N/A</v>
      </c>
      <c r="O728" s="71" t="e">
        <f>AVERAGE($N$10:N728)</f>
        <v>#N/A</v>
      </c>
      <c r="P728" s="28" t="e">
        <f t="shared" si="191"/>
        <v>#N/A</v>
      </c>
      <c r="R728" s="28" t="e">
        <f t="shared" si="192"/>
        <v>#VALUE!</v>
      </c>
      <c r="S728" s="25"/>
      <c r="T728" s="25">
        <f t="shared" si="193"/>
        <v>15</v>
      </c>
      <c r="U728" s="33">
        <f>IF(PaybackCustom&gt;0, IF(PaybackCustom&lt;&gt;"Default", PaybackCustom, IF(PaybackStatus&lt;&gt;"",INDEX('Arbitrage Payback Engine'!$Y$2:$Y$6,MATCH(PaybackStatus,'Arbitrage Payback Engine'!$X$2:$X$6,FALSE)),-1)))</f>
        <v>25</v>
      </c>
      <c r="V728" s="32">
        <f t="shared" si="202"/>
        <v>15</v>
      </c>
      <c r="X728" s="29">
        <f t="shared" si="203"/>
        <v>719</v>
      </c>
      <c r="Z728" s="30">
        <f t="shared" si="194"/>
        <v>19.695932064100809</v>
      </c>
      <c r="AA728" s="28" t="e">
        <f t="shared" si="195"/>
        <v>#N/A</v>
      </c>
      <c r="AB728" s="28" t="e">
        <f t="shared" si="196"/>
        <v>#VALUE!</v>
      </c>
      <c r="AC728" s="29">
        <f t="shared" si="197"/>
        <v>682.16318785578756</v>
      </c>
      <c r="AD728" s="28" t="e">
        <f t="shared" si="198"/>
        <v>#VALUE!</v>
      </c>
      <c r="AE728" s="28" t="e">
        <f t="shared" si="199"/>
        <v>#N/A</v>
      </c>
      <c r="AF728" s="28" t="e">
        <f t="shared" si="200"/>
        <v>#VALUE!</v>
      </c>
      <c r="AH728" s="31" t="e">
        <f t="shared" si="201"/>
        <v>#N/A</v>
      </c>
      <c r="AI728" s="25"/>
      <c r="AJ728" s="31"/>
    </row>
    <row r="729" spans="2:36" x14ac:dyDescent="0.25">
      <c r="B729" s="33">
        <f>'Arbitrage Payback Engine'!E729</f>
        <v>19.723325571839474</v>
      </c>
      <c r="C729" s="33">
        <f t="shared" si="187"/>
        <v>1000</v>
      </c>
      <c r="D729" s="33">
        <f>'Battery Pricing Model'!$C$17</f>
        <v>1000</v>
      </c>
      <c r="E729" s="33">
        <f t="shared" si="188"/>
        <v>999</v>
      </c>
      <c r="F729" s="33" t="str">
        <f>'Peak Models'!$B$4</f>
        <v>Default</v>
      </c>
      <c r="G729" s="33" t="e">
        <f>'Peak Models'!$Q$7</f>
        <v>#VALUE!</v>
      </c>
      <c r="H729" s="33">
        <f>'Peak Models'!$P$16</f>
        <v>1.5</v>
      </c>
      <c r="I729" s="33">
        <v>12</v>
      </c>
      <c r="J729" s="33" t="e">
        <f>'Peak Models'!$P$13</f>
        <v>#N/A</v>
      </c>
      <c r="K729" s="28" t="e">
        <f t="shared" si="189"/>
        <v>#VALUE!</v>
      </c>
      <c r="L729" s="28" t="e">
        <f>INDEX('Peak Models'!$P$34:$P$64, MATCH(TRUNC(B729, 0), 'Peak Models'!$O$34:$O$64, 0))</f>
        <v>#N/A</v>
      </c>
      <c r="M729" s="28">
        <f>'Peak Models'!$P$15*INDEX('Peak Models'!$Q$34:$Q$64, MATCH(TRUNC(B729, 0),'Peak Models'!$O$34:$O$64, 0))/'Profit per cycles Model'!$E$78</f>
        <v>7.523059697172549</v>
      </c>
      <c r="N729" s="28" t="e">
        <f t="shared" si="190"/>
        <v>#N/A</v>
      </c>
      <c r="O729" s="71" t="e">
        <f>AVERAGE($N$10:N729)</f>
        <v>#N/A</v>
      </c>
      <c r="P729" s="28" t="e">
        <f t="shared" si="191"/>
        <v>#N/A</v>
      </c>
      <c r="R729" s="28" t="e">
        <f t="shared" si="192"/>
        <v>#VALUE!</v>
      </c>
      <c r="S729" s="25"/>
      <c r="T729" s="25">
        <f t="shared" si="193"/>
        <v>15</v>
      </c>
      <c r="U729" s="33">
        <f>IF(PaybackCustom&gt;0, IF(PaybackCustom&lt;&gt;"Default", PaybackCustom, IF(PaybackStatus&lt;&gt;"",INDEX('Arbitrage Payback Engine'!$Y$2:$Y$6,MATCH(PaybackStatus,'Arbitrage Payback Engine'!$X$2:$X$6,FALSE)),-1)))</f>
        <v>25</v>
      </c>
      <c r="V729" s="32">
        <f t="shared" si="202"/>
        <v>15</v>
      </c>
      <c r="X729" s="29">
        <f t="shared" si="203"/>
        <v>720</v>
      </c>
      <c r="Z729" s="30">
        <f t="shared" si="194"/>
        <v>19.723325571839474</v>
      </c>
      <c r="AA729" s="28" t="e">
        <f t="shared" si="195"/>
        <v>#N/A</v>
      </c>
      <c r="AB729" s="28" t="e">
        <f t="shared" si="196"/>
        <v>#VALUE!</v>
      </c>
      <c r="AC729" s="29">
        <f t="shared" si="197"/>
        <v>683.11195445920316</v>
      </c>
      <c r="AD729" s="28" t="e">
        <f t="shared" si="198"/>
        <v>#VALUE!</v>
      </c>
      <c r="AE729" s="28" t="e">
        <f t="shared" si="199"/>
        <v>#N/A</v>
      </c>
      <c r="AF729" s="28" t="e">
        <f t="shared" si="200"/>
        <v>#VALUE!</v>
      </c>
      <c r="AH729" s="31" t="e">
        <f t="shared" si="201"/>
        <v>#N/A</v>
      </c>
      <c r="AI729" s="25"/>
      <c r="AJ729" s="31"/>
    </row>
    <row r="730" spans="2:36" x14ac:dyDescent="0.25">
      <c r="B730" s="33">
        <f>'Arbitrage Payback Engine'!E730</f>
        <v>19.75071907957814</v>
      </c>
      <c r="C730" s="33">
        <f t="shared" si="187"/>
        <v>1000</v>
      </c>
      <c r="D730" s="33">
        <f>'Battery Pricing Model'!$C$17</f>
        <v>1000</v>
      </c>
      <c r="E730" s="33">
        <f t="shared" si="188"/>
        <v>999</v>
      </c>
      <c r="F730" s="33" t="str">
        <f>'Peak Models'!$B$4</f>
        <v>Default</v>
      </c>
      <c r="G730" s="33" t="e">
        <f>'Peak Models'!$Q$7</f>
        <v>#VALUE!</v>
      </c>
      <c r="H730" s="33">
        <f>'Peak Models'!$P$16</f>
        <v>1.5</v>
      </c>
      <c r="I730" s="33">
        <v>12</v>
      </c>
      <c r="J730" s="33" t="e">
        <f>'Peak Models'!$P$13</f>
        <v>#N/A</v>
      </c>
      <c r="K730" s="28" t="e">
        <f t="shared" si="189"/>
        <v>#VALUE!</v>
      </c>
      <c r="L730" s="28" t="e">
        <f>INDEX('Peak Models'!$P$34:$P$64, MATCH(TRUNC(B730, 0), 'Peak Models'!$O$34:$O$64, 0))</f>
        <v>#N/A</v>
      </c>
      <c r="M730" s="28">
        <f>'Peak Models'!$P$15*INDEX('Peak Models'!$Q$34:$Q$64, MATCH(TRUNC(B730, 0),'Peak Models'!$O$34:$O$64, 0))/'Profit per cycles Model'!$E$78</f>
        <v>7.523059697172549</v>
      </c>
      <c r="N730" s="28" t="e">
        <f t="shared" si="190"/>
        <v>#N/A</v>
      </c>
      <c r="O730" s="71" t="e">
        <f>AVERAGE($N$10:N730)</f>
        <v>#N/A</v>
      </c>
      <c r="P730" s="28" t="e">
        <f t="shared" si="191"/>
        <v>#N/A</v>
      </c>
      <c r="R730" s="28" t="e">
        <f t="shared" si="192"/>
        <v>#VALUE!</v>
      </c>
      <c r="S730" s="25"/>
      <c r="T730" s="25">
        <f t="shared" si="193"/>
        <v>15</v>
      </c>
      <c r="U730" s="33">
        <f>IF(PaybackCustom&gt;0, IF(PaybackCustom&lt;&gt;"Default", PaybackCustom, IF(PaybackStatus&lt;&gt;"",INDEX('Arbitrage Payback Engine'!$Y$2:$Y$6,MATCH(PaybackStatus,'Arbitrage Payback Engine'!$X$2:$X$6,FALSE)),-1)))</f>
        <v>25</v>
      </c>
      <c r="V730" s="32">
        <f t="shared" si="202"/>
        <v>15</v>
      </c>
      <c r="X730" s="29">
        <f t="shared" si="203"/>
        <v>721</v>
      </c>
      <c r="Z730" s="30">
        <f t="shared" si="194"/>
        <v>19.75071907957814</v>
      </c>
      <c r="AA730" s="28" t="e">
        <f t="shared" si="195"/>
        <v>#N/A</v>
      </c>
      <c r="AB730" s="28" t="e">
        <f t="shared" si="196"/>
        <v>#VALUE!</v>
      </c>
      <c r="AC730" s="29">
        <f t="shared" si="197"/>
        <v>684.06072106261854</v>
      </c>
      <c r="AD730" s="28" t="e">
        <f t="shared" si="198"/>
        <v>#VALUE!</v>
      </c>
      <c r="AE730" s="28" t="e">
        <f t="shared" si="199"/>
        <v>#N/A</v>
      </c>
      <c r="AF730" s="28" t="e">
        <f t="shared" si="200"/>
        <v>#VALUE!</v>
      </c>
      <c r="AH730" s="31" t="e">
        <f t="shared" si="201"/>
        <v>#N/A</v>
      </c>
      <c r="AI730" s="25"/>
      <c r="AJ730" s="31"/>
    </row>
    <row r="731" spans="2:36" x14ac:dyDescent="0.25">
      <c r="B731" s="33">
        <f>'Arbitrage Payback Engine'!E731</f>
        <v>19.778112587316805</v>
      </c>
      <c r="C731" s="33">
        <f t="shared" si="187"/>
        <v>1000</v>
      </c>
      <c r="D731" s="33">
        <f>'Battery Pricing Model'!$C$17</f>
        <v>1000</v>
      </c>
      <c r="E731" s="33">
        <f t="shared" si="188"/>
        <v>999</v>
      </c>
      <c r="F731" s="33" t="str">
        <f>'Peak Models'!$B$4</f>
        <v>Default</v>
      </c>
      <c r="G731" s="33" t="e">
        <f>'Peak Models'!$Q$7</f>
        <v>#VALUE!</v>
      </c>
      <c r="H731" s="33">
        <f>'Peak Models'!$P$16</f>
        <v>1.5</v>
      </c>
      <c r="I731" s="33">
        <v>12</v>
      </c>
      <c r="J731" s="33" t="e">
        <f>'Peak Models'!$P$13</f>
        <v>#N/A</v>
      </c>
      <c r="K731" s="28" t="e">
        <f t="shared" si="189"/>
        <v>#VALUE!</v>
      </c>
      <c r="L731" s="28" t="e">
        <f>INDEX('Peak Models'!$P$34:$P$64, MATCH(TRUNC(B731, 0), 'Peak Models'!$O$34:$O$64, 0))</f>
        <v>#N/A</v>
      </c>
      <c r="M731" s="28">
        <f>'Peak Models'!$P$15*INDEX('Peak Models'!$Q$34:$Q$64, MATCH(TRUNC(B731, 0),'Peak Models'!$O$34:$O$64, 0))/'Profit per cycles Model'!$E$78</f>
        <v>7.523059697172549</v>
      </c>
      <c r="N731" s="28" t="e">
        <f t="shared" si="190"/>
        <v>#N/A</v>
      </c>
      <c r="O731" s="71" t="e">
        <f>AVERAGE($N$10:N731)</f>
        <v>#N/A</v>
      </c>
      <c r="P731" s="28" t="e">
        <f t="shared" si="191"/>
        <v>#N/A</v>
      </c>
      <c r="R731" s="28" t="e">
        <f t="shared" si="192"/>
        <v>#VALUE!</v>
      </c>
      <c r="S731" s="25"/>
      <c r="T731" s="25">
        <f t="shared" si="193"/>
        <v>15</v>
      </c>
      <c r="U731" s="33">
        <f>IF(PaybackCustom&gt;0, IF(PaybackCustom&lt;&gt;"Default", PaybackCustom, IF(PaybackStatus&lt;&gt;"",INDEX('Arbitrage Payback Engine'!$Y$2:$Y$6,MATCH(PaybackStatus,'Arbitrage Payback Engine'!$X$2:$X$6,FALSE)),-1)))</f>
        <v>25</v>
      </c>
      <c r="V731" s="32">
        <f t="shared" si="202"/>
        <v>15</v>
      </c>
      <c r="X731" s="29">
        <f t="shared" si="203"/>
        <v>722</v>
      </c>
      <c r="Z731" s="30">
        <f t="shared" si="194"/>
        <v>19.778112587316805</v>
      </c>
      <c r="AA731" s="28" t="e">
        <f t="shared" si="195"/>
        <v>#N/A</v>
      </c>
      <c r="AB731" s="28" t="e">
        <f t="shared" si="196"/>
        <v>#VALUE!</v>
      </c>
      <c r="AC731" s="29">
        <f t="shared" si="197"/>
        <v>685.00948766603415</v>
      </c>
      <c r="AD731" s="28" t="e">
        <f t="shared" si="198"/>
        <v>#VALUE!</v>
      </c>
      <c r="AE731" s="28" t="e">
        <f t="shared" si="199"/>
        <v>#N/A</v>
      </c>
      <c r="AF731" s="28" t="e">
        <f t="shared" si="200"/>
        <v>#VALUE!</v>
      </c>
      <c r="AH731" s="31" t="e">
        <f t="shared" si="201"/>
        <v>#N/A</v>
      </c>
      <c r="AI731" s="25"/>
      <c r="AJ731" s="31"/>
    </row>
    <row r="732" spans="2:36" x14ac:dyDescent="0.25">
      <c r="B732" s="33">
        <f>'Arbitrage Payback Engine'!E732</f>
        <v>19.80550609505547</v>
      </c>
      <c r="C732" s="33">
        <f t="shared" si="187"/>
        <v>1000</v>
      </c>
      <c r="D732" s="33">
        <f>'Battery Pricing Model'!$C$17</f>
        <v>1000</v>
      </c>
      <c r="E732" s="33">
        <f t="shared" si="188"/>
        <v>999</v>
      </c>
      <c r="F732" s="33" t="str">
        <f>'Peak Models'!$B$4</f>
        <v>Default</v>
      </c>
      <c r="G732" s="33" t="e">
        <f>'Peak Models'!$Q$7</f>
        <v>#VALUE!</v>
      </c>
      <c r="H732" s="33">
        <f>'Peak Models'!$P$16</f>
        <v>1.5</v>
      </c>
      <c r="I732" s="33">
        <v>12</v>
      </c>
      <c r="J732" s="33" t="e">
        <f>'Peak Models'!$P$13</f>
        <v>#N/A</v>
      </c>
      <c r="K732" s="28" t="e">
        <f t="shared" si="189"/>
        <v>#VALUE!</v>
      </c>
      <c r="L732" s="28" t="e">
        <f>INDEX('Peak Models'!$P$34:$P$64, MATCH(TRUNC(B732, 0), 'Peak Models'!$O$34:$O$64, 0))</f>
        <v>#N/A</v>
      </c>
      <c r="M732" s="28">
        <f>'Peak Models'!$P$15*INDEX('Peak Models'!$Q$34:$Q$64, MATCH(TRUNC(B732, 0),'Peak Models'!$O$34:$O$64, 0))/'Profit per cycles Model'!$E$78</f>
        <v>7.523059697172549</v>
      </c>
      <c r="N732" s="28" t="e">
        <f t="shared" si="190"/>
        <v>#N/A</v>
      </c>
      <c r="O732" s="71" t="e">
        <f>AVERAGE($N$10:N732)</f>
        <v>#N/A</v>
      </c>
      <c r="P732" s="28" t="e">
        <f t="shared" si="191"/>
        <v>#N/A</v>
      </c>
      <c r="R732" s="28" t="e">
        <f t="shared" si="192"/>
        <v>#VALUE!</v>
      </c>
      <c r="S732" s="25"/>
      <c r="T732" s="25">
        <f t="shared" si="193"/>
        <v>15</v>
      </c>
      <c r="U732" s="33">
        <f>IF(PaybackCustom&gt;0, IF(PaybackCustom&lt;&gt;"Default", PaybackCustom, IF(PaybackStatus&lt;&gt;"",INDEX('Arbitrage Payback Engine'!$Y$2:$Y$6,MATCH(PaybackStatus,'Arbitrage Payback Engine'!$X$2:$X$6,FALSE)),-1)))</f>
        <v>25</v>
      </c>
      <c r="V732" s="32">
        <f t="shared" si="202"/>
        <v>15</v>
      </c>
      <c r="X732" s="29">
        <f t="shared" si="203"/>
        <v>723</v>
      </c>
      <c r="Z732" s="30">
        <f t="shared" si="194"/>
        <v>19.80550609505547</v>
      </c>
      <c r="AA732" s="28" t="e">
        <f t="shared" si="195"/>
        <v>#N/A</v>
      </c>
      <c r="AB732" s="28" t="e">
        <f t="shared" si="196"/>
        <v>#VALUE!</v>
      </c>
      <c r="AC732" s="29">
        <f t="shared" si="197"/>
        <v>685.95825426944964</v>
      </c>
      <c r="AD732" s="28" t="e">
        <f t="shared" si="198"/>
        <v>#VALUE!</v>
      </c>
      <c r="AE732" s="28" t="e">
        <f t="shared" si="199"/>
        <v>#N/A</v>
      </c>
      <c r="AF732" s="28" t="e">
        <f t="shared" si="200"/>
        <v>#VALUE!</v>
      </c>
      <c r="AH732" s="31" t="e">
        <f t="shared" si="201"/>
        <v>#N/A</v>
      </c>
      <c r="AI732" s="25"/>
      <c r="AJ732" s="31"/>
    </row>
    <row r="733" spans="2:36" x14ac:dyDescent="0.25">
      <c r="B733" s="33">
        <f>'Arbitrage Payback Engine'!E733</f>
        <v>19.832899602794136</v>
      </c>
      <c r="C733" s="33">
        <f t="shared" si="187"/>
        <v>1000</v>
      </c>
      <c r="D733" s="33">
        <f>'Battery Pricing Model'!$C$17</f>
        <v>1000</v>
      </c>
      <c r="E733" s="33">
        <f t="shared" si="188"/>
        <v>999</v>
      </c>
      <c r="F733" s="33" t="str">
        <f>'Peak Models'!$B$4</f>
        <v>Default</v>
      </c>
      <c r="G733" s="33" t="e">
        <f>'Peak Models'!$Q$7</f>
        <v>#VALUE!</v>
      </c>
      <c r="H733" s="33">
        <f>'Peak Models'!$P$16</f>
        <v>1.5</v>
      </c>
      <c r="I733" s="33">
        <v>12</v>
      </c>
      <c r="J733" s="33" t="e">
        <f>'Peak Models'!$P$13</f>
        <v>#N/A</v>
      </c>
      <c r="K733" s="28" t="e">
        <f t="shared" si="189"/>
        <v>#VALUE!</v>
      </c>
      <c r="L733" s="28" t="e">
        <f>INDEX('Peak Models'!$P$34:$P$64, MATCH(TRUNC(B733, 0), 'Peak Models'!$O$34:$O$64, 0))</f>
        <v>#N/A</v>
      </c>
      <c r="M733" s="28">
        <f>'Peak Models'!$P$15*INDEX('Peak Models'!$Q$34:$Q$64, MATCH(TRUNC(B733, 0),'Peak Models'!$O$34:$O$64, 0))/'Profit per cycles Model'!$E$78</f>
        <v>7.523059697172549</v>
      </c>
      <c r="N733" s="28" t="e">
        <f t="shared" si="190"/>
        <v>#N/A</v>
      </c>
      <c r="O733" s="71" t="e">
        <f>AVERAGE($N$10:N733)</f>
        <v>#N/A</v>
      </c>
      <c r="P733" s="28" t="e">
        <f t="shared" si="191"/>
        <v>#N/A</v>
      </c>
      <c r="R733" s="28" t="e">
        <f t="shared" si="192"/>
        <v>#VALUE!</v>
      </c>
      <c r="S733" s="25"/>
      <c r="T733" s="25">
        <f t="shared" si="193"/>
        <v>15</v>
      </c>
      <c r="U733" s="33">
        <f>IF(PaybackCustom&gt;0, IF(PaybackCustom&lt;&gt;"Default", PaybackCustom, IF(PaybackStatus&lt;&gt;"",INDEX('Arbitrage Payback Engine'!$Y$2:$Y$6,MATCH(PaybackStatus,'Arbitrage Payback Engine'!$X$2:$X$6,FALSE)),-1)))</f>
        <v>25</v>
      </c>
      <c r="V733" s="32">
        <f t="shared" si="202"/>
        <v>15</v>
      </c>
      <c r="X733" s="29">
        <f t="shared" si="203"/>
        <v>724</v>
      </c>
      <c r="Z733" s="30">
        <f t="shared" si="194"/>
        <v>19.832899602794136</v>
      </c>
      <c r="AA733" s="28" t="e">
        <f t="shared" si="195"/>
        <v>#N/A</v>
      </c>
      <c r="AB733" s="28" t="e">
        <f t="shared" si="196"/>
        <v>#VALUE!</v>
      </c>
      <c r="AC733" s="29">
        <f t="shared" si="197"/>
        <v>686.90702087286525</v>
      </c>
      <c r="AD733" s="28" t="e">
        <f t="shared" si="198"/>
        <v>#VALUE!</v>
      </c>
      <c r="AE733" s="28" t="e">
        <f t="shared" si="199"/>
        <v>#N/A</v>
      </c>
      <c r="AF733" s="28" t="e">
        <f t="shared" si="200"/>
        <v>#VALUE!</v>
      </c>
      <c r="AH733" s="31" t="e">
        <f t="shared" si="201"/>
        <v>#N/A</v>
      </c>
      <c r="AI733" s="25"/>
      <c r="AJ733" s="31"/>
    </row>
    <row r="734" spans="2:36" x14ac:dyDescent="0.25">
      <c r="B734" s="33">
        <f>'Arbitrage Payback Engine'!E734</f>
        <v>19.860293110532805</v>
      </c>
      <c r="C734" s="33">
        <f t="shared" si="187"/>
        <v>1000</v>
      </c>
      <c r="D734" s="33">
        <f>'Battery Pricing Model'!$C$17</f>
        <v>1000</v>
      </c>
      <c r="E734" s="33">
        <f t="shared" si="188"/>
        <v>999</v>
      </c>
      <c r="F734" s="33" t="str">
        <f>'Peak Models'!$B$4</f>
        <v>Default</v>
      </c>
      <c r="G734" s="33" t="e">
        <f>'Peak Models'!$Q$7</f>
        <v>#VALUE!</v>
      </c>
      <c r="H734" s="33">
        <f>'Peak Models'!$P$16</f>
        <v>1.5</v>
      </c>
      <c r="I734" s="33">
        <v>12</v>
      </c>
      <c r="J734" s="33" t="e">
        <f>'Peak Models'!$P$13</f>
        <v>#N/A</v>
      </c>
      <c r="K734" s="28" t="e">
        <f t="shared" si="189"/>
        <v>#VALUE!</v>
      </c>
      <c r="L734" s="28" t="e">
        <f>INDEX('Peak Models'!$P$34:$P$64, MATCH(TRUNC(B734, 0), 'Peak Models'!$O$34:$O$64, 0))</f>
        <v>#N/A</v>
      </c>
      <c r="M734" s="28">
        <f>'Peak Models'!$P$15*INDEX('Peak Models'!$Q$34:$Q$64, MATCH(TRUNC(B734, 0),'Peak Models'!$O$34:$O$64, 0))/'Profit per cycles Model'!$E$78</f>
        <v>7.523059697172549</v>
      </c>
      <c r="N734" s="28" t="e">
        <f t="shared" si="190"/>
        <v>#N/A</v>
      </c>
      <c r="O734" s="71" t="e">
        <f>AVERAGE($N$10:N734)</f>
        <v>#N/A</v>
      </c>
      <c r="P734" s="28" t="e">
        <f t="shared" si="191"/>
        <v>#N/A</v>
      </c>
      <c r="R734" s="28" t="e">
        <f t="shared" si="192"/>
        <v>#VALUE!</v>
      </c>
      <c r="S734" s="25"/>
      <c r="T734" s="25">
        <f t="shared" si="193"/>
        <v>15</v>
      </c>
      <c r="U734" s="33">
        <f>IF(PaybackCustom&gt;0, IF(PaybackCustom&lt;&gt;"Default", PaybackCustom, IF(PaybackStatus&lt;&gt;"",INDEX('Arbitrage Payback Engine'!$Y$2:$Y$6,MATCH(PaybackStatus,'Arbitrage Payback Engine'!$X$2:$X$6,FALSE)),-1)))</f>
        <v>25</v>
      </c>
      <c r="V734" s="32">
        <f t="shared" si="202"/>
        <v>15</v>
      </c>
      <c r="X734" s="29">
        <f t="shared" si="203"/>
        <v>725</v>
      </c>
      <c r="Z734" s="30">
        <f t="shared" si="194"/>
        <v>19.860293110532805</v>
      </c>
      <c r="AA734" s="28" t="e">
        <f t="shared" si="195"/>
        <v>#N/A</v>
      </c>
      <c r="AB734" s="28" t="e">
        <f t="shared" si="196"/>
        <v>#VALUE!</v>
      </c>
      <c r="AC734" s="29">
        <f t="shared" si="197"/>
        <v>687.85578747628097</v>
      </c>
      <c r="AD734" s="28" t="e">
        <f t="shared" si="198"/>
        <v>#VALUE!</v>
      </c>
      <c r="AE734" s="28" t="e">
        <f t="shared" si="199"/>
        <v>#N/A</v>
      </c>
      <c r="AF734" s="28" t="e">
        <f t="shared" si="200"/>
        <v>#VALUE!</v>
      </c>
      <c r="AH734" s="31" t="e">
        <f t="shared" si="201"/>
        <v>#N/A</v>
      </c>
      <c r="AI734" s="25"/>
      <c r="AJ734" s="31"/>
    </row>
    <row r="735" spans="2:36" x14ac:dyDescent="0.25">
      <c r="B735" s="33">
        <f>'Arbitrage Payback Engine'!E735</f>
        <v>19.88768661827147</v>
      </c>
      <c r="C735" s="33">
        <f t="shared" si="187"/>
        <v>1000</v>
      </c>
      <c r="D735" s="33">
        <f>'Battery Pricing Model'!$C$17</f>
        <v>1000</v>
      </c>
      <c r="E735" s="33">
        <f t="shared" si="188"/>
        <v>999</v>
      </c>
      <c r="F735" s="33" t="str">
        <f>'Peak Models'!$B$4</f>
        <v>Default</v>
      </c>
      <c r="G735" s="33" t="e">
        <f>'Peak Models'!$Q$7</f>
        <v>#VALUE!</v>
      </c>
      <c r="H735" s="33">
        <f>'Peak Models'!$P$16</f>
        <v>1.5</v>
      </c>
      <c r="I735" s="33">
        <v>12</v>
      </c>
      <c r="J735" s="33" t="e">
        <f>'Peak Models'!$P$13</f>
        <v>#N/A</v>
      </c>
      <c r="K735" s="28" t="e">
        <f t="shared" si="189"/>
        <v>#VALUE!</v>
      </c>
      <c r="L735" s="28" t="e">
        <f>INDEX('Peak Models'!$P$34:$P$64, MATCH(TRUNC(B735, 0), 'Peak Models'!$O$34:$O$64, 0))</f>
        <v>#N/A</v>
      </c>
      <c r="M735" s="28">
        <f>'Peak Models'!$P$15*INDEX('Peak Models'!$Q$34:$Q$64, MATCH(TRUNC(B735, 0),'Peak Models'!$O$34:$O$64, 0))/'Profit per cycles Model'!$E$78</f>
        <v>7.523059697172549</v>
      </c>
      <c r="N735" s="28" t="e">
        <f t="shared" si="190"/>
        <v>#N/A</v>
      </c>
      <c r="O735" s="71" t="e">
        <f>AVERAGE($N$10:N735)</f>
        <v>#N/A</v>
      </c>
      <c r="P735" s="28" t="e">
        <f t="shared" si="191"/>
        <v>#N/A</v>
      </c>
      <c r="R735" s="28" t="e">
        <f t="shared" si="192"/>
        <v>#VALUE!</v>
      </c>
      <c r="S735" s="25"/>
      <c r="T735" s="25">
        <f t="shared" si="193"/>
        <v>15</v>
      </c>
      <c r="U735" s="33">
        <f>IF(PaybackCustom&gt;0, IF(PaybackCustom&lt;&gt;"Default", PaybackCustom, IF(PaybackStatus&lt;&gt;"",INDEX('Arbitrage Payback Engine'!$Y$2:$Y$6,MATCH(PaybackStatus,'Arbitrage Payback Engine'!$X$2:$X$6,FALSE)),-1)))</f>
        <v>25</v>
      </c>
      <c r="V735" s="32">
        <f t="shared" si="202"/>
        <v>15</v>
      </c>
      <c r="X735" s="29">
        <f t="shared" si="203"/>
        <v>726</v>
      </c>
      <c r="Z735" s="30">
        <f t="shared" si="194"/>
        <v>19.88768661827147</v>
      </c>
      <c r="AA735" s="28" t="e">
        <f t="shared" si="195"/>
        <v>#N/A</v>
      </c>
      <c r="AB735" s="28" t="e">
        <f t="shared" si="196"/>
        <v>#VALUE!</v>
      </c>
      <c r="AC735" s="29">
        <f t="shared" si="197"/>
        <v>688.80455407969646</v>
      </c>
      <c r="AD735" s="28" t="e">
        <f t="shared" si="198"/>
        <v>#VALUE!</v>
      </c>
      <c r="AE735" s="28" t="e">
        <f t="shared" si="199"/>
        <v>#N/A</v>
      </c>
      <c r="AF735" s="28" t="e">
        <f t="shared" si="200"/>
        <v>#VALUE!</v>
      </c>
      <c r="AH735" s="31" t="e">
        <f t="shared" si="201"/>
        <v>#N/A</v>
      </c>
      <c r="AI735" s="25"/>
      <c r="AJ735" s="31"/>
    </row>
    <row r="736" spans="2:36" x14ac:dyDescent="0.25">
      <c r="B736" s="33">
        <f>'Arbitrage Payback Engine'!E736</f>
        <v>19.915080126010135</v>
      </c>
      <c r="C736" s="33">
        <f t="shared" si="187"/>
        <v>1000</v>
      </c>
      <c r="D736" s="33">
        <f>'Battery Pricing Model'!$C$17</f>
        <v>1000</v>
      </c>
      <c r="E736" s="33">
        <f t="shared" si="188"/>
        <v>999</v>
      </c>
      <c r="F736" s="33" t="str">
        <f>'Peak Models'!$B$4</f>
        <v>Default</v>
      </c>
      <c r="G736" s="33" t="e">
        <f>'Peak Models'!$Q$7</f>
        <v>#VALUE!</v>
      </c>
      <c r="H736" s="33">
        <f>'Peak Models'!$P$16</f>
        <v>1.5</v>
      </c>
      <c r="I736" s="33">
        <v>12</v>
      </c>
      <c r="J736" s="33" t="e">
        <f>'Peak Models'!$P$13</f>
        <v>#N/A</v>
      </c>
      <c r="K736" s="28" t="e">
        <f t="shared" si="189"/>
        <v>#VALUE!</v>
      </c>
      <c r="L736" s="28" t="e">
        <f>INDEX('Peak Models'!$P$34:$P$64, MATCH(TRUNC(B736, 0), 'Peak Models'!$O$34:$O$64, 0))</f>
        <v>#N/A</v>
      </c>
      <c r="M736" s="28">
        <f>'Peak Models'!$P$15*INDEX('Peak Models'!$Q$34:$Q$64, MATCH(TRUNC(B736, 0),'Peak Models'!$O$34:$O$64, 0))/'Profit per cycles Model'!$E$78</f>
        <v>7.523059697172549</v>
      </c>
      <c r="N736" s="28" t="e">
        <f t="shared" si="190"/>
        <v>#N/A</v>
      </c>
      <c r="O736" s="71" t="e">
        <f>AVERAGE($N$10:N736)</f>
        <v>#N/A</v>
      </c>
      <c r="P736" s="28" t="e">
        <f t="shared" si="191"/>
        <v>#N/A</v>
      </c>
      <c r="R736" s="28" t="e">
        <f t="shared" si="192"/>
        <v>#VALUE!</v>
      </c>
      <c r="S736" s="25"/>
      <c r="T736" s="25">
        <f t="shared" si="193"/>
        <v>15</v>
      </c>
      <c r="U736" s="33">
        <f>IF(PaybackCustom&gt;0, IF(PaybackCustom&lt;&gt;"Default", PaybackCustom, IF(PaybackStatus&lt;&gt;"",INDEX('Arbitrage Payback Engine'!$Y$2:$Y$6,MATCH(PaybackStatus,'Arbitrage Payback Engine'!$X$2:$X$6,FALSE)),-1)))</f>
        <v>25</v>
      </c>
      <c r="V736" s="32">
        <f t="shared" si="202"/>
        <v>15</v>
      </c>
      <c r="X736" s="29">
        <f t="shared" si="203"/>
        <v>727</v>
      </c>
      <c r="Z736" s="30">
        <f t="shared" si="194"/>
        <v>19.915080126010135</v>
      </c>
      <c r="AA736" s="28" t="e">
        <f t="shared" si="195"/>
        <v>#N/A</v>
      </c>
      <c r="AB736" s="28" t="e">
        <f t="shared" si="196"/>
        <v>#VALUE!</v>
      </c>
      <c r="AC736" s="29">
        <f t="shared" si="197"/>
        <v>689.75332068311207</v>
      </c>
      <c r="AD736" s="28" t="e">
        <f t="shared" si="198"/>
        <v>#VALUE!</v>
      </c>
      <c r="AE736" s="28" t="e">
        <f t="shared" si="199"/>
        <v>#N/A</v>
      </c>
      <c r="AF736" s="28" t="e">
        <f t="shared" si="200"/>
        <v>#VALUE!</v>
      </c>
      <c r="AH736" s="31" t="e">
        <f t="shared" si="201"/>
        <v>#N/A</v>
      </c>
      <c r="AI736" s="25"/>
      <c r="AJ736" s="31"/>
    </row>
    <row r="737" spans="2:36" x14ac:dyDescent="0.25">
      <c r="B737" s="33">
        <f>'Arbitrage Payback Engine'!E737</f>
        <v>19.942473633748801</v>
      </c>
      <c r="C737" s="33">
        <f t="shared" si="187"/>
        <v>1000</v>
      </c>
      <c r="D737" s="33">
        <f>'Battery Pricing Model'!$C$17</f>
        <v>1000</v>
      </c>
      <c r="E737" s="33">
        <f t="shared" si="188"/>
        <v>999</v>
      </c>
      <c r="F737" s="33" t="str">
        <f>'Peak Models'!$B$4</f>
        <v>Default</v>
      </c>
      <c r="G737" s="33" t="e">
        <f>'Peak Models'!$Q$7</f>
        <v>#VALUE!</v>
      </c>
      <c r="H737" s="33">
        <f>'Peak Models'!$P$16</f>
        <v>1.5</v>
      </c>
      <c r="I737" s="33">
        <v>12</v>
      </c>
      <c r="J737" s="33" t="e">
        <f>'Peak Models'!$P$13</f>
        <v>#N/A</v>
      </c>
      <c r="K737" s="28" t="e">
        <f t="shared" si="189"/>
        <v>#VALUE!</v>
      </c>
      <c r="L737" s="28" t="e">
        <f>INDEX('Peak Models'!$P$34:$P$64, MATCH(TRUNC(B737, 0), 'Peak Models'!$O$34:$O$64, 0))</f>
        <v>#N/A</v>
      </c>
      <c r="M737" s="28">
        <f>'Peak Models'!$P$15*INDEX('Peak Models'!$Q$34:$Q$64, MATCH(TRUNC(B737, 0),'Peak Models'!$O$34:$O$64, 0))/'Profit per cycles Model'!$E$78</f>
        <v>7.523059697172549</v>
      </c>
      <c r="N737" s="28" t="e">
        <f t="shared" si="190"/>
        <v>#N/A</v>
      </c>
      <c r="O737" s="71" t="e">
        <f>AVERAGE($N$10:N737)</f>
        <v>#N/A</v>
      </c>
      <c r="P737" s="28" t="e">
        <f t="shared" si="191"/>
        <v>#N/A</v>
      </c>
      <c r="R737" s="28" t="e">
        <f t="shared" si="192"/>
        <v>#VALUE!</v>
      </c>
      <c r="S737" s="25"/>
      <c r="T737" s="25">
        <f t="shared" si="193"/>
        <v>15</v>
      </c>
      <c r="U737" s="33">
        <f>IF(PaybackCustom&gt;0, IF(PaybackCustom&lt;&gt;"Default", PaybackCustom, IF(PaybackStatus&lt;&gt;"",INDEX('Arbitrage Payback Engine'!$Y$2:$Y$6,MATCH(PaybackStatus,'Arbitrage Payback Engine'!$X$2:$X$6,FALSE)),-1)))</f>
        <v>25</v>
      </c>
      <c r="V737" s="32">
        <f t="shared" si="202"/>
        <v>15</v>
      </c>
      <c r="X737" s="29">
        <f t="shared" si="203"/>
        <v>728</v>
      </c>
      <c r="Z737" s="30">
        <f t="shared" si="194"/>
        <v>19.942473633748801</v>
      </c>
      <c r="AA737" s="28" t="e">
        <f t="shared" si="195"/>
        <v>#N/A</v>
      </c>
      <c r="AB737" s="28" t="e">
        <f t="shared" si="196"/>
        <v>#VALUE!</v>
      </c>
      <c r="AC737" s="29">
        <f t="shared" si="197"/>
        <v>690.70208728652744</v>
      </c>
      <c r="AD737" s="28" t="e">
        <f t="shared" si="198"/>
        <v>#VALUE!</v>
      </c>
      <c r="AE737" s="28" t="e">
        <f t="shared" si="199"/>
        <v>#N/A</v>
      </c>
      <c r="AF737" s="28" t="e">
        <f t="shared" si="200"/>
        <v>#VALUE!</v>
      </c>
      <c r="AH737" s="31" t="e">
        <f t="shared" si="201"/>
        <v>#N/A</v>
      </c>
      <c r="AI737" s="25"/>
      <c r="AJ737" s="31"/>
    </row>
    <row r="738" spans="2:36" x14ac:dyDescent="0.25">
      <c r="B738" s="33">
        <f>'Arbitrage Payback Engine'!E738</f>
        <v>19.969867141487466</v>
      </c>
      <c r="C738" s="33">
        <f t="shared" si="187"/>
        <v>1000</v>
      </c>
      <c r="D738" s="33">
        <f>'Battery Pricing Model'!$C$17</f>
        <v>1000</v>
      </c>
      <c r="E738" s="33">
        <f t="shared" si="188"/>
        <v>999</v>
      </c>
      <c r="F738" s="33" t="str">
        <f>'Peak Models'!$B$4</f>
        <v>Default</v>
      </c>
      <c r="G738" s="33" t="e">
        <f>'Peak Models'!$Q$7</f>
        <v>#VALUE!</v>
      </c>
      <c r="H738" s="33">
        <f>'Peak Models'!$P$16</f>
        <v>1.5</v>
      </c>
      <c r="I738" s="33">
        <v>12</v>
      </c>
      <c r="J738" s="33" t="e">
        <f>'Peak Models'!$P$13</f>
        <v>#N/A</v>
      </c>
      <c r="K738" s="28" t="e">
        <f t="shared" si="189"/>
        <v>#VALUE!</v>
      </c>
      <c r="L738" s="28" t="e">
        <f>INDEX('Peak Models'!$P$34:$P$64, MATCH(TRUNC(B738, 0), 'Peak Models'!$O$34:$O$64, 0))</f>
        <v>#N/A</v>
      </c>
      <c r="M738" s="28">
        <f>'Peak Models'!$P$15*INDEX('Peak Models'!$Q$34:$Q$64, MATCH(TRUNC(B738, 0),'Peak Models'!$O$34:$O$64, 0))/'Profit per cycles Model'!$E$78</f>
        <v>7.523059697172549</v>
      </c>
      <c r="N738" s="28" t="e">
        <f t="shared" si="190"/>
        <v>#N/A</v>
      </c>
      <c r="O738" s="71" t="e">
        <f>AVERAGE($N$10:N738)</f>
        <v>#N/A</v>
      </c>
      <c r="P738" s="28" t="e">
        <f t="shared" si="191"/>
        <v>#N/A</v>
      </c>
      <c r="R738" s="28" t="e">
        <f t="shared" si="192"/>
        <v>#VALUE!</v>
      </c>
      <c r="S738" s="25"/>
      <c r="T738" s="25">
        <f t="shared" si="193"/>
        <v>15</v>
      </c>
      <c r="U738" s="33">
        <f>IF(PaybackCustom&gt;0, IF(PaybackCustom&lt;&gt;"Default", PaybackCustom, IF(PaybackStatus&lt;&gt;"",INDEX('Arbitrage Payback Engine'!$Y$2:$Y$6,MATCH(PaybackStatus,'Arbitrage Payback Engine'!$X$2:$X$6,FALSE)),-1)))</f>
        <v>25</v>
      </c>
      <c r="V738" s="32">
        <f t="shared" si="202"/>
        <v>15</v>
      </c>
      <c r="X738" s="29">
        <f t="shared" si="203"/>
        <v>729</v>
      </c>
      <c r="Z738" s="30">
        <f t="shared" si="194"/>
        <v>19.969867141487466</v>
      </c>
      <c r="AA738" s="28" t="e">
        <f t="shared" si="195"/>
        <v>#N/A</v>
      </c>
      <c r="AB738" s="28" t="e">
        <f t="shared" si="196"/>
        <v>#VALUE!</v>
      </c>
      <c r="AC738" s="29">
        <f t="shared" si="197"/>
        <v>691.65085388994305</v>
      </c>
      <c r="AD738" s="28" t="e">
        <f t="shared" si="198"/>
        <v>#VALUE!</v>
      </c>
      <c r="AE738" s="28" t="e">
        <f t="shared" si="199"/>
        <v>#N/A</v>
      </c>
      <c r="AF738" s="28" t="e">
        <f t="shared" si="200"/>
        <v>#VALUE!</v>
      </c>
      <c r="AH738" s="31" t="e">
        <f t="shared" si="201"/>
        <v>#N/A</v>
      </c>
      <c r="AI738" s="25"/>
      <c r="AJ738" s="31"/>
    </row>
    <row r="739" spans="2:36" x14ac:dyDescent="0.25">
      <c r="B739" s="33">
        <f>'Arbitrage Payback Engine'!E739</f>
        <v>19.997260649226131</v>
      </c>
      <c r="C739" s="33">
        <f t="shared" si="187"/>
        <v>1000</v>
      </c>
      <c r="D739" s="33">
        <f>'Battery Pricing Model'!$C$17</f>
        <v>1000</v>
      </c>
      <c r="E739" s="33">
        <f t="shared" si="188"/>
        <v>999</v>
      </c>
      <c r="F739" s="33" t="str">
        <f>'Peak Models'!$B$4</f>
        <v>Default</v>
      </c>
      <c r="G739" s="33" t="e">
        <f>'Peak Models'!$Q$7</f>
        <v>#VALUE!</v>
      </c>
      <c r="H739" s="33">
        <f>'Peak Models'!$P$16</f>
        <v>1.5</v>
      </c>
      <c r="I739" s="33">
        <v>12</v>
      </c>
      <c r="J739" s="33" t="e">
        <f>'Peak Models'!$P$13</f>
        <v>#N/A</v>
      </c>
      <c r="K739" s="28" t="e">
        <f t="shared" si="189"/>
        <v>#VALUE!</v>
      </c>
      <c r="L739" s="28" t="e">
        <f>INDEX('Peak Models'!$P$34:$P$64, MATCH(TRUNC(B739, 0), 'Peak Models'!$O$34:$O$64, 0))</f>
        <v>#N/A</v>
      </c>
      <c r="M739" s="28">
        <f>'Peak Models'!$P$15*INDEX('Peak Models'!$Q$34:$Q$64, MATCH(TRUNC(B739, 0),'Peak Models'!$O$34:$O$64, 0))/'Profit per cycles Model'!$E$78</f>
        <v>7.523059697172549</v>
      </c>
      <c r="N739" s="28" t="e">
        <f t="shared" si="190"/>
        <v>#N/A</v>
      </c>
      <c r="O739" s="71" t="e">
        <f>AVERAGE($N$10:N739)</f>
        <v>#N/A</v>
      </c>
      <c r="P739" s="28" t="e">
        <f t="shared" si="191"/>
        <v>#N/A</v>
      </c>
      <c r="R739" s="28" t="e">
        <f t="shared" si="192"/>
        <v>#VALUE!</v>
      </c>
      <c r="S739" s="25"/>
      <c r="T739" s="25">
        <f t="shared" si="193"/>
        <v>15</v>
      </c>
      <c r="U739" s="33">
        <f>IF(PaybackCustom&gt;0, IF(PaybackCustom&lt;&gt;"Default", PaybackCustom, IF(PaybackStatus&lt;&gt;"",INDEX('Arbitrage Payback Engine'!$Y$2:$Y$6,MATCH(PaybackStatus,'Arbitrage Payback Engine'!$X$2:$X$6,FALSE)),-1)))</f>
        <v>25</v>
      </c>
      <c r="V739" s="32">
        <f t="shared" si="202"/>
        <v>15</v>
      </c>
      <c r="X739" s="29">
        <f t="shared" si="203"/>
        <v>730</v>
      </c>
      <c r="Z739" s="30">
        <f t="shared" si="194"/>
        <v>19.997260649226131</v>
      </c>
      <c r="AA739" s="28" t="e">
        <f t="shared" si="195"/>
        <v>#N/A</v>
      </c>
      <c r="AB739" s="28" t="e">
        <f t="shared" si="196"/>
        <v>#VALUE!</v>
      </c>
      <c r="AC739" s="29">
        <f t="shared" si="197"/>
        <v>692.59962049335866</v>
      </c>
      <c r="AD739" s="28" t="e">
        <f t="shared" si="198"/>
        <v>#VALUE!</v>
      </c>
      <c r="AE739" s="28" t="e">
        <f t="shared" si="199"/>
        <v>#N/A</v>
      </c>
      <c r="AF739" s="28" t="e">
        <f t="shared" si="200"/>
        <v>#VALUE!</v>
      </c>
      <c r="AH739" s="31" t="e">
        <f t="shared" si="201"/>
        <v>#N/A</v>
      </c>
      <c r="AI739" s="25"/>
      <c r="AJ739" s="31"/>
    </row>
    <row r="740" spans="2:36" x14ac:dyDescent="0.25">
      <c r="B740" s="33">
        <f>'Arbitrage Payback Engine'!E740</f>
        <v>20.0246541569648</v>
      </c>
      <c r="C740" s="33">
        <f t="shared" si="187"/>
        <v>1000</v>
      </c>
      <c r="D740" s="33">
        <f>'Battery Pricing Model'!$C$17</f>
        <v>1000</v>
      </c>
      <c r="E740" s="33">
        <f t="shared" si="188"/>
        <v>999</v>
      </c>
      <c r="F740" s="33" t="str">
        <f>'Peak Models'!$B$4</f>
        <v>Default</v>
      </c>
      <c r="G740" s="33" t="e">
        <f>'Peak Models'!$Q$7</f>
        <v>#VALUE!</v>
      </c>
      <c r="H740" s="33">
        <f>'Peak Models'!$P$16</f>
        <v>1.5</v>
      </c>
      <c r="I740" s="33">
        <v>12</v>
      </c>
      <c r="J740" s="33" t="e">
        <f>'Peak Models'!$P$13</f>
        <v>#N/A</v>
      </c>
      <c r="K740" s="28" t="e">
        <f t="shared" si="189"/>
        <v>#VALUE!</v>
      </c>
      <c r="L740" s="28" t="e">
        <f>INDEX('Peak Models'!$P$34:$P$64, MATCH(TRUNC(B740, 0), 'Peak Models'!$O$34:$O$64, 0))</f>
        <v>#N/A</v>
      </c>
      <c r="M740" s="28">
        <f>'Peak Models'!$P$15*INDEX('Peak Models'!$Q$34:$Q$64, MATCH(TRUNC(B740, 0),'Peak Models'!$O$34:$O$64, 0))/'Profit per cycles Model'!$E$78</f>
        <v>7.7111361896018629</v>
      </c>
      <c r="N740" s="28" t="e">
        <f t="shared" si="190"/>
        <v>#N/A</v>
      </c>
      <c r="O740" s="71" t="e">
        <f>AVERAGE($N$10:N740)</f>
        <v>#N/A</v>
      </c>
      <c r="P740" s="28" t="e">
        <f t="shared" si="191"/>
        <v>#N/A</v>
      </c>
      <c r="R740" s="28" t="e">
        <f t="shared" si="192"/>
        <v>#VALUE!</v>
      </c>
      <c r="S740" s="25"/>
      <c r="T740" s="25">
        <f t="shared" si="193"/>
        <v>15</v>
      </c>
      <c r="U740" s="33">
        <f>IF(PaybackCustom&gt;0, IF(PaybackCustom&lt;&gt;"Default", PaybackCustom, IF(PaybackStatus&lt;&gt;"",INDEX('Arbitrage Payback Engine'!$Y$2:$Y$6,MATCH(PaybackStatus,'Arbitrage Payback Engine'!$X$2:$X$6,FALSE)),-1)))</f>
        <v>25</v>
      </c>
      <c r="V740" s="32">
        <f t="shared" si="202"/>
        <v>15</v>
      </c>
      <c r="X740" s="29">
        <f t="shared" si="203"/>
        <v>731</v>
      </c>
      <c r="Z740" s="30">
        <f t="shared" si="194"/>
        <v>20.0246541569648</v>
      </c>
      <c r="AA740" s="28" t="e">
        <f t="shared" si="195"/>
        <v>#N/A</v>
      </c>
      <c r="AB740" s="28" t="e">
        <f t="shared" si="196"/>
        <v>#VALUE!</v>
      </c>
      <c r="AC740" s="29">
        <f t="shared" si="197"/>
        <v>693.54838709677426</v>
      </c>
      <c r="AD740" s="28" t="e">
        <f t="shared" si="198"/>
        <v>#VALUE!</v>
      </c>
      <c r="AE740" s="28" t="e">
        <f t="shared" si="199"/>
        <v>#N/A</v>
      </c>
      <c r="AF740" s="28" t="e">
        <f t="shared" si="200"/>
        <v>#VALUE!</v>
      </c>
      <c r="AH740" s="31" t="e">
        <f t="shared" si="201"/>
        <v>#N/A</v>
      </c>
      <c r="AI740" s="25"/>
      <c r="AJ740" s="31"/>
    </row>
    <row r="741" spans="2:36" x14ac:dyDescent="0.25">
      <c r="B741" s="33">
        <f>'Arbitrage Payback Engine'!E741</f>
        <v>20.052047664703466</v>
      </c>
      <c r="C741" s="33">
        <f t="shared" si="187"/>
        <v>1000</v>
      </c>
      <c r="D741" s="33">
        <f>'Battery Pricing Model'!$C$17</f>
        <v>1000</v>
      </c>
      <c r="E741" s="33">
        <f t="shared" si="188"/>
        <v>999</v>
      </c>
      <c r="F741" s="33" t="str">
        <f>'Peak Models'!$B$4</f>
        <v>Default</v>
      </c>
      <c r="G741" s="33" t="e">
        <f>'Peak Models'!$Q$7</f>
        <v>#VALUE!</v>
      </c>
      <c r="H741" s="33">
        <f>'Peak Models'!$P$16</f>
        <v>1.5</v>
      </c>
      <c r="I741" s="33">
        <v>12</v>
      </c>
      <c r="J741" s="33" t="e">
        <f>'Peak Models'!$P$13</f>
        <v>#N/A</v>
      </c>
      <c r="K741" s="28" t="e">
        <f t="shared" si="189"/>
        <v>#VALUE!</v>
      </c>
      <c r="L741" s="28" t="e">
        <f>INDEX('Peak Models'!$P$34:$P$64, MATCH(TRUNC(B741, 0), 'Peak Models'!$O$34:$O$64, 0))</f>
        <v>#N/A</v>
      </c>
      <c r="M741" s="28">
        <f>'Peak Models'!$P$15*INDEX('Peak Models'!$Q$34:$Q$64, MATCH(TRUNC(B741, 0),'Peak Models'!$O$34:$O$64, 0))/'Profit per cycles Model'!$E$78</f>
        <v>7.7111361896018629</v>
      </c>
      <c r="N741" s="28" t="e">
        <f t="shared" si="190"/>
        <v>#N/A</v>
      </c>
      <c r="O741" s="71" t="e">
        <f>AVERAGE($N$10:N741)</f>
        <v>#N/A</v>
      </c>
      <c r="P741" s="28" t="e">
        <f t="shared" si="191"/>
        <v>#N/A</v>
      </c>
      <c r="R741" s="28" t="e">
        <f t="shared" si="192"/>
        <v>#VALUE!</v>
      </c>
      <c r="S741" s="25"/>
      <c r="T741" s="25">
        <f t="shared" si="193"/>
        <v>15</v>
      </c>
      <c r="U741" s="33">
        <f>IF(PaybackCustom&gt;0, IF(PaybackCustom&lt;&gt;"Default", PaybackCustom, IF(PaybackStatus&lt;&gt;"",INDEX('Arbitrage Payback Engine'!$Y$2:$Y$6,MATCH(PaybackStatus,'Arbitrage Payback Engine'!$X$2:$X$6,FALSE)),-1)))</f>
        <v>25</v>
      </c>
      <c r="V741" s="32">
        <f t="shared" si="202"/>
        <v>15</v>
      </c>
      <c r="X741" s="29">
        <f t="shared" si="203"/>
        <v>732</v>
      </c>
      <c r="Z741" s="30">
        <f t="shared" si="194"/>
        <v>20.052047664703466</v>
      </c>
      <c r="AA741" s="28" t="e">
        <f t="shared" si="195"/>
        <v>#N/A</v>
      </c>
      <c r="AB741" s="28" t="e">
        <f t="shared" si="196"/>
        <v>#VALUE!</v>
      </c>
      <c r="AC741" s="29">
        <f t="shared" si="197"/>
        <v>694.49715370018987</v>
      </c>
      <c r="AD741" s="28" t="e">
        <f t="shared" si="198"/>
        <v>#VALUE!</v>
      </c>
      <c r="AE741" s="28" t="e">
        <f t="shared" si="199"/>
        <v>#N/A</v>
      </c>
      <c r="AF741" s="28" t="e">
        <f t="shared" si="200"/>
        <v>#VALUE!</v>
      </c>
      <c r="AH741" s="31" t="e">
        <f t="shared" si="201"/>
        <v>#N/A</v>
      </c>
      <c r="AI741" s="25"/>
      <c r="AJ741" s="31"/>
    </row>
    <row r="742" spans="2:36" x14ac:dyDescent="0.25">
      <c r="B742" s="33">
        <f>'Arbitrage Payback Engine'!E742</f>
        <v>20.079441172442131</v>
      </c>
      <c r="C742" s="33">
        <f t="shared" si="187"/>
        <v>1000</v>
      </c>
      <c r="D742" s="33">
        <f>'Battery Pricing Model'!$C$17</f>
        <v>1000</v>
      </c>
      <c r="E742" s="33">
        <f t="shared" si="188"/>
        <v>999</v>
      </c>
      <c r="F742" s="33" t="str">
        <f>'Peak Models'!$B$4</f>
        <v>Default</v>
      </c>
      <c r="G742" s="33" t="e">
        <f>'Peak Models'!$Q$7</f>
        <v>#VALUE!</v>
      </c>
      <c r="H742" s="33">
        <f>'Peak Models'!$P$16</f>
        <v>1.5</v>
      </c>
      <c r="I742" s="33">
        <v>12</v>
      </c>
      <c r="J742" s="33" t="e">
        <f>'Peak Models'!$P$13</f>
        <v>#N/A</v>
      </c>
      <c r="K742" s="28" t="e">
        <f t="shared" si="189"/>
        <v>#VALUE!</v>
      </c>
      <c r="L742" s="28" t="e">
        <f>INDEX('Peak Models'!$P$34:$P$64, MATCH(TRUNC(B742, 0), 'Peak Models'!$O$34:$O$64, 0))</f>
        <v>#N/A</v>
      </c>
      <c r="M742" s="28">
        <f>'Peak Models'!$P$15*INDEX('Peak Models'!$Q$34:$Q$64, MATCH(TRUNC(B742, 0),'Peak Models'!$O$34:$O$64, 0))/'Profit per cycles Model'!$E$78</f>
        <v>7.7111361896018629</v>
      </c>
      <c r="N742" s="28" t="e">
        <f t="shared" si="190"/>
        <v>#N/A</v>
      </c>
      <c r="O742" s="71" t="e">
        <f>AVERAGE($N$10:N742)</f>
        <v>#N/A</v>
      </c>
      <c r="P742" s="28" t="e">
        <f t="shared" si="191"/>
        <v>#N/A</v>
      </c>
      <c r="R742" s="28" t="e">
        <f t="shared" si="192"/>
        <v>#VALUE!</v>
      </c>
      <c r="S742" s="25"/>
      <c r="T742" s="25">
        <f t="shared" si="193"/>
        <v>15</v>
      </c>
      <c r="U742" s="33">
        <f>IF(PaybackCustom&gt;0, IF(PaybackCustom&lt;&gt;"Default", PaybackCustom, IF(PaybackStatus&lt;&gt;"",INDEX('Arbitrage Payback Engine'!$Y$2:$Y$6,MATCH(PaybackStatus,'Arbitrage Payback Engine'!$X$2:$X$6,FALSE)),-1)))</f>
        <v>25</v>
      </c>
      <c r="V742" s="32">
        <f t="shared" si="202"/>
        <v>15</v>
      </c>
      <c r="X742" s="29">
        <f t="shared" si="203"/>
        <v>733</v>
      </c>
      <c r="Z742" s="30">
        <f t="shared" si="194"/>
        <v>20.079441172442131</v>
      </c>
      <c r="AA742" s="28" t="e">
        <f t="shared" si="195"/>
        <v>#N/A</v>
      </c>
      <c r="AB742" s="28" t="e">
        <f t="shared" si="196"/>
        <v>#VALUE!</v>
      </c>
      <c r="AC742" s="29">
        <f t="shared" si="197"/>
        <v>695.44592030360525</v>
      </c>
      <c r="AD742" s="28" t="e">
        <f t="shared" si="198"/>
        <v>#VALUE!</v>
      </c>
      <c r="AE742" s="28" t="e">
        <f t="shared" si="199"/>
        <v>#N/A</v>
      </c>
      <c r="AF742" s="28" t="e">
        <f t="shared" si="200"/>
        <v>#VALUE!</v>
      </c>
      <c r="AH742" s="31" t="e">
        <f t="shared" si="201"/>
        <v>#N/A</v>
      </c>
      <c r="AI742" s="25"/>
      <c r="AJ742" s="31"/>
    </row>
    <row r="743" spans="2:36" x14ac:dyDescent="0.25">
      <c r="B743" s="33">
        <f>'Arbitrage Payback Engine'!E743</f>
        <v>20.106834680180796</v>
      </c>
      <c r="C743" s="33">
        <f t="shared" si="187"/>
        <v>1000</v>
      </c>
      <c r="D743" s="33">
        <f>'Battery Pricing Model'!$C$17</f>
        <v>1000</v>
      </c>
      <c r="E743" s="33">
        <f t="shared" si="188"/>
        <v>999</v>
      </c>
      <c r="F743" s="33" t="str">
        <f>'Peak Models'!$B$4</f>
        <v>Default</v>
      </c>
      <c r="G743" s="33" t="e">
        <f>'Peak Models'!$Q$7</f>
        <v>#VALUE!</v>
      </c>
      <c r="H743" s="33">
        <f>'Peak Models'!$P$16</f>
        <v>1.5</v>
      </c>
      <c r="I743" s="33">
        <v>12</v>
      </c>
      <c r="J743" s="33" t="e">
        <f>'Peak Models'!$P$13</f>
        <v>#N/A</v>
      </c>
      <c r="K743" s="28" t="e">
        <f t="shared" si="189"/>
        <v>#VALUE!</v>
      </c>
      <c r="L743" s="28" t="e">
        <f>INDEX('Peak Models'!$P$34:$P$64, MATCH(TRUNC(B743, 0), 'Peak Models'!$O$34:$O$64, 0))</f>
        <v>#N/A</v>
      </c>
      <c r="M743" s="28">
        <f>'Peak Models'!$P$15*INDEX('Peak Models'!$Q$34:$Q$64, MATCH(TRUNC(B743, 0),'Peak Models'!$O$34:$O$64, 0))/'Profit per cycles Model'!$E$78</f>
        <v>7.7111361896018629</v>
      </c>
      <c r="N743" s="28" t="e">
        <f t="shared" si="190"/>
        <v>#N/A</v>
      </c>
      <c r="O743" s="71" t="e">
        <f>AVERAGE($N$10:N743)</f>
        <v>#N/A</v>
      </c>
      <c r="P743" s="28" t="e">
        <f t="shared" si="191"/>
        <v>#N/A</v>
      </c>
      <c r="R743" s="28" t="e">
        <f t="shared" si="192"/>
        <v>#VALUE!</v>
      </c>
      <c r="S743" s="25"/>
      <c r="T743" s="25">
        <f t="shared" si="193"/>
        <v>15</v>
      </c>
      <c r="U743" s="33">
        <f>IF(PaybackCustom&gt;0, IF(PaybackCustom&lt;&gt;"Default", PaybackCustom, IF(PaybackStatus&lt;&gt;"",INDEX('Arbitrage Payback Engine'!$Y$2:$Y$6,MATCH(PaybackStatus,'Arbitrage Payback Engine'!$X$2:$X$6,FALSE)),-1)))</f>
        <v>25</v>
      </c>
      <c r="V743" s="32">
        <f t="shared" si="202"/>
        <v>15</v>
      </c>
      <c r="X743" s="29">
        <f t="shared" si="203"/>
        <v>734</v>
      </c>
      <c r="Z743" s="30">
        <f t="shared" si="194"/>
        <v>20.106834680180796</v>
      </c>
      <c r="AA743" s="28" t="e">
        <f t="shared" si="195"/>
        <v>#N/A</v>
      </c>
      <c r="AB743" s="28" t="e">
        <f t="shared" si="196"/>
        <v>#VALUE!</v>
      </c>
      <c r="AC743" s="29">
        <f t="shared" si="197"/>
        <v>696.39468690702085</v>
      </c>
      <c r="AD743" s="28" t="e">
        <f t="shared" si="198"/>
        <v>#VALUE!</v>
      </c>
      <c r="AE743" s="28" t="e">
        <f t="shared" si="199"/>
        <v>#N/A</v>
      </c>
      <c r="AF743" s="28" t="e">
        <f t="shared" si="200"/>
        <v>#VALUE!</v>
      </c>
      <c r="AH743" s="31" t="e">
        <f t="shared" si="201"/>
        <v>#N/A</v>
      </c>
      <c r="AI743" s="25"/>
      <c r="AJ743" s="31"/>
    </row>
    <row r="744" spans="2:36" x14ac:dyDescent="0.25">
      <c r="B744" s="33">
        <f>'Arbitrage Payback Engine'!E744</f>
        <v>20.134228187919462</v>
      </c>
      <c r="C744" s="33">
        <f t="shared" si="187"/>
        <v>1000</v>
      </c>
      <c r="D744" s="33">
        <f>'Battery Pricing Model'!$C$17</f>
        <v>1000</v>
      </c>
      <c r="E744" s="33">
        <f t="shared" si="188"/>
        <v>999</v>
      </c>
      <c r="F744" s="33" t="str">
        <f>'Peak Models'!$B$4</f>
        <v>Default</v>
      </c>
      <c r="G744" s="33" t="e">
        <f>'Peak Models'!$Q$7</f>
        <v>#VALUE!</v>
      </c>
      <c r="H744" s="33">
        <f>'Peak Models'!$P$16</f>
        <v>1.5</v>
      </c>
      <c r="I744" s="33">
        <v>12</v>
      </c>
      <c r="J744" s="33" t="e">
        <f>'Peak Models'!$P$13</f>
        <v>#N/A</v>
      </c>
      <c r="K744" s="28" t="e">
        <f t="shared" si="189"/>
        <v>#VALUE!</v>
      </c>
      <c r="L744" s="28" t="e">
        <f>INDEX('Peak Models'!$P$34:$P$64, MATCH(TRUNC(B744, 0), 'Peak Models'!$O$34:$O$64, 0))</f>
        <v>#N/A</v>
      </c>
      <c r="M744" s="28">
        <f>'Peak Models'!$P$15*INDEX('Peak Models'!$Q$34:$Q$64, MATCH(TRUNC(B744, 0),'Peak Models'!$O$34:$O$64, 0))/'Profit per cycles Model'!$E$78</f>
        <v>7.7111361896018629</v>
      </c>
      <c r="N744" s="28" t="e">
        <f t="shared" si="190"/>
        <v>#N/A</v>
      </c>
      <c r="O744" s="71" t="e">
        <f>AVERAGE($N$10:N744)</f>
        <v>#N/A</v>
      </c>
      <c r="P744" s="28" t="e">
        <f t="shared" si="191"/>
        <v>#N/A</v>
      </c>
      <c r="R744" s="28" t="e">
        <f t="shared" si="192"/>
        <v>#VALUE!</v>
      </c>
      <c r="S744" s="25"/>
      <c r="T744" s="25">
        <f t="shared" si="193"/>
        <v>15</v>
      </c>
      <c r="U744" s="33">
        <f>IF(PaybackCustom&gt;0, IF(PaybackCustom&lt;&gt;"Default", PaybackCustom, IF(PaybackStatus&lt;&gt;"",INDEX('Arbitrage Payback Engine'!$Y$2:$Y$6,MATCH(PaybackStatus,'Arbitrage Payback Engine'!$X$2:$X$6,FALSE)),-1)))</f>
        <v>25</v>
      </c>
      <c r="V744" s="32">
        <f t="shared" si="202"/>
        <v>15</v>
      </c>
      <c r="X744" s="29">
        <f t="shared" si="203"/>
        <v>735</v>
      </c>
      <c r="Z744" s="30">
        <f t="shared" si="194"/>
        <v>20.134228187919462</v>
      </c>
      <c r="AA744" s="28" t="e">
        <f t="shared" si="195"/>
        <v>#N/A</v>
      </c>
      <c r="AB744" s="28" t="e">
        <f t="shared" si="196"/>
        <v>#VALUE!</v>
      </c>
      <c r="AC744" s="29">
        <f t="shared" si="197"/>
        <v>697.34345351043646</v>
      </c>
      <c r="AD744" s="28" t="e">
        <f t="shared" si="198"/>
        <v>#VALUE!</v>
      </c>
      <c r="AE744" s="28" t="e">
        <f t="shared" si="199"/>
        <v>#N/A</v>
      </c>
      <c r="AF744" s="28" t="e">
        <f t="shared" si="200"/>
        <v>#VALUE!</v>
      </c>
      <c r="AH744" s="31" t="e">
        <f t="shared" si="201"/>
        <v>#N/A</v>
      </c>
      <c r="AI744" s="25"/>
      <c r="AJ744" s="31"/>
    </row>
    <row r="745" spans="2:36" x14ac:dyDescent="0.25">
      <c r="B745" s="33">
        <f>'Arbitrage Payback Engine'!E745</f>
        <v>20.161621695658127</v>
      </c>
      <c r="C745" s="33">
        <f t="shared" si="187"/>
        <v>1000</v>
      </c>
      <c r="D745" s="33">
        <f>'Battery Pricing Model'!$C$17</f>
        <v>1000</v>
      </c>
      <c r="E745" s="33">
        <f t="shared" si="188"/>
        <v>999</v>
      </c>
      <c r="F745" s="33" t="str">
        <f>'Peak Models'!$B$4</f>
        <v>Default</v>
      </c>
      <c r="G745" s="33" t="e">
        <f>'Peak Models'!$Q$7</f>
        <v>#VALUE!</v>
      </c>
      <c r="H745" s="33">
        <f>'Peak Models'!$P$16</f>
        <v>1.5</v>
      </c>
      <c r="I745" s="33">
        <v>12</v>
      </c>
      <c r="J745" s="33" t="e">
        <f>'Peak Models'!$P$13</f>
        <v>#N/A</v>
      </c>
      <c r="K745" s="28" t="e">
        <f t="shared" si="189"/>
        <v>#VALUE!</v>
      </c>
      <c r="L745" s="28" t="e">
        <f>INDEX('Peak Models'!$P$34:$P$64, MATCH(TRUNC(B745, 0), 'Peak Models'!$O$34:$O$64, 0))</f>
        <v>#N/A</v>
      </c>
      <c r="M745" s="28">
        <f>'Peak Models'!$P$15*INDEX('Peak Models'!$Q$34:$Q$64, MATCH(TRUNC(B745, 0),'Peak Models'!$O$34:$O$64, 0))/'Profit per cycles Model'!$E$78</f>
        <v>7.7111361896018629</v>
      </c>
      <c r="N745" s="28" t="e">
        <f t="shared" si="190"/>
        <v>#N/A</v>
      </c>
      <c r="O745" s="71" t="e">
        <f>AVERAGE($N$10:N745)</f>
        <v>#N/A</v>
      </c>
      <c r="P745" s="28" t="e">
        <f t="shared" si="191"/>
        <v>#N/A</v>
      </c>
      <c r="R745" s="28" t="e">
        <f t="shared" si="192"/>
        <v>#VALUE!</v>
      </c>
      <c r="S745" s="25"/>
      <c r="T745" s="25">
        <f t="shared" si="193"/>
        <v>15</v>
      </c>
      <c r="U745" s="33">
        <f>IF(PaybackCustom&gt;0, IF(PaybackCustom&lt;&gt;"Default", PaybackCustom, IF(PaybackStatus&lt;&gt;"",INDEX('Arbitrage Payback Engine'!$Y$2:$Y$6,MATCH(PaybackStatus,'Arbitrage Payback Engine'!$X$2:$X$6,FALSE)),-1)))</f>
        <v>25</v>
      </c>
      <c r="V745" s="32">
        <f t="shared" si="202"/>
        <v>15</v>
      </c>
      <c r="X745" s="29">
        <f t="shared" si="203"/>
        <v>736</v>
      </c>
      <c r="Z745" s="30">
        <f t="shared" si="194"/>
        <v>20.161621695658127</v>
      </c>
      <c r="AA745" s="28" t="e">
        <f t="shared" si="195"/>
        <v>#N/A</v>
      </c>
      <c r="AB745" s="28" t="e">
        <f t="shared" si="196"/>
        <v>#VALUE!</v>
      </c>
      <c r="AC745" s="29">
        <f t="shared" si="197"/>
        <v>698.29222011385195</v>
      </c>
      <c r="AD745" s="28" t="e">
        <f t="shared" si="198"/>
        <v>#VALUE!</v>
      </c>
      <c r="AE745" s="28" t="e">
        <f t="shared" si="199"/>
        <v>#N/A</v>
      </c>
      <c r="AF745" s="28" t="e">
        <f t="shared" si="200"/>
        <v>#VALUE!</v>
      </c>
      <c r="AH745" s="31" t="e">
        <f t="shared" si="201"/>
        <v>#N/A</v>
      </c>
      <c r="AI745" s="25"/>
      <c r="AJ745" s="31"/>
    </row>
    <row r="746" spans="2:36" x14ac:dyDescent="0.25">
      <c r="B746" s="33">
        <f>'Arbitrage Payback Engine'!E746</f>
        <v>20.189015203396796</v>
      </c>
      <c r="C746" s="33">
        <f t="shared" si="187"/>
        <v>1000</v>
      </c>
      <c r="D746" s="33">
        <f>'Battery Pricing Model'!$C$17</f>
        <v>1000</v>
      </c>
      <c r="E746" s="33">
        <f t="shared" si="188"/>
        <v>999</v>
      </c>
      <c r="F746" s="33" t="str">
        <f>'Peak Models'!$B$4</f>
        <v>Default</v>
      </c>
      <c r="G746" s="33" t="e">
        <f>'Peak Models'!$Q$7</f>
        <v>#VALUE!</v>
      </c>
      <c r="H746" s="33">
        <f>'Peak Models'!$P$16</f>
        <v>1.5</v>
      </c>
      <c r="I746" s="33">
        <v>12</v>
      </c>
      <c r="J746" s="33" t="e">
        <f>'Peak Models'!$P$13</f>
        <v>#N/A</v>
      </c>
      <c r="K746" s="28" t="e">
        <f t="shared" si="189"/>
        <v>#VALUE!</v>
      </c>
      <c r="L746" s="28" t="e">
        <f>INDEX('Peak Models'!$P$34:$P$64, MATCH(TRUNC(B746, 0), 'Peak Models'!$O$34:$O$64, 0))</f>
        <v>#N/A</v>
      </c>
      <c r="M746" s="28">
        <f>'Peak Models'!$P$15*INDEX('Peak Models'!$Q$34:$Q$64, MATCH(TRUNC(B746, 0),'Peak Models'!$O$34:$O$64, 0))/'Profit per cycles Model'!$E$78</f>
        <v>7.7111361896018629</v>
      </c>
      <c r="N746" s="28" t="e">
        <f t="shared" si="190"/>
        <v>#N/A</v>
      </c>
      <c r="O746" s="71" t="e">
        <f>AVERAGE($N$10:N746)</f>
        <v>#N/A</v>
      </c>
      <c r="P746" s="28" t="e">
        <f t="shared" si="191"/>
        <v>#N/A</v>
      </c>
      <c r="R746" s="28" t="e">
        <f t="shared" si="192"/>
        <v>#VALUE!</v>
      </c>
      <c r="S746" s="25"/>
      <c r="T746" s="25">
        <f t="shared" si="193"/>
        <v>15</v>
      </c>
      <c r="U746" s="33">
        <f>IF(PaybackCustom&gt;0, IF(PaybackCustom&lt;&gt;"Default", PaybackCustom, IF(PaybackStatus&lt;&gt;"",INDEX('Arbitrage Payback Engine'!$Y$2:$Y$6,MATCH(PaybackStatus,'Arbitrage Payback Engine'!$X$2:$X$6,FALSE)),-1)))</f>
        <v>25</v>
      </c>
      <c r="V746" s="32">
        <f t="shared" si="202"/>
        <v>15</v>
      </c>
      <c r="X746" s="29">
        <f t="shared" si="203"/>
        <v>737</v>
      </c>
      <c r="Z746" s="30">
        <f t="shared" si="194"/>
        <v>20.189015203396796</v>
      </c>
      <c r="AA746" s="28" t="e">
        <f t="shared" si="195"/>
        <v>#N/A</v>
      </c>
      <c r="AB746" s="28" t="e">
        <f t="shared" si="196"/>
        <v>#VALUE!</v>
      </c>
      <c r="AC746" s="29">
        <f t="shared" si="197"/>
        <v>699.24098671726767</v>
      </c>
      <c r="AD746" s="28" t="e">
        <f t="shared" si="198"/>
        <v>#VALUE!</v>
      </c>
      <c r="AE746" s="28" t="e">
        <f t="shared" si="199"/>
        <v>#N/A</v>
      </c>
      <c r="AF746" s="28" t="e">
        <f t="shared" si="200"/>
        <v>#VALUE!</v>
      </c>
      <c r="AH746" s="31" t="e">
        <f t="shared" si="201"/>
        <v>#N/A</v>
      </c>
      <c r="AI746" s="25"/>
      <c r="AJ746" s="31"/>
    </row>
    <row r="747" spans="2:36" x14ac:dyDescent="0.25">
      <c r="B747" s="33">
        <f>'Arbitrage Payback Engine'!E747</f>
        <v>20.216408711135461</v>
      </c>
      <c r="C747" s="33">
        <f t="shared" si="187"/>
        <v>1000</v>
      </c>
      <c r="D747" s="33">
        <f>'Battery Pricing Model'!$C$17</f>
        <v>1000</v>
      </c>
      <c r="E747" s="33">
        <f t="shared" si="188"/>
        <v>999</v>
      </c>
      <c r="F747" s="33" t="str">
        <f>'Peak Models'!$B$4</f>
        <v>Default</v>
      </c>
      <c r="G747" s="33" t="e">
        <f>'Peak Models'!$Q$7</f>
        <v>#VALUE!</v>
      </c>
      <c r="H747" s="33">
        <f>'Peak Models'!$P$16</f>
        <v>1.5</v>
      </c>
      <c r="I747" s="33">
        <v>12</v>
      </c>
      <c r="J747" s="33" t="e">
        <f>'Peak Models'!$P$13</f>
        <v>#N/A</v>
      </c>
      <c r="K747" s="28" t="e">
        <f t="shared" si="189"/>
        <v>#VALUE!</v>
      </c>
      <c r="L747" s="28" t="e">
        <f>INDEX('Peak Models'!$P$34:$P$64, MATCH(TRUNC(B747, 0), 'Peak Models'!$O$34:$O$64, 0))</f>
        <v>#N/A</v>
      </c>
      <c r="M747" s="28">
        <f>'Peak Models'!$P$15*INDEX('Peak Models'!$Q$34:$Q$64, MATCH(TRUNC(B747, 0),'Peak Models'!$O$34:$O$64, 0))/'Profit per cycles Model'!$E$78</f>
        <v>7.7111361896018629</v>
      </c>
      <c r="N747" s="28" t="e">
        <f t="shared" si="190"/>
        <v>#N/A</v>
      </c>
      <c r="O747" s="71" t="e">
        <f>AVERAGE($N$10:N747)</f>
        <v>#N/A</v>
      </c>
      <c r="P747" s="28" t="e">
        <f t="shared" si="191"/>
        <v>#N/A</v>
      </c>
      <c r="R747" s="28" t="e">
        <f t="shared" si="192"/>
        <v>#VALUE!</v>
      </c>
      <c r="S747" s="25"/>
      <c r="T747" s="25">
        <f t="shared" si="193"/>
        <v>15</v>
      </c>
      <c r="U747" s="33">
        <f>IF(PaybackCustom&gt;0, IF(PaybackCustom&lt;&gt;"Default", PaybackCustom, IF(PaybackStatus&lt;&gt;"",INDEX('Arbitrage Payback Engine'!$Y$2:$Y$6,MATCH(PaybackStatus,'Arbitrage Payback Engine'!$X$2:$X$6,FALSE)),-1)))</f>
        <v>25</v>
      </c>
      <c r="V747" s="32">
        <f t="shared" si="202"/>
        <v>15</v>
      </c>
      <c r="X747" s="29">
        <f t="shared" si="203"/>
        <v>738</v>
      </c>
      <c r="Z747" s="30">
        <f t="shared" si="194"/>
        <v>20.216408711135461</v>
      </c>
      <c r="AA747" s="28" t="e">
        <f t="shared" si="195"/>
        <v>#N/A</v>
      </c>
      <c r="AB747" s="28" t="e">
        <f t="shared" si="196"/>
        <v>#VALUE!</v>
      </c>
      <c r="AC747" s="29">
        <f t="shared" si="197"/>
        <v>700.18975332068317</v>
      </c>
      <c r="AD747" s="28" t="e">
        <f t="shared" si="198"/>
        <v>#VALUE!</v>
      </c>
      <c r="AE747" s="28" t="e">
        <f t="shared" si="199"/>
        <v>#N/A</v>
      </c>
      <c r="AF747" s="28" t="e">
        <f t="shared" si="200"/>
        <v>#VALUE!</v>
      </c>
      <c r="AH747" s="31" t="e">
        <f t="shared" si="201"/>
        <v>#N/A</v>
      </c>
      <c r="AI747" s="25"/>
      <c r="AJ747" s="31"/>
    </row>
    <row r="748" spans="2:36" x14ac:dyDescent="0.25">
      <c r="B748" s="33">
        <f>'Arbitrage Payback Engine'!E748</f>
        <v>20.243802218874126</v>
      </c>
      <c r="C748" s="33">
        <f t="shared" si="187"/>
        <v>1000</v>
      </c>
      <c r="D748" s="33">
        <f>'Battery Pricing Model'!$C$17</f>
        <v>1000</v>
      </c>
      <c r="E748" s="33">
        <f t="shared" si="188"/>
        <v>999</v>
      </c>
      <c r="F748" s="33" t="str">
        <f>'Peak Models'!$B$4</f>
        <v>Default</v>
      </c>
      <c r="G748" s="33" t="e">
        <f>'Peak Models'!$Q$7</f>
        <v>#VALUE!</v>
      </c>
      <c r="H748" s="33">
        <f>'Peak Models'!$P$16</f>
        <v>1.5</v>
      </c>
      <c r="I748" s="33">
        <v>12</v>
      </c>
      <c r="J748" s="33" t="e">
        <f>'Peak Models'!$P$13</f>
        <v>#N/A</v>
      </c>
      <c r="K748" s="28" t="e">
        <f t="shared" si="189"/>
        <v>#VALUE!</v>
      </c>
      <c r="L748" s="28" t="e">
        <f>INDEX('Peak Models'!$P$34:$P$64, MATCH(TRUNC(B748, 0), 'Peak Models'!$O$34:$O$64, 0))</f>
        <v>#N/A</v>
      </c>
      <c r="M748" s="28">
        <f>'Peak Models'!$P$15*INDEX('Peak Models'!$Q$34:$Q$64, MATCH(TRUNC(B748, 0),'Peak Models'!$O$34:$O$64, 0))/'Profit per cycles Model'!$E$78</f>
        <v>7.7111361896018629</v>
      </c>
      <c r="N748" s="28" t="e">
        <f t="shared" si="190"/>
        <v>#N/A</v>
      </c>
      <c r="O748" s="71" t="e">
        <f>AVERAGE($N$10:N748)</f>
        <v>#N/A</v>
      </c>
      <c r="P748" s="28" t="e">
        <f t="shared" si="191"/>
        <v>#N/A</v>
      </c>
      <c r="R748" s="28" t="e">
        <f t="shared" si="192"/>
        <v>#VALUE!</v>
      </c>
      <c r="S748" s="25"/>
      <c r="T748" s="25">
        <f t="shared" si="193"/>
        <v>15</v>
      </c>
      <c r="U748" s="33">
        <f>IF(PaybackCustom&gt;0, IF(PaybackCustom&lt;&gt;"Default", PaybackCustom, IF(PaybackStatus&lt;&gt;"",INDEX('Arbitrage Payback Engine'!$Y$2:$Y$6,MATCH(PaybackStatus,'Arbitrage Payback Engine'!$X$2:$X$6,FALSE)),-1)))</f>
        <v>25</v>
      </c>
      <c r="V748" s="32">
        <f t="shared" si="202"/>
        <v>15</v>
      </c>
      <c r="X748" s="29">
        <f t="shared" si="203"/>
        <v>739</v>
      </c>
      <c r="Z748" s="30">
        <f t="shared" si="194"/>
        <v>20.243802218874126</v>
      </c>
      <c r="AA748" s="28" t="e">
        <f t="shared" si="195"/>
        <v>#N/A</v>
      </c>
      <c r="AB748" s="28" t="e">
        <f t="shared" si="196"/>
        <v>#VALUE!</v>
      </c>
      <c r="AC748" s="29">
        <f t="shared" si="197"/>
        <v>701.13851992409866</v>
      </c>
      <c r="AD748" s="28" t="e">
        <f t="shared" si="198"/>
        <v>#VALUE!</v>
      </c>
      <c r="AE748" s="28" t="e">
        <f t="shared" si="199"/>
        <v>#N/A</v>
      </c>
      <c r="AF748" s="28" t="e">
        <f t="shared" si="200"/>
        <v>#VALUE!</v>
      </c>
      <c r="AH748" s="31" t="e">
        <f t="shared" si="201"/>
        <v>#N/A</v>
      </c>
      <c r="AI748" s="25"/>
      <c r="AJ748" s="31"/>
    </row>
    <row r="749" spans="2:36" x14ac:dyDescent="0.25">
      <c r="B749" s="33">
        <f>'Arbitrage Payback Engine'!E749</f>
        <v>20.271195726612792</v>
      </c>
      <c r="C749" s="33">
        <f t="shared" si="187"/>
        <v>1000</v>
      </c>
      <c r="D749" s="33">
        <f>'Battery Pricing Model'!$C$17</f>
        <v>1000</v>
      </c>
      <c r="E749" s="33">
        <f t="shared" si="188"/>
        <v>999</v>
      </c>
      <c r="F749" s="33" t="str">
        <f>'Peak Models'!$B$4</f>
        <v>Default</v>
      </c>
      <c r="G749" s="33" t="e">
        <f>'Peak Models'!$Q$7</f>
        <v>#VALUE!</v>
      </c>
      <c r="H749" s="33">
        <f>'Peak Models'!$P$16</f>
        <v>1.5</v>
      </c>
      <c r="I749" s="33">
        <v>12</v>
      </c>
      <c r="J749" s="33" t="e">
        <f>'Peak Models'!$P$13</f>
        <v>#N/A</v>
      </c>
      <c r="K749" s="28" t="e">
        <f t="shared" si="189"/>
        <v>#VALUE!</v>
      </c>
      <c r="L749" s="28" t="e">
        <f>INDEX('Peak Models'!$P$34:$P$64, MATCH(TRUNC(B749, 0), 'Peak Models'!$O$34:$O$64, 0))</f>
        <v>#N/A</v>
      </c>
      <c r="M749" s="28">
        <f>'Peak Models'!$P$15*INDEX('Peak Models'!$Q$34:$Q$64, MATCH(TRUNC(B749, 0),'Peak Models'!$O$34:$O$64, 0))/'Profit per cycles Model'!$E$78</f>
        <v>7.7111361896018629</v>
      </c>
      <c r="N749" s="28" t="e">
        <f t="shared" si="190"/>
        <v>#N/A</v>
      </c>
      <c r="O749" s="71" t="e">
        <f>AVERAGE($N$10:N749)</f>
        <v>#N/A</v>
      </c>
      <c r="P749" s="28" t="e">
        <f t="shared" si="191"/>
        <v>#N/A</v>
      </c>
      <c r="R749" s="28" t="e">
        <f t="shared" si="192"/>
        <v>#VALUE!</v>
      </c>
      <c r="S749" s="25"/>
      <c r="T749" s="25">
        <f t="shared" si="193"/>
        <v>15</v>
      </c>
      <c r="U749" s="33">
        <f>IF(PaybackCustom&gt;0, IF(PaybackCustom&lt;&gt;"Default", PaybackCustom, IF(PaybackStatus&lt;&gt;"",INDEX('Arbitrage Payback Engine'!$Y$2:$Y$6,MATCH(PaybackStatus,'Arbitrage Payback Engine'!$X$2:$X$6,FALSE)),-1)))</f>
        <v>25</v>
      </c>
      <c r="V749" s="32">
        <f t="shared" si="202"/>
        <v>15</v>
      </c>
      <c r="X749" s="29">
        <f t="shared" si="203"/>
        <v>740</v>
      </c>
      <c r="Z749" s="30">
        <f t="shared" si="194"/>
        <v>20.271195726612792</v>
      </c>
      <c r="AA749" s="28" t="e">
        <f t="shared" si="195"/>
        <v>#N/A</v>
      </c>
      <c r="AB749" s="28" t="e">
        <f t="shared" si="196"/>
        <v>#VALUE!</v>
      </c>
      <c r="AC749" s="29">
        <f t="shared" si="197"/>
        <v>702.08728652751415</v>
      </c>
      <c r="AD749" s="28" t="e">
        <f t="shared" si="198"/>
        <v>#VALUE!</v>
      </c>
      <c r="AE749" s="28" t="e">
        <f t="shared" si="199"/>
        <v>#N/A</v>
      </c>
      <c r="AF749" s="28" t="e">
        <f t="shared" si="200"/>
        <v>#VALUE!</v>
      </c>
      <c r="AH749" s="31" t="e">
        <f t="shared" si="201"/>
        <v>#N/A</v>
      </c>
      <c r="AI749" s="25"/>
      <c r="AJ749" s="31"/>
    </row>
    <row r="750" spans="2:36" x14ac:dyDescent="0.25">
      <c r="B750" s="33">
        <f>'Arbitrage Payback Engine'!E750</f>
        <v>20.298589234351457</v>
      </c>
      <c r="C750" s="33">
        <f t="shared" si="187"/>
        <v>1000</v>
      </c>
      <c r="D750" s="33">
        <f>'Battery Pricing Model'!$C$17</f>
        <v>1000</v>
      </c>
      <c r="E750" s="33">
        <f t="shared" si="188"/>
        <v>999</v>
      </c>
      <c r="F750" s="33" t="str">
        <f>'Peak Models'!$B$4</f>
        <v>Default</v>
      </c>
      <c r="G750" s="33" t="e">
        <f>'Peak Models'!$Q$7</f>
        <v>#VALUE!</v>
      </c>
      <c r="H750" s="33">
        <f>'Peak Models'!$P$16</f>
        <v>1.5</v>
      </c>
      <c r="I750" s="33">
        <v>12</v>
      </c>
      <c r="J750" s="33" t="e">
        <f>'Peak Models'!$P$13</f>
        <v>#N/A</v>
      </c>
      <c r="K750" s="28" t="e">
        <f t="shared" si="189"/>
        <v>#VALUE!</v>
      </c>
      <c r="L750" s="28" t="e">
        <f>INDEX('Peak Models'!$P$34:$P$64, MATCH(TRUNC(B750, 0), 'Peak Models'!$O$34:$O$64, 0))</f>
        <v>#N/A</v>
      </c>
      <c r="M750" s="28">
        <f>'Peak Models'!$P$15*INDEX('Peak Models'!$Q$34:$Q$64, MATCH(TRUNC(B750, 0),'Peak Models'!$O$34:$O$64, 0))/'Profit per cycles Model'!$E$78</f>
        <v>7.7111361896018629</v>
      </c>
      <c r="N750" s="28" t="e">
        <f t="shared" si="190"/>
        <v>#N/A</v>
      </c>
      <c r="O750" s="71" t="e">
        <f>AVERAGE($N$10:N750)</f>
        <v>#N/A</v>
      </c>
      <c r="P750" s="28" t="e">
        <f t="shared" si="191"/>
        <v>#N/A</v>
      </c>
      <c r="R750" s="28" t="e">
        <f t="shared" si="192"/>
        <v>#VALUE!</v>
      </c>
      <c r="S750" s="25"/>
      <c r="T750" s="25">
        <f t="shared" si="193"/>
        <v>15</v>
      </c>
      <c r="U750" s="33">
        <f>IF(PaybackCustom&gt;0, IF(PaybackCustom&lt;&gt;"Default", PaybackCustom, IF(PaybackStatus&lt;&gt;"",INDEX('Arbitrage Payback Engine'!$Y$2:$Y$6,MATCH(PaybackStatus,'Arbitrage Payback Engine'!$X$2:$X$6,FALSE)),-1)))</f>
        <v>25</v>
      </c>
      <c r="V750" s="32">
        <f t="shared" si="202"/>
        <v>15</v>
      </c>
      <c r="X750" s="29">
        <f t="shared" si="203"/>
        <v>741</v>
      </c>
      <c r="Z750" s="30">
        <f t="shared" si="194"/>
        <v>20.298589234351457</v>
      </c>
      <c r="AA750" s="28" t="e">
        <f t="shared" si="195"/>
        <v>#N/A</v>
      </c>
      <c r="AB750" s="28" t="e">
        <f t="shared" si="196"/>
        <v>#VALUE!</v>
      </c>
      <c r="AC750" s="29">
        <f t="shared" si="197"/>
        <v>703.03605313092976</v>
      </c>
      <c r="AD750" s="28" t="e">
        <f t="shared" si="198"/>
        <v>#VALUE!</v>
      </c>
      <c r="AE750" s="28" t="e">
        <f t="shared" si="199"/>
        <v>#N/A</v>
      </c>
      <c r="AF750" s="28" t="e">
        <f t="shared" si="200"/>
        <v>#VALUE!</v>
      </c>
      <c r="AH750" s="31" t="e">
        <f t="shared" si="201"/>
        <v>#N/A</v>
      </c>
      <c r="AI750" s="25"/>
      <c r="AJ750" s="31"/>
    </row>
    <row r="751" spans="2:36" x14ac:dyDescent="0.25">
      <c r="B751" s="33">
        <f>'Arbitrage Payback Engine'!E751</f>
        <v>20.325982742090122</v>
      </c>
      <c r="C751" s="33">
        <f t="shared" si="187"/>
        <v>1000</v>
      </c>
      <c r="D751" s="33">
        <f>'Battery Pricing Model'!$C$17</f>
        <v>1000</v>
      </c>
      <c r="E751" s="33">
        <f t="shared" si="188"/>
        <v>999</v>
      </c>
      <c r="F751" s="33" t="str">
        <f>'Peak Models'!$B$4</f>
        <v>Default</v>
      </c>
      <c r="G751" s="33" t="e">
        <f>'Peak Models'!$Q$7</f>
        <v>#VALUE!</v>
      </c>
      <c r="H751" s="33">
        <f>'Peak Models'!$P$16</f>
        <v>1.5</v>
      </c>
      <c r="I751" s="33">
        <v>12</v>
      </c>
      <c r="J751" s="33" t="e">
        <f>'Peak Models'!$P$13</f>
        <v>#N/A</v>
      </c>
      <c r="K751" s="28" t="e">
        <f t="shared" si="189"/>
        <v>#VALUE!</v>
      </c>
      <c r="L751" s="28" t="e">
        <f>INDEX('Peak Models'!$P$34:$P$64, MATCH(TRUNC(B751, 0), 'Peak Models'!$O$34:$O$64, 0))</f>
        <v>#N/A</v>
      </c>
      <c r="M751" s="28">
        <f>'Peak Models'!$P$15*INDEX('Peak Models'!$Q$34:$Q$64, MATCH(TRUNC(B751, 0),'Peak Models'!$O$34:$O$64, 0))/'Profit per cycles Model'!$E$78</f>
        <v>7.7111361896018629</v>
      </c>
      <c r="N751" s="28" t="e">
        <f t="shared" si="190"/>
        <v>#N/A</v>
      </c>
      <c r="O751" s="71" t="e">
        <f>AVERAGE($N$10:N751)</f>
        <v>#N/A</v>
      </c>
      <c r="P751" s="28" t="e">
        <f t="shared" si="191"/>
        <v>#N/A</v>
      </c>
      <c r="R751" s="28" t="e">
        <f t="shared" si="192"/>
        <v>#VALUE!</v>
      </c>
      <c r="S751" s="25"/>
      <c r="T751" s="25">
        <f t="shared" si="193"/>
        <v>15</v>
      </c>
      <c r="U751" s="33">
        <f>IF(PaybackCustom&gt;0, IF(PaybackCustom&lt;&gt;"Default", PaybackCustom, IF(PaybackStatus&lt;&gt;"",INDEX('Arbitrage Payback Engine'!$Y$2:$Y$6,MATCH(PaybackStatus,'Arbitrage Payback Engine'!$X$2:$X$6,FALSE)),-1)))</f>
        <v>25</v>
      </c>
      <c r="V751" s="32">
        <f t="shared" si="202"/>
        <v>15</v>
      </c>
      <c r="X751" s="29">
        <f t="shared" si="203"/>
        <v>742</v>
      </c>
      <c r="Z751" s="30">
        <f t="shared" si="194"/>
        <v>20.325982742090122</v>
      </c>
      <c r="AA751" s="28" t="e">
        <f t="shared" si="195"/>
        <v>#N/A</v>
      </c>
      <c r="AB751" s="28" t="e">
        <f t="shared" si="196"/>
        <v>#VALUE!</v>
      </c>
      <c r="AC751" s="29">
        <f t="shared" si="197"/>
        <v>703.98481973434536</v>
      </c>
      <c r="AD751" s="28" t="e">
        <f t="shared" si="198"/>
        <v>#VALUE!</v>
      </c>
      <c r="AE751" s="28" t="e">
        <f t="shared" si="199"/>
        <v>#N/A</v>
      </c>
      <c r="AF751" s="28" t="e">
        <f t="shared" si="200"/>
        <v>#VALUE!</v>
      </c>
      <c r="AH751" s="31" t="e">
        <f t="shared" si="201"/>
        <v>#N/A</v>
      </c>
      <c r="AI751" s="25"/>
      <c r="AJ751" s="31"/>
    </row>
    <row r="752" spans="2:36" x14ac:dyDescent="0.25">
      <c r="B752" s="33">
        <f>'Arbitrage Payback Engine'!E752</f>
        <v>20.353376249828791</v>
      </c>
      <c r="C752" s="33">
        <f t="shared" si="187"/>
        <v>1000</v>
      </c>
      <c r="D752" s="33">
        <f>'Battery Pricing Model'!$C$17</f>
        <v>1000</v>
      </c>
      <c r="E752" s="33">
        <f t="shared" si="188"/>
        <v>999</v>
      </c>
      <c r="F752" s="33" t="str">
        <f>'Peak Models'!$B$4</f>
        <v>Default</v>
      </c>
      <c r="G752" s="33" t="e">
        <f>'Peak Models'!$Q$7</f>
        <v>#VALUE!</v>
      </c>
      <c r="H752" s="33">
        <f>'Peak Models'!$P$16</f>
        <v>1.5</v>
      </c>
      <c r="I752" s="33">
        <v>12</v>
      </c>
      <c r="J752" s="33" t="e">
        <f>'Peak Models'!$P$13</f>
        <v>#N/A</v>
      </c>
      <c r="K752" s="28" t="e">
        <f t="shared" si="189"/>
        <v>#VALUE!</v>
      </c>
      <c r="L752" s="28" t="e">
        <f>INDEX('Peak Models'!$P$34:$P$64, MATCH(TRUNC(B752, 0), 'Peak Models'!$O$34:$O$64, 0))</f>
        <v>#N/A</v>
      </c>
      <c r="M752" s="28">
        <f>'Peak Models'!$P$15*INDEX('Peak Models'!$Q$34:$Q$64, MATCH(TRUNC(B752, 0),'Peak Models'!$O$34:$O$64, 0))/'Profit per cycles Model'!$E$78</f>
        <v>7.7111361896018629</v>
      </c>
      <c r="N752" s="28" t="e">
        <f t="shared" si="190"/>
        <v>#N/A</v>
      </c>
      <c r="O752" s="71" t="e">
        <f>AVERAGE($N$10:N752)</f>
        <v>#N/A</v>
      </c>
      <c r="P752" s="28" t="e">
        <f t="shared" si="191"/>
        <v>#N/A</v>
      </c>
      <c r="R752" s="28" t="e">
        <f t="shared" si="192"/>
        <v>#VALUE!</v>
      </c>
      <c r="S752" s="25"/>
      <c r="T752" s="25">
        <f t="shared" si="193"/>
        <v>15</v>
      </c>
      <c r="U752" s="33">
        <f>IF(PaybackCustom&gt;0, IF(PaybackCustom&lt;&gt;"Default", PaybackCustom, IF(PaybackStatus&lt;&gt;"",INDEX('Arbitrage Payback Engine'!$Y$2:$Y$6,MATCH(PaybackStatus,'Arbitrage Payback Engine'!$X$2:$X$6,FALSE)),-1)))</f>
        <v>25</v>
      </c>
      <c r="V752" s="32">
        <f t="shared" si="202"/>
        <v>15</v>
      </c>
      <c r="X752" s="29">
        <f t="shared" si="203"/>
        <v>743</v>
      </c>
      <c r="Z752" s="30">
        <f t="shared" si="194"/>
        <v>20.353376249828791</v>
      </c>
      <c r="AA752" s="28" t="e">
        <f t="shared" si="195"/>
        <v>#N/A</v>
      </c>
      <c r="AB752" s="28" t="e">
        <f t="shared" si="196"/>
        <v>#VALUE!</v>
      </c>
      <c r="AC752" s="29">
        <f t="shared" si="197"/>
        <v>704.93358633776097</v>
      </c>
      <c r="AD752" s="28" t="e">
        <f t="shared" si="198"/>
        <v>#VALUE!</v>
      </c>
      <c r="AE752" s="28" t="e">
        <f t="shared" si="199"/>
        <v>#N/A</v>
      </c>
      <c r="AF752" s="28" t="e">
        <f t="shared" si="200"/>
        <v>#VALUE!</v>
      </c>
      <c r="AH752" s="31" t="e">
        <f t="shared" si="201"/>
        <v>#N/A</v>
      </c>
      <c r="AI752" s="25"/>
      <c r="AJ752" s="31"/>
    </row>
    <row r="753" spans="2:36" x14ac:dyDescent="0.25">
      <c r="B753" s="33">
        <f>'Arbitrage Payback Engine'!E753</f>
        <v>20.380769757567457</v>
      </c>
      <c r="C753" s="33">
        <f t="shared" si="187"/>
        <v>1000</v>
      </c>
      <c r="D753" s="33">
        <f>'Battery Pricing Model'!$C$17</f>
        <v>1000</v>
      </c>
      <c r="E753" s="33">
        <f t="shared" si="188"/>
        <v>999</v>
      </c>
      <c r="F753" s="33" t="str">
        <f>'Peak Models'!$B$4</f>
        <v>Default</v>
      </c>
      <c r="G753" s="33" t="e">
        <f>'Peak Models'!$Q$7</f>
        <v>#VALUE!</v>
      </c>
      <c r="H753" s="33">
        <f>'Peak Models'!$P$16</f>
        <v>1.5</v>
      </c>
      <c r="I753" s="33">
        <v>12</v>
      </c>
      <c r="J753" s="33" t="e">
        <f>'Peak Models'!$P$13</f>
        <v>#N/A</v>
      </c>
      <c r="K753" s="28" t="e">
        <f t="shared" si="189"/>
        <v>#VALUE!</v>
      </c>
      <c r="L753" s="28" t="e">
        <f>INDEX('Peak Models'!$P$34:$P$64, MATCH(TRUNC(B753, 0), 'Peak Models'!$O$34:$O$64, 0))</f>
        <v>#N/A</v>
      </c>
      <c r="M753" s="28">
        <f>'Peak Models'!$P$15*INDEX('Peak Models'!$Q$34:$Q$64, MATCH(TRUNC(B753, 0),'Peak Models'!$O$34:$O$64, 0))/'Profit per cycles Model'!$E$78</f>
        <v>7.7111361896018629</v>
      </c>
      <c r="N753" s="28" t="e">
        <f t="shared" si="190"/>
        <v>#N/A</v>
      </c>
      <c r="O753" s="71" t="e">
        <f>AVERAGE($N$10:N753)</f>
        <v>#N/A</v>
      </c>
      <c r="P753" s="28" t="e">
        <f t="shared" si="191"/>
        <v>#N/A</v>
      </c>
      <c r="R753" s="28" t="e">
        <f t="shared" si="192"/>
        <v>#VALUE!</v>
      </c>
      <c r="S753" s="25"/>
      <c r="T753" s="25">
        <f t="shared" si="193"/>
        <v>15</v>
      </c>
      <c r="U753" s="33">
        <f>IF(PaybackCustom&gt;0, IF(PaybackCustom&lt;&gt;"Default", PaybackCustom, IF(PaybackStatus&lt;&gt;"",INDEX('Arbitrage Payback Engine'!$Y$2:$Y$6,MATCH(PaybackStatus,'Arbitrage Payback Engine'!$X$2:$X$6,FALSE)),-1)))</f>
        <v>25</v>
      </c>
      <c r="V753" s="32">
        <f t="shared" si="202"/>
        <v>15</v>
      </c>
      <c r="X753" s="29">
        <f t="shared" si="203"/>
        <v>744</v>
      </c>
      <c r="Z753" s="30">
        <f t="shared" si="194"/>
        <v>20.380769757567457</v>
      </c>
      <c r="AA753" s="28" t="e">
        <f t="shared" si="195"/>
        <v>#N/A</v>
      </c>
      <c r="AB753" s="28" t="e">
        <f t="shared" si="196"/>
        <v>#VALUE!</v>
      </c>
      <c r="AC753" s="29">
        <f t="shared" si="197"/>
        <v>705.88235294117658</v>
      </c>
      <c r="AD753" s="28" t="e">
        <f t="shared" si="198"/>
        <v>#VALUE!</v>
      </c>
      <c r="AE753" s="28" t="e">
        <f t="shared" si="199"/>
        <v>#N/A</v>
      </c>
      <c r="AF753" s="28" t="e">
        <f t="shared" si="200"/>
        <v>#VALUE!</v>
      </c>
      <c r="AH753" s="31" t="e">
        <f t="shared" si="201"/>
        <v>#N/A</v>
      </c>
      <c r="AI753" s="25"/>
      <c r="AJ753" s="31"/>
    </row>
    <row r="754" spans="2:36" x14ac:dyDescent="0.25">
      <c r="B754" s="33">
        <f>'Arbitrage Payback Engine'!E754</f>
        <v>20.408163265306122</v>
      </c>
      <c r="C754" s="33">
        <f t="shared" si="187"/>
        <v>1000</v>
      </c>
      <c r="D754" s="33">
        <f>'Battery Pricing Model'!$C$17</f>
        <v>1000</v>
      </c>
      <c r="E754" s="33">
        <f t="shared" si="188"/>
        <v>999</v>
      </c>
      <c r="F754" s="33" t="str">
        <f>'Peak Models'!$B$4</f>
        <v>Default</v>
      </c>
      <c r="G754" s="33" t="e">
        <f>'Peak Models'!$Q$7</f>
        <v>#VALUE!</v>
      </c>
      <c r="H754" s="33">
        <f>'Peak Models'!$P$16</f>
        <v>1.5</v>
      </c>
      <c r="I754" s="33">
        <v>12</v>
      </c>
      <c r="J754" s="33" t="e">
        <f>'Peak Models'!$P$13</f>
        <v>#N/A</v>
      </c>
      <c r="K754" s="28" t="e">
        <f t="shared" si="189"/>
        <v>#VALUE!</v>
      </c>
      <c r="L754" s="28" t="e">
        <f>INDEX('Peak Models'!$P$34:$P$64, MATCH(TRUNC(B754, 0), 'Peak Models'!$O$34:$O$64, 0))</f>
        <v>#N/A</v>
      </c>
      <c r="M754" s="28">
        <f>'Peak Models'!$P$15*INDEX('Peak Models'!$Q$34:$Q$64, MATCH(TRUNC(B754, 0),'Peak Models'!$O$34:$O$64, 0))/'Profit per cycles Model'!$E$78</f>
        <v>7.7111361896018629</v>
      </c>
      <c r="N754" s="28" t="e">
        <f t="shared" si="190"/>
        <v>#N/A</v>
      </c>
      <c r="O754" s="71" t="e">
        <f>AVERAGE($N$10:N754)</f>
        <v>#N/A</v>
      </c>
      <c r="P754" s="28" t="e">
        <f t="shared" si="191"/>
        <v>#N/A</v>
      </c>
      <c r="R754" s="28" t="e">
        <f t="shared" si="192"/>
        <v>#VALUE!</v>
      </c>
      <c r="S754" s="25"/>
      <c r="T754" s="25">
        <f t="shared" si="193"/>
        <v>15</v>
      </c>
      <c r="U754" s="33">
        <f>IF(PaybackCustom&gt;0, IF(PaybackCustom&lt;&gt;"Default", PaybackCustom, IF(PaybackStatus&lt;&gt;"",INDEX('Arbitrage Payback Engine'!$Y$2:$Y$6,MATCH(PaybackStatus,'Arbitrage Payback Engine'!$X$2:$X$6,FALSE)),-1)))</f>
        <v>25</v>
      </c>
      <c r="V754" s="32">
        <f t="shared" si="202"/>
        <v>15</v>
      </c>
      <c r="X754" s="29">
        <f t="shared" si="203"/>
        <v>745</v>
      </c>
      <c r="Z754" s="30">
        <f t="shared" si="194"/>
        <v>20.408163265306122</v>
      </c>
      <c r="AA754" s="28" t="e">
        <f t="shared" si="195"/>
        <v>#N/A</v>
      </c>
      <c r="AB754" s="28" t="e">
        <f t="shared" si="196"/>
        <v>#VALUE!</v>
      </c>
      <c r="AC754" s="29">
        <f t="shared" si="197"/>
        <v>706.83111954459196</v>
      </c>
      <c r="AD754" s="28" t="e">
        <f t="shared" si="198"/>
        <v>#VALUE!</v>
      </c>
      <c r="AE754" s="28" t="e">
        <f t="shared" si="199"/>
        <v>#N/A</v>
      </c>
      <c r="AF754" s="28" t="e">
        <f t="shared" si="200"/>
        <v>#VALUE!</v>
      </c>
      <c r="AH754" s="31" t="e">
        <f t="shared" si="201"/>
        <v>#N/A</v>
      </c>
      <c r="AI754" s="25"/>
      <c r="AJ754" s="31"/>
    </row>
    <row r="755" spans="2:36" x14ac:dyDescent="0.25">
      <c r="B755" s="33">
        <f>'Arbitrage Payback Engine'!E755</f>
        <v>20.435556773044787</v>
      </c>
      <c r="C755" s="33">
        <f t="shared" si="187"/>
        <v>1000</v>
      </c>
      <c r="D755" s="33">
        <f>'Battery Pricing Model'!$C$17</f>
        <v>1000</v>
      </c>
      <c r="E755" s="33">
        <f t="shared" si="188"/>
        <v>999</v>
      </c>
      <c r="F755" s="33" t="str">
        <f>'Peak Models'!$B$4</f>
        <v>Default</v>
      </c>
      <c r="G755" s="33" t="e">
        <f>'Peak Models'!$Q$7</f>
        <v>#VALUE!</v>
      </c>
      <c r="H755" s="33">
        <f>'Peak Models'!$P$16</f>
        <v>1.5</v>
      </c>
      <c r="I755" s="33">
        <v>12</v>
      </c>
      <c r="J755" s="33" t="e">
        <f>'Peak Models'!$P$13</f>
        <v>#N/A</v>
      </c>
      <c r="K755" s="28" t="e">
        <f t="shared" si="189"/>
        <v>#VALUE!</v>
      </c>
      <c r="L755" s="28" t="e">
        <f>INDEX('Peak Models'!$P$34:$P$64, MATCH(TRUNC(B755, 0), 'Peak Models'!$O$34:$O$64, 0))</f>
        <v>#N/A</v>
      </c>
      <c r="M755" s="28">
        <f>'Peak Models'!$P$15*INDEX('Peak Models'!$Q$34:$Q$64, MATCH(TRUNC(B755, 0),'Peak Models'!$O$34:$O$64, 0))/'Profit per cycles Model'!$E$78</f>
        <v>7.7111361896018629</v>
      </c>
      <c r="N755" s="28" t="e">
        <f t="shared" si="190"/>
        <v>#N/A</v>
      </c>
      <c r="O755" s="71" t="e">
        <f>AVERAGE($N$10:N755)</f>
        <v>#N/A</v>
      </c>
      <c r="P755" s="28" t="e">
        <f t="shared" si="191"/>
        <v>#N/A</v>
      </c>
      <c r="R755" s="28" t="e">
        <f t="shared" si="192"/>
        <v>#VALUE!</v>
      </c>
      <c r="S755" s="25"/>
      <c r="T755" s="25">
        <f t="shared" si="193"/>
        <v>15</v>
      </c>
      <c r="U755" s="33">
        <f>IF(PaybackCustom&gt;0, IF(PaybackCustom&lt;&gt;"Default", PaybackCustom, IF(PaybackStatus&lt;&gt;"",INDEX('Arbitrage Payback Engine'!$Y$2:$Y$6,MATCH(PaybackStatus,'Arbitrage Payback Engine'!$X$2:$X$6,FALSE)),-1)))</f>
        <v>25</v>
      </c>
      <c r="V755" s="32">
        <f t="shared" si="202"/>
        <v>15</v>
      </c>
      <c r="X755" s="29">
        <f t="shared" si="203"/>
        <v>746</v>
      </c>
      <c r="Z755" s="30">
        <f t="shared" si="194"/>
        <v>20.435556773044787</v>
      </c>
      <c r="AA755" s="28" t="e">
        <f t="shared" si="195"/>
        <v>#N/A</v>
      </c>
      <c r="AB755" s="28" t="e">
        <f t="shared" si="196"/>
        <v>#VALUE!</v>
      </c>
      <c r="AC755" s="29">
        <f t="shared" si="197"/>
        <v>707.77988614800756</v>
      </c>
      <c r="AD755" s="28" t="e">
        <f t="shared" si="198"/>
        <v>#VALUE!</v>
      </c>
      <c r="AE755" s="28" t="e">
        <f t="shared" si="199"/>
        <v>#N/A</v>
      </c>
      <c r="AF755" s="28" t="e">
        <f t="shared" si="200"/>
        <v>#VALUE!</v>
      </c>
      <c r="AH755" s="31" t="e">
        <f t="shared" si="201"/>
        <v>#N/A</v>
      </c>
      <c r="AI755" s="25"/>
      <c r="AJ755" s="31"/>
    </row>
    <row r="756" spans="2:36" x14ac:dyDescent="0.25">
      <c r="B756" s="33">
        <f>'Arbitrage Payback Engine'!E756</f>
        <v>20.462950280783453</v>
      </c>
      <c r="C756" s="33">
        <f t="shared" si="187"/>
        <v>1000</v>
      </c>
      <c r="D756" s="33">
        <f>'Battery Pricing Model'!$C$17</f>
        <v>1000</v>
      </c>
      <c r="E756" s="33">
        <f t="shared" si="188"/>
        <v>999</v>
      </c>
      <c r="F756" s="33" t="str">
        <f>'Peak Models'!$B$4</f>
        <v>Default</v>
      </c>
      <c r="G756" s="33" t="e">
        <f>'Peak Models'!$Q$7</f>
        <v>#VALUE!</v>
      </c>
      <c r="H756" s="33">
        <f>'Peak Models'!$P$16</f>
        <v>1.5</v>
      </c>
      <c r="I756" s="33">
        <v>12</v>
      </c>
      <c r="J756" s="33" t="e">
        <f>'Peak Models'!$P$13</f>
        <v>#N/A</v>
      </c>
      <c r="K756" s="28" t="e">
        <f t="shared" si="189"/>
        <v>#VALUE!</v>
      </c>
      <c r="L756" s="28" t="e">
        <f>INDEX('Peak Models'!$P$34:$P$64, MATCH(TRUNC(B756, 0), 'Peak Models'!$O$34:$O$64, 0))</f>
        <v>#N/A</v>
      </c>
      <c r="M756" s="28">
        <f>'Peak Models'!$P$15*INDEX('Peak Models'!$Q$34:$Q$64, MATCH(TRUNC(B756, 0),'Peak Models'!$O$34:$O$64, 0))/'Profit per cycles Model'!$E$78</f>
        <v>7.7111361896018629</v>
      </c>
      <c r="N756" s="28" t="e">
        <f t="shared" si="190"/>
        <v>#N/A</v>
      </c>
      <c r="O756" s="71" t="e">
        <f>AVERAGE($N$10:N756)</f>
        <v>#N/A</v>
      </c>
      <c r="P756" s="28" t="e">
        <f t="shared" si="191"/>
        <v>#N/A</v>
      </c>
      <c r="R756" s="28" t="e">
        <f t="shared" si="192"/>
        <v>#VALUE!</v>
      </c>
      <c r="S756" s="25"/>
      <c r="T756" s="25">
        <f t="shared" si="193"/>
        <v>15</v>
      </c>
      <c r="U756" s="33">
        <f>IF(PaybackCustom&gt;0, IF(PaybackCustom&lt;&gt;"Default", PaybackCustom, IF(PaybackStatus&lt;&gt;"",INDEX('Arbitrage Payback Engine'!$Y$2:$Y$6,MATCH(PaybackStatus,'Arbitrage Payback Engine'!$X$2:$X$6,FALSE)),-1)))</f>
        <v>25</v>
      </c>
      <c r="V756" s="32">
        <f t="shared" si="202"/>
        <v>15</v>
      </c>
      <c r="X756" s="29">
        <f t="shared" si="203"/>
        <v>747</v>
      </c>
      <c r="Z756" s="30">
        <f t="shared" si="194"/>
        <v>20.462950280783453</v>
      </c>
      <c r="AA756" s="28" t="e">
        <f t="shared" si="195"/>
        <v>#N/A</v>
      </c>
      <c r="AB756" s="28" t="e">
        <f t="shared" si="196"/>
        <v>#VALUE!</v>
      </c>
      <c r="AC756" s="29">
        <f t="shared" si="197"/>
        <v>708.72865275142317</v>
      </c>
      <c r="AD756" s="28" t="e">
        <f t="shared" si="198"/>
        <v>#VALUE!</v>
      </c>
      <c r="AE756" s="28" t="e">
        <f t="shared" si="199"/>
        <v>#N/A</v>
      </c>
      <c r="AF756" s="28" t="e">
        <f t="shared" si="200"/>
        <v>#VALUE!</v>
      </c>
      <c r="AH756" s="31" t="e">
        <f t="shared" si="201"/>
        <v>#N/A</v>
      </c>
      <c r="AI756" s="25"/>
      <c r="AJ756" s="31"/>
    </row>
    <row r="757" spans="2:36" x14ac:dyDescent="0.25">
      <c r="B757" s="33">
        <f>'Arbitrage Payback Engine'!E757</f>
        <v>20.490343788522118</v>
      </c>
      <c r="C757" s="33">
        <f t="shared" si="187"/>
        <v>1000</v>
      </c>
      <c r="D757" s="33">
        <f>'Battery Pricing Model'!$C$17</f>
        <v>1000</v>
      </c>
      <c r="E757" s="33">
        <f t="shared" si="188"/>
        <v>999</v>
      </c>
      <c r="F757" s="33" t="str">
        <f>'Peak Models'!$B$4</f>
        <v>Default</v>
      </c>
      <c r="G757" s="33" t="e">
        <f>'Peak Models'!$Q$7</f>
        <v>#VALUE!</v>
      </c>
      <c r="H757" s="33">
        <f>'Peak Models'!$P$16</f>
        <v>1.5</v>
      </c>
      <c r="I757" s="33">
        <v>12</v>
      </c>
      <c r="J757" s="33" t="e">
        <f>'Peak Models'!$P$13</f>
        <v>#N/A</v>
      </c>
      <c r="K757" s="28" t="e">
        <f t="shared" si="189"/>
        <v>#VALUE!</v>
      </c>
      <c r="L757" s="28" t="e">
        <f>INDEX('Peak Models'!$P$34:$P$64, MATCH(TRUNC(B757, 0), 'Peak Models'!$O$34:$O$64, 0))</f>
        <v>#N/A</v>
      </c>
      <c r="M757" s="28">
        <f>'Peak Models'!$P$15*INDEX('Peak Models'!$Q$34:$Q$64, MATCH(TRUNC(B757, 0),'Peak Models'!$O$34:$O$64, 0))/'Profit per cycles Model'!$E$78</f>
        <v>7.7111361896018629</v>
      </c>
      <c r="N757" s="28" t="e">
        <f t="shared" si="190"/>
        <v>#N/A</v>
      </c>
      <c r="O757" s="71" t="e">
        <f>AVERAGE($N$10:N757)</f>
        <v>#N/A</v>
      </c>
      <c r="P757" s="28" t="e">
        <f t="shared" si="191"/>
        <v>#N/A</v>
      </c>
      <c r="R757" s="28" t="e">
        <f t="shared" si="192"/>
        <v>#VALUE!</v>
      </c>
      <c r="S757" s="25"/>
      <c r="T757" s="25">
        <f t="shared" si="193"/>
        <v>15</v>
      </c>
      <c r="U757" s="33">
        <f>IF(PaybackCustom&gt;0, IF(PaybackCustom&lt;&gt;"Default", PaybackCustom, IF(PaybackStatus&lt;&gt;"",INDEX('Arbitrage Payback Engine'!$Y$2:$Y$6,MATCH(PaybackStatus,'Arbitrage Payback Engine'!$X$2:$X$6,FALSE)),-1)))</f>
        <v>25</v>
      </c>
      <c r="V757" s="32">
        <f t="shared" si="202"/>
        <v>15</v>
      </c>
      <c r="X757" s="29">
        <f t="shared" si="203"/>
        <v>748</v>
      </c>
      <c r="Z757" s="30">
        <f t="shared" si="194"/>
        <v>20.490343788522118</v>
      </c>
      <c r="AA757" s="28" t="e">
        <f t="shared" si="195"/>
        <v>#N/A</v>
      </c>
      <c r="AB757" s="28" t="e">
        <f t="shared" si="196"/>
        <v>#VALUE!</v>
      </c>
      <c r="AC757" s="29">
        <f t="shared" si="197"/>
        <v>709.67741935483866</v>
      </c>
      <c r="AD757" s="28" t="e">
        <f t="shared" si="198"/>
        <v>#VALUE!</v>
      </c>
      <c r="AE757" s="28" t="e">
        <f t="shared" si="199"/>
        <v>#N/A</v>
      </c>
      <c r="AF757" s="28" t="e">
        <f t="shared" si="200"/>
        <v>#VALUE!</v>
      </c>
      <c r="AH757" s="31" t="e">
        <f t="shared" si="201"/>
        <v>#N/A</v>
      </c>
      <c r="AI757" s="25"/>
      <c r="AJ757" s="31"/>
    </row>
    <row r="758" spans="2:36" x14ac:dyDescent="0.25">
      <c r="B758" s="33">
        <f>'Arbitrage Payback Engine'!E758</f>
        <v>20.517737296260787</v>
      </c>
      <c r="C758" s="33">
        <f t="shared" si="187"/>
        <v>1000</v>
      </c>
      <c r="D758" s="33">
        <f>'Battery Pricing Model'!$C$17</f>
        <v>1000</v>
      </c>
      <c r="E758" s="33">
        <f t="shared" si="188"/>
        <v>999</v>
      </c>
      <c r="F758" s="33" t="str">
        <f>'Peak Models'!$B$4</f>
        <v>Default</v>
      </c>
      <c r="G758" s="33" t="e">
        <f>'Peak Models'!$Q$7</f>
        <v>#VALUE!</v>
      </c>
      <c r="H758" s="33">
        <f>'Peak Models'!$P$16</f>
        <v>1.5</v>
      </c>
      <c r="I758" s="33">
        <v>12</v>
      </c>
      <c r="J758" s="33" t="e">
        <f>'Peak Models'!$P$13</f>
        <v>#N/A</v>
      </c>
      <c r="K758" s="28" t="e">
        <f t="shared" si="189"/>
        <v>#VALUE!</v>
      </c>
      <c r="L758" s="28" t="e">
        <f>INDEX('Peak Models'!$P$34:$P$64, MATCH(TRUNC(B758, 0), 'Peak Models'!$O$34:$O$64, 0))</f>
        <v>#N/A</v>
      </c>
      <c r="M758" s="28">
        <f>'Peak Models'!$P$15*INDEX('Peak Models'!$Q$34:$Q$64, MATCH(TRUNC(B758, 0),'Peak Models'!$O$34:$O$64, 0))/'Profit per cycles Model'!$E$78</f>
        <v>7.7111361896018629</v>
      </c>
      <c r="N758" s="28" t="e">
        <f t="shared" si="190"/>
        <v>#N/A</v>
      </c>
      <c r="O758" s="71" t="e">
        <f>AVERAGE($N$10:N758)</f>
        <v>#N/A</v>
      </c>
      <c r="P758" s="28" t="e">
        <f t="shared" si="191"/>
        <v>#N/A</v>
      </c>
      <c r="R758" s="28" t="e">
        <f t="shared" si="192"/>
        <v>#VALUE!</v>
      </c>
      <c r="S758" s="25"/>
      <c r="T758" s="25">
        <f t="shared" si="193"/>
        <v>15</v>
      </c>
      <c r="U758" s="33">
        <f>IF(PaybackCustom&gt;0, IF(PaybackCustom&lt;&gt;"Default", PaybackCustom, IF(PaybackStatus&lt;&gt;"",INDEX('Arbitrage Payback Engine'!$Y$2:$Y$6,MATCH(PaybackStatus,'Arbitrage Payback Engine'!$X$2:$X$6,FALSE)),-1)))</f>
        <v>25</v>
      </c>
      <c r="V758" s="32">
        <f t="shared" si="202"/>
        <v>15</v>
      </c>
      <c r="X758" s="29">
        <f t="shared" si="203"/>
        <v>749</v>
      </c>
      <c r="Z758" s="30">
        <f t="shared" si="194"/>
        <v>20.517737296260787</v>
      </c>
      <c r="AA758" s="28" t="e">
        <f t="shared" si="195"/>
        <v>#N/A</v>
      </c>
      <c r="AB758" s="28" t="e">
        <f t="shared" si="196"/>
        <v>#VALUE!</v>
      </c>
      <c r="AC758" s="29">
        <f t="shared" si="197"/>
        <v>710.62618595825438</v>
      </c>
      <c r="AD758" s="28" t="e">
        <f t="shared" si="198"/>
        <v>#VALUE!</v>
      </c>
      <c r="AE758" s="28" t="e">
        <f t="shared" si="199"/>
        <v>#N/A</v>
      </c>
      <c r="AF758" s="28" t="e">
        <f t="shared" si="200"/>
        <v>#VALUE!</v>
      </c>
      <c r="AH758" s="31" t="e">
        <f t="shared" si="201"/>
        <v>#N/A</v>
      </c>
      <c r="AI758" s="25"/>
      <c r="AJ758" s="31"/>
    </row>
    <row r="759" spans="2:36" x14ac:dyDescent="0.25">
      <c r="B759" s="33">
        <f>'Arbitrage Payback Engine'!E759</f>
        <v>20.545130803999452</v>
      </c>
      <c r="C759" s="33">
        <f t="shared" si="187"/>
        <v>1000</v>
      </c>
      <c r="D759" s="33">
        <f>'Battery Pricing Model'!$C$17</f>
        <v>1000</v>
      </c>
      <c r="E759" s="33">
        <f t="shared" si="188"/>
        <v>999</v>
      </c>
      <c r="F759" s="33" t="str">
        <f>'Peak Models'!$B$4</f>
        <v>Default</v>
      </c>
      <c r="G759" s="33" t="e">
        <f>'Peak Models'!$Q$7</f>
        <v>#VALUE!</v>
      </c>
      <c r="H759" s="33">
        <f>'Peak Models'!$P$16</f>
        <v>1.5</v>
      </c>
      <c r="I759" s="33">
        <v>12</v>
      </c>
      <c r="J759" s="33" t="e">
        <f>'Peak Models'!$P$13</f>
        <v>#N/A</v>
      </c>
      <c r="K759" s="28" t="e">
        <f t="shared" si="189"/>
        <v>#VALUE!</v>
      </c>
      <c r="L759" s="28" t="e">
        <f>INDEX('Peak Models'!$P$34:$P$64, MATCH(TRUNC(B759, 0), 'Peak Models'!$O$34:$O$64, 0))</f>
        <v>#N/A</v>
      </c>
      <c r="M759" s="28">
        <f>'Peak Models'!$P$15*INDEX('Peak Models'!$Q$34:$Q$64, MATCH(TRUNC(B759, 0),'Peak Models'!$O$34:$O$64, 0))/'Profit per cycles Model'!$E$78</f>
        <v>7.7111361896018629</v>
      </c>
      <c r="N759" s="28" t="e">
        <f t="shared" si="190"/>
        <v>#N/A</v>
      </c>
      <c r="O759" s="71" t="e">
        <f>AVERAGE($N$10:N759)</f>
        <v>#N/A</v>
      </c>
      <c r="P759" s="28" t="e">
        <f t="shared" si="191"/>
        <v>#N/A</v>
      </c>
      <c r="R759" s="28" t="e">
        <f t="shared" si="192"/>
        <v>#VALUE!</v>
      </c>
      <c r="S759" s="25"/>
      <c r="T759" s="25">
        <f t="shared" si="193"/>
        <v>15</v>
      </c>
      <c r="U759" s="33">
        <f>IF(PaybackCustom&gt;0, IF(PaybackCustom&lt;&gt;"Default", PaybackCustom, IF(PaybackStatus&lt;&gt;"",INDEX('Arbitrage Payback Engine'!$Y$2:$Y$6,MATCH(PaybackStatus,'Arbitrage Payback Engine'!$X$2:$X$6,FALSE)),-1)))</f>
        <v>25</v>
      </c>
      <c r="V759" s="32">
        <f t="shared" si="202"/>
        <v>15</v>
      </c>
      <c r="X759" s="29">
        <f t="shared" si="203"/>
        <v>750</v>
      </c>
      <c r="Z759" s="30">
        <f t="shared" si="194"/>
        <v>20.545130803999452</v>
      </c>
      <c r="AA759" s="28" t="e">
        <f t="shared" si="195"/>
        <v>#N/A</v>
      </c>
      <c r="AB759" s="28" t="e">
        <f t="shared" si="196"/>
        <v>#VALUE!</v>
      </c>
      <c r="AC759" s="29">
        <f t="shared" si="197"/>
        <v>711.57495256166987</v>
      </c>
      <c r="AD759" s="28" t="e">
        <f t="shared" si="198"/>
        <v>#VALUE!</v>
      </c>
      <c r="AE759" s="28" t="e">
        <f t="shared" si="199"/>
        <v>#N/A</v>
      </c>
      <c r="AF759" s="28" t="e">
        <f t="shared" si="200"/>
        <v>#VALUE!</v>
      </c>
      <c r="AH759" s="31" t="e">
        <f t="shared" si="201"/>
        <v>#N/A</v>
      </c>
      <c r="AI759" s="25"/>
      <c r="AJ759" s="31"/>
    </row>
    <row r="760" spans="2:36" x14ac:dyDescent="0.25">
      <c r="B760" s="33">
        <f>'Arbitrage Payback Engine'!E760</f>
        <v>20.572524311738118</v>
      </c>
      <c r="C760" s="33">
        <f t="shared" si="187"/>
        <v>1000</v>
      </c>
      <c r="D760" s="33">
        <f>'Battery Pricing Model'!$C$17</f>
        <v>1000</v>
      </c>
      <c r="E760" s="33">
        <f t="shared" si="188"/>
        <v>999</v>
      </c>
      <c r="F760" s="33" t="str">
        <f>'Peak Models'!$B$4</f>
        <v>Default</v>
      </c>
      <c r="G760" s="33" t="e">
        <f>'Peak Models'!$Q$7</f>
        <v>#VALUE!</v>
      </c>
      <c r="H760" s="33">
        <f>'Peak Models'!$P$16</f>
        <v>1.5</v>
      </c>
      <c r="I760" s="33">
        <v>12</v>
      </c>
      <c r="J760" s="33" t="e">
        <f>'Peak Models'!$P$13</f>
        <v>#N/A</v>
      </c>
      <c r="K760" s="28" t="e">
        <f t="shared" si="189"/>
        <v>#VALUE!</v>
      </c>
      <c r="L760" s="28" t="e">
        <f>INDEX('Peak Models'!$P$34:$P$64, MATCH(TRUNC(B760, 0), 'Peak Models'!$O$34:$O$64, 0))</f>
        <v>#N/A</v>
      </c>
      <c r="M760" s="28">
        <f>'Peak Models'!$P$15*INDEX('Peak Models'!$Q$34:$Q$64, MATCH(TRUNC(B760, 0),'Peak Models'!$O$34:$O$64, 0))/'Profit per cycles Model'!$E$78</f>
        <v>7.7111361896018629</v>
      </c>
      <c r="N760" s="28" t="e">
        <f t="shared" si="190"/>
        <v>#N/A</v>
      </c>
      <c r="O760" s="71" t="e">
        <f>AVERAGE($N$10:N760)</f>
        <v>#N/A</v>
      </c>
      <c r="P760" s="28" t="e">
        <f t="shared" si="191"/>
        <v>#N/A</v>
      </c>
      <c r="R760" s="28" t="e">
        <f t="shared" si="192"/>
        <v>#VALUE!</v>
      </c>
      <c r="S760" s="25"/>
      <c r="T760" s="25">
        <f t="shared" si="193"/>
        <v>15</v>
      </c>
      <c r="U760" s="33">
        <f>IF(PaybackCustom&gt;0, IF(PaybackCustom&lt;&gt;"Default", PaybackCustom, IF(PaybackStatus&lt;&gt;"",INDEX('Arbitrage Payback Engine'!$Y$2:$Y$6,MATCH(PaybackStatus,'Arbitrage Payback Engine'!$X$2:$X$6,FALSE)),-1)))</f>
        <v>25</v>
      </c>
      <c r="V760" s="32">
        <f t="shared" si="202"/>
        <v>15</v>
      </c>
      <c r="X760" s="29">
        <f t="shared" si="203"/>
        <v>751</v>
      </c>
      <c r="Z760" s="30">
        <f t="shared" si="194"/>
        <v>20.572524311738118</v>
      </c>
      <c r="AA760" s="28" t="e">
        <f t="shared" si="195"/>
        <v>#N/A</v>
      </c>
      <c r="AB760" s="28" t="e">
        <f t="shared" si="196"/>
        <v>#VALUE!</v>
      </c>
      <c r="AC760" s="29">
        <f t="shared" si="197"/>
        <v>712.52371916508537</v>
      </c>
      <c r="AD760" s="28" t="e">
        <f t="shared" si="198"/>
        <v>#VALUE!</v>
      </c>
      <c r="AE760" s="28" t="e">
        <f t="shared" si="199"/>
        <v>#N/A</v>
      </c>
      <c r="AF760" s="28" t="e">
        <f t="shared" si="200"/>
        <v>#VALUE!</v>
      </c>
      <c r="AH760" s="31" t="e">
        <f t="shared" si="201"/>
        <v>#N/A</v>
      </c>
      <c r="AI760" s="25"/>
      <c r="AJ760" s="31"/>
    </row>
    <row r="761" spans="2:36" x14ac:dyDescent="0.25">
      <c r="B761" s="33">
        <f>'Arbitrage Payback Engine'!E761</f>
        <v>20.599917819476783</v>
      </c>
      <c r="C761" s="33">
        <f t="shared" si="187"/>
        <v>1000</v>
      </c>
      <c r="D761" s="33">
        <f>'Battery Pricing Model'!$C$17</f>
        <v>1000</v>
      </c>
      <c r="E761" s="33">
        <f t="shared" si="188"/>
        <v>999</v>
      </c>
      <c r="F761" s="33" t="str">
        <f>'Peak Models'!$B$4</f>
        <v>Default</v>
      </c>
      <c r="G761" s="33" t="e">
        <f>'Peak Models'!$Q$7</f>
        <v>#VALUE!</v>
      </c>
      <c r="H761" s="33">
        <f>'Peak Models'!$P$16</f>
        <v>1.5</v>
      </c>
      <c r="I761" s="33">
        <v>12</v>
      </c>
      <c r="J761" s="33" t="e">
        <f>'Peak Models'!$P$13</f>
        <v>#N/A</v>
      </c>
      <c r="K761" s="28" t="e">
        <f t="shared" si="189"/>
        <v>#VALUE!</v>
      </c>
      <c r="L761" s="28" t="e">
        <f>INDEX('Peak Models'!$P$34:$P$64, MATCH(TRUNC(B761, 0), 'Peak Models'!$O$34:$O$64, 0))</f>
        <v>#N/A</v>
      </c>
      <c r="M761" s="28">
        <f>'Peak Models'!$P$15*INDEX('Peak Models'!$Q$34:$Q$64, MATCH(TRUNC(B761, 0),'Peak Models'!$O$34:$O$64, 0))/'Profit per cycles Model'!$E$78</f>
        <v>7.7111361896018629</v>
      </c>
      <c r="N761" s="28" t="e">
        <f t="shared" si="190"/>
        <v>#N/A</v>
      </c>
      <c r="O761" s="71" t="e">
        <f>AVERAGE($N$10:N761)</f>
        <v>#N/A</v>
      </c>
      <c r="P761" s="28" t="e">
        <f t="shared" si="191"/>
        <v>#N/A</v>
      </c>
      <c r="R761" s="28" t="e">
        <f t="shared" si="192"/>
        <v>#VALUE!</v>
      </c>
      <c r="S761" s="25"/>
      <c r="T761" s="25">
        <f t="shared" si="193"/>
        <v>15</v>
      </c>
      <c r="U761" s="33">
        <f>IF(PaybackCustom&gt;0, IF(PaybackCustom&lt;&gt;"Default", PaybackCustom, IF(PaybackStatus&lt;&gt;"",INDEX('Arbitrage Payback Engine'!$Y$2:$Y$6,MATCH(PaybackStatus,'Arbitrage Payback Engine'!$X$2:$X$6,FALSE)),-1)))</f>
        <v>25</v>
      </c>
      <c r="V761" s="32">
        <f t="shared" si="202"/>
        <v>15</v>
      </c>
      <c r="X761" s="29">
        <f t="shared" si="203"/>
        <v>752</v>
      </c>
      <c r="Z761" s="30">
        <f t="shared" si="194"/>
        <v>20.599917819476783</v>
      </c>
      <c r="AA761" s="28" t="e">
        <f t="shared" si="195"/>
        <v>#N/A</v>
      </c>
      <c r="AB761" s="28" t="e">
        <f t="shared" si="196"/>
        <v>#VALUE!</v>
      </c>
      <c r="AC761" s="29">
        <f t="shared" si="197"/>
        <v>713.47248576850097</v>
      </c>
      <c r="AD761" s="28" t="e">
        <f t="shared" si="198"/>
        <v>#VALUE!</v>
      </c>
      <c r="AE761" s="28" t="e">
        <f t="shared" si="199"/>
        <v>#N/A</v>
      </c>
      <c r="AF761" s="28" t="e">
        <f t="shared" si="200"/>
        <v>#VALUE!</v>
      </c>
      <c r="AH761" s="31" t="e">
        <f t="shared" si="201"/>
        <v>#N/A</v>
      </c>
      <c r="AI761" s="25"/>
      <c r="AJ761" s="31"/>
    </row>
    <row r="762" spans="2:36" x14ac:dyDescent="0.25">
      <c r="B762" s="33">
        <f>'Arbitrage Payback Engine'!E762</f>
        <v>20.627311327215448</v>
      </c>
      <c r="C762" s="33">
        <f t="shared" si="187"/>
        <v>1000</v>
      </c>
      <c r="D762" s="33">
        <f>'Battery Pricing Model'!$C$17</f>
        <v>1000</v>
      </c>
      <c r="E762" s="33">
        <f t="shared" si="188"/>
        <v>999</v>
      </c>
      <c r="F762" s="33" t="str">
        <f>'Peak Models'!$B$4</f>
        <v>Default</v>
      </c>
      <c r="G762" s="33" t="e">
        <f>'Peak Models'!$Q$7</f>
        <v>#VALUE!</v>
      </c>
      <c r="H762" s="33">
        <f>'Peak Models'!$P$16</f>
        <v>1.5</v>
      </c>
      <c r="I762" s="33">
        <v>12</v>
      </c>
      <c r="J762" s="33" t="e">
        <f>'Peak Models'!$P$13</f>
        <v>#N/A</v>
      </c>
      <c r="K762" s="28" t="e">
        <f t="shared" si="189"/>
        <v>#VALUE!</v>
      </c>
      <c r="L762" s="28" t="e">
        <f>INDEX('Peak Models'!$P$34:$P$64, MATCH(TRUNC(B762, 0), 'Peak Models'!$O$34:$O$64, 0))</f>
        <v>#N/A</v>
      </c>
      <c r="M762" s="28">
        <f>'Peak Models'!$P$15*INDEX('Peak Models'!$Q$34:$Q$64, MATCH(TRUNC(B762, 0),'Peak Models'!$O$34:$O$64, 0))/'Profit per cycles Model'!$E$78</f>
        <v>7.7111361896018629</v>
      </c>
      <c r="N762" s="28" t="e">
        <f t="shared" si="190"/>
        <v>#N/A</v>
      </c>
      <c r="O762" s="71" t="e">
        <f>AVERAGE($N$10:N762)</f>
        <v>#N/A</v>
      </c>
      <c r="P762" s="28" t="e">
        <f t="shared" si="191"/>
        <v>#N/A</v>
      </c>
      <c r="R762" s="28" t="e">
        <f t="shared" si="192"/>
        <v>#VALUE!</v>
      </c>
      <c r="S762" s="25"/>
      <c r="T762" s="25">
        <f t="shared" si="193"/>
        <v>15</v>
      </c>
      <c r="U762" s="33">
        <f>IF(PaybackCustom&gt;0, IF(PaybackCustom&lt;&gt;"Default", PaybackCustom, IF(PaybackStatus&lt;&gt;"",INDEX('Arbitrage Payback Engine'!$Y$2:$Y$6,MATCH(PaybackStatus,'Arbitrage Payback Engine'!$X$2:$X$6,FALSE)),-1)))</f>
        <v>25</v>
      </c>
      <c r="V762" s="32">
        <f t="shared" si="202"/>
        <v>15</v>
      </c>
      <c r="X762" s="29">
        <f t="shared" si="203"/>
        <v>753</v>
      </c>
      <c r="Z762" s="30">
        <f t="shared" si="194"/>
        <v>20.627311327215448</v>
      </c>
      <c r="AA762" s="28" t="e">
        <f t="shared" si="195"/>
        <v>#N/A</v>
      </c>
      <c r="AB762" s="28" t="e">
        <f t="shared" si="196"/>
        <v>#VALUE!</v>
      </c>
      <c r="AC762" s="29">
        <f t="shared" si="197"/>
        <v>714.42125237191647</v>
      </c>
      <c r="AD762" s="28" t="e">
        <f t="shared" si="198"/>
        <v>#VALUE!</v>
      </c>
      <c r="AE762" s="28" t="e">
        <f t="shared" si="199"/>
        <v>#N/A</v>
      </c>
      <c r="AF762" s="28" t="e">
        <f t="shared" si="200"/>
        <v>#VALUE!</v>
      </c>
      <c r="AH762" s="31" t="e">
        <f t="shared" si="201"/>
        <v>#N/A</v>
      </c>
      <c r="AI762" s="25"/>
      <c r="AJ762" s="31"/>
    </row>
    <row r="763" spans="2:36" x14ac:dyDescent="0.25">
      <c r="B763" s="33">
        <f>'Arbitrage Payback Engine'!E763</f>
        <v>20.654704834954114</v>
      </c>
      <c r="C763" s="33">
        <f t="shared" si="187"/>
        <v>1000</v>
      </c>
      <c r="D763" s="33">
        <f>'Battery Pricing Model'!$C$17</f>
        <v>1000</v>
      </c>
      <c r="E763" s="33">
        <f t="shared" si="188"/>
        <v>999</v>
      </c>
      <c r="F763" s="33" t="str">
        <f>'Peak Models'!$B$4</f>
        <v>Default</v>
      </c>
      <c r="G763" s="33" t="e">
        <f>'Peak Models'!$Q$7</f>
        <v>#VALUE!</v>
      </c>
      <c r="H763" s="33">
        <f>'Peak Models'!$P$16</f>
        <v>1.5</v>
      </c>
      <c r="I763" s="33">
        <v>12</v>
      </c>
      <c r="J763" s="33" t="e">
        <f>'Peak Models'!$P$13</f>
        <v>#N/A</v>
      </c>
      <c r="K763" s="28" t="e">
        <f t="shared" si="189"/>
        <v>#VALUE!</v>
      </c>
      <c r="L763" s="28" t="e">
        <f>INDEX('Peak Models'!$P$34:$P$64, MATCH(TRUNC(B763, 0), 'Peak Models'!$O$34:$O$64, 0))</f>
        <v>#N/A</v>
      </c>
      <c r="M763" s="28">
        <f>'Peak Models'!$P$15*INDEX('Peak Models'!$Q$34:$Q$64, MATCH(TRUNC(B763, 0),'Peak Models'!$O$34:$O$64, 0))/'Profit per cycles Model'!$E$78</f>
        <v>7.7111361896018629</v>
      </c>
      <c r="N763" s="28" t="e">
        <f t="shared" si="190"/>
        <v>#N/A</v>
      </c>
      <c r="O763" s="71" t="e">
        <f>AVERAGE($N$10:N763)</f>
        <v>#N/A</v>
      </c>
      <c r="P763" s="28" t="e">
        <f t="shared" si="191"/>
        <v>#N/A</v>
      </c>
      <c r="R763" s="28" t="e">
        <f t="shared" si="192"/>
        <v>#VALUE!</v>
      </c>
      <c r="S763" s="25"/>
      <c r="T763" s="25">
        <f t="shared" si="193"/>
        <v>15</v>
      </c>
      <c r="U763" s="33">
        <f>IF(PaybackCustom&gt;0, IF(PaybackCustom&lt;&gt;"Default", PaybackCustom, IF(PaybackStatus&lt;&gt;"",INDEX('Arbitrage Payback Engine'!$Y$2:$Y$6,MATCH(PaybackStatus,'Arbitrage Payback Engine'!$X$2:$X$6,FALSE)),-1)))</f>
        <v>25</v>
      </c>
      <c r="V763" s="32">
        <f t="shared" si="202"/>
        <v>15</v>
      </c>
      <c r="X763" s="29">
        <f t="shared" si="203"/>
        <v>754</v>
      </c>
      <c r="Z763" s="30">
        <f t="shared" si="194"/>
        <v>20.654704834954114</v>
      </c>
      <c r="AA763" s="28" t="e">
        <f t="shared" si="195"/>
        <v>#N/A</v>
      </c>
      <c r="AB763" s="28" t="e">
        <f t="shared" si="196"/>
        <v>#VALUE!</v>
      </c>
      <c r="AC763" s="29">
        <f t="shared" si="197"/>
        <v>715.37001897533207</v>
      </c>
      <c r="AD763" s="28" t="e">
        <f t="shared" si="198"/>
        <v>#VALUE!</v>
      </c>
      <c r="AE763" s="28" t="e">
        <f t="shared" si="199"/>
        <v>#N/A</v>
      </c>
      <c r="AF763" s="28" t="e">
        <f t="shared" si="200"/>
        <v>#VALUE!</v>
      </c>
      <c r="AH763" s="31" t="e">
        <f t="shared" si="201"/>
        <v>#N/A</v>
      </c>
      <c r="AI763" s="25"/>
      <c r="AJ763" s="31"/>
    </row>
    <row r="764" spans="2:36" x14ac:dyDescent="0.25">
      <c r="B764" s="33">
        <f>'Arbitrage Payback Engine'!E764</f>
        <v>20.682098342692782</v>
      </c>
      <c r="C764" s="33">
        <f t="shared" si="187"/>
        <v>1000</v>
      </c>
      <c r="D764" s="33">
        <f>'Battery Pricing Model'!$C$17</f>
        <v>1000</v>
      </c>
      <c r="E764" s="33">
        <f t="shared" si="188"/>
        <v>999</v>
      </c>
      <c r="F764" s="33" t="str">
        <f>'Peak Models'!$B$4</f>
        <v>Default</v>
      </c>
      <c r="G764" s="33" t="e">
        <f>'Peak Models'!$Q$7</f>
        <v>#VALUE!</v>
      </c>
      <c r="H764" s="33">
        <f>'Peak Models'!$P$16</f>
        <v>1.5</v>
      </c>
      <c r="I764" s="33">
        <v>12</v>
      </c>
      <c r="J764" s="33" t="e">
        <f>'Peak Models'!$P$13</f>
        <v>#N/A</v>
      </c>
      <c r="K764" s="28" t="e">
        <f t="shared" si="189"/>
        <v>#VALUE!</v>
      </c>
      <c r="L764" s="28" t="e">
        <f>INDEX('Peak Models'!$P$34:$P$64, MATCH(TRUNC(B764, 0), 'Peak Models'!$O$34:$O$64, 0))</f>
        <v>#N/A</v>
      </c>
      <c r="M764" s="28">
        <f>'Peak Models'!$P$15*INDEX('Peak Models'!$Q$34:$Q$64, MATCH(TRUNC(B764, 0),'Peak Models'!$O$34:$O$64, 0))/'Profit per cycles Model'!$E$78</f>
        <v>7.7111361896018629</v>
      </c>
      <c r="N764" s="28" t="e">
        <f t="shared" si="190"/>
        <v>#N/A</v>
      </c>
      <c r="O764" s="71" t="e">
        <f>AVERAGE($N$10:N764)</f>
        <v>#N/A</v>
      </c>
      <c r="P764" s="28" t="e">
        <f t="shared" si="191"/>
        <v>#N/A</v>
      </c>
      <c r="R764" s="28" t="e">
        <f t="shared" si="192"/>
        <v>#VALUE!</v>
      </c>
      <c r="S764" s="25"/>
      <c r="T764" s="25">
        <f t="shared" si="193"/>
        <v>15</v>
      </c>
      <c r="U764" s="33">
        <f>IF(PaybackCustom&gt;0, IF(PaybackCustom&lt;&gt;"Default", PaybackCustom, IF(PaybackStatus&lt;&gt;"",INDEX('Arbitrage Payback Engine'!$Y$2:$Y$6,MATCH(PaybackStatus,'Arbitrage Payback Engine'!$X$2:$X$6,FALSE)),-1)))</f>
        <v>25</v>
      </c>
      <c r="V764" s="32">
        <f t="shared" si="202"/>
        <v>15</v>
      </c>
      <c r="X764" s="29">
        <f t="shared" si="203"/>
        <v>755</v>
      </c>
      <c r="Z764" s="30">
        <f t="shared" si="194"/>
        <v>20.682098342692782</v>
      </c>
      <c r="AA764" s="28" t="e">
        <f t="shared" si="195"/>
        <v>#N/A</v>
      </c>
      <c r="AB764" s="28" t="e">
        <f t="shared" si="196"/>
        <v>#VALUE!</v>
      </c>
      <c r="AC764" s="29">
        <f t="shared" si="197"/>
        <v>716.31878557874768</v>
      </c>
      <c r="AD764" s="28" t="e">
        <f t="shared" si="198"/>
        <v>#VALUE!</v>
      </c>
      <c r="AE764" s="28" t="e">
        <f t="shared" si="199"/>
        <v>#N/A</v>
      </c>
      <c r="AF764" s="28" t="e">
        <f t="shared" si="200"/>
        <v>#VALUE!</v>
      </c>
      <c r="AH764" s="31" t="e">
        <f t="shared" si="201"/>
        <v>#N/A</v>
      </c>
      <c r="AI764" s="25"/>
      <c r="AJ764" s="31"/>
    </row>
    <row r="765" spans="2:36" x14ac:dyDescent="0.25">
      <c r="B765" s="33">
        <f>'Arbitrage Payback Engine'!E765</f>
        <v>20.709491850431448</v>
      </c>
      <c r="C765" s="33">
        <f t="shared" si="187"/>
        <v>1000</v>
      </c>
      <c r="D765" s="33">
        <f>'Battery Pricing Model'!$C$17</f>
        <v>1000</v>
      </c>
      <c r="E765" s="33">
        <f t="shared" si="188"/>
        <v>999</v>
      </c>
      <c r="F765" s="33" t="str">
        <f>'Peak Models'!$B$4</f>
        <v>Default</v>
      </c>
      <c r="G765" s="33" t="e">
        <f>'Peak Models'!$Q$7</f>
        <v>#VALUE!</v>
      </c>
      <c r="H765" s="33">
        <f>'Peak Models'!$P$16</f>
        <v>1.5</v>
      </c>
      <c r="I765" s="33">
        <v>12</v>
      </c>
      <c r="J765" s="33" t="e">
        <f>'Peak Models'!$P$13</f>
        <v>#N/A</v>
      </c>
      <c r="K765" s="28" t="e">
        <f t="shared" si="189"/>
        <v>#VALUE!</v>
      </c>
      <c r="L765" s="28" t="e">
        <f>INDEX('Peak Models'!$P$34:$P$64, MATCH(TRUNC(B765, 0), 'Peak Models'!$O$34:$O$64, 0))</f>
        <v>#N/A</v>
      </c>
      <c r="M765" s="28">
        <f>'Peak Models'!$P$15*INDEX('Peak Models'!$Q$34:$Q$64, MATCH(TRUNC(B765, 0),'Peak Models'!$O$34:$O$64, 0))/'Profit per cycles Model'!$E$78</f>
        <v>7.7111361896018629</v>
      </c>
      <c r="N765" s="28" t="e">
        <f t="shared" si="190"/>
        <v>#N/A</v>
      </c>
      <c r="O765" s="71" t="e">
        <f>AVERAGE($N$10:N765)</f>
        <v>#N/A</v>
      </c>
      <c r="P765" s="28" t="e">
        <f t="shared" si="191"/>
        <v>#N/A</v>
      </c>
      <c r="R765" s="28" t="e">
        <f t="shared" si="192"/>
        <v>#VALUE!</v>
      </c>
      <c r="S765" s="25"/>
      <c r="T765" s="25">
        <f t="shared" si="193"/>
        <v>15</v>
      </c>
      <c r="U765" s="33">
        <f>IF(PaybackCustom&gt;0, IF(PaybackCustom&lt;&gt;"Default", PaybackCustom, IF(PaybackStatus&lt;&gt;"",INDEX('Arbitrage Payback Engine'!$Y$2:$Y$6,MATCH(PaybackStatus,'Arbitrage Payback Engine'!$X$2:$X$6,FALSE)),-1)))</f>
        <v>25</v>
      </c>
      <c r="V765" s="32">
        <f t="shared" si="202"/>
        <v>15</v>
      </c>
      <c r="X765" s="29">
        <f t="shared" si="203"/>
        <v>756</v>
      </c>
      <c r="Z765" s="30">
        <f t="shared" si="194"/>
        <v>20.709491850431448</v>
      </c>
      <c r="AA765" s="28" t="e">
        <f t="shared" si="195"/>
        <v>#N/A</v>
      </c>
      <c r="AB765" s="28" t="e">
        <f t="shared" si="196"/>
        <v>#VALUE!</v>
      </c>
      <c r="AC765" s="29">
        <f t="shared" si="197"/>
        <v>717.26755218216329</v>
      </c>
      <c r="AD765" s="28" t="e">
        <f t="shared" si="198"/>
        <v>#VALUE!</v>
      </c>
      <c r="AE765" s="28" t="e">
        <f t="shared" si="199"/>
        <v>#N/A</v>
      </c>
      <c r="AF765" s="28" t="e">
        <f t="shared" si="200"/>
        <v>#VALUE!</v>
      </c>
      <c r="AH765" s="31" t="e">
        <f t="shared" si="201"/>
        <v>#N/A</v>
      </c>
      <c r="AI765" s="25"/>
      <c r="AJ765" s="31"/>
    </row>
    <row r="766" spans="2:36" x14ac:dyDescent="0.25">
      <c r="B766" s="33">
        <f>'Arbitrage Payback Engine'!E766</f>
        <v>20.736885358170113</v>
      </c>
      <c r="C766" s="33">
        <f t="shared" si="187"/>
        <v>1000</v>
      </c>
      <c r="D766" s="33">
        <f>'Battery Pricing Model'!$C$17</f>
        <v>1000</v>
      </c>
      <c r="E766" s="33">
        <f t="shared" si="188"/>
        <v>999</v>
      </c>
      <c r="F766" s="33" t="str">
        <f>'Peak Models'!$B$4</f>
        <v>Default</v>
      </c>
      <c r="G766" s="33" t="e">
        <f>'Peak Models'!$Q$7</f>
        <v>#VALUE!</v>
      </c>
      <c r="H766" s="33">
        <f>'Peak Models'!$P$16</f>
        <v>1.5</v>
      </c>
      <c r="I766" s="33">
        <v>12</v>
      </c>
      <c r="J766" s="33" t="e">
        <f>'Peak Models'!$P$13</f>
        <v>#N/A</v>
      </c>
      <c r="K766" s="28" t="e">
        <f t="shared" si="189"/>
        <v>#VALUE!</v>
      </c>
      <c r="L766" s="28" t="e">
        <f>INDEX('Peak Models'!$P$34:$P$64, MATCH(TRUNC(B766, 0), 'Peak Models'!$O$34:$O$64, 0))</f>
        <v>#N/A</v>
      </c>
      <c r="M766" s="28">
        <f>'Peak Models'!$P$15*INDEX('Peak Models'!$Q$34:$Q$64, MATCH(TRUNC(B766, 0),'Peak Models'!$O$34:$O$64, 0))/'Profit per cycles Model'!$E$78</f>
        <v>7.7111361896018629</v>
      </c>
      <c r="N766" s="28" t="e">
        <f t="shared" si="190"/>
        <v>#N/A</v>
      </c>
      <c r="O766" s="71" t="e">
        <f>AVERAGE($N$10:N766)</f>
        <v>#N/A</v>
      </c>
      <c r="P766" s="28" t="e">
        <f t="shared" si="191"/>
        <v>#N/A</v>
      </c>
      <c r="R766" s="28" t="e">
        <f t="shared" si="192"/>
        <v>#VALUE!</v>
      </c>
      <c r="S766" s="25"/>
      <c r="T766" s="25">
        <f t="shared" si="193"/>
        <v>15</v>
      </c>
      <c r="U766" s="33">
        <f>IF(PaybackCustom&gt;0, IF(PaybackCustom&lt;&gt;"Default", PaybackCustom, IF(PaybackStatus&lt;&gt;"",INDEX('Arbitrage Payback Engine'!$Y$2:$Y$6,MATCH(PaybackStatus,'Arbitrage Payback Engine'!$X$2:$X$6,FALSE)),-1)))</f>
        <v>25</v>
      </c>
      <c r="V766" s="32">
        <f t="shared" si="202"/>
        <v>15</v>
      </c>
      <c r="X766" s="29">
        <f t="shared" si="203"/>
        <v>757</v>
      </c>
      <c r="Z766" s="30">
        <f t="shared" si="194"/>
        <v>20.736885358170113</v>
      </c>
      <c r="AA766" s="28" t="e">
        <f t="shared" si="195"/>
        <v>#N/A</v>
      </c>
      <c r="AB766" s="28" t="e">
        <f t="shared" si="196"/>
        <v>#VALUE!</v>
      </c>
      <c r="AC766" s="29">
        <f t="shared" si="197"/>
        <v>718.21631878557866</v>
      </c>
      <c r="AD766" s="28" t="e">
        <f t="shared" si="198"/>
        <v>#VALUE!</v>
      </c>
      <c r="AE766" s="28" t="e">
        <f t="shared" si="199"/>
        <v>#N/A</v>
      </c>
      <c r="AF766" s="28" t="e">
        <f t="shared" si="200"/>
        <v>#VALUE!</v>
      </c>
      <c r="AH766" s="31" t="e">
        <f t="shared" si="201"/>
        <v>#N/A</v>
      </c>
      <c r="AI766" s="25"/>
      <c r="AJ766" s="31"/>
    </row>
    <row r="767" spans="2:36" x14ac:dyDescent="0.25">
      <c r="B767" s="33">
        <f>'Arbitrage Payback Engine'!E767</f>
        <v>20.764278865908778</v>
      </c>
      <c r="C767" s="33">
        <f t="shared" si="187"/>
        <v>1000</v>
      </c>
      <c r="D767" s="33">
        <f>'Battery Pricing Model'!$C$17</f>
        <v>1000</v>
      </c>
      <c r="E767" s="33">
        <f t="shared" si="188"/>
        <v>999</v>
      </c>
      <c r="F767" s="33" t="str">
        <f>'Peak Models'!$B$4</f>
        <v>Default</v>
      </c>
      <c r="G767" s="33" t="e">
        <f>'Peak Models'!$Q$7</f>
        <v>#VALUE!</v>
      </c>
      <c r="H767" s="33">
        <f>'Peak Models'!$P$16</f>
        <v>1.5</v>
      </c>
      <c r="I767" s="33">
        <v>12</v>
      </c>
      <c r="J767" s="33" t="e">
        <f>'Peak Models'!$P$13</f>
        <v>#N/A</v>
      </c>
      <c r="K767" s="28" t="e">
        <f t="shared" si="189"/>
        <v>#VALUE!</v>
      </c>
      <c r="L767" s="28" t="e">
        <f>INDEX('Peak Models'!$P$34:$P$64, MATCH(TRUNC(B767, 0), 'Peak Models'!$O$34:$O$64, 0))</f>
        <v>#N/A</v>
      </c>
      <c r="M767" s="28">
        <f>'Peak Models'!$P$15*INDEX('Peak Models'!$Q$34:$Q$64, MATCH(TRUNC(B767, 0),'Peak Models'!$O$34:$O$64, 0))/'Profit per cycles Model'!$E$78</f>
        <v>7.7111361896018629</v>
      </c>
      <c r="N767" s="28" t="e">
        <f t="shared" si="190"/>
        <v>#N/A</v>
      </c>
      <c r="O767" s="71" t="e">
        <f>AVERAGE($N$10:N767)</f>
        <v>#N/A</v>
      </c>
      <c r="P767" s="28" t="e">
        <f t="shared" si="191"/>
        <v>#N/A</v>
      </c>
      <c r="R767" s="28" t="e">
        <f t="shared" si="192"/>
        <v>#VALUE!</v>
      </c>
      <c r="S767" s="25"/>
      <c r="T767" s="25">
        <f t="shared" si="193"/>
        <v>15</v>
      </c>
      <c r="U767" s="33">
        <f>IF(PaybackCustom&gt;0, IF(PaybackCustom&lt;&gt;"Default", PaybackCustom, IF(PaybackStatus&lt;&gt;"",INDEX('Arbitrage Payback Engine'!$Y$2:$Y$6,MATCH(PaybackStatus,'Arbitrage Payback Engine'!$X$2:$X$6,FALSE)),-1)))</f>
        <v>25</v>
      </c>
      <c r="V767" s="32">
        <f t="shared" si="202"/>
        <v>15</v>
      </c>
      <c r="X767" s="29">
        <f t="shared" si="203"/>
        <v>758</v>
      </c>
      <c r="Z767" s="30">
        <f t="shared" si="194"/>
        <v>20.764278865908778</v>
      </c>
      <c r="AA767" s="28" t="e">
        <f t="shared" si="195"/>
        <v>#N/A</v>
      </c>
      <c r="AB767" s="28" t="e">
        <f t="shared" si="196"/>
        <v>#VALUE!</v>
      </c>
      <c r="AC767" s="29">
        <f t="shared" si="197"/>
        <v>719.16508538899427</v>
      </c>
      <c r="AD767" s="28" t="e">
        <f t="shared" si="198"/>
        <v>#VALUE!</v>
      </c>
      <c r="AE767" s="28" t="e">
        <f t="shared" si="199"/>
        <v>#N/A</v>
      </c>
      <c r="AF767" s="28" t="e">
        <f t="shared" si="200"/>
        <v>#VALUE!</v>
      </c>
      <c r="AH767" s="31" t="e">
        <f t="shared" si="201"/>
        <v>#N/A</v>
      </c>
      <c r="AI767" s="25"/>
      <c r="AJ767" s="31"/>
    </row>
    <row r="768" spans="2:36" x14ac:dyDescent="0.25">
      <c r="B768" s="33">
        <f>'Arbitrage Payback Engine'!E768</f>
        <v>20.791672373647444</v>
      </c>
      <c r="C768" s="33">
        <f t="shared" si="187"/>
        <v>1000</v>
      </c>
      <c r="D768" s="33">
        <f>'Battery Pricing Model'!$C$17</f>
        <v>1000</v>
      </c>
      <c r="E768" s="33">
        <f t="shared" si="188"/>
        <v>999</v>
      </c>
      <c r="F768" s="33" t="str">
        <f>'Peak Models'!$B$4</f>
        <v>Default</v>
      </c>
      <c r="G768" s="33" t="e">
        <f>'Peak Models'!$Q$7</f>
        <v>#VALUE!</v>
      </c>
      <c r="H768" s="33">
        <f>'Peak Models'!$P$16</f>
        <v>1.5</v>
      </c>
      <c r="I768" s="33">
        <v>12</v>
      </c>
      <c r="J768" s="33" t="e">
        <f>'Peak Models'!$P$13</f>
        <v>#N/A</v>
      </c>
      <c r="K768" s="28" t="e">
        <f t="shared" si="189"/>
        <v>#VALUE!</v>
      </c>
      <c r="L768" s="28" t="e">
        <f>INDEX('Peak Models'!$P$34:$P$64, MATCH(TRUNC(B768, 0), 'Peak Models'!$O$34:$O$64, 0))</f>
        <v>#N/A</v>
      </c>
      <c r="M768" s="28">
        <f>'Peak Models'!$P$15*INDEX('Peak Models'!$Q$34:$Q$64, MATCH(TRUNC(B768, 0),'Peak Models'!$O$34:$O$64, 0))/'Profit per cycles Model'!$E$78</f>
        <v>7.7111361896018629</v>
      </c>
      <c r="N768" s="28" t="e">
        <f t="shared" si="190"/>
        <v>#N/A</v>
      </c>
      <c r="O768" s="71" t="e">
        <f>AVERAGE($N$10:N768)</f>
        <v>#N/A</v>
      </c>
      <c r="P768" s="28" t="e">
        <f t="shared" si="191"/>
        <v>#N/A</v>
      </c>
      <c r="R768" s="28" t="e">
        <f t="shared" si="192"/>
        <v>#VALUE!</v>
      </c>
      <c r="S768" s="25"/>
      <c r="T768" s="25">
        <f t="shared" si="193"/>
        <v>15</v>
      </c>
      <c r="U768" s="33">
        <f>IF(PaybackCustom&gt;0, IF(PaybackCustom&lt;&gt;"Default", PaybackCustom, IF(PaybackStatus&lt;&gt;"",INDEX('Arbitrage Payback Engine'!$Y$2:$Y$6,MATCH(PaybackStatus,'Arbitrage Payback Engine'!$X$2:$X$6,FALSE)),-1)))</f>
        <v>25</v>
      </c>
      <c r="V768" s="32">
        <f t="shared" si="202"/>
        <v>15</v>
      </c>
      <c r="X768" s="29">
        <f t="shared" si="203"/>
        <v>759</v>
      </c>
      <c r="Z768" s="30">
        <f t="shared" si="194"/>
        <v>20.791672373647444</v>
      </c>
      <c r="AA768" s="28" t="e">
        <f t="shared" si="195"/>
        <v>#N/A</v>
      </c>
      <c r="AB768" s="28" t="e">
        <f t="shared" si="196"/>
        <v>#VALUE!</v>
      </c>
      <c r="AC768" s="29">
        <f t="shared" si="197"/>
        <v>720.11385199240988</v>
      </c>
      <c r="AD768" s="28" t="e">
        <f t="shared" si="198"/>
        <v>#VALUE!</v>
      </c>
      <c r="AE768" s="28" t="e">
        <f t="shared" si="199"/>
        <v>#N/A</v>
      </c>
      <c r="AF768" s="28" t="e">
        <f t="shared" si="200"/>
        <v>#VALUE!</v>
      </c>
      <c r="AH768" s="31" t="e">
        <f t="shared" si="201"/>
        <v>#N/A</v>
      </c>
      <c r="AI768" s="25"/>
      <c r="AJ768" s="31"/>
    </row>
    <row r="769" spans="2:36" x14ac:dyDescent="0.25">
      <c r="B769" s="33">
        <f>'Arbitrage Payback Engine'!E769</f>
        <v>20.819065881386109</v>
      </c>
      <c r="C769" s="33">
        <f t="shared" si="187"/>
        <v>1000</v>
      </c>
      <c r="D769" s="33">
        <f>'Battery Pricing Model'!$C$17</f>
        <v>1000</v>
      </c>
      <c r="E769" s="33">
        <f t="shared" si="188"/>
        <v>999</v>
      </c>
      <c r="F769" s="33" t="str">
        <f>'Peak Models'!$B$4</f>
        <v>Default</v>
      </c>
      <c r="G769" s="33" t="e">
        <f>'Peak Models'!$Q$7</f>
        <v>#VALUE!</v>
      </c>
      <c r="H769" s="33">
        <f>'Peak Models'!$P$16</f>
        <v>1.5</v>
      </c>
      <c r="I769" s="33">
        <v>12</v>
      </c>
      <c r="J769" s="33" t="e">
        <f>'Peak Models'!$P$13</f>
        <v>#N/A</v>
      </c>
      <c r="K769" s="28" t="e">
        <f t="shared" si="189"/>
        <v>#VALUE!</v>
      </c>
      <c r="L769" s="28" t="e">
        <f>INDEX('Peak Models'!$P$34:$P$64, MATCH(TRUNC(B769, 0), 'Peak Models'!$O$34:$O$64, 0))</f>
        <v>#N/A</v>
      </c>
      <c r="M769" s="28">
        <f>'Peak Models'!$P$15*INDEX('Peak Models'!$Q$34:$Q$64, MATCH(TRUNC(B769, 0),'Peak Models'!$O$34:$O$64, 0))/'Profit per cycles Model'!$E$78</f>
        <v>7.7111361896018629</v>
      </c>
      <c r="N769" s="28" t="e">
        <f t="shared" si="190"/>
        <v>#N/A</v>
      </c>
      <c r="O769" s="71" t="e">
        <f>AVERAGE($N$10:N769)</f>
        <v>#N/A</v>
      </c>
      <c r="P769" s="28" t="e">
        <f t="shared" si="191"/>
        <v>#N/A</v>
      </c>
      <c r="R769" s="28" t="e">
        <f t="shared" si="192"/>
        <v>#VALUE!</v>
      </c>
      <c r="S769" s="25"/>
      <c r="T769" s="25">
        <f t="shared" si="193"/>
        <v>15</v>
      </c>
      <c r="U769" s="33">
        <f>IF(PaybackCustom&gt;0, IF(PaybackCustom&lt;&gt;"Default", PaybackCustom, IF(PaybackStatus&lt;&gt;"",INDEX('Arbitrage Payback Engine'!$Y$2:$Y$6,MATCH(PaybackStatus,'Arbitrage Payback Engine'!$X$2:$X$6,FALSE)),-1)))</f>
        <v>25</v>
      </c>
      <c r="V769" s="32">
        <f t="shared" si="202"/>
        <v>15</v>
      </c>
      <c r="X769" s="29">
        <f t="shared" si="203"/>
        <v>760</v>
      </c>
      <c r="Z769" s="30">
        <f t="shared" si="194"/>
        <v>20.819065881386109</v>
      </c>
      <c r="AA769" s="28" t="e">
        <f t="shared" si="195"/>
        <v>#N/A</v>
      </c>
      <c r="AB769" s="28" t="e">
        <f t="shared" si="196"/>
        <v>#VALUE!</v>
      </c>
      <c r="AC769" s="29">
        <f t="shared" si="197"/>
        <v>721.06261859582537</v>
      </c>
      <c r="AD769" s="28" t="e">
        <f t="shared" si="198"/>
        <v>#VALUE!</v>
      </c>
      <c r="AE769" s="28" t="e">
        <f t="shared" si="199"/>
        <v>#N/A</v>
      </c>
      <c r="AF769" s="28" t="e">
        <f t="shared" si="200"/>
        <v>#VALUE!</v>
      </c>
      <c r="AH769" s="31" t="e">
        <f t="shared" si="201"/>
        <v>#N/A</v>
      </c>
      <c r="AI769" s="25"/>
      <c r="AJ769" s="31"/>
    </row>
    <row r="770" spans="2:36" x14ac:dyDescent="0.25">
      <c r="B770" s="33">
        <f>'Arbitrage Payback Engine'!E770</f>
        <v>20.846459389124778</v>
      </c>
      <c r="C770" s="33">
        <f t="shared" si="187"/>
        <v>1000</v>
      </c>
      <c r="D770" s="33">
        <f>'Battery Pricing Model'!$C$17</f>
        <v>1000</v>
      </c>
      <c r="E770" s="33">
        <f t="shared" si="188"/>
        <v>999</v>
      </c>
      <c r="F770" s="33" t="str">
        <f>'Peak Models'!$B$4</f>
        <v>Default</v>
      </c>
      <c r="G770" s="33" t="e">
        <f>'Peak Models'!$Q$7</f>
        <v>#VALUE!</v>
      </c>
      <c r="H770" s="33">
        <f>'Peak Models'!$P$16</f>
        <v>1.5</v>
      </c>
      <c r="I770" s="33">
        <v>12</v>
      </c>
      <c r="J770" s="33" t="e">
        <f>'Peak Models'!$P$13</f>
        <v>#N/A</v>
      </c>
      <c r="K770" s="28" t="e">
        <f t="shared" si="189"/>
        <v>#VALUE!</v>
      </c>
      <c r="L770" s="28" t="e">
        <f>INDEX('Peak Models'!$P$34:$P$64, MATCH(TRUNC(B770, 0), 'Peak Models'!$O$34:$O$64, 0))</f>
        <v>#N/A</v>
      </c>
      <c r="M770" s="28">
        <f>'Peak Models'!$P$15*INDEX('Peak Models'!$Q$34:$Q$64, MATCH(TRUNC(B770, 0),'Peak Models'!$O$34:$O$64, 0))/'Profit per cycles Model'!$E$78</f>
        <v>7.7111361896018629</v>
      </c>
      <c r="N770" s="28" t="e">
        <f t="shared" si="190"/>
        <v>#N/A</v>
      </c>
      <c r="O770" s="71" t="e">
        <f>AVERAGE($N$10:N770)</f>
        <v>#N/A</v>
      </c>
      <c r="P770" s="28" t="e">
        <f t="shared" si="191"/>
        <v>#N/A</v>
      </c>
      <c r="R770" s="28" t="e">
        <f t="shared" si="192"/>
        <v>#VALUE!</v>
      </c>
      <c r="S770" s="25"/>
      <c r="T770" s="25">
        <f t="shared" si="193"/>
        <v>15</v>
      </c>
      <c r="U770" s="33">
        <f>IF(PaybackCustom&gt;0, IF(PaybackCustom&lt;&gt;"Default", PaybackCustom, IF(PaybackStatus&lt;&gt;"",INDEX('Arbitrage Payback Engine'!$Y$2:$Y$6,MATCH(PaybackStatus,'Arbitrage Payback Engine'!$X$2:$X$6,FALSE)),-1)))</f>
        <v>25</v>
      </c>
      <c r="V770" s="32">
        <f t="shared" si="202"/>
        <v>15</v>
      </c>
      <c r="X770" s="29">
        <f t="shared" si="203"/>
        <v>761</v>
      </c>
      <c r="Z770" s="30">
        <f t="shared" si="194"/>
        <v>20.846459389124778</v>
      </c>
      <c r="AA770" s="28" t="e">
        <f t="shared" si="195"/>
        <v>#N/A</v>
      </c>
      <c r="AB770" s="28" t="e">
        <f t="shared" si="196"/>
        <v>#VALUE!</v>
      </c>
      <c r="AC770" s="29">
        <f t="shared" si="197"/>
        <v>722.01138519924109</v>
      </c>
      <c r="AD770" s="28" t="e">
        <f t="shared" si="198"/>
        <v>#VALUE!</v>
      </c>
      <c r="AE770" s="28" t="e">
        <f t="shared" si="199"/>
        <v>#N/A</v>
      </c>
      <c r="AF770" s="28" t="e">
        <f t="shared" si="200"/>
        <v>#VALUE!</v>
      </c>
      <c r="AH770" s="31" t="e">
        <f t="shared" si="201"/>
        <v>#N/A</v>
      </c>
      <c r="AI770" s="25"/>
      <c r="AJ770" s="31"/>
    </row>
    <row r="771" spans="2:36" x14ac:dyDescent="0.25">
      <c r="B771" s="33">
        <f>'Arbitrage Payback Engine'!E771</f>
        <v>20.873852896863443</v>
      </c>
      <c r="C771" s="33">
        <f t="shared" si="187"/>
        <v>1000</v>
      </c>
      <c r="D771" s="33">
        <f>'Battery Pricing Model'!$C$17</f>
        <v>1000</v>
      </c>
      <c r="E771" s="33">
        <f t="shared" si="188"/>
        <v>999</v>
      </c>
      <c r="F771" s="33" t="str">
        <f>'Peak Models'!$B$4</f>
        <v>Default</v>
      </c>
      <c r="G771" s="33" t="e">
        <f>'Peak Models'!$Q$7</f>
        <v>#VALUE!</v>
      </c>
      <c r="H771" s="33">
        <f>'Peak Models'!$P$16</f>
        <v>1.5</v>
      </c>
      <c r="I771" s="33">
        <v>12</v>
      </c>
      <c r="J771" s="33" t="e">
        <f>'Peak Models'!$P$13</f>
        <v>#N/A</v>
      </c>
      <c r="K771" s="28" t="e">
        <f t="shared" si="189"/>
        <v>#VALUE!</v>
      </c>
      <c r="L771" s="28" t="e">
        <f>INDEX('Peak Models'!$P$34:$P$64, MATCH(TRUNC(B771, 0), 'Peak Models'!$O$34:$O$64, 0))</f>
        <v>#N/A</v>
      </c>
      <c r="M771" s="28">
        <f>'Peak Models'!$P$15*INDEX('Peak Models'!$Q$34:$Q$64, MATCH(TRUNC(B771, 0),'Peak Models'!$O$34:$O$64, 0))/'Profit per cycles Model'!$E$78</f>
        <v>7.7111361896018629</v>
      </c>
      <c r="N771" s="28" t="e">
        <f t="shared" si="190"/>
        <v>#N/A</v>
      </c>
      <c r="O771" s="71" t="e">
        <f>AVERAGE($N$10:N771)</f>
        <v>#N/A</v>
      </c>
      <c r="P771" s="28" t="e">
        <f t="shared" si="191"/>
        <v>#N/A</v>
      </c>
      <c r="R771" s="28" t="e">
        <f t="shared" si="192"/>
        <v>#VALUE!</v>
      </c>
      <c r="S771" s="25"/>
      <c r="T771" s="25">
        <f t="shared" si="193"/>
        <v>15</v>
      </c>
      <c r="U771" s="33">
        <f>IF(PaybackCustom&gt;0, IF(PaybackCustom&lt;&gt;"Default", PaybackCustom, IF(PaybackStatus&lt;&gt;"",INDEX('Arbitrage Payback Engine'!$Y$2:$Y$6,MATCH(PaybackStatus,'Arbitrage Payback Engine'!$X$2:$X$6,FALSE)),-1)))</f>
        <v>25</v>
      </c>
      <c r="V771" s="32">
        <f t="shared" si="202"/>
        <v>15</v>
      </c>
      <c r="X771" s="29">
        <f t="shared" si="203"/>
        <v>762</v>
      </c>
      <c r="Z771" s="30">
        <f t="shared" si="194"/>
        <v>20.873852896863443</v>
      </c>
      <c r="AA771" s="28" t="e">
        <f t="shared" si="195"/>
        <v>#N/A</v>
      </c>
      <c r="AB771" s="28" t="e">
        <f t="shared" si="196"/>
        <v>#VALUE!</v>
      </c>
      <c r="AC771" s="29">
        <f t="shared" si="197"/>
        <v>722.96015180265658</v>
      </c>
      <c r="AD771" s="28" t="e">
        <f t="shared" si="198"/>
        <v>#VALUE!</v>
      </c>
      <c r="AE771" s="28" t="e">
        <f t="shared" si="199"/>
        <v>#N/A</v>
      </c>
      <c r="AF771" s="28" t="e">
        <f t="shared" si="200"/>
        <v>#VALUE!</v>
      </c>
      <c r="AH771" s="31" t="e">
        <f t="shared" si="201"/>
        <v>#N/A</v>
      </c>
      <c r="AI771" s="25"/>
      <c r="AJ771" s="31"/>
    </row>
    <row r="772" spans="2:36" x14ac:dyDescent="0.25">
      <c r="B772" s="33">
        <f>'Arbitrage Payback Engine'!E772</f>
        <v>20.901246404602109</v>
      </c>
      <c r="C772" s="33">
        <f t="shared" si="187"/>
        <v>1000</v>
      </c>
      <c r="D772" s="33">
        <f>'Battery Pricing Model'!$C$17</f>
        <v>1000</v>
      </c>
      <c r="E772" s="33">
        <f t="shared" si="188"/>
        <v>999</v>
      </c>
      <c r="F772" s="33" t="str">
        <f>'Peak Models'!$B$4</f>
        <v>Default</v>
      </c>
      <c r="G772" s="33" t="e">
        <f>'Peak Models'!$Q$7</f>
        <v>#VALUE!</v>
      </c>
      <c r="H772" s="33">
        <f>'Peak Models'!$P$16</f>
        <v>1.5</v>
      </c>
      <c r="I772" s="33">
        <v>12</v>
      </c>
      <c r="J772" s="33" t="e">
        <f>'Peak Models'!$P$13</f>
        <v>#N/A</v>
      </c>
      <c r="K772" s="28" t="e">
        <f t="shared" si="189"/>
        <v>#VALUE!</v>
      </c>
      <c r="L772" s="28" t="e">
        <f>INDEX('Peak Models'!$P$34:$P$64, MATCH(TRUNC(B772, 0), 'Peak Models'!$O$34:$O$64, 0))</f>
        <v>#N/A</v>
      </c>
      <c r="M772" s="28">
        <f>'Peak Models'!$P$15*INDEX('Peak Models'!$Q$34:$Q$64, MATCH(TRUNC(B772, 0),'Peak Models'!$O$34:$O$64, 0))/'Profit per cycles Model'!$E$78</f>
        <v>7.7111361896018629</v>
      </c>
      <c r="N772" s="28" t="e">
        <f t="shared" si="190"/>
        <v>#N/A</v>
      </c>
      <c r="O772" s="71" t="e">
        <f>AVERAGE($N$10:N772)</f>
        <v>#N/A</v>
      </c>
      <c r="P772" s="28" t="e">
        <f t="shared" si="191"/>
        <v>#N/A</v>
      </c>
      <c r="R772" s="28" t="e">
        <f t="shared" si="192"/>
        <v>#VALUE!</v>
      </c>
      <c r="S772" s="25"/>
      <c r="T772" s="25">
        <f t="shared" si="193"/>
        <v>15</v>
      </c>
      <c r="U772" s="33">
        <f>IF(PaybackCustom&gt;0, IF(PaybackCustom&lt;&gt;"Default", PaybackCustom, IF(PaybackStatus&lt;&gt;"",INDEX('Arbitrage Payback Engine'!$Y$2:$Y$6,MATCH(PaybackStatus,'Arbitrage Payback Engine'!$X$2:$X$6,FALSE)),-1)))</f>
        <v>25</v>
      </c>
      <c r="V772" s="32">
        <f t="shared" si="202"/>
        <v>15</v>
      </c>
      <c r="X772" s="29">
        <f t="shared" si="203"/>
        <v>763</v>
      </c>
      <c r="Z772" s="30">
        <f t="shared" si="194"/>
        <v>20.901246404602109</v>
      </c>
      <c r="AA772" s="28" t="e">
        <f t="shared" si="195"/>
        <v>#N/A</v>
      </c>
      <c r="AB772" s="28" t="e">
        <f t="shared" si="196"/>
        <v>#VALUE!</v>
      </c>
      <c r="AC772" s="29">
        <f t="shared" si="197"/>
        <v>723.90891840607208</v>
      </c>
      <c r="AD772" s="28" t="e">
        <f t="shared" si="198"/>
        <v>#VALUE!</v>
      </c>
      <c r="AE772" s="28" t="e">
        <f t="shared" si="199"/>
        <v>#N/A</v>
      </c>
      <c r="AF772" s="28" t="e">
        <f t="shared" si="200"/>
        <v>#VALUE!</v>
      </c>
      <c r="AH772" s="31" t="e">
        <f t="shared" si="201"/>
        <v>#N/A</v>
      </c>
      <c r="AI772" s="25"/>
      <c r="AJ772" s="31"/>
    </row>
    <row r="773" spans="2:36" x14ac:dyDescent="0.25">
      <c r="B773" s="33">
        <f>'Arbitrage Payback Engine'!E773</f>
        <v>20.928639912340774</v>
      </c>
      <c r="C773" s="33">
        <f t="shared" si="187"/>
        <v>1000</v>
      </c>
      <c r="D773" s="33">
        <f>'Battery Pricing Model'!$C$17</f>
        <v>1000</v>
      </c>
      <c r="E773" s="33">
        <f t="shared" si="188"/>
        <v>999</v>
      </c>
      <c r="F773" s="33" t="str">
        <f>'Peak Models'!$B$4</f>
        <v>Default</v>
      </c>
      <c r="G773" s="33" t="e">
        <f>'Peak Models'!$Q$7</f>
        <v>#VALUE!</v>
      </c>
      <c r="H773" s="33">
        <f>'Peak Models'!$P$16</f>
        <v>1.5</v>
      </c>
      <c r="I773" s="33">
        <v>12</v>
      </c>
      <c r="J773" s="33" t="e">
        <f>'Peak Models'!$P$13</f>
        <v>#N/A</v>
      </c>
      <c r="K773" s="28" t="e">
        <f t="shared" si="189"/>
        <v>#VALUE!</v>
      </c>
      <c r="L773" s="28" t="e">
        <f>INDEX('Peak Models'!$P$34:$P$64, MATCH(TRUNC(B773, 0), 'Peak Models'!$O$34:$O$64, 0))</f>
        <v>#N/A</v>
      </c>
      <c r="M773" s="28">
        <f>'Peak Models'!$P$15*INDEX('Peak Models'!$Q$34:$Q$64, MATCH(TRUNC(B773, 0),'Peak Models'!$O$34:$O$64, 0))/'Profit per cycles Model'!$E$78</f>
        <v>7.7111361896018629</v>
      </c>
      <c r="N773" s="28" t="e">
        <f t="shared" si="190"/>
        <v>#N/A</v>
      </c>
      <c r="O773" s="71" t="e">
        <f>AVERAGE($N$10:N773)</f>
        <v>#N/A</v>
      </c>
      <c r="P773" s="28" t="e">
        <f t="shared" si="191"/>
        <v>#N/A</v>
      </c>
      <c r="R773" s="28" t="e">
        <f t="shared" si="192"/>
        <v>#VALUE!</v>
      </c>
      <c r="S773" s="25"/>
      <c r="T773" s="25">
        <f t="shared" si="193"/>
        <v>15</v>
      </c>
      <c r="U773" s="33">
        <f>IF(PaybackCustom&gt;0, IF(PaybackCustom&lt;&gt;"Default", PaybackCustom, IF(PaybackStatus&lt;&gt;"",INDEX('Arbitrage Payback Engine'!$Y$2:$Y$6,MATCH(PaybackStatus,'Arbitrage Payback Engine'!$X$2:$X$6,FALSE)),-1)))</f>
        <v>25</v>
      </c>
      <c r="V773" s="32">
        <f t="shared" si="202"/>
        <v>15</v>
      </c>
      <c r="X773" s="29">
        <f t="shared" si="203"/>
        <v>764</v>
      </c>
      <c r="Z773" s="30">
        <f t="shared" si="194"/>
        <v>20.928639912340774</v>
      </c>
      <c r="AA773" s="28" t="e">
        <f t="shared" si="195"/>
        <v>#N/A</v>
      </c>
      <c r="AB773" s="28" t="e">
        <f t="shared" si="196"/>
        <v>#VALUE!</v>
      </c>
      <c r="AC773" s="29">
        <f t="shared" si="197"/>
        <v>724.85768500948768</v>
      </c>
      <c r="AD773" s="28" t="e">
        <f t="shared" si="198"/>
        <v>#VALUE!</v>
      </c>
      <c r="AE773" s="28" t="e">
        <f t="shared" si="199"/>
        <v>#N/A</v>
      </c>
      <c r="AF773" s="28" t="e">
        <f t="shared" si="200"/>
        <v>#VALUE!</v>
      </c>
      <c r="AH773" s="31" t="e">
        <f t="shared" si="201"/>
        <v>#N/A</v>
      </c>
      <c r="AI773" s="25"/>
      <c r="AJ773" s="31"/>
    </row>
    <row r="774" spans="2:36" x14ac:dyDescent="0.25">
      <c r="B774" s="33">
        <f>'Arbitrage Payback Engine'!E774</f>
        <v>20.956033420079439</v>
      </c>
      <c r="C774" s="33">
        <f t="shared" si="187"/>
        <v>1000</v>
      </c>
      <c r="D774" s="33">
        <f>'Battery Pricing Model'!$C$17</f>
        <v>1000</v>
      </c>
      <c r="E774" s="33">
        <f t="shared" si="188"/>
        <v>999</v>
      </c>
      <c r="F774" s="33" t="str">
        <f>'Peak Models'!$B$4</f>
        <v>Default</v>
      </c>
      <c r="G774" s="33" t="e">
        <f>'Peak Models'!$Q$7</f>
        <v>#VALUE!</v>
      </c>
      <c r="H774" s="33">
        <f>'Peak Models'!$P$16</f>
        <v>1.5</v>
      </c>
      <c r="I774" s="33">
        <v>12</v>
      </c>
      <c r="J774" s="33" t="e">
        <f>'Peak Models'!$P$13</f>
        <v>#N/A</v>
      </c>
      <c r="K774" s="28" t="e">
        <f t="shared" si="189"/>
        <v>#VALUE!</v>
      </c>
      <c r="L774" s="28" t="e">
        <f>INDEX('Peak Models'!$P$34:$P$64, MATCH(TRUNC(B774, 0), 'Peak Models'!$O$34:$O$64, 0))</f>
        <v>#N/A</v>
      </c>
      <c r="M774" s="28">
        <f>'Peak Models'!$P$15*INDEX('Peak Models'!$Q$34:$Q$64, MATCH(TRUNC(B774, 0),'Peak Models'!$O$34:$O$64, 0))/'Profit per cycles Model'!$E$78</f>
        <v>7.7111361896018629</v>
      </c>
      <c r="N774" s="28" t="e">
        <f t="shared" si="190"/>
        <v>#N/A</v>
      </c>
      <c r="O774" s="71" t="e">
        <f>AVERAGE($N$10:N774)</f>
        <v>#N/A</v>
      </c>
      <c r="P774" s="28" t="e">
        <f t="shared" si="191"/>
        <v>#N/A</v>
      </c>
      <c r="R774" s="28" t="e">
        <f t="shared" si="192"/>
        <v>#VALUE!</v>
      </c>
      <c r="S774" s="25"/>
      <c r="T774" s="25">
        <f t="shared" si="193"/>
        <v>15</v>
      </c>
      <c r="U774" s="33">
        <f>IF(PaybackCustom&gt;0, IF(PaybackCustom&lt;&gt;"Default", PaybackCustom, IF(PaybackStatus&lt;&gt;"",INDEX('Arbitrage Payback Engine'!$Y$2:$Y$6,MATCH(PaybackStatus,'Arbitrage Payback Engine'!$X$2:$X$6,FALSE)),-1)))</f>
        <v>25</v>
      </c>
      <c r="V774" s="32">
        <f t="shared" si="202"/>
        <v>15</v>
      </c>
      <c r="X774" s="29">
        <f t="shared" si="203"/>
        <v>765</v>
      </c>
      <c r="Z774" s="30">
        <f t="shared" si="194"/>
        <v>20.956033420079439</v>
      </c>
      <c r="AA774" s="28" t="e">
        <f t="shared" si="195"/>
        <v>#N/A</v>
      </c>
      <c r="AB774" s="28" t="e">
        <f t="shared" si="196"/>
        <v>#VALUE!</v>
      </c>
      <c r="AC774" s="29">
        <f t="shared" si="197"/>
        <v>725.80645161290317</v>
      </c>
      <c r="AD774" s="28" t="e">
        <f t="shared" si="198"/>
        <v>#VALUE!</v>
      </c>
      <c r="AE774" s="28" t="e">
        <f t="shared" si="199"/>
        <v>#N/A</v>
      </c>
      <c r="AF774" s="28" t="e">
        <f t="shared" si="200"/>
        <v>#VALUE!</v>
      </c>
      <c r="AH774" s="31" t="e">
        <f t="shared" si="201"/>
        <v>#N/A</v>
      </c>
      <c r="AI774" s="25"/>
      <c r="AJ774" s="31"/>
    </row>
    <row r="775" spans="2:36" x14ac:dyDescent="0.25">
      <c r="B775" s="33">
        <f>'Arbitrage Payback Engine'!E775</f>
        <v>20.983426927818105</v>
      </c>
      <c r="C775" s="33">
        <f t="shared" si="187"/>
        <v>1000</v>
      </c>
      <c r="D775" s="33">
        <f>'Battery Pricing Model'!$C$17</f>
        <v>1000</v>
      </c>
      <c r="E775" s="33">
        <f t="shared" si="188"/>
        <v>999</v>
      </c>
      <c r="F775" s="33" t="str">
        <f>'Peak Models'!$B$4</f>
        <v>Default</v>
      </c>
      <c r="G775" s="33" t="e">
        <f>'Peak Models'!$Q$7</f>
        <v>#VALUE!</v>
      </c>
      <c r="H775" s="33">
        <f>'Peak Models'!$P$16</f>
        <v>1.5</v>
      </c>
      <c r="I775" s="33">
        <v>12</v>
      </c>
      <c r="J775" s="33" t="e">
        <f>'Peak Models'!$P$13</f>
        <v>#N/A</v>
      </c>
      <c r="K775" s="28" t="e">
        <f t="shared" si="189"/>
        <v>#VALUE!</v>
      </c>
      <c r="L775" s="28" t="e">
        <f>INDEX('Peak Models'!$P$34:$P$64, MATCH(TRUNC(B775, 0), 'Peak Models'!$O$34:$O$64, 0))</f>
        <v>#N/A</v>
      </c>
      <c r="M775" s="28">
        <f>'Peak Models'!$P$15*INDEX('Peak Models'!$Q$34:$Q$64, MATCH(TRUNC(B775, 0),'Peak Models'!$O$34:$O$64, 0))/'Profit per cycles Model'!$E$78</f>
        <v>7.7111361896018629</v>
      </c>
      <c r="N775" s="28" t="e">
        <f t="shared" si="190"/>
        <v>#N/A</v>
      </c>
      <c r="O775" s="71" t="e">
        <f>AVERAGE($N$10:N775)</f>
        <v>#N/A</v>
      </c>
      <c r="P775" s="28" t="e">
        <f t="shared" si="191"/>
        <v>#N/A</v>
      </c>
      <c r="R775" s="28" t="e">
        <f t="shared" si="192"/>
        <v>#VALUE!</v>
      </c>
      <c r="S775" s="25"/>
      <c r="T775" s="25">
        <f t="shared" si="193"/>
        <v>15</v>
      </c>
      <c r="U775" s="33">
        <f>IF(PaybackCustom&gt;0, IF(PaybackCustom&lt;&gt;"Default", PaybackCustom, IF(PaybackStatus&lt;&gt;"",INDEX('Arbitrage Payback Engine'!$Y$2:$Y$6,MATCH(PaybackStatus,'Arbitrage Payback Engine'!$X$2:$X$6,FALSE)),-1)))</f>
        <v>25</v>
      </c>
      <c r="V775" s="32">
        <f t="shared" si="202"/>
        <v>15</v>
      </c>
      <c r="X775" s="29">
        <f t="shared" si="203"/>
        <v>766</v>
      </c>
      <c r="Z775" s="30">
        <f t="shared" si="194"/>
        <v>20.983426927818105</v>
      </c>
      <c r="AA775" s="28" t="e">
        <f t="shared" si="195"/>
        <v>#N/A</v>
      </c>
      <c r="AB775" s="28" t="e">
        <f t="shared" si="196"/>
        <v>#VALUE!</v>
      </c>
      <c r="AC775" s="29">
        <f t="shared" si="197"/>
        <v>726.75521821631878</v>
      </c>
      <c r="AD775" s="28" t="e">
        <f t="shared" si="198"/>
        <v>#VALUE!</v>
      </c>
      <c r="AE775" s="28" t="e">
        <f t="shared" si="199"/>
        <v>#N/A</v>
      </c>
      <c r="AF775" s="28" t="e">
        <f t="shared" si="200"/>
        <v>#VALUE!</v>
      </c>
      <c r="AH775" s="31" t="e">
        <f t="shared" si="201"/>
        <v>#N/A</v>
      </c>
      <c r="AI775" s="25"/>
      <c r="AJ775" s="31"/>
    </row>
    <row r="776" spans="2:36" x14ac:dyDescent="0.25">
      <c r="B776" s="33">
        <f>'Arbitrage Payback Engine'!E776</f>
        <v>21.010820435556774</v>
      </c>
      <c r="C776" s="33">
        <f t="shared" si="187"/>
        <v>1000</v>
      </c>
      <c r="D776" s="33">
        <f>'Battery Pricing Model'!$C$17</f>
        <v>1000</v>
      </c>
      <c r="E776" s="33">
        <f t="shared" si="188"/>
        <v>999</v>
      </c>
      <c r="F776" s="33" t="str">
        <f>'Peak Models'!$B$4</f>
        <v>Default</v>
      </c>
      <c r="G776" s="33" t="e">
        <f>'Peak Models'!$Q$7</f>
        <v>#VALUE!</v>
      </c>
      <c r="H776" s="33">
        <f>'Peak Models'!$P$16</f>
        <v>1.5</v>
      </c>
      <c r="I776" s="33">
        <v>12</v>
      </c>
      <c r="J776" s="33" t="e">
        <f>'Peak Models'!$P$13</f>
        <v>#N/A</v>
      </c>
      <c r="K776" s="28" t="e">
        <f t="shared" si="189"/>
        <v>#VALUE!</v>
      </c>
      <c r="L776" s="28" t="e">
        <f>INDEX('Peak Models'!$P$34:$P$64, MATCH(TRUNC(B776, 0), 'Peak Models'!$O$34:$O$64, 0))</f>
        <v>#N/A</v>
      </c>
      <c r="M776" s="28">
        <f>'Peak Models'!$P$15*INDEX('Peak Models'!$Q$34:$Q$64, MATCH(TRUNC(B776, 0),'Peak Models'!$O$34:$O$64, 0))/'Profit per cycles Model'!$E$78</f>
        <v>7.9039145943419085</v>
      </c>
      <c r="N776" s="28" t="e">
        <f t="shared" si="190"/>
        <v>#N/A</v>
      </c>
      <c r="O776" s="71" t="e">
        <f>AVERAGE($N$10:N776)</f>
        <v>#N/A</v>
      </c>
      <c r="P776" s="28" t="e">
        <f t="shared" si="191"/>
        <v>#N/A</v>
      </c>
      <c r="R776" s="28" t="e">
        <f t="shared" si="192"/>
        <v>#VALUE!</v>
      </c>
      <c r="S776" s="25"/>
      <c r="T776" s="25">
        <f t="shared" si="193"/>
        <v>15</v>
      </c>
      <c r="U776" s="33">
        <f>IF(PaybackCustom&gt;0, IF(PaybackCustom&lt;&gt;"Default", PaybackCustom, IF(PaybackStatus&lt;&gt;"",INDEX('Arbitrage Payback Engine'!$Y$2:$Y$6,MATCH(PaybackStatus,'Arbitrage Payback Engine'!$X$2:$X$6,FALSE)),-1)))</f>
        <v>25</v>
      </c>
      <c r="V776" s="32">
        <f t="shared" si="202"/>
        <v>15</v>
      </c>
      <c r="X776" s="29">
        <f t="shared" si="203"/>
        <v>767</v>
      </c>
      <c r="Z776" s="30">
        <f t="shared" si="194"/>
        <v>21.010820435556774</v>
      </c>
      <c r="AA776" s="28" t="e">
        <f t="shared" si="195"/>
        <v>#N/A</v>
      </c>
      <c r="AB776" s="28" t="e">
        <f t="shared" si="196"/>
        <v>#VALUE!</v>
      </c>
      <c r="AC776" s="29">
        <f t="shared" si="197"/>
        <v>727.70398481973439</v>
      </c>
      <c r="AD776" s="28" t="e">
        <f t="shared" si="198"/>
        <v>#VALUE!</v>
      </c>
      <c r="AE776" s="28" t="e">
        <f t="shared" si="199"/>
        <v>#N/A</v>
      </c>
      <c r="AF776" s="28" t="e">
        <f t="shared" si="200"/>
        <v>#VALUE!</v>
      </c>
      <c r="AH776" s="31" t="e">
        <f t="shared" si="201"/>
        <v>#N/A</v>
      </c>
      <c r="AI776" s="25"/>
      <c r="AJ776" s="31"/>
    </row>
    <row r="777" spans="2:36" x14ac:dyDescent="0.25">
      <c r="B777" s="33">
        <f>'Arbitrage Payback Engine'!E777</f>
        <v>21.038213943295439</v>
      </c>
      <c r="C777" s="33">
        <f t="shared" si="187"/>
        <v>1000</v>
      </c>
      <c r="D777" s="33">
        <f>'Battery Pricing Model'!$C$17</f>
        <v>1000</v>
      </c>
      <c r="E777" s="33">
        <f t="shared" si="188"/>
        <v>999</v>
      </c>
      <c r="F777" s="33" t="str">
        <f>'Peak Models'!$B$4</f>
        <v>Default</v>
      </c>
      <c r="G777" s="33" t="e">
        <f>'Peak Models'!$Q$7</f>
        <v>#VALUE!</v>
      </c>
      <c r="H777" s="33">
        <f>'Peak Models'!$P$16</f>
        <v>1.5</v>
      </c>
      <c r="I777" s="33">
        <v>12</v>
      </c>
      <c r="J777" s="33" t="e">
        <f>'Peak Models'!$P$13</f>
        <v>#N/A</v>
      </c>
      <c r="K777" s="28" t="e">
        <f t="shared" si="189"/>
        <v>#VALUE!</v>
      </c>
      <c r="L777" s="28" t="e">
        <f>INDEX('Peak Models'!$P$34:$P$64, MATCH(TRUNC(B777, 0), 'Peak Models'!$O$34:$O$64, 0))</f>
        <v>#N/A</v>
      </c>
      <c r="M777" s="28">
        <f>'Peak Models'!$P$15*INDEX('Peak Models'!$Q$34:$Q$64, MATCH(TRUNC(B777, 0),'Peak Models'!$O$34:$O$64, 0))/'Profit per cycles Model'!$E$78</f>
        <v>7.9039145943419085</v>
      </c>
      <c r="N777" s="28" t="e">
        <f t="shared" si="190"/>
        <v>#N/A</v>
      </c>
      <c r="O777" s="71" t="e">
        <f>AVERAGE($N$10:N777)</f>
        <v>#N/A</v>
      </c>
      <c r="P777" s="28" t="e">
        <f t="shared" si="191"/>
        <v>#N/A</v>
      </c>
      <c r="R777" s="28" t="e">
        <f t="shared" si="192"/>
        <v>#VALUE!</v>
      </c>
      <c r="S777" s="25"/>
      <c r="T777" s="25">
        <f t="shared" si="193"/>
        <v>15</v>
      </c>
      <c r="U777" s="33">
        <f>IF(PaybackCustom&gt;0, IF(PaybackCustom&lt;&gt;"Default", PaybackCustom, IF(PaybackStatus&lt;&gt;"",INDEX('Arbitrage Payback Engine'!$Y$2:$Y$6,MATCH(PaybackStatus,'Arbitrage Payback Engine'!$X$2:$X$6,FALSE)),-1)))</f>
        <v>25</v>
      </c>
      <c r="V777" s="32">
        <f t="shared" si="202"/>
        <v>15</v>
      </c>
      <c r="X777" s="29">
        <f t="shared" si="203"/>
        <v>768</v>
      </c>
      <c r="Z777" s="30">
        <f t="shared" si="194"/>
        <v>21.038213943295439</v>
      </c>
      <c r="AA777" s="28" t="e">
        <f t="shared" si="195"/>
        <v>#N/A</v>
      </c>
      <c r="AB777" s="28" t="e">
        <f t="shared" si="196"/>
        <v>#VALUE!</v>
      </c>
      <c r="AC777" s="29">
        <f t="shared" si="197"/>
        <v>728.65275142314999</v>
      </c>
      <c r="AD777" s="28" t="e">
        <f t="shared" si="198"/>
        <v>#VALUE!</v>
      </c>
      <c r="AE777" s="28" t="e">
        <f t="shared" si="199"/>
        <v>#N/A</v>
      </c>
      <c r="AF777" s="28" t="e">
        <f t="shared" si="200"/>
        <v>#VALUE!</v>
      </c>
      <c r="AH777" s="31" t="e">
        <f t="shared" si="201"/>
        <v>#N/A</v>
      </c>
      <c r="AI777" s="25"/>
      <c r="AJ777" s="31"/>
    </row>
    <row r="778" spans="2:36" x14ac:dyDescent="0.25">
      <c r="B778" s="33">
        <f>'Arbitrage Payback Engine'!E778</f>
        <v>21.065607451034104</v>
      </c>
      <c r="C778" s="33">
        <f t="shared" ref="C778:C841" si="204">IF(OR($E$6="None", $E$6=0), D778, E778)</f>
        <v>1000</v>
      </c>
      <c r="D778" s="33">
        <f>'Battery Pricing Model'!$C$17</f>
        <v>1000</v>
      </c>
      <c r="E778" s="33">
        <f t="shared" ref="E778:E841" si="205">IF(OR($E$6="None", $E$6=0), 999, $D778*(E$6))</f>
        <v>999</v>
      </c>
      <c r="F778" s="33" t="str">
        <f>'Peak Models'!$B$4</f>
        <v>Default</v>
      </c>
      <c r="G778" s="33" t="e">
        <f>'Peak Models'!$Q$7</f>
        <v>#VALUE!</v>
      </c>
      <c r="H778" s="33">
        <f>'Peak Models'!$P$16</f>
        <v>1.5</v>
      </c>
      <c r="I778" s="33">
        <v>12</v>
      </c>
      <c r="J778" s="33" t="e">
        <f>'Peak Models'!$P$13</f>
        <v>#N/A</v>
      </c>
      <c r="K778" s="28" t="e">
        <f t="shared" ref="K778:K841" si="206">C778*G778/(H778*B778)</f>
        <v>#VALUE!</v>
      </c>
      <c r="L778" s="28" t="e">
        <f>INDEX('Peak Models'!$P$34:$P$64, MATCH(TRUNC(B778, 0), 'Peak Models'!$O$34:$O$64, 0))</f>
        <v>#N/A</v>
      </c>
      <c r="M778" s="28">
        <f>'Peak Models'!$P$15*INDEX('Peak Models'!$Q$34:$Q$64, MATCH(TRUNC(B778, 0),'Peak Models'!$O$34:$O$64, 0))/'Profit per cycles Model'!$E$78</f>
        <v>7.9039145943419085</v>
      </c>
      <c r="N778" s="28" t="e">
        <f t="shared" ref="N778:N841" si="207">L778-M778</f>
        <v>#N/A</v>
      </c>
      <c r="O778" s="71" t="e">
        <f>AVERAGE($N$10:N778)</f>
        <v>#N/A</v>
      </c>
      <c r="P778" s="28" t="e">
        <f t="shared" ref="P778:P841" si="208">IF(O778-K778&lt;0, 999, O778-K778)</f>
        <v>#N/A</v>
      </c>
      <c r="R778" s="28" t="e">
        <f t="shared" ref="R778:R841" si="209">IF(ISNA(INDEX($K$10:$K$1063,MATCH(T778,$B$10:$B$1063,1))),-1,INDEX($K$10:$K$1063,MATCH(T778,$B$10:$B$1063,1)))</f>
        <v>#VALUE!</v>
      </c>
      <c r="S778" s="25"/>
      <c r="T778" s="25">
        <f t="shared" ref="T778:T841" si="210">IF( AND(U778&gt;0, V778&gt;0), IF(U778&lt;V778, U778, V778),  IF(U778&gt;0, U778, IF(V778&gt;0, V778, -1)) )</f>
        <v>15</v>
      </c>
      <c r="U778" s="33">
        <f>IF(PaybackCustom&gt;0, IF(PaybackCustom&lt;&gt;"Default", PaybackCustom, IF(PaybackStatus&lt;&gt;"",INDEX('Arbitrage Payback Engine'!$Y$2:$Y$6,MATCH(PaybackStatus,'Arbitrage Payback Engine'!$X$2:$X$6,FALSE)),-1)))</f>
        <v>25</v>
      </c>
      <c r="V778" s="32">
        <f t="shared" si="202"/>
        <v>15</v>
      </c>
      <c r="X778" s="29">
        <f t="shared" si="203"/>
        <v>769</v>
      </c>
      <c r="Z778" s="30">
        <f t="shared" ref="Z778:Z841" si="211">B778</f>
        <v>21.065607451034104</v>
      </c>
      <c r="AA778" s="28" t="e">
        <f t="shared" ref="AA778:AA841" si="212">N778</f>
        <v>#N/A</v>
      </c>
      <c r="AB778" s="28" t="e">
        <f t="shared" ref="AB778:AB841" si="213">R778</f>
        <v>#VALUE!</v>
      </c>
      <c r="AC778" s="29">
        <f t="shared" ref="AC778:AC841" si="214">$AB$2*(Z778-$AB$3)/($AB$4-$AB$3)</f>
        <v>729.60151802656549</v>
      </c>
      <c r="AD778" s="28" t="e">
        <f t="shared" ref="AD778:AD841" si="215">MIN(AB778, AA778)</f>
        <v>#VALUE!</v>
      </c>
      <c r="AE778" s="28" t="e">
        <f t="shared" ref="AE778:AE841" si="216">IF(AND(Z778&lt;T778, AA778&gt;AB778), AA778-AB778, 0)</f>
        <v>#N/A</v>
      </c>
      <c r="AF778" s="28" t="e">
        <f t="shared" ref="AF778:AF841" si="217">IF(AND(Z778&lt;T778, AB778&gt;AA778), AB778-AA778, 0)</f>
        <v>#VALUE!</v>
      </c>
      <c r="AH778" s="31" t="e">
        <f t="shared" ref="AH778:AH841" si="218">(O778-K778)/K778</f>
        <v>#N/A</v>
      </c>
      <c r="AI778" s="25"/>
      <c r="AJ778" s="31"/>
    </row>
    <row r="779" spans="2:36" x14ac:dyDescent="0.25">
      <c r="B779" s="33">
        <f>'Arbitrage Payback Engine'!E779</f>
        <v>21.09300095877277</v>
      </c>
      <c r="C779" s="33">
        <f t="shared" si="204"/>
        <v>1000</v>
      </c>
      <c r="D779" s="33">
        <f>'Battery Pricing Model'!$C$17</f>
        <v>1000</v>
      </c>
      <c r="E779" s="33">
        <f t="shared" si="205"/>
        <v>999</v>
      </c>
      <c r="F779" s="33" t="str">
        <f>'Peak Models'!$B$4</f>
        <v>Default</v>
      </c>
      <c r="G779" s="33" t="e">
        <f>'Peak Models'!$Q$7</f>
        <v>#VALUE!</v>
      </c>
      <c r="H779" s="33">
        <f>'Peak Models'!$P$16</f>
        <v>1.5</v>
      </c>
      <c r="I779" s="33">
        <v>12</v>
      </c>
      <c r="J779" s="33" t="e">
        <f>'Peak Models'!$P$13</f>
        <v>#N/A</v>
      </c>
      <c r="K779" s="28" t="e">
        <f t="shared" si="206"/>
        <v>#VALUE!</v>
      </c>
      <c r="L779" s="28" t="e">
        <f>INDEX('Peak Models'!$P$34:$P$64, MATCH(TRUNC(B779, 0), 'Peak Models'!$O$34:$O$64, 0))</f>
        <v>#N/A</v>
      </c>
      <c r="M779" s="28">
        <f>'Peak Models'!$P$15*INDEX('Peak Models'!$Q$34:$Q$64, MATCH(TRUNC(B779, 0),'Peak Models'!$O$34:$O$64, 0))/'Profit per cycles Model'!$E$78</f>
        <v>7.9039145943419085</v>
      </c>
      <c r="N779" s="28" t="e">
        <f t="shared" si="207"/>
        <v>#N/A</v>
      </c>
      <c r="O779" s="71" t="e">
        <f>AVERAGE($N$10:N779)</f>
        <v>#N/A</v>
      </c>
      <c r="P779" s="28" t="e">
        <f t="shared" si="208"/>
        <v>#N/A</v>
      </c>
      <c r="R779" s="28" t="e">
        <f t="shared" si="209"/>
        <v>#VALUE!</v>
      </c>
      <c r="S779" s="25"/>
      <c r="T779" s="25">
        <f t="shared" si="210"/>
        <v>15</v>
      </c>
      <c r="U779" s="33">
        <f>IF(PaybackCustom&gt;0, IF(PaybackCustom&lt;&gt;"Default", PaybackCustom, IF(PaybackStatus&lt;&gt;"",INDEX('Arbitrage Payback Engine'!$Y$2:$Y$6,MATCH(PaybackStatus,'Arbitrage Payback Engine'!$X$2:$X$6,FALSE)),-1)))</f>
        <v>25</v>
      </c>
      <c r="V779" s="32">
        <f t="shared" ref="V779:V842" si="219">IF(ISNUMBER($L$5), $L$5, 15)</f>
        <v>15</v>
      </c>
      <c r="X779" s="29">
        <f t="shared" ref="X779:X842" si="220">X778+1</f>
        <v>770</v>
      </c>
      <c r="Z779" s="30">
        <f t="shared" si="211"/>
        <v>21.09300095877277</v>
      </c>
      <c r="AA779" s="28" t="e">
        <f t="shared" si="212"/>
        <v>#N/A</v>
      </c>
      <c r="AB779" s="28" t="e">
        <f t="shared" si="213"/>
        <v>#VALUE!</v>
      </c>
      <c r="AC779" s="29">
        <f t="shared" si="214"/>
        <v>730.55028462998098</v>
      </c>
      <c r="AD779" s="28" t="e">
        <f t="shared" si="215"/>
        <v>#VALUE!</v>
      </c>
      <c r="AE779" s="28" t="e">
        <f t="shared" si="216"/>
        <v>#N/A</v>
      </c>
      <c r="AF779" s="28" t="e">
        <f t="shared" si="217"/>
        <v>#VALUE!</v>
      </c>
      <c r="AH779" s="31" t="e">
        <f t="shared" si="218"/>
        <v>#N/A</v>
      </c>
      <c r="AI779" s="25"/>
      <c r="AJ779" s="31"/>
    </row>
    <row r="780" spans="2:36" x14ac:dyDescent="0.25">
      <c r="B780" s="33">
        <f>'Arbitrage Payback Engine'!E780</f>
        <v>21.120394466511435</v>
      </c>
      <c r="C780" s="33">
        <f t="shared" si="204"/>
        <v>1000</v>
      </c>
      <c r="D780" s="33">
        <f>'Battery Pricing Model'!$C$17</f>
        <v>1000</v>
      </c>
      <c r="E780" s="33">
        <f t="shared" si="205"/>
        <v>999</v>
      </c>
      <c r="F780" s="33" t="str">
        <f>'Peak Models'!$B$4</f>
        <v>Default</v>
      </c>
      <c r="G780" s="33" t="e">
        <f>'Peak Models'!$Q$7</f>
        <v>#VALUE!</v>
      </c>
      <c r="H780" s="33">
        <f>'Peak Models'!$P$16</f>
        <v>1.5</v>
      </c>
      <c r="I780" s="33">
        <v>12</v>
      </c>
      <c r="J780" s="33" t="e">
        <f>'Peak Models'!$P$13</f>
        <v>#N/A</v>
      </c>
      <c r="K780" s="28" t="e">
        <f t="shared" si="206"/>
        <v>#VALUE!</v>
      </c>
      <c r="L780" s="28" t="e">
        <f>INDEX('Peak Models'!$P$34:$P$64, MATCH(TRUNC(B780, 0), 'Peak Models'!$O$34:$O$64, 0))</f>
        <v>#N/A</v>
      </c>
      <c r="M780" s="28">
        <f>'Peak Models'!$P$15*INDEX('Peak Models'!$Q$34:$Q$64, MATCH(TRUNC(B780, 0),'Peak Models'!$O$34:$O$64, 0))/'Profit per cycles Model'!$E$78</f>
        <v>7.9039145943419085</v>
      </c>
      <c r="N780" s="28" t="e">
        <f t="shared" si="207"/>
        <v>#N/A</v>
      </c>
      <c r="O780" s="71" t="e">
        <f>AVERAGE($N$10:N780)</f>
        <v>#N/A</v>
      </c>
      <c r="P780" s="28" t="e">
        <f t="shared" si="208"/>
        <v>#N/A</v>
      </c>
      <c r="R780" s="28" t="e">
        <f t="shared" si="209"/>
        <v>#VALUE!</v>
      </c>
      <c r="S780" s="25"/>
      <c r="T780" s="25">
        <f t="shared" si="210"/>
        <v>15</v>
      </c>
      <c r="U780" s="33">
        <f>IF(PaybackCustom&gt;0, IF(PaybackCustom&lt;&gt;"Default", PaybackCustom, IF(PaybackStatus&lt;&gt;"",INDEX('Arbitrage Payback Engine'!$Y$2:$Y$6,MATCH(PaybackStatus,'Arbitrage Payback Engine'!$X$2:$X$6,FALSE)),-1)))</f>
        <v>25</v>
      </c>
      <c r="V780" s="32">
        <f t="shared" si="219"/>
        <v>15</v>
      </c>
      <c r="X780" s="29">
        <f t="shared" si="220"/>
        <v>771</v>
      </c>
      <c r="Z780" s="30">
        <f t="shared" si="211"/>
        <v>21.120394466511435</v>
      </c>
      <c r="AA780" s="28" t="e">
        <f t="shared" si="212"/>
        <v>#N/A</v>
      </c>
      <c r="AB780" s="28" t="e">
        <f t="shared" si="213"/>
        <v>#VALUE!</v>
      </c>
      <c r="AC780" s="29">
        <f t="shared" si="214"/>
        <v>731.49905123339659</v>
      </c>
      <c r="AD780" s="28" t="e">
        <f t="shared" si="215"/>
        <v>#VALUE!</v>
      </c>
      <c r="AE780" s="28" t="e">
        <f t="shared" si="216"/>
        <v>#N/A</v>
      </c>
      <c r="AF780" s="28" t="e">
        <f t="shared" si="217"/>
        <v>#VALUE!</v>
      </c>
      <c r="AH780" s="31" t="e">
        <f t="shared" si="218"/>
        <v>#N/A</v>
      </c>
      <c r="AI780" s="25"/>
      <c r="AJ780" s="31"/>
    </row>
    <row r="781" spans="2:36" x14ac:dyDescent="0.25">
      <c r="B781" s="33">
        <f>'Arbitrage Payback Engine'!E781</f>
        <v>21.147787974250104</v>
      </c>
      <c r="C781" s="33">
        <f t="shared" si="204"/>
        <v>1000</v>
      </c>
      <c r="D781" s="33">
        <f>'Battery Pricing Model'!$C$17</f>
        <v>1000</v>
      </c>
      <c r="E781" s="33">
        <f t="shared" si="205"/>
        <v>999</v>
      </c>
      <c r="F781" s="33" t="str">
        <f>'Peak Models'!$B$4</f>
        <v>Default</v>
      </c>
      <c r="G781" s="33" t="e">
        <f>'Peak Models'!$Q$7</f>
        <v>#VALUE!</v>
      </c>
      <c r="H781" s="33">
        <f>'Peak Models'!$P$16</f>
        <v>1.5</v>
      </c>
      <c r="I781" s="33">
        <v>12</v>
      </c>
      <c r="J781" s="33" t="e">
        <f>'Peak Models'!$P$13</f>
        <v>#N/A</v>
      </c>
      <c r="K781" s="28" t="e">
        <f t="shared" si="206"/>
        <v>#VALUE!</v>
      </c>
      <c r="L781" s="28" t="e">
        <f>INDEX('Peak Models'!$P$34:$P$64, MATCH(TRUNC(B781, 0), 'Peak Models'!$O$34:$O$64, 0))</f>
        <v>#N/A</v>
      </c>
      <c r="M781" s="28">
        <f>'Peak Models'!$P$15*INDEX('Peak Models'!$Q$34:$Q$64, MATCH(TRUNC(B781, 0),'Peak Models'!$O$34:$O$64, 0))/'Profit per cycles Model'!$E$78</f>
        <v>7.9039145943419085</v>
      </c>
      <c r="N781" s="28" t="e">
        <f t="shared" si="207"/>
        <v>#N/A</v>
      </c>
      <c r="O781" s="71" t="e">
        <f>AVERAGE($N$10:N781)</f>
        <v>#N/A</v>
      </c>
      <c r="P781" s="28" t="e">
        <f t="shared" si="208"/>
        <v>#N/A</v>
      </c>
      <c r="R781" s="28" t="e">
        <f t="shared" si="209"/>
        <v>#VALUE!</v>
      </c>
      <c r="S781" s="25"/>
      <c r="T781" s="25">
        <f t="shared" si="210"/>
        <v>15</v>
      </c>
      <c r="U781" s="33">
        <f>IF(PaybackCustom&gt;0, IF(PaybackCustom&lt;&gt;"Default", PaybackCustom, IF(PaybackStatus&lt;&gt;"",INDEX('Arbitrage Payback Engine'!$Y$2:$Y$6,MATCH(PaybackStatus,'Arbitrage Payback Engine'!$X$2:$X$6,FALSE)),-1)))</f>
        <v>25</v>
      </c>
      <c r="V781" s="32">
        <f t="shared" si="219"/>
        <v>15</v>
      </c>
      <c r="X781" s="29">
        <f t="shared" si="220"/>
        <v>772</v>
      </c>
      <c r="Z781" s="30">
        <f t="shared" si="211"/>
        <v>21.147787974250104</v>
      </c>
      <c r="AA781" s="28" t="e">
        <f t="shared" si="212"/>
        <v>#N/A</v>
      </c>
      <c r="AB781" s="28" t="e">
        <f t="shared" si="213"/>
        <v>#VALUE!</v>
      </c>
      <c r="AC781" s="29">
        <f t="shared" si="214"/>
        <v>732.44781783681219</v>
      </c>
      <c r="AD781" s="28" t="e">
        <f t="shared" si="215"/>
        <v>#VALUE!</v>
      </c>
      <c r="AE781" s="28" t="e">
        <f t="shared" si="216"/>
        <v>#N/A</v>
      </c>
      <c r="AF781" s="28" t="e">
        <f t="shared" si="217"/>
        <v>#VALUE!</v>
      </c>
      <c r="AH781" s="31" t="e">
        <f t="shared" si="218"/>
        <v>#N/A</v>
      </c>
      <c r="AI781" s="25"/>
      <c r="AJ781" s="31"/>
    </row>
    <row r="782" spans="2:36" x14ac:dyDescent="0.25">
      <c r="B782" s="33">
        <f>'Arbitrage Payback Engine'!E782</f>
        <v>21.175181481988769</v>
      </c>
      <c r="C782" s="33">
        <f t="shared" si="204"/>
        <v>1000</v>
      </c>
      <c r="D782" s="33">
        <f>'Battery Pricing Model'!$C$17</f>
        <v>1000</v>
      </c>
      <c r="E782" s="33">
        <f t="shared" si="205"/>
        <v>999</v>
      </c>
      <c r="F782" s="33" t="str">
        <f>'Peak Models'!$B$4</f>
        <v>Default</v>
      </c>
      <c r="G782" s="33" t="e">
        <f>'Peak Models'!$Q$7</f>
        <v>#VALUE!</v>
      </c>
      <c r="H782" s="33">
        <f>'Peak Models'!$P$16</f>
        <v>1.5</v>
      </c>
      <c r="I782" s="33">
        <v>12</v>
      </c>
      <c r="J782" s="33" t="e">
        <f>'Peak Models'!$P$13</f>
        <v>#N/A</v>
      </c>
      <c r="K782" s="28" t="e">
        <f t="shared" si="206"/>
        <v>#VALUE!</v>
      </c>
      <c r="L782" s="28" t="e">
        <f>INDEX('Peak Models'!$P$34:$P$64, MATCH(TRUNC(B782, 0), 'Peak Models'!$O$34:$O$64, 0))</f>
        <v>#N/A</v>
      </c>
      <c r="M782" s="28">
        <f>'Peak Models'!$P$15*INDEX('Peak Models'!$Q$34:$Q$64, MATCH(TRUNC(B782, 0),'Peak Models'!$O$34:$O$64, 0))/'Profit per cycles Model'!$E$78</f>
        <v>7.9039145943419085</v>
      </c>
      <c r="N782" s="28" t="e">
        <f t="shared" si="207"/>
        <v>#N/A</v>
      </c>
      <c r="O782" s="71" t="e">
        <f>AVERAGE($N$10:N782)</f>
        <v>#N/A</v>
      </c>
      <c r="P782" s="28" t="e">
        <f t="shared" si="208"/>
        <v>#N/A</v>
      </c>
      <c r="R782" s="28" t="e">
        <f t="shared" si="209"/>
        <v>#VALUE!</v>
      </c>
      <c r="S782" s="25"/>
      <c r="T782" s="25">
        <f t="shared" si="210"/>
        <v>15</v>
      </c>
      <c r="U782" s="33">
        <f>IF(PaybackCustom&gt;0, IF(PaybackCustom&lt;&gt;"Default", PaybackCustom, IF(PaybackStatus&lt;&gt;"",INDEX('Arbitrage Payback Engine'!$Y$2:$Y$6,MATCH(PaybackStatus,'Arbitrage Payback Engine'!$X$2:$X$6,FALSE)),-1)))</f>
        <v>25</v>
      </c>
      <c r="V782" s="32">
        <f t="shared" si="219"/>
        <v>15</v>
      </c>
      <c r="X782" s="29">
        <f t="shared" si="220"/>
        <v>773</v>
      </c>
      <c r="Z782" s="30">
        <f t="shared" si="211"/>
        <v>21.175181481988769</v>
      </c>
      <c r="AA782" s="28" t="e">
        <f t="shared" si="212"/>
        <v>#N/A</v>
      </c>
      <c r="AB782" s="28" t="e">
        <f t="shared" si="213"/>
        <v>#VALUE!</v>
      </c>
      <c r="AC782" s="29">
        <f t="shared" si="214"/>
        <v>733.3965844402278</v>
      </c>
      <c r="AD782" s="28" t="e">
        <f t="shared" si="215"/>
        <v>#VALUE!</v>
      </c>
      <c r="AE782" s="28" t="e">
        <f t="shared" si="216"/>
        <v>#N/A</v>
      </c>
      <c r="AF782" s="28" t="e">
        <f t="shared" si="217"/>
        <v>#VALUE!</v>
      </c>
      <c r="AH782" s="31" t="e">
        <f t="shared" si="218"/>
        <v>#N/A</v>
      </c>
      <c r="AI782" s="25"/>
      <c r="AJ782" s="31"/>
    </row>
    <row r="783" spans="2:36" x14ac:dyDescent="0.25">
      <c r="B783" s="33">
        <f>'Arbitrage Payback Engine'!E783</f>
        <v>21.202574989727434</v>
      </c>
      <c r="C783" s="33">
        <f t="shared" si="204"/>
        <v>1000</v>
      </c>
      <c r="D783" s="33">
        <f>'Battery Pricing Model'!$C$17</f>
        <v>1000</v>
      </c>
      <c r="E783" s="33">
        <f t="shared" si="205"/>
        <v>999</v>
      </c>
      <c r="F783" s="33" t="str">
        <f>'Peak Models'!$B$4</f>
        <v>Default</v>
      </c>
      <c r="G783" s="33" t="e">
        <f>'Peak Models'!$Q$7</f>
        <v>#VALUE!</v>
      </c>
      <c r="H783" s="33">
        <f>'Peak Models'!$P$16</f>
        <v>1.5</v>
      </c>
      <c r="I783" s="33">
        <v>12</v>
      </c>
      <c r="J783" s="33" t="e">
        <f>'Peak Models'!$P$13</f>
        <v>#N/A</v>
      </c>
      <c r="K783" s="28" t="e">
        <f t="shared" si="206"/>
        <v>#VALUE!</v>
      </c>
      <c r="L783" s="28" t="e">
        <f>INDEX('Peak Models'!$P$34:$P$64, MATCH(TRUNC(B783, 0), 'Peak Models'!$O$34:$O$64, 0))</f>
        <v>#N/A</v>
      </c>
      <c r="M783" s="28">
        <f>'Peak Models'!$P$15*INDEX('Peak Models'!$Q$34:$Q$64, MATCH(TRUNC(B783, 0),'Peak Models'!$O$34:$O$64, 0))/'Profit per cycles Model'!$E$78</f>
        <v>7.9039145943419085</v>
      </c>
      <c r="N783" s="28" t="e">
        <f t="shared" si="207"/>
        <v>#N/A</v>
      </c>
      <c r="O783" s="71" t="e">
        <f>AVERAGE($N$10:N783)</f>
        <v>#N/A</v>
      </c>
      <c r="P783" s="28" t="e">
        <f t="shared" si="208"/>
        <v>#N/A</v>
      </c>
      <c r="R783" s="28" t="e">
        <f t="shared" si="209"/>
        <v>#VALUE!</v>
      </c>
      <c r="S783" s="25"/>
      <c r="T783" s="25">
        <f t="shared" si="210"/>
        <v>15</v>
      </c>
      <c r="U783" s="33">
        <f>IF(PaybackCustom&gt;0, IF(PaybackCustom&lt;&gt;"Default", PaybackCustom, IF(PaybackStatus&lt;&gt;"",INDEX('Arbitrage Payback Engine'!$Y$2:$Y$6,MATCH(PaybackStatus,'Arbitrage Payback Engine'!$X$2:$X$6,FALSE)),-1)))</f>
        <v>25</v>
      </c>
      <c r="V783" s="32">
        <f t="shared" si="219"/>
        <v>15</v>
      </c>
      <c r="X783" s="29">
        <f t="shared" si="220"/>
        <v>774</v>
      </c>
      <c r="Z783" s="30">
        <f t="shared" si="211"/>
        <v>21.202574989727434</v>
      </c>
      <c r="AA783" s="28" t="e">
        <f t="shared" si="212"/>
        <v>#N/A</v>
      </c>
      <c r="AB783" s="28" t="e">
        <f t="shared" si="213"/>
        <v>#VALUE!</v>
      </c>
      <c r="AC783" s="29">
        <f t="shared" si="214"/>
        <v>734.34535104364329</v>
      </c>
      <c r="AD783" s="28" t="e">
        <f t="shared" si="215"/>
        <v>#VALUE!</v>
      </c>
      <c r="AE783" s="28" t="e">
        <f t="shared" si="216"/>
        <v>#N/A</v>
      </c>
      <c r="AF783" s="28" t="e">
        <f t="shared" si="217"/>
        <v>#VALUE!</v>
      </c>
      <c r="AH783" s="31" t="e">
        <f t="shared" si="218"/>
        <v>#N/A</v>
      </c>
      <c r="AI783" s="25"/>
      <c r="AJ783" s="31"/>
    </row>
    <row r="784" spans="2:36" x14ac:dyDescent="0.25">
      <c r="B784" s="33">
        <f>'Arbitrage Payback Engine'!E784</f>
        <v>21.2299684974661</v>
      </c>
      <c r="C784" s="33">
        <f t="shared" si="204"/>
        <v>1000</v>
      </c>
      <c r="D784" s="33">
        <f>'Battery Pricing Model'!$C$17</f>
        <v>1000</v>
      </c>
      <c r="E784" s="33">
        <f t="shared" si="205"/>
        <v>999</v>
      </c>
      <c r="F784" s="33" t="str">
        <f>'Peak Models'!$B$4</f>
        <v>Default</v>
      </c>
      <c r="G784" s="33" t="e">
        <f>'Peak Models'!$Q$7</f>
        <v>#VALUE!</v>
      </c>
      <c r="H784" s="33">
        <f>'Peak Models'!$P$16</f>
        <v>1.5</v>
      </c>
      <c r="I784" s="33">
        <v>12</v>
      </c>
      <c r="J784" s="33" t="e">
        <f>'Peak Models'!$P$13</f>
        <v>#N/A</v>
      </c>
      <c r="K784" s="28" t="e">
        <f t="shared" si="206"/>
        <v>#VALUE!</v>
      </c>
      <c r="L784" s="28" t="e">
        <f>INDEX('Peak Models'!$P$34:$P$64, MATCH(TRUNC(B784, 0), 'Peak Models'!$O$34:$O$64, 0))</f>
        <v>#N/A</v>
      </c>
      <c r="M784" s="28">
        <f>'Peak Models'!$P$15*INDEX('Peak Models'!$Q$34:$Q$64, MATCH(TRUNC(B784, 0),'Peak Models'!$O$34:$O$64, 0))/'Profit per cycles Model'!$E$78</f>
        <v>7.9039145943419085</v>
      </c>
      <c r="N784" s="28" t="e">
        <f t="shared" si="207"/>
        <v>#N/A</v>
      </c>
      <c r="O784" s="71" t="e">
        <f>AVERAGE($N$10:N784)</f>
        <v>#N/A</v>
      </c>
      <c r="P784" s="28" t="e">
        <f t="shared" si="208"/>
        <v>#N/A</v>
      </c>
      <c r="R784" s="28" t="e">
        <f t="shared" si="209"/>
        <v>#VALUE!</v>
      </c>
      <c r="S784" s="25"/>
      <c r="T784" s="25">
        <f t="shared" si="210"/>
        <v>15</v>
      </c>
      <c r="U784" s="33">
        <f>IF(PaybackCustom&gt;0, IF(PaybackCustom&lt;&gt;"Default", PaybackCustom, IF(PaybackStatus&lt;&gt;"",INDEX('Arbitrage Payback Engine'!$Y$2:$Y$6,MATCH(PaybackStatus,'Arbitrage Payback Engine'!$X$2:$X$6,FALSE)),-1)))</f>
        <v>25</v>
      </c>
      <c r="V784" s="32">
        <f t="shared" si="219"/>
        <v>15</v>
      </c>
      <c r="X784" s="29">
        <f t="shared" si="220"/>
        <v>775</v>
      </c>
      <c r="Z784" s="30">
        <f t="shared" si="211"/>
        <v>21.2299684974661</v>
      </c>
      <c r="AA784" s="28" t="e">
        <f t="shared" si="212"/>
        <v>#N/A</v>
      </c>
      <c r="AB784" s="28" t="e">
        <f t="shared" si="213"/>
        <v>#VALUE!</v>
      </c>
      <c r="AC784" s="29">
        <f t="shared" si="214"/>
        <v>735.29411764705878</v>
      </c>
      <c r="AD784" s="28" t="e">
        <f t="shared" si="215"/>
        <v>#VALUE!</v>
      </c>
      <c r="AE784" s="28" t="e">
        <f t="shared" si="216"/>
        <v>#N/A</v>
      </c>
      <c r="AF784" s="28" t="e">
        <f t="shared" si="217"/>
        <v>#VALUE!</v>
      </c>
      <c r="AH784" s="31" t="e">
        <f t="shared" si="218"/>
        <v>#N/A</v>
      </c>
      <c r="AI784" s="25"/>
      <c r="AJ784" s="31"/>
    </row>
    <row r="785" spans="2:36" x14ac:dyDescent="0.25">
      <c r="B785" s="33">
        <f>'Arbitrage Payback Engine'!E785</f>
        <v>21.257362005204765</v>
      </c>
      <c r="C785" s="33">
        <f t="shared" si="204"/>
        <v>1000</v>
      </c>
      <c r="D785" s="33">
        <f>'Battery Pricing Model'!$C$17</f>
        <v>1000</v>
      </c>
      <c r="E785" s="33">
        <f t="shared" si="205"/>
        <v>999</v>
      </c>
      <c r="F785" s="33" t="str">
        <f>'Peak Models'!$B$4</f>
        <v>Default</v>
      </c>
      <c r="G785" s="33" t="e">
        <f>'Peak Models'!$Q$7</f>
        <v>#VALUE!</v>
      </c>
      <c r="H785" s="33">
        <f>'Peak Models'!$P$16</f>
        <v>1.5</v>
      </c>
      <c r="I785" s="33">
        <v>12</v>
      </c>
      <c r="J785" s="33" t="e">
        <f>'Peak Models'!$P$13</f>
        <v>#N/A</v>
      </c>
      <c r="K785" s="28" t="e">
        <f t="shared" si="206"/>
        <v>#VALUE!</v>
      </c>
      <c r="L785" s="28" t="e">
        <f>INDEX('Peak Models'!$P$34:$P$64, MATCH(TRUNC(B785, 0), 'Peak Models'!$O$34:$O$64, 0))</f>
        <v>#N/A</v>
      </c>
      <c r="M785" s="28">
        <f>'Peak Models'!$P$15*INDEX('Peak Models'!$Q$34:$Q$64, MATCH(TRUNC(B785, 0),'Peak Models'!$O$34:$O$64, 0))/'Profit per cycles Model'!$E$78</f>
        <v>7.9039145943419085</v>
      </c>
      <c r="N785" s="28" t="e">
        <f t="shared" si="207"/>
        <v>#N/A</v>
      </c>
      <c r="O785" s="71" t="e">
        <f>AVERAGE($N$10:N785)</f>
        <v>#N/A</v>
      </c>
      <c r="P785" s="28" t="e">
        <f t="shared" si="208"/>
        <v>#N/A</v>
      </c>
      <c r="R785" s="28" t="e">
        <f t="shared" si="209"/>
        <v>#VALUE!</v>
      </c>
      <c r="S785" s="25"/>
      <c r="T785" s="25">
        <f t="shared" si="210"/>
        <v>15</v>
      </c>
      <c r="U785" s="33">
        <f>IF(PaybackCustom&gt;0, IF(PaybackCustom&lt;&gt;"Default", PaybackCustom, IF(PaybackStatus&lt;&gt;"",INDEX('Arbitrage Payback Engine'!$Y$2:$Y$6,MATCH(PaybackStatus,'Arbitrage Payback Engine'!$X$2:$X$6,FALSE)),-1)))</f>
        <v>25</v>
      </c>
      <c r="V785" s="32">
        <f t="shared" si="219"/>
        <v>15</v>
      </c>
      <c r="X785" s="29">
        <f t="shared" si="220"/>
        <v>776</v>
      </c>
      <c r="Z785" s="30">
        <f t="shared" si="211"/>
        <v>21.257362005204765</v>
      </c>
      <c r="AA785" s="28" t="e">
        <f t="shared" si="212"/>
        <v>#N/A</v>
      </c>
      <c r="AB785" s="28" t="e">
        <f t="shared" si="213"/>
        <v>#VALUE!</v>
      </c>
      <c r="AC785" s="29">
        <f t="shared" si="214"/>
        <v>736.24288425047439</v>
      </c>
      <c r="AD785" s="28" t="e">
        <f t="shared" si="215"/>
        <v>#VALUE!</v>
      </c>
      <c r="AE785" s="28" t="e">
        <f t="shared" si="216"/>
        <v>#N/A</v>
      </c>
      <c r="AF785" s="28" t="e">
        <f t="shared" si="217"/>
        <v>#VALUE!</v>
      </c>
      <c r="AH785" s="31" t="e">
        <f t="shared" si="218"/>
        <v>#N/A</v>
      </c>
      <c r="AI785" s="25"/>
      <c r="AJ785" s="31"/>
    </row>
    <row r="786" spans="2:36" x14ac:dyDescent="0.25">
      <c r="B786" s="33">
        <f>'Arbitrage Payback Engine'!E786</f>
        <v>21.28475551294343</v>
      </c>
      <c r="C786" s="33">
        <f t="shared" si="204"/>
        <v>1000</v>
      </c>
      <c r="D786" s="33">
        <f>'Battery Pricing Model'!$C$17</f>
        <v>1000</v>
      </c>
      <c r="E786" s="33">
        <f t="shared" si="205"/>
        <v>999</v>
      </c>
      <c r="F786" s="33" t="str">
        <f>'Peak Models'!$B$4</f>
        <v>Default</v>
      </c>
      <c r="G786" s="33" t="e">
        <f>'Peak Models'!$Q$7</f>
        <v>#VALUE!</v>
      </c>
      <c r="H786" s="33">
        <f>'Peak Models'!$P$16</f>
        <v>1.5</v>
      </c>
      <c r="I786" s="33">
        <v>12</v>
      </c>
      <c r="J786" s="33" t="e">
        <f>'Peak Models'!$P$13</f>
        <v>#N/A</v>
      </c>
      <c r="K786" s="28" t="e">
        <f t="shared" si="206"/>
        <v>#VALUE!</v>
      </c>
      <c r="L786" s="28" t="e">
        <f>INDEX('Peak Models'!$P$34:$P$64, MATCH(TRUNC(B786, 0), 'Peak Models'!$O$34:$O$64, 0))</f>
        <v>#N/A</v>
      </c>
      <c r="M786" s="28">
        <f>'Peak Models'!$P$15*INDEX('Peak Models'!$Q$34:$Q$64, MATCH(TRUNC(B786, 0),'Peak Models'!$O$34:$O$64, 0))/'Profit per cycles Model'!$E$78</f>
        <v>7.9039145943419085</v>
      </c>
      <c r="N786" s="28" t="e">
        <f t="shared" si="207"/>
        <v>#N/A</v>
      </c>
      <c r="O786" s="71" t="e">
        <f>AVERAGE($N$10:N786)</f>
        <v>#N/A</v>
      </c>
      <c r="P786" s="28" t="e">
        <f t="shared" si="208"/>
        <v>#N/A</v>
      </c>
      <c r="R786" s="28" t="e">
        <f t="shared" si="209"/>
        <v>#VALUE!</v>
      </c>
      <c r="S786" s="25"/>
      <c r="T786" s="25">
        <f t="shared" si="210"/>
        <v>15</v>
      </c>
      <c r="U786" s="33">
        <f>IF(PaybackCustom&gt;0, IF(PaybackCustom&lt;&gt;"Default", PaybackCustom, IF(PaybackStatus&lt;&gt;"",INDEX('Arbitrage Payback Engine'!$Y$2:$Y$6,MATCH(PaybackStatus,'Arbitrage Payback Engine'!$X$2:$X$6,FALSE)),-1)))</f>
        <v>25</v>
      </c>
      <c r="V786" s="32">
        <f t="shared" si="219"/>
        <v>15</v>
      </c>
      <c r="X786" s="29">
        <f t="shared" si="220"/>
        <v>777</v>
      </c>
      <c r="Z786" s="30">
        <f t="shared" si="211"/>
        <v>21.28475551294343</v>
      </c>
      <c r="AA786" s="28" t="e">
        <f t="shared" si="212"/>
        <v>#N/A</v>
      </c>
      <c r="AB786" s="28" t="e">
        <f t="shared" si="213"/>
        <v>#VALUE!</v>
      </c>
      <c r="AC786" s="29">
        <f t="shared" si="214"/>
        <v>737.19165085388988</v>
      </c>
      <c r="AD786" s="28" t="e">
        <f t="shared" si="215"/>
        <v>#VALUE!</v>
      </c>
      <c r="AE786" s="28" t="e">
        <f t="shared" si="216"/>
        <v>#N/A</v>
      </c>
      <c r="AF786" s="28" t="e">
        <f t="shared" si="217"/>
        <v>#VALUE!</v>
      </c>
      <c r="AH786" s="31" t="e">
        <f t="shared" si="218"/>
        <v>#N/A</v>
      </c>
      <c r="AI786" s="25"/>
      <c r="AJ786" s="31"/>
    </row>
    <row r="787" spans="2:36" x14ac:dyDescent="0.25">
      <c r="B787" s="33">
        <f>'Arbitrage Payback Engine'!E787</f>
        <v>21.312149020682099</v>
      </c>
      <c r="C787" s="33">
        <f t="shared" si="204"/>
        <v>1000</v>
      </c>
      <c r="D787" s="33">
        <f>'Battery Pricing Model'!$C$17</f>
        <v>1000</v>
      </c>
      <c r="E787" s="33">
        <f t="shared" si="205"/>
        <v>999</v>
      </c>
      <c r="F787" s="33" t="str">
        <f>'Peak Models'!$B$4</f>
        <v>Default</v>
      </c>
      <c r="G787" s="33" t="e">
        <f>'Peak Models'!$Q$7</f>
        <v>#VALUE!</v>
      </c>
      <c r="H787" s="33">
        <f>'Peak Models'!$P$16</f>
        <v>1.5</v>
      </c>
      <c r="I787" s="33">
        <v>12</v>
      </c>
      <c r="J787" s="33" t="e">
        <f>'Peak Models'!$P$13</f>
        <v>#N/A</v>
      </c>
      <c r="K787" s="28" t="e">
        <f t="shared" si="206"/>
        <v>#VALUE!</v>
      </c>
      <c r="L787" s="28" t="e">
        <f>INDEX('Peak Models'!$P$34:$P$64, MATCH(TRUNC(B787, 0), 'Peak Models'!$O$34:$O$64, 0))</f>
        <v>#N/A</v>
      </c>
      <c r="M787" s="28">
        <f>'Peak Models'!$P$15*INDEX('Peak Models'!$Q$34:$Q$64, MATCH(TRUNC(B787, 0),'Peak Models'!$O$34:$O$64, 0))/'Profit per cycles Model'!$E$78</f>
        <v>7.9039145943419085</v>
      </c>
      <c r="N787" s="28" t="e">
        <f t="shared" si="207"/>
        <v>#N/A</v>
      </c>
      <c r="O787" s="71" t="e">
        <f>AVERAGE($N$10:N787)</f>
        <v>#N/A</v>
      </c>
      <c r="P787" s="28" t="e">
        <f t="shared" si="208"/>
        <v>#N/A</v>
      </c>
      <c r="R787" s="28" t="e">
        <f t="shared" si="209"/>
        <v>#VALUE!</v>
      </c>
      <c r="S787" s="25"/>
      <c r="T787" s="25">
        <f t="shared" si="210"/>
        <v>15</v>
      </c>
      <c r="U787" s="33">
        <f>IF(PaybackCustom&gt;0, IF(PaybackCustom&lt;&gt;"Default", PaybackCustom, IF(PaybackStatus&lt;&gt;"",INDEX('Arbitrage Payback Engine'!$Y$2:$Y$6,MATCH(PaybackStatus,'Arbitrage Payback Engine'!$X$2:$X$6,FALSE)),-1)))</f>
        <v>25</v>
      </c>
      <c r="V787" s="32">
        <f t="shared" si="219"/>
        <v>15</v>
      </c>
      <c r="X787" s="29">
        <f t="shared" si="220"/>
        <v>778</v>
      </c>
      <c r="Z787" s="30">
        <f t="shared" si="211"/>
        <v>21.312149020682099</v>
      </c>
      <c r="AA787" s="28" t="e">
        <f t="shared" si="212"/>
        <v>#N/A</v>
      </c>
      <c r="AB787" s="28" t="e">
        <f t="shared" si="213"/>
        <v>#VALUE!</v>
      </c>
      <c r="AC787" s="29">
        <f t="shared" si="214"/>
        <v>738.1404174573056</v>
      </c>
      <c r="AD787" s="28" t="e">
        <f t="shared" si="215"/>
        <v>#VALUE!</v>
      </c>
      <c r="AE787" s="28" t="e">
        <f t="shared" si="216"/>
        <v>#N/A</v>
      </c>
      <c r="AF787" s="28" t="e">
        <f t="shared" si="217"/>
        <v>#VALUE!</v>
      </c>
      <c r="AH787" s="31" t="e">
        <f t="shared" si="218"/>
        <v>#N/A</v>
      </c>
      <c r="AI787" s="25"/>
      <c r="AJ787" s="31"/>
    </row>
    <row r="788" spans="2:36" x14ac:dyDescent="0.25">
      <c r="B788" s="33">
        <f>'Arbitrage Payback Engine'!E788</f>
        <v>21.339542528420765</v>
      </c>
      <c r="C788" s="33">
        <f t="shared" si="204"/>
        <v>1000</v>
      </c>
      <c r="D788" s="33">
        <f>'Battery Pricing Model'!$C$17</f>
        <v>1000</v>
      </c>
      <c r="E788" s="33">
        <f t="shared" si="205"/>
        <v>999</v>
      </c>
      <c r="F788" s="33" t="str">
        <f>'Peak Models'!$B$4</f>
        <v>Default</v>
      </c>
      <c r="G788" s="33" t="e">
        <f>'Peak Models'!$Q$7</f>
        <v>#VALUE!</v>
      </c>
      <c r="H788" s="33">
        <f>'Peak Models'!$P$16</f>
        <v>1.5</v>
      </c>
      <c r="I788" s="33">
        <v>12</v>
      </c>
      <c r="J788" s="33" t="e">
        <f>'Peak Models'!$P$13</f>
        <v>#N/A</v>
      </c>
      <c r="K788" s="28" t="e">
        <f t="shared" si="206"/>
        <v>#VALUE!</v>
      </c>
      <c r="L788" s="28" t="e">
        <f>INDEX('Peak Models'!$P$34:$P$64, MATCH(TRUNC(B788, 0), 'Peak Models'!$O$34:$O$64, 0))</f>
        <v>#N/A</v>
      </c>
      <c r="M788" s="28">
        <f>'Peak Models'!$P$15*INDEX('Peak Models'!$Q$34:$Q$64, MATCH(TRUNC(B788, 0),'Peak Models'!$O$34:$O$64, 0))/'Profit per cycles Model'!$E$78</f>
        <v>7.9039145943419085</v>
      </c>
      <c r="N788" s="28" t="e">
        <f t="shared" si="207"/>
        <v>#N/A</v>
      </c>
      <c r="O788" s="71" t="e">
        <f>AVERAGE($N$10:N788)</f>
        <v>#N/A</v>
      </c>
      <c r="P788" s="28" t="e">
        <f t="shared" si="208"/>
        <v>#N/A</v>
      </c>
      <c r="R788" s="28" t="e">
        <f t="shared" si="209"/>
        <v>#VALUE!</v>
      </c>
      <c r="S788" s="25"/>
      <c r="T788" s="25">
        <f t="shared" si="210"/>
        <v>15</v>
      </c>
      <c r="U788" s="33">
        <f>IF(PaybackCustom&gt;0, IF(PaybackCustom&lt;&gt;"Default", PaybackCustom, IF(PaybackStatus&lt;&gt;"",INDEX('Arbitrage Payback Engine'!$Y$2:$Y$6,MATCH(PaybackStatus,'Arbitrage Payback Engine'!$X$2:$X$6,FALSE)),-1)))</f>
        <v>25</v>
      </c>
      <c r="V788" s="32">
        <f t="shared" si="219"/>
        <v>15</v>
      </c>
      <c r="X788" s="29">
        <f t="shared" si="220"/>
        <v>779</v>
      </c>
      <c r="Z788" s="30">
        <f t="shared" si="211"/>
        <v>21.339542528420765</v>
      </c>
      <c r="AA788" s="28" t="e">
        <f t="shared" si="212"/>
        <v>#N/A</v>
      </c>
      <c r="AB788" s="28" t="e">
        <f t="shared" si="213"/>
        <v>#VALUE!</v>
      </c>
      <c r="AC788" s="29">
        <f t="shared" si="214"/>
        <v>739.0891840607211</v>
      </c>
      <c r="AD788" s="28" t="e">
        <f t="shared" si="215"/>
        <v>#VALUE!</v>
      </c>
      <c r="AE788" s="28" t="e">
        <f t="shared" si="216"/>
        <v>#N/A</v>
      </c>
      <c r="AF788" s="28" t="e">
        <f t="shared" si="217"/>
        <v>#VALUE!</v>
      </c>
      <c r="AH788" s="31" t="e">
        <f t="shared" si="218"/>
        <v>#N/A</v>
      </c>
      <c r="AI788" s="25"/>
      <c r="AJ788" s="31"/>
    </row>
    <row r="789" spans="2:36" x14ac:dyDescent="0.25">
      <c r="B789" s="33">
        <f>'Arbitrage Payback Engine'!E789</f>
        <v>21.36693603615943</v>
      </c>
      <c r="C789" s="33">
        <f t="shared" si="204"/>
        <v>1000</v>
      </c>
      <c r="D789" s="33">
        <f>'Battery Pricing Model'!$C$17</f>
        <v>1000</v>
      </c>
      <c r="E789" s="33">
        <f t="shared" si="205"/>
        <v>999</v>
      </c>
      <c r="F789" s="33" t="str">
        <f>'Peak Models'!$B$4</f>
        <v>Default</v>
      </c>
      <c r="G789" s="33" t="e">
        <f>'Peak Models'!$Q$7</f>
        <v>#VALUE!</v>
      </c>
      <c r="H789" s="33">
        <f>'Peak Models'!$P$16</f>
        <v>1.5</v>
      </c>
      <c r="I789" s="33">
        <v>12</v>
      </c>
      <c r="J789" s="33" t="e">
        <f>'Peak Models'!$P$13</f>
        <v>#N/A</v>
      </c>
      <c r="K789" s="28" t="e">
        <f t="shared" si="206"/>
        <v>#VALUE!</v>
      </c>
      <c r="L789" s="28" t="e">
        <f>INDEX('Peak Models'!$P$34:$P$64, MATCH(TRUNC(B789, 0), 'Peak Models'!$O$34:$O$64, 0))</f>
        <v>#N/A</v>
      </c>
      <c r="M789" s="28">
        <f>'Peak Models'!$P$15*INDEX('Peak Models'!$Q$34:$Q$64, MATCH(TRUNC(B789, 0),'Peak Models'!$O$34:$O$64, 0))/'Profit per cycles Model'!$E$78</f>
        <v>7.9039145943419085</v>
      </c>
      <c r="N789" s="28" t="e">
        <f t="shared" si="207"/>
        <v>#N/A</v>
      </c>
      <c r="O789" s="71" t="e">
        <f>AVERAGE($N$10:N789)</f>
        <v>#N/A</v>
      </c>
      <c r="P789" s="28" t="e">
        <f t="shared" si="208"/>
        <v>#N/A</v>
      </c>
      <c r="R789" s="28" t="e">
        <f t="shared" si="209"/>
        <v>#VALUE!</v>
      </c>
      <c r="S789" s="25"/>
      <c r="T789" s="25">
        <f t="shared" si="210"/>
        <v>15</v>
      </c>
      <c r="U789" s="33">
        <f>IF(PaybackCustom&gt;0, IF(PaybackCustom&lt;&gt;"Default", PaybackCustom, IF(PaybackStatus&lt;&gt;"",INDEX('Arbitrage Payback Engine'!$Y$2:$Y$6,MATCH(PaybackStatus,'Arbitrage Payback Engine'!$X$2:$X$6,FALSE)),-1)))</f>
        <v>25</v>
      </c>
      <c r="V789" s="32">
        <f t="shared" si="219"/>
        <v>15</v>
      </c>
      <c r="X789" s="29">
        <f t="shared" si="220"/>
        <v>780</v>
      </c>
      <c r="Z789" s="30">
        <f t="shared" si="211"/>
        <v>21.36693603615943</v>
      </c>
      <c r="AA789" s="28" t="e">
        <f t="shared" si="212"/>
        <v>#N/A</v>
      </c>
      <c r="AB789" s="28" t="e">
        <f t="shared" si="213"/>
        <v>#VALUE!</v>
      </c>
      <c r="AC789" s="29">
        <f t="shared" si="214"/>
        <v>740.0379506641367</v>
      </c>
      <c r="AD789" s="28" t="e">
        <f t="shared" si="215"/>
        <v>#VALUE!</v>
      </c>
      <c r="AE789" s="28" t="e">
        <f t="shared" si="216"/>
        <v>#N/A</v>
      </c>
      <c r="AF789" s="28" t="e">
        <f t="shared" si="217"/>
        <v>#VALUE!</v>
      </c>
      <c r="AH789" s="31" t="e">
        <f t="shared" si="218"/>
        <v>#N/A</v>
      </c>
      <c r="AI789" s="25"/>
      <c r="AJ789" s="31"/>
    </row>
    <row r="790" spans="2:36" x14ac:dyDescent="0.25">
      <c r="B790" s="33">
        <f>'Arbitrage Payback Engine'!E790</f>
        <v>21.394329543898095</v>
      </c>
      <c r="C790" s="33">
        <f t="shared" si="204"/>
        <v>1000</v>
      </c>
      <c r="D790" s="33">
        <f>'Battery Pricing Model'!$C$17</f>
        <v>1000</v>
      </c>
      <c r="E790" s="33">
        <f t="shared" si="205"/>
        <v>999</v>
      </c>
      <c r="F790" s="33" t="str">
        <f>'Peak Models'!$B$4</f>
        <v>Default</v>
      </c>
      <c r="G790" s="33" t="e">
        <f>'Peak Models'!$Q$7</f>
        <v>#VALUE!</v>
      </c>
      <c r="H790" s="33">
        <f>'Peak Models'!$P$16</f>
        <v>1.5</v>
      </c>
      <c r="I790" s="33">
        <v>12</v>
      </c>
      <c r="J790" s="33" t="e">
        <f>'Peak Models'!$P$13</f>
        <v>#N/A</v>
      </c>
      <c r="K790" s="28" t="e">
        <f t="shared" si="206"/>
        <v>#VALUE!</v>
      </c>
      <c r="L790" s="28" t="e">
        <f>INDEX('Peak Models'!$P$34:$P$64, MATCH(TRUNC(B790, 0), 'Peak Models'!$O$34:$O$64, 0))</f>
        <v>#N/A</v>
      </c>
      <c r="M790" s="28">
        <f>'Peak Models'!$P$15*INDEX('Peak Models'!$Q$34:$Q$64, MATCH(TRUNC(B790, 0),'Peak Models'!$O$34:$O$64, 0))/'Profit per cycles Model'!$E$78</f>
        <v>7.9039145943419085</v>
      </c>
      <c r="N790" s="28" t="e">
        <f t="shared" si="207"/>
        <v>#N/A</v>
      </c>
      <c r="O790" s="71" t="e">
        <f>AVERAGE($N$10:N790)</f>
        <v>#N/A</v>
      </c>
      <c r="P790" s="28" t="e">
        <f t="shared" si="208"/>
        <v>#N/A</v>
      </c>
      <c r="R790" s="28" t="e">
        <f t="shared" si="209"/>
        <v>#VALUE!</v>
      </c>
      <c r="S790" s="25"/>
      <c r="T790" s="25">
        <f t="shared" si="210"/>
        <v>15</v>
      </c>
      <c r="U790" s="33">
        <f>IF(PaybackCustom&gt;0, IF(PaybackCustom&lt;&gt;"Default", PaybackCustom, IF(PaybackStatus&lt;&gt;"",INDEX('Arbitrage Payback Engine'!$Y$2:$Y$6,MATCH(PaybackStatus,'Arbitrage Payback Engine'!$X$2:$X$6,FALSE)),-1)))</f>
        <v>25</v>
      </c>
      <c r="V790" s="32">
        <f t="shared" si="219"/>
        <v>15</v>
      </c>
      <c r="X790" s="29">
        <f t="shared" si="220"/>
        <v>781</v>
      </c>
      <c r="Z790" s="30">
        <f t="shared" si="211"/>
        <v>21.394329543898095</v>
      </c>
      <c r="AA790" s="28" t="e">
        <f t="shared" si="212"/>
        <v>#N/A</v>
      </c>
      <c r="AB790" s="28" t="e">
        <f t="shared" si="213"/>
        <v>#VALUE!</v>
      </c>
      <c r="AC790" s="29">
        <f t="shared" si="214"/>
        <v>740.98671726755219</v>
      </c>
      <c r="AD790" s="28" t="e">
        <f t="shared" si="215"/>
        <v>#VALUE!</v>
      </c>
      <c r="AE790" s="28" t="e">
        <f t="shared" si="216"/>
        <v>#N/A</v>
      </c>
      <c r="AF790" s="28" t="e">
        <f t="shared" si="217"/>
        <v>#VALUE!</v>
      </c>
      <c r="AH790" s="31" t="e">
        <f t="shared" si="218"/>
        <v>#N/A</v>
      </c>
      <c r="AI790" s="25"/>
      <c r="AJ790" s="31"/>
    </row>
    <row r="791" spans="2:36" x14ac:dyDescent="0.25">
      <c r="B791" s="33">
        <f>'Arbitrage Payback Engine'!E791</f>
        <v>21.421723051636761</v>
      </c>
      <c r="C791" s="33">
        <f t="shared" si="204"/>
        <v>1000</v>
      </c>
      <c r="D791" s="33">
        <f>'Battery Pricing Model'!$C$17</f>
        <v>1000</v>
      </c>
      <c r="E791" s="33">
        <f t="shared" si="205"/>
        <v>999</v>
      </c>
      <c r="F791" s="33" t="str">
        <f>'Peak Models'!$B$4</f>
        <v>Default</v>
      </c>
      <c r="G791" s="33" t="e">
        <f>'Peak Models'!$Q$7</f>
        <v>#VALUE!</v>
      </c>
      <c r="H791" s="33">
        <f>'Peak Models'!$P$16</f>
        <v>1.5</v>
      </c>
      <c r="I791" s="33">
        <v>12</v>
      </c>
      <c r="J791" s="33" t="e">
        <f>'Peak Models'!$P$13</f>
        <v>#N/A</v>
      </c>
      <c r="K791" s="28" t="e">
        <f t="shared" si="206"/>
        <v>#VALUE!</v>
      </c>
      <c r="L791" s="28" t="e">
        <f>INDEX('Peak Models'!$P$34:$P$64, MATCH(TRUNC(B791, 0), 'Peak Models'!$O$34:$O$64, 0))</f>
        <v>#N/A</v>
      </c>
      <c r="M791" s="28">
        <f>'Peak Models'!$P$15*INDEX('Peak Models'!$Q$34:$Q$64, MATCH(TRUNC(B791, 0),'Peak Models'!$O$34:$O$64, 0))/'Profit per cycles Model'!$E$78</f>
        <v>7.9039145943419085</v>
      </c>
      <c r="N791" s="28" t="e">
        <f t="shared" si="207"/>
        <v>#N/A</v>
      </c>
      <c r="O791" s="71" t="e">
        <f>AVERAGE($N$10:N791)</f>
        <v>#N/A</v>
      </c>
      <c r="P791" s="28" t="e">
        <f t="shared" si="208"/>
        <v>#N/A</v>
      </c>
      <c r="R791" s="28" t="e">
        <f t="shared" si="209"/>
        <v>#VALUE!</v>
      </c>
      <c r="S791" s="25"/>
      <c r="T791" s="25">
        <f t="shared" si="210"/>
        <v>15</v>
      </c>
      <c r="U791" s="33">
        <f>IF(PaybackCustom&gt;0, IF(PaybackCustom&lt;&gt;"Default", PaybackCustom, IF(PaybackStatus&lt;&gt;"",INDEX('Arbitrage Payback Engine'!$Y$2:$Y$6,MATCH(PaybackStatus,'Arbitrage Payback Engine'!$X$2:$X$6,FALSE)),-1)))</f>
        <v>25</v>
      </c>
      <c r="V791" s="32">
        <f t="shared" si="219"/>
        <v>15</v>
      </c>
      <c r="X791" s="29">
        <f t="shared" si="220"/>
        <v>782</v>
      </c>
      <c r="Z791" s="30">
        <f t="shared" si="211"/>
        <v>21.421723051636761</v>
      </c>
      <c r="AA791" s="28" t="e">
        <f t="shared" si="212"/>
        <v>#N/A</v>
      </c>
      <c r="AB791" s="28" t="e">
        <f t="shared" si="213"/>
        <v>#VALUE!</v>
      </c>
      <c r="AC791" s="29">
        <f t="shared" si="214"/>
        <v>741.93548387096769</v>
      </c>
      <c r="AD791" s="28" t="e">
        <f t="shared" si="215"/>
        <v>#VALUE!</v>
      </c>
      <c r="AE791" s="28" t="e">
        <f t="shared" si="216"/>
        <v>#N/A</v>
      </c>
      <c r="AF791" s="28" t="e">
        <f t="shared" si="217"/>
        <v>#VALUE!</v>
      </c>
      <c r="AH791" s="31" t="e">
        <f t="shared" si="218"/>
        <v>#N/A</v>
      </c>
      <c r="AI791" s="25"/>
      <c r="AJ791" s="31"/>
    </row>
    <row r="792" spans="2:36" x14ac:dyDescent="0.25">
      <c r="B792" s="33">
        <f>'Arbitrage Payback Engine'!E792</f>
        <v>21.449116559375426</v>
      </c>
      <c r="C792" s="33">
        <f t="shared" si="204"/>
        <v>1000</v>
      </c>
      <c r="D792" s="33">
        <f>'Battery Pricing Model'!$C$17</f>
        <v>1000</v>
      </c>
      <c r="E792" s="33">
        <f t="shared" si="205"/>
        <v>999</v>
      </c>
      <c r="F792" s="33" t="str">
        <f>'Peak Models'!$B$4</f>
        <v>Default</v>
      </c>
      <c r="G792" s="33" t="e">
        <f>'Peak Models'!$Q$7</f>
        <v>#VALUE!</v>
      </c>
      <c r="H792" s="33">
        <f>'Peak Models'!$P$16</f>
        <v>1.5</v>
      </c>
      <c r="I792" s="33">
        <v>12</v>
      </c>
      <c r="J792" s="33" t="e">
        <f>'Peak Models'!$P$13</f>
        <v>#N/A</v>
      </c>
      <c r="K792" s="28" t="e">
        <f t="shared" si="206"/>
        <v>#VALUE!</v>
      </c>
      <c r="L792" s="28" t="e">
        <f>INDEX('Peak Models'!$P$34:$P$64, MATCH(TRUNC(B792, 0), 'Peak Models'!$O$34:$O$64, 0))</f>
        <v>#N/A</v>
      </c>
      <c r="M792" s="28">
        <f>'Peak Models'!$P$15*INDEX('Peak Models'!$Q$34:$Q$64, MATCH(TRUNC(B792, 0),'Peak Models'!$O$34:$O$64, 0))/'Profit per cycles Model'!$E$78</f>
        <v>7.9039145943419085</v>
      </c>
      <c r="N792" s="28" t="e">
        <f t="shared" si="207"/>
        <v>#N/A</v>
      </c>
      <c r="O792" s="71" t="e">
        <f>AVERAGE($N$10:N792)</f>
        <v>#N/A</v>
      </c>
      <c r="P792" s="28" t="e">
        <f t="shared" si="208"/>
        <v>#N/A</v>
      </c>
      <c r="R792" s="28" t="e">
        <f t="shared" si="209"/>
        <v>#VALUE!</v>
      </c>
      <c r="S792" s="25"/>
      <c r="T792" s="25">
        <f t="shared" si="210"/>
        <v>15</v>
      </c>
      <c r="U792" s="33">
        <f>IF(PaybackCustom&gt;0, IF(PaybackCustom&lt;&gt;"Default", PaybackCustom, IF(PaybackStatus&lt;&gt;"",INDEX('Arbitrage Payback Engine'!$Y$2:$Y$6,MATCH(PaybackStatus,'Arbitrage Payback Engine'!$X$2:$X$6,FALSE)),-1)))</f>
        <v>25</v>
      </c>
      <c r="V792" s="32">
        <f t="shared" si="219"/>
        <v>15</v>
      </c>
      <c r="X792" s="29">
        <f t="shared" si="220"/>
        <v>783</v>
      </c>
      <c r="Z792" s="30">
        <f t="shared" si="211"/>
        <v>21.449116559375426</v>
      </c>
      <c r="AA792" s="28" t="e">
        <f t="shared" si="212"/>
        <v>#N/A</v>
      </c>
      <c r="AB792" s="28" t="e">
        <f t="shared" si="213"/>
        <v>#VALUE!</v>
      </c>
      <c r="AC792" s="29">
        <f t="shared" si="214"/>
        <v>742.88425047438329</v>
      </c>
      <c r="AD792" s="28" t="e">
        <f t="shared" si="215"/>
        <v>#VALUE!</v>
      </c>
      <c r="AE792" s="28" t="e">
        <f t="shared" si="216"/>
        <v>#N/A</v>
      </c>
      <c r="AF792" s="28" t="e">
        <f t="shared" si="217"/>
        <v>#VALUE!</v>
      </c>
      <c r="AH792" s="31" t="e">
        <f t="shared" si="218"/>
        <v>#N/A</v>
      </c>
      <c r="AI792" s="25"/>
      <c r="AJ792" s="31"/>
    </row>
    <row r="793" spans="2:36" x14ac:dyDescent="0.25">
      <c r="B793" s="33">
        <f>'Arbitrage Payback Engine'!E793</f>
        <v>21.476510067114095</v>
      </c>
      <c r="C793" s="33">
        <f t="shared" si="204"/>
        <v>1000</v>
      </c>
      <c r="D793" s="33">
        <f>'Battery Pricing Model'!$C$17</f>
        <v>1000</v>
      </c>
      <c r="E793" s="33">
        <f t="shared" si="205"/>
        <v>999</v>
      </c>
      <c r="F793" s="33" t="str">
        <f>'Peak Models'!$B$4</f>
        <v>Default</v>
      </c>
      <c r="G793" s="33" t="e">
        <f>'Peak Models'!$Q$7</f>
        <v>#VALUE!</v>
      </c>
      <c r="H793" s="33">
        <f>'Peak Models'!$P$16</f>
        <v>1.5</v>
      </c>
      <c r="I793" s="33">
        <v>12</v>
      </c>
      <c r="J793" s="33" t="e">
        <f>'Peak Models'!$P$13</f>
        <v>#N/A</v>
      </c>
      <c r="K793" s="28" t="e">
        <f t="shared" si="206"/>
        <v>#VALUE!</v>
      </c>
      <c r="L793" s="28" t="e">
        <f>INDEX('Peak Models'!$P$34:$P$64, MATCH(TRUNC(B793, 0), 'Peak Models'!$O$34:$O$64, 0))</f>
        <v>#N/A</v>
      </c>
      <c r="M793" s="28">
        <f>'Peak Models'!$P$15*INDEX('Peak Models'!$Q$34:$Q$64, MATCH(TRUNC(B793, 0),'Peak Models'!$O$34:$O$64, 0))/'Profit per cycles Model'!$E$78</f>
        <v>7.9039145943419085</v>
      </c>
      <c r="N793" s="28" t="e">
        <f t="shared" si="207"/>
        <v>#N/A</v>
      </c>
      <c r="O793" s="71" t="e">
        <f>AVERAGE($N$10:N793)</f>
        <v>#N/A</v>
      </c>
      <c r="P793" s="28" t="e">
        <f t="shared" si="208"/>
        <v>#N/A</v>
      </c>
      <c r="R793" s="28" t="e">
        <f t="shared" si="209"/>
        <v>#VALUE!</v>
      </c>
      <c r="S793" s="25"/>
      <c r="T793" s="25">
        <f t="shared" si="210"/>
        <v>15</v>
      </c>
      <c r="U793" s="33">
        <f>IF(PaybackCustom&gt;0, IF(PaybackCustom&lt;&gt;"Default", PaybackCustom, IF(PaybackStatus&lt;&gt;"",INDEX('Arbitrage Payback Engine'!$Y$2:$Y$6,MATCH(PaybackStatus,'Arbitrage Payback Engine'!$X$2:$X$6,FALSE)),-1)))</f>
        <v>25</v>
      </c>
      <c r="V793" s="32">
        <f t="shared" si="219"/>
        <v>15</v>
      </c>
      <c r="X793" s="29">
        <f t="shared" si="220"/>
        <v>784</v>
      </c>
      <c r="Z793" s="30">
        <f t="shared" si="211"/>
        <v>21.476510067114095</v>
      </c>
      <c r="AA793" s="28" t="e">
        <f t="shared" si="212"/>
        <v>#N/A</v>
      </c>
      <c r="AB793" s="28" t="e">
        <f t="shared" si="213"/>
        <v>#VALUE!</v>
      </c>
      <c r="AC793" s="29">
        <f t="shared" si="214"/>
        <v>743.8330170777989</v>
      </c>
      <c r="AD793" s="28" t="e">
        <f t="shared" si="215"/>
        <v>#VALUE!</v>
      </c>
      <c r="AE793" s="28" t="e">
        <f t="shared" si="216"/>
        <v>#N/A</v>
      </c>
      <c r="AF793" s="28" t="e">
        <f t="shared" si="217"/>
        <v>#VALUE!</v>
      </c>
      <c r="AH793" s="31" t="e">
        <f t="shared" si="218"/>
        <v>#N/A</v>
      </c>
      <c r="AI793" s="25"/>
      <c r="AJ793" s="31"/>
    </row>
    <row r="794" spans="2:36" x14ac:dyDescent="0.25">
      <c r="B794" s="33">
        <f>'Arbitrage Payback Engine'!E794</f>
        <v>21.50390357485276</v>
      </c>
      <c r="C794" s="33">
        <f t="shared" si="204"/>
        <v>1000</v>
      </c>
      <c r="D794" s="33">
        <f>'Battery Pricing Model'!$C$17</f>
        <v>1000</v>
      </c>
      <c r="E794" s="33">
        <f t="shared" si="205"/>
        <v>999</v>
      </c>
      <c r="F794" s="33" t="str">
        <f>'Peak Models'!$B$4</f>
        <v>Default</v>
      </c>
      <c r="G794" s="33" t="e">
        <f>'Peak Models'!$Q$7</f>
        <v>#VALUE!</v>
      </c>
      <c r="H794" s="33">
        <f>'Peak Models'!$P$16</f>
        <v>1.5</v>
      </c>
      <c r="I794" s="33">
        <v>12</v>
      </c>
      <c r="J794" s="33" t="e">
        <f>'Peak Models'!$P$13</f>
        <v>#N/A</v>
      </c>
      <c r="K794" s="28" t="e">
        <f t="shared" si="206"/>
        <v>#VALUE!</v>
      </c>
      <c r="L794" s="28" t="e">
        <f>INDEX('Peak Models'!$P$34:$P$64, MATCH(TRUNC(B794, 0), 'Peak Models'!$O$34:$O$64, 0))</f>
        <v>#N/A</v>
      </c>
      <c r="M794" s="28">
        <f>'Peak Models'!$P$15*INDEX('Peak Models'!$Q$34:$Q$64, MATCH(TRUNC(B794, 0),'Peak Models'!$O$34:$O$64, 0))/'Profit per cycles Model'!$E$78</f>
        <v>7.9039145943419085</v>
      </c>
      <c r="N794" s="28" t="e">
        <f t="shared" si="207"/>
        <v>#N/A</v>
      </c>
      <c r="O794" s="71" t="e">
        <f>AVERAGE($N$10:N794)</f>
        <v>#N/A</v>
      </c>
      <c r="P794" s="28" t="e">
        <f t="shared" si="208"/>
        <v>#N/A</v>
      </c>
      <c r="R794" s="28" t="e">
        <f t="shared" si="209"/>
        <v>#VALUE!</v>
      </c>
      <c r="S794" s="25"/>
      <c r="T794" s="25">
        <f t="shared" si="210"/>
        <v>15</v>
      </c>
      <c r="U794" s="33">
        <f>IF(PaybackCustom&gt;0, IF(PaybackCustom&lt;&gt;"Default", PaybackCustom, IF(PaybackStatus&lt;&gt;"",INDEX('Arbitrage Payback Engine'!$Y$2:$Y$6,MATCH(PaybackStatus,'Arbitrage Payback Engine'!$X$2:$X$6,FALSE)),-1)))</f>
        <v>25</v>
      </c>
      <c r="V794" s="32">
        <f t="shared" si="219"/>
        <v>15</v>
      </c>
      <c r="X794" s="29">
        <f t="shared" si="220"/>
        <v>785</v>
      </c>
      <c r="Z794" s="30">
        <f t="shared" si="211"/>
        <v>21.50390357485276</v>
      </c>
      <c r="AA794" s="28" t="e">
        <f t="shared" si="212"/>
        <v>#N/A</v>
      </c>
      <c r="AB794" s="28" t="e">
        <f t="shared" si="213"/>
        <v>#VALUE!</v>
      </c>
      <c r="AC794" s="29">
        <f t="shared" si="214"/>
        <v>744.78178368121451</v>
      </c>
      <c r="AD794" s="28" t="e">
        <f t="shared" si="215"/>
        <v>#VALUE!</v>
      </c>
      <c r="AE794" s="28" t="e">
        <f t="shared" si="216"/>
        <v>#N/A</v>
      </c>
      <c r="AF794" s="28" t="e">
        <f t="shared" si="217"/>
        <v>#VALUE!</v>
      </c>
      <c r="AH794" s="31" t="e">
        <f t="shared" si="218"/>
        <v>#N/A</v>
      </c>
      <c r="AI794" s="25"/>
      <c r="AJ794" s="31"/>
    </row>
    <row r="795" spans="2:36" x14ac:dyDescent="0.25">
      <c r="B795" s="33">
        <f>'Arbitrage Payback Engine'!E795</f>
        <v>21.531297082591426</v>
      </c>
      <c r="C795" s="33">
        <f t="shared" si="204"/>
        <v>1000</v>
      </c>
      <c r="D795" s="33">
        <f>'Battery Pricing Model'!$C$17</f>
        <v>1000</v>
      </c>
      <c r="E795" s="33">
        <f t="shared" si="205"/>
        <v>999</v>
      </c>
      <c r="F795" s="33" t="str">
        <f>'Peak Models'!$B$4</f>
        <v>Default</v>
      </c>
      <c r="G795" s="33" t="e">
        <f>'Peak Models'!$Q$7</f>
        <v>#VALUE!</v>
      </c>
      <c r="H795" s="33">
        <f>'Peak Models'!$P$16</f>
        <v>1.5</v>
      </c>
      <c r="I795" s="33">
        <v>12</v>
      </c>
      <c r="J795" s="33" t="e">
        <f>'Peak Models'!$P$13</f>
        <v>#N/A</v>
      </c>
      <c r="K795" s="28" t="e">
        <f t="shared" si="206"/>
        <v>#VALUE!</v>
      </c>
      <c r="L795" s="28" t="e">
        <f>INDEX('Peak Models'!$P$34:$P$64, MATCH(TRUNC(B795, 0), 'Peak Models'!$O$34:$O$64, 0))</f>
        <v>#N/A</v>
      </c>
      <c r="M795" s="28">
        <f>'Peak Models'!$P$15*INDEX('Peak Models'!$Q$34:$Q$64, MATCH(TRUNC(B795, 0),'Peak Models'!$O$34:$O$64, 0))/'Profit per cycles Model'!$E$78</f>
        <v>7.9039145943419085</v>
      </c>
      <c r="N795" s="28" t="e">
        <f t="shared" si="207"/>
        <v>#N/A</v>
      </c>
      <c r="O795" s="71" t="e">
        <f>AVERAGE($N$10:N795)</f>
        <v>#N/A</v>
      </c>
      <c r="P795" s="28" t="e">
        <f t="shared" si="208"/>
        <v>#N/A</v>
      </c>
      <c r="R795" s="28" t="e">
        <f t="shared" si="209"/>
        <v>#VALUE!</v>
      </c>
      <c r="S795" s="25"/>
      <c r="T795" s="25">
        <f t="shared" si="210"/>
        <v>15</v>
      </c>
      <c r="U795" s="33">
        <f>IF(PaybackCustom&gt;0, IF(PaybackCustom&lt;&gt;"Default", PaybackCustom, IF(PaybackStatus&lt;&gt;"",INDEX('Arbitrage Payback Engine'!$Y$2:$Y$6,MATCH(PaybackStatus,'Arbitrage Payback Engine'!$X$2:$X$6,FALSE)),-1)))</f>
        <v>25</v>
      </c>
      <c r="V795" s="32">
        <f t="shared" si="219"/>
        <v>15</v>
      </c>
      <c r="X795" s="29">
        <f t="shared" si="220"/>
        <v>786</v>
      </c>
      <c r="Z795" s="30">
        <f t="shared" si="211"/>
        <v>21.531297082591426</v>
      </c>
      <c r="AA795" s="28" t="e">
        <f t="shared" si="212"/>
        <v>#N/A</v>
      </c>
      <c r="AB795" s="28" t="e">
        <f t="shared" si="213"/>
        <v>#VALUE!</v>
      </c>
      <c r="AC795" s="29">
        <f t="shared" si="214"/>
        <v>745.73055028463011</v>
      </c>
      <c r="AD795" s="28" t="e">
        <f t="shared" si="215"/>
        <v>#VALUE!</v>
      </c>
      <c r="AE795" s="28" t="e">
        <f t="shared" si="216"/>
        <v>#N/A</v>
      </c>
      <c r="AF795" s="28" t="e">
        <f t="shared" si="217"/>
        <v>#VALUE!</v>
      </c>
      <c r="AH795" s="31" t="e">
        <f t="shared" si="218"/>
        <v>#N/A</v>
      </c>
      <c r="AI795" s="25"/>
      <c r="AJ795" s="31"/>
    </row>
    <row r="796" spans="2:36" x14ac:dyDescent="0.25">
      <c r="B796" s="33">
        <f>'Arbitrage Payback Engine'!E796</f>
        <v>21.558690590330091</v>
      </c>
      <c r="C796" s="33">
        <f t="shared" si="204"/>
        <v>1000</v>
      </c>
      <c r="D796" s="33">
        <f>'Battery Pricing Model'!$C$17</f>
        <v>1000</v>
      </c>
      <c r="E796" s="33">
        <f t="shared" si="205"/>
        <v>999</v>
      </c>
      <c r="F796" s="33" t="str">
        <f>'Peak Models'!$B$4</f>
        <v>Default</v>
      </c>
      <c r="G796" s="33" t="e">
        <f>'Peak Models'!$Q$7</f>
        <v>#VALUE!</v>
      </c>
      <c r="H796" s="33">
        <f>'Peak Models'!$P$16</f>
        <v>1.5</v>
      </c>
      <c r="I796" s="33">
        <v>12</v>
      </c>
      <c r="J796" s="33" t="e">
        <f>'Peak Models'!$P$13</f>
        <v>#N/A</v>
      </c>
      <c r="K796" s="28" t="e">
        <f t="shared" si="206"/>
        <v>#VALUE!</v>
      </c>
      <c r="L796" s="28" t="e">
        <f>INDEX('Peak Models'!$P$34:$P$64, MATCH(TRUNC(B796, 0), 'Peak Models'!$O$34:$O$64, 0))</f>
        <v>#N/A</v>
      </c>
      <c r="M796" s="28">
        <f>'Peak Models'!$P$15*INDEX('Peak Models'!$Q$34:$Q$64, MATCH(TRUNC(B796, 0),'Peak Models'!$O$34:$O$64, 0))/'Profit per cycles Model'!$E$78</f>
        <v>7.9039145943419085</v>
      </c>
      <c r="N796" s="28" t="e">
        <f t="shared" si="207"/>
        <v>#N/A</v>
      </c>
      <c r="O796" s="71" t="e">
        <f>AVERAGE($N$10:N796)</f>
        <v>#N/A</v>
      </c>
      <c r="P796" s="28" t="e">
        <f t="shared" si="208"/>
        <v>#N/A</v>
      </c>
      <c r="R796" s="28" t="e">
        <f t="shared" si="209"/>
        <v>#VALUE!</v>
      </c>
      <c r="S796" s="25"/>
      <c r="T796" s="25">
        <f t="shared" si="210"/>
        <v>15</v>
      </c>
      <c r="U796" s="33">
        <f>IF(PaybackCustom&gt;0, IF(PaybackCustom&lt;&gt;"Default", PaybackCustom, IF(PaybackStatus&lt;&gt;"",INDEX('Arbitrage Payback Engine'!$Y$2:$Y$6,MATCH(PaybackStatus,'Arbitrage Payback Engine'!$X$2:$X$6,FALSE)),-1)))</f>
        <v>25</v>
      </c>
      <c r="V796" s="32">
        <f t="shared" si="219"/>
        <v>15</v>
      </c>
      <c r="X796" s="29">
        <f t="shared" si="220"/>
        <v>787</v>
      </c>
      <c r="Z796" s="30">
        <f t="shared" si="211"/>
        <v>21.558690590330091</v>
      </c>
      <c r="AA796" s="28" t="e">
        <f t="shared" si="212"/>
        <v>#N/A</v>
      </c>
      <c r="AB796" s="28" t="e">
        <f t="shared" si="213"/>
        <v>#VALUE!</v>
      </c>
      <c r="AC796" s="29">
        <f t="shared" si="214"/>
        <v>746.67931688804549</v>
      </c>
      <c r="AD796" s="28" t="e">
        <f t="shared" si="215"/>
        <v>#VALUE!</v>
      </c>
      <c r="AE796" s="28" t="e">
        <f t="shared" si="216"/>
        <v>#N/A</v>
      </c>
      <c r="AF796" s="28" t="e">
        <f t="shared" si="217"/>
        <v>#VALUE!</v>
      </c>
      <c r="AH796" s="31" t="e">
        <f t="shared" si="218"/>
        <v>#N/A</v>
      </c>
      <c r="AI796" s="25"/>
      <c r="AJ796" s="31"/>
    </row>
    <row r="797" spans="2:36" x14ac:dyDescent="0.25">
      <c r="B797" s="33">
        <f>'Arbitrage Payback Engine'!E797</f>
        <v>21.586084098068756</v>
      </c>
      <c r="C797" s="33">
        <f t="shared" si="204"/>
        <v>1000</v>
      </c>
      <c r="D797" s="33">
        <f>'Battery Pricing Model'!$C$17</f>
        <v>1000</v>
      </c>
      <c r="E797" s="33">
        <f t="shared" si="205"/>
        <v>999</v>
      </c>
      <c r="F797" s="33" t="str">
        <f>'Peak Models'!$B$4</f>
        <v>Default</v>
      </c>
      <c r="G797" s="33" t="e">
        <f>'Peak Models'!$Q$7</f>
        <v>#VALUE!</v>
      </c>
      <c r="H797" s="33">
        <f>'Peak Models'!$P$16</f>
        <v>1.5</v>
      </c>
      <c r="I797" s="33">
        <v>12</v>
      </c>
      <c r="J797" s="33" t="e">
        <f>'Peak Models'!$P$13</f>
        <v>#N/A</v>
      </c>
      <c r="K797" s="28" t="e">
        <f t="shared" si="206"/>
        <v>#VALUE!</v>
      </c>
      <c r="L797" s="28" t="e">
        <f>INDEX('Peak Models'!$P$34:$P$64, MATCH(TRUNC(B797, 0), 'Peak Models'!$O$34:$O$64, 0))</f>
        <v>#N/A</v>
      </c>
      <c r="M797" s="28">
        <f>'Peak Models'!$P$15*INDEX('Peak Models'!$Q$34:$Q$64, MATCH(TRUNC(B797, 0),'Peak Models'!$O$34:$O$64, 0))/'Profit per cycles Model'!$E$78</f>
        <v>7.9039145943419085</v>
      </c>
      <c r="N797" s="28" t="e">
        <f t="shared" si="207"/>
        <v>#N/A</v>
      </c>
      <c r="O797" s="71" t="e">
        <f>AVERAGE($N$10:N797)</f>
        <v>#N/A</v>
      </c>
      <c r="P797" s="28" t="e">
        <f t="shared" si="208"/>
        <v>#N/A</v>
      </c>
      <c r="R797" s="28" t="e">
        <f t="shared" si="209"/>
        <v>#VALUE!</v>
      </c>
      <c r="S797" s="25"/>
      <c r="T797" s="25">
        <f t="shared" si="210"/>
        <v>15</v>
      </c>
      <c r="U797" s="33">
        <f>IF(PaybackCustom&gt;0, IF(PaybackCustom&lt;&gt;"Default", PaybackCustom, IF(PaybackStatus&lt;&gt;"",INDEX('Arbitrage Payback Engine'!$Y$2:$Y$6,MATCH(PaybackStatus,'Arbitrage Payback Engine'!$X$2:$X$6,FALSE)),-1)))</f>
        <v>25</v>
      </c>
      <c r="V797" s="32">
        <f t="shared" si="219"/>
        <v>15</v>
      </c>
      <c r="X797" s="29">
        <f t="shared" si="220"/>
        <v>788</v>
      </c>
      <c r="Z797" s="30">
        <f t="shared" si="211"/>
        <v>21.586084098068756</v>
      </c>
      <c r="AA797" s="28" t="e">
        <f t="shared" si="212"/>
        <v>#N/A</v>
      </c>
      <c r="AB797" s="28" t="e">
        <f t="shared" si="213"/>
        <v>#VALUE!</v>
      </c>
      <c r="AC797" s="29">
        <f t="shared" si="214"/>
        <v>747.6280834914611</v>
      </c>
      <c r="AD797" s="28" t="e">
        <f t="shared" si="215"/>
        <v>#VALUE!</v>
      </c>
      <c r="AE797" s="28" t="e">
        <f t="shared" si="216"/>
        <v>#N/A</v>
      </c>
      <c r="AF797" s="28" t="e">
        <f t="shared" si="217"/>
        <v>#VALUE!</v>
      </c>
      <c r="AH797" s="31" t="e">
        <f t="shared" si="218"/>
        <v>#N/A</v>
      </c>
      <c r="AI797" s="25"/>
      <c r="AJ797" s="31"/>
    </row>
    <row r="798" spans="2:36" x14ac:dyDescent="0.25">
      <c r="B798" s="33">
        <f>'Arbitrage Payback Engine'!E798</f>
        <v>21.613477605807422</v>
      </c>
      <c r="C798" s="33">
        <f t="shared" si="204"/>
        <v>1000</v>
      </c>
      <c r="D798" s="33">
        <f>'Battery Pricing Model'!$C$17</f>
        <v>1000</v>
      </c>
      <c r="E798" s="33">
        <f t="shared" si="205"/>
        <v>999</v>
      </c>
      <c r="F798" s="33" t="str">
        <f>'Peak Models'!$B$4</f>
        <v>Default</v>
      </c>
      <c r="G798" s="33" t="e">
        <f>'Peak Models'!$Q$7</f>
        <v>#VALUE!</v>
      </c>
      <c r="H798" s="33">
        <f>'Peak Models'!$P$16</f>
        <v>1.5</v>
      </c>
      <c r="I798" s="33">
        <v>12</v>
      </c>
      <c r="J798" s="33" t="e">
        <f>'Peak Models'!$P$13</f>
        <v>#N/A</v>
      </c>
      <c r="K798" s="28" t="e">
        <f t="shared" si="206"/>
        <v>#VALUE!</v>
      </c>
      <c r="L798" s="28" t="e">
        <f>INDEX('Peak Models'!$P$34:$P$64, MATCH(TRUNC(B798, 0), 'Peak Models'!$O$34:$O$64, 0))</f>
        <v>#N/A</v>
      </c>
      <c r="M798" s="28">
        <f>'Peak Models'!$P$15*INDEX('Peak Models'!$Q$34:$Q$64, MATCH(TRUNC(B798, 0),'Peak Models'!$O$34:$O$64, 0))/'Profit per cycles Model'!$E$78</f>
        <v>7.9039145943419085</v>
      </c>
      <c r="N798" s="28" t="e">
        <f t="shared" si="207"/>
        <v>#N/A</v>
      </c>
      <c r="O798" s="71" t="e">
        <f>AVERAGE($N$10:N798)</f>
        <v>#N/A</v>
      </c>
      <c r="P798" s="28" t="e">
        <f t="shared" si="208"/>
        <v>#N/A</v>
      </c>
      <c r="R798" s="28" t="e">
        <f t="shared" si="209"/>
        <v>#VALUE!</v>
      </c>
      <c r="S798" s="25"/>
      <c r="T798" s="25">
        <f t="shared" si="210"/>
        <v>15</v>
      </c>
      <c r="U798" s="33">
        <f>IF(PaybackCustom&gt;0, IF(PaybackCustom&lt;&gt;"Default", PaybackCustom, IF(PaybackStatus&lt;&gt;"",INDEX('Arbitrage Payback Engine'!$Y$2:$Y$6,MATCH(PaybackStatus,'Arbitrage Payback Engine'!$X$2:$X$6,FALSE)),-1)))</f>
        <v>25</v>
      </c>
      <c r="V798" s="32">
        <f t="shared" si="219"/>
        <v>15</v>
      </c>
      <c r="X798" s="29">
        <f t="shared" si="220"/>
        <v>789</v>
      </c>
      <c r="Z798" s="30">
        <f t="shared" si="211"/>
        <v>21.613477605807422</v>
      </c>
      <c r="AA798" s="28" t="e">
        <f t="shared" si="212"/>
        <v>#N/A</v>
      </c>
      <c r="AB798" s="28" t="e">
        <f t="shared" si="213"/>
        <v>#VALUE!</v>
      </c>
      <c r="AC798" s="29">
        <f t="shared" si="214"/>
        <v>748.57685009487659</v>
      </c>
      <c r="AD798" s="28" t="e">
        <f t="shared" si="215"/>
        <v>#VALUE!</v>
      </c>
      <c r="AE798" s="28" t="e">
        <f t="shared" si="216"/>
        <v>#N/A</v>
      </c>
      <c r="AF798" s="28" t="e">
        <f t="shared" si="217"/>
        <v>#VALUE!</v>
      </c>
      <c r="AH798" s="31" t="e">
        <f t="shared" si="218"/>
        <v>#N/A</v>
      </c>
      <c r="AI798" s="25"/>
      <c r="AJ798" s="31"/>
    </row>
    <row r="799" spans="2:36" x14ac:dyDescent="0.25">
      <c r="B799" s="33">
        <f>'Arbitrage Payback Engine'!E799</f>
        <v>21.64087111354609</v>
      </c>
      <c r="C799" s="33">
        <f t="shared" si="204"/>
        <v>1000</v>
      </c>
      <c r="D799" s="33">
        <f>'Battery Pricing Model'!$C$17</f>
        <v>1000</v>
      </c>
      <c r="E799" s="33">
        <f t="shared" si="205"/>
        <v>999</v>
      </c>
      <c r="F799" s="33" t="str">
        <f>'Peak Models'!$B$4</f>
        <v>Default</v>
      </c>
      <c r="G799" s="33" t="e">
        <f>'Peak Models'!$Q$7</f>
        <v>#VALUE!</v>
      </c>
      <c r="H799" s="33">
        <f>'Peak Models'!$P$16</f>
        <v>1.5</v>
      </c>
      <c r="I799" s="33">
        <v>12</v>
      </c>
      <c r="J799" s="33" t="e">
        <f>'Peak Models'!$P$13</f>
        <v>#N/A</v>
      </c>
      <c r="K799" s="28" t="e">
        <f t="shared" si="206"/>
        <v>#VALUE!</v>
      </c>
      <c r="L799" s="28" t="e">
        <f>INDEX('Peak Models'!$P$34:$P$64, MATCH(TRUNC(B799, 0), 'Peak Models'!$O$34:$O$64, 0))</f>
        <v>#N/A</v>
      </c>
      <c r="M799" s="28">
        <f>'Peak Models'!$P$15*INDEX('Peak Models'!$Q$34:$Q$64, MATCH(TRUNC(B799, 0),'Peak Models'!$O$34:$O$64, 0))/'Profit per cycles Model'!$E$78</f>
        <v>7.9039145943419085</v>
      </c>
      <c r="N799" s="28" t="e">
        <f t="shared" si="207"/>
        <v>#N/A</v>
      </c>
      <c r="O799" s="71" t="e">
        <f>AVERAGE($N$10:N799)</f>
        <v>#N/A</v>
      </c>
      <c r="P799" s="28" t="e">
        <f t="shared" si="208"/>
        <v>#N/A</v>
      </c>
      <c r="R799" s="28" t="e">
        <f t="shared" si="209"/>
        <v>#VALUE!</v>
      </c>
      <c r="S799" s="25"/>
      <c r="T799" s="25">
        <f t="shared" si="210"/>
        <v>15</v>
      </c>
      <c r="U799" s="33">
        <f>IF(PaybackCustom&gt;0, IF(PaybackCustom&lt;&gt;"Default", PaybackCustom, IF(PaybackStatus&lt;&gt;"",INDEX('Arbitrage Payback Engine'!$Y$2:$Y$6,MATCH(PaybackStatus,'Arbitrage Payback Engine'!$X$2:$X$6,FALSE)),-1)))</f>
        <v>25</v>
      </c>
      <c r="V799" s="32">
        <f t="shared" si="219"/>
        <v>15</v>
      </c>
      <c r="X799" s="29">
        <f t="shared" si="220"/>
        <v>790</v>
      </c>
      <c r="Z799" s="30">
        <f t="shared" si="211"/>
        <v>21.64087111354609</v>
      </c>
      <c r="AA799" s="28" t="e">
        <f t="shared" si="212"/>
        <v>#N/A</v>
      </c>
      <c r="AB799" s="28" t="e">
        <f t="shared" si="213"/>
        <v>#VALUE!</v>
      </c>
      <c r="AC799" s="29">
        <f t="shared" si="214"/>
        <v>749.52561669829231</v>
      </c>
      <c r="AD799" s="28" t="e">
        <f t="shared" si="215"/>
        <v>#VALUE!</v>
      </c>
      <c r="AE799" s="28" t="e">
        <f t="shared" si="216"/>
        <v>#N/A</v>
      </c>
      <c r="AF799" s="28" t="e">
        <f t="shared" si="217"/>
        <v>#VALUE!</v>
      </c>
      <c r="AH799" s="31" t="e">
        <f t="shared" si="218"/>
        <v>#N/A</v>
      </c>
      <c r="AI799" s="25"/>
      <c r="AJ799" s="31"/>
    </row>
    <row r="800" spans="2:36" x14ac:dyDescent="0.25">
      <c r="B800" s="33">
        <f>'Arbitrage Payback Engine'!E800</f>
        <v>21.668264621284756</v>
      </c>
      <c r="C800" s="33">
        <f t="shared" si="204"/>
        <v>1000</v>
      </c>
      <c r="D800" s="33">
        <f>'Battery Pricing Model'!$C$17</f>
        <v>1000</v>
      </c>
      <c r="E800" s="33">
        <f t="shared" si="205"/>
        <v>999</v>
      </c>
      <c r="F800" s="33" t="str">
        <f>'Peak Models'!$B$4</f>
        <v>Default</v>
      </c>
      <c r="G800" s="33" t="e">
        <f>'Peak Models'!$Q$7</f>
        <v>#VALUE!</v>
      </c>
      <c r="H800" s="33">
        <f>'Peak Models'!$P$16</f>
        <v>1.5</v>
      </c>
      <c r="I800" s="33">
        <v>12</v>
      </c>
      <c r="J800" s="33" t="e">
        <f>'Peak Models'!$P$13</f>
        <v>#N/A</v>
      </c>
      <c r="K800" s="28" t="e">
        <f t="shared" si="206"/>
        <v>#VALUE!</v>
      </c>
      <c r="L800" s="28" t="e">
        <f>INDEX('Peak Models'!$P$34:$P$64, MATCH(TRUNC(B800, 0), 'Peak Models'!$O$34:$O$64, 0))</f>
        <v>#N/A</v>
      </c>
      <c r="M800" s="28">
        <f>'Peak Models'!$P$15*INDEX('Peak Models'!$Q$34:$Q$64, MATCH(TRUNC(B800, 0),'Peak Models'!$O$34:$O$64, 0))/'Profit per cycles Model'!$E$78</f>
        <v>7.9039145943419085</v>
      </c>
      <c r="N800" s="28" t="e">
        <f t="shared" si="207"/>
        <v>#N/A</v>
      </c>
      <c r="O800" s="71" t="e">
        <f>AVERAGE($N$10:N800)</f>
        <v>#N/A</v>
      </c>
      <c r="P800" s="28" t="e">
        <f t="shared" si="208"/>
        <v>#N/A</v>
      </c>
      <c r="R800" s="28" t="e">
        <f t="shared" si="209"/>
        <v>#VALUE!</v>
      </c>
      <c r="S800" s="25"/>
      <c r="T800" s="25">
        <f t="shared" si="210"/>
        <v>15</v>
      </c>
      <c r="U800" s="33">
        <f>IF(PaybackCustom&gt;0, IF(PaybackCustom&lt;&gt;"Default", PaybackCustom, IF(PaybackStatus&lt;&gt;"",INDEX('Arbitrage Payback Engine'!$Y$2:$Y$6,MATCH(PaybackStatus,'Arbitrage Payback Engine'!$X$2:$X$6,FALSE)),-1)))</f>
        <v>25</v>
      </c>
      <c r="V800" s="32">
        <f t="shared" si="219"/>
        <v>15</v>
      </c>
      <c r="X800" s="29">
        <f t="shared" si="220"/>
        <v>791</v>
      </c>
      <c r="Z800" s="30">
        <f t="shared" si="211"/>
        <v>21.668264621284756</v>
      </c>
      <c r="AA800" s="28" t="e">
        <f t="shared" si="212"/>
        <v>#N/A</v>
      </c>
      <c r="AB800" s="28" t="e">
        <f t="shared" si="213"/>
        <v>#VALUE!</v>
      </c>
      <c r="AC800" s="29">
        <f t="shared" si="214"/>
        <v>750.47438330170792</v>
      </c>
      <c r="AD800" s="28" t="e">
        <f t="shared" si="215"/>
        <v>#VALUE!</v>
      </c>
      <c r="AE800" s="28" t="e">
        <f t="shared" si="216"/>
        <v>#N/A</v>
      </c>
      <c r="AF800" s="28" t="e">
        <f t="shared" si="217"/>
        <v>#VALUE!</v>
      </c>
      <c r="AH800" s="31" t="e">
        <f t="shared" si="218"/>
        <v>#N/A</v>
      </c>
      <c r="AI800" s="25"/>
      <c r="AJ800" s="31"/>
    </row>
    <row r="801" spans="2:36" x14ac:dyDescent="0.25">
      <c r="B801" s="33">
        <f>'Arbitrage Payback Engine'!E801</f>
        <v>21.695658129023421</v>
      </c>
      <c r="C801" s="33">
        <f t="shared" si="204"/>
        <v>1000</v>
      </c>
      <c r="D801" s="33">
        <f>'Battery Pricing Model'!$C$17</f>
        <v>1000</v>
      </c>
      <c r="E801" s="33">
        <f t="shared" si="205"/>
        <v>999</v>
      </c>
      <c r="F801" s="33" t="str">
        <f>'Peak Models'!$B$4</f>
        <v>Default</v>
      </c>
      <c r="G801" s="33" t="e">
        <f>'Peak Models'!$Q$7</f>
        <v>#VALUE!</v>
      </c>
      <c r="H801" s="33">
        <f>'Peak Models'!$P$16</f>
        <v>1.5</v>
      </c>
      <c r="I801" s="33">
        <v>12</v>
      </c>
      <c r="J801" s="33" t="e">
        <f>'Peak Models'!$P$13</f>
        <v>#N/A</v>
      </c>
      <c r="K801" s="28" t="e">
        <f t="shared" si="206"/>
        <v>#VALUE!</v>
      </c>
      <c r="L801" s="28" t="e">
        <f>INDEX('Peak Models'!$P$34:$P$64, MATCH(TRUNC(B801, 0), 'Peak Models'!$O$34:$O$64, 0))</f>
        <v>#N/A</v>
      </c>
      <c r="M801" s="28">
        <f>'Peak Models'!$P$15*INDEX('Peak Models'!$Q$34:$Q$64, MATCH(TRUNC(B801, 0),'Peak Models'!$O$34:$O$64, 0))/'Profit per cycles Model'!$E$78</f>
        <v>7.9039145943419085</v>
      </c>
      <c r="N801" s="28" t="e">
        <f t="shared" si="207"/>
        <v>#N/A</v>
      </c>
      <c r="O801" s="71" t="e">
        <f>AVERAGE($N$10:N801)</f>
        <v>#N/A</v>
      </c>
      <c r="P801" s="28" t="e">
        <f t="shared" si="208"/>
        <v>#N/A</v>
      </c>
      <c r="R801" s="28" t="e">
        <f t="shared" si="209"/>
        <v>#VALUE!</v>
      </c>
      <c r="S801" s="25"/>
      <c r="T801" s="25">
        <f t="shared" si="210"/>
        <v>15</v>
      </c>
      <c r="U801" s="33">
        <f>IF(PaybackCustom&gt;0, IF(PaybackCustom&lt;&gt;"Default", PaybackCustom, IF(PaybackStatus&lt;&gt;"",INDEX('Arbitrage Payback Engine'!$Y$2:$Y$6,MATCH(PaybackStatus,'Arbitrage Payback Engine'!$X$2:$X$6,FALSE)),-1)))</f>
        <v>25</v>
      </c>
      <c r="V801" s="32">
        <f t="shared" si="219"/>
        <v>15</v>
      </c>
      <c r="X801" s="29">
        <f t="shared" si="220"/>
        <v>792</v>
      </c>
      <c r="Z801" s="30">
        <f t="shared" si="211"/>
        <v>21.695658129023421</v>
      </c>
      <c r="AA801" s="28" t="e">
        <f t="shared" si="212"/>
        <v>#N/A</v>
      </c>
      <c r="AB801" s="28" t="e">
        <f t="shared" si="213"/>
        <v>#VALUE!</v>
      </c>
      <c r="AC801" s="29">
        <f t="shared" si="214"/>
        <v>751.42314990512341</v>
      </c>
      <c r="AD801" s="28" t="e">
        <f t="shared" si="215"/>
        <v>#VALUE!</v>
      </c>
      <c r="AE801" s="28" t="e">
        <f t="shared" si="216"/>
        <v>#N/A</v>
      </c>
      <c r="AF801" s="28" t="e">
        <f t="shared" si="217"/>
        <v>#VALUE!</v>
      </c>
      <c r="AH801" s="31" t="e">
        <f t="shared" si="218"/>
        <v>#N/A</v>
      </c>
      <c r="AI801" s="25"/>
      <c r="AJ801" s="31"/>
    </row>
    <row r="802" spans="2:36" x14ac:dyDescent="0.25">
      <c r="B802" s="33">
        <f>'Arbitrage Payback Engine'!E802</f>
        <v>21.723051636762087</v>
      </c>
      <c r="C802" s="33">
        <f t="shared" si="204"/>
        <v>1000</v>
      </c>
      <c r="D802" s="33">
        <f>'Battery Pricing Model'!$C$17</f>
        <v>1000</v>
      </c>
      <c r="E802" s="33">
        <f t="shared" si="205"/>
        <v>999</v>
      </c>
      <c r="F802" s="33" t="str">
        <f>'Peak Models'!$B$4</f>
        <v>Default</v>
      </c>
      <c r="G802" s="33" t="e">
        <f>'Peak Models'!$Q$7</f>
        <v>#VALUE!</v>
      </c>
      <c r="H802" s="33">
        <f>'Peak Models'!$P$16</f>
        <v>1.5</v>
      </c>
      <c r="I802" s="33">
        <v>12</v>
      </c>
      <c r="J802" s="33" t="e">
        <f>'Peak Models'!$P$13</f>
        <v>#N/A</v>
      </c>
      <c r="K802" s="28" t="e">
        <f t="shared" si="206"/>
        <v>#VALUE!</v>
      </c>
      <c r="L802" s="28" t="e">
        <f>INDEX('Peak Models'!$P$34:$P$64, MATCH(TRUNC(B802, 0), 'Peak Models'!$O$34:$O$64, 0))</f>
        <v>#N/A</v>
      </c>
      <c r="M802" s="28">
        <f>'Peak Models'!$P$15*INDEX('Peak Models'!$Q$34:$Q$64, MATCH(TRUNC(B802, 0),'Peak Models'!$O$34:$O$64, 0))/'Profit per cycles Model'!$E$78</f>
        <v>7.9039145943419085</v>
      </c>
      <c r="N802" s="28" t="e">
        <f t="shared" si="207"/>
        <v>#N/A</v>
      </c>
      <c r="O802" s="71" t="e">
        <f>AVERAGE($N$10:N802)</f>
        <v>#N/A</v>
      </c>
      <c r="P802" s="28" t="e">
        <f t="shared" si="208"/>
        <v>#N/A</v>
      </c>
      <c r="R802" s="28" t="e">
        <f t="shared" si="209"/>
        <v>#VALUE!</v>
      </c>
      <c r="S802" s="25"/>
      <c r="T802" s="25">
        <f t="shared" si="210"/>
        <v>15</v>
      </c>
      <c r="U802" s="33">
        <f>IF(PaybackCustom&gt;0, IF(PaybackCustom&lt;&gt;"Default", PaybackCustom, IF(PaybackStatus&lt;&gt;"",INDEX('Arbitrage Payback Engine'!$Y$2:$Y$6,MATCH(PaybackStatus,'Arbitrage Payback Engine'!$X$2:$X$6,FALSE)),-1)))</f>
        <v>25</v>
      </c>
      <c r="V802" s="32">
        <f t="shared" si="219"/>
        <v>15</v>
      </c>
      <c r="X802" s="29">
        <f t="shared" si="220"/>
        <v>793</v>
      </c>
      <c r="Z802" s="30">
        <f t="shared" si="211"/>
        <v>21.723051636762087</v>
      </c>
      <c r="AA802" s="28" t="e">
        <f t="shared" si="212"/>
        <v>#N/A</v>
      </c>
      <c r="AB802" s="28" t="e">
        <f t="shared" si="213"/>
        <v>#VALUE!</v>
      </c>
      <c r="AC802" s="29">
        <f t="shared" si="214"/>
        <v>752.3719165085389</v>
      </c>
      <c r="AD802" s="28" t="e">
        <f t="shared" si="215"/>
        <v>#VALUE!</v>
      </c>
      <c r="AE802" s="28" t="e">
        <f t="shared" si="216"/>
        <v>#N/A</v>
      </c>
      <c r="AF802" s="28" t="e">
        <f t="shared" si="217"/>
        <v>#VALUE!</v>
      </c>
      <c r="AH802" s="31" t="e">
        <f t="shared" si="218"/>
        <v>#N/A</v>
      </c>
      <c r="AI802" s="25"/>
      <c r="AJ802" s="31"/>
    </row>
    <row r="803" spans="2:36" x14ac:dyDescent="0.25">
      <c r="B803" s="33">
        <f>'Arbitrage Payback Engine'!E803</f>
        <v>21.750445144500752</v>
      </c>
      <c r="C803" s="33">
        <f t="shared" si="204"/>
        <v>1000</v>
      </c>
      <c r="D803" s="33">
        <f>'Battery Pricing Model'!$C$17</f>
        <v>1000</v>
      </c>
      <c r="E803" s="33">
        <f t="shared" si="205"/>
        <v>999</v>
      </c>
      <c r="F803" s="33" t="str">
        <f>'Peak Models'!$B$4</f>
        <v>Default</v>
      </c>
      <c r="G803" s="33" t="e">
        <f>'Peak Models'!$Q$7</f>
        <v>#VALUE!</v>
      </c>
      <c r="H803" s="33">
        <f>'Peak Models'!$P$16</f>
        <v>1.5</v>
      </c>
      <c r="I803" s="33">
        <v>12</v>
      </c>
      <c r="J803" s="33" t="e">
        <f>'Peak Models'!$P$13</f>
        <v>#N/A</v>
      </c>
      <c r="K803" s="28" t="e">
        <f t="shared" si="206"/>
        <v>#VALUE!</v>
      </c>
      <c r="L803" s="28" t="e">
        <f>INDEX('Peak Models'!$P$34:$P$64, MATCH(TRUNC(B803, 0), 'Peak Models'!$O$34:$O$64, 0))</f>
        <v>#N/A</v>
      </c>
      <c r="M803" s="28">
        <f>'Peak Models'!$P$15*INDEX('Peak Models'!$Q$34:$Q$64, MATCH(TRUNC(B803, 0),'Peak Models'!$O$34:$O$64, 0))/'Profit per cycles Model'!$E$78</f>
        <v>7.9039145943419085</v>
      </c>
      <c r="N803" s="28" t="e">
        <f t="shared" si="207"/>
        <v>#N/A</v>
      </c>
      <c r="O803" s="71" t="e">
        <f>AVERAGE($N$10:N803)</f>
        <v>#N/A</v>
      </c>
      <c r="P803" s="28" t="e">
        <f t="shared" si="208"/>
        <v>#N/A</v>
      </c>
      <c r="R803" s="28" t="e">
        <f t="shared" si="209"/>
        <v>#VALUE!</v>
      </c>
      <c r="S803" s="25"/>
      <c r="T803" s="25">
        <f t="shared" si="210"/>
        <v>15</v>
      </c>
      <c r="U803" s="33">
        <f>IF(PaybackCustom&gt;0, IF(PaybackCustom&lt;&gt;"Default", PaybackCustom, IF(PaybackStatus&lt;&gt;"",INDEX('Arbitrage Payback Engine'!$Y$2:$Y$6,MATCH(PaybackStatus,'Arbitrage Payback Engine'!$X$2:$X$6,FALSE)),-1)))</f>
        <v>25</v>
      </c>
      <c r="V803" s="32">
        <f t="shared" si="219"/>
        <v>15</v>
      </c>
      <c r="X803" s="29">
        <f t="shared" si="220"/>
        <v>794</v>
      </c>
      <c r="Z803" s="30">
        <f t="shared" si="211"/>
        <v>21.750445144500752</v>
      </c>
      <c r="AA803" s="28" t="e">
        <f t="shared" si="212"/>
        <v>#N/A</v>
      </c>
      <c r="AB803" s="28" t="e">
        <f t="shared" si="213"/>
        <v>#VALUE!</v>
      </c>
      <c r="AC803" s="29">
        <f t="shared" si="214"/>
        <v>753.32068311195439</v>
      </c>
      <c r="AD803" s="28" t="e">
        <f t="shared" si="215"/>
        <v>#VALUE!</v>
      </c>
      <c r="AE803" s="28" t="e">
        <f t="shared" si="216"/>
        <v>#N/A</v>
      </c>
      <c r="AF803" s="28" t="e">
        <f t="shared" si="217"/>
        <v>#VALUE!</v>
      </c>
      <c r="AH803" s="31" t="e">
        <f t="shared" si="218"/>
        <v>#N/A</v>
      </c>
      <c r="AI803" s="25"/>
      <c r="AJ803" s="31"/>
    </row>
    <row r="804" spans="2:36" x14ac:dyDescent="0.25">
      <c r="B804" s="33">
        <f>'Arbitrage Payback Engine'!E804</f>
        <v>21.777838652239417</v>
      </c>
      <c r="C804" s="33">
        <f t="shared" si="204"/>
        <v>1000</v>
      </c>
      <c r="D804" s="33">
        <f>'Battery Pricing Model'!$C$17</f>
        <v>1000</v>
      </c>
      <c r="E804" s="33">
        <f t="shared" si="205"/>
        <v>999</v>
      </c>
      <c r="F804" s="33" t="str">
        <f>'Peak Models'!$B$4</f>
        <v>Default</v>
      </c>
      <c r="G804" s="33" t="e">
        <f>'Peak Models'!$Q$7</f>
        <v>#VALUE!</v>
      </c>
      <c r="H804" s="33">
        <f>'Peak Models'!$P$16</f>
        <v>1.5</v>
      </c>
      <c r="I804" s="33">
        <v>12</v>
      </c>
      <c r="J804" s="33" t="e">
        <f>'Peak Models'!$P$13</f>
        <v>#N/A</v>
      </c>
      <c r="K804" s="28" t="e">
        <f t="shared" si="206"/>
        <v>#VALUE!</v>
      </c>
      <c r="L804" s="28" t="e">
        <f>INDEX('Peak Models'!$P$34:$P$64, MATCH(TRUNC(B804, 0), 'Peak Models'!$O$34:$O$64, 0))</f>
        <v>#N/A</v>
      </c>
      <c r="M804" s="28">
        <f>'Peak Models'!$P$15*INDEX('Peak Models'!$Q$34:$Q$64, MATCH(TRUNC(B804, 0),'Peak Models'!$O$34:$O$64, 0))/'Profit per cycles Model'!$E$78</f>
        <v>7.9039145943419085</v>
      </c>
      <c r="N804" s="28" t="e">
        <f t="shared" si="207"/>
        <v>#N/A</v>
      </c>
      <c r="O804" s="71" t="e">
        <f>AVERAGE($N$10:N804)</f>
        <v>#N/A</v>
      </c>
      <c r="P804" s="28" t="e">
        <f t="shared" si="208"/>
        <v>#N/A</v>
      </c>
      <c r="R804" s="28" t="e">
        <f t="shared" si="209"/>
        <v>#VALUE!</v>
      </c>
      <c r="S804" s="25"/>
      <c r="T804" s="25">
        <f t="shared" si="210"/>
        <v>15</v>
      </c>
      <c r="U804" s="33">
        <f>IF(PaybackCustom&gt;0, IF(PaybackCustom&lt;&gt;"Default", PaybackCustom, IF(PaybackStatus&lt;&gt;"",INDEX('Arbitrage Payback Engine'!$Y$2:$Y$6,MATCH(PaybackStatus,'Arbitrage Payback Engine'!$X$2:$X$6,FALSE)),-1)))</f>
        <v>25</v>
      </c>
      <c r="V804" s="32">
        <f t="shared" si="219"/>
        <v>15</v>
      </c>
      <c r="X804" s="29">
        <f t="shared" si="220"/>
        <v>795</v>
      </c>
      <c r="Z804" s="30">
        <f t="shared" si="211"/>
        <v>21.777838652239417</v>
      </c>
      <c r="AA804" s="28" t="e">
        <f t="shared" si="212"/>
        <v>#N/A</v>
      </c>
      <c r="AB804" s="28" t="e">
        <f t="shared" si="213"/>
        <v>#VALUE!</v>
      </c>
      <c r="AC804" s="29">
        <f t="shared" si="214"/>
        <v>754.26944971537</v>
      </c>
      <c r="AD804" s="28" t="e">
        <f t="shared" si="215"/>
        <v>#VALUE!</v>
      </c>
      <c r="AE804" s="28" t="e">
        <f t="shared" si="216"/>
        <v>#N/A</v>
      </c>
      <c r="AF804" s="28" t="e">
        <f t="shared" si="217"/>
        <v>#VALUE!</v>
      </c>
      <c r="AH804" s="31" t="e">
        <f t="shared" si="218"/>
        <v>#N/A</v>
      </c>
      <c r="AI804" s="25"/>
      <c r="AJ804" s="31"/>
    </row>
    <row r="805" spans="2:36" x14ac:dyDescent="0.25">
      <c r="B805" s="33">
        <f>'Arbitrage Payback Engine'!E805</f>
        <v>21.805232159978086</v>
      </c>
      <c r="C805" s="33">
        <f t="shared" si="204"/>
        <v>1000</v>
      </c>
      <c r="D805" s="33">
        <f>'Battery Pricing Model'!$C$17</f>
        <v>1000</v>
      </c>
      <c r="E805" s="33">
        <f t="shared" si="205"/>
        <v>999</v>
      </c>
      <c r="F805" s="33" t="str">
        <f>'Peak Models'!$B$4</f>
        <v>Default</v>
      </c>
      <c r="G805" s="33" t="e">
        <f>'Peak Models'!$Q$7</f>
        <v>#VALUE!</v>
      </c>
      <c r="H805" s="33">
        <f>'Peak Models'!$P$16</f>
        <v>1.5</v>
      </c>
      <c r="I805" s="33">
        <v>12</v>
      </c>
      <c r="J805" s="33" t="e">
        <f>'Peak Models'!$P$13</f>
        <v>#N/A</v>
      </c>
      <c r="K805" s="28" t="e">
        <f t="shared" si="206"/>
        <v>#VALUE!</v>
      </c>
      <c r="L805" s="28" t="e">
        <f>INDEX('Peak Models'!$P$34:$P$64, MATCH(TRUNC(B805, 0), 'Peak Models'!$O$34:$O$64, 0))</f>
        <v>#N/A</v>
      </c>
      <c r="M805" s="28">
        <f>'Peak Models'!$P$15*INDEX('Peak Models'!$Q$34:$Q$64, MATCH(TRUNC(B805, 0),'Peak Models'!$O$34:$O$64, 0))/'Profit per cycles Model'!$E$78</f>
        <v>7.9039145943419085</v>
      </c>
      <c r="N805" s="28" t="e">
        <f t="shared" si="207"/>
        <v>#N/A</v>
      </c>
      <c r="O805" s="71" t="e">
        <f>AVERAGE($N$10:N805)</f>
        <v>#N/A</v>
      </c>
      <c r="P805" s="28" t="e">
        <f t="shared" si="208"/>
        <v>#N/A</v>
      </c>
      <c r="R805" s="28" t="e">
        <f t="shared" si="209"/>
        <v>#VALUE!</v>
      </c>
      <c r="S805" s="25"/>
      <c r="T805" s="25">
        <f t="shared" si="210"/>
        <v>15</v>
      </c>
      <c r="U805" s="33">
        <f>IF(PaybackCustom&gt;0, IF(PaybackCustom&lt;&gt;"Default", PaybackCustom, IF(PaybackStatus&lt;&gt;"",INDEX('Arbitrage Payback Engine'!$Y$2:$Y$6,MATCH(PaybackStatus,'Arbitrage Payback Engine'!$X$2:$X$6,FALSE)),-1)))</f>
        <v>25</v>
      </c>
      <c r="V805" s="32">
        <f t="shared" si="219"/>
        <v>15</v>
      </c>
      <c r="X805" s="29">
        <f t="shared" si="220"/>
        <v>796</v>
      </c>
      <c r="Z805" s="30">
        <f t="shared" si="211"/>
        <v>21.805232159978086</v>
      </c>
      <c r="AA805" s="28" t="e">
        <f t="shared" si="212"/>
        <v>#N/A</v>
      </c>
      <c r="AB805" s="28" t="e">
        <f t="shared" si="213"/>
        <v>#VALUE!</v>
      </c>
      <c r="AC805" s="29">
        <f t="shared" si="214"/>
        <v>755.21821631878561</v>
      </c>
      <c r="AD805" s="28" t="e">
        <f t="shared" si="215"/>
        <v>#VALUE!</v>
      </c>
      <c r="AE805" s="28" t="e">
        <f t="shared" si="216"/>
        <v>#N/A</v>
      </c>
      <c r="AF805" s="28" t="e">
        <f t="shared" si="217"/>
        <v>#VALUE!</v>
      </c>
      <c r="AH805" s="31" t="e">
        <f t="shared" si="218"/>
        <v>#N/A</v>
      </c>
      <c r="AI805" s="25"/>
      <c r="AJ805" s="31"/>
    </row>
    <row r="806" spans="2:36" x14ac:dyDescent="0.25">
      <c r="B806" s="33">
        <f>'Arbitrage Payback Engine'!E806</f>
        <v>21.832625667716751</v>
      </c>
      <c r="C806" s="33">
        <f t="shared" si="204"/>
        <v>1000</v>
      </c>
      <c r="D806" s="33">
        <f>'Battery Pricing Model'!$C$17</f>
        <v>1000</v>
      </c>
      <c r="E806" s="33">
        <f t="shared" si="205"/>
        <v>999</v>
      </c>
      <c r="F806" s="33" t="str">
        <f>'Peak Models'!$B$4</f>
        <v>Default</v>
      </c>
      <c r="G806" s="33" t="e">
        <f>'Peak Models'!$Q$7</f>
        <v>#VALUE!</v>
      </c>
      <c r="H806" s="33">
        <f>'Peak Models'!$P$16</f>
        <v>1.5</v>
      </c>
      <c r="I806" s="33">
        <v>12</v>
      </c>
      <c r="J806" s="33" t="e">
        <f>'Peak Models'!$P$13</f>
        <v>#N/A</v>
      </c>
      <c r="K806" s="28" t="e">
        <f t="shared" si="206"/>
        <v>#VALUE!</v>
      </c>
      <c r="L806" s="28" t="e">
        <f>INDEX('Peak Models'!$P$34:$P$64, MATCH(TRUNC(B806, 0), 'Peak Models'!$O$34:$O$64, 0))</f>
        <v>#N/A</v>
      </c>
      <c r="M806" s="28">
        <f>'Peak Models'!$P$15*INDEX('Peak Models'!$Q$34:$Q$64, MATCH(TRUNC(B806, 0),'Peak Models'!$O$34:$O$64, 0))/'Profit per cycles Model'!$E$78</f>
        <v>7.9039145943419085</v>
      </c>
      <c r="N806" s="28" t="e">
        <f t="shared" si="207"/>
        <v>#N/A</v>
      </c>
      <c r="O806" s="71" t="e">
        <f>AVERAGE($N$10:N806)</f>
        <v>#N/A</v>
      </c>
      <c r="P806" s="28" t="e">
        <f t="shared" si="208"/>
        <v>#N/A</v>
      </c>
      <c r="R806" s="28" t="e">
        <f t="shared" si="209"/>
        <v>#VALUE!</v>
      </c>
      <c r="S806" s="25"/>
      <c r="T806" s="25">
        <f t="shared" si="210"/>
        <v>15</v>
      </c>
      <c r="U806" s="33">
        <f>IF(PaybackCustom&gt;0, IF(PaybackCustom&lt;&gt;"Default", PaybackCustom, IF(PaybackStatus&lt;&gt;"",INDEX('Arbitrage Payback Engine'!$Y$2:$Y$6,MATCH(PaybackStatus,'Arbitrage Payback Engine'!$X$2:$X$6,FALSE)),-1)))</f>
        <v>25</v>
      </c>
      <c r="V806" s="32">
        <f t="shared" si="219"/>
        <v>15</v>
      </c>
      <c r="X806" s="29">
        <f t="shared" si="220"/>
        <v>797</v>
      </c>
      <c r="Z806" s="30">
        <f t="shared" si="211"/>
        <v>21.832625667716751</v>
      </c>
      <c r="AA806" s="28" t="e">
        <f t="shared" si="212"/>
        <v>#N/A</v>
      </c>
      <c r="AB806" s="28" t="e">
        <f t="shared" si="213"/>
        <v>#VALUE!</v>
      </c>
      <c r="AC806" s="29">
        <f t="shared" si="214"/>
        <v>756.16698292220121</v>
      </c>
      <c r="AD806" s="28" t="e">
        <f t="shared" si="215"/>
        <v>#VALUE!</v>
      </c>
      <c r="AE806" s="28" t="e">
        <f t="shared" si="216"/>
        <v>#N/A</v>
      </c>
      <c r="AF806" s="28" t="e">
        <f t="shared" si="217"/>
        <v>#VALUE!</v>
      </c>
      <c r="AH806" s="31" t="e">
        <f t="shared" si="218"/>
        <v>#N/A</v>
      </c>
      <c r="AI806" s="25"/>
      <c r="AJ806" s="31"/>
    </row>
    <row r="807" spans="2:36" x14ac:dyDescent="0.25">
      <c r="B807" s="33">
        <f>'Arbitrage Payback Engine'!E807</f>
        <v>21.860019175455417</v>
      </c>
      <c r="C807" s="33">
        <f t="shared" si="204"/>
        <v>1000</v>
      </c>
      <c r="D807" s="33">
        <f>'Battery Pricing Model'!$C$17</f>
        <v>1000</v>
      </c>
      <c r="E807" s="33">
        <f t="shared" si="205"/>
        <v>999</v>
      </c>
      <c r="F807" s="33" t="str">
        <f>'Peak Models'!$B$4</f>
        <v>Default</v>
      </c>
      <c r="G807" s="33" t="e">
        <f>'Peak Models'!$Q$7</f>
        <v>#VALUE!</v>
      </c>
      <c r="H807" s="33">
        <f>'Peak Models'!$P$16</f>
        <v>1.5</v>
      </c>
      <c r="I807" s="33">
        <v>12</v>
      </c>
      <c r="J807" s="33" t="e">
        <f>'Peak Models'!$P$13</f>
        <v>#N/A</v>
      </c>
      <c r="K807" s="28" t="e">
        <f t="shared" si="206"/>
        <v>#VALUE!</v>
      </c>
      <c r="L807" s="28" t="e">
        <f>INDEX('Peak Models'!$P$34:$P$64, MATCH(TRUNC(B807, 0), 'Peak Models'!$O$34:$O$64, 0))</f>
        <v>#N/A</v>
      </c>
      <c r="M807" s="28">
        <f>'Peak Models'!$P$15*INDEX('Peak Models'!$Q$34:$Q$64, MATCH(TRUNC(B807, 0),'Peak Models'!$O$34:$O$64, 0))/'Profit per cycles Model'!$E$78</f>
        <v>7.9039145943419085</v>
      </c>
      <c r="N807" s="28" t="e">
        <f t="shared" si="207"/>
        <v>#N/A</v>
      </c>
      <c r="O807" s="71" t="e">
        <f>AVERAGE($N$10:N807)</f>
        <v>#N/A</v>
      </c>
      <c r="P807" s="28" t="e">
        <f t="shared" si="208"/>
        <v>#N/A</v>
      </c>
      <c r="R807" s="28" t="e">
        <f t="shared" si="209"/>
        <v>#VALUE!</v>
      </c>
      <c r="S807" s="25"/>
      <c r="T807" s="25">
        <f t="shared" si="210"/>
        <v>15</v>
      </c>
      <c r="U807" s="33">
        <f>IF(PaybackCustom&gt;0, IF(PaybackCustom&lt;&gt;"Default", PaybackCustom, IF(PaybackStatus&lt;&gt;"",INDEX('Arbitrage Payback Engine'!$Y$2:$Y$6,MATCH(PaybackStatus,'Arbitrage Payback Engine'!$X$2:$X$6,FALSE)),-1)))</f>
        <v>25</v>
      </c>
      <c r="V807" s="32">
        <f t="shared" si="219"/>
        <v>15</v>
      </c>
      <c r="X807" s="29">
        <f t="shared" si="220"/>
        <v>798</v>
      </c>
      <c r="Z807" s="30">
        <f t="shared" si="211"/>
        <v>21.860019175455417</v>
      </c>
      <c r="AA807" s="28" t="e">
        <f t="shared" si="212"/>
        <v>#N/A</v>
      </c>
      <c r="AB807" s="28" t="e">
        <f t="shared" si="213"/>
        <v>#VALUE!</v>
      </c>
      <c r="AC807" s="29">
        <f t="shared" si="214"/>
        <v>757.11574952561682</v>
      </c>
      <c r="AD807" s="28" t="e">
        <f t="shared" si="215"/>
        <v>#VALUE!</v>
      </c>
      <c r="AE807" s="28" t="e">
        <f t="shared" si="216"/>
        <v>#N/A</v>
      </c>
      <c r="AF807" s="28" t="e">
        <f t="shared" si="217"/>
        <v>#VALUE!</v>
      </c>
      <c r="AH807" s="31" t="e">
        <f t="shared" si="218"/>
        <v>#N/A</v>
      </c>
      <c r="AI807" s="25"/>
      <c r="AJ807" s="31"/>
    </row>
    <row r="808" spans="2:36" x14ac:dyDescent="0.25">
      <c r="B808" s="33">
        <f>'Arbitrage Payback Engine'!E808</f>
        <v>21.887412683194082</v>
      </c>
      <c r="C808" s="33">
        <f t="shared" si="204"/>
        <v>1000</v>
      </c>
      <c r="D808" s="33">
        <f>'Battery Pricing Model'!$C$17</f>
        <v>1000</v>
      </c>
      <c r="E808" s="33">
        <f t="shared" si="205"/>
        <v>999</v>
      </c>
      <c r="F808" s="33" t="str">
        <f>'Peak Models'!$B$4</f>
        <v>Default</v>
      </c>
      <c r="G808" s="33" t="e">
        <f>'Peak Models'!$Q$7</f>
        <v>#VALUE!</v>
      </c>
      <c r="H808" s="33">
        <f>'Peak Models'!$P$16</f>
        <v>1.5</v>
      </c>
      <c r="I808" s="33">
        <v>12</v>
      </c>
      <c r="J808" s="33" t="e">
        <f>'Peak Models'!$P$13</f>
        <v>#N/A</v>
      </c>
      <c r="K808" s="28" t="e">
        <f t="shared" si="206"/>
        <v>#VALUE!</v>
      </c>
      <c r="L808" s="28" t="e">
        <f>INDEX('Peak Models'!$P$34:$P$64, MATCH(TRUNC(B808, 0), 'Peak Models'!$O$34:$O$64, 0))</f>
        <v>#N/A</v>
      </c>
      <c r="M808" s="28">
        <f>'Peak Models'!$P$15*INDEX('Peak Models'!$Q$34:$Q$64, MATCH(TRUNC(B808, 0),'Peak Models'!$O$34:$O$64, 0))/'Profit per cycles Model'!$E$78</f>
        <v>7.9039145943419085</v>
      </c>
      <c r="N808" s="28" t="e">
        <f t="shared" si="207"/>
        <v>#N/A</v>
      </c>
      <c r="O808" s="71" t="e">
        <f>AVERAGE($N$10:N808)</f>
        <v>#N/A</v>
      </c>
      <c r="P808" s="28" t="e">
        <f t="shared" si="208"/>
        <v>#N/A</v>
      </c>
      <c r="R808" s="28" t="e">
        <f t="shared" si="209"/>
        <v>#VALUE!</v>
      </c>
      <c r="S808" s="25"/>
      <c r="T808" s="25">
        <f t="shared" si="210"/>
        <v>15</v>
      </c>
      <c r="U808" s="33">
        <f>IF(PaybackCustom&gt;0, IF(PaybackCustom&lt;&gt;"Default", PaybackCustom, IF(PaybackStatus&lt;&gt;"",INDEX('Arbitrage Payback Engine'!$Y$2:$Y$6,MATCH(PaybackStatus,'Arbitrage Payback Engine'!$X$2:$X$6,FALSE)),-1)))</f>
        <v>25</v>
      </c>
      <c r="V808" s="32">
        <f t="shared" si="219"/>
        <v>15</v>
      </c>
      <c r="X808" s="29">
        <f t="shared" si="220"/>
        <v>799</v>
      </c>
      <c r="Z808" s="30">
        <f t="shared" si="211"/>
        <v>21.887412683194082</v>
      </c>
      <c r="AA808" s="28" t="e">
        <f t="shared" si="212"/>
        <v>#N/A</v>
      </c>
      <c r="AB808" s="28" t="e">
        <f t="shared" si="213"/>
        <v>#VALUE!</v>
      </c>
      <c r="AC808" s="29">
        <f t="shared" si="214"/>
        <v>758.0645161290322</v>
      </c>
      <c r="AD808" s="28" t="e">
        <f t="shared" si="215"/>
        <v>#VALUE!</v>
      </c>
      <c r="AE808" s="28" t="e">
        <f t="shared" si="216"/>
        <v>#N/A</v>
      </c>
      <c r="AF808" s="28" t="e">
        <f t="shared" si="217"/>
        <v>#VALUE!</v>
      </c>
      <c r="AH808" s="31" t="e">
        <f t="shared" si="218"/>
        <v>#N/A</v>
      </c>
      <c r="AI808" s="25"/>
      <c r="AJ808" s="31"/>
    </row>
    <row r="809" spans="2:36" x14ac:dyDescent="0.25">
      <c r="B809" s="33">
        <f>'Arbitrage Payback Engine'!E809</f>
        <v>21.914806190932747</v>
      </c>
      <c r="C809" s="33">
        <f t="shared" si="204"/>
        <v>1000</v>
      </c>
      <c r="D809" s="33">
        <f>'Battery Pricing Model'!$C$17</f>
        <v>1000</v>
      </c>
      <c r="E809" s="33">
        <f t="shared" si="205"/>
        <v>999</v>
      </c>
      <c r="F809" s="33" t="str">
        <f>'Peak Models'!$B$4</f>
        <v>Default</v>
      </c>
      <c r="G809" s="33" t="e">
        <f>'Peak Models'!$Q$7</f>
        <v>#VALUE!</v>
      </c>
      <c r="H809" s="33">
        <f>'Peak Models'!$P$16</f>
        <v>1.5</v>
      </c>
      <c r="I809" s="33">
        <v>12</v>
      </c>
      <c r="J809" s="33" t="e">
        <f>'Peak Models'!$P$13</f>
        <v>#N/A</v>
      </c>
      <c r="K809" s="28" t="e">
        <f t="shared" si="206"/>
        <v>#VALUE!</v>
      </c>
      <c r="L809" s="28" t="e">
        <f>INDEX('Peak Models'!$P$34:$P$64, MATCH(TRUNC(B809, 0), 'Peak Models'!$O$34:$O$64, 0))</f>
        <v>#N/A</v>
      </c>
      <c r="M809" s="28">
        <f>'Peak Models'!$P$15*INDEX('Peak Models'!$Q$34:$Q$64, MATCH(TRUNC(B809, 0),'Peak Models'!$O$34:$O$64, 0))/'Profit per cycles Model'!$E$78</f>
        <v>7.9039145943419085</v>
      </c>
      <c r="N809" s="28" t="e">
        <f t="shared" si="207"/>
        <v>#N/A</v>
      </c>
      <c r="O809" s="71" t="e">
        <f>AVERAGE($N$10:N809)</f>
        <v>#N/A</v>
      </c>
      <c r="P809" s="28" t="e">
        <f t="shared" si="208"/>
        <v>#N/A</v>
      </c>
      <c r="R809" s="28" t="e">
        <f t="shared" si="209"/>
        <v>#VALUE!</v>
      </c>
      <c r="S809" s="25"/>
      <c r="T809" s="25">
        <f t="shared" si="210"/>
        <v>15</v>
      </c>
      <c r="U809" s="33">
        <f>IF(PaybackCustom&gt;0, IF(PaybackCustom&lt;&gt;"Default", PaybackCustom, IF(PaybackStatus&lt;&gt;"",INDEX('Arbitrage Payback Engine'!$Y$2:$Y$6,MATCH(PaybackStatus,'Arbitrage Payback Engine'!$X$2:$X$6,FALSE)),-1)))</f>
        <v>25</v>
      </c>
      <c r="V809" s="32">
        <f t="shared" si="219"/>
        <v>15</v>
      </c>
      <c r="X809" s="29">
        <f t="shared" si="220"/>
        <v>800</v>
      </c>
      <c r="Z809" s="30">
        <f t="shared" si="211"/>
        <v>21.914806190932747</v>
      </c>
      <c r="AA809" s="28" t="e">
        <f t="shared" si="212"/>
        <v>#N/A</v>
      </c>
      <c r="AB809" s="28" t="e">
        <f t="shared" si="213"/>
        <v>#VALUE!</v>
      </c>
      <c r="AC809" s="29">
        <f t="shared" si="214"/>
        <v>759.01328273244781</v>
      </c>
      <c r="AD809" s="28" t="e">
        <f t="shared" si="215"/>
        <v>#VALUE!</v>
      </c>
      <c r="AE809" s="28" t="e">
        <f t="shared" si="216"/>
        <v>#N/A</v>
      </c>
      <c r="AF809" s="28" t="e">
        <f t="shared" si="217"/>
        <v>#VALUE!</v>
      </c>
      <c r="AH809" s="31" t="e">
        <f t="shared" si="218"/>
        <v>#N/A</v>
      </c>
      <c r="AI809" s="25"/>
      <c r="AJ809" s="31"/>
    </row>
    <row r="810" spans="2:36" x14ac:dyDescent="0.25">
      <c r="B810" s="33">
        <f>'Arbitrage Payback Engine'!E810</f>
        <v>21.942199698671413</v>
      </c>
      <c r="C810" s="33">
        <f t="shared" si="204"/>
        <v>1000</v>
      </c>
      <c r="D810" s="33">
        <f>'Battery Pricing Model'!$C$17</f>
        <v>1000</v>
      </c>
      <c r="E810" s="33">
        <f t="shared" si="205"/>
        <v>999</v>
      </c>
      <c r="F810" s="33" t="str">
        <f>'Peak Models'!$B$4</f>
        <v>Default</v>
      </c>
      <c r="G810" s="33" t="e">
        <f>'Peak Models'!$Q$7</f>
        <v>#VALUE!</v>
      </c>
      <c r="H810" s="33">
        <f>'Peak Models'!$P$16</f>
        <v>1.5</v>
      </c>
      <c r="I810" s="33">
        <v>12</v>
      </c>
      <c r="J810" s="33" t="e">
        <f>'Peak Models'!$P$13</f>
        <v>#N/A</v>
      </c>
      <c r="K810" s="28" t="e">
        <f t="shared" si="206"/>
        <v>#VALUE!</v>
      </c>
      <c r="L810" s="28" t="e">
        <f>INDEX('Peak Models'!$P$34:$P$64, MATCH(TRUNC(B810, 0), 'Peak Models'!$O$34:$O$64, 0))</f>
        <v>#N/A</v>
      </c>
      <c r="M810" s="28">
        <f>'Peak Models'!$P$15*INDEX('Peak Models'!$Q$34:$Q$64, MATCH(TRUNC(B810, 0),'Peak Models'!$O$34:$O$64, 0))/'Profit per cycles Model'!$E$78</f>
        <v>7.9039145943419085</v>
      </c>
      <c r="N810" s="28" t="e">
        <f t="shared" si="207"/>
        <v>#N/A</v>
      </c>
      <c r="O810" s="71" t="e">
        <f>AVERAGE($N$10:N810)</f>
        <v>#N/A</v>
      </c>
      <c r="P810" s="28" t="e">
        <f t="shared" si="208"/>
        <v>#N/A</v>
      </c>
      <c r="R810" s="28" t="e">
        <f t="shared" si="209"/>
        <v>#VALUE!</v>
      </c>
      <c r="S810" s="25"/>
      <c r="T810" s="25">
        <f t="shared" si="210"/>
        <v>15</v>
      </c>
      <c r="U810" s="33">
        <f>IF(PaybackCustom&gt;0, IF(PaybackCustom&lt;&gt;"Default", PaybackCustom, IF(PaybackStatus&lt;&gt;"",INDEX('Arbitrage Payback Engine'!$Y$2:$Y$6,MATCH(PaybackStatus,'Arbitrage Payback Engine'!$X$2:$X$6,FALSE)),-1)))</f>
        <v>25</v>
      </c>
      <c r="V810" s="32">
        <f t="shared" si="219"/>
        <v>15</v>
      </c>
      <c r="X810" s="29">
        <f t="shared" si="220"/>
        <v>801</v>
      </c>
      <c r="Z810" s="30">
        <f t="shared" si="211"/>
        <v>21.942199698671413</v>
      </c>
      <c r="AA810" s="28" t="e">
        <f t="shared" si="212"/>
        <v>#N/A</v>
      </c>
      <c r="AB810" s="28" t="e">
        <f t="shared" si="213"/>
        <v>#VALUE!</v>
      </c>
      <c r="AC810" s="29">
        <f t="shared" si="214"/>
        <v>759.9620493358633</v>
      </c>
      <c r="AD810" s="28" t="e">
        <f t="shared" si="215"/>
        <v>#VALUE!</v>
      </c>
      <c r="AE810" s="28" t="e">
        <f t="shared" si="216"/>
        <v>#N/A</v>
      </c>
      <c r="AF810" s="28" t="e">
        <f t="shared" si="217"/>
        <v>#VALUE!</v>
      </c>
      <c r="AH810" s="31" t="e">
        <f t="shared" si="218"/>
        <v>#N/A</v>
      </c>
      <c r="AI810" s="25"/>
      <c r="AJ810" s="31"/>
    </row>
    <row r="811" spans="2:36" x14ac:dyDescent="0.25">
      <c r="B811" s="33">
        <f>'Arbitrage Payback Engine'!E811</f>
        <v>21.969593206410082</v>
      </c>
      <c r="C811" s="33">
        <f t="shared" si="204"/>
        <v>1000</v>
      </c>
      <c r="D811" s="33">
        <f>'Battery Pricing Model'!$C$17</f>
        <v>1000</v>
      </c>
      <c r="E811" s="33">
        <f t="shared" si="205"/>
        <v>999</v>
      </c>
      <c r="F811" s="33" t="str">
        <f>'Peak Models'!$B$4</f>
        <v>Default</v>
      </c>
      <c r="G811" s="33" t="e">
        <f>'Peak Models'!$Q$7</f>
        <v>#VALUE!</v>
      </c>
      <c r="H811" s="33">
        <f>'Peak Models'!$P$16</f>
        <v>1.5</v>
      </c>
      <c r="I811" s="33">
        <v>12</v>
      </c>
      <c r="J811" s="33" t="e">
        <f>'Peak Models'!$P$13</f>
        <v>#N/A</v>
      </c>
      <c r="K811" s="28" t="e">
        <f t="shared" si="206"/>
        <v>#VALUE!</v>
      </c>
      <c r="L811" s="28" t="e">
        <f>INDEX('Peak Models'!$P$34:$P$64, MATCH(TRUNC(B811, 0), 'Peak Models'!$O$34:$O$64, 0))</f>
        <v>#N/A</v>
      </c>
      <c r="M811" s="28">
        <f>'Peak Models'!$P$15*INDEX('Peak Models'!$Q$34:$Q$64, MATCH(TRUNC(B811, 0),'Peak Models'!$O$34:$O$64, 0))/'Profit per cycles Model'!$E$78</f>
        <v>7.9039145943419085</v>
      </c>
      <c r="N811" s="28" t="e">
        <f t="shared" si="207"/>
        <v>#N/A</v>
      </c>
      <c r="O811" s="71" t="e">
        <f>AVERAGE($N$10:N811)</f>
        <v>#N/A</v>
      </c>
      <c r="P811" s="28" t="e">
        <f t="shared" si="208"/>
        <v>#N/A</v>
      </c>
      <c r="R811" s="28" t="e">
        <f t="shared" si="209"/>
        <v>#VALUE!</v>
      </c>
      <c r="S811" s="25"/>
      <c r="T811" s="25">
        <f t="shared" si="210"/>
        <v>15</v>
      </c>
      <c r="U811" s="33">
        <f>IF(PaybackCustom&gt;0, IF(PaybackCustom&lt;&gt;"Default", PaybackCustom, IF(PaybackStatus&lt;&gt;"",INDEX('Arbitrage Payback Engine'!$Y$2:$Y$6,MATCH(PaybackStatus,'Arbitrage Payback Engine'!$X$2:$X$6,FALSE)),-1)))</f>
        <v>25</v>
      </c>
      <c r="V811" s="32">
        <f t="shared" si="219"/>
        <v>15</v>
      </c>
      <c r="X811" s="29">
        <f t="shared" si="220"/>
        <v>802</v>
      </c>
      <c r="Z811" s="30">
        <f t="shared" si="211"/>
        <v>21.969593206410082</v>
      </c>
      <c r="AA811" s="28" t="e">
        <f t="shared" si="212"/>
        <v>#N/A</v>
      </c>
      <c r="AB811" s="28" t="e">
        <f t="shared" si="213"/>
        <v>#VALUE!</v>
      </c>
      <c r="AC811" s="29">
        <f t="shared" si="214"/>
        <v>760.91081593927902</v>
      </c>
      <c r="AD811" s="28" t="e">
        <f t="shared" si="215"/>
        <v>#VALUE!</v>
      </c>
      <c r="AE811" s="28" t="e">
        <f t="shared" si="216"/>
        <v>#N/A</v>
      </c>
      <c r="AF811" s="28" t="e">
        <f t="shared" si="217"/>
        <v>#VALUE!</v>
      </c>
      <c r="AH811" s="31" t="e">
        <f t="shared" si="218"/>
        <v>#N/A</v>
      </c>
      <c r="AI811" s="25"/>
      <c r="AJ811" s="31"/>
    </row>
    <row r="812" spans="2:36" x14ac:dyDescent="0.25">
      <c r="B812" s="33">
        <f>'Arbitrage Payback Engine'!E812</f>
        <v>21.996986714148747</v>
      </c>
      <c r="C812" s="33">
        <f t="shared" si="204"/>
        <v>1000</v>
      </c>
      <c r="D812" s="33">
        <f>'Battery Pricing Model'!$C$17</f>
        <v>1000</v>
      </c>
      <c r="E812" s="33">
        <f t="shared" si="205"/>
        <v>999</v>
      </c>
      <c r="F812" s="33" t="str">
        <f>'Peak Models'!$B$4</f>
        <v>Default</v>
      </c>
      <c r="G812" s="33" t="e">
        <f>'Peak Models'!$Q$7</f>
        <v>#VALUE!</v>
      </c>
      <c r="H812" s="33">
        <f>'Peak Models'!$P$16</f>
        <v>1.5</v>
      </c>
      <c r="I812" s="33">
        <v>12</v>
      </c>
      <c r="J812" s="33" t="e">
        <f>'Peak Models'!$P$13</f>
        <v>#N/A</v>
      </c>
      <c r="K812" s="28" t="e">
        <f t="shared" si="206"/>
        <v>#VALUE!</v>
      </c>
      <c r="L812" s="28" t="e">
        <f>INDEX('Peak Models'!$P$34:$P$64, MATCH(TRUNC(B812, 0), 'Peak Models'!$O$34:$O$64, 0))</f>
        <v>#N/A</v>
      </c>
      <c r="M812" s="28">
        <f>'Peak Models'!$P$15*INDEX('Peak Models'!$Q$34:$Q$64, MATCH(TRUNC(B812, 0),'Peak Models'!$O$34:$O$64, 0))/'Profit per cycles Model'!$E$78</f>
        <v>7.9039145943419085</v>
      </c>
      <c r="N812" s="28" t="e">
        <f t="shared" si="207"/>
        <v>#N/A</v>
      </c>
      <c r="O812" s="71" t="e">
        <f>AVERAGE($N$10:N812)</f>
        <v>#N/A</v>
      </c>
      <c r="P812" s="28" t="e">
        <f t="shared" si="208"/>
        <v>#N/A</v>
      </c>
      <c r="R812" s="28" t="e">
        <f t="shared" si="209"/>
        <v>#VALUE!</v>
      </c>
      <c r="S812" s="25"/>
      <c r="T812" s="25">
        <f t="shared" si="210"/>
        <v>15</v>
      </c>
      <c r="U812" s="33">
        <f>IF(PaybackCustom&gt;0, IF(PaybackCustom&lt;&gt;"Default", PaybackCustom, IF(PaybackStatus&lt;&gt;"",INDEX('Arbitrage Payback Engine'!$Y$2:$Y$6,MATCH(PaybackStatus,'Arbitrage Payback Engine'!$X$2:$X$6,FALSE)),-1)))</f>
        <v>25</v>
      </c>
      <c r="V812" s="32">
        <f t="shared" si="219"/>
        <v>15</v>
      </c>
      <c r="X812" s="29">
        <f t="shared" si="220"/>
        <v>803</v>
      </c>
      <c r="Z812" s="30">
        <f t="shared" si="211"/>
        <v>21.996986714148747</v>
      </c>
      <c r="AA812" s="28" t="e">
        <f t="shared" si="212"/>
        <v>#N/A</v>
      </c>
      <c r="AB812" s="28" t="e">
        <f t="shared" si="213"/>
        <v>#VALUE!</v>
      </c>
      <c r="AC812" s="29">
        <f t="shared" si="214"/>
        <v>761.85958254269462</v>
      </c>
      <c r="AD812" s="28" t="e">
        <f t="shared" si="215"/>
        <v>#VALUE!</v>
      </c>
      <c r="AE812" s="28" t="e">
        <f t="shared" si="216"/>
        <v>#N/A</v>
      </c>
      <c r="AF812" s="28" t="e">
        <f t="shared" si="217"/>
        <v>#VALUE!</v>
      </c>
      <c r="AH812" s="31" t="e">
        <f t="shared" si="218"/>
        <v>#N/A</v>
      </c>
      <c r="AI812" s="25"/>
      <c r="AJ812" s="31"/>
    </row>
    <row r="813" spans="2:36" x14ac:dyDescent="0.25">
      <c r="B813" s="33">
        <f>'Arbitrage Payback Engine'!E813</f>
        <v>22.024380221887412</v>
      </c>
      <c r="C813" s="33">
        <f t="shared" si="204"/>
        <v>1000</v>
      </c>
      <c r="D813" s="33">
        <f>'Battery Pricing Model'!$C$17</f>
        <v>1000</v>
      </c>
      <c r="E813" s="33">
        <f t="shared" si="205"/>
        <v>999</v>
      </c>
      <c r="F813" s="33" t="str">
        <f>'Peak Models'!$B$4</f>
        <v>Default</v>
      </c>
      <c r="G813" s="33" t="e">
        <f>'Peak Models'!$Q$7</f>
        <v>#VALUE!</v>
      </c>
      <c r="H813" s="33">
        <f>'Peak Models'!$P$16</f>
        <v>1.5</v>
      </c>
      <c r="I813" s="33">
        <v>12</v>
      </c>
      <c r="J813" s="33" t="e">
        <f>'Peak Models'!$P$13</f>
        <v>#N/A</v>
      </c>
      <c r="K813" s="28" t="e">
        <f t="shared" si="206"/>
        <v>#VALUE!</v>
      </c>
      <c r="L813" s="28" t="e">
        <f>INDEX('Peak Models'!$P$34:$P$64, MATCH(TRUNC(B813, 0), 'Peak Models'!$O$34:$O$64, 0))</f>
        <v>#N/A</v>
      </c>
      <c r="M813" s="28">
        <f>'Peak Models'!$P$15*INDEX('Peak Models'!$Q$34:$Q$64, MATCH(TRUNC(B813, 0),'Peak Models'!$O$34:$O$64, 0))/'Profit per cycles Model'!$E$78</f>
        <v>8.101512459200455</v>
      </c>
      <c r="N813" s="28" t="e">
        <f t="shared" si="207"/>
        <v>#N/A</v>
      </c>
      <c r="O813" s="71" t="e">
        <f>AVERAGE($N$10:N813)</f>
        <v>#N/A</v>
      </c>
      <c r="P813" s="28" t="e">
        <f t="shared" si="208"/>
        <v>#N/A</v>
      </c>
      <c r="R813" s="28" t="e">
        <f t="shared" si="209"/>
        <v>#VALUE!</v>
      </c>
      <c r="S813" s="25"/>
      <c r="T813" s="25">
        <f t="shared" si="210"/>
        <v>15</v>
      </c>
      <c r="U813" s="33">
        <f>IF(PaybackCustom&gt;0, IF(PaybackCustom&lt;&gt;"Default", PaybackCustom, IF(PaybackStatus&lt;&gt;"",INDEX('Arbitrage Payback Engine'!$Y$2:$Y$6,MATCH(PaybackStatus,'Arbitrage Payback Engine'!$X$2:$X$6,FALSE)),-1)))</f>
        <v>25</v>
      </c>
      <c r="V813" s="32">
        <f t="shared" si="219"/>
        <v>15</v>
      </c>
      <c r="X813" s="29">
        <f t="shared" si="220"/>
        <v>804</v>
      </c>
      <c r="Z813" s="30">
        <f t="shared" si="211"/>
        <v>22.024380221887412</v>
      </c>
      <c r="AA813" s="28" t="e">
        <f t="shared" si="212"/>
        <v>#N/A</v>
      </c>
      <c r="AB813" s="28" t="e">
        <f t="shared" si="213"/>
        <v>#VALUE!</v>
      </c>
      <c r="AC813" s="29">
        <f t="shared" si="214"/>
        <v>762.80834914611</v>
      </c>
      <c r="AD813" s="28" t="e">
        <f t="shared" si="215"/>
        <v>#VALUE!</v>
      </c>
      <c r="AE813" s="28" t="e">
        <f t="shared" si="216"/>
        <v>#N/A</v>
      </c>
      <c r="AF813" s="28" t="e">
        <f t="shared" si="217"/>
        <v>#VALUE!</v>
      </c>
      <c r="AH813" s="31" t="e">
        <f t="shared" si="218"/>
        <v>#N/A</v>
      </c>
      <c r="AI813" s="25"/>
      <c r="AJ813" s="31"/>
    </row>
    <row r="814" spans="2:36" x14ac:dyDescent="0.25">
      <c r="B814" s="33">
        <f>'Arbitrage Payback Engine'!E814</f>
        <v>22.051773729626078</v>
      </c>
      <c r="C814" s="33">
        <f t="shared" si="204"/>
        <v>1000</v>
      </c>
      <c r="D814" s="33">
        <f>'Battery Pricing Model'!$C$17</f>
        <v>1000</v>
      </c>
      <c r="E814" s="33">
        <f t="shared" si="205"/>
        <v>999</v>
      </c>
      <c r="F814" s="33" t="str">
        <f>'Peak Models'!$B$4</f>
        <v>Default</v>
      </c>
      <c r="G814" s="33" t="e">
        <f>'Peak Models'!$Q$7</f>
        <v>#VALUE!</v>
      </c>
      <c r="H814" s="33">
        <f>'Peak Models'!$P$16</f>
        <v>1.5</v>
      </c>
      <c r="I814" s="33">
        <v>12</v>
      </c>
      <c r="J814" s="33" t="e">
        <f>'Peak Models'!$P$13</f>
        <v>#N/A</v>
      </c>
      <c r="K814" s="28" t="e">
        <f t="shared" si="206"/>
        <v>#VALUE!</v>
      </c>
      <c r="L814" s="28" t="e">
        <f>INDEX('Peak Models'!$P$34:$P$64, MATCH(TRUNC(B814, 0), 'Peak Models'!$O$34:$O$64, 0))</f>
        <v>#N/A</v>
      </c>
      <c r="M814" s="28">
        <f>'Peak Models'!$P$15*INDEX('Peak Models'!$Q$34:$Q$64, MATCH(TRUNC(B814, 0),'Peak Models'!$O$34:$O$64, 0))/'Profit per cycles Model'!$E$78</f>
        <v>8.101512459200455</v>
      </c>
      <c r="N814" s="28" t="e">
        <f t="shared" si="207"/>
        <v>#N/A</v>
      </c>
      <c r="O814" s="71" t="e">
        <f>AVERAGE($N$10:N814)</f>
        <v>#N/A</v>
      </c>
      <c r="P814" s="28" t="e">
        <f t="shared" si="208"/>
        <v>#N/A</v>
      </c>
      <c r="R814" s="28" t="e">
        <f t="shared" si="209"/>
        <v>#VALUE!</v>
      </c>
      <c r="S814" s="25"/>
      <c r="T814" s="25">
        <f t="shared" si="210"/>
        <v>15</v>
      </c>
      <c r="U814" s="33">
        <f>IF(PaybackCustom&gt;0, IF(PaybackCustom&lt;&gt;"Default", PaybackCustom, IF(PaybackStatus&lt;&gt;"",INDEX('Arbitrage Payback Engine'!$Y$2:$Y$6,MATCH(PaybackStatus,'Arbitrage Payback Engine'!$X$2:$X$6,FALSE)),-1)))</f>
        <v>25</v>
      </c>
      <c r="V814" s="32">
        <f t="shared" si="219"/>
        <v>15</v>
      </c>
      <c r="X814" s="29">
        <f t="shared" si="220"/>
        <v>805</v>
      </c>
      <c r="Z814" s="30">
        <f t="shared" si="211"/>
        <v>22.051773729626078</v>
      </c>
      <c r="AA814" s="28" t="e">
        <f t="shared" si="212"/>
        <v>#N/A</v>
      </c>
      <c r="AB814" s="28" t="e">
        <f t="shared" si="213"/>
        <v>#VALUE!</v>
      </c>
      <c r="AC814" s="29">
        <f t="shared" si="214"/>
        <v>763.75711574952561</v>
      </c>
      <c r="AD814" s="28" t="e">
        <f t="shared" si="215"/>
        <v>#VALUE!</v>
      </c>
      <c r="AE814" s="28" t="e">
        <f t="shared" si="216"/>
        <v>#N/A</v>
      </c>
      <c r="AF814" s="28" t="e">
        <f t="shared" si="217"/>
        <v>#VALUE!</v>
      </c>
      <c r="AH814" s="31" t="e">
        <f t="shared" si="218"/>
        <v>#N/A</v>
      </c>
      <c r="AI814" s="25"/>
      <c r="AJ814" s="31"/>
    </row>
    <row r="815" spans="2:36" x14ac:dyDescent="0.25">
      <c r="B815" s="33">
        <f>'Arbitrage Payback Engine'!E815</f>
        <v>22.079167237364743</v>
      </c>
      <c r="C815" s="33">
        <f t="shared" si="204"/>
        <v>1000</v>
      </c>
      <c r="D815" s="33">
        <f>'Battery Pricing Model'!$C$17</f>
        <v>1000</v>
      </c>
      <c r="E815" s="33">
        <f t="shared" si="205"/>
        <v>999</v>
      </c>
      <c r="F815" s="33" t="str">
        <f>'Peak Models'!$B$4</f>
        <v>Default</v>
      </c>
      <c r="G815" s="33" t="e">
        <f>'Peak Models'!$Q$7</f>
        <v>#VALUE!</v>
      </c>
      <c r="H815" s="33">
        <f>'Peak Models'!$P$16</f>
        <v>1.5</v>
      </c>
      <c r="I815" s="33">
        <v>12</v>
      </c>
      <c r="J815" s="33" t="e">
        <f>'Peak Models'!$P$13</f>
        <v>#N/A</v>
      </c>
      <c r="K815" s="28" t="e">
        <f t="shared" si="206"/>
        <v>#VALUE!</v>
      </c>
      <c r="L815" s="28" t="e">
        <f>INDEX('Peak Models'!$P$34:$P$64, MATCH(TRUNC(B815, 0), 'Peak Models'!$O$34:$O$64, 0))</f>
        <v>#N/A</v>
      </c>
      <c r="M815" s="28">
        <f>'Peak Models'!$P$15*INDEX('Peak Models'!$Q$34:$Q$64, MATCH(TRUNC(B815, 0),'Peak Models'!$O$34:$O$64, 0))/'Profit per cycles Model'!$E$78</f>
        <v>8.101512459200455</v>
      </c>
      <c r="N815" s="28" t="e">
        <f t="shared" si="207"/>
        <v>#N/A</v>
      </c>
      <c r="O815" s="71" t="e">
        <f>AVERAGE($N$10:N815)</f>
        <v>#N/A</v>
      </c>
      <c r="P815" s="28" t="e">
        <f t="shared" si="208"/>
        <v>#N/A</v>
      </c>
      <c r="R815" s="28" t="e">
        <f t="shared" si="209"/>
        <v>#VALUE!</v>
      </c>
      <c r="S815" s="25"/>
      <c r="T815" s="25">
        <f t="shared" si="210"/>
        <v>15</v>
      </c>
      <c r="U815" s="33">
        <f>IF(PaybackCustom&gt;0, IF(PaybackCustom&lt;&gt;"Default", PaybackCustom, IF(PaybackStatus&lt;&gt;"",INDEX('Arbitrage Payback Engine'!$Y$2:$Y$6,MATCH(PaybackStatus,'Arbitrage Payback Engine'!$X$2:$X$6,FALSE)),-1)))</f>
        <v>25</v>
      </c>
      <c r="V815" s="32">
        <f t="shared" si="219"/>
        <v>15</v>
      </c>
      <c r="X815" s="29">
        <f t="shared" si="220"/>
        <v>806</v>
      </c>
      <c r="Z815" s="30">
        <f t="shared" si="211"/>
        <v>22.079167237364743</v>
      </c>
      <c r="AA815" s="28" t="e">
        <f t="shared" si="212"/>
        <v>#N/A</v>
      </c>
      <c r="AB815" s="28" t="e">
        <f t="shared" si="213"/>
        <v>#VALUE!</v>
      </c>
      <c r="AC815" s="29">
        <f t="shared" si="214"/>
        <v>764.7058823529411</v>
      </c>
      <c r="AD815" s="28" t="e">
        <f t="shared" si="215"/>
        <v>#VALUE!</v>
      </c>
      <c r="AE815" s="28" t="e">
        <f t="shared" si="216"/>
        <v>#N/A</v>
      </c>
      <c r="AF815" s="28" t="e">
        <f t="shared" si="217"/>
        <v>#VALUE!</v>
      </c>
      <c r="AH815" s="31" t="e">
        <f t="shared" si="218"/>
        <v>#N/A</v>
      </c>
      <c r="AI815" s="25"/>
      <c r="AJ815" s="31"/>
    </row>
    <row r="816" spans="2:36" x14ac:dyDescent="0.25">
      <c r="B816" s="33">
        <f>'Arbitrage Payback Engine'!E816</f>
        <v>22.106560745103408</v>
      </c>
      <c r="C816" s="33">
        <f t="shared" si="204"/>
        <v>1000</v>
      </c>
      <c r="D816" s="33">
        <f>'Battery Pricing Model'!$C$17</f>
        <v>1000</v>
      </c>
      <c r="E816" s="33">
        <f t="shared" si="205"/>
        <v>999</v>
      </c>
      <c r="F816" s="33" t="str">
        <f>'Peak Models'!$B$4</f>
        <v>Default</v>
      </c>
      <c r="G816" s="33" t="e">
        <f>'Peak Models'!$Q$7</f>
        <v>#VALUE!</v>
      </c>
      <c r="H816" s="33">
        <f>'Peak Models'!$P$16</f>
        <v>1.5</v>
      </c>
      <c r="I816" s="33">
        <v>12</v>
      </c>
      <c r="J816" s="33" t="e">
        <f>'Peak Models'!$P$13</f>
        <v>#N/A</v>
      </c>
      <c r="K816" s="28" t="e">
        <f t="shared" si="206"/>
        <v>#VALUE!</v>
      </c>
      <c r="L816" s="28" t="e">
        <f>INDEX('Peak Models'!$P$34:$P$64, MATCH(TRUNC(B816, 0), 'Peak Models'!$O$34:$O$64, 0))</f>
        <v>#N/A</v>
      </c>
      <c r="M816" s="28">
        <f>'Peak Models'!$P$15*INDEX('Peak Models'!$Q$34:$Q$64, MATCH(TRUNC(B816, 0),'Peak Models'!$O$34:$O$64, 0))/'Profit per cycles Model'!$E$78</f>
        <v>8.101512459200455</v>
      </c>
      <c r="N816" s="28" t="e">
        <f t="shared" si="207"/>
        <v>#N/A</v>
      </c>
      <c r="O816" s="71" t="e">
        <f>AVERAGE($N$10:N816)</f>
        <v>#N/A</v>
      </c>
      <c r="P816" s="28" t="e">
        <f t="shared" si="208"/>
        <v>#N/A</v>
      </c>
      <c r="R816" s="28" t="e">
        <f t="shared" si="209"/>
        <v>#VALUE!</v>
      </c>
      <c r="S816" s="25"/>
      <c r="T816" s="25">
        <f t="shared" si="210"/>
        <v>15</v>
      </c>
      <c r="U816" s="33">
        <f>IF(PaybackCustom&gt;0, IF(PaybackCustom&lt;&gt;"Default", PaybackCustom, IF(PaybackStatus&lt;&gt;"",INDEX('Arbitrage Payback Engine'!$Y$2:$Y$6,MATCH(PaybackStatus,'Arbitrage Payback Engine'!$X$2:$X$6,FALSE)),-1)))</f>
        <v>25</v>
      </c>
      <c r="V816" s="32">
        <f t="shared" si="219"/>
        <v>15</v>
      </c>
      <c r="X816" s="29">
        <f t="shared" si="220"/>
        <v>807</v>
      </c>
      <c r="Z816" s="30">
        <f t="shared" si="211"/>
        <v>22.106560745103408</v>
      </c>
      <c r="AA816" s="28" t="e">
        <f t="shared" si="212"/>
        <v>#N/A</v>
      </c>
      <c r="AB816" s="28" t="e">
        <f t="shared" si="213"/>
        <v>#VALUE!</v>
      </c>
      <c r="AC816" s="29">
        <f t="shared" si="214"/>
        <v>765.65464895635671</v>
      </c>
      <c r="AD816" s="28" t="e">
        <f t="shared" si="215"/>
        <v>#VALUE!</v>
      </c>
      <c r="AE816" s="28" t="e">
        <f t="shared" si="216"/>
        <v>#N/A</v>
      </c>
      <c r="AF816" s="28" t="e">
        <f t="shared" si="217"/>
        <v>#VALUE!</v>
      </c>
      <c r="AH816" s="31" t="e">
        <f t="shared" si="218"/>
        <v>#N/A</v>
      </c>
      <c r="AI816" s="25"/>
      <c r="AJ816" s="31"/>
    </row>
    <row r="817" spans="2:36" x14ac:dyDescent="0.25">
      <c r="B817" s="33">
        <f>'Arbitrage Payback Engine'!E817</f>
        <v>22.133954252842077</v>
      </c>
      <c r="C817" s="33">
        <f t="shared" si="204"/>
        <v>1000</v>
      </c>
      <c r="D817" s="33">
        <f>'Battery Pricing Model'!$C$17</f>
        <v>1000</v>
      </c>
      <c r="E817" s="33">
        <f t="shared" si="205"/>
        <v>999</v>
      </c>
      <c r="F817" s="33" t="str">
        <f>'Peak Models'!$B$4</f>
        <v>Default</v>
      </c>
      <c r="G817" s="33" t="e">
        <f>'Peak Models'!$Q$7</f>
        <v>#VALUE!</v>
      </c>
      <c r="H817" s="33">
        <f>'Peak Models'!$P$16</f>
        <v>1.5</v>
      </c>
      <c r="I817" s="33">
        <v>12</v>
      </c>
      <c r="J817" s="33" t="e">
        <f>'Peak Models'!$P$13</f>
        <v>#N/A</v>
      </c>
      <c r="K817" s="28" t="e">
        <f t="shared" si="206"/>
        <v>#VALUE!</v>
      </c>
      <c r="L817" s="28" t="e">
        <f>INDEX('Peak Models'!$P$34:$P$64, MATCH(TRUNC(B817, 0), 'Peak Models'!$O$34:$O$64, 0))</f>
        <v>#N/A</v>
      </c>
      <c r="M817" s="28">
        <f>'Peak Models'!$P$15*INDEX('Peak Models'!$Q$34:$Q$64, MATCH(TRUNC(B817, 0),'Peak Models'!$O$34:$O$64, 0))/'Profit per cycles Model'!$E$78</f>
        <v>8.101512459200455</v>
      </c>
      <c r="N817" s="28" t="e">
        <f t="shared" si="207"/>
        <v>#N/A</v>
      </c>
      <c r="O817" s="71" t="e">
        <f>AVERAGE($N$10:N817)</f>
        <v>#N/A</v>
      </c>
      <c r="P817" s="28" t="e">
        <f t="shared" si="208"/>
        <v>#N/A</v>
      </c>
      <c r="R817" s="28" t="e">
        <f t="shared" si="209"/>
        <v>#VALUE!</v>
      </c>
      <c r="S817" s="25"/>
      <c r="T817" s="25">
        <f t="shared" si="210"/>
        <v>15</v>
      </c>
      <c r="U817" s="33">
        <f>IF(PaybackCustom&gt;0, IF(PaybackCustom&lt;&gt;"Default", PaybackCustom, IF(PaybackStatus&lt;&gt;"",INDEX('Arbitrage Payback Engine'!$Y$2:$Y$6,MATCH(PaybackStatus,'Arbitrage Payback Engine'!$X$2:$X$6,FALSE)),-1)))</f>
        <v>25</v>
      </c>
      <c r="V817" s="32">
        <f t="shared" si="219"/>
        <v>15</v>
      </c>
      <c r="X817" s="29">
        <f t="shared" si="220"/>
        <v>808</v>
      </c>
      <c r="Z817" s="30">
        <f t="shared" si="211"/>
        <v>22.133954252842077</v>
      </c>
      <c r="AA817" s="28" t="e">
        <f t="shared" si="212"/>
        <v>#N/A</v>
      </c>
      <c r="AB817" s="28" t="e">
        <f t="shared" si="213"/>
        <v>#VALUE!</v>
      </c>
      <c r="AC817" s="29">
        <f t="shared" si="214"/>
        <v>766.60341555977243</v>
      </c>
      <c r="AD817" s="28" t="e">
        <f t="shared" si="215"/>
        <v>#VALUE!</v>
      </c>
      <c r="AE817" s="28" t="e">
        <f t="shared" si="216"/>
        <v>#N/A</v>
      </c>
      <c r="AF817" s="28" t="e">
        <f t="shared" si="217"/>
        <v>#VALUE!</v>
      </c>
      <c r="AH817" s="31" t="e">
        <f t="shared" si="218"/>
        <v>#N/A</v>
      </c>
      <c r="AI817" s="25"/>
      <c r="AJ817" s="31"/>
    </row>
    <row r="818" spans="2:36" x14ac:dyDescent="0.25">
      <c r="B818" s="33">
        <f>'Arbitrage Payback Engine'!E818</f>
        <v>22.161347760580743</v>
      </c>
      <c r="C818" s="33">
        <f t="shared" si="204"/>
        <v>1000</v>
      </c>
      <c r="D818" s="33">
        <f>'Battery Pricing Model'!$C$17</f>
        <v>1000</v>
      </c>
      <c r="E818" s="33">
        <f t="shared" si="205"/>
        <v>999</v>
      </c>
      <c r="F818" s="33" t="str">
        <f>'Peak Models'!$B$4</f>
        <v>Default</v>
      </c>
      <c r="G818" s="33" t="e">
        <f>'Peak Models'!$Q$7</f>
        <v>#VALUE!</v>
      </c>
      <c r="H818" s="33">
        <f>'Peak Models'!$P$16</f>
        <v>1.5</v>
      </c>
      <c r="I818" s="33">
        <v>12</v>
      </c>
      <c r="J818" s="33" t="e">
        <f>'Peak Models'!$P$13</f>
        <v>#N/A</v>
      </c>
      <c r="K818" s="28" t="e">
        <f t="shared" si="206"/>
        <v>#VALUE!</v>
      </c>
      <c r="L818" s="28" t="e">
        <f>INDEX('Peak Models'!$P$34:$P$64, MATCH(TRUNC(B818, 0), 'Peak Models'!$O$34:$O$64, 0))</f>
        <v>#N/A</v>
      </c>
      <c r="M818" s="28">
        <f>'Peak Models'!$P$15*INDEX('Peak Models'!$Q$34:$Q$64, MATCH(TRUNC(B818, 0),'Peak Models'!$O$34:$O$64, 0))/'Profit per cycles Model'!$E$78</f>
        <v>8.101512459200455</v>
      </c>
      <c r="N818" s="28" t="e">
        <f t="shared" si="207"/>
        <v>#N/A</v>
      </c>
      <c r="O818" s="71" t="e">
        <f>AVERAGE($N$10:N818)</f>
        <v>#N/A</v>
      </c>
      <c r="P818" s="28" t="e">
        <f t="shared" si="208"/>
        <v>#N/A</v>
      </c>
      <c r="R818" s="28" t="e">
        <f t="shared" si="209"/>
        <v>#VALUE!</v>
      </c>
      <c r="S818" s="25"/>
      <c r="T818" s="25">
        <f t="shared" si="210"/>
        <v>15</v>
      </c>
      <c r="U818" s="33">
        <f>IF(PaybackCustom&gt;0, IF(PaybackCustom&lt;&gt;"Default", PaybackCustom, IF(PaybackStatus&lt;&gt;"",INDEX('Arbitrage Payback Engine'!$Y$2:$Y$6,MATCH(PaybackStatus,'Arbitrage Payback Engine'!$X$2:$X$6,FALSE)),-1)))</f>
        <v>25</v>
      </c>
      <c r="V818" s="32">
        <f t="shared" si="219"/>
        <v>15</v>
      </c>
      <c r="X818" s="29">
        <f t="shared" si="220"/>
        <v>809</v>
      </c>
      <c r="Z818" s="30">
        <f t="shared" si="211"/>
        <v>22.161347760580743</v>
      </c>
      <c r="AA818" s="28" t="e">
        <f t="shared" si="212"/>
        <v>#N/A</v>
      </c>
      <c r="AB818" s="28" t="e">
        <f t="shared" si="213"/>
        <v>#VALUE!</v>
      </c>
      <c r="AC818" s="29">
        <f t="shared" si="214"/>
        <v>767.55218216318792</v>
      </c>
      <c r="AD818" s="28" t="e">
        <f t="shared" si="215"/>
        <v>#VALUE!</v>
      </c>
      <c r="AE818" s="28" t="e">
        <f t="shared" si="216"/>
        <v>#N/A</v>
      </c>
      <c r="AF818" s="28" t="e">
        <f t="shared" si="217"/>
        <v>#VALUE!</v>
      </c>
      <c r="AH818" s="31" t="e">
        <f t="shared" si="218"/>
        <v>#N/A</v>
      </c>
      <c r="AI818" s="25"/>
      <c r="AJ818" s="31"/>
    </row>
    <row r="819" spans="2:36" x14ac:dyDescent="0.25">
      <c r="B819" s="33">
        <f>'Arbitrage Payback Engine'!E819</f>
        <v>22.188741268319408</v>
      </c>
      <c r="C819" s="33">
        <f t="shared" si="204"/>
        <v>1000</v>
      </c>
      <c r="D819" s="33">
        <f>'Battery Pricing Model'!$C$17</f>
        <v>1000</v>
      </c>
      <c r="E819" s="33">
        <f t="shared" si="205"/>
        <v>999</v>
      </c>
      <c r="F819" s="33" t="str">
        <f>'Peak Models'!$B$4</f>
        <v>Default</v>
      </c>
      <c r="G819" s="33" t="e">
        <f>'Peak Models'!$Q$7</f>
        <v>#VALUE!</v>
      </c>
      <c r="H819" s="33">
        <f>'Peak Models'!$P$16</f>
        <v>1.5</v>
      </c>
      <c r="I819" s="33">
        <v>12</v>
      </c>
      <c r="J819" s="33" t="e">
        <f>'Peak Models'!$P$13</f>
        <v>#N/A</v>
      </c>
      <c r="K819" s="28" t="e">
        <f t="shared" si="206"/>
        <v>#VALUE!</v>
      </c>
      <c r="L819" s="28" t="e">
        <f>INDEX('Peak Models'!$P$34:$P$64, MATCH(TRUNC(B819, 0), 'Peak Models'!$O$34:$O$64, 0))</f>
        <v>#N/A</v>
      </c>
      <c r="M819" s="28">
        <f>'Peak Models'!$P$15*INDEX('Peak Models'!$Q$34:$Q$64, MATCH(TRUNC(B819, 0),'Peak Models'!$O$34:$O$64, 0))/'Profit per cycles Model'!$E$78</f>
        <v>8.101512459200455</v>
      </c>
      <c r="N819" s="28" t="e">
        <f t="shared" si="207"/>
        <v>#N/A</v>
      </c>
      <c r="O819" s="71" t="e">
        <f>AVERAGE($N$10:N819)</f>
        <v>#N/A</v>
      </c>
      <c r="P819" s="28" t="e">
        <f t="shared" si="208"/>
        <v>#N/A</v>
      </c>
      <c r="R819" s="28" t="e">
        <f t="shared" si="209"/>
        <v>#VALUE!</v>
      </c>
      <c r="S819" s="25"/>
      <c r="T819" s="25">
        <f t="shared" si="210"/>
        <v>15</v>
      </c>
      <c r="U819" s="33">
        <f>IF(PaybackCustom&gt;0, IF(PaybackCustom&lt;&gt;"Default", PaybackCustom, IF(PaybackStatus&lt;&gt;"",INDEX('Arbitrage Payback Engine'!$Y$2:$Y$6,MATCH(PaybackStatus,'Arbitrage Payback Engine'!$X$2:$X$6,FALSE)),-1)))</f>
        <v>25</v>
      </c>
      <c r="V819" s="32">
        <f t="shared" si="219"/>
        <v>15</v>
      </c>
      <c r="X819" s="29">
        <f t="shared" si="220"/>
        <v>810</v>
      </c>
      <c r="Z819" s="30">
        <f t="shared" si="211"/>
        <v>22.188741268319408</v>
      </c>
      <c r="AA819" s="28" t="e">
        <f t="shared" si="212"/>
        <v>#N/A</v>
      </c>
      <c r="AB819" s="28" t="e">
        <f t="shared" si="213"/>
        <v>#VALUE!</v>
      </c>
      <c r="AC819" s="29">
        <f t="shared" si="214"/>
        <v>768.50094876660353</v>
      </c>
      <c r="AD819" s="28" t="e">
        <f t="shared" si="215"/>
        <v>#VALUE!</v>
      </c>
      <c r="AE819" s="28" t="e">
        <f t="shared" si="216"/>
        <v>#N/A</v>
      </c>
      <c r="AF819" s="28" t="e">
        <f t="shared" si="217"/>
        <v>#VALUE!</v>
      </c>
      <c r="AH819" s="31" t="e">
        <f t="shared" si="218"/>
        <v>#N/A</v>
      </c>
      <c r="AI819" s="25"/>
      <c r="AJ819" s="31"/>
    </row>
    <row r="820" spans="2:36" x14ac:dyDescent="0.25">
      <c r="B820" s="33">
        <f>'Arbitrage Payback Engine'!E820</f>
        <v>22.216134776058073</v>
      </c>
      <c r="C820" s="33">
        <f t="shared" si="204"/>
        <v>1000</v>
      </c>
      <c r="D820" s="33">
        <f>'Battery Pricing Model'!$C$17</f>
        <v>1000</v>
      </c>
      <c r="E820" s="33">
        <f t="shared" si="205"/>
        <v>999</v>
      </c>
      <c r="F820" s="33" t="str">
        <f>'Peak Models'!$B$4</f>
        <v>Default</v>
      </c>
      <c r="G820" s="33" t="e">
        <f>'Peak Models'!$Q$7</f>
        <v>#VALUE!</v>
      </c>
      <c r="H820" s="33">
        <f>'Peak Models'!$P$16</f>
        <v>1.5</v>
      </c>
      <c r="I820" s="33">
        <v>12</v>
      </c>
      <c r="J820" s="33" t="e">
        <f>'Peak Models'!$P$13</f>
        <v>#N/A</v>
      </c>
      <c r="K820" s="28" t="e">
        <f t="shared" si="206"/>
        <v>#VALUE!</v>
      </c>
      <c r="L820" s="28" t="e">
        <f>INDEX('Peak Models'!$P$34:$P$64, MATCH(TRUNC(B820, 0), 'Peak Models'!$O$34:$O$64, 0))</f>
        <v>#N/A</v>
      </c>
      <c r="M820" s="28">
        <f>'Peak Models'!$P$15*INDEX('Peak Models'!$Q$34:$Q$64, MATCH(TRUNC(B820, 0),'Peak Models'!$O$34:$O$64, 0))/'Profit per cycles Model'!$E$78</f>
        <v>8.101512459200455</v>
      </c>
      <c r="N820" s="28" t="e">
        <f t="shared" si="207"/>
        <v>#N/A</v>
      </c>
      <c r="O820" s="71" t="e">
        <f>AVERAGE($N$10:N820)</f>
        <v>#N/A</v>
      </c>
      <c r="P820" s="28" t="e">
        <f t="shared" si="208"/>
        <v>#N/A</v>
      </c>
      <c r="R820" s="28" t="e">
        <f t="shared" si="209"/>
        <v>#VALUE!</v>
      </c>
      <c r="S820" s="25"/>
      <c r="T820" s="25">
        <f t="shared" si="210"/>
        <v>15</v>
      </c>
      <c r="U820" s="33">
        <f>IF(PaybackCustom&gt;0, IF(PaybackCustom&lt;&gt;"Default", PaybackCustom, IF(PaybackStatus&lt;&gt;"",INDEX('Arbitrage Payback Engine'!$Y$2:$Y$6,MATCH(PaybackStatus,'Arbitrage Payback Engine'!$X$2:$X$6,FALSE)),-1)))</f>
        <v>25</v>
      </c>
      <c r="V820" s="32">
        <f t="shared" si="219"/>
        <v>15</v>
      </c>
      <c r="X820" s="29">
        <f t="shared" si="220"/>
        <v>811</v>
      </c>
      <c r="Z820" s="30">
        <f t="shared" si="211"/>
        <v>22.216134776058073</v>
      </c>
      <c r="AA820" s="28" t="e">
        <f t="shared" si="212"/>
        <v>#N/A</v>
      </c>
      <c r="AB820" s="28" t="e">
        <f t="shared" si="213"/>
        <v>#VALUE!</v>
      </c>
      <c r="AC820" s="29">
        <f t="shared" si="214"/>
        <v>769.44971537001891</v>
      </c>
      <c r="AD820" s="28" t="e">
        <f t="shared" si="215"/>
        <v>#VALUE!</v>
      </c>
      <c r="AE820" s="28" t="e">
        <f t="shared" si="216"/>
        <v>#N/A</v>
      </c>
      <c r="AF820" s="28" t="e">
        <f t="shared" si="217"/>
        <v>#VALUE!</v>
      </c>
      <c r="AH820" s="31" t="e">
        <f t="shared" si="218"/>
        <v>#N/A</v>
      </c>
      <c r="AI820" s="25"/>
      <c r="AJ820" s="31"/>
    </row>
    <row r="821" spans="2:36" x14ac:dyDescent="0.25">
      <c r="B821" s="33">
        <f>'Arbitrage Payback Engine'!E821</f>
        <v>22.243528283796739</v>
      </c>
      <c r="C821" s="33">
        <f t="shared" si="204"/>
        <v>1000</v>
      </c>
      <c r="D821" s="33">
        <f>'Battery Pricing Model'!$C$17</f>
        <v>1000</v>
      </c>
      <c r="E821" s="33">
        <f t="shared" si="205"/>
        <v>999</v>
      </c>
      <c r="F821" s="33" t="str">
        <f>'Peak Models'!$B$4</f>
        <v>Default</v>
      </c>
      <c r="G821" s="33" t="e">
        <f>'Peak Models'!$Q$7</f>
        <v>#VALUE!</v>
      </c>
      <c r="H821" s="33">
        <f>'Peak Models'!$P$16</f>
        <v>1.5</v>
      </c>
      <c r="I821" s="33">
        <v>12</v>
      </c>
      <c r="J821" s="33" t="e">
        <f>'Peak Models'!$P$13</f>
        <v>#N/A</v>
      </c>
      <c r="K821" s="28" t="e">
        <f t="shared" si="206"/>
        <v>#VALUE!</v>
      </c>
      <c r="L821" s="28" t="e">
        <f>INDEX('Peak Models'!$P$34:$P$64, MATCH(TRUNC(B821, 0), 'Peak Models'!$O$34:$O$64, 0))</f>
        <v>#N/A</v>
      </c>
      <c r="M821" s="28">
        <f>'Peak Models'!$P$15*INDEX('Peak Models'!$Q$34:$Q$64, MATCH(TRUNC(B821, 0),'Peak Models'!$O$34:$O$64, 0))/'Profit per cycles Model'!$E$78</f>
        <v>8.101512459200455</v>
      </c>
      <c r="N821" s="28" t="e">
        <f t="shared" si="207"/>
        <v>#N/A</v>
      </c>
      <c r="O821" s="71" t="e">
        <f>AVERAGE($N$10:N821)</f>
        <v>#N/A</v>
      </c>
      <c r="P821" s="28" t="e">
        <f t="shared" si="208"/>
        <v>#N/A</v>
      </c>
      <c r="R821" s="28" t="e">
        <f t="shared" si="209"/>
        <v>#VALUE!</v>
      </c>
      <c r="S821" s="25"/>
      <c r="T821" s="25">
        <f t="shared" si="210"/>
        <v>15</v>
      </c>
      <c r="U821" s="33">
        <f>IF(PaybackCustom&gt;0, IF(PaybackCustom&lt;&gt;"Default", PaybackCustom, IF(PaybackStatus&lt;&gt;"",INDEX('Arbitrage Payback Engine'!$Y$2:$Y$6,MATCH(PaybackStatus,'Arbitrage Payback Engine'!$X$2:$X$6,FALSE)),-1)))</f>
        <v>25</v>
      </c>
      <c r="V821" s="32">
        <f t="shared" si="219"/>
        <v>15</v>
      </c>
      <c r="X821" s="29">
        <f t="shared" si="220"/>
        <v>812</v>
      </c>
      <c r="Z821" s="30">
        <f t="shared" si="211"/>
        <v>22.243528283796739</v>
      </c>
      <c r="AA821" s="28" t="e">
        <f t="shared" si="212"/>
        <v>#N/A</v>
      </c>
      <c r="AB821" s="28" t="e">
        <f t="shared" si="213"/>
        <v>#VALUE!</v>
      </c>
      <c r="AC821" s="29">
        <f t="shared" si="214"/>
        <v>770.39848197343451</v>
      </c>
      <c r="AD821" s="28" t="e">
        <f t="shared" si="215"/>
        <v>#VALUE!</v>
      </c>
      <c r="AE821" s="28" t="e">
        <f t="shared" si="216"/>
        <v>#N/A</v>
      </c>
      <c r="AF821" s="28" t="e">
        <f t="shared" si="217"/>
        <v>#VALUE!</v>
      </c>
      <c r="AH821" s="31" t="e">
        <f t="shared" si="218"/>
        <v>#N/A</v>
      </c>
      <c r="AI821" s="25"/>
      <c r="AJ821" s="31"/>
    </row>
    <row r="822" spans="2:36" x14ac:dyDescent="0.25">
      <c r="B822" s="33">
        <f>'Arbitrage Payback Engine'!E822</f>
        <v>22.270921791535404</v>
      </c>
      <c r="C822" s="33">
        <f t="shared" si="204"/>
        <v>1000</v>
      </c>
      <c r="D822" s="33">
        <f>'Battery Pricing Model'!$C$17</f>
        <v>1000</v>
      </c>
      <c r="E822" s="33">
        <f t="shared" si="205"/>
        <v>999</v>
      </c>
      <c r="F822" s="33" t="str">
        <f>'Peak Models'!$B$4</f>
        <v>Default</v>
      </c>
      <c r="G822" s="33" t="e">
        <f>'Peak Models'!$Q$7</f>
        <v>#VALUE!</v>
      </c>
      <c r="H822" s="33">
        <f>'Peak Models'!$P$16</f>
        <v>1.5</v>
      </c>
      <c r="I822" s="33">
        <v>12</v>
      </c>
      <c r="J822" s="33" t="e">
        <f>'Peak Models'!$P$13</f>
        <v>#N/A</v>
      </c>
      <c r="K822" s="28" t="e">
        <f t="shared" si="206"/>
        <v>#VALUE!</v>
      </c>
      <c r="L822" s="28" t="e">
        <f>INDEX('Peak Models'!$P$34:$P$64, MATCH(TRUNC(B822, 0), 'Peak Models'!$O$34:$O$64, 0))</f>
        <v>#N/A</v>
      </c>
      <c r="M822" s="28">
        <f>'Peak Models'!$P$15*INDEX('Peak Models'!$Q$34:$Q$64, MATCH(TRUNC(B822, 0),'Peak Models'!$O$34:$O$64, 0))/'Profit per cycles Model'!$E$78</f>
        <v>8.101512459200455</v>
      </c>
      <c r="N822" s="28" t="e">
        <f t="shared" si="207"/>
        <v>#N/A</v>
      </c>
      <c r="O822" s="71" t="e">
        <f>AVERAGE($N$10:N822)</f>
        <v>#N/A</v>
      </c>
      <c r="P822" s="28" t="e">
        <f t="shared" si="208"/>
        <v>#N/A</v>
      </c>
      <c r="R822" s="28" t="e">
        <f t="shared" si="209"/>
        <v>#VALUE!</v>
      </c>
      <c r="S822" s="25"/>
      <c r="T822" s="25">
        <f t="shared" si="210"/>
        <v>15</v>
      </c>
      <c r="U822" s="33">
        <f>IF(PaybackCustom&gt;0, IF(PaybackCustom&lt;&gt;"Default", PaybackCustom, IF(PaybackStatus&lt;&gt;"",INDEX('Arbitrage Payback Engine'!$Y$2:$Y$6,MATCH(PaybackStatus,'Arbitrage Payback Engine'!$X$2:$X$6,FALSE)),-1)))</f>
        <v>25</v>
      </c>
      <c r="V822" s="32">
        <f t="shared" si="219"/>
        <v>15</v>
      </c>
      <c r="X822" s="29">
        <f t="shared" si="220"/>
        <v>813</v>
      </c>
      <c r="Z822" s="30">
        <f t="shared" si="211"/>
        <v>22.270921791535404</v>
      </c>
      <c r="AA822" s="28" t="e">
        <f t="shared" si="212"/>
        <v>#N/A</v>
      </c>
      <c r="AB822" s="28" t="e">
        <f t="shared" si="213"/>
        <v>#VALUE!</v>
      </c>
      <c r="AC822" s="29">
        <f t="shared" si="214"/>
        <v>771.34724857685012</v>
      </c>
      <c r="AD822" s="28" t="e">
        <f t="shared" si="215"/>
        <v>#VALUE!</v>
      </c>
      <c r="AE822" s="28" t="e">
        <f t="shared" si="216"/>
        <v>#N/A</v>
      </c>
      <c r="AF822" s="28" t="e">
        <f t="shared" si="217"/>
        <v>#VALUE!</v>
      </c>
      <c r="AH822" s="31" t="e">
        <f t="shared" si="218"/>
        <v>#N/A</v>
      </c>
      <c r="AI822" s="25"/>
      <c r="AJ822" s="31"/>
    </row>
    <row r="823" spans="2:36" x14ac:dyDescent="0.25">
      <c r="B823" s="33">
        <f>'Arbitrage Payback Engine'!E823</f>
        <v>22.298315299274073</v>
      </c>
      <c r="C823" s="33">
        <f t="shared" si="204"/>
        <v>1000</v>
      </c>
      <c r="D823" s="33">
        <f>'Battery Pricing Model'!$C$17</f>
        <v>1000</v>
      </c>
      <c r="E823" s="33">
        <f t="shared" si="205"/>
        <v>999</v>
      </c>
      <c r="F823" s="33" t="str">
        <f>'Peak Models'!$B$4</f>
        <v>Default</v>
      </c>
      <c r="G823" s="33" t="e">
        <f>'Peak Models'!$Q$7</f>
        <v>#VALUE!</v>
      </c>
      <c r="H823" s="33">
        <f>'Peak Models'!$P$16</f>
        <v>1.5</v>
      </c>
      <c r="I823" s="33">
        <v>12</v>
      </c>
      <c r="J823" s="33" t="e">
        <f>'Peak Models'!$P$13</f>
        <v>#N/A</v>
      </c>
      <c r="K823" s="28" t="e">
        <f t="shared" si="206"/>
        <v>#VALUE!</v>
      </c>
      <c r="L823" s="28" t="e">
        <f>INDEX('Peak Models'!$P$34:$P$64, MATCH(TRUNC(B823, 0), 'Peak Models'!$O$34:$O$64, 0))</f>
        <v>#N/A</v>
      </c>
      <c r="M823" s="28">
        <f>'Peak Models'!$P$15*INDEX('Peak Models'!$Q$34:$Q$64, MATCH(TRUNC(B823, 0),'Peak Models'!$O$34:$O$64, 0))/'Profit per cycles Model'!$E$78</f>
        <v>8.101512459200455</v>
      </c>
      <c r="N823" s="28" t="e">
        <f t="shared" si="207"/>
        <v>#N/A</v>
      </c>
      <c r="O823" s="71" t="e">
        <f>AVERAGE($N$10:N823)</f>
        <v>#N/A</v>
      </c>
      <c r="P823" s="28" t="e">
        <f t="shared" si="208"/>
        <v>#N/A</v>
      </c>
      <c r="R823" s="28" t="e">
        <f t="shared" si="209"/>
        <v>#VALUE!</v>
      </c>
      <c r="S823" s="25"/>
      <c r="T823" s="25">
        <f t="shared" si="210"/>
        <v>15</v>
      </c>
      <c r="U823" s="33">
        <f>IF(PaybackCustom&gt;0, IF(PaybackCustom&lt;&gt;"Default", PaybackCustom, IF(PaybackStatus&lt;&gt;"",INDEX('Arbitrage Payback Engine'!$Y$2:$Y$6,MATCH(PaybackStatus,'Arbitrage Payback Engine'!$X$2:$X$6,FALSE)),-1)))</f>
        <v>25</v>
      </c>
      <c r="V823" s="32">
        <f t="shared" si="219"/>
        <v>15</v>
      </c>
      <c r="X823" s="29">
        <f t="shared" si="220"/>
        <v>814</v>
      </c>
      <c r="Z823" s="30">
        <f t="shared" si="211"/>
        <v>22.298315299274073</v>
      </c>
      <c r="AA823" s="28" t="e">
        <f t="shared" si="212"/>
        <v>#N/A</v>
      </c>
      <c r="AB823" s="28" t="e">
        <f t="shared" si="213"/>
        <v>#VALUE!</v>
      </c>
      <c r="AC823" s="29">
        <f t="shared" si="214"/>
        <v>772.29601518026573</v>
      </c>
      <c r="AD823" s="28" t="e">
        <f t="shared" si="215"/>
        <v>#VALUE!</v>
      </c>
      <c r="AE823" s="28" t="e">
        <f t="shared" si="216"/>
        <v>#N/A</v>
      </c>
      <c r="AF823" s="28" t="e">
        <f t="shared" si="217"/>
        <v>#VALUE!</v>
      </c>
      <c r="AH823" s="31" t="e">
        <f t="shared" si="218"/>
        <v>#N/A</v>
      </c>
      <c r="AI823" s="25"/>
      <c r="AJ823" s="31"/>
    </row>
    <row r="824" spans="2:36" x14ac:dyDescent="0.25">
      <c r="B824" s="33">
        <f>'Arbitrage Payback Engine'!E824</f>
        <v>22.325708807012738</v>
      </c>
      <c r="C824" s="33">
        <f t="shared" si="204"/>
        <v>1000</v>
      </c>
      <c r="D824" s="33">
        <f>'Battery Pricing Model'!$C$17</f>
        <v>1000</v>
      </c>
      <c r="E824" s="33">
        <f t="shared" si="205"/>
        <v>999</v>
      </c>
      <c r="F824" s="33" t="str">
        <f>'Peak Models'!$B$4</f>
        <v>Default</v>
      </c>
      <c r="G824" s="33" t="e">
        <f>'Peak Models'!$Q$7</f>
        <v>#VALUE!</v>
      </c>
      <c r="H824" s="33">
        <f>'Peak Models'!$P$16</f>
        <v>1.5</v>
      </c>
      <c r="I824" s="33">
        <v>12</v>
      </c>
      <c r="J824" s="33" t="e">
        <f>'Peak Models'!$P$13</f>
        <v>#N/A</v>
      </c>
      <c r="K824" s="28" t="e">
        <f t="shared" si="206"/>
        <v>#VALUE!</v>
      </c>
      <c r="L824" s="28" t="e">
        <f>INDEX('Peak Models'!$P$34:$P$64, MATCH(TRUNC(B824, 0), 'Peak Models'!$O$34:$O$64, 0))</f>
        <v>#N/A</v>
      </c>
      <c r="M824" s="28">
        <f>'Peak Models'!$P$15*INDEX('Peak Models'!$Q$34:$Q$64, MATCH(TRUNC(B824, 0),'Peak Models'!$O$34:$O$64, 0))/'Profit per cycles Model'!$E$78</f>
        <v>8.101512459200455</v>
      </c>
      <c r="N824" s="28" t="e">
        <f t="shared" si="207"/>
        <v>#N/A</v>
      </c>
      <c r="O824" s="71" t="e">
        <f>AVERAGE($N$10:N824)</f>
        <v>#N/A</v>
      </c>
      <c r="P824" s="28" t="e">
        <f t="shared" si="208"/>
        <v>#N/A</v>
      </c>
      <c r="R824" s="28" t="e">
        <f t="shared" si="209"/>
        <v>#VALUE!</v>
      </c>
      <c r="S824" s="25"/>
      <c r="T824" s="25">
        <f t="shared" si="210"/>
        <v>15</v>
      </c>
      <c r="U824" s="33">
        <f>IF(PaybackCustom&gt;0, IF(PaybackCustom&lt;&gt;"Default", PaybackCustom, IF(PaybackStatus&lt;&gt;"",INDEX('Arbitrage Payback Engine'!$Y$2:$Y$6,MATCH(PaybackStatus,'Arbitrage Payback Engine'!$X$2:$X$6,FALSE)),-1)))</f>
        <v>25</v>
      </c>
      <c r="V824" s="32">
        <f t="shared" si="219"/>
        <v>15</v>
      </c>
      <c r="X824" s="29">
        <f t="shared" si="220"/>
        <v>815</v>
      </c>
      <c r="Z824" s="30">
        <f t="shared" si="211"/>
        <v>22.325708807012738</v>
      </c>
      <c r="AA824" s="28" t="e">
        <f t="shared" si="212"/>
        <v>#N/A</v>
      </c>
      <c r="AB824" s="28" t="e">
        <f t="shared" si="213"/>
        <v>#VALUE!</v>
      </c>
      <c r="AC824" s="29">
        <f t="shared" si="214"/>
        <v>773.24478178368133</v>
      </c>
      <c r="AD824" s="28" t="e">
        <f t="shared" si="215"/>
        <v>#VALUE!</v>
      </c>
      <c r="AE824" s="28" t="e">
        <f t="shared" si="216"/>
        <v>#N/A</v>
      </c>
      <c r="AF824" s="28" t="e">
        <f t="shared" si="217"/>
        <v>#VALUE!</v>
      </c>
      <c r="AH824" s="31" t="e">
        <f t="shared" si="218"/>
        <v>#N/A</v>
      </c>
      <c r="AI824" s="25"/>
      <c r="AJ824" s="31"/>
    </row>
    <row r="825" spans="2:36" x14ac:dyDescent="0.25">
      <c r="B825" s="33">
        <f>'Arbitrage Payback Engine'!E825</f>
        <v>22.353102314751403</v>
      </c>
      <c r="C825" s="33">
        <f t="shared" si="204"/>
        <v>1000</v>
      </c>
      <c r="D825" s="33">
        <f>'Battery Pricing Model'!$C$17</f>
        <v>1000</v>
      </c>
      <c r="E825" s="33">
        <f t="shared" si="205"/>
        <v>999</v>
      </c>
      <c r="F825" s="33" t="str">
        <f>'Peak Models'!$B$4</f>
        <v>Default</v>
      </c>
      <c r="G825" s="33" t="e">
        <f>'Peak Models'!$Q$7</f>
        <v>#VALUE!</v>
      </c>
      <c r="H825" s="33">
        <f>'Peak Models'!$P$16</f>
        <v>1.5</v>
      </c>
      <c r="I825" s="33">
        <v>12</v>
      </c>
      <c r="J825" s="33" t="e">
        <f>'Peak Models'!$P$13</f>
        <v>#N/A</v>
      </c>
      <c r="K825" s="28" t="e">
        <f t="shared" si="206"/>
        <v>#VALUE!</v>
      </c>
      <c r="L825" s="28" t="e">
        <f>INDEX('Peak Models'!$P$34:$P$64, MATCH(TRUNC(B825, 0), 'Peak Models'!$O$34:$O$64, 0))</f>
        <v>#N/A</v>
      </c>
      <c r="M825" s="28">
        <f>'Peak Models'!$P$15*INDEX('Peak Models'!$Q$34:$Q$64, MATCH(TRUNC(B825, 0),'Peak Models'!$O$34:$O$64, 0))/'Profit per cycles Model'!$E$78</f>
        <v>8.101512459200455</v>
      </c>
      <c r="N825" s="28" t="e">
        <f t="shared" si="207"/>
        <v>#N/A</v>
      </c>
      <c r="O825" s="71" t="e">
        <f>AVERAGE($N$10:N825)</f>
        <v>#N/A</v>
      </c>
      <c r="P825" s="28" t="e">
        <f t="shared" si="208"/>
        <v>#N/A</v>
      </c>
      <c r="R825" s="28" t="e">
        <f t="shared" si="209"/>
        <v>#VALUE!</v>
      </c>
      <c r="S825" s="25"/>
      <c r="T825" s="25">
        <f t="shared" si="210"/>
        <v>15</v>
      </c>
      <c r="U825" s="33">
        <f>IF(PaybackCustom&gt;0, IF(PaybackCustom&lt;&gt;"Default", PaybackCustom, IF(PaybackStatus&lt;&gt;"",INDEX('Arbitrage Payback Engine'!$Y$2:$Y$6,MATCH(PaybackStatus,'Arbitrage Payback Engine'!$X$2:$X$6,FALSE)),-1)))</f>
        <v>25</v>
      </c>
      <c r="V825" s="32">
        <f t="shared" si="219"/>
        <v>15</v>
      </c>
      <c r="X825" s="29">
        <f t="shared" si="220"/>
        <v>816</v>
      </c>
      <c r="Z825" s="30">
        <f t="shared" si="211"/>
        <v>22.353102314751403</v>
      </c>
      <c r="AA825" s="28" t="e">
        <f t="shared" si="212"/>
        <v>#N/A</v>
      </c>
      <c r="AB825" s="28" t="e">
        <f t="shared" si="213"/>
        <v>#VALUE!</v>
      </c>
      <c r="AC825" s="29">
        <f t="shared" si="214"/>
        <v>774.19354838709671</v>
      </c>
      <c r="AD825" s="28" t="e">
        <f t="shared" si="215"/>
        <v>#VALUE!</v>
      </c>
      <c r="AE825" s="28" t="e">
        <f t="shared" si="216"/>
        <v>#N/A</v>
      </c>
      <c r="AF825" s="28" t="e">
        <f t="shared" si="217"/>
        <v>#VALUE!</v>
      </c>
      <c r="AH825" s="31" t="e">
        <f t="shared" si="218"/>
        <v>#N/A</v>
      </c>
      <c r="AI825" s="25"/>
      <c r="AJ825" s="31"/>
    </row>
    <row r="826" spans="2:36" x14ac:dyDescent="0.25">
      <c r="B826" s="33">
        <f>'Arbitrage Payback Engine'!E826</f>
        <v>22.380495822490069</v>
      </c>
      <c r="C826" s="33">
        <f t="shared" si="204"/>
        <v>1000</v>
      </c>
      <c r="D826" s="33">
        <f>'Battery Pricing Model'!$C$17</f>
        <v>1000</v>
      </c>
      <c r="E826" s="33">
        <f t="shared" si="205"/>
        <v>999</v>
      </c>
      <c r="F826" s="33" t="str">
        <f>'Peak Models'!$B$4</f>
        <v>Default</v>
      </c>
      <c r="G826" s="33" t="e">
        <f>'Peak Models'!$Q$7</f>
        <v>#VALUE!</v>
      </c>
      <c r="H826" s="33">
        <f>'Peak Models'!$P$16</f>
        <v>1.5</v>
      </c>
      <c r="I826" s="33">
        <v>12</v>
      </c>
      <c r="J826" s="33" t="e">
        <f>'Peak Models'!$P$13</f>
        <v>#N/A</v>
      </c>
      <c r="K826" s="28" t="e">
        <f t="shared" si="206"/>
        <v>#VALUE!</v>
      </c>
      <c r="L826" s="28" t="e">
        <f>INDEX('Peak Models'!$P$34:$P$64, MATCH(TRUNC(B826, 0), 'Peak Models'!$O$34:$O$64, 0))</f>
        <v>#N/A</v>
      </c>
      <c r="M826" s="28">
        <f>'Peak Models'!$P$15*INDEX('Peak Models'!$Q$34:$Q$64, MATCH(TRUNC(B826, 0),'Peak Models'!$O$34:$O$64, 0))/'Profit per cycles Model'!$E$78</f>
        <v>8.101512459200455</v>
      </c>
      <c r="N826" s="28" t="e">
        <f t="shared" si="207"/>
        <v>#N/A</v>
      </c>
      <c r="O826" s="71" t="e">
        <f>AVERAGE($N$10:N826)</f>
        <v>#N/A</v>
      </c>
      <c r="P826" s="28" t="e">
        <f t="shared" si="208"/>
        <v>#N/A</v>
      </c>
      <c r="R826" s="28" t="e">
        <f t="shared" si="209"/>
        <v>#VALUE!</v>
      </c>
      <c r="S826" s="25"/>
      <c r="T826" s="25">
        <f t="shared" si="210"/>
        <v>15</v>
      </c>
      <c r="U826" s="33">
        <f>IF(PaybackCustom&gt;0, IF(PaybackCustom&lt;&gt;"Default", PaybackCustom, IF(PaybackStatus&lt;&gt;"",INDEX('Arbitrage Payback Engine'!$Y$2:$Y$6,MATCH(PaybackStatus,'Arbitrage Payback Engine'!$X$2:$X$6,FALSE)),-1)))</f>
        <v>25</v>
      </c>
      <c r="V826" s="32">
        <f t="shared" si="219"/>
        <v>15</v>
      </c>
      <c r="X826" s="29">
        <f t="shared" si="220"/>
        <v>817</v>
      </c>
      <c r="Z826" s="30">
        <f t="shared" si="211"/>
        <v>22.380495822490069</v>
      </c>
      <c r="AA826" s="28" t="e">
        <f t="shared" si="212"/>
        <v>#N/A</v>
      </c>
      <c r="AB826" s="28" t="e">
        <f t="shared" si="213"/>
        <v>#VALUE!</v>
      </c>
      <c r="AC826" s="29">
        <f t="shared" si="214"/>
        <v>775.14231499051232</v>
      </c>
      <c r="AD826" s="28" t="e">
        <f t="shared" si="215"/>
        <v>#VALUE!</v>
      </c>
      <c r="AE826" s="28" t="e">
        <f t="shared" si="216"/>
        <v>#N/A</v>
      </c>
      <c r="AF826" s="28" t="e">
        <f t="shared" si="217"/>
        <v>#VALUE!</v>
      </c>
      <c r="AH826" s="31" t="e">
        <f t="shared" si="218"/>
        <v>#N/A</v>
      </c>
      <c r="AI826" s="25"/>
      <c r="AJ826" s="31"/>
    </row>
    <row r="827" spans="2:36" x14ac:dyDescent="0.25">
      <c r="B827" s="33">
        <f>'Arbitrage Payback Engine'!E827</f>
        <v>22.407889330228734</v>
      </c>
      <c r="C827" s="33">
        <f t="shared" si="204"/>
        <v>1000</v>
      </c>
      <c r="D827" s="33">
        <f>'Battery Pricing Model'!$C$17</f>
        <v>1000</v>
      </c>
      <c r="E827" s="33">
        <f t="shared" si="205"/>
        <v>999</v>
      </c>
      <c r="F827" s="33" t="str">
        <f>'Peak Models'!$B$4</f>
        <v>Default</v>
      </c>
      <c r="G827" s="33" t="e">
        <f>'Peak Models'!$Q$7</f>
        <v>#VALUE!</v>
      </c>
      <c r="H827" s="33">
        <f>'Peak Models'!$P$16</f>
        <v>1.5</v>
      </c>
      <c r="I827" s="33">
        <v>12</v>
      </c>
      <c r="J827" s="33" t="e">
        <f>'Peak Models'!$P$13</f>
        <v>#N/A</v>
      </c>
      <c r="K827" s="28" t="e">
        <f t="shared" si="206"/>
        <v>#VALUE!</v>
      </c>
      <c r="L827" s="28" t="e">
        <f>INDEX('Peak Models'!$P$34:$P$64, MATCH(TRUNC(B827, 0), 'Peak Models'!$O$34:$O$64, 0))</f>
        <v>#N/A</v>
      </c>
      <c r="M827" s="28">
        <f>'Peak Models'!$P$15*INDEX('Peak Models'!$Q$34:$Q$64, MATCH(TRUNC(B827, 0),'Peak Models'!$O$34:$O$64, 0))/'Profit per cycles Model'!$E$78</f>
        <v>8.101512459200455</v>
      </c>
      <c r="N827" s="28" t="e">
        <f t="shared" si="207"/>
        <v>#N/A</v>
      </c>
      <c r="O827" s="71" t="e">
        <f>AVERAGE($N$10:N827)</f>
        <v>#N/A</v>
      </c>
      <c r="P827" s="28" t="e">
        <f t="shared" si="208"/>
        <v>#N/A</v>
      </c>
      <c r="R827" s="28" t="e">
        <f t="shared" si="209"/>
        <v>#VALUE!</v>
      </c>
      <c r="S827" s="25"/>
      <c r="T827" s="25">
        <f t="shared" si="210"/>
        <v>15</v>
      </c>
      <c r="U827" s="33">
        <f>IF(PaybackCustom&gt;0, IF(PaybackCustom&lt;&gt;"Default", PaybackCustom, IF(PaybackStatus&lt;&gt;"",INDEX('Arbitrage Payback Engine'!$Y$2:$Y$6,MATCH(PaybackStatus,'Arbitrage Payback Engine'!$X$2:$X$6,FALSE)),-1)))</f>
        <v>25</v>
      </c>
      <c r="V827" s="32">
        <f t="shared" si="219"/>
        <v>15</v>
      </c>
      <c r="X827" s="29">
        <f t="shared" si="220"/>
        <v>818</v>
      </c>
      <c r="Z827" s="30">
        <f t="shared" si="211"/>
        <v>22.407889330228734</v>
      </c>
      <c r="AA827" s="28" t="e">
        <f t="shared" si="212"/>
        <v>#N/A</v>
      </c>
      <c r="AB827" s="28" t="e">
        <f t="shared" si="213"/>
        <v>#VALUE!</v>
      </c>
      <c r="AC827" s="29">
        <f t="shared" si="214"/>
        <v>776.09108159392781</v>
      </c>
      <c r="AD827" s="28" t="e">
        <f t="shared" si="215"/>
        <v>#VALUE!</v>
      </c>
      <c r="AE827" s="28" t="e">
        <f t="shared" si="216"/>
        <v>#N/A</v>
      </c>
      <c r="AF827" s="28" t="e">
        <f t="shared" si="217"/>
        <v>#VALUE!</v>
      </c>
      <c r="AH827" s="31" t="e">
        <f t="shared" si="218"/>
        <v>#N/A</v>
      </c>
      <c r="AI827" s="25"/>
      <c r="AJ827" s="31"/>
    </row>
    <row r="828" spans="2:36" x14ac:dyDescent="0.25">
      <c r="B828" s="33">
        <f>'Arbitrage Payback Engine'!E828</f>
        <v>22.435282837967399</v>
      </c>
      <c r="C828" s="33">
        <f t="shared" si="204"/>
        <v>1000</v>
      </c>
      <c r="D828" s="33">
        <f>'Battery Pricing Model'!$C$17</f>
        <v>1000</v>
      </c>
      <c r="E828" s="33">
        <f t="shared" si="205"/>
        <v>999</v>
      </c>
      <c r="F828" s="33" t="str">
        <f>'Peak Models'!$B$4</f>
        <v>Default</v>
      </c>
      <c r="G828" s="33" t="e">
        <f>'Peak Models'!$Q$7</f>
        <v>#VALUE!</v>
      </c>
      <c r="H828" s="33">
        <f>'Peak Models'!$P$16</f>
        <v>1.5</v>
      </c>
      <c r="I828" s="33">
        <v>12</v>
      </c>
      <c r="J828" s="33" t="e">
        <f>'Peak Models'!$P$13</f>
        <v>#N/A</v>
      </c>
      <c r="K828" s="28" t="e">
        <f t="shared" si="206"/>
        <v>#VALUE!</v>
      </c>
      <c r="L828" s="28" t="e">
        <f>INDEX('Peak Models'!$P$34:$P$64, MATCH(TRUNC(B828, 0), 'Peak Models'!$O$34:$O$64, 0))</f>
        <v>#N/A</v>
      </c>
      <c r="M828" s="28">
        <f>'Peak Models'!$P$15*INDEX('Peak Models'!$Q$34:$Q$64, MATCH(TRUNC(B828, 0),'Peak Models'!$O$34:$O$64, 0))/'Profit per cycles Model'!$E$78</f>
        <v>8.101512459200455</v>
      </c>
      <c r="N828" s="28" t="e">
        <f t="shared" si="207"/>
        <v>#N/A</v>
      </c>
      <c r="O828" s="71" t="e">
        <f>AVERAGE($N$10:N828)</f>
        <v>#N/A</v>
      </c>
      <c r="P828" s="28" t="e">
        <f t="shared" si="208"/>
        <v>#N/A</v>
      </c>
      <c r="R828" s="28" t="e">
        <f t="shared" si="209"/>
        <v>#VALUE!</v>
      </c>
      <c r="S828" s="25"/>
      <c r="T828" s="25">
        <f t="shared" si="210"/>
        <v>15</v>
      </c>
      <c r="U828" s="33">
        <f>IF(PaybackCustom&gt;0, IF(PaybackCustom&lt;&gt;"Default", PaybackCustom, IF(PaybackStatus&lt;&gt;"",INDEX('Arbitrage Payback Engine'!$Y$2:$Y$6,MATCH(PaybackStatus,'Arbitrage Payback Engine'!$X$2:$X$6,FALSE)),-1)))</f>
        <v>25</v>
      </c>
      <c r="V828" s="32">
        <f t="shared" si="219"/>
        <v>15</v>
      </c>
      <c r="X828" s="29">
        <f t="shared" si="220"/>
        <v>819</v>
      </c>
      <c r="Z828" s="30">
        <f t="shared" si="211"/>
        <v>22.435282837967399</v>
      </c>
      <c r="AA828" s="28" t="e">
        <f t="shared" si="212"/>
        <v>#N/A</v>
      </c>
      <c r="AB828" s="28" t="e">
        <f t="shared" si="213"/>
        <v>#VALUE!</v>
      </c>
      <c r="AC828" s="29">
        <f t="shared" si="214"/>
        <v>777.03984819734342</v>
      </c>
      <c r="AD828" s="28" t="e">
        <f t="shared" si="215"/>
        <v>#VALUE!</v>
      </c>
      <c r="AE828" s="28" t="e">
        <f t="shared" si="216"/>
        <v>#N/A</v>
      </c>
      <c r="AF828" s="28" t="e">
        <f t="shared" si="217"/>
        <v>#VALUE!</v>
      </c>
      <c r="AH828" s="31" t="e">
        <f t="shared" si="218"/>
        <v>#N/A</v>
      </c>
      <c r="AI828" s="25"/>
      <c r="AJ828" s="31"/>
    </row>
    <row r="829" spans="2:36" x14ac:dyDescent="0.25">
      <c r="B829" s="33">
        <f>'Arbitrage Payback Engine'!E829</f>
        <v>22.462676345706068</v>
      </c>
      <c r="C829" s="33">
        <f t="shared" si="204"/>
        <v>1000</v>
      </c>
      <c r="D829" s="33">
        <f>'Battery Pricing Model'!$C$17</f>
        <v>1000</v>
      </c>
      <c r="E829" s="33">
        <f t="shared" si="205"/>
        <v>999</v>
      </c>
      <c r="F829" s="33" t="str">
        <f>'Peak Models'!$B$4</f>
        <v>Default</v>
      </c>
      <c r="G829" s="33" t="e">
        <f>'Peak Models'!$Q$7</f>
        <v>#VALUE!</v>
      </c>
      <c r="H829" s="33">
        <f>'Peak Models'!$P$16</f>
        <v>1.5</v>
      </c>
      <c r="I829" s="33">
        <v>12</v>
      </c>
      <c r="J829" s="33" t="e">
        <f>'Peak Models'!$P$13</f>
        <v>#N/A</v>
      </c>
      <c r="K829" s="28" t="e">
        <f t="shared" si="206"/>
        <v>#VALUE!</v>
      </c>
      <c r="L829" s="28" t="e">
        <f>INDEX('Peak Models'!$P$34:$P$64, MATCH(TRUNC(B829, 0), 'Peak Models'!$O$34:$O$64, 0))</f>
        <v>#N/A</v>
      </c>
      <c r="M829" s="28">
        <f>'Peak Models'!$P$15*INDEX('Peak Models'!$Q$34:$Q$64, MATCH(TRUNC(B829, 0),'Peak Models'!$O$34:$O$64, 0))/'Profit per cycles Model'!$E$78</f>
        <v>8.101512459200455</v>
      </c>
      <c r="N829" s="28" t="e">
        <f t="shared" si="207"/>
        <v>#N/A</v>
      </c>
      <c r="O829" s="71" t="e">
        <f>AVERAGE($N$10:N829)</f>
        <v>#N/A</v>
      </c>
      <c r="P829" s="28" t="e">
        <f t="shared" si="208"/>
        <v>#N/A</v>
      </c>
      <c r="R829" s="28" t="e">
        <f t="shared" si="209"/>
        <v>#VALUE!</v>
      </c>
      <c r="S829" s="25"/>
      <c r="T829" s="25">
        <f t="shared" si="210"/>
        <v>15</v>
      </c>
      <c r="U829" s="33">
        <f>IF(PaybackCustom&gt;0, IF(PaybackCustom&lt;&gt;"Default", PaybackCustom, IF(PaybackStatus&lt;&gt;"",INDEX('Arbitrage Payback Engine'!$Y$2:$Y$6,MATCH(PaybackStatus,'Arbitrage Payback Engine'!$X$2:$X$6,FALSE)),-1)))</f>
        <v>25</v>
      </c>
      <c r="V829" s="32">
        <f t="shared" si="219"/>
        <v>15</v>
      </c>
      <c r="X829" s="29">
        <f t="shared" si="220"/>
        <v>820</v>
      </c>
      <c r="Z829" s="30">
        <f t="shared" si="211"/>
        <v>22.462676345706068</v>
      </c>
      <c r="AA829" s="28" t="e">
        <f t="shared" si="212"/>
        <v>#N/A</v>
      </c>
      <c r="AB829" s="28" t="e">
        <f t="shared" si="213"/>
        <v>#VALUE!</v>
      </c>
      <c r="AC829" s="29">
        <f t="shared" si="214"/>
        <v>777.98861480075914</v>
      </c>
      <c r="AD829" s="28" t="e">
        <f t="shared" si="215"/>
        <v>#VALUE!</v>
      </c>
      <c r="AE829" s="28" t="e">
        <f t="shared" si="216"/>
        <v>#N/A</v>
      </c>
      <c r="AF829" s="28" t="e">
        <f t="shared" si="217"/>
        <v>#VALUE!</v>
      </c>
      <c r="AH829" s="31" t="e">
        <f t="shared" si="218"/>
        <v>#N/A</v>
      </c>
      <c r="AI829" s="25"/>
      <c r="AJ829" s="31"/>
    </row>
    <row r="830" spans="2:36" x14ac:dyDescent="0.25">
      <c r="B830" s="33">
        <f>'Arbitrage Payback Engine'!E830</f>
        <v>22.490069853444734</v>
      </c>
      <c r="C830" s="33">
        <f t="shared" si="204"/>
        <v>1000</v>
      </c>
      <c r="D830" s="33">
        <f>'Battery Pricing Model'!$C$17</f>
        <v>1000</v>
      </c>
      <c r="E830" s="33">
        <f t="shared" si="205"/>
        <v>999</v>
      </c>
      <c r="F830" s="33" t="str">
        <f>'Peak Models'!$B$4</f>
        <v>Default</v>
      </c>
      <c r="G830" s="33" t="e">
        <f>'Peak Models'!$Q$7</f>
        <v>#VALUE!</v>
      </c>
      <c r="H830" s="33">
        <f>'Peak Models'!$P$16</f>
        <v>1.5</v>
      </c>
      <c r="I830" s="33">
        <v>12</v>
      </c>
      <c r="J830" s="33" t="e">
        <f>'Peak Models'!$P$13</f>
        <v>#N/A</v>
      </c>
      <c r="K830" s="28" t="e">
        <f t="shared" si="206"/>
        <v>#VALUE!</v>
      </c>
      <c r="L830" s="28" t="e">
        <f>INDEX('Peak Models'!$P$34:$P$64, MATCH(TRUNC(B830, 0), 'Peak Models'!$O$34:$O$64, 0))</f>
        <v>#N/A</v>
      </c>
      <c r="M830" s="28">
        <f>'Peak Models'!$P$15*INDEX('Peak Models'!$Q$34:$Q$64, MATCH(TRUNC(B830, 0),'Peak Models'!$O$34:$O$64, 0))/'Profit per cycles Model'!$E$78</f>
        <v>8.101512459200455</v>
      </c>
      <c r="N830" s="28" t="e">
        <f t="shared" si="207"/>
        <v>#N/A</v>
      </c>
      <c r="O830" s="71" t="e">
        <f>AVERAGE($N$10:N830)</f>
        <v>#N/A</v>
      </c>
      <c r="P830" s="28" t="e">
        <f t="shared" si="208"/>
        <v>#N/A</v>
      </c>
      <c r="R830" s="28" t="e">
        <f t="shared" si="209"/>
        <v>#VALUE!</v>
      </c>
      <c r="S830" s="25"/>
      <c r="T830" s="25">
        <f t="shared" si="210"/>
        <v>15</v>
      </c>
      <c r="U830" s="33">
        <f>IF(PaybackCustom&gt;0, IF(PaybackCustom&lt;&gt;"Default", PaybackCustom, IF(PaybackStatus&lt;&gt;"",INDEX('Arbitrage Payback Engine'!$Y$2:$Y$6,MATCH(PaybackStatus,'Arbitrage Payback Engine'!$X$2:$X$6,FALSE)),-1)))</f>
        <v>25</v>
      </c>
      <c r="V830" s="32">
        <f t="shared" si="219"/>
        <v>15</v>
      </c>
      <c r="X830" s="29">
        <f t="shared" si="220"/>
        <v>821</v>
      </c>
      <c r="Z830" s="30">
        <f t="shared" si="211"/>
        <v>22.490069853444734</v>
      </c>
      <c r="AA830" s="28" t="e">
        <f t="shared" si="212"/>
        <v>#N/A</v>
      </c>
      <c r="AB830" s="28" t="e">
        <f t="shared" si="213"/>
        <v>#VALUE!</v>
      </c>
      <c r="AC830" s="29">
        <f t="shared" si="214"/>
        <v>778.93738140417463</v>
      </c>
      <c r="AD830" s="28" t="e">
        <f t="shared" si="215"/>
        <v>#VALUE!</v>
      </c>
      <c r="AE830" s="28" t="e">
        <f t="shared" si="216"/>
        <v>#N/A</v>
      </c>
      <c r="AF830" s="28" t="e">
        <f t="shared" si="217"/>
        <v>#VALUE!</v>
      </c>
      <c r="AH830" s="31" t="e">
        <f t="shared" si="218"/>
        <v>#N/A</v>
      </c>
      <c r="AI830" s="25"/>
      <c r="AJ830" s="31"/>
    </row>
    <row r="831" spans="2:36" x14ac:dyDescent="0.25">
      <c r="B831" s="33">
        <f>'Arbitrage Payback Engine'!E831</f>
        <v>22.517463361183399</v>
      </c>
      <c r="C831" s="33">
        <f t="shared" si="204"/>
        <v>1000</v>
      </c>
      <c r="D831" s="33">
        <f>'Battery Pricing Model'!$C$17</f>
        <v>1000</v>
      </c>
      <c r="E831" s="33">
        <f t="shared" si="205"/>
        <v>999</v>
      </c>
      <c r="F831" s="33" t="str">
        <f>'Peak Models'!$B$4</f>
        <v>Default</v>
      </c>
      <c r="G831" s="33" t="e">
        <f>'Peak Models'!$Q$7</f>
        <v>#VALUE!</v>
      </c>
      <c r="H831" s="33">
        <f>'Peak Models'!$P$16</f>
        <v>1.5</v>
      </c>
      <c r="I831" s="33">
        <v>12</v>
      </c>
      <c r="J831" s="33" t="e">
        <f>'Peak Models'!$P$13</f>
        <v>#N/A</v>
      </c>
      <c r="K831" s="28" t="e">
        <f t="shared" si="206"/>
        <v>#VALUE!</v>
      </c>
      <c r="L831" s="28" t="e">
        <f>INDEX('Peak Models'!$P$34:$P$64, MATCH(TRUNC(B831, 0), 'Peak Models'!$O$34:$O$64, 0))</f>
        <v>#N/A</v>
      </c>
      <c r="M831" s="28">
        <f>'Peak Models'!$P$15*INDEX('Peak Models'!$Q$34:$Q$64, MATCH(TRUNC(B831, 0),'Peak Models'!$O$34:$O$64, 0))/'Profit per cycles Model'!$E$78</f>
        <v>8.101512459200455</v>
      </c>
      <c r="N831" s="28" t="e">
        <f t="shared" si="207"/>
        <v>#N/A</v>
      </c>
      <c r="O831" s="71" t="e">
        <f>AVERAGE($N$10:N831)</f>
        <v>#N/A</v>
      </c>
      <c r="P831" s="28" t="e">
        <f t="shared" si="208"/>
        <v>#N/A</v>
      </c>
      <c r="R831" s="28" t="e">
        <f t="shared" si="209"/>
        <v>#VALUE!</v>
      </c>
      <c r="S831" s="25"/>
      <c r="T831" s="25">
        <f t="shared" si="210"/>
        <v>15</v>
      </c>
      <c r="U831" s="33">
        <f>IF(PaybackCustom&gt;0, IF(PaybackCustom&lt;&gt;"Default", PaybackCustom, IF(PaybackStatus&lt;&gt;"",INDEX('Arbitrage Payback Engine'!$Y$2:$Y$6,MATCH(PaybackStatus,'Arbitrage Payback Engine'!$X$2:$X$6,FALSE)),-1)))</f>
        <v>25</v>
      </c>
      <c r="V831" s="32">
        <f t="shared" si="219"/>
        <v>15</v>
      </c>
      <c r="X831" s="29">
        <f t="shared" si="220"/>
        <v>822</v>
      </c>
      <c r="Z831" s="30">
        <f t="shared" si="211"/>
        <v>22.517463361183399</v>
      </c>
      <c r="AA831" s="28" t="e">
        <f t="shared" si="212"/>
        <v>#N/A</v>
      </c>
      <c r="AB831" s="28" t="e">
        <f t="shared" si="213"/>
        <v>#VALUE!</v>
      </c>
      <c r="AC831" s="29">
        <f t="shared" si="214"/>
        <v>779.88614800759024</v>
      </c>
      <c r="AD831" s="28" t="e">
        <f t="shared" si="215"/>
        <v>#VALUE!</v>
      </c>
      <c r="AE831" s="28" t="e">
        <f t="shared" si="216"/>
        <v>#N/A</v>
      </c>
      <c r="AF831" s="28" t="e">
        <f t="shared" si="217"/>
        <v>#VALUE!</v>
      </c>
      <c r="AH831" s="31" t="e">
        <f t="shared" si="218"/>
        <v>#N/A</v>
      </c>
      <c r="AI831" s="25"/>
      <c r="AJ831" s="31"/>
    </row>
    <row r="832" spans="2:36" x14ac:dyDescent="0.25">
      <c r="B832" s="33">
        <f>'Arbitrage Payback Engine'!E832</f>
        <v>22.544856868922064</v>
      </c>
      <c r="C832" s="33">
        <f t="shared" si="204"/>
        <v>1000</v>
      </c>
      <c r="D832" s="33">
        <f>'Battery Pricing Model'!$C$17</f>
        <v>1000</v>
      </c>
      <c r="E832" s="33">
        <f t="shared" si="205"/>
        <v>999</v>
      </c>
      <c r="F832" s="33" t="str">
        <f>'Peak Models'!$B$4</f>
        <v>Default</v>
      </c>
      <c r="G832" s="33" t="e">
        <f>'Peak Models'!$Q$7</f>
        <v>#VALUE!</v>
      </c>
      <c r="H832" s="33">
        <f>'Peak Models'!$P$16</f>
        <v>1.5</v>
      </c>
      <c r="I832" s="33">
        <v>12</v>
      </c>
      <c r="J832" s="33" t="e">
        <f>'Peak Models'!$P$13</f>
        <v>#N/A</v>
      </c>
      <c r="K832" s="28" t="e">
        <f t="shared" si="206"/>
        <v>#VALUE!</v>
      </c>
      <c r="L832" s="28" t="e">
        <f>INDEX('Peak Models'!$P$34:$P$64, MATCH(TRUNC(B832, 0), 'Peak Models'!$O$34:$O$64, 0))</f>
        <v>#N/A</v>
      </c>
      <c r="M832" s="28">
        <f>'Peak Models'!$P$15*INDEX('Peak Models'!$Q$34:$Q$64, MATCH(TRUNC(B832, 0),'Peak Models'!$O$34:$O$64, 0))/'Profit per cycles Model'!$E$78</f>
        <v>8.101512459200455</v>
      </c>
      <c r="N832" s="28" t="e">
        <f t="shared" si="207"/>
        <v>#N/A</v>
      </c>
      <c r="O832" s="71" t="e">
        <f>AVERAGE($N$10:N832)</f>
        <v>#N/A</v>
      </c>
      <c r="P832" s="28" t="e">
        <f t="shared" si="208"/>
        <v>#N/A</v>
      </c>
      <c r="R832" s="28" t="e">
        <f t="shared" si="209"/>
        <v>#VALUE!</v>
      </c>
      <c r="S832" s="25"/>
      <c r="T832" s="25">
        <f t="shared" si="210"/>
        <v>15</v>
      </c>
      <c r="U832" s="33">
        <f>IF(PaybackCustom&gt;0, IF(PaybackCustom&lt;&gt;"Default", PaybackCustom, IF(PaybackStatus&lt;&gt;"",INDEX('Arbitrage Payback Engine'!$Y$2:$Y$6,MATCH(PaybackStatus,'Arbitrage Payback Engine'!$X$2:$X$6,FALSE)),-1)))</f>
        <v>25</v>
      </c>
      <c r="V832" s="32">
        <f t="shared" si="219"/>
        <v>15</v>
      </c>
      <c r="X832" s="29">
        <f t="shared" si="220"/>
        <v>823</v>
      </c>
      <c r="Z832" s="30">
        <f t="shared" si="211"/>
        <v>22.544856868922064</v>
      </c>
      <c r="AA832" s="28" t="e">
        <f t="shared" si="212"/>
        <v>#N/A</v>
      </c>
      <c r="AB832" s="28" t="e">
        <f t="shared" si="213"/>
        <v>#VALUE!</v>
      </c>
      <c r="AC832" s="29">
        <f t="shared" si="214"/>
        <v>780.83491461100562</v>
      </c>
      <c r="AD832" s="28" t="e">
        <f t="shared" si="215"/>
        <v>#VALUE!</v>
      </c>
      <c r="AE832" s="28" t="e">
        <f t="shared" si="216"/>
        <v>#N/A</v>
      </c>
      <c r="AF832" s="28" t="e">
        <f t="shared" si="217"/>
        <v>#VALUE!</v>
      </c>
      <c r="AH832" s="31" t="e">
        <f t="shared" si="218"/>
        <v>#N/A</v>
      </c>
      <c r="AI832" s="25"/>
      <c r="AJ832" s="31"/>
    </row>
    <row r="833" spans="2:36" x14ac:dyDescent="0.25">
      <c r="B833" s="33">
        <f>'Arbitrage Payback Engine'!E833</f>
        <v>22.57225037666073</v>
      </c>
      <c r="C833" s="33">
        <f t="shared" si="204"/>
        <v>1000</v>
      </c>
      <c r="D833" s="33">
        <f>'Battery Pricing Model'!$C$17</f>
        <v>1000</v>
      </c>
      <c r="E833" s="33">
        <f t="shared" si="205"/>
        <v>999</v>
      </c>
      <c r="F833" s="33" t="str">
        <f>'Peak Models'!$B$4</f>
        <v>Default</v>
      </c>
      <c r="G833" s="33" t="e">
        <f>'Peak Models'!$Q$7</f>
        <v>#VALUE!</v>
      </c>
      <c r="H833" s="33">
        <f>'Peak Models'!$P$16</f>
        <v>1.5</v>
      </c>
      <c r="I833" s="33">
        <v>12</v>
      </c>
      <c r="J833" s="33" t="e">
        <f>'Peak Models'!$P$13</f>
        <v>#N/A</v>
      </c>
      <c r="K833" s="28" t="e">
        <f t="shared" si="206"/>
        <v>#VALUE!</v>
      </c>
      <c r="L833" s="28" t="e">
        <f>INDEX('Peak Models'!$P$34:$P$64, MATCH(TRUNC(B833, 0), 'Peak Models'!$O$34:$O$64, 0))</f>
        <v>#N/A</v>
      </c>
      <c r="M833" s="28">
        <f>'Peak Models'!$P$15*INDEX('Peak Models'!$Q$34:$Q$64, MATCH(TRUNC(B833, 0),'Peak Models'!$O$34:$O$64, 0))/'Profit per cycles Model'!$E$78</f>
        <v>8.101512459200455</v>
      </c>
      <c r="N833" s="28" t="e">
        <f t="shared" si="207"/>
        <v>#N/A</v>
      </c>
      <c r="O833" s="71" t="e">
        <f>AVERAGE($N$10:N833)</f>
        <v>#N/A</v>
      </c>
      <c r="P833" s="28" t="e">
        <f t="shared" si="208"/>
        <v>#N/A</v>
      </c>
      <c r="R833" s="28" t="e">
        <f t="shared" si="209"/>
        <v>#VALUE!</v>
      </c>
      <c r="S833" s="25"/>
      <c r="T833" s="25">
        <f t="shared" si="210"/>
        <v>15</v>
      </c>
      <c r="U833" s="33">
        <f>IF(PaybackCustom&gt;0, IF(PaybackCustom&lt;&gt;"Default", PaybackCustom, IF(PaybackStatus&lt;&gt;"",INDEX('Arbitrage Payback Engine'!$Y$2:$Y$6,MATCH(PaybackStatus,'Arbitrage Payback Engine'!$X$2:$X$6,FALSE)),-1)))</f>
        <v>25</v>
      </c>
      <c r="V833" s="32">
        <f t="shared" si="219"/>
        <v>15</v>
      </c>
      <c r="X833" s="29">
        <f t="shared" si="220"/>
        <v>824</v>
      </c>
      <c r="Z833" s="30">
        <f t="shared" si="211"/>
        <v>22.57225037666073</v>
      </c>
      <c r="AA833" s="28" t="e">
        <f t="shared" si="212"/>
        <v>#N/A</v>
      </c>
      <c r="AB833" s="28" t="e">
        <f t="shared" si="213"/>
        <v>#VALUE!</v>
      </c>
      <c r="AC833" s="29">
        <f t="shared" si="214"/>
        <v>781.78368121442122</v>
      </c>
      <c r="AD833" s="28" t="e">
        <f t="shared" si="215"/>
        <v>#VALUE!</v>
      </c>
      <c r="AE833" s="28" t="e">
        <f t="shared" si="216"/>
        <v>#N/A</v>
      </c>
      <c r="AF833" s="28" t="e">
        <f t="shared" si="217"/>
        <v>#VALUE!</v>
      </c>
      <c r="AH833" s="31" t="e">
        <f t="shared" si="218"/>
        <v>#N/A</v>
      </c>
      <c r="AI833" s="25"/>
      <c r="AJ833" s="31"/>
    </row>
    <row r="834" spans="2:36" x14ac:dyDescent="0.25">
      <c r="B834" s="33">
        <f>'Arbitrage Payback Engine'!E834</f>
        <v>22.599643884399395</v>
      </c>
      <c r="C834" s="33">
        <f t="shared" si="204"/>
        <v>1000</v>
      </c>
      <c r="D834" s="33">
        <f>'Battery Pricing Model'!$C$17</f>
        <v>1000</v>
      </c>
      <c r="E834" s="33">
        <f t="shared" si="205"/>
        <v>999</v>
      </c>
      <c r="F834" s="33" t="str">
        <f>'Peak Models'!$B$4</f>
        <v>Default</v>
      </c>
      <c r="G834" s="33" t="e">
        <f>'Peak Models'!$Q$7</f>
        <v>#VALUE!</v>
      </c>
      <c r="H834" s="33">
        <f>'Peak Models'!$P$16</f>
        <v>1.5</v>
      </c>
      <c r="I834" s="33">
        <v>12</v>
      </c>
      <c r="J834" s="33" t="e">
        <f>'Peak Models'!$P$13</f>
        <v>#N/A</v>
      </c>
      <c r="K834" s="28" t="e">
        <f t="shared" si="206"/>
        <v>#VALUE!</v>
      </c>
      <c r="L834" s="28" t="e">
        <f>INDEX('Peak Models'!$P$34:$P$64, MATCH(TRUNC(B834, 0), 'Peak Models'!$O$34:$O$64, 0))</f>
        <v>#N/A</v>
      </c>
      <c r="M834" s="28">
        <f>'Peak Models'!$P$15*INDEX('Peak Models'!$Q$34:$Q$64, MATCH(TRUNC(B834, 0),'Peak Models'!$O$34:$O$64, 0))/'Profit per cycles Model'!$E$78</f>
        <v>8.101512459200455</v>
      </c>
      <c r="N834" s="28" t="e">
        <f t="shared" si="207"/>
        <v>#N/A</v>
      </c>
      <c r="O834" s="71" t="e">
        <f>AVERAGE($N$10:N834)</f>
        <v>#N/A</v>
      </c>
      <c r="P834" s="28" t="e">
        <f t="shared" si="208"/>
        <v>#N/A</v>
      </c>
      <c r="R834" s="28" t="e">
        <f t="shared" si="209"/>
        <v>#VALUE!</v>
      </c>
      <c r="S834" s="25"/>
      <c r="T834" s="25">
        <f t="shared" si="210"/>
        <v>15</v>
      </c>
      <c r="U834" s="33">
        <f>IF(PaybackCustom&gt;0, IF(PaybackCustom&lt;&gt;"Default", PaybackCustom, IF(PaybackStatus&lt;&gt;"",INDEX('Arbitrage Payback Engine'!$Y$2:$Y$6,MATCH(PaybackStatus,'Arbitrage Payback Engine'!$X$2:$X$6,FALSE)),-1)))</f>
        <v>25</v>
      </c>
      <c r="V834" s="32">
        <f t="shared" si="219"/>
        <v>15</v>
      </c>
      <c r="X834" s="29">
        <f t="shared" si="220"/>
        <v>825</v>
      </c>
      <c r="Z834" s="30">
        <f t="shared" si="211"/>
        <v>22.599643884399395</v>
      </c>
      <c r="AA834" s="28" t="e">
        <f t="shared" si="212"/>
        <v>#N/A</v>
      </c>
      <c r="AB834" s="28" t="e">
        <f t="shared" si="213"/>
        <v>#VALUE!</v>
      </c>
      <c r="AC834" s="29">
        <f t="shared" si="214"/>
        <v>782.73244781783683</v>
      </c>
      <c r="AD834" s="28" t="e">
        <f t="shared" si="215"/>
        <v>#VALUE!</v>
      </c>
      <c r="AE834" s="28" t="e">
        <f t="shared" si="216"/>
        <v>#N/A</v>
      </c>
      <c r="AF834" s="28" t="e">
        <f t="shared" si="217"/>
        <v>#VALUE!</v>
      </c>
      <c r="AH834" s="31" t="e">
        <f t="shared" si="218"/>
        <v>#N/A</v>
      </c>
      <c r="AI834" s="25"/>
      <c r="AJ834" s="31"/>
    </row>
    <row r="835" spans="2:36" x14ac:dyDescent="0.25">
      <c r="B835" s="33">
        <f>'Arbitrage Payback Engine'!E835</f>
        <v>22.627037392138064</v>
      </c>
      <c r="C835" s="33">
        <f t="shared" si="204"/>
        <v>1000</v>
      </c>
      <c r="D835" s="33">
        <f>'Battery Pricing Model'!$C$17</f>
        <v>1000</v>
      </c>
      <c r="E835" s="33">
        <f t="shared" si="205"/>
        <v>999</v>
      </c>
      <c r="F835" s="33" t="str">
        <f>'Peak Models'!$B$4</f>
        <v>Default</v>
      </c>
      <c r="G835" s="33" t="e">
        <f>'Peak Models'!$Q$7</f>
        <v>#VALUE!</v>
      </c>
      <c r="H835" s="33">
        <f>'Peak Models'!$P$16</f>
        <v>1.5</v>
      </c>
      <c r="I835" s="33">
        <v>12</v>
      </c>
      <c r="J835" s="33" t="e">
        <f>'Peak Models'!$P$13</f>
        <v>#N/A</v>
      </c>
      <c r="K835" s="28" t="e">
        <f t="shared" si="206"/>
        <v>#VALUE!</v>
      </c>
      <c r="L835" s="28" t="e">
        <f>INDEX('Peak Models'!$P$34:$P$64, MATCH(TRUNC(B835, 0), 'Peak Models'!$O$34:$O$64, 0))</f>
        <v>#N/A</v>
      </c>
      <c r="M835" s="28">
        <f>'Peak Models'!$P$15*INDEX('Peak Models'!$Q$34:$Q$64, MATCH(TRUNC(B835, 0),'Peak Models'!$O$34:$O$64, 0))/'Profit per cycles Model'!$E$78</f>
        <v>8.101512459200455</v>
      </c>
      <c r="N835" s="28" t="e">
        <f t="shared" si="207"/>
        <v>#N/A</v>
      </c>
      <c r="O835" s="71" t="e">
        <f>AVERAGE($N$10:N835)</f>
        <v>#N/A</v>
      </c>
      <c r="P835" s="28" t="e">
        <f t="shared" si="208"/>
        <v>#N/A</v>
      </c>
      <c r="R835" s="28" t="e">
        <f t="shared" si="209"/>
        <v>#VALUE!</v>
      </c>
      <c r="S835" s="25"/>
      <c r="T835" s="25">
        <f t="shared" si="210"/>
        <v>15</v>
      </c>
      <c r="U835" s="33">
        <f>IF(PaybackCustom&gt;0, IF(PaybackCustom&lt;&gt;"Default", PaybackCustom, IF(PaybackStatus&lt;&gt;"",INDEX('Arbitrage Payback Engine'!$Y$2:$Y$6,MATCH(PaybackStatus,'Arbitrage Payback Engine'!$X$2:$X$6,FALSE)),-1)))</f>
        <v>25</v>
      </c>
      <c r="V835" s="32">
        <f t="shared" si="219"/>
        <v>15</v>
      </c>
      <c r="X835" s="29">
        <f t="shared" si="220"/>
        <v>826</v>
      </c>
      <c r="Z835" s="30">
        <f t="shared" si="211"/>
        <v>22.627037392138064</v>
      </c>
      <c r="AA835" s="28" t="e">
        <f t="shared" si="212"/>
        <v>#N/A</v>
      </c>
      <c r="AB835" s="28" t="e">
        <f t="shared" si="213"/>
        <v>#VALUE!</v>
      </c>
      <c r="AC835" s="29">
        <f t="shared" si="214"/>
        <v>783.68121442125243</v>
      </c>
      <c r="AD835" s="28" t="e">
        <f t="shared" si="215"/>
        <v>#VALUE!</v>
      </c>
      <c r="AE835" s="28" t="e">
        <f t="shared" si="216"/>
        <v>#N/A</v>
      </c>
      <c r="AF835" s="28" t="e">
        <f t="shared" si="217"/>
        <v>#VALUE!</v>
      </c>
      <c r="AH835" s="31" t="e">
        <f t="shared" si="218"/>
        <v>#N/A</v>
      </c>
      <c r="AI835" s="25"/>
      <c r="AJ835" s="31"/>
    </row>
    <row r="836" spans="2:36" x14ac:dyDescent="0.25">
      <c r="B836" s="33">
        <f>'Arbitrage Payback Engine'!E836</f>
        <v>22.654430899876729</v>
      </c>
      <c r="C836" s="33">
        <f t="shared" si="204"/>
        <v>1000</v>
      </c>
      <c r="D836" s="33">
        <f>'Battery Pricing Model'!$C$17</f>
        <v>1000</v>
      </c>
      <c r="E836" s="33">
        <f t="shared" si="205"/>
        <v>999</v>
      </c>
      <c r="F836" s="33" t="str">
        <f>'Peak Models'!$B$4</f>
        <v>Default</v>
      </c>
      <c r="G836" s="33" t="e">
        <f>'Peak Models'!$Q$7</f>
        <v>#VALUE!</v>
      </c>
      <c r="H836" s="33">
        <f>'Peak Models'!$P$16</f>
        <v>1.5</v>
      </c>
      <c r="I836" s="33">
        <v>12</v>
      </c>
      <c r="J836" s="33" t="e">
        <f>'Peak Models'!$P$13</f>
        <v>#N/A</v>
      </c>
      <c r="K836" s="28" t="e">
        <f t="shared" si="206"/>
        <v>#VALUE!</v>
      </c>
      <c r="L836" s="28" t="e">
        <f>INDEX('Peak Models'!$P$34:$P$64, MATCH(TRUNC(B836, 0), 'Peak Models'!$O$34:$O$64, 0))</f>
        <v>#N/A</v>
      </c>
      <c r="M836" s="28">
        <f>'Peak Models'!$P$15*INDEX('Peak Models'!$Q$34:$Q$64, MATCH(TRUNC(B836, 0),'Peak Models'!$O$34:$O$64, 0))/'Profit per cycles Model'!$E$78</f>
        <v>8.101512459200455</v>
      </c>
      <c r="N836" s="28" t="e">
        <f t="shared" si="207"/>
        <v>#N/A</v>
      </c>
      <c r="O836" s="71" t="e">
        <f>AVERAGE($N$10:N836)</f>
        <v>#N/A</v>
      </c>
      <c r="P836" s="28" t="e">
        <f t="shared" si="208"/>
        <v>#N/A</v>
      </c>
      <c r="R836" s="28" t="e">
        <f t="shared" si="209"/>
        <v>#VALUE!</v>
      </c>
      <c r="S836" s="25"/>
      <c r="T836" s="25">
        <f t="shared" si="210"/>
        <v>15</v>
      </c>
      <c r="U836" s="33">
        <f>IF(PaybackCustom&gt;0, IF(PaybackCustom&lt;&gt;"Default", PaybackCustom, IF(PaybackStatus&lt;&gt;"",INDEX('Arbitrage Payback Engine'!$Y$2:$Y$6,MATCH(PaybackStatus,'Arbitrage Payback Engine'!$X$2:$X$6,FALSE)),-1)))</f>
        <v>25</v>
      </c>
      <c r="V836" s="32">
        <f t="shared" si="219"/>
        <v>15</v>
      </c>
      <c r="X836" s="29">
        <f t="shared" si="220"/>
        <v>827</v>
      </c>
      <c r="Z836" s="30">
        <f t="shared" si="211"/>
        <v>22.654430899876729</v>
      </c>
      <c r="AA836" s="28" t="e">
        <f t="shared" si="212"/>
        <v>#N/A</v>
      </c>
      <c r="AB836" s="28" t="e">
        <f t="shared" si="213"/>
        <v>#VALUE!</v>
      </c>
      <c r="AC836" s="29">
        <f t="shared" si="214"/>
        <v>784.62998102466804</v>
      </c>
      <c r="AD836" s="28" t="e">
        <f t="shared" si="215"/>
        <v>#VALUE!</v>
      </c>
      <c r="AE836" s="28" t="e">
        <f t="shared" si="216"/>
        <v>#N/A</v>
      </c>
      <c r="AF836" s="28" t="e">
        <f t="shared" si="217"/>
        <v>#VALUE!</v>
      </c>
      <c r="AH836" s="31" t="e">
        <f t="shared" si="218"/>
        <v>#N/A</v>
      </c>
      <c r="AI836" s="25"/>
      <c r="AJ836" s="31"/>
    </row>
    <row r="837" spans="2:36" x14ac:dyDescent="0.25">
      <c r="B837" s="33">
        <f>'Arbitrage Payback Engine'!E837</f>
        <v>22.681824407615395</v>
      </c>
      <c r="C837" s="33">
        <f t="shared" si="204"/>
        <v>1000</v>
      </c>
      <c r="D837" s="33">
        <f>'Battery Pricing Model'!$C$17</f>
        <v>1000</v>
      </c>
      <c r="E837" s="33">
        <f t="shared" si="205"/>
        <v>999</v>
      </c>
      <c r="F837" s="33" t="str">
        <f>'Peak Models'!$B$4</f>
        <v>Default</v>
      </c>
      <c r="G837" s="33" t="e">
        <f>'Peak Models'!$Q$7</f>
        <v>#VALUE!</v>
      </c>
      <c r="H837" s="33">
        <f>'Peak Models'!$P$16</f>
        <v>1.5</v>
      </c>
      <c r="I837" s="33">
        <v>12</v>
      </c>
      <c r="J837" s="33" t="e">
        <f>'Peak Models'!$P$13</f>
        <v>#N/A</v>
      </c>
      <c r="K837" s="28" t="e">
        <f t="shared" si="206"/>
        <v>#VALUE!</v>
      </c>
      <c r="L837" s="28" t="e">
        <f>INDEX('Peak Models'!$P$34:$P$64, MATCH(TRUNC(B837, 0), 'Peak Models'!$O$34:$O$64, 0))</f>
        <v>#N/A</v>
      </c>
      <c r="M837" s="28">
        <f>'Peak Models'!$P$15*INDEX('Peak Models'!$Q$34:$Q$64, MATCH(TRUNC(B837, 0),'Peak Models'!$O$34:$O$64, 0))/'Profit per cycles Model'!$E$78</f>
        <v>8.101512459200455</v>
      </c>
      <c r="N837" s="28" t="e">
        <f t="shared" si="207"/>
        <v>#N/A</v>
      </c>
      <c r="O837" s="71" t="e">
        <f>AVERAGE($N$10:N837)</f>
        <v>#N/A</v>
      </c>
      <c r="P837" s="28" t="e">
        <f t="shared" si="208"/>
        <v>#N/A</v>
      </c>
      <c r="R837" s="28" t="e">
        <f t="shared" si="209"/>
        <v>#VALUE!</v>
      </c>
      <c r="S837" s="25"/>
      <c r="T837" s="25">
        <f t="shared" si="210"/>
        <v>15</v>
      </c>
      <c r="U837" s="33">
        <f>IF(PaybackCustom&gt;0, IF(PaybackCustom&lt;&gt;"Default", PaybackCustom, IF(PaybackStatus&lt;&gt;"",INDEX('Arbitrage Payback Engine'!$Y$2:$Y$6,MATCH(PaybackStatus,'Arbitrage Payback Engine'!$X$2:$X$6,FALSE)),-1)))</f>
        <v>25</v>
      </c>
      <c r="V837" s="32">
        <f t="shared" si="219"/>
        <v>15</v>
      </c>
      <c r="X837" s="29">
        <f t="shared" si="220"/>
        <v>828</v>
      </c>
      <c r="Z837" s="30">
        <f t="shared" si="211"/>
        <v>22.681824407615395</v>
      </c>
      <c r="AA837" s="28" t="e">
        <f t="shared" si="212"/>
        <v>#N/A</v>
      </c>
      <c r="AB837" s="28" t="e">
        <f t="shared" si="213"/>
        <v>#VALUE!</v>
      </c>
      <c r="AC837" s="29">
        <f t="shared" si="214"/>
        <v>785.57874762808342</v>
      </c>
      <c r="AD837" s="28" t="e">
        <f t="shared" si="215"/>
        <v>#VALUE!</v>
      </c>
      <c r="AE837" s="28" t="e">
        <f t="shared" si="216"/>
        <v>#N/A</v>
      </c>
      <c r="AF837" s="28" t="e">
        <f t="shared" si="217"/>
        <v>#VALUE!</v>
      </c>
      <c r="AH837" s="31" t="e">
        <f t="shared" si="218"/>
        <v>#N/A</v>
      </c>
      <c r="AI837" s="25"/>
      <c r="AJ837" s="31"/>
    </row>
    <row r="838" spans="2:36" x14ac:dyDescent="0.25">
      <c r="B838" s="33">
        <f>'Arbitrage Payback Engine'!E838</f>
        <v>22.70921791535406</v>
      </c>
      <c r="C838" s="33">
        <f t="shared" si="204"/>
        <v>1000</v>
      </c>
      <c r="D838" s="33">
        <f>'Battery Pricing Model'!$C$17</f>
        <v>1000</v>
      </c>
      <c r="E838" s="33">
        <f t="shared" si="205"/>
        <v>999</v>
      </c>
      <c r="F838" s="33" t="str">
        <f>'Peak Models'!$B$4</f>
        <v>Default</v>
      </c>
      <c r="G838" s="33" t="e">
        <f>'Peak Models'!$Q$7</f>
        <v>#VALUE!</v>
      </c>
      <c r="H838" s="33">
        <f>'Peak Models'!$P$16</f>
        <v>1.5</v>
      </c>
      <c r="I838" s="33">
        <v>12</v>
      </c>
      <c r="J838" s="33" t="e">
        <f>'Peak Models'!$P$13</f>
        <v>#N/A</v>
      </c>
      <c r="K838" s="28" t="e">
        <f t="shared" si="206"/>
        <v>#VALUE!</v>
      </c>
      <c r="L838" s="28" t="e">
        <f>INDEX('Peak Models'!$P$34:$P$64, MATCH(TRUNC(B838, 0), 'Peak Models'!$O$34:$O$64, 0))</f>
        <v>#N/A</v>
      </c>
      <c r="M838" s="28">
        <f>'Peak Models'!$P$15*INDEX('Peak Models'!$Q$34:$Q$64, MATCH(TRUNC(B838, 0),'Peak Models'!$O$34:$O$64, 0))/'Profit per cycles Model'!$E$78</f>
        <v>8.101512459200455</v>
      </c>
      <c r="N838" s="28" t="e">
        <f t="shared" si="207"/>
        <v>#N/A</v>
      </c>
      <c r="O838" s="71" t="e">
        <f>AVERAGE($N$10:N838)</f>
        <v>#N/A</v>
      </c>
      <c r="P838" s="28" t="e">
        <f t="shared" si="208"/>
        <v>#N/A</v>
      </c>
      <c r="R838" s="28" t="e">
        <f t="shared" si="209"/>
        <v>#VALUE!</v>
      </c>
      <c r="S838" s="25"/>
      <c r="T838" s="25">
        <f t="shared" si="210"/>
        <v>15</v>
      </c>
      <c r="U838" s="33">
        <f>IF(PaybackCustom&gt;0, IF(PaybackCustom&lt;&gt;"Default", PaybackCustom, IF(PaybackStatus&lt;&gt;"",INDEX('Arbitrage Payback Engine'!$Y$2:$Y$6,MATCH(PaybackStatus,'Arbitrage Payback Engine'!$X$2:$X$6,FALSE)),-1)))</f>
        <v>25</v>
      </c>
      <c r="V838" s="32">
        <f t="shared" si="219"/>
        <v>15</v>
      </c>
      <c r="X838" s="29">
        <f t="shared" si="220"/>
        <v>829</v>
      </c>
      <c r="Z838" s="30">
        <f t="shared" si="211"/>
        <v>22.70921791535406</v>
      </c>
      <c r="AA838" s="28" t="e">
        <f t="shared" si="212"/>
        <v>#N/A</v>
      </c>
      <c r="AB838" s="28" t="e">
        <f t="shared" si="213"/>
        <v>#VALUE!</v>
      </c>
      <c r="AC838" s="29">
        <f t="shared" si="214"/>
        <v>786.52751423149903</v>
      </c>
      <c r="AD838" s="28" t="e">
        <f t="shared" si="215"/>
        <v>#VALUE!</v>
      </c>
      <c r="AE838" s="28" t="e">
        <f t="shared" si="216"/>
        <v>#N/A</v>
      </c>
      <c r="AF838" s="28" t="e">
        <f t="shared" si="217"/>
        <v>#VALUE!</v>
      </c>
      <c r="AH838" s="31" t="e">
        <f t="shared" si="218"/>
        <v>#N/A</v>
      </c>
      <c r="AI838" s="25"/>
      <c r="AJ838" s="31"/>
    </row>
    <row r="839" spans="2:36" x14ac:dyDescent="0.25">
      <c r="B839" s="33">
        <f>'Arbitrage Payback Engine'!E839</f>
        <v>22.736611423092725</v>
      </c>
      <c r="C839" s="33">
        <f t="shared" si="204"/>
        <v>1000</v>
      </c>
      <c r="D839" s="33">
        <f>'Battery Pricing Model'!$C$17</f>
        <v>1000</v>
      </c>
      <c r="E839" s="33">
        <f t="shared" si="205"/>
        <v>999</v>
      </c>
      <c r="F839" s="33" t="str">
        <f>'Peak Models'!$B$4</f>
        <v>Default</v>
      </c>
      <c r="G839" s="33" t="e">
        <f>'Peak Models'!$Q$7</f>
        <v>#VALUE!</v>
      </c>
      <c r="H839" s="33">
        <f>'Peak Models'!$P$16</f>
        <v>1.5</v>
      </c>
      <c r="I839" s="33">
        <v>12</v>
      </c>
      <c r="J839" s="33" t="e">
        <f>'Peak Models'!$P$13</f>
        <v>#N/A</v>
      </c>
      <c r="K839" s="28" t="e">
        <f t="shared" si="206"/>
        <v>#VALUE!</v>
      </c>
      <c r="L839" s="28" t="e">
        <f>INDEX('Peak Models'!$P$34:$P$64, MATCH(TRUNC(B839, 0), 'Peak Models'!$O$34:$O$64, 0))</f>
        <v>#N/A</v>
      </c>
      <c r="M839" s="28">
        <f>'Peak Models'!$P$15*INDEX('Peak Models'!$Q$34:$Q$64, MATCH(TRUNC(B839, 0),'Peak Models'!$O$34:$O$64, 0))/'Profit per cycles Model'!$E$78</f>
        <v>8.101512459200455</v>
      </c>
      <c r="N839" s="28" t="e">
        <f t="shared" si="207"/>
        <v>#N/A</v>
      </c>
      <c r="O839" s="71" t="e">
        <f>AVERAGE($N$10:N839)</f>
        <v>#N/A</v>
      </c>
      <c r="P839" s="28" t="e">
        <f t="shared" si="208"/>
        <v>#N/A</v>
      </c>
      <c r="R839" s="28" t="e">
        <f t="shared" si="209"/>
        <v>#VALUE!</v>
      </c>
      <c r="S839" s="25"/>
      <c r="T839" s="25">
        <f t="shared" si="210"/>
        <v>15</v>
      </c>
      <c r="U839" s="33">
        <f>IF(PaybackCustom&gt;0, IF(PaybackCustom&lt;&gt;"Default", PaybackCustom, IF(PaybackStatus&lt;&gt;"",INDEX('Arbitrage Payback Engine'!$Y$2:$Y$6,MATCH(PaybackStatus,'Arbitrage Payback Engine'!$X$2:$X$6,FALSE)),-1)))</f>
        <v>25</v>
      </c>
      <c r="V839" s="32">
        <f t="shared" si="219"/>
        <v>15</v>
      </c>
      <c r="X839" s="29">
        <f t="shared" si="220"/>
        <v>830</v>
      </c>
      <c r="Z839" s="30">
        <f t="shared" si="211"/>
        <v>22.736611423092725</v>
      </c>
      <c r="AA839" s="28" t="e">
        <f t="shared" si="212"/>
        <v>#N/A</v>
      </c>
      <c r="AB839" s="28" t="e">
        <f t="shared" si="213"/>
        <v>#VALUE!</v>
      </c>
      <c r="AC839" s="29">
        <f t="shared" si="214"/>
        <v>787.47628083491463</v>
      </c>
      <c r="AD839" s="28" t="e">
        <f t="shared" si="215"/>
        <v>#VALUE!</v>
      </c>
      <c r="AE839" s="28" t="e">
        <f t="shared" si="216"/>
        <v>#N/A</v>
      </c>
      <c r="AF839" s="28" t="e">
        <f t="shared" si="217"/>
        <v>#VALUE!</v>
      </c>
      <c r="AH839" s="31" t="e">
        <f t="shared" si="218"/>
        <v>#N/A</v>
      </c>
      <c r="AI839" s="25"/>
      <c r="AJ839" s="31"/>
    </row>
    <row r="840" spans="2:36" x14ac:dyDescent="0.25">
      <c r="B840" s="33">
        <f>'Arbitrage Payback Engine'!E840</f>
        <v>22.764004930831391</v>
      </c>
      <c r="C840" s="33">
        <f t="shared" si="204"/>
        <v>1000</v>
      </c>
      <c r="D840" s="33">
        <f>'Battery Pricing Model'!$C$17</f>
        <v>1000</v>
      </c>
      <c r="E840" s="33">
        <f t="shared" si="205"/>
        <v>999</v>
      </c>
      <c r="F840" s="33" t="str">
        <f>'Peak Models'!$B$4</f>
        <v>Default</v>
      </c>
      <c r="G840" s="33" t="e">
        <f>'Peak Models'!$Q$7</f>
        <v>#VALUE!</v>
      </c>
      <c r="H840" s="33">
        <f>'Peak Models'!$P$16</f>
        <v>1.5</v>
      </c>
      <c r="I840" s="33">
        <v>12</v>
      </c>
      <c r="J840" s="33" t="e">
        <f>'Peak Models'!$P$13</f>
        <v>#N/A</v>
      </c>
      <c r="K840" s="28" t="e">
        <f t="shared" si="206"/>
        <v>#VALUE!</v>
      </c>
      <c r="L840" s="28" t="e">
        <f>INDEX('Peak Models'!$P$34:$P$64, MATCH(TRUNC(B840, 0), 'Peak Models'!$O$34:$O$64, 0))</f>
        <v>#N/A</v>
      </c>
      <c r="M840" s="28">
        <f>'Peak Models'!$P$15*INDEX('Peak Models'!$Q$34:$Q$64, MATCH(TRUNC(B840, 0),'Peak Models'!$O$34:$O$64, 0))/'Profit per cycles Model'!$E$78</f>
        <v>8.101512459200455</v>
      </c>
      <c r="N840" s="28" t="e">
        <f t="shared" si="207"/>
        <v>#N/A</v>
      </c>
      <c r="O840" s="71" t="e">
        <f>AVERAGE($N$10:N840)</f>
        <v>#N/A</v>
      </c>
      <c r="P840" s="28" t="e">
        <f t="shared" si="208"/>
        <v>#N/A</v>
      </c>
      <c r="R840" s="28" t="e">
        <f t="shared" si="209"/>
        <v>#VALUE!</v>
      </c>
      <c r="S840" s="25"/>
      <c r="T840" s="25">
        <f t="shared" si="210"/>
        <v>15</v>
      </c>
      <c r="U840" s="33">
        <f>IF(PaybackCustom&gt;0, IF(PaybackCustom&lt;&gt;"Default", PaybackCustom, IF(PaybackStatus&lt;&gt;"",INDEX('Arbitrage Payback Engine'!$Y$2:$Y$6,MATCH(PaybackStatus,'Arbitrage Payback Engine'!$X$2:$X$6,FALSE)),-1)))</f>
        <v>25</v>
      </c>
      <c r="V840" s="32">
        <f t="shared" si="219"/>
        <v>15</v>
      </c>
      <c r="X840" s="29">
        <f t="shared" si="220"/>
        <v>831</v>
      </c>
      <c r="Z840" s="30">
        <f t="shared" si="211"/>
        <v>22.764004930831391</v>
      </c>
      <c r="AA840" s="28" t="e">
        <f t="shared" si="212"/>
        <v>#N/A</v>
      </c>
      <c r="AB840" s="28" t="e">
        <f t="shared" si="213"/>
        <v>#VALUE!</v>
      </c>
      <c r="AC840" s="29">
        <f t="shared" si="214"/>
        <v>788.42504743833013</v>
      </c>
      <c r="AD840" s="28" t="e">
        <f t="shared" si="215"/>
        <v>#VALUE!</v>
      </c>
      <c r="AE840" s="28" t="e">
        <f t="shared" si="216"/>
        <v>#N/A</v>
      </c>
      <c r="AF840" s="28" t="e">
        <f t="shared" si="217"/>
        <v>#VALUE!</v>
      </c>
      <c r="AH840" s="31" t="e">
        <f t="shared" si="218"/>
        <v>#N/A</v>
      </c>
      <c r="AI840" s="25"/>
      <c r="AJ840" s="31"/>
    </row>
    <row r="841" spans="2:36" x14ac:dyDescent="0.25">
      <c r="B841" s="33">
        <f>'Arbitrage Payback Engine'!E841</f>
        <v>22.791398438570059</v>
      </c>
      <c r="C841" s="33">
        <f t="shared" si="204"/>
        <v>1000</v>
      </c>
      <c r="D841" s="33">
        <f>'Battery Pricing Model'!$C$17</f>
        <v>1000</v>
      </c>
      <c r="E841" s="33">
        <f t="shared" si="205"/>
        <v>999</v>
      </c>
      <c r="F841" s="33" t="str">
        <f>'Peak Models'!$B$4</f>
        <v>Default</v>
      </c>
      <c r="G841" s="33" t="e">
        <f>'Peak Models'!$Q$7</f>
        <v>#VALUE!</v>
      </c>
      <c r="H841" s="33">
        <f>'Peak Models'!$P$16</f>
        <v>1.5</v>
      </c>
      <c r="I841" s="33">
        <v>12</v>
      </c>
      <c r="J841" s="33" t="e">
        <f>'Peak Models'!$P$13</f>
        <v>#N/A</v>
      </c>
      <c r="K841" s="28" t="e">
        <f t="shared" si="206"/>
        <v>#VALUE!</v>
      </c>
      <c r="L841" s="28" t="e">
        <f>INDEX('Peak Models'!$P$34:$P$64, MATCH(TRUNC(B841, 0), 'Peak Models'!$O$34:$O$64, 0))</f>
        <v>#N/A</v>
      </c>
      <c r="M841" s="28">
        <f>'Peak Models'!$P$15*INDEX('Peak Models'!$Q$34:$Q$64, MATCH(TRUNC(B841, 0),'Peak Models'!$O$34:$O$64, 0))/'Profit per cycles Model'!$E$78</f>
        <v>8.101512459200455</v>
      </c>
      <c r="N841" s="28" t="e">
        <f t="shared" si="207"/>
        <v>#N/A</v>
      </c>
      <c r="O841" s="71" t="e">
        <f>AVERAGE($N$10:N841)</f>
        <v>#N/A</v>
      </c>
      <c r="P841" s="28" t="e">
        <f t="shared" si="208"/>
        <v>#N/A</v>
      </c>
      <c r="R841" s="28" t="e">
        <f t="shared" si="209"/>
        <v>#VALUE!</v>
      </c>
      <c r="S841" s="25"/>
      <c r="T841" s="25">
        <f t="shared" si="210"/>
        <v>15</v>
      </c>
      <c r="U841" s="33">
        <f>IF(PaybackCustom&gt;0, IF(PaybackCustom&lt;&gt;"Default", PaybackCustom, IF(PaybackStatus&lt;&gt;"",INDEX('Arbitrage Payback Engine'!$Y$2:$Y$6,MATCH(PaybackStatus,'Arbitrage Payback Engine'!$X$2:$X$6,FALSE)),-1)))</f>
        <v>25</v>
      </c>
      <c r="V841" s="32">
        <f t="shared" si="219"/>
        <v>15</v>
      </c>
      <c r="X841" s="29">
        <f t="shared" si="220"/>
        <v>832</v>
      </c>
      <c r="Z841" s="30">
        <f t="shared" si="211"/>
        <v>22.791398438570059</v>
      </c>
      <c r="AA841" s="28" t="e">
        <f t="shared" si="212"/>
        <v>#N/A</v>
      </c>
      <c r="AB841" s="28" t="e">
        <f t="shared" si="213"/>
        <v>#VALUE!</v>
      </c>
      <c r="AC841" s="29">
        <f t="shared" si="214"/>
        <v>789.37381404174585</v>
      </c>
      <c r="AD841" s="28" t="e">
        <f t="shared" si="215"/>
        <v>#VALUE!</v>
      </c>
      <c r="AE841" s="28" t="e">
        <f t="shared" si="216"/>
        <v>#N/A</v>
      </c>
      <c r="AF841" s="28" t="e">
        <f t="shared" si="217"/>
        <v>#VALUE!</v>
      </c>
      <c r="AH841" s="31" t="e">
        <f t="shared" si="218"/>
        <v>#N/A</v>
      </c>
      <c r="AI841" s="25"/>
      <c r="AJ841" s="31"/>
    </row>
    <row r="842" spans="2:36" x14ac:dyDescent="0.25">
      <c r="B842" s="33">
        <f>'Arbitrage Payback Engine'!E842</f>
        <v>22.818791946308725</v>
      </c>
      <c r="C842" s="33">
        <f t="shared" ref="C842:C905" si="221">IF(OR($E$6="None", $E$6=0), D842, E842)</f>
        <v>1000</v>
      </c>
      <c r="D842" s="33">
        <f>'Battery Pricing Model'!$C$17</f>
        <v>1000</v>
      </c>
      <c r="E842" s="33">
        <f t="shared" ref="E842:E905" si="222">IF(OR($E$6="None", $E$6=0), 999, $D842*(E$6))</f>
        <v>999</v>
      </c>
      <c r="F842" s="33" t="str">
        <f>'Peak Models'!$B$4</f>
        <v>Default</v>
      </c>
      <c r="G842" s="33" t="e">
        <f>'Peak Models'!$Q$7</f>
        <v>#VALUE!</v>
      </c>
      <c r="H842" s="33">
        <f>'Peak Models'!$P$16</f>
        <v>1.5</v>
      </c>
      <c r="I842" s="33">
        <v>12</v>
      </c>
      <c r="J842" s="33" t="e">
        <f>'Peak Models'!$P$13</f>
        <v>#N/A</v>
      </c>
      <c r="K842" s="28" t="e">
        <f t="shared" ref="K842:K905" si="223">C842*G842/(H842*B842)</f>
        <v>#VALUE!</v>
      </c>
      <c r="L842" s="28" t="e">
        <f>INDEX('Peak Models'!$P$34:$P$64, MATCH(TRUNC(B842, 0), 'Peak Models'!$O$34:$O$64, 0))</f>
        <v>#N/A</v>
      </c>
      <c r="M842" s="28">
        <f>'Peak Models'!$P$15*INDEX('Peak Models'!$Q$34:$Q$64, MATCH(TRUNC(B842, 0),'Peak Models'!$O$34:$O$64, 0))/'Profit per cycles Model'!$E$78</f>
        <v>8.101512459200455</v>
      </c>
      <c r="N842" s="28" t="e">
        <f t="shared" ref="N842:N905" si="224">L842-M842</f>
        <v>#N/A</v>
      </c>
      <c r="O842" s="71" t="e">
        <f>AVERAGE($N$10:N842)</f>
        <v>#N/A</v>
      </c>
      <c r="P842" s="28" t="e">
        <f t="shared" ref="P842:P905" si="225">IF(O842-K842&lt;0, 999, O842-K842)</f>
        <v>#N/A</v>
      </c>
      <c r="R842" s="28" t="e">
        <f t="shared" ref="R842:R905" si="226">IF(ISNA(INDEX($K$10:$K$1063,MATCH(T842,$B$10:$B$1063,1))),-1,INDEX($K$10:$K$1063,MATCH(T842,$B$10:$B$1063,1)))</f>
        <v>#VALUE!</v>
      </c>
      <c r="S842" s="25"/>
      <c r="T842" s="25">
        <f t="shared" ref="T842:T905" si="227">IF( AND(U842&gt;0, V842&gt;0), IF(U842&lt;V842, U842, V842),  IF(U842&gt;0, U842, IF(V842&gt;0, V842, -1)) )</f>
        <v>15</v>
      </c>
      <c r="U842" s="33">
        <f>IF(PaybackCustom&gt;0, IF(PaybackCustom&lt;&gt;"Default", PaybackCustom, IF(PaybackStatus&lt;&gt;"",INDEX('Arbitrage Payback Engine'!$Y$2:$Y$6,MATCH(PaybackStatus,'Arbitrage Payback Engine'!$X$2:$X$6,FALSE)),-1)))</f>
        <v>25</v>
      </c>
      <c r="V842" s="32">
        <f t="shared" si="219"/>
        <v>15</v>
      </c>
      <c r="X842" s="29">
        <f t="shared" si="220"/>
        <v>833</v>
      </c>
      <c r="Z842" s="30">
        <f t="shared" ref="Z842:Z905" si="228">B842</f>
        <v>22.818791946308725</v>
      </c>
      <c r="AA842" s="28" t="e">
        <f t="shared" ref="AA842:AA905" si="229">N842</f>
        <v>#N/A</v>
      </c>
      <c r="AB842" s="28" t="e">
        <f t="shared" ref="AB842:AB905" si="230">R842</f>
        <v>#VALUE!</v>
      </c>
      <c r="AC842" s="29">
        <f t="shared" ref="AC842:AC905" si="231">$AB$2*(Z842-$AB$3)/($AB$4-$AB$3)</f>
        <v>790.32258064516134</v>
      </c>
      <c r="AD842" s="28" t="e">
        <f t="shared" ref="AD842:AD905" si="232">MIN(AB842, AA842)</f>
        <v>#VALUE!</v>
      </c>
      <c r="AE842" s="28" t="e">
        <f t="shared" ref="AE842:AE905" si="233">IF(AND(Z842&lt;T842, AA842&gt;AB842), AA842-AB842, 0)</f>
        <v>#N/A</v>
      </c>
      <c r="AF842" s="28" t="e">
        <f t="shared" ref="AF842:AF905" si="234">IF(AND(Z842&lt;T842, AB842&gt;AA842), AB842-AA842, 0)</f>
        <v>#VALUE!</v>
      </c>
      <c r="AH842" s="31" t="e">
        <f t="shared" ref="AH842:AH905" si="235">(O842-K842)/K842</f>
        <v>#N/A</v>
      </c>
      <c r="AI842" s="25"/>
      <c r="AJ842" s="31"/>
    </row>
    <row r="843" spans="2:36" x14ac:dyDescent="0.25">
      <c r="B843" s="33">
        <f>'Arbitrage Payback Engine'!E843</f>
        <v>22.84618545404739</v>
      </c>
      <c r="C843" s="33">
        <f t="shared" si="221"/>
        <v>1000</v>
      </c>
      <c r="D843" s="33">
        <f>'Battery Pricing Model'!$C$17</f>
        <v>1000</v>
      </c>
      <c r="E843" s="33">
        <f t="shared" si="222"/>
        <v>999</v>
      </c>
      <c r="F843" s="33" t="str">
        <f>'Peak Models'!$B$4</f>
        <v>Default</v>
      </c>
      <c r="G843" s="33" t="e">
        <f>'Peak Models'!$Q$7</f>
        <v>#VALUE!</v>
      </c>
      <c r="H843" s="33">
        <f>'Peak Models'!$P$16</f>
        <v>1.5</v>
      </c>
      <c r="I843" s="33">
        <v>12</v>
      </c>
      <c r="J843" s="33" t="e">
        <f>'Peak Models'!$P$13</f>
        <v>#N/A</v>
      </c>
      <c r="K843" s="28" t="e">
        <f t="shared" si="223"/>
        <v>#VALUE!</v>
      </c>
      <c r="L843" s="28" t="e">
        <f>INDEX('Peak Models'!$P$34:$P$64, MATCH(TRUNC(B843, 0), 'Peak Models'!$O$34:$O$64, 0))</f>
        <v>#N/A</v>
      </c>
      <c r="M843" s="28">
        <f>'Peak Models'!$P$15*INDEX('Peak Models'!$Q$34:$Q$64, MATCH(TRUNC(B843, 0),'Peak Models'!$O$34:$O$64, 0))/'Profit per cycles Model'!$E$78</f>
        <v>8.101512459200455</v>
      </c>
      <c r="N843" s="28" t="e">
        <f t="shared" si="224"/>
        <v>#N/A</v>
      </c>
      <c r="O843" s="71" t="e">
        <f>AVERAGE($N$10:N843)</f>
        <v>#N/A</v>
      </c>
      <c r="P843" s="28" t="e">
        <f t="shared" si="225"/>
        <v>#N/A</v>
      </c>
      <c r="R843" s="28" t="e">
        <f t="shared" si="226"/>
        <v>#VALUE!</v>
      </c>
      <c r="S843" s="25"/>
      <c r="T843" s="25">
        <f t="shared" si="227"/>
        <v>15</v>
      </c>
      <c r="U843" s="33">
        <f>IF(PaybackCustom&gt;0, IF(PaybackCustom&lt;&gt;"Default", PaybackCustom, IF(PaybackStatus&lt;&gt;"",INDEX('Arbitrage Payback Engine'!$Y$2:$Y$6,MATCH(PaybackStatus,'Arbitrage Payback Engine'!$X$2:$X$6,FALSE)),-1)))</f>
        <v>25</v>
      </c>
      <c r="V843" s="32">
        <f t="shared" ref="V843:V906" si="236">IF(ISNUMBER($L$5), $L$5, 15)</f>
        <v>15</v>
      </c>
      <c r="X843" s="29">
        <f t="shared" ref="X843:X906" si="237">X842+1</f>
        <v>834</v>
      </c>
      <c r="Z843" s="30">
        <f t="shared" si="228"/>
        <v>22.84618545404739</v>
      </c>
      <c r="AA843" s="28" t="e">
        <f t="shared" si="229"/>
        <v>#N/A</v>
      </c>
      <c r="AB843" s="28" t="e">
        <f t="shared" si="230"/>
        <v>#VALUE!</v>
      </c>
      <c r="AC843" s="29">
        <f t="shared" si="231"/>
        <v>791.27134724857683</v>
      </c>
      <c r="AD843" s="28" t="e">
        <f t="shared" si="232"/>
        <v>#VALUE!</v>
      </c>
      <c r="AE843" s="28" t="e">
        <f t="shared" si="233"/>
        <v>#N/A</v>
      </c>
      <c r="AF843" s="28" t="e">
        <f t="shared" si="234"/>
        <v>#VALUE!</v>
      </c>
      <c r="AH843" s="31" t="e">
        <f t="shared" si="235"/>
        <v>#N/A</v>
      </c>
      <c r="AI843" s="25"/>
      <c r="AJ843" s="31"/>
    </row>
    <row r="844" spans="2:36" x14ac:dyDescent="0.25">
      <c r="B844" s="33">
        <f>'Arbitrage Payback Engine'!E844</f>
        <v>22.873578961786055</v>
      </c>
      <c r="C844" s="33">
        <f t="shared" si="221"/>
        <v>1000</v>
      </c>
      <c r="D844" s="33">
        <f>'Battery Pricing Model'!$C$17</f>
        <v>1000</v>
      </c>
      <c r="E844" s="33">
        <f t="shared" si="222"/>
        <v>999</v>
      </c>
      <c r="F844" s="33" t="str">
        <f>'Peak Models'!$B$4</f>
        <v>Default</v>
      </c>
      <c r="G844" s="33" t="e">
        <f>'Peak Models'!$Q$7</f>
        <v>#VALUE!</v>
      </c>
      <c r="H844" s="33">
        <f>'Peak Models'!$P$16</f>
        <v>1.5</v>
      </c>
      <c r="I844" s="33">
        <v>12</v>
      </c>
      <c r="J844" s="33" t="e">
        <f>'Peak Models'!$P$13</f>
        <v>#N/A</v>
      </c>
      <c r="K844" s="28" t="e">
        <f t="shared" si="223"/>
        <v>#VALUE!</v>
      </c>
      <c r="L844" s="28" t="e">
        <f>INDEX('Peak Models'!$P$34:$P$64, MATCH(TRUNC(B844, 0), 'Peak Models'!$O$34:$O$64, 0))</f>
        <v>#N/A</v>
      </c>
      <c r="M844" s="28">
        <f>'Peak Models'!$P$15*INDEX('Peak Models'!$Q$34:$Q$64, MATCH(TRUNC(B844, 0),'Peak Models'!$O$34:$O$64, 0))/'Profit per cycles Model'!$E$78</f>
        <v>8.101512459200455</v>
      </c>
      <c r="N844" s="28" t="e">
        <f t="shared" si="224"/>
        <v>#N/A</v>
      </c>
      <c r="O844" s="71" t="e">
        <f>AVERAGE($N$10:N844)</f>
        <v>#N/A</v>
      </c>
      <c r="P844" s="28" t="e">
        <f t="shared" si="225"/>
        <v>#N/A</v>
      </c>
      <c r="R844" s="28" t="e">
        <f t="shared" si="226"/>
        <v>#VALUE!</v>
      </c>
      <c r="S844" s="25"/>
      <c r="T844" s="25">
        <f t="shared" si="227"/>
        <v>15</v>
      </c>
      <c r="U844" s="33">
        <f>IF(PaybackCustom&gt;0, IF(PaybackCustom&lt;&gt;"Default", PaybackCustom, IF(PaybackStatus&lt;&gt;"",INDEX('Arbitrage Payback Engine'!$Y$2:$Y$6,MATCH(PaybackStatus,'Arbitrage Payback Engine'!$X$2:$X$6,FALSE)),-1)))</f>
        <v>25</v>
      </c>
      <c r="V844" s="32">
        <f t="shared" si="236"/>
        <v>15</v>
      </c>
      <c r="X844" s="29">
        <f t="shared" si="237"/>
        <v>835</v>
      </c>
      <c r="Z844" s="30">
        <f t="shared" si="228"/>
        <v>22.873578961786055</v>
      </c>
      <c r="AA844" s="28" t="e">
        <f t="shared" si="229"/>
        <v>#N/A</v>
      </c>
      <c r="AB844" s="28" t="e">
        <f t="shared" si="230"/>
        <v>#VALUE!</v>
      </c>
      <c r="AC844" s="29">
        <f t="shared" si="231"/>
        <v>792.22011385199232</v>
      </c>
      <c r="AD844" s="28" t="e">
        <f t="shared" si="232"/>
        <v>#VALUE!</v>
      </c>
      <c r="AE844" s="28" t="e">
        <f t="shared" si="233"/>
        <v>#N/A</v>
      </c>
      <c r="AF844" s="28" t="e">
        <f t="shared" si="234"/>
        <v>#VALUE!</v>
      </c>
      <c r="AH844" s="31" t="e">
        <f t="shared" si="235"/>
        <v>#N/A</v>
      </c>
      <c r="AI844" s="25"/>
      <c r="AJ844" s="31"/>
    </row>
    <row r="845" spans="2:36" x14ac:dyDescent="0.25">
      <c r="B845" s="33">
        <f>'Arbitrage Payback Engine'!E845</f>
        <v>22.900972469524721</v>
      </c>
      <c r="C845" s="33">
        <f t="shared" si="221"/>
        <v>1000</v>
      </c>
      <c r="D845" s="33">
        <f>'Battery Pricing Model'!$C$17</f>
        <v>1000</v>
      </c>
      <c r="E845" s="33">
        <f t="shared" si="222"/>
        <v>999</v>
      </c>
      <c r="F845" s="33" t="str">
        <f>'Peak Models'!$B$4</f>
        <v>Default</v>
      </c>
      <c r="G845" s="33" t="e">
        <f>'Peak Models'!$Q$7</f>
        <v>#VALUE!</v>
      </c>
      <c r="H845" s="33">
        <f>'Peak Models'!$P$16</f>
        <v>1.5</v>
      </c>
      <c r="I845" s="33">
        <v>12</v>
      </c>
      <c r="J845" s="33" t="e">
        <f>'Peak Models'!$P$13</f>
        <v>#N/A</v>
      </c>
      <c r="K845" s="28" t="e">
        <f t="shared" si="223"/>
        <v>#VALUE!</v>
      </c>
      <c r="L845" s="28" t="e">
        <f>INDEX('Peak Models'!$P$34:$P$64, MATCH(TRUNC(B845, 0), 'Peak Models'!$O$34:$O$64, 0))</f>
        <v>#N/A</v>
      </c>
      <c r="M845" s="28">
        <f>'Peak Models'!$P$15*INDEX('Peak Models'!$Q$34:$Q$64, MATCH(TRUNC(B845, 0),'Peak Models'!$O$34:$O$64, 0))/'Profit per cycles Model'!$E$78</f>
        <v>8.101512459200455</v>
      </c>
      <c r="N845" s="28" t="e">
        <f t="shared" si="224"/>
        <v>#N/A</v>
      </c>
      <c r="O845" s="71" t="e">
        <f>AVERAGE($N$10:N845)</f>
        <v>#N/A</v>
      </c>
      <c r="P845" s="28" t="e">
        <f t="shared" si="225"/>
        <v>#N/A</v>
      </c>
      <c r="R845" s="28" t="e">
        <f t="shared" si="226"/>
        <v>#VALUE!</v>
      </c>
      <c r="S845" s="25"/>
      <c r="T845" s="25">
        <f t="shared" si="227"/>
        <v>15</v>
      </c>
      <c r="U845" s="33">
        <f>IF(PaybackCustom&gt;0, IF(PaybackCustom&lt;&gt;"Default", PaybackCustom, IF(PaybackStatus&lt;&gt;"",INDEX('Arbitrage Payback Engine'!$Y$2:$Y$6,MATCH(PaybackStatus,'Arbitrage Payback Engine'!$X$2:$X$6,FALSE)),-1)))</f>
        <v>25</v>
      </c>
      <c r="V845" s="32">
        <f t="shared" si="236"/>
        <v>15</v>
      </c>
      <c r="X845" s="29">
        <f t="shared" si="237"/>
        <v>836</v>
      </c>
      <c r="Z845" s="30">
        <f t="shared" si="228"/>
        <v>22.900972469524721</v>
      </c>
      <c r="AA845" s="28" t="e">
        <f t="shared" si="229"/>
        <v>#N/A</v>
      </c>
      <c r="AB845" s="28" t="e">
        <f t="shared" si="230"/>
        <v>#VALUE!</v>
      </c>
      <c r="AC845" s="29">
        <f t="shared" si="231"/>
        <v>793.16888045540793</v>
      </c>
      <c r="AD845" s="28" t="e">
        <f t="shared" si="232"/>
        <v>#VALUE!</v>
      </c>
      <c r="AE845" s="28" t="e">
        <f t="shared" si="233"/>
        <v>#N/A</v>
      </c>
      <c r="AF845" s="28" t="e">
        <f t="shared" si="234"/>
        <v>#VALUE!</v>
      </c>
      <c r="AH845" s="31" t="e">
        <f t="shared" si="235"/>
        <v>#N/A</v>
      </c>
      <c r="AI845" s="25"/>
      <c r="AJ845" s="31"/>
    </row>
    <row r="846" spans="2:36" x14ac:dyDescent="0.25">
      <c r="B846" s="33">
        <f>'Arbitrage Payback Engine'!E846</f>
        <v>22.928365977263386</v>
      </c>
      <c r="C846" s="33">
        <f t="shared" si="221"/>
        <v>1000</v>
      </c>
      <c r="D846" s="33">
        <f>'Battery Pricing Model'!$C$17</f>
        <v>1000</v>
      </c>
      <c r="E846" s="33">
        <f t="shared" si="222"/>
        <v>999</v>
      </c>
      <c r="F846" s="33" t="str">
        <f>'Peak Models'!$B$4</f>
        <v>Default</v>
      </c>
      <c r="G846" s="33" t="e">
        <f>'Peak Models'!$Q$7</f>
        <v>#VALUE!</v>
      </c>
      <c r="H846" s="33">
        <f>'Peak Models'!$P$16</f>
        <v>1.5</v>
      </c>
      <c r="I846" s="33">
        <v>12</v>
      </c>
      <c r="J846" s="33" t="e">
        <f>'Peak Models'!$P$13</f>
        <v>#N/A</v>
      </c>
      <c r="K846" s="28" t="e">
        <f t="shared" si="223"/>
        <v>#VALUE!</v>
      </c>
      <c r="L846" s="28" t="e">
        <f>INDEX('Peak Models'!$P$34:$P$64, MATCH(TRUNC(B846, 0), 'Peak Models'!$O$34:$O$64, 0))</f>
        <v>#N/A</v>
      </c>
      <c r="M846" s="28">
        <f>'Peak Models'!$P$15*INDEX('Peak Models'!$Q$34:$Q$64, MATCH(TRUNC(B846, 0),'Peak Models'!$O$34:$O$64, 0))/'Profit per cycles Model'!$E$78</f>
        <v>8.101512459200455</v>
      </c>
      <c r="N846" s="28" t="e">
        <f t="shared" si="224"/>
        <v>#N/A</v>
      </c>
      <c r="O846" s="71" t="e">
        <f>AVERAGE($N$10:N846)</f>
        <v>#N/A</v>
      </c>
      <c r="P846" s="28" t="e">
        <f t="shared" si="225"/>
        <v>#N/A</v>
      </c>
      <c r="R846" s="28" t="e">
        <f t="shared" si="226"/>
        <v>#VALUE!</v>
      </c>
      <c r="S846" s="25"/>
      <c r="T846" s="25">
        <f t="shared" si="227"/>
        <v>15</v>
      </c>
      <c r="U846" s="33">
        <f>IF(PaybackCustom&gt;0, IF(PaybackCustom&lt;&gt;"Default", PaybackCustom, IF(PaybackStatus&lt;&gt;"",INDEX('Arbitrage Payback Engine'!$Y$2:$Y$6,MATCH(PaybackStatus,'Arbitrage Payback Engine'!$X$2:$X$6,FALSE)),-1)))</f>
        <v>25</v>
      </c>
      <c r="V846" s="32">
        <f t="shared" si="236"/>
        <v>15</v>
      </c>
      <c r="X846" s="29">
        <f t="shared" si="237"/>
        <v>837</v>
      </c>
      <c r="Z846" s="30">
        <f t="shared" si="228"/>
        <v>22.928365977263386</v>
      </c>
      <c r="AA846" s="28" t="e">
        <f t="shared" si="229"/>
        <v>#N/A</v>
      </c>
      <c r="AB846" s="28" t="e">
        <f t="shared" si="230"/>
        <v>#VALUE!</v>
      </c>
      <c r="AC846" s="29">
        <f t="shared" si="231"/>
        <v>794.11764705882354</v>
      </c>
      <c r="AD846" s="28" t="e">
        <f t="shared" si="232"/>
        <v>#VALUE!</v>
      </c>
      <c r="AE846" s="28" t="e">
        <f t="shared" si="233"/>
        <v>#N/A</v>
      </c>
      <c r="AF846" s="28" t="e">
        <f t="shared" si="234"/>
        <v>#VALUE!</v>
      </c>
      <c r="AH846" s="31" t="e">
        <f t="shared" si="235"/>
        <v>#N/A</v>
      </c>
      <c r="AI846" s="25"/>
      <c r="AJ846" s="31"/>
    </row>
    <row r="847" spans="2:36" x14ac:dyDescent="0.25">
      <c r="B847" s="33">
        <f>'Arbitrage Payback Engine'!E847</f>
        <v>22.955759485002055</v>
      </c>
      <c r="C847" s="33">
        <f t="shared" si="221"/>
        <v>1000</v>
      </c>
      <c r="D847" s="33">
        <f>'Battery Pricing Model'!$C$17</f>
        <v>1000</v>
      </c>
      <c r="E847" s="33">
        <f t="shared" si="222"/>
        <v>999</v>
      </c>
      <c r="F847" s="33" t="str">
        <f>'Peak Models'!$B$4</f>
        <v>Default</v>
      </c>
      <c r="G847" s="33" t="e">
        <f>'Peak Models'!$Q$7</f>
        <v>#VALUE!</v>
      </c>
      <c r="H847" s="33">
        <f>'Peak Models'!$P$16</f>
        <v>1.5</v>
      </c>
      <c r="I847" s="33">
        <v>12</v>
      </c>
      <c r="J847" s="33" t="e">
        <f>'Peak Models'!$P$13</f>
        <v>#N/A</v>
      </c>
      <c r="K847" s="28" t="e">
        <f t="shared" si="223"/>
        <v>#VALUE!</v>
      </c>
      <c r="L847" s="28" t="e">
        <f>INDEX('Peak Models'!$P$34:$P$64, MATCH(TRUNC(B847, 0), 'Peak Models'!$O$34:$O$64, 0))</f>
        <v>#N/A</v>
      </c>
      <c r="M847" s="28">
        <f>'Peak Models'!$P$15*INDEX('Peak Models'!$Q$34:$Q$64, MATCH(TRUNC(B847, 0),'Peak Models'!$O$34:$O$64, 0))/'Profit per cycles Model'!$E$78</f>
        <v>8.101512459200455</v>
      </c>
      <c r="N847" s="28" t="e">
        <f t="shared" si="224"/>
        <v>#N/A</v>
      </c>
      <c r="O847" s="71" t="e">
        <f>AVERAGE($N$10:N847)</f>
        <v>#N/A</v>
      </c>
      <c r="P847" s="28" t="e">
        <f t="shared" si="225"/>
        <v>#N/A</v>
      </c>
      <c r="R847" s="28" t="e">
        <f t="shared" si="226"/>
        <v>#VALUE!</v>
      </c>
      <c r="S847" s="25"/>
      <c r="T847" s="25">
        <f t="shared" si="227"/>
        <v>15</v>
      </c>
      <c r="U847" s="33">
        <f>IF(PaybackCustom&gt;0, IF(PaybackCustom&lt;&gt;"Default", PaybackCustom, IF(PaybackStatus&lt;&gt;"",INDEX('Arbitrage Payback Engine'!$Y$2:$Y$6,MATCH(PaybackStatus,'Arbitrage Payback Engine'!$X$2:$X$6,FALSE)),-1)))</f>
        <v>25</v>
      </c>
      <c r="V847" s="32">
        <f t="shared" si="236"/>
        <v>15</v>
      </c>
      <c r="X847" s="29">
        <f t="shared" si="237"/>
        <v>838</v>
      </c>
      <c r="Z847" s="30">
        <f t="shared" si="228"/>
        <v>22.955759485002055</v>
      </c>
      <c r="AA847" s="28" t="e">
        <f t="shared" si="229"/>
        <v>#N/A</v>
      </c>
      <c r="AB847" s="28" t="e">
        <f t="shared" si="230"/>
        <v>#VALUE!</v>
      </c>
      <c r="AC847" s="29">
        <f t="shared" si="231"/>
        <v>795.06641366223914</v>
      </c>
      <c r="AD847" s="28" t="e">
        <f t="shared" si="232"/>
        <v>#VALUE!</v>
      </c>
      <c r="AE847" s="28" t="e">
        <f t="shared" si="233"/>
        <v>#N/A</v>
      </c>
      <c r="AF847" s="28" t="e">
        <f t="shared" si="234"/>
        <v>#VALUE!</v>
      </c>
      <c r="AH847" s="31" t="e">
        <f t="shared" si="235"/>
        <v>#N/A</v>
      </c>
      <c r="AI847" s="25"/>
      <c r="AJ847" s="31"/>
    </row>
    <row r="848" spans="2:36" x14ac:dyDescent="0.25">
      <c r="B848" s="33">
        <f>'Arbitrage Payback Engine'!E848</f>
        <v>22.98315299274072</v>
      </c>
      <c r="C848" s="33">
        <f t="shared" si="221"/>
        <v>1000</v>
      </c>
      <c r="D848" s="33">
        <f>'Battery Pricing Model'!$C$17</f>
        <v>1000</v>
      </c>
      <c r="E848" s="33">
        <f t="shared" si="222"/>
        <v>999</v>
      </c>
      <c r="F848" s="33" t="str">
        <f>'Peak Models'!$B$4</f>
        <v>Default</v>
      </c>
      <c r="G848" s="33" t="e">
        <f>'Peak Models'!$Q$7</f>
        <v>#VALUE!</v>
      </c>
      <c r="H848" s="33">
        <f>'Peak Models'!$P$16</f>
        <v>1.5</v>
      </c>
      <c r="I848" s="33">
        <v>12</v>
      </c>
      <c r="J848" s="33" t="e">
        <f>'Peak Models'!$P$13</f>
        <v>#N/A</v>
      </c>
      <c r="K848" s="28" t="e">
        <f t="shared" si="223"/>
        <v>#VALUE!</v>
      </c>
      <c r="L848" s="28" t="e">
        <f>INDEX('Peak Models'!$P$34:$P$64, MATCH(TRUNC(B848, 0), 'Peak Models'!$O$34:$O$64, 0))</f>
        <v>#N/A</v>
      </c>
      <c r="M848" s="28">
        <f>'Peak Models'!$P$15*INDEX('Peak Models'!$Q$34:$Q$64, MATCH(TRUNC(B848, 0),'Peak Models'!$O$34:$O$64, 0))/'Profit per cycles Model'!$E$78</f>
        <v>8.101512459200455</v>
      </c>
      <c r="N848" s="28" t="e">
        <f t="shared" si="224"/>
        <v>#N/A</v>
      </c>
      <c r="O848" s="71" t="e">
        <f>AVERAGE($N$10:N848)</f>
        <v>#N/A</v>
      </c>
      <c r="P848" s="28" t="e">
        <f t="shared" si="225"/>
        <v>#N/A</v>
      </c>
      <c r="R848" s="28" t="e">
        <f t="shared" si="226"/>
        <v>#VALUE!</v>
      </c>
      <c r="S848" s="25"/>
      <c r="T848" s="25">
        <f t="shared" si="227"/>
        <v>15</v>
      </c>
      <c r="U848" s="33">
        <f>IF(PaybackCustom&gt;0, IF(PaybackCustom&lt;&gt;"Default", PaybackCustom, IF(PaybackStatus&lt;&gt;"",INDEX('Arbitrage Payback Engine'!$Y$2:$Y$6,MATCH(PaybackStatus,'Arbitrage Payback Engine'!$X$2:$X$6,FALSE)),-1)))</f>
        <v>25</v>
      </c>
      <c r="V848" s="32">
        <f t="shared" si="236"/>
        <v>15</v>
      </c>
      <c r="X848" s="29">
        <f t="shared" si="237"/>
        <v>839</v>
      </c>
      <c r="Z848" s="30">
        <f t="shared" si="228"/>
        <v>22.98315299274072</v>
      </c>
      <c r="AA848" s="28" t="e">
        <f t="shared" si="229"/>
        <v>#N/A</v>
      </c>
      <c r="AB848" s="28" t="e">
        <f t="shared" si="230"/>
        <v>#VALUE!</v>
      </c>
      <c r="AC848" s="29">
        <f t="shared" si="231"/>
        <v>796.01518026565475</v>
      </c>
      <c r="AD848" s="28" t="e">
        <f t="shared" si="232"/>
        <v>#VALUE!</v>
      </c>
      <c r="AE848" s="28" t="e">
        <f t="shared" si="233"/>
        <v>#N/A</v>
      </c>
      <c r="AF848" s="28" t="e">
        <f t="shared" si="234"/>
        <v>#VALUE!</v>
      </c>
      <c r="AH848" s="31" t="e">
        <f t="shared" si="235"/>
        <v>#N/A</v>
      </c>
      <c r="AI848" s="25"/>
      <c r="AJ848" s="31"/>
    </row>
    <row r="849" spans="2:36" x14ac:dyDescent="0.25">
      <c r="B849" s="33">
        <f>'Arbitrage Payback Engine'!E849</f>
        <v>23.010546500479386</v>
      </c>
      <c r="C849" s="33">
        <f t="shared" si="221"/>
        <v>1000</v>
      </c>
      <c r="D849" s="33">
        <f>'Battery Pricing Model'!$C$17</f>
        <v>1000</v>
      </c>
      <c r="E849" s="33">
        <f t="shared" si="222"/>
        <v>999</v>
      </c>
      <c r="F849" s="33" t="str">
        <f>'Peak Models'!$B$4</f>
        <v>Default</v>
      </c>
      <c r="G849" s="33" t="e">
        <f>'Peak Models'!$Q$7</f>
        <v>#VALUE!</v>
      </c>
      <c r="H849" s="33">
        <f>'Peak Models'!$P$16</f>
        <v>1.5</v>
      </c>
      <c r="I849" s="33">
        <v>12</v>
      </c>
      <c r="J849" s="33" t="e">
        <f>'Peak Models'!$P$13</f>
        <v>#N/A</v>
      </c>
      <c r="K849" s="28" t="e">
        <f t="shared" si="223"/>
        <v>#VALUE!</v>
      </c>
      <c r="L849" s="28" t="e">
        <f>INDEX('Peak Models'!$P$34:$P$64, MATCH(TRUNC(B849, 0), 'Peak Models'!$O$34:$O$64, 0))</f>
        <v>#N/A</v>
      </c>
      <c r="M849" s="28">
        <f>'Peak Models'!$P$15*INDEX('Peak Models'!$Q$34:$Q$64, MATCH(TRUNC(B849, 0),'Peak Models'!$O$34:$O$64, 0))/'Profit per cycles Model'!$E$78</f>
        <v>8.3040502706804666</v>
      </c>
      <c r="N849" s="28" t="e">
        <f t="shared" si="224"/>
        <v>#N/A</v>
      </c>
      <c r="O849" s="71" t="e">
        <f>AVERAGE($N$10:N849)</f>
        <v>#N/A</v>
      </c>
      <c r="P849" s="28" t="e">
        <f t="shared" si="225"/>
        <v>#N/A</v>
      </c>
      <c r="R849" s="28" t="e">
        <f t="shared" si="226"/>
        <v>#VALUE!</v>
      </c>
      <c r="S849" s="25"/>
      <c r="T849" s="25">
        <f t="shared" si="227"/>
        <v>15</v>
      </c>
      <c r="U849" s="33">
        <f>IF(PaybackCustom&gt;0, IF(PaybackCustom&lt;&gt;"Default", PaybackCustom, IF(PaybackStatus&lt;&gt;"",INDEX('Arbitrage Payback Engine'!$Y$2:$Y$6,MATCH(PaybackStatus,'Arbitrage Payback Engine'!$X$2:$X$6,FALSE)),-1)))</f>
        <v>25</v>
      </c>
      <c r="V849" s="32">
        <f t="shared" si="236"/>
        <v>15</v>
      </c>
      <c r="X849" s="29">
        <f t="shared" si="237"/>
        <v>840</v>
      </c>
      <c r="Z849" s="30">
        <f t="shared" si="228"/>
        <v>23.010546500479386</v>
      </c>
      <c r="AA849" s="28" t="e">
        <f t="shared" si="229"/>
        <v>#N/A</v>
      </c>
      <c r="AB849" s="28" t="e">
        <f t="shared" si="230"/>
        <v>#VALUE!</v>
      </c>
      <c r="AC849" s="29">
        <f t="shared" si="231"/>
        <v>796.96394686907013</v>
      </c>
      <c r="AD849" s="28" t="e">
        <f t="shared" si="232"/>
        <v>#VALUE!</v>
      </c>
      <c r="AE849" s="28" t="e">
        <f t="shared" si="233"/>
        <v>#N/A</v>
      </c>
      <c r="AF849" s="28" t="e">
        <f t="shared" si="234"/>
        <v>#VALUE!</v>
      </c>
      <c r="AH849" s="31" t="e">
        <f t="shared" si="235"/>
        <v>#N/A</v>
      </c>
      <c r="AI849" s="25"/>
      <c r="AJ849" s="31"/>
    </row>
    <row r="850" spans="2:36" x14ac:dyDescent="0.25">
      <c r="B850" s="33">
        <f>'Arbitrage Payback Engine'!E850</f>
        <v>23.037940008218051</v>
      </c>
      <c r="C850" s="33">
        <f t="shared" si="221"/>
        <v>1000</v>
      </c>
      <c r="D850" s="33">
        <f>'Battery Pricing Model'!$C$17</f>
        <v>1000</v>
      </c>
      <c r="E850" s="33">
        <f t="shared" si="222"/>
        <v>999</v>
      </c>
      <c r="F850" s="33" t="str">
        <f>'Peak Models'!$B$4</f>
        <v>Default</v>
      </c>
      <c r="G850" s="33" t="e">
        <f>'Peak Models'!$Q$7</f>
        <v>#VALUE!</v>
      </c>
      <c r="H850" s="33">
        <f>'Peak Models'!$P$16</f>
        <v>1.5</v>
      </c>
      <c r="I850" s="33">
        <v>12</v>
      </c>
      <c r="J850" s="33" t="e">
        <f>'Peak Models'!$P$13</f>
        <v>#N/A</v>
      </c>
      <c r="K850" s="28" t="e">
        <f t="shared" si="223"/>
        <v>#VALUE!</v>
      </c>
      <c r="L850" s="28" t="e">
        <f>INDEX('Peak Models'!$P$34:$P$64, MATCH(TRUNC(B850, 0), 'Peak Models'!$O$34:$O$64, 0))</f>
        <v>#N/A</v>
      </c>
      <c r="M850" s="28">
        <f>'Peak Models'!$P$15*INDEX('Peak Models'!$Q$34:$Q$64, MATCH(TRUNC(B850, 0),'Peak Models'!$O$34:$O$64, 0))/'Profit per cycles Model'!$E$78</f>
        <v>8.3040502706804666</v>
      </c>
      <c r="N850" s="28" t="e">
        <f t="shared" si="224"/>
        <v>#N/A</v>
      </c>
      <c r="O850" s="71" t="e">
        <f>AVERAGE($N$10:N850)</f>
        <v>#N/A</v>
      </c>
      <c r="P850" s="28" t="e">
        <f t="shared" si="225"/>
        <v>#N/A</v>
      </c>
      <c r="R850" s="28" t="e">
        <f t="shared" si="226"/>
        <v>#VALUE!</v>
      </c>
      <c r="S850" s="25"/>
      <c r="T850" s="25">
        <f t="shared" si="227"/>
        <v>15</v>
      </c>
      <c r="U850" s="33">
        <f>IF(PaybackCustom&gt;0, IF(PaybackCustom&lt;&gt;"Default", PaybackCustom, IF(PaybackStatus&lt;&gt;"",INDEX('Arbitrage Payback Engine'!$Y$2:$Y$6,MATCH(PaybackStatus,'Arbitrage Payback Engine'!$X$2:$X$6,FALSE)),-1)))</f>
        <v>25</v>
      </c>
      <c r="V850" s="32">
        <f t="shared" si="236"/>
        <v>15</v>
      </c>
      <c r="X850" s="29">
        <f t="shared" si="237"/>
        <v>841</v>
      </c>
      <c r="Z850" s="30">
        <f t="shared" si="228"/>
        <v>23.037940008218051</v>
      </c>
      <c r="AA850" s="28" t="e">
        <f t="shared" si="229"/>
        <v>#N/A</v>
      </c>
      <c r="AB850" s="28" t="e">
        <f t="shared" si="230"/>
        <v>#VALUE!</v>
      </c>
      <c r="AC850" s="29">
        <f t="shared" si="231"/>
        <v>797.91271347248573</v>
      </c>
      <c r="AD850" s="28" t="e">
        <f t="shared" si="232"/>
        <v>#VALUE!</v>
      </c>
      <c r="AE850" s="28" t="e">
        <f t="shared" si="233"/>
        <v>#N/A</v>
      </c>
      <c r="AF850" s="28" t="e">
        <f t="shared" si="234"/>
        <v>#VALUE!</v>
      </c>
      <c r="AH850" s="31" t="e">
        <f t="shared" si="235"/>
        <v>#N/A</v>
      </c>
      <c r="AI850" s="25"/>
      <c r="AJ850" s="31"/>
    </row>
    <row r="851" spans="2:36" x14ac:dyDescent="0.25">
      <c r="B851" s="33">
        <f>'Arbitrage Payback Engine'!E851</f>
        <v>23.065333515956716</v>
      </c>
      <c r="C851" s="33">
        <f t="shared" si="221"/>
        <v>1000</v>
      </c>
      <c r="D851" s="33">
        <f>'Battery Pricing Model'!$C$17</f>
        <v>1000</v>
      </c>
      <c r="E851" s="33">
        <f t="shared" si="222"/>
        <v>999</v>
      </c>
      <c r="F851" s="33" t="str">
        <f>'Peak Models'!$B$4</f>
        <v>Default</v>
      </c>
      <c r="G851" s="33" t="e">
        <f>'Peak Models'!$Q$7</f>
        <v>#VALUE!</v>
      </c>
      <c r="H851" s="33">
        <f>'Peak Models'!$P$16</f>
        <v>1.5</v>
      </c>
      <c r="I851" s="33">
        <v>12</v>
      </c>
      <c r="J851" s="33" t="e">
        <f>'Peak Models'!$P$13</f>
        <v>#N/A</v>
      </c>
      <c r="K851" s="28" t="e">
        <f t="shared" si="223"/>
        <v>#VALUE!</v>
      </c>
      <c r="L851" s="28" t="e">
        <f>INDEX('Peak Models'!$P$34:$P$64, MATCH(TRUNC(B851, 0), 'Peak Models'!$O$34:$O$64, 0))</f>
        <v>#N/A</v>
      </c>
      <c r="M851" s="28">
        <f>'Peak Models'!$P$15*INDEX('Peak Models'!$Q$34:$Q$64, MATCH(TRUNC(B851, 0),'Peak Models'!$O$34:$O$64, 0))/'Profit per cycles Model'!$E$78</f>
        <v>8.3040502706804666</v>
      </c>
      <c r="N851" s="28" t="e">
        <f t="shared" si="224"/>
        <v>#N/A</v>
      </c>
      <c r="O851" s="71" t="e">
        <f>AVERAGE($N$10:N851)</f>
        <v>#N/A</v>
      </c>
      <c r="P851" s="28" t="e">
        <f t="shared" si="225"/>
        <v>#N/A</v>
      </c>
      <c r="R851" s="28" t="e">
        <f t="shared" si="226"/>
        <v>#VALUE!</v>
      </c>
      <c r="S851" s="25"/>
      <c r="T851" s="25">
        <f t="shared" si="227"/>
        <v>15</v>
      </c>
      <c r="U851" s="33">
        <f>IF(PaybackCustom&gt;0, IF(PaybackCustom&lt;&gt;"Default", PaybackCustom, IF(PaybackStatus&lt;&gt;"",INDEX('Arbitrage Payback Engine'!$Y$2:$Y$6,MATCH(PaybackStatus,'Arbitrage Payback Engine'!$X$2:$X$6,FALSE)),-1)))</f>
        <v>25</v>
      </c>
      <c r="V851" s="32">
        <f t="shared" si="236"/>
        <v>15</v>
      </c>
      <c r="X851" s="29">
        <f t="shared" si="237"/>
        <v>842</v>
      </c>
      <c r="Z851" s="30">
        <f t="shared" si="228"/>
        <v>23.065333515956716</v>
      </c>
      <c r="AA851" s="28" t="e">
        <f t="shared" si="229"/>
        <v>#N/A</v>
      </c>
      <c r="AB851" s="28" t="e">
        <f t="shared" si="230"/>
        <v>#VALUE!</v>
      </c>
      <c r="AC851" s="29">
        <f t="shared" si="231"/>
        <v>798.86148007590134</v>
      </c>
      <c r="AD851" s="28" t="e">
        <f t="shared" si="232"/>
        <v>#VALUE!</v>
      </c>
      <c r="AE851" s="28" t="e">
        <f t="shared" si="233"/>
        <v>#N/A</v>
      </c>
      <c r="AF851" s="28" t="e">
        <f t="shared" si="234"/>
        <v>#VALUE!</v>
      </c>
      <c r="AH851" s="31" t="e">
        <f t="shared" si="235"/>
        <v>#N/A</v>
      </c>
      <c r="AI851" s="25"/>
      <c r="AJ851" s="31"/>
    </row>
    <row r="852" spans="2:36" x14ac:dyDescent="0.25">
      <c r="B852" s="33">
        <f>'Arbitrage Payback Engine'!E852</f>
        <v>23.092727023695385</v>
      </c>
      <c r="C852" s="33">
        <f t="shared" si="221"/>
        <v>1000</v>
      </c>
      <c r="D852" s="33">
        <f>'Battery Pricing Model'!$C$17</f>
        <v>1000</v>
      </c>
      <c r="E852" s="33">
        <f t="shared" si="222"/>
        <v>999</v>
      </c>
      <c r="F852" s="33" t="str">
        <f>'Peak Models'!$B$4</f>
        <v>Default</v>
      </c>
      <c r="G852" s="33" t="e">
        <f>'Peak Models'!$Q$7</f>
        <v>#VALUE!</v>
      </c>
      <c r="H852" s="33">
        <f>'Peak Models'!$P$16</f>
        <v>1.5</v>
      </c>
      <c r="I852" s="33">
        <v>12</v>
      </c>
      <c r="J852" s="33" t="e">
        <f>'Peak Models'!$P$13</f>
        <v>#N/A</v>
      </c>
      <c r="K852" s="28" t="e">
        <f t="shared" si="223"/>
        <v>#VALUE!</v>
      </c>
      <c r="L852" s="28" t="e">
        <f>INDEX('Peak Models'!$P$34:$P$64, MATCH(TRUNC(B852, 0), 'Peak Models'!$O$34:$O$64, 0))</f>
        <v>#N/A</v>
      </c>
      <c r="M852" s="28">
        <f>'Peak Models'!$P$15*INDEX('Peak Models'!$Q$34:$Q$64, MATCH(TRUNC(B852, 0),'Peak Models'!$O$34:$O$64, 0))/'Profit per cycles Model'!$E$78</f>
        <v>8.3040502706804666</v>
      </c>
      <c r="N852" s="28" t="e">
        <f t="shared" si="224"/>
        <v>#N/A</v>
      </c>
      <c r="O852" s="71" t="e">
        <f>AVERAGE($N$10:N852)</f>
        <v>#N/A</v>
      </c>
      <c r="P852" s="28" t="e">
        <f t="shared" si="225"/>
        <v>#N/A</v>
      </c>
      <c r="R852" s="28" t="e">
        <f t="shared" si="226"/>
        <v>#VALUE!</v>
      </c>
      <c r="S852" s="25"/>
      <c r="T852" s="25">
        <f t="shared" si="227"/>
        <v>15</v>
      </c>
      <c r="U852" s="33">
        <f>IF(PaybackCustom&gt;0, IF(PaybackCustom&lt;&gt;"Default", PaybackCustom, IF(PaybackStatus&lt;&gt;"",INDEX('Arbitrage Payback Engine'!$Y$2:$Y$6,MATCH(PaybackStatus,'Arbitrage Payback Engine'!$X$2:$X$6,FALSE)),-1)))</f>
        <v>25</v>
      </c>
      <c r="V852" s="32">
        <f t="shared" si="236"/>
        <v>15</v>
      </c>
      <c r="X852" s="29">
        <f t="shared" si="237"/>
        <v>843</v>
      </c>
      <c r="Z852" s="30">
        <f t="shared" si="228"/>
        <v>23.092727023695385</v>
      </c>
      <c r="AA852" s="28" t="e">
        <f t="shared" si="229"/>
        <v>#N/A</v>
      </c>
      <c r="AB852" s="28" t="e">
        <f t="shared" si="230"/>
        <v>#VALUE!</v>
      </c>
      <c r="AC852" s="29">
        <f t="shared" si="231"/>
        <v>799.81024667931695</v>
      </c>
      <c r="AD852" s="28" t="e">
        <f t="shared" si="232"/>
        <v>#VALUE!</v>
      </c>
      <c r="AE852" s="28" t="e">
        <f t="shared" si="233"/>
        <v>#N/A</v>
      </c>
      <c r="AF852" s="28" t="e">
        <f t="shared" si="234"/>
        <v>#VALUE!</v>
      </c>
      <c r="AH852" s="31" t="e">
        <f t="shared" si="235"/>
        <v>#N/A</v>
      </c>
      <c r="AI852" s="25"/>
      <c r="AJ852" s="31"/>
    </row>
    <row r="853" spans="2:36" x14ac:dyDescent="0.25">
      <c r="B853" s="33">
        <f>'Arbitrage Payback Engine'!E853</f>
        <v>23.120120531434051</v>
      </c>
      <c r="C853" s="33">
        <f t="shared" si="221"/>
        <v>1000</v>
      </c>
      <c r="D853" s="33">
        <f>'Battery Pricing Model'!$C$17</f>
        <v>1000</v>
      </c>
      <c r="E853" s="33">
        <f t="shared" si="222"/>
        <v>999</v>
      </c>
      <c r="F853" s="33" t="str">
        <f>'Peak Models'!$B$4</f>
        <v>Default</v>
      </c>
      <c r="G853" s="33" t="e">
        <f>'Peak Models'!$Q$7</f>
        <v>#VALUE!</v>
      </c>
      <c r="H853" s="33">
        <f>'Peak Models'!$P$16</f>
        <v>1.5</v>
      </c>
      <c r="I853" s="33">
        <v>12</v>
      </c>
      <c r="J853" s="33" t="e">
        <f>'Peak Models'!$P$13</f>
        <v>#N/A</v>
      </c>
      <c r="K853" s="28" t="e">
        <f t="shared" si="223"/>
        <v>#VALUE!</v>
      </c>
      <c r="L853" s="28" t="e">
        <f>INDEX('Peak Models'!$P$34:$P$64, MATCH(TRUNC(B853, 0), 'Peak Models'!$O$34:$O$64, 0))</f>
        <v>#N/A</v>
      </c>
      <c r="M853" s="28">
        <f>'Peak Models'!$P$15*INDEX('Peak Models'!$Q$34:$Q$64, MATCH(TRUNC(B853, 0),'Peak Models'!$O$34:$O$64, 0))/'Profit per cycles Model'!$E$78</f>
        <v>8.3040502706804666</v>
      </c>
      <c r="N853" s="28" t="e">
        <f t="shared" si="224"/>
        <v>#N/A</v>
      </c>
      <c r="O853" s="71" t="e">
        <f>AVERAGE($N$10:N853)</f>
        <v>#N/A</v>
      </c>
      <c r="P853" s="28" t="e">
        <f t="shared" si="225"/>
        <v>#N/A</v>
      </c>
      <c r="R853" s="28" t="e">
        <f t="shared" si="226"/>
        <v>#VALUE!</v>
      </c>
      <c r="S853" s="25"/>
      <c r="T853" s="25">
        <f t="shared" si="227"/>
        <v>15</v>
      </c>
      <c r="U853" s="33">
        <f>IF(PaybackCustom&gt;0, IF(PaybackCustom&lt;&gt;"Default", PaybackCustom, IF(PaybackStatus&lt;&gt;"",INDEX('Arbitrage Payback Engine'!$Y$2:$Y$6,MATCH(PaybackStatus,'Arbitrage Payback Engine'!$X$2:$X$6,FALSE)),-1)))</f>
        <v>25</v>
      </c>
      <c r="V853" s="32">
        <f t="shared" si="236"/>
        <v>15</v>
      </c>
      <c r="X853" s="29">
        <f t="shared" si="237"/>
        <v>844</v>
      </c>
      <c r="Z853" s="30">
        <f t="shared" si="228"/>
        <v>23.120120531434051</v>
      </c>
      <c r="AA853" s="28" t="e">
        <f t="shared" si="229"/>
        <v>#N/A</v>
      </c>
      <c r="AB853" s="28" t="e">
        <f t="shared" si="230"/>
        <v>#VALUE!</v>
      </c>
      <c r="AC853" s="29">
        <f t="shared" si="231"/>
        <v>800.75901328273255</v>
      </c>
      <c r="AD853" s="28" t="e">
        <f t="shared" si="232"/>
        <v>#VALUE!</v>
      </c>
      <c r="AE853" s="28" t="e">
        <f t="shared" si="233"/>
        <v>#N/A</v>
      </c>
      <c r="AF853" s="28" t="e">
        <f t="shared" si="234"/>
        <v>#VALUE!</v>
      </c>
      <c r="AH853" s="31" t="e">
        <f t="shared" si="235"/>
        <v>#N/A</v>
      </c>
      <c r="AI853" s="25"/>
      <c r="AJ853" s="31"/>
    </row>
    <row r="854" spans="2:36" x14ac:dyDescent="0.25">
      <c r="B854" s="33">
        <f>'Arbitrage Payback Engine'!E854</f>
        <v>23.147514039172716</v>
      </c>
      <c r="C854" s="33">
        <f t="shared" si="221"/>
        <v>1000</v>
      </c>
      <c r="D854" s="33">
        <f>'Battery Pricing Model'!$C$17</f>
        <v>1000</v>
      </c>
      <c r="E854" s="33">
        <f t="shared" si="222"/>
        <v>999</v>
      </c>
      <c r="F854" s="33" t="str">
        <f>'Peak Models'!$B$4</f>
        <v>Default</v>
      </c>
      <c r="G854" s="33" t="e">
        <f>'Peak Models'!$Q$7</f>
        <v>#VALUE!</v>
      </c>
      <c r="H854" s="33">
        <f>'Peak Models'!$P$16</f>
        <v>1.5</v>
      </c>
      <c r="I854" s="33">
        <v>12</v>
      </c>
      <c r="J854" s="33" t="e">
        <f>'Peak Models'!$P$13</f>
        <v>#N/A</v>
      </c>
      <c r="K854" s="28" t="e">
        <f t="shared" si="223"/>
        <v>#VALUE!</v>
      </c>
      <c r="L854" s="28" t="e">
        <f>INDEX('Peak Models'!$P$34:$P$64, MATCH(TRUNC(B854, 0), 'Peak Models'!$O$34:$O$64, 0))</f>
        <v>#N/A</v>
      </c>
      <c r="M854" s="28">
        <f>'Peak Models'!$P$15*INDEX('Peak Models'!$Q$34:$Q$64, MATCH(TRUNC(B854, 0),'Peak Models'!$O$34:$O$64, 0))/'Profit per cycles Model'!$E$78</f>
        <v>8.3040502706804666</v>
      </c>
      <c r="N854" s="28" t="e">
        <f t="shared" si="224"/>
        <v>#N/A</v>
      </c>
      <c r="O854" s="71" t="e">
        <f>AVERAGE($N$10:N854)</f>
        <v>#N/A</v>
      </c>
      <c r="P854" s="28" t="e">
        <f t="shared" si="225"/>
        <v>#N/A</v>
      </c>
      <c r="R854" s="28" t="e">
        <f t="shared" si="226"/>
        <v>#VALUE!</v>
      </c>
      <c r="S854" s="25"/>
      <c r="T854" s="25">
        <f t="shared" si="227"/>
        <v>15</v>
      </c>
      <c r="U854" s="33">
        <f>IF(PaybackCustom&gt;0, IF(PaybackCustom&lt;&gt;"Default", PaybackCustom, IF(PaybackStatus&lt;&gt;"",INDEX('Arbitrage Payback Engine'!$Y$2:$Y$6,MATCH(PaybackStatus,'Arbitrage Payback Engine'!$X$2:$X$6,FALSE)),-1)))</f>
        <v>25</v>
      </c>
      <c r="V854" s="32">
        <f t="shared" si="236"/>
        <v>15</v>
      </c>
      <c r="X854" s="29">
        <f t="shared" si="237"/>
        <v>845</v>
      </c>
      <c r="Z854" s="30">
        <f t="shared" si="228"/>
        <v>23.147514039172716</v>
      </c>
      <c r="AA854" s="28" t="e">
        <f t="shared" si="229"/>
        <v>#N/A</v>
      </c>
      <c r="AB854" s="28" t="e">
        <f t="shared" si="230"/>
        <v>#VALUE!</v>
      </c>
      <c r="AC854" s="29">
        <f t="shared" si="231"/>
        <v>801.70777988614805</v>
      </c>
      <c r="AD854" s="28" t="e">
        <f t="shared" si="232"/>
        <v>#VALUE!</v>
      </c>
      <c r="AE854" s="28" t="e">
        <f t="shared" si="233"/>
        <v>#N/A</v>
      </c>
      <c r="AF854" s="28" t="e">
        <f t="shared" si="234"/>
        <v>#VALUE!</v>
      </c>
      <c r="AH854" s="31" t="e">
        <f t="shared" si="235"/>
        <v>#N/A</v>
      </c>
      <c r="AI854" s="25"/>
      <c r="AJ854" s="31"/>
    </row>
    <row r="855" spans="2:36" x14ac:dyDescent="0.25">
      <c r="B855" s="33">
        <f>'Arbitrage Payback Engine'!E855</f>
        <v>23.174907546911381</v>
      </c>
      <c r="C855" s="33">
        <f t="shared" si="221"/>
        <v>1000</v>
      </c>
      <c r="D855" s="33">
        <f>'Battery Pricing Model'!$C$17</f>
        <v>1000</v>
      </c>
      <c r="E855" s="33">
        <f t="shared" si="222"/>
        <v>999</v>
      </c>
      <c r="F855" s="33" t="str">
        <f>'Peak Models'!$B$4</f>
        <v>Default</v>
      </c>
      <c r="G855" s="33" t="e">
        <f>'Peak Models'!$Q$7</f>
        <v>#VALUE!</v>
      </c>
      <c r="H855" s="33">
        <f>'Peak Models'!$P$16</f>
        <v>1.5</v>
      </c>
      <c r="I855" s="33">
        <v>12</v>
      </c>
      <c r="J855" s="33" t="e">
        <f>'Peak Models'!$P$13</f>
        <v>#N/A</v>
      </c>
      <c r="K855" s="28" t="e">
        <f t="shared" si="223"/>
        <v>#VALUE!</v>
      </c>
      <c r="L855" s="28" t="e">
        <f>INDEX('Peak Models'!$P$34:$P$64, MATCH(TRUNC(B855, 0), 'Peak Models'!$O$34:$O$64, 0))</f>
        <v>#N/A</v>
      </c>
      <c r="M855" s="28">
        <f>'Peak Models'!$P$15*INDEX('Peak Models'!$Q$34:$Q$64, MATCH(TRUNC(B855, 0),'Peak Models'!$O$34:$O$64, 0))/'Profit per cycles Model'!$E$78</f>
        <v>8.3040502706804666</v>
      </c>
      <c r="N855" s="28" t="e">
        <f t="shared" si="224"/>
        <v>#N/A</v>
      </c>
      <c r="O855" s="71" t="e">
        <f>AVERAGE($N$10:N855)</f>
        <v>#N/A</v>
      </c>
      <c r="P855" s="28" t="e">
        <f t="shared" si="225"/>
        <v>#N/A</v>
      </c>
      <c r="R855" s="28" t="e">
        <f t="shared" si="226"/>
        <v>#VALUE!</v>
      </c>
      <c r="S855" s="25"/>
      <c r="T855" s="25">
        <f t="shared" si="227"/>
        <v>15</v>
      </c>
      <c r="U855" s="33">
        <f>IF(PaybackCustom&gt;0, IF(PaybackCustom&lt;&gt;"Default", PaybackCustom, IF(PaybackStatus&lt;&gt;"",INDEX('Arbitrage Payback Engine'!$Y$2:$Y$6,MATCH(PaybackStatus,'Arbitrage Payback Engine'!$X$2:$X$6,FALSE)),-1)))</f>
        <v>25</v>
      </c>
      <c r="V855" s="32">
        <f t="shared" si="236"/>
        <v>15</v>
      </c>
      <c r="X855" s="29">
        <f t="shared" si="237"/>
        <v>846</v>
      </c>
      <c r="Z855" s="30">
        <f t="shared" si="228"/>
        <v>23.174907546911381</v>
      </c>
      <c r="AA855" s="28" t="e">
        <f t="shared" si="229"/>
        <v>#N/A</v>
      </c>
      <c r="AB855" s="28" t="e">
        <f t="shared" si="230"/>
        <v>#VALUE!</v>
      </c>
      <c r="AC855" s="29">
        <f t="shared" si="231"/>
        <v>802.65654648956354</v>
      </c>
      <c r="AD855" s="28" t="e">
        <f t="shared" si="232"/>
        <v>#VALUE!</v>
      </c>
      <c r="AE855" s="28" t="e">
        <f t="shared" si="233"/>
        <v>#N/A</v>
      </c>
      <c r="AF855" s="28" t="e">
        <f t="shared" si="234"/>
        <v>#VALUE!</v>
      </c>
      <c r="AH855" s="31" t="e">
        <f t="shared" si="235"/>
        <v>#N/A</v>
      </c>
      <c r="AI855" s="25"/>
      <c r="AJ855" s="31"/>
    </row>
    <row r="856" spans="2:36" x14ac:dyDescent="0.25">
      <c r="B856" s="33">
        <f>'Arbitrage Payback Engine'!E856</f>
        <v>23.202301054650047</v>
      </c>
      <c r="C856" s="33">
        <f t="shared" si="221"/>
        <v>1000</v>
      </c>
      <c r="D856" s="33">
        <f>'Battery Pricing Model'!$C$17</f>
        <v>1000</v>
      </c>
      <c r="E856" s="33">
        <f t="shared" si="222"/>
        <v>999</v>
      </c>
      <c r="F856" s="33" t="str">
        <f>'Peak Models'!$B$4</f>
        <v>Default</v>
      </c>
      <c r="G856" s="33" t="e">
        <f>'Peak Models'!$Q$7</f>
        <v>#VALUE!</v>
      </c>
      <c r="H856" s="33">
        <f>'Peak Models'!$P$16</f>
        <v>1.5</v>
      </c>
      <c r="I856" s="33">
        <v>12</v>
      </c>
      <c r="J856" s="33" t="e">
        <f>'Peak Models'!$P$13</f>
        <v>#N/A</v>
      </c>
      <c r="K856" s="28" t="e">
        <f t="shared" si="223"/>
        <v>#VALUE!</v>
      </c>
      <c r="L856" s="28" t="e">
        <f>INDEX('Peak Models'!$P$34:$P$64, MATCH(TRUNC(B856, 0), 'Peak Models'!$O$34:$O$64, 0))</f>
        <v>#N/A</v>
      </c>
      <c r="M856" s="28">
        <f>'Peak Models'!$P$15*INDEX('Peak Models'!$Q$34:$Q$64, MATCH(TRUNC(B856, 0),'Peak Models'!$O$34:$O$64, 0))/'Profit per cycles Model'!$E$78</f>
        <v>8.3040502706804666</v>
      </c>
      <c r="N856" s="28" t="e">
        <f t="shared" si="224"/>
        <v>#N/A</v>
      </c>
      <c r="O856" s="71" t="e">
        <f>AVERAGE($N$10:N856)</f>
        <v>#N/A</v>
      </c>
      <c r="P856" s="28" t="e">
        <f t="shared" si="225"/>
        <v>#N/A</v>
      </c>
      <c r="R856" s="28" t="e">
        <f t="shared" si="226"/>
        <v>#VALUE!</v>
      </c>
      <c r="S856" s="25"/>
      <c r="T856" s="25">
        <f t="shared" si="227"/>
        <v>15</v>
      </c>
      <c r="U856" s="33">
        <f>IF(PaybackCustom&gt;0, IF(PaybackCustom&lt;&gt;"Default", PaybackCustom, IF(PaybackStatus&lt;&gt;"",INDEX('Arbitrage Payback Engine'!$Y$2:$Y$6,MATCH(PaybackStatus,'Arbitrage Payback Engine'!$X$2:$X$6,FALSE)),-1)))</f>
        <v>25</v>
      </c>
      <c r="V856" s="32">
        <f t="shared" si="236"/>
        <v>15</v>
      </c>
      <c r="X856" s="29">
        <f t="shared" si="237"/>
        <v>847</v>
      </c>
      <c r="Z856" s="30">
        <f t="shared" si="228"/>
        <v>23.202301054650047</v>
      </c>
      <c r="AA856" s="28" t="e">
        <f t="shared" si="229"/>
        <v>#N/A</v>
      </c>
      <c r="AB856" s="28" t="e">
        <f t="shared" si="230"/>
        <v>#VALUE!</v>
      </c>
      <c r="AC856" s="29">
        <f t="shared" si="231"/>
        <v>803.60531309297915</v>
      </c>
      <c r="AD856" s="28" t="e">
        <f t="shared" si="232"/>
        <v>#VALUE!</v>
      </c>
      <c r="AE856" s="28" t="e">
        <f t="shared" si="233"/>
        <v>#N/A</v>
      </c>
      <c r="AF856" s="28" t="e">
        <f t="shared" si="234"/>
        <v>#VALUE!</v>
      </c>
      <c r="AH856" s="31" t="e">
        <f t="shared" si="235"/>
        <v>#N/A</v>
      </c>
      <c r="AI856" s="25"/>
      <c r="AJ856" s="31"/>
    </row>
    <row r="857" spans="2:36" x14ac:dyDescent="0.25">
      <c r="B857" s="33">
        <f>'Arbitrage Payback Engine'!E857</f>
        <v>23.229694562388712</v>
      </c>
      <c r="C857" s="33">
        <f t="shared" si="221"/>
        <v>1000</v>
      </c>
      <c r="D857" s="33">
        <f>'Battery Pricing Model'!$C$17</f>
        <v>1000</v>
      </c>
      <c r="E857" s="33">
        <f t="shared" si="222"/>
        <v>999</v>
      </c>
      <c r="F857" s="33" t="str">
        <f>'Peak Models'!$B$4</f>
        <v>Default</v>
      </c>
      <c r="G857" s="33" t="e">
        <f>'Peak Models'!$Q$7</f>
        <v>#VALUE!</v>
      </c>
      <c r="H857" s="33">
        <f>'Peak Models'!$P$16</f>
        <v>1.5</v>
      </c>
      <c r="I857" s="33">
        <v>12</v>
      </c>
      <c r="J857" s="33" t="e">
        <f>'Peak Models'!$P$13</f>
        <v>#N/A</v>
      </c>
      <c r="K857" s="28" t="e">
        <f t="shared" si="223"/>
        <v>#VALUE!</v>
      </c>
      <c r="L857" s="28" t="e">
        <f>INDEX('Peak Models'!$P$34:$P$64, MATCH(TRUNC(B857, 0), 'Peak Models'!$O$34:$O$64, 0))</f>
        <v>#N/A</v>
      </c>
      <c r="M857" s="28">
        <f>'Peak Models'!$P$15*INDEX('Peak Models'!$Q$34:$Q$64, MATCH(TRUNC(B857, 0),'Peak Models'!$O$34:$O$64, 0))/'Profit per cycles Model'!$E$78</f>
        <v>8.3040502706804666</v>
      </c>
      <c r="N857" s="28" t="e">
        <f t="shared" si="224"/>
        <v>#N/A</v>
      </c>
      <c r="O857" s="71" t="e">
        <f>AVERAGE($N$10:N857)</f>
        <v>#N/A</v>
      </c>
      <c r="P857" s="28" t="e">
        <f t="shared" si="225"/>
        <v>#N/A</v>
      </c>
      <c r="R857" s="28" t="e">
        <f t="shared" si="226"/>
        <v>#VALUE!</v>
      </c>
      <c r="S857" s="25"/>
      <c r="T857" s="25">
        <f t="shared" si="227"/>
        <v>15</v>
      </c>
      <c r="U857" s="33">
        <f>IF(PaybackCustom&gt;0, IF(PaybackCustom&lt;&gt;"Default", PaybackCustom, IF(PaybackStatus&lt;&gt;"",INDEX('Arbitrage Payback Engine'!$Y$2:$Y$6,MATCH(PaybackStatus,'Arbitrage Payback Engine'!$X$2:$X$6,FALSE)),-1)))</f>
        <v>25</v>
      </c>
      <c r="V857" s="32">
        <f t="shared" si="236"/>
        <v>15</v>
      </c>
      <c r="X857" s="29">
        <f t="shared" si="237"/>
        <v>848</v>
      </c>
      <c r="Z857" s="30">
        <f t="shared" si="228"/>
        <v>23.229694562388712</v>
      </c>
      <c r="AA857" s="28" t="e">
        <f t="shared" si="229"/>
        <v>#N/A</v>
      </c>
      <c r="AB857" s="28" t="e">
        <f t="shared" si="230"/>
        <v>#VALUE!</v>
      </c>
      <c r="AC857" s="29">
        <f t="shared" si="231"/>
        <v>804.55407969639464</v>
      </c>
      <c r="AD857" s="28" t="e">
        <f t="shared" si="232"/>
        <v>#VALUE!</v>
      </c>
      <c r="AE857" s="28" t="e">
        <f t="shared" si="233"/>
        <v>#N/A</v>
      </c>
      <c r="AF857" s="28" t="e">
        <f t="shared" si="234"/>
        <v>#VALUE!</v>
      </c>
      <c r="AH857" s="31" t="e">
        <f t="shared" si="235"/>
        <v>#N/A</v>
      </c>
      <c r="AI857" s="25"/>
      <c r="AJ857" s="31"/>
    </row>
    <row r="858" spans="2:36" x14ac:dyDescent="0.25">
      <c r="B858" s="33">
        <f>'Arbitrage Payback Engine'!E858</f>
        <v>23.257088070127381</v>
      </c>
      <c r="C858" s="33">
        <f t="shared" si="221"/>
        <v>1000</v>
      </c>
      <c r="D858" s="33">
        <f>'Battery Pricing Model'!$C$17</f>
        <v>1000</v>
      </c>
      <c r="E858" s="33">
        <f t="shared" si="222"/>
        <v>999</v>
      </c>
      <c r="F858" s="33" t="str">
        <f>'Peak Models'!$B$4</f>
        <v>Default</v>
      </c>
      <c r="G858" s="33" t="e">
        <f>'Peak Models'!$Q$7</f>
        <v>#VALUE!</v>
      </c>
      <c r="H858" s="33">
        <f>'Peak Models'!$P$16</f>
        <v>1.5</v>
      </c>
      <c r="I858" s="33">
        <v>12</v>
      </c>
      <c r="J858" s="33" t="e">
        <f>'Peak Models'!$P$13</f>
        <v>#N/A</v>
      </c>
      <c r="K858" s="28" t="e">
        <f t="shared" si="223"/>
        <v>#VALUE!</v>
      </c>
      <c r="L858" s="28" t="e">
        <f>INDEX('Peak Models'!$P$34:$P$64, MATCH(TRUNC(B858, 0), 'Peak Models'!$O$34:$O$64, 0))</f>
        <v>#N/A</v>
      </c>
      <c r="M858" s="28">
        <f>'Peak Models'!$P$15*INDEX('Peak Models'!$Q$34:$Q$64, MATCH(TRUNC(B858, 0),'Peak Models'!$O$34:$O$64, 0))/'Profit per cycles Model'!$E$78</f>
        <v>8.3040502706804666</v>
      </c>
      <c r="N858" s="28" t="e">
        <f t="shared" si="224"/>
        <v>#N/A</v>
      </c>
      <c r="O858" s="71" t="e">
        <f>AVERAGE($N$10:N858)</f>
        <v>#N/A</v>
      </c>
      <c r="P858" s="28" t="e">
        <f t="shared" si="225"/>
        <v>#N/A</v>
      </c>
      <c r="R858" s="28" t="e">
        <f t="shared" si="226"/>
        <v>#VALUE!</v>
      </c>
      <c r="S858" s="25"/>
      <c r="T858" s="25">
        <f t="shared" si="227"/>
        <v>15</v>
      </c>
      <c r="U858" s="33">
        <f>IF(PaybackCustom&gt;0, IF(PaybackCustom&lt;&gt;"Default", PaybackCustom, IF(PaybackStatus&lt;&gt;"",INDEX('Arbitrage Payback Engine'!$Y$2:$Y$6,MATCH(PaybackStatus,'Arbitrage Payback Engine'!$X$2:$X$6,FALSE)),-1)))</f>
        <v>25</v>
      </c>
      <c r="V858" s="32">
        <f t="shared" si="236"/>
        <v>15</v>
      </c>
      <c r="X858" s="29">
        <f t="shared" si="237"/>
        <v>849</v>
      </c>
      <c r="Z858" s="30">
        <f t="shared" si="228"/>
        <v>23.257088070127381</v>
      </c>
      <c r="AA858" s="28" t="e">
        <f t="shared" si="229"/>
        <v>#N/A</v>
      </c>
      <c r="AB858" s="28" t="e">
        <f t="shared" si="230"/>
        <v>#VALUE!</v>
      </c>
      <c r="AC858" s="29">
        <f t="shared" si="231"/>
        <v>805.50284629981036</v>
      </c>
      <c r="AD858" s="28" t="e">
        <f t="shared" si="232"/>
        <v>#VALUE!</v>
      </c>
      <c r="AE858" s="28" t="e">
        <f t="shared" si="233"/>
        <v>#N/A</v>
      </c>
      <c r="AF858" s="28" t="e">
        <f t="shared" si="234"/>
        <v>#VALUE!</v>
      </c>
      <c r="AH858" s="31" t="e">
        <f t="shared" si="235"/>
        <v>#N/A</v>
      </c>
      <c r="AI858" s="25"/>
      <c r="AJ858" s="31"/>
    </row>
    <row r="859" spans="2:36" x14ac:dyDescent="0.25">
      <c r="B859" s="33">
        <f>'Arbitrage Payback Engine'!E859</f>
        <v>23.284481577866046</v>
      </c>
      <c r="C859" s="33">
        <f t="shared" si="221"/>
        <v>1000</v>
      </c>
      <c r="D859" s="33">
        <f>'Battery Pricing Model'!$C$17</f>
        <v>1000</v>
      </c>
      <c r="E859" s="33">
        <f t="shared" si="222"/>
        <v>999</v>
      </c>
      <c r="F859" s="33" t="str">
        <f>'Peak Models'!$B$4</f>
        <v>Default</v>
      </c>
      <c r="G859" s="33" t="e">
        <f>'Peak Models'!$Q$7</f>
        <v>#VALUE!</v>
      </c>
      <c r="H859" s="33">
        <f>'Peak Models'!$P$16</f>
        <v>1.5</v>
      </c>
      <c r="I859" s="33">
        <v>12</v>
      </c>
      <c r="J859" s="33" t="e">
        <f>'Peak Models'!$P$13</f>
        <v>#N/A</v>
      </c>
      <c r="K859" s="28" t="e">
        <f t="shared" si="223"/>
        <v>#VALUE!</v>
      </c>
      <c r="L859" s="28" t="e">
        <f>INDEX('Peak Models'!$P$34:$P$64, MATCH(TRUNC(B859, 0), 'Peak Models'!$O$34:$O$64, 0))</f>
        <v>#N/A</v>
      </c>
      <c r="M859" s="28">
        <f>'Peak Models'!$P$15*INDEX('Peak Models'!$Q$34:$Q$64, MATCH(TRUNC(B859, 0),'Peak Models'!$O$34:$O$64, 0))/'Profit per cycles Model'!$E$78</f>
        <v>8.3040502706804666</v>
      </c>
      <c r="N859" s="28" t="e">
        <f t="shared" si="224"/>
        <v>#N/A</v>
      </c>
      <c r="O859" s="71" t="e">
        <f>AVERAGE($N$10:N859)</f>
        <v>#N/A</v>
      </c>
      <c r="P859" s="28" t="e">
        <f t="shared" si="225"/>
        <v>#N/A</v>
      </c>
      <c r="R859" s="28" t="e">
        <f t="shared" si="226"/>
        <v>#VALUE!</v>
      </c>
      <c r="S859" s="25"/>
      <c r="T859" s="25">
        <f t="shared" si="227"/>
        <v>15</v>
      </c>
      <c r="U859" s="33">
        <f>IF(PaybackCustom&gt;0, IF(PaybackCustom&lt;&gt;"Default", PaybackCustom, IF(PaybackStatus&lt;&gt;"",INDEX('Arbitrage Payback Engine'!$Y$2:$Y$6,MATCH(PaybackStatus,'Arbitrage Payback Engine'!$X$2:$X$6,FALSE)),-1)))</f>
        <v>25</v>
      </c>
      <c r="V859" s="32">
        <f t="shared" si="236"/>
        <v>15</v>
      </c>
      <c r="X859" s="29">
        <f t="shared" si="237"/>
        <v>850</v>
      </c>
      <c r="Z859" s="30">
        <f t="shared" si="228"/>
        <v>23.284481577866046</v>
      </c>
      <c r="AA859" s="28" t="e">
        <f t="shared" si="229"/>
        <v>#N/A</v>
      </c>
      <c r="AB859" s="28" t="e">
        <f t="shared" si="230"/>
        <v>#VALUE!</v>
      </c>
      <c r="AC859" s="29">
        <f t="shared" si="231"/>
        <v>806.45161290322585</v>
      </c>
      <c r="AD859" s="28" t="e">
        <f t="shared" si="232"/>
        <v>#VALUE!</v>
      </c>
      <c r="AE859" s="28" t="e">
        <f t="shared" si="233"/>
        <v>#N/A</v>
      </c>
      <c r="AF859" s="28" t="e">
        <f t="shared" si="234"/>
        <v>#VALUE!</v>
      </c>
      <c r="AH859" s="31" t="e">
        <f t="shared" si="235"/>
        <v>#N/A</v>
      </c>
      <c r="AI859" s="25"/>
      <c r="AJ859" s="31"/>
    </row>
    <row r="860" spans="2:36" x14ac:dyDescent="0.25">
      <c r="B860" s="33">
        <f>'Arbitrage Payback Engine'!E860</f>
        <v>23.311875085604711</v>
      </c>
      <c r="C860" s="33">
        <f t="shared" si="221"/>
        <v>1000</v>
      </c>
      <c r="D860" s="33">
        <f>'Battery Pricing Model'!$C$17</f>
        <v>1000</v>
      </c>
      <c r="E860" s="33">
        <f t="shared" si="222"/>
        <v>999</v>
      </c>
      <c r="F860" s="33" t="str">
        <f>'Peak Models'!$B$4</f>
        <v>Default</v>
      </c>
      <c r="G860" s="33" t="e">
        <f>'Peak Models'!$Q$7</f>
        <v>#VALUE!</v>
      </c>
      <c r="H860" s="33">
        <f>'Peak Models'!$P$16</f>
        <v>1.5</v>
      </c>
      <c r="I860" s="33">
        <v>12</v>
      </c>
      <c r="J860" s="33" t="e">
        <f>'Peak Models'!$P$13</f>
        <v>#N/A</v>
      </c>
      <c r="K860" s="28" t="e">
        <f t="shared" si="223"/>
        <v>#VALUE!</v>
      </c>
      <c r="L860" s="28" t="e">
        <f>INDEX('Peak Models'!$P$34:$P$64, MATCH(TRUNC(B860, 0), 'Peak Models'!$O$34:$O$64, 0))</f>
        <v>#N/A</v>
      </c>
      <c r="M860" s="28">
        <f>'Peak Models'!$P$15*INDEX('Peak Models'!$Q$34:$Q$64, MATCH(TRUNC(B860, 0),'Peak Models'!$O$34:$O$64, 0))/'Profit per cycles Model'!$E$78</f>
        <v>8.3040502706804666</v>
      </c>
      <c r="N860" s="28" t="e">
        <f t="shared" si="224"/>
        <v>#N/A</v>
      </c>
      <c r="O860" s="71" t="e">
        <f>AVERAGE($N$10:N860)</f>
        <v>#N/A</v>
      </c>
      <c r="P860" s="28" t="e">
        <f t="shared" si="225"/>
        <v>#N/A</v>
      </c>
      <c r="R860" s="28" t="e">
        <f t="shared" si="226"/>
        <v>#VALUE!</v>
      </c>
      <c r="S860" s="25"/>
      <c r="T860" s="25">
        <f t="shared" si="227"/>
        <v>15</v>
      </c>
      <c r="U860" s="33">
        <f>IF(PaybackCustom&gt;0, IF(PaybackCustom&lt;&gt;"Default", PaybackCustom, IF(PaybackStatus&lt;&gt;"",INDEX('Arbitrage Payback Engine'!$Y$2:$Y$6,MATCH(PaybackStatus,'Arbitrage Payback Engine'!$X$2:$X$6,FALSE)),-1)))</f>
        <v>25</v>
      </c>
      <c r="V860" s="32">
        <f t="shared" si="236"/>
        <v>15</v>
      </c>
      <c r="X860" s="29">
        <f t="shared" si="237"/>
        <v>851</v>
      </c>
      <c r="Z860" s="30">
        <f t="shared" si="228"/>
        <v>23.311875085604711</v>
      </c>
      <c r="AA860" s="28" t="e">
        <f t="shared" si="229"/>
        <v>#N/A</v>
      </c>
      <c r="AB860" s="28" t="e">
        <f t="shared" si="230"/>
        <v>#VALUE!</v>
      </c>
      <c r="AC860" s="29">
        <f t="shared" si="231"/>
        <v>807.40037950664146</v>
      </c>
      <c r="AD860" s="28" t="e">
        <f t="shared" si="232"/>
        <v>#VALUE!</v>
      </c>
      <c r="AE860" s="28" t="e">
        <f t="shared" si="233"/>
        <v>#N/A</v>
      </c>
      <c r="AF860" s="28" t="e">
        <f t="shared" si="234"/>
        <v>#VALUE!</v>
      </c>
      <c r="AH860" s="31" t="e">
        <f t="shared" si="235"/>
        <v>#N/A</v>
      </c>
      <c r="AI860" s="25"/>
      <c r="AJ860" s="31"/>
    </row>
    <row r="861" spans="2:36" x14ac:dyDescent="0.25">
      <c r="B861" s="33">
        <f>'Arbitrage Payback Engine'!E861</f>
        <v>23.339268593343377</v>
      </c>
      <c r="C861" s="33">
        <f t="shared" si="221"/>
        <v>1000</v>
      </c>
      <c r="D861" s="33">
        <f>'Battery Pricing Model'!$C$17</f>
        <v>1000</v>
      </c>
      <c r="E861" s="33">
        <f t="shared" si="222"/>
        <v>999</v>
      </c>
      <c r="F861" s="33" t="str">
        <f>'Peak Models'!$B$4</f>
        <v>Default</v>
      </c>
      <c r="G861" s="33" t="e">
        <f>'Peak Models'!$Q$7</f>
        <v>#VALUE!</v>
      </c>
      <c r="H861" s="33">
        <f>'Peak Models'!$P$16</f>
        <v>1.5</v>
      </c>
      <c r="I861" s="33">
        <v>12</v>
      </c>
      <c r="J861" s="33" t="e">
        <f>'Peak Models'!$P$13</f>
        <v>#N/A</v>
      </c>
      <c r="K861" s="28" t="e">
        <f t="shared" si="223"/>
        <v>#VALUE!</v>
      </c>
      <c r="L861" s="28" t="e">
        <f>INDEX('Peak Models'!$P$34:$P$64, MATCH(TRUNC(B861, 0), 'Peak Models'!$O$34:$O$64, 0))</f>
        <v>#N/A</v>
      </c>
      <c r="M861" s="28">
        <f>'Peak Models'!$P$15*INDEX('Peak Models'!$Q$34:$Q$64, MATCH(TRUNC(B861, 0),'Peak Models'!$O$34:$O$64, 0))/'Profit per cycles Model'!$E$78</f>
        <v>8.3040502706804666</v>
      </c>
      <c r="N861" s="28" t="e">
        <f t="shared" si="224"/>
        <v>#N/A</v>
      </c>
      <c r="O861" s="71" t="e">
        <f>AVERAGE($N$10:N861)</f>
        <v>#N/A</v>
      </c>
      <c r="P861" s="28" t="e">
        <f t="shared" si="225"/>
        <v>#N/A</v>
      </c>
      <c r="R861" s="28" t="e">
        <f t="shared" si="226"/>
        <v>#VALUE!</v>
      </c>
      <c r="S861" s="25"/>
      <c r="T861" s="25">
        <f t="shared" si="227"/>
        <v>15</v>
      </c>
      <c r="U861" s="33">
        <f>IF(PaybackCustom&gt;0, IF(PaybackCustom&lt;&gt;"Default", PaybackCustom, IF(PaybackStatus&lt;&gt;"",INDEX('Arbitrage Payback Engine'!$Y$2:$Y$6,MATCH(PaybackStatus,'Arbitrage Payback Engine'!$X$2:$X$6,FALSE)),-1)))</f>
        <v>25</v>
      </c>
      <c r="V861" s="32">
        <f t="shared" si="236"/>
        <v>15</v>
      </c>
      <c r="X861" s="29">
        <f t="shared" si="237"/>
        <v>852</v>
      </c>
      <c r="Z861" s="30">
        <f t="shared" si="228"/>
        <v>23.339268593343377</v>
      </c>
      <c r="AA861" s="28" t="e">
        <f t="shared" si="229"/>
        <v>#N/A</v>
      </c>
      <c r="AB861" s="28" t="e">
        <f t="shared" si="230"/>
        <v>#VALUE!</v>
      </c>
      <c r="AC861" s="29">
        <f t="shared" si="231"/>
        <v>808.34914611005684</v>
      </c>
      <c r="AD861" s="28" t="e">
        <f t="shared" si="232"/>
        <v>#VALUE!</v>
      </c>
      <c r="AE861" s="28" t="e">
        <f t="shared" si="233"/>
        <v>#N/A</v>
      </c>
      <c r="AF861" s="28" t="e">
        <f t="shared" si="234"/>
        <v>#VALUE!</v>
      </c>
      <c r="AH861" s="31" t="e">
        <f t="shared" si="235"/>
        <v>#N/A</v>
      </c>
      <c r="AI861" s="25"/>
      <c r="AJ861" s="31"/>
    </row>
    <row r="862" spans="2:36" x14ac:dyDescent="0.25">
      <c r="B862" s="33">
        <f>'Arbitrage Payback Engine'!E862</f>
        <v>23.366662101082042</v>
      </c>
      <c r="C862" s="33">
        <f t="shared" si="221"/>
        <v>1000</v>
      </c>
      <c r="D862" s="33">
        <f>'Battery Pricing Model'!$C$17</f>
        <v>1000</v>
      </c>
      <c r="E862" s="33">
        <f t="shared" si="222"/>
        <v>999</v>
      </c>
      <c r="F862" s="33" t="str">
        <f>'Peak Models'!$B$4</f>
        <v>Default</v>
      </c>
      <c r="G862" s="33" t="e">
        <f>'Peak Models'!$Q$7</f>
        <v>#VALUE!</v>
      </c>
      <c r="H862" s="33">
        <f>'Peak Models'!$P$16</f>
        <v>1.5</v>
      </c>
      <c r="I862" s="33">
        <v>12</v>
      </c>
      <c r="J862" s="33" t="e">
        <f>'Peak Models'!$P$13</f>
        <v>#N/A</v>
      </c>
      <c r="K862" s="28" t="e">
        <f t="shared" si="223"/>
        <v>#VALUE!</v>
      </c>
      <c r="L862" s="28" t="e">
        <f>INDEX('Peak Models'!$P$34:$P$64, MATCH(TRUNC(B862, 0), 'Peak Models'!$O$34:$O$64, 0))</f>
        <v>#N/A</v>
      </c>
      <c r="M862" s="28">
        <f>'Peak Models'!$P$15*INDEX('Peak Models'!$Q$34:$Q$64, MATCH(TRUNC(B862, 0),'Peak Models'!$O$34:$O$64, 0))/'Profit per cycles Model'!$E$78</f>
        <v>8.3040502706804666</v>
      </c>
      <c r="N862" s="28" t="e">
        <f t="shared" si="224"/>
        <v>#N/A</v>
      </c>
      <c r="O862" s="71" t="e">
        <f>AVERAGE($N$10:N862)</f>
        <v>#N/A</v>
      </c>
      <c r="P862" s="28" t="e">
        <f t="shared" si="225"/>
        <v>#N/A</v>
      </c>
      <c r="R862" s="28" t="e">
        <f t="shared" si="226"/>
        <v>#VALUE!</v>
      </c>
      <c r="S862" s="25"/>
      <c r="T862" s="25">
        <f t="shared" si="227"/>
        <v>15</v>
      </c>
      <c r="U862" s="33">
        <f>IF(PaybackCustom&gt;0, IF(PaybackCustom&lt;&gt;"Default", PaybackCustom, IF(PaybackStatus&lt;&gt;"",INDEX('Arbitrage Payback Engine'!$Y$2:$Y$6,MATCH(PaybackStatus,'Arbitrage Payback Engine'!$X$2:$X$6,FALSE)),-1)))</f>
        <v>25</v>
      </c>
      <c r="V862" s="32">
        <f t="shared" si="236"/>
        <v>15</v>
      </c>
      <c r="X862" s="29">
        <f t="shared" si="237"/>
        <v>853</v>
      </c>
      <c r="Z862" s="30">
        <f t="shared" si="228"/>
        <v>23.366662101082042</v>
      </c>
      <c r="AA862" s="28" t="e">
        <f t="shared" si="229"/>
        <v>#N/A</v>
      </c>
      <c r="AB862" s="28" t="e">
        <f t="shared" si="230"/>
        <v>#VALUE!</v>
      </c>
      <c r="AC862" s="29">
        <f t="shared" si="231"/>
        <v>809.29791271347244</v>
      </c>
      <c r="AD862" s="28" t="e">
        <f t="shared" si="232"/>
        <v>#VALUE!</v>
      </c>
      <c r="AE862" s="28" t="e">
        <f t="shared" si="233"/>
        <v>#N/A</v>
      </c>
      <c r="AF862" s="28" t="e">
        <f t="shared" si="234"/>
        <v>#VALUE!</v>
      </c>
      <c r="AH862" s="31" t="e">
        <f t="shared" si="235"/>
        <v>#N/A</v>
      </c>
      <c r="AI862" s="25"/>
      <c r="AJ862" s="31"/>
    </row>
    <row r="863" spans="2:36" x14ac:dyDescent="0.25">
      <c r="B863" s="33">
        <f>'Arbitrage Payback Engine'!E863</f>
        <v>23.394055608820707</v>
      </c>
      <c r="C863" s="33">
        <f t="shared" si="221"/>
        <v>1000</v>
      </c>
      <c r="D863" s="33">
        <f>'Battery Pricing Model'!$C$17</f>
        <v>1000</v>
      </c>
      <c r="E863" s="33">
        <f t="shared" si="222"/>
        <v>999</v>
      </c>
      <c r="F863" s="33" t="str">
        <f>'Peak Models'!$B$4</f>
        <v>Default</v>
      </c>
      <c r="G863" s="33" t="e">
        <f>'Peak Models'!$Q$7</f>
        <v>#VALUE!</v>
      </c>
      <c r="H863" s="33">
        <f>'Peak Models'!$P$16</f>
        <v>1.5</v>
      </c>
      <c r="I863" s="33">
        <v>12</v>
      </c>
      <c r="J863" s="33" t="e">
        <f>'Peak Models'!$P$13</f>
        <v>#N/A</v>
      </c>
      <c r="K863" s="28" t="e">
        <f t="shared" si="223"/>
        <v>#VALUE!</v>
      </c>
      <c r="L863" s="28" t="e">
        <f>INDEX('Peak Models'!$P$34:$P$64, MATCH(TRUNC(B863, 0), 'Peak Models'!$O$34:$O$64, 0))</f>
        <v>#N/A</v>
      </c>
      <c r="M863" s="28">
        <f>'Peak Models'!$P$15*INDEX('Peak Models'!$Q$34:$Q$64, MATCH(TRUNC(B863, 0),'Peak Models'!$O$34:$O$64, 0))/'Profit per cycles Model'!$E$78</f>
        <v>8.3040502706804666</v>
      </c>
      <c r="N863" s="28" t="e">
        <f t="shared" si="224"/>
        <v>#N/A</v>
      </c>
      <c r="O863" s="71" t="e">
        <f>AVERAGE($N$10:N863)</f>
        <v>#N/A</v>
      </c>
      <c r="P863" s="28" t="e">
        <f t="shared" si="225"/>
        <v>#N/A</v>
      </c>
      <c r="R863" s="28" t="e">
        <f t="shared" si="226"/>
        <v>#VALUE!</v>
      </c>
      <c r="S863" s="25"/>
      <c r="T863" s="25">
        <f t="shared" si="227"/>
        <v>15</v>
      </c>
      <c r="U863" s="33">
        <f>IF(PaybackCustom&gt;0, IF(PaybackCustom&lt;&gt;"Default", PaybackCustom, IF(PaybackStatus&lt;&gt;"",INDEX('Arbitrage Payback Engine'!$Y$2:$Y$6,MATCH(PaybackStatus,'Arbitrage Payback Engine'!$X$2:$X$6,FALSE)),-1)))</f>
        <v>25</v>
      </c>
      <c r="V863" s="32">
        <f t="shared" si="236"/>
        <v>15</v>
      </c>
      <c r="X863" s="29">
        <f t="shared" si="237"/>
        <v>854</v>
      </c>
      <c r="Z863" s="30">
        <f t="shared" si="228"/>
        <v>23.394055608820707</v>
      </c>
      <c r="AA863" s="28" t="e">
        <f t="shared" si="229"/>
        <v>#N/A</v>
      </c>
      <c r="AB863" s="28" t="e">
        <f t="shared" si="230"/>
        <v>#VALUE!</v>
      </c>
      <c r="AC863" s="29">
        <f t="shared" si="231"/>
        <v>810.24667931688805</v>
      </c>
      <c r="AD863" s="28" t="e">
        <f t="shared" si="232"/>
        <v>#VALUE!</v>
      </c>
      <c r="AE863" s="28" t="e">
        <f t="shared" si="233"/>
        <v>#N/A</v>
      </c>
      <c r="AF863" s="28" t="e">
        <f t="shared" si="234"/>
        <v>#VALUE!</v>
      </c>
      <c r="AH863" s="31" t="e">
        <f t="shared" si="235"/>
        <v>#N/A</v>
      </c>
      <c r="AI863" s="25"/>
      <c r="AJ863" s="31"/>
    </row>
    <row r="864" spans="2:36" x14ac:dyDescent="0.25">
      <c r="B864" s="33">
        <f>'Arbitrage Payback Engine'!E864</f>
        <v>23.421449116559376</v>
      </c>
      <c r="C864" s="33">
        <f t="shared" si="221"/>
        <v>1000</v>
      </c>
      <c r="D864" s="33">
        <f>'Battery Pricing Model'!$C$17</f>
        <v>1000</v>
      </c>
      <c r="E864" s="33">
        <f t="shared" si="222"/>
        <v>999</v>
      </c>
      <c r="F864" s="33" t="str">
        <f>'Peak Models'!$B$4</f>
        <v>Default</v>
      </c>
      <c r="G864" s="33" t="e">
        <f>'Peak Models'!$Q$7</f>
        <v>#VALUE!</v>
      </c>
      <c r="H864" s="33">
        <f>'Peak Models'!$P$16</f>
        <v>1.5</v>
      </c>
      <c r="I864" s="33">
        <v>12</v>
      </c>
      <c r="J864" s="33" t="e">
        <f>'Peak Models'!$P$13</f>
        <v>#N/A</v>
      </c>
      <c r="K864" s="28" t="e">
        <f t="shared" si="223"/>
        <v>#VALUE!</v>
      </c>
      <c r="L864" s="28" t="e">
        <f>INDEX('Peak Models'!$P$34:$P$64, MATCH(TRUNC(B864, 0), 'Peak Models'!$O$34:$O$64, 0))</f>
        <v>#N/A</v>
      </c>
      <c r="M864" s="28">
        <f>'Peak Models'!$P$15*INDEX('Peak Models'!$Q$34:$Q$64, MATCH(TRUNC(B864, 0),'Peak Models'!$O$34:$O$64, 0))/'Profit per cycles Model'!$E$78</f>
        <v>8.3040502706804666</v>
      </c>
      <c r="N864" s="28" t="e">
        <f t="shared" si="224"/>
        <v>#N/A</v>
      </c>
      <c r="O864" s="71" t="e">
        <f>AVERAGE($N$10:N864)</f>
        <v>#N/A</v>
      </c>
      <c r="P864" s="28" t="e">
        <f t="shared" si="225"/>
        <v>#N/A</v>
      </c>
      <c r="R864" s="28" t="e">
        <f t="shared" si="226"/>
        <v>#VALUE!</v>
      </c>
      <c r="S864" s="25"/>
      <c r="T864" s="25">
        <f t="shared" si="227"/>
        <v>15</v>
      </c>
      <c r="U864" s="33">
        <f>IF(PaybackCustom&gt;0, IF(PaybackCustom&lt;&gt;"Default", PaybackCustom, IF(PaybackStatus&lt;&gt;"",INDEX('Arbitrage Payback Engine'!$Y$2:$Y$6,MATCH(PaybackStatus,'Arbitrage Payback Engine'!$X$2:$X$6,FALSE)),-1)))</f>
        <v>25</v>
      </c>
      <c r="V864" s="32">
        <f t="shared" si="236"/>
        <v>15</v>
      </c>
      <c r="X864" s="29">
        <f t="shared" si="237"/>
        <v>855</v>
      </c>
      <c r="Z864" s="30">
        <f t="shared" si="228"/>
        <v>23.421449116559376</v>
      </c>
      <c r="AA864" s="28" t="e">
        <f t="shared" si="229"/>
        <v>#N/A</v>
      </c>
      <c r="AB864" s="28" t="e">
        <f t="shared" si="230"/>
        <v>#VALUE!</v>
      </c>
      <c r="AC864" s="29">
        <f t="shared" si="231"/>
        <v>811.19544592030365</v>
      </c>
      <c r="AD864" s="28" t="e">
        <f t="shared" si="232"/>
        <v>#VALUE!</v>
      </c>
      <c r="AE864" s="28" t="e">
        <f t="shared" si="233"/>
        <v>#N/A</v>
      </c>
      <c r="AF864" s="28" t="e">
        <f t="shared" si="234"/>
        <v>#VALUE!</v>
      </c>
      <c r="AH864" s="31" t="e">
        <f t="shared" si="235"/>
        <v>#N/A</v>
      </c>
      <c r="AI864" s="25"/>
      <c r="AJ864" s="31"/>
    </row>
    <row r="865" spans="2:36" x14ac:dyDescent="0.25">
      <c r="B865" s="33">
        <f>'Arbitrage Payback Engine'!E865</f>
        <v>23.448842624298042</v>
      </c>
      <c r="C865" s="33">
        <f t="shared" si="221"/>
        <v>1000</v>
      </c>
      <c r="D865" s="33">
        <f>'Battery Pricing Model'!$C$17</f>
        <v>1000</v>
      </c>
      <c r="E865" s="33">
        <f t="shared" si="222"/>
        <v>999</v>
      </c>
      <c r="F865" s="33" t="str">
        <f>'Peak Models'!$B$4</f>
        <v>Default</v>
      </c>
      <c r="G865" s="33" t="e">
        <f>'Peak Models'!$Q$7</f>
        <v>#VALUE!</v>
      </c>
      <c r="H865" s="33">
        <f>'Peak Models'!$P$16</f>
        <v>1.5</v>
      </c>
      <c r="I865" s="33">
        <v>12</v>
      </c>
      <c r="J865" s="33" t="e">
        <f>'Peak Models'!$P$13</f>
        <v>#N/A</v>
      </c>
      <c r="K865" s="28" t="e">
        <f t="shared" si="223"/>
        <v>#VALUE!</v>
      </c>
      <c r="L865" s="28" t="e">
        <f>INDEX('Peak Models'!$P$34:$P$64, MATCH(TRUNC(B865, 0), 'Peak Models'!$O$34:$O$64, 0))</f>
        <v>#N/A</v>
      </c>
      <c r="M865" s="28">
        <f>'Peak Models'!$P$15*INDEX('Peak Models'!$Q$34:$Q$64, MATCH(TRUNC(B865, 0),'Peak Models'!$O$34:$O$64, 0))/'Profit per cycles Model'!$E$78</f>
        <v>8.3040502706804666</v>
      </c>
      <c r="N865" s="28" t="e">
        <f t="shared" si="224"/>
        <v>#N/A</v>
      </c>
      <c r="O865" s="71" t="e">
        <f>AVERAGE($N$10:N865)</f>
        <v>#N/A</v>
      </c>
      <c r="P865" s="28" t="e">
        <f t="shared" si="225"/>
        <v>#N/A</v>
      </c>
      <c r="R865" s="28" t="e">
        <f t="shared" si="226"/>
        <v>#VALUE!</v>
      </c>
      <c r="S865" s="25"/>
      <c r="T865" s="25">
        <f t="shared" si="227"/>
        <v>15</v>
      </c>
      <c r="U865" s="33">
        <f>IF(PaybackCustom&gt;0, IF(PaybackCustom&lt;&gt;"Default", PaybackCustom, IF(PaybackStatus&lt;&gt;"",INDEX('Arbitrage Payback Engine'!$Y$2:$Y$6,MATCH(PaybackStatus,'Arbitrage Payback Engine'!$X$2:$X$6,FALSE)),-1)))</f>
        <v>25</v>
      </c>
      <c r="V865" s="32">
        <f t="shared" si="236"/>
        <v>15</v>
      </c>
      <c r="X865" s="29">
        <f t="shared" si="237"/>
        <v>856</v>
      </c>
      <c r="Z865" s="30">
        <f t="shared" si="228"/>
        <v>23.448842624298042</v>
      </c>
      <c r="AA865" s="28" t="e">
        <f t="shared" si="229"/>
        <v>#N/A</v>
      </c>
      <c r="AB865" s="28" t="e">
        <f t="shared" si="230"/>
        <v>#VALUE!</v>
      </c>
      <c r="AC865" s="29">
        <f t="shared" si="231"/>
        <v>812.14421252371926</v>
      </c>
      <c r="AD865" s="28" t="e">
        <f t="shared" si="232"/>
        <v>#VALUE!</v>
      </c>
      <c r="AE865" s="28" t="e">
        <f t="shared" si="233"/>
        <v>#N/A</v>
      </c>
      <c r="AF865" s="28" t="e">
        <f t="shared" si="234"/>
        <v>#VALUE!</v>
      </c>
      <c r="AH865" s="31" t="e">
        <f t="shared" si="235"/>
        <v>#N/A</v>
      </c>
      <c r="AI865" s="25"/>
      <c r="AJ865" s="31"/>
    </row>
    <row r="866" spans="2:36" x14ac:dyDescent="0.25">
      <c r="B866" s="33">
        <f>'Arbitrage Payback Engine'!E866</f>
        <v>23.476236132036707</v>
      </c>
      <c r="C866" s="33">
        <f t="shared" si="221"/>
        <v>1000</v>
      </c>
      <c r="D866" s="33">
        <f>'Battery Pricing Model'!$C$17</f>
        <v>1000</v>
      </c>
      <c r="E866" s="33">
        <f t="shared" si="222"/>
        <v>999</v>
      </c>
      <c r="F866" s="33" t="str">
        <f>'Peak Models'!$B$4</f>
        <v>Default</v>
      </c>
      <c r="G866" s="33" t="e">
        <f>'Peak Models'!$Q$7</f>
        <v>#VALUE!</v>
      </c>
      <c r="H866" s="33">
        <f>'Peak Models'!$P$16</f>
        <v>1.5</v>
      </c>
      <c r="I866" s="33">
        <v>12</v>
      </c>
      <c r="J866" s="33" t="e">
        <f>'Peak Models'!$P$13</f>
        <v>#N/A</v>
      </c>
      <c r="K866" s="28" t="e">
        <f t="shared" si="223"/>
        <v>#VALUE!</v>
      </c>
      <c r="L866" s="28" t="e">
        <f>INDEX('Peak Models'!$P$34:$P$64, MATCH(TRUNC(B866, 0), 'Peak Models'!$O$34:$O$64, 0))</f>
        <v>#N/A</v>
      </c>
      <c r="M866" s="28">
        <f>'Peak Models'!$P$15*INDEX('Peak Models'!$Q$34:$Q$64, MATCH(TRUNC(B866, 0),'Peak Models'!$O$34:$O$64, 0))/'Profit per cycles Model'!$E$78</f>
        <v>8.3040502706804666</v>
      </c>
      <c r="N866" s="28" t="e">
        <f t="shared" si="224"/>
        <v>#N/A</v>
      </c>
      <c r="O866" s="71" t="e">
        <f>AVERAGE($N$10:N866)</f>
        <v>#N/A</v>
      </c>
      <c r="P866" s="28" t="e">
        <f t="shared" si="225"/>
        <v>#N/A</v>
      </c>
      <c r="R866" s="28" t="e">
        <f t="shared" si="226"/>
        <v>#VALUE!</v>
      </c>
      <c r="S866" s="25"/>
      <c r="T866" s="25">
        <f t="shared" si="227"/>
        <v>15</v>
      </c>
      <c r="U866" s="33">
        <f>IF(PaybackCustom&gt;0, IF(PaybackCustom&lt;&gt;"Default", PaybackCustom, IF(PaybackStatus&lt;&gt;"",INDEX('Arbitrage Payback Engine'!$Y$2:$Y$6,MATCH(PaybackStatus,'Arbitrage Payback Engine'!$X$2:$X$6,FALSE)),-1)))</f>
        <v>25</v>
      </c>
      <c r="V866" s="32">
        <f t="shared" si="236"/>
        <v>15</v>
      </c>
      <c r="X866" s="29">
        <f t="shared" si="237"/>
        <v>857</v>
      </c>
      <c r="Z866" s="30">
        <f t="shared" si="228"/>
        <v>23.476236132036707</v>
      </c>
      <c r="AA866" s="28" t="e">
        <f t="shared" si="229"/>
        <v>#N/A</v>
      </c>
      <c r="AB866" s="28" t="e">
        <f t="shared" si="230"/>
        <v>#VALUE!</v>
      </c>
      <c r="AC866" s="29">
        <f t="shared" si="231"/>
        <v>813.09297912713475</v>
      </c>
      <c r="AD866" s="28" t="e">
        <f t="shared" si="232"/>
        <v>#VALUE!</v>
      </c>
      <c r="AE866" s="28" t="e">
        <f t="shared" si="233"/>
        <v>#N/A</v>
      </c>
      <c r="AF866" s="28" t="e">
        <f t="shared" si="234"/>
        <v>#VALUE!</v>
      </c>
      <c r="AH866" s="31" t="e">
        <f t="shared" si="235"/>
        <v>#N/A</v>
      </c>
      <c r="AI866" s="25"/>
      <c r="AJ866" s="31"/>
    </row>
    <row r="867" spans="2:36" x14ac:dyDescent="0.25">
      <c r="B867" s="33">
        <f>'Arbitrage Payback Engine'!E867</f>
        <v>23.503629639775372</v>
      </c>
      <c r="C867" s="33">
        <f t="shared" si="221"/>
        <v>1000</v>
      </c>
      <c r="D867" s="33">
        <f>'Battery Pricing Model'!$C$17</f>
        <v>1000</v>
      </c>
      <c r="E867" s="33">
        <f t="shared" si="222"/>
        <v>999</v>
      </c>
      <c r="F867" s="33" t="str">
        <f>'Peak Models'!$B$4</f>
        <v>Default</v>
      </c>
      <c r="G867" s="33" t="e">
        <f>'Peak Models'!$Q$7</f>
        <v>#VALUE!</v>
      </c>
      <c r="H867" s="33">
        <f>'Peak Models'!$P$16</f>
        <v>1.5</v>
      </c>
      <c r="I867" s="33">
        <v>12</v>
      </c>
      <c r="J867" s="33" t="e">
        <f>'Peak Models'!$P$13</f>
        <v>#N/A</v>
      </c>
      <c r="K867" s="28" t="e">
        <f t="shared" si="223"/>
        <v>#VALUE!</v>
      </c>
      <c r="L867" s="28" t="e">
        <f>INDEX('Peak Models'!$P$34:$P$64, MATCH(TRUNC(B867, 0), 'Peak Models'!$O$34:$O$64, 0))</f>
        <v>#N/A</v>
      </c>
      <c r="M867" s="28">
        <f>'Peak Models'!$P$15*INDEX('Peak Models'!$Q$34:$Q$64, MATCH(TRUNC(B867, 0),'Peak Models'!$O$34:$O$64, 0))/'Profit per cycles Model'!$E$78</f>
        <v>8.3040502706804666</v>
      </c>
      <c r="N867" s="28" t="e">
        <f t="shared" si="224"/>
        <v>#N/A</v>
      </c>
      <c r="O867" s="71" t="e">
        <f>AVERAGE($N$10:N867)</f>
        <v>#N/A</v>
      </c>
      <c r="P867" s="28" t="e">
        <f t="shared" si="225"/>
        <v>#N/A</v>
      </c>
      <c r="R867" s="28" t="e">
        <f t="shared" si="226"/>
        <v>#VALUE!</v>
      </c>
      <c r="S867" s="25"/>
      <c r="T867" s="25">
        <f t="shared" si="227"/>
        <v>15</v>
      </c>
      <c r="U867" s="33">
        <f>IF(PaybackCustom&gt;0, IF(PaybackCustom&lt;&gt;"Default", PaybackCustom, IF(PaybackStatus&lt;&gt;"",INDEX('Arbitrage Payback Engine'!$Y$2:$Y$6,MATCH(PaybackStatus,'Arbitrage Payback Engine'!$X$2:$X$6,FALSE)),-1)))</f>
        <v>25</v>
      </c>
      <c r="V867" s="32">
        <f t="shared" si="236"/>
        <v>15</v>
      </c>
      <c r="X867" s="29">
        <f t="shared" si="237"/>
        <v>858</v>
      </c>
      <c r="Z867" s="30">
        <f t="shared" si="228"/>
        <v>23.503629639775372</v>
      </c>
      <c r="AA867" s="28" t="e">
        <f t="shared" si="229"/>
        <v>#N/A</v>
      </c>
      <c r="AB867" s="28" t="e">
        <f t="shared" si="230"/>
        <v>#VALUE!</v>
      </c>
      <c r="AC867" s="29">
        <f t="shared" si="231"/>
        <v>814.04174573055025</v>
      </c>
      <c r="AD867" s="28" t="e">
        <f t="shared" si="232"/>
        <v>#VALUE!</v>
      </c>
      <c r="AE867" s="28" t="e">
        <f t="shared" si="233"/>
        <v>#N/A</v>
      </c>
      <c r="AF867" s="28" t="e">
        <f t="shared" si="234"/>
        <v>#VALUE!</v>
      </c>
      <c r="AH867" s="31" t="e">
        <f t="shared" si="235"/>
        <v>#N/A</v>
      </c>
      <c r="AI867" s="25"/>
      <c r="AJ867" s="31"/>
    </row>
    <row r="868" spans="2:36" x14ac:dyDescent="0.25">
      <c r="B868" s="33">
        <f>'Arbitrage Payback Engine'!E868</f>
        <v>23.531023147514038</v>
      </c>
      <c r="C868" s="33">
        <f t="shared" si="221"/>
        <v>1000</v>
      </c>
      <c r="D868" s="33">
        <f>'Battery Pricing Model'!$C$17</f>
        <v>1000</v>
      </c>
      <c r="E868" s="33">
        <f t="shared" si="222"/>
        <v>999</v>
      </c>
      <c r="F868" s="33" t="str">
        <f>'Peak Models'!$B$4</f>
        <v>Default</v>
      </c>
      <c r="G868" s="33" t="e">
        <f>'Peak Models'!$Q$7</f>
        <v>#VALUE!</v>
      </c>
      <c r="H868" s="33">
        <f>'Peak Models'!$P$16</f>
        <v>1.5</v>
      </c>
      <c r="I868" s="33">
        <v>12</v>
      </c>
      <c r="J868" s="33" t="e">
        <f>'Peak Models'!$P$13</f>
        <v>#N/A</v>
      </c>
      <c r="K868" s="28" t="e">
        <f t="shared" si="223"/>
        <v>#VALUE!</v>
      </c>
      <c r="L868" s="28" t="e">
        <f>INDEX('Peak Models'!$P$34:$P$64, MATCH(TRUNC(B868, 0), 'Peak Models'!$O$34:$O$64, 0))</f>
        <v>#N/A</v>
      </c>
      <c r="M868" s="28">
        <f>'Peak Models'!$P$15*INDEX('Peak Models'!$Q$34:$Q$64, MATCH(TRUNC(B868, 0),'Peak Models'!$O$34:$O$64, 0))/'Profit per cycles Model'!$E$78</f>
        <v>8.3040502706804666</v>
      </c>
      <c r="N868" s="28" t="e">
        <f t="shared" si="224"/>
        <v>#N/A</v>
      </c>
      <c r="O868" s="71" t="e">
        <f>AVERAGE($N$10:N868)</f>
        <v>#N/A</v>
      </c>
      <c r="P868" s="28" t="e">
        <f t="shared" si="225"/>
        <v>#N/A</v>
      </c>
      <c r="R868" s="28" t="e">
        <f t="shared" si="226"/>
        <v>#VALUE!</v>
      </c>
      <c r="S868" s="25"/>
      <c r="T868" s="25">
        <f t="shared" si="227"/>
        <v>15</v>
      </c>
      <c r="U868" s="33">
        <f>IF(PaybackCustom&gt;0, IF(PaybackCustom&lt;&gt;"Default", PaybackCustom, IF(PaybackStatus&lt;&gt;"",INDEX('Arbitrage Payback Engine'!$Y$2:$Y$6,MATCH(PaybackStatus,'Arbitrage Payback Engine'!$X$2:$X$6,FALSE)),-1)))</f>
        <v>25</v>
      </c>
      <c r="V868" s="32">
        <f t="shared" si="236"/>
        <v>15</v>
      </c>
      <c r="X868" s="29">
        <f t="shared" si="237"/>
        <v>859</v>
      </c>
      <c r="Z868" s="30">
        <f t="shared" si="228"/>
        <v>23.531023147514038</v>
      </c>
      <c r="AA868" s="28" t="e">
        <f t="shared" si="229"/>
        <v>#N/A</v>
      </c>
      <c r="AB868" s="28" t="e">
        <f t="shared" si="230"/>
        <v>#VALUE!</v>
      </c>
      <c r="AC868" s="29">
        <f t="shared" si="231"/>
        <v>814.99051233396585</v>
      </c>
      <c r="AD868" s="28" t="e">
        <f t="shared" si="232"/>
        <v>#VALUE!</v>
      </c>
      <c r="AE868" s="28" t="e">
        <f t="shared" si="233"/>
        <v>#N/A</v>
      </c>
      <c r="AF868" s="28" t="e">
        <f t="shared" si="234"/>
        <v>#VALUE!</v>
      </c>
      <c r="AH868" s="31" t="e">
        <f t="shared" si="235"/>
        <v>#N/A</v>
      </c>
      <c r="AI868" s="25"/>
      <c r="AJ868" s="31"/>
    </row>
    <row r="869" spans="2:36" x14ac:dyDescent="0.25">
      <c r="B869" s="33">
        <f>'Arbitrage Payback Engine'!E869</f>
        <v>23.558416655252703</v>
      </c>
      <c r="C869" s="33">
        <f t="shared" si="221"/>
        <v>1000</v>
      </c>
      <c r="D869" s="33">
        <f>'Battery Pricing Model'!$C$17</f>
        <v>1000</v>
      </c>
      <c r="E869" s="33">
        <f t="shared" si="222"/>
        <v>999</v>
      </c>
      <c r="F869" s="33" t="str">
        <f>'Peak Models'!$B$4</f>
        <v>Default</v>
      </c>
      <c r="G869" s="33" t="e">
        <f>'Peak Models'!$Q$7</f>
        <v>#VALUE!</v>
      </c>
      <c r="H869" s="33">
        <f>'Peak Models'!$P$16</f>
        <v>1.5</v>
      </c>
      <c r="I869" s="33">
        <v>12</v>
      </c>
      <c r="J869" s="33" t="e">
        <f>'Peak Models'!$P$13</f>
        <v>#N/A</v>
      </c>
      <c r="K869" s="28" t="e">
        <f t="shared" si="223"/>
        <v>#VALUE!</v>
      </c>
      <c r="L869" s="28" t="e">
        <f>INDEX('Peak Models'!$P$34:$P$64, MATCH(TRUNC(B869, 0), 'Peak Models'!$O$34:$O$64, 0))</f>
        <v>#N/A</v>
      </c>
      <c r="M869" s="28">
        <f>'Peak Models'!$P$15*INDEX('Peak Models'!$Q$34:$Q$64, MATCH(TRUNC(B869, 0),'Peak Models'!$O$34:$O$64, 0))/'Profit per cycles Model'!$E$78</f>
        <v>8.3040502706804666</v>
      </c>
      <c r="N869" s="28" t="e">
        <f t="shared" si="224"/>
        <v>#N/A</v>
      </c>
      <c r="O869" s="71" t="e">
        <f>AVERAGE($N$10:N869)</f>
        <v>#N/A</v>
      </c>
      <c r="P869" s="28" t="e">
        <f t="shared" si="225"/>
        <v>#N/A</v>
      </c>
      <c r="R869" s="28" t="e">
        <f t="shared" si="226"/>
        <v>#VALUE!</v>
      </c>
      <c r="S869" s="25"/>
      <c r="T869" s="25">
        <f t="shared" si="227"/>
        <v>15</v>
      </c>
      <c r="U869" s="33">
        <f>IF(PaybackCustom&gt;0, IF(PaybackCustom&lt;&gt;"Default", PaybackCustom, IF(PaybackStatus&lt;&gt;"",INDEX('Arbitrage Payback Engine'!$Y$2:$Y$6,MATCH(PaybackStatus,'Arbitrage Payback Engine'!$X$2:$X$6,FALSE)),-1)))</f>
        <v>25</v>
      </c>
      <c r="V869" s="32">
        <f t="shared" si="236"/>
        <v>15</v>
      </c>
      <c r="X869" s="29">
        <f t="shared" si="237"/>
        <v>860</v>
      </c>
      <c r="Z869" s="30">
        <f t="shared" si="228"/>
        <v>23.558416655252703</v>
      </c>
      <c r="AA869" s="28" t="e">
        <f t="shared" si="229"/>
        <v>#N/A</v>
      </c>
      <c r="AB869" s="28" t="e">
        <f t="shared" si="230"/>
        <v>#VALUE!</v>
      </c>
      <c r="AC869" s="29">
        <f t="shared" si="231"/>
        <v>815.93927893738135</v>
      </c>
      <c r="AD869" s="28" t="e">
        <f t="shared" si="232"/>
        <v>#VALUE!</v>
      </c>
      <c r="AE869" s="28" t="e">
        <f t="shared" si="233"/>
        <v>#N/A</v>
      </c>
      <c r="AF869" s="28" t="e">
        <f t="shared" si="234"/>
        <v>#VALUE!</v>
      </c>
      <c r="AH869" s="31" t="e">
        <f t="shared" si="235"/>
        <v>#N/A</v>
      </c>
      <c r="AI869" s="25"/>
      <c r="AJ869" s="31"/>
    </row>
    <row r="870" spans="2:36" x14ac:dyDescent="0.25">
      <c r="B870" s="33">
        <f>'Arbitrage Payback Engine'!E870</f>
        <v>23.585810162991372</v>
      </c>
      <c r="C870" s="33">
        <f t="shared" si="221"/>
        <v>1000</v>
      </c>
      <c r="D870" s="33">
        <f>'Battery Pricing Model'!$C$17</f>
        <v>1000</v>
      </c>
      <c r="E870" s="33">
        <f t="shared" si="222"/>
        <v>999</v>
      </c>
      <c r="F870" s="33" t="str">
        <f>'Peak Models'!$B$4</f>
        <v>Default</v>
      </c>
      <c r="G870" s="33" t="e">
        <f>'Peak Models'!$Q$7</f>
        <v>#VALUE!</v>
      </c>
      <c r="H870" s="33">
        <f>'Peak Models'!$P$16</f>
        <v>1.5</v>
      </c>
      <c r="I870" s="33">
        <v>12</v>
      </c>
      <c r="J870" s="33" t="e">
        <f>'Peak Models'!$P$13</f>
        <v>#N/A</v>
      </c>
      <c r="K870" s="28" t="e">
        <f t="shared" si="223"/>
        <v>#VALUE!</v>
      </c>
      <c r="L870" s="28" t="e">
        <f>INDEX('Peak Models'!$P$34:$P$64, MATCH(TRUNC(B870, 0), 'Peak Models'!$O$34:$O$64, 0))</f>
        <v>#N/A</v>
      </c>
      <c r="M870" s="28">
        <f>'Peak Models'!$P$15*INDEX('Peak Models'!$Q$34:$Q$64, MATCH(TRUNC(B870, 0),'Peak Models'!$O$34:$O$64, 0))/'Profit per cycles Model'!$E$78</f>
        <v>8.3040502706804666</v>
      </c>
      <c r="N870" s="28" t="e">
        <f t="shared" si="224"/>
        <v>#N/A</v>
      </c>
      <c r="O870" s="71" t="e">
        <f>AVERAGE($N$10:N870)</f>
        <v>#N/A</v>
      </c>
      <c r="P870" s="28" t="e">
        <f t="shared" si="225"/>
        <v>#N/A</v>
      </c>
      <c r="R870" s="28" t="e">
        <f t="shared" si="226"/>
        <v>#VALUE!</v>
      </c>
      <c r="S870" s="25"/>
      <c r="T870" s="25">
        <f t="shared" si="227"/>
        <v>15</v>
      </c>
      <c r="U870" s="33">
        <f>IF(PaybackCustom&gt;0, IF(PaybackCustom&lt;&gt;"Default", PaybackCustom, IF(PaybackStatus&lt;&gt;"",INDEX('Arbitrage Payback Engine'!$Y$2:$Y$6,MATCH(PaybackStatus,'Arbitrage Payback Engine'!$X$2:$X$6,FALSE)),-1)))</f>
        <v>25</v>
      </c>
      <c r="V870" s="32">
        <f t="shared" si="236"/>
        <v>15</v>
      </c>
      <c r="X870" s="29">
        <f t="shared" si="237"/>
        <v>861</v>
      </c>
      <c r="Z870" s="30">
        <f t="shared" si="228"/>
        <v>23.585810162991372</v>
      </c>
      <c r="AA870" s="28" t="e">
        <f t="shared" si="229"/>
        <v>#N/A</v>
      </c>
      <c r="AB870" s="28" t="e">
        <f t="shared" si="230"/>
        <v>#VALUE!</v>
      </c>
      <c r="AC870" s="29">
        <f t="shared" si="231"/>
        <v>816.88804554079707</v>
      </c>
      <c r="AD870" s="28" t="e">
        <f t="shared" si="232"/>
        <v>#VALUE!</v>
      </c>
      <c r="AE870" s="28" t="e">
        <f t="shared" si="233"/>
        <v>#N/A</v>
      </c>
      <c r="AF870" s="28" t="e">
        <f t="shared" si="234"/>
        <v>#VALUE!</v>
      </c>
      <c r="AH870" s="31" t="e">
        <f t="shared" si="235"/>
        <v>#N/A</v>
      </c>
      <c r="AI870" s="25"/>
      <c r="AJ870" s="31"/>
    </row>
    <row r="871" spans="2:36" x14ac:dyDescent="0.25">
      <c r="B871" s="33">
        <f>'Arbitrage Payback Engine'!E871</f>
        <v>23.613203670730037</v>
      </c>
      <c r="C871" s="33">
        <f t="shared" si="221"/>
        <v>1000</v>
      </c>
      <c r="D871" s="33">
        <f>'Battery Pricing Model'!$C$17</f>
        <v>1000</v>
      </c>
      <c r="E871" s="33">
        <f t="shared" si="222"/>
        <v>999</v>
      </c>
      <c r="F871" s="33" t="str">
        <f>'Peak Models'!$B$4</f>
        <v>Default</v>
      </c>
      <c r="G871" s="33" t="e">
        <f>'Peak Models'!$Q$7</f>
        <v>#VALUE!</v>
      </c>
      <c r="H871" s="33">
        <f>'Peak Models'!$P$16</f>
        <v>1.5</v>
      </c>
      <c r="I871" s="33">
        <v>12</v>
      </c>
      <c r="J871" s="33" t="e">
        <f>'Peak Models'!$P$13</f>
        <v>#N/A</v>
      </c>
      <c r="K871" s="28" t="e">
        <f t="shared" si="223"/>
        <v>#VALUE!</v>
      </c>
      <c r="L871" s="28" t="e">
        <f>INDEX('Peak Models'!$P$34:$P$64, MATCH(TRUNC(B871, 0), 'Peak Models'!$O$34:$O$64, 0))</f>
        <v>#N/A</v>
      </c>
      <c r="M871" s="28">
        <f>'Peak Models'!$P$15*INDEX('Peak Models'!$Q$34:$Q$64, MATCH(TRUNC(B871, 0),'Peak Models'!$O$34:$O$64, 0))/'Profit per cycles Model'!$E$78</f>
        <v>8.3040502706804666</v>
      </c>
      <c r="N871" s="28" t="e">
        <f t="shared" si="224"/>
        <v>#N/A</v>
      </c>
      <c r="O871" s="71" t="e">
        <f>AVERAGE($N$10:N871)</f>
        <v>#N/A</v>
      </c>
      <c r="P871" s="28" t="e">
        <f t="shared" si="225"/>
        <v>#N/A</v>
      </c>
      <c r="R871" s="28" t="e">
        <f t="shared" si="226"/>
        <v>#VALUE!</v>
      </c>
      <c r="S871" s="25"/>
      <c r="T871" s="25">
        <f t="shared" si="227"/>
        <v>15</v>
      </c>
      <c r="U871" s="33">
        <f>IF(PaybackCustom&gt;0, IF(PaybackCustom&lt;&gt;"Default", PaybackCustom, IF(PaybackStatus&lt;&gt;"",INDEX('Arbitrage Payback Engine'!$Y$2:$Y$6,MATCH(PaybackStatus,'Arbitrage Payback Engine'!$X$2:$X$6,FALSE)),-1)))</f>
        <v>25</v>
      </c>
      <c r="V871" s="32">
        <f t="shared" si="236"/>
        <v>15</v>
      </c>
      <c r="X871" s="29">
        <f t="shared" si="237"/>
        <v>862</v>
      </c>
      <c r="Z871" s="30">
        <f t="shared" si="228"/>
        <v>23.613203670730037</v>
      </c>
      <c r="AA871" s="28" t="e">
        <f t="shared" si="229"/>
        <v>#N/A</v>
      </c>
      <c r="AB871" s="28" t="e">
        <f t="shared" si="230"/>
        <v>#VALUE!</v>
      </c>
      <c r="AC871" s="29">
        <f t="shared" si="231"/>
        <v>817.83681214421256</v>
      </c>
      <c r="AD871" s="28" t="e">
        <f t="shared" si="232"/>
        <v>#VALUE!</v>
      </c>
      <c r="AE871" s="28" t="e">
        <f t="shared" si="233"/>
        <v>#N/A</v>
      </c>
      <c r="AF871" s="28" t="e">
        <f t="shared" si="234"/>
        <v>#VALUE!</v>
      </c>
      <c r="AH871" s="31" t="e">
        <f t="shared" si="235"/>
        <v>#N/A</v>
      </c>
      <c r="AI871" s="25"/>
      <c r="AJ871" s="31"/>
    </row>
    <row r="872" spans="2:36" x14ac:dyDescent="0.25">
      <c r="B872" s="33">
        <f>'Arbitrage Payback Engine'!E872</f>
        <v>23.640597178468703</v>
      </c>
      <c r="C872" s="33">
        <f t="shared" si="221"/>
        <v>1000</v>
      </c>
      <c r="D872" s="33">
        <f>'Battery Pricing Model'!$C$17</f>
        <v>1000</v>
      </c>
      <c r="E872" s="33">
        <f t="shared" si="222"/>
        <v>999</v>
      </c>
      <c r="F872" s="33" t="str">
        <f>'Peak Models'!$B$4</f>
        <v>Default</v>
      </c>
      <c r="G872" s="33" t="e">
        <f>'Peak Models'!$Q$7</f>
        <v>#VALUE!</v>
      </c>
      <c r="H872" s="33">
        <f>'Peak Models'!$P$16</f>
        <v>1.5</v>
      </c>
      <c r="I872" s="33">
        <v>12</v>
      </c>
      <c r="J872" s="33" t="e">
        <f>'Peak Models'!$P$13</f>
        <v>#N/A</v>
      </c>
      <c r="K872" s="28" t="e">
        <f t="shared" si="223"/>
        <v>#VALUE!</v>
      </c>
      <c r="L872" s="28" t="e">
        <f>INDEX('Peak Models'!$P$34:$P$64, MATCH(TRUNC(B872, 0), 'Peak Models'!$O$34:$O$64, 0))</f>
        <v>#N/A</v>
      </c>
      <c r="M872" s="28">
        <f>'Peak Models'!$P$15*INDEX('Peak Models'!$Q$34:$Q$64, MATCH(TRUNC(B872, 0),'Peak Models'!$O$34:$O$64, 0))/'Profit per cycles Model'!$E$78</f>
        <v>8.3040502706804666</v>
      </c>
      <c r="N872" s="28" t="e">
        <f t="shared" si="224"/>
        <v>#N/A</v>
      </c>
      <c r="O872" s="71" t="e">
        <f>AVERAGE($N$10:N872)</f>
        <v>#N/A</v>
      </c>
      <c r="P872" s="28" t="e">
        <f t="shared" si="225"/>
        <v>#N/A</v>
      </c>
      <c r="R872" s="28" t="e">
        <f t="shared" si="226"/>
        <v>#VALUE!</v>
      </c>
      <c r="S872" s="25"/>
      <c r="T872" s="25">
        <f t="shared" si="227"/>
        <v>15</v>
      </c>
      <c r="U872" s="33">
        <f>IF(PaybackCustom&gt;0, IF(PaybackCustom&lt;&gt;"Default", PaybackCustom, IF(PaybackStatus&lt;&gt;"",INDEX('Arbitrage Payback Engine'!$Y$2:$Y$6,MATCH(PaybackStatus,'Arbitrage Payback Engine'!$X$2:$X$6,FALSE)),-1)))</f>
        <v>25</v>
      </c>
      <c r="V872" s="32">
        <f t="shared" si="236"/>
        <v>15</v>
      </c>
      <c r="X872" s="29">
        <f t="shared" si="237"/>
        <v>863</v>
      </c>
      <c r="Z872" s="30">
        <f t="shared" si="228"/>
        <v>23.640597178468703</v>
      </c>
      <c r="AA872" s="28" t="e">
        <f t="shared" si="229"/>
        <v>#N/A</v>
      </c>
      <c r="AB872" s="28" t="e">
        <f t="shared" si="230"/>
        <v>#VALUE!</v>
      </c>
      <c r="AC872" s="29">
        <f t="shared" si="231"/>
        <v>818.78557874762816</v>
      </c>
      <c r="AD872" s="28" t="e">
        <f t="shared" si="232"/>
        <v>#VALUE!</v>
      </c>
      <c r="AE872" s="28" t="e">
        <f t="shared" si="233"/>
        <v>#N/A</v>
      </c>
      <c r="AF872" s="28" t="e">
        <f t="shared" si="234"/>
        <v>#VALUE!</v>
      </c>
      <c r="AH872" s="31" t="e">
        <f t="shared" si="235"/>
        <v>#N/A</v>
      </c>
      <c r="AI872" s="25"/>
      <c r="AJ872" s="31"/>
    </row>
    <row r="873" spans="2:36" x14ac:dyDescent="0.25">
      <c r="B873" s="33">
        <f>'Arbitrage Payback Engine'!E873</f>
        <v>23.667990686207368</v>
      </c>
      <c r="C873" s="33">
        <f t="shared" si="221"/>
        <v>1000</v>
      </c>
      <c r="D873" s="33">
        <f>'Battery Pricing Model'!$C$17</f>
        <v>1000</v>
      </c>
      <c r="E873" s="33">
        <f t="shared" si="222"/>
        <v>999</v>
      </c>
      <c r="F873" s="33" t="str">
        <f>'Peak Models'!$B$4</f>
        <v>Default</v>
      </c>
      <c r="G873" s="33" t="e">
        <f>'Peak Models'!$Q$7</f>
        <v>#VALUE!</v>
      </c>
      <c r="H873" s="33">
        <f>'Peak Models'!$P$16</f>
        <v>1.5</v>
      </c>
      <c r="I873" s="33">
        <v>12</v>
      </c>
      <c r="J873" s="33" t="e">
        <f>'Peak Models'!$P$13</f>
        <v>#N/A</v>
      </c>
      <c r="K873" s="28" t="e">
        <f t="shared" si="223"/>
        <v>#VALUE!</v>
      </c>
      <c r="L873" s="28" t="e">
        <f>INDEX('Peak Models'!$P$34:$P$64, MATCH(TRUNC(B873, 0), 'Peak Models'!$O$34:$O$64, 0))</f>
        <v>#N/A</v>
      </c>
      <c r="M873" s="28">
        <f>'Peak Models'!$P$15*INDEX('Peak Models'!$Q$34:$Q$64, MATCH(TRUNC(B873, 0),'Peak Models'!$O$34:$O$64, 0))/'Profit per cycles Model'!$E$78</f>
        <v>8.3040502706804666</v>
      </c>
      <c r="N873" s="28" t="e">
        <f t="shared" si="224"/>
        <v>#N/A</v>
      </c>
      <c r="O873" s="71" t="e">
        <f>AVERAGE($N$10:N873)</f>
        <v>#N/A</v>
      </c>
      <c r="P873" s="28" t="e">
        <f t="shared" si="225"/>
        <v>#N/A</v>
      </c>
      <c r="R873" s="28" t="e">
        <f t="shared" si="226"/>
        <v>#VALUE!</v>
      </c>
      <c r="S873" s="25"/>
      <c r="T873" s="25">
        <f t="shared" si="227"/>
        <v>15</v>
      </c>
      <c r="U873" s="33">
        <f>IF(PaybackCustom&gt;0, IF(PaybackCustom&lt;&gt;"Default", PaybackCustom, IF(PaybackStatus&lt;&gt;"",INDEX('Arbitrage Payback Engine'!$Y$2:$Y$6,MATCH(PaybackStatus,'Arbitrage Payback Engine'!$X$2:$X$6,FALSE)),-1)))</f>
        <v>25</v>
      </c>
      <c r="V873" s="32">
        <f t="shared" si="236"/>
        <v>15</v>
      </c>
      <c r="X873" s="29">
        <f t="shared" si="237"/>
        <v>864</v>
      </c>
      <c r="Z873" s="30">
        <f t="shared" si="228"/>
        <v>23.667990686207368</v>
      </c>
      <c r="AA873" s="28" t="e">
        <f t="shared" si="229"/>
        <v>#N/A</v>
      </c>
      <c r="AB873" s="28" t="e">
        <f t="shared" si="230"/>
        <v>#VALUE!</v>
      </c>
      <c r="AC873" s="29">
        <f t="shared" si="231"/>
        <v>819.73434535104366</v>
      </c>
      <c r="AD873" s="28" t="e">
        <f t="shared" si="232"/>
        <v>#VALUE!</v>
      </c>
      <c r="AE873" s="28" t="e">
        <f t="shared" si="233"/>
        <v>#N/A</v>
      </c>
      <c r="AF873" s="28" t="e">
        <f t="shared" si="234"/>
        <v>#VALUE!</v>
      </c>
      <c r="AH873" s="31" t="e">
        <f t="shared" si="235"/>
        <v>#N/A</v>
      </c>
      <c r="AI873" s="25"/>
      <c r="AJ873" s="31"/>
    </row>
    <row r="874" spans="2:36" x14ac:dyDescent="0.25">
      <c r="B874" s="33">
        <f>'Arbitrage Payback Engine'!E874</f>
        <v>23.695384193946033</v>
      </c>
      <c r="C874" s="33">
        <f t="shared" si="221"/>
        <v>1000</v>
      </c>
      <c r="D874" s="33">
        <f>'Battery Pricing Model'!$C$17</f>
        <v>1000</v>
      </c>
      <c r="E874" s="33">
        <f t="shared" si="222"/>
        <v>999</v>
      </c>
      <c r="F874" s="33" t="str">
        <f>'Peak Models'!$B$4</f>
        <v>Default</v>
      </c>
      <c r="G874" s="33" t="e">
        <f>'Peak Models'!$Q$7</f>
        <v>#VALUE!</v>
      </c>
      <c r="H874" s="33">
        <f>'Peak Models'!$P$16</f>
        <v>1.5</v>
      </c>
      <c r="I874" s="33">
        <v>12</v>
      </c>
      <c r="J874" s="33" t="e">
        <f>'Peak Models'!$P$13</f>
        <v>#N/A</v>
      </c>
      <c r="K874" s="28" t="e">
        <f t="shared" si="223"/>
        <v>#VALUE!</v>
      </c>
      <c r="L874" s="28" t="e">
        <f>INDEX('Peak Models'!$P$34:$P$64, MATCH(TRUNC(B874, 0), 'Peak Models'!$O$34:$O$64, 0))</f>
        <v>#N/A</v>
      </c>
      <c r="M874" s="28">
        <f>'Peak Models'!$P$15*INDEX('Peak Models'!$Q$34:$Q$64, MATCH(TRUNC(B874, 0),'Peak Models'!$O$34:$O$64, 0))/'Profit per cycles Model'!$E$78</f>
        <v>8.3040502706804666</v>
      </c>
      <c r="N874" s="28" t="e">
        <f t="shared" si="224"/>
        <v>#N/A</v>
      </c>
      <c r="O874" s="71" t="e">
        <f>AVERAGE($N$10:N874)</f>
        <v>#N/A</v>
      </c>
      <c r="P874" s="28" t="e">
        <f t="shared" si="225"/>
        <v>#N/A</v>
      </c>
      <c r="R874" s="28" t="e">
        <f t="shared" si="226"/>
        <v>#VALUE!</v>
      </c>
      <c r="S874" s="25"/>
      <c r="T874" s="25">
        <f t="shared" si="227"/>
        <v>15</v>
      </c>
      <c r="U874" s="33">
        <f>IF(PaybackCustom&gt;0, IF(PaybackCustom&lt;&gt;"Default", PaybackCustom, IF(PaybackStatus&lt;&gt;"",INDEX('Arbitrage Payback Engine'!$Y$2:$Y$6,MATCH(PaybackStatus,'Arbitrage Payback Engine'!$X$2:$X$6,FALSE)),-1)))</f>
        <v>25</v>
      </c>
      <c r="V874" s="32">
        <f t="shared" si="236"/>
        <v>15</v>
      </c>
      <c r="X874" s="29">
        <f t="shared" si="237"/>
        <v>865</v>
      </c>
      <c r="Z874" s="30">
        <f t="shared" si="228"/>
        <v>23.695384193946033</v>
      </c>
      <c r="AA874" s="28" t="e">
        <f t="shared" si="229"/>
        <v>#N/A</v>
      </c>
      <c r="AB874" s="28" t="e">
        <f t="shared" si="230"/>
        <v>#VALUE!</v>
      </c>
      <c r="AC874" s="29">
        <f t="shared" si="231"/>
        <v>820.68311195445915</v>
      </c>
      <c r="AD874" s="28" t="e">
        <f t="shared" si="232"/>
        <v>#VALUE!</v>
      </c>
      <c r="AE874" s="28" t="e">
        <f t="shared" si="233"/>
        <v>#N/A</v>
      </c>
      <c r="AF874" s="28" t="e">
        <f t="shared" si="234"/>
        <v>#VALUE!</v>
      </c>
      <c r="AH874" s="31" t="e">
        <f t="shared" si="235"/>
        <v>#N/A</v>
      </c>
      <c r="AI874" s="25"/>
      <c r="AJ874" s="31"/>
    </row>
    <row r="875" spans="2:36" x14ac:dyDescent="0.25">
      <c r="B875" s="33">
        <f>'Arbitrage Payback Engine'!E875</f>
        <v>23.722777701684699</v>
      </c>
      <c r="C875" s="33">
        <f t="shared" si="221"/>
        <v>1000</v>
      </c>
      <c r="D875" s="33">
        <f>'Battery Pricing Model'!$C$17</f>
        <v>1000</v>
      </c>
      <c r="E875" s="33">
        <f t="shared" si="222"/>
        <v>999</v>
      </c>
      <c r="F875" s="33" t="str">
        <f>'Peak Models'!$B$4</f>
        <v>Default</v>
      </c>
      <c r="G875" s="33" t="e">
        <f>'Peak Models'!$Q$7</f>
        <v>#VALUE!</v>
      </c>
      <c r="H875" s="33">
        <f>'Peak Models'!$P$16</f>
        <v>1.5</v>
      </c>
      <c r="I875" s="33">
        <v>12</v>
      </c>
      <c r="J875" s="33" t="e">
        <f>'Peak Models'!$P$13</f>
        <v>#N/A</v>
      </c>
      <c r="K875" s="28" t="e">
        <f t="shared" si="223"/>
        <v>#VALUE!</v>
      </c>
      <c r="L875" s="28" t="e">
        <f>INDEX('Peak Models'!$P$34:$P$64, MATCH(TRUNC(B875, 0), 'Peak Models'!$O$34:$O$64, 0))</f>
        <v>#N/A</v>
      </c>
      <c r="M875" s="28">
        <f>'Peak Models'!$P$15*INDEX('Peak Models'!$Q$34:$Q$64, MATCH(TRUNC(B875, 0),'Peak Models'!$O$34:$O$64, 0))/'Profit per cycles Model'!$E$78</f>
        <v>8.3040502706804666</v>
      </c>
      <c r="N875" s="28" t="e">
        <f t="shared" si="224"/>
        <v>#N/A</v>
      </c>
      <c r="O875" s="71" t="e">
        <f>AVERAGE($N$10:N875)</f>
        <v>#N/A</v>
      </c>
      <c r="P875" s="28" t="e">
        <f t="shared" si="225"/>
        <v>#N/A</v>
      </c>
      <c r="R875" s="28" t="e">
        <f t="shared" si="226"/>
        <v>#VALUE!</v>
      </c>
      <c r="S875" s="25"/>
      <c r="T875" s="25">
        <f t="shared" si="227"/>
        <v>15</v>
      </c>
      <c r="U875" s="33">
        <f>IF(PaybackCustom&gt;0, IF(PaybackCustom&lt;&gt;"Default", PaybackCustom, IF(PaybackStatus&lt;&gt;"",INDEX('Arbitrage Payback Engine'!$Y$2:$Y$6,MATCH(PaybackStatus,'Arbitrage Payback Engine'!$X$2:$X$6,FALSE)),-1)))</f>
        <v>25</v>
      </c>
      <c r="V875" s="32">
        <f t="shared" si="236"/>
        <v>15</v>
      </c>
      <c r="X875" s="29">
        <f t="shared" si="237"/>
        <v>866</v>
      </c>
      <c r="Z875" s="30">
        <f t="shared" si="228"/>
        <v>23.722777701684699</v>
      </c>
      <c r="AA875" s="28" t="e">
        <f t="shared" si="229"/>
        <v>#N/A</v>
      </c>
      <c r="AB875" s="28" t="e">
        <f t="shared" si="230"/>
        <v>#VALUE!</v>
      </c>
      <c r="AC875" s="29">
        <f t="shared" si="231"/>
        <v>821.63187855787476</v>
      </c>
      <c r="AD875" s="28" t="e">
        <f t="shared" si="232"/>
        <v>#VALUE!</v>
      </c>
      <c r="AE875" s="28" t="e">
        <f t="shared" si="233"/>
        <v>#N/A</v>
      </c>
      <c r="AF875" s="28" t="e">
        <f t="shared" si="234"/>
        <v>#VALUE!</v>
      </c>
      <c r="AH875" s="31" t="e">
        <f t="shared" si="235"/>
        <v>#N/A</v>
      </c>
      <c r="AI875" s="25"/>
      <c r="AJ875" s="31"/>
    </row>
    <row r="876" spans="2:36" x14ac:dyDescent="0.25">
      <c r="B876" s="33">
        <f>'Arbitrage Payback Engine'!E876</f>
        <v>23.750171209423367</v>
      </c>
      <c r="C876" s="33">
        <f t="shared" si="221"/>
        <v>1000</v>
      </c>
      <c r="D876" s="33">
        <f>'Battery Pricing Model'!$C$17</f>
        <v>1000</v>
      </c>
      <c r="E876" s="33">
        <f t="shared" si="222"/>
        <v>999</v>
      </c>
      <c r="F876" s="33" t="str">
        <f>'Peak Models'!$B$4</f>
        <v>Default</v>
      </c>
      <c r="G876" s="33" t="e">
        <f>'Peak Models'!$Q$7</f>
        <v>#VALUE!</v>
      </c>
      <c r="H876" s="33">
        <f>'Peak Models'!$P$16</f>
        <v>1.5</v>
      </c>
      <c r="I876" s="33">
        <v>12</v>
      </c>
      <c r="J876" s="33" t="e">
        <f>'Peak Models'!$P$13</f>
        <v>#N/A</v>
      </c>
      <c r="K876" s="28" t="e">
        <f t="shared" si="223"/>
        <v>#VALUE!</v>
      </c>
      <c r="L876" s="28" t="e">
        <f>INDEX('Peak Models'!$P$34:$P$64, MATCH(TRUNC(B876, 0), 'Peak Models'!$O$34:$O$64, 0))</f>
        <v>#N/A</v>
      </c>
      <c r="M876" s="28">
        <f>'Peak Models'!$P$15*INDEX('Peak Models'!$Q$34:$Q$64, MATCH(TRUNC(B876, 0),'Peak Models'!$O$34:$O$64, 0))/'Profit per cycles Model'!$E$78</f>
        <v>8.3040502706804666</v>
      </c>
      <c r="N876" s="28" t="e">
        <f t="shared" si="224"/>
        <v>#N/A</v>
      </c>
      <c r="O876" s="71" t="e">
        <f>AVERAGE($N$10:N876)</f>
        <v>#N/A</v>
      </c>
      <c r="P876" s="28" t="e">
        <f t="shared" si="225"/>
        <v>#N/A</v>
      </c>
      <c r="R876" s="28" t="e">
        <f t="shared" si="226"/>
        <v>#VALUE!</v>
      </c>
      <c r="S876" s="25"/>
      <c r="T876" s="25">
        <f t="shared" si="227"/>
        <v>15</v>
      </c>
      <c r="U876" s="33">
        <f>IF(PaybackCustom&gt;0, IF(PaybackCustom&lt;&gt;"Default", PaybackCustom, IF(PaybackStatus&lt;&gt;"",INDEX('Arbitrage Payback Engine'!$Y$2:$Y$6,MATCH(PaybackStatus,'Arbitrage Payback Engine'!$X$2:$X$6,FALSE)),-1)))</f>
        <v>25</v>
      </c>
      <c r="V876" s="32">
        <f t="shared" si="236"/>
        <v>15</v>
      </c>
      <c r="X876" s="29">
        <f t="shared" si="237"/>
        <v>867</v>
      </c>
      <c r="Z876" s="30">
        <f t="shared" si="228"/>
        <v>23.750171209423367</v>
      </c>
      <c r="AA876" s="28" t="e">
        <f t="shared" si="229"/>
        <v>#N/A</v>
      </c>
      <c r="AB876" s="28" t="e">
        <f t="shared" si="230"/>
        <v>#VALUE!</v>
      </c>
      <c r="AC876" s="29">
        <f t="shared" si="231"/>
        <v>822.58064516129036</v>
      </c>
      <c r="AD876" s="28" t="e">
        <f t="shared" si="232"/>
        <v>#VALUE!</v>
      </c>
      <c r="AE876" s="28" t="e">
        <f t="shared" si="233"/>
        <v>#N/A</v>
      </c>
      <c r="AF876" s="28" t="e">
        <f t="shared" si="234"/>
        <v>#VALUE!</v>
      </c>
      <c r="AH876" s="31" t="e">
        <f t="shared" si="235"/>
        <v>#N/A</v>
      </c>
      <c r="AI876" s="25"/>
      <c r="AJ876" s="31"/>
    </row>
    <row r="877" spans="2:36" x14ac:dyDescent="0.25">
      <c r="B877" s="33">
        <f>'Arbitrage Payback Engine'!E877</f>
        <v>23.777564717162033</v>
      </c>
      <c r="C877" s="33">
        <f t="shared" si="221"/>
        <v>1000</v>
      </c>
      <c r="D877" s="33">
        <f>'Battery Pricing Model'!$C$17</f>
        <v>1000</v>
      </c>
      <c r="E877" s="33">
        <f t="shared" si="222"/>
        <v>999</v>
      </c>
      <c r="F877" s="33" t="str">
        <f>'Peak Models'!$B$4</f>
        <v>Default</v>
      </c>
      <c r="G877" s="33" t="e">
        <f>'Peak Models'!$Q$7</f>
        <v>#VALUE!</v>
      </c>
      <c r="H877" s="33">
        <f>'Peak Models'!$P$16</f>
        <v>1.5</v>
      </c>
      <c r="I877" s="33">
        <v>12</v>
      </c>
      <c r="J877" s="33" t="e">
        <f>'Peak Models'!$P$13</f>
        <v>#N/A</v>
      </c>
      <c r="K877" s="28" t="e">
        <f t="shared" si="223"/>
        <v>#VALUE!</v>
      </c>
      <c r="L877" s="28" t="e">
        <f>INDEX('Peak Models'!$P$34:$P$64, MATCH(TRUNC(B877, 0), 'Peak Models'!$O$34:$O$64, 0))</f>
        <v>#N/A</v>
      </c>
      <c r="M877" s="28">
        <f>'Peak Models'!$P$15*INDEX('Peak Models'!$Q$34:$Q$64, MATCH(TRUNC(B877, 0),'Peak Models'!$O$34:$O$64, 0))/'Profit per cycles Model'!$E$78</f>
        <v>8.3040502706804666</v>
      </c>
      <c r="N877" s="28" t="e">
        <f t="shared" si="224"/>
        <v>#N/A</v>
      </c>
      <c r="O877" s="71" t="e">
        <f>AVERAGE($N$10:N877)</f>
        <v>#N/A</v>
      </c>
      <c r="P877" s="28" t="e">
        <f t="shared" si="225"/>
        <v>#N/A</v>
      </c>
      <c r="R877" s="28" t="e">
        <f t="shared" si="226"/>
        <v>#VALUE!</v>
      </c>
      <c r="S877" s="25"/>
      <c r="T877" s="25">
        <f t="shared" si="227"/>
        <v>15</v>
      </c>
      <c r="U877" s="33">
        <f>IF(PaybackCustom&gt;0, IF(PaybackCustom&lt;&gt;"Default", PaybackCustom, IF(PaybackStatus&lt;&gt;"",INDEX('Arbitrage Payback Engine'!$Y$2:$Y$6,MATCH(PaybackStatus,'Arbitrage Payback Engine'!$X$2:$X$6,FALSE)),-1)))</f>
        <v>25</v>
      </c>
      <c r="V877" s="32">
        <f t="shared" si="236"/>
        <v>15</v>
      </c>
      <c r="X877" s="29">
        <f t="shared" si="237"/>
        <v>868</v>
      </c>
      <c r="Z877" s="30">
        <f t="shared" si="228"/>
        <v>23.777564717162033</v>
      </c>
      <c r="AA877" s="28" t="e">
        <f t="shared" si="229"/>
        <v>#N/A</v>
      </c>
      <c r="AB877" s="28" t="e">
        <f t="shared" si="230"/>
        <v>#VALUE!</v>
      </c>
      <c r="AC877" s="29">
        <f t="shared" si="231"/>
        <v>823.52941176470597</v>
      </c>
      <c r="AD877" s="28" t="e">
        <f t="shared" si="232"/>
        <v>#VALUE!</v>
      </c>
      <c r="AE877" s="28" t="e">
        <f t="shared" si="233"/>
        <v>#N/A</v>
      </c>
      <c r="AF877" s="28" t="e">
        <f t="shared" si="234"/>
        <v>#VALUE!</v>
      </c>
      <c r="AH877" s="31" t="e">
        <f t="shared" si="235"/>
        <v>#N/A</v>
      </c>
      <c r="AI877" s="25"/>
      <c r="AJ877" s="31"/>
    </row>
    <row r="878" spans="2:36" x14ac:dyDescent="0.25">
      <c r="B878" s="33">
        <f>'Arbitrage Payback Engine'!E878</f>
        <v>23.804958224900698</v>
      </c>
      <c r="C878" s="33">
        <f t="shared" si="221"/>
        <v>1000</v>
      </c>
      <c r="D878" s="33">
        <f>'Battery Pricing Model'!$C$17</f>
        <v>1000</v>
      </c>
      <c r="E878" s="33">
        <f t="shared" si="222"/>
        <v>999</v>
      </c>
      <c r="F878" s="33" t="str">
        <f>'Peak Models'!$B$4</f>
        <v>Default</v>
      </c>
      <c r="G878" s="33" t="e">
        <f>'Peak Models'!$Q$7</f>
        <v>#VALUE!</v>
      </c>
      <c r="H878" s="33">
        <f>'Peak Models'!$P$16</f>
        <v>1.5</v>
      </c>
      <c r="I878" s="33">
        <v>12</v>
      </c>
      <c r="J878" s="33" t="e">
        <f>'Peak Models'!$P$13</f>
        <v>#N/A</v>
      </c>
      <c r="K878" s="28" t="e">
        <f t="shared" si="223"/>
        <v>#VALUE!</v>
      </c>
      <c r="L878" s="28" t="e">
        <f>INDEX('Peak Models'!$P$34:$P$64, MATCH(TRUNC(B878, 0), 'Peak Models'!$O$34:$O$64, 0))</f>
        <v>#N/A</v>
      </c>
      <c r="M878" s="28">
        <f>'Peak Models'!$P$15*INDEX('Peak Models'!$Q$34:$Q$64, MATCH(TRUNC(B878, 0),'Peak Models'!$O$34:$O$64, 0))/'Profit per cycles Model'!$E$78</f>
        <v>8.3040502706804666</v>
      </c>
      <c r="N878" s="28" t="e">
        <f t="shared" si="224"/>
        <v>#N/A</v>
      </c>
      <c r="O878" s="71" t="e">
        <f>AVERAGE($N$10:N878)</f>
        <v>#N/A</v>
      </c>
      <c r="P878" s="28" t="e">
        <f t="shared" si="225"/>
        <v>#N/A</v>
      </c>
      <c r="R878" s="28" t="e">
        <f t="shared" si="226"/>
        <v>#VALUE!</v>
      </c>
      <c r="S878" s="25"/>
      <c r="T878" s="25">
        <f t="shared" si="227"/>
        <v>15</v>
      </c>
      <c r="U878" s="33">
        <f>IF(PaybackCustom&gt;0, IF(PaybackCustom&lt;&gt;"Default", PaybackCustom, IF(PaybackStatus&lt;&gt;"",INDEX('Arbitrage Payback Engine'!$Y$2:$Y$6,MATCH(PaybackStatus,'Arbitrage Payback Engine'!$X$2:$X$6,FALSE)),-1)))</f>
        <v>25</v>
      </c>
      <c r="V878" s="32">
        <f t="shared" si="236"/>
        <v>15</v>
      </c>
      <c r="X878" s="29">
        <f t="shared" si="237"/>
        <v>869</v>
      </c>
      <c r="Z878" s="30">
        <f t="shared" si="228"/>
        <v>23.804958224900698</v>
      </c>
      <c r="AA878" s="28" t="e">
        <f t="shared" si="229"/>
        <v>#N/A</v>
      </c>
      <c r="AB878" s="28" t="e">
        <f t="shared" si="230"/>
        <v>#VALUE!</v>
      </c>
      <c r="AC878" s="29">
        <f t="shared" si="231"/>
        <v>824.47817836812158</v>
      </c>
      <c r="AD878" s="28" t="e">
        <f t="shared" si="232"/>
        <v>#VALUE!</v>
      </c>
      <c r="AE878" s="28" t="e">
        <f t="shared" si="233"/>
        <v>#N/A</v>
      </c>
      <c r="AF878" s="28" t="e">
        <f t="shared" si="234"/>
        <v>#VALUE!</v>
      </c>
      <c r="AH878" s="31" t="e">
        <f t="shared" si="235"/>
        <v>#N/A</v>
      </c>
      <c r="AI878" s="25"/>
      <c r="AJ878" s="31"/>
    </row>
    <row r="879" spans="2:36" x14ac:dyDescent="0.25">
      <c r="B879" s="33">
        <f>'Arbitrage Payback Engine'!E879</f>
        <v>23.832351732639363</v>
      </c>
      <c r="C879" s="33">
        <f t="shared" si="221"/>
        <v>1000</v>
      </c>
      <c r="D879" s="33">
        <f>'Battery Pricing Model'!$C$17</f>
        <v>1000</v>
      </c>
      <c r="E879" s="33">
        <f t="shared" si="222"/>
        <v>999</v>
      </c>
      <c r="F879" s="33" t="str">
        <f>'Peak Models'!$B$4</f>
        <v>Default</v>
      </c>
      <c r="G879" s="33" t="e">
        <f>'Peak Models'!$Q$7</f>
        <v>#VALUE!</v>
      </c>
      <c r="H879" s="33">
        <f>'Peak Models'!$P$16</f>
        <v>1.5</v>
      </c>
      <c r="I879" s="33">
        <v>12</v>
      </c>
      <c r="J879" s="33" t="e">
        <f>'Peak Models'!$P$13</f>
        <v>#N/A</v>
      </c>
      <c r="K879" s="28" t="e">
        <f t="shared" si="223"/>
        <v>#VALUE!</v>
      </c>
      <c r="L879" s="28" t="e">
        <f>INDEX('Peak Models'!$P$34:$P$64, MATCH(TRUNC(B879, 0), 'Peak Models'!$O$34:$O$64, 0))</f>
        <v>#N/A</v>
      </c>
      <c r="M879" s="28">
        <f>'Peak Models'!$P$15*INDEX('Peak Models'!$Q$34:$Q$64, MATCH(TRUNC(B879, 0),'Peak Models'!$O$34:$O$64, 0))/'Profit per cycles Model'!$E$78</f>
        <v>8.3040502706804666</v>
      </c>
      <c r="N879" s="28" t="e">
        <f t="shared" si="224"/>
        <v>#N/A</v>
      </c>
      <c r="O879" s="71" t="e">
        <f>AVERAGE($N$10:N879)</f>
        <v>#N/A</v>
      </c>
      <c r="P879" s="28" t="e">
        <f t="shared" si="225"/>
        <v>#N/A</v>
      </c>
      <c r="R879" s="28" t="e">
        <f t="shared" si="226"/>
        <v>#VALUE!</v>
      </c>
      <c r="S879" s="25"/>
      <c r="T879" s="25">
        <f t="shared" si="227"/>
        <v>15</v>
      </c>
      <c r="U879" s="33">
        <f>IF(PaybackCustom&gt;0, IF(PaybackCustom&lt;&gt;"Default", PaybackCustom, IF(PaybackStatus&lt;&gt;"",INDEX('Arbitrage Payback Engine'!$Y$2:$Y$6,MATCH(PaybackStatus,'Arbitrage Payback Engine'!$X$2:$X$6,FALSE)),-1)))</f>
        <v>25</v>
      </c>
      <c r="V879" s="32">
        <f t="shared" si="236"/>
        <v>15</v>
      </c>
      <c r="X879" s="29">
        <f t="shared" si="237"/>
        <v>870</v>
      </c>
      <c r="Z879" s="30">
        <f t="shared" si="228"/>
        <v>23.832351732639363</v>
      </c>
      <c r="AA879" s="28" t="e">
        <f t="shared" si="229"/>
        <v>#N/A</v>
      </c>
      <c r="AB879" s="28" t="e">
        <f t="shared" si="230"/>
        <v>#VALUE!</v>
      </c>
      <c r="AC879" s="29">
        <f t="shared" si="231"/>
        <v>825.42694497153695</v>
      </c>
      <c r="AD879" s="28" t="e">
        <f t="shared" si="232"/>
        <v>#VALUE!</v>
      </c>
      <c r="AE879" s="28" t="e">
        <f t="shared" si="233"/>
        <v>#N/A</v>
      </c>
      <c r="AF879" s="28" t="e">
        <f t="shared" si="234"/>
        <v>#VALUE!</v>
      </c>
      <c r="AH879" s="31" t="e">
        <f t="shared" si="235"/>
        <v>#N/A</v>
      </c>
      <c r="AI879" s="25"/>
      <c r="AJ879" s="31"/>
    </row>
    <row r="880" spans="2:36" x14ac:dyDescent="0.25">
      <c r="B880" s="33">
        <f>'Arbitrage Payback Engine'!E880</f>
        <v>23.859745240378029</v>
      </c>
      <c r="C880" s="33">
        <f t="shared" si="221"/>
        <v>1000</v>
      </c>
      <c r="D880" s="33">
        <f>'Battery Pricing Model'!$C$17</f>
        <v>1000</v>
      </c>
      <c r="E880" s="33">
        <f t="shared" si="222"/>
        <v>999</v>
      </c>
      <c r="F880" s="33" t="str">
        <f>'Peak Models'!$B$4</f>
        <v>Default</v>
      </c>
      <c r="G880" s="33" t="e">
        <f>'Peak Models'!$Q$7</f>
        <v>#VALUE!</v>
      </c>
      <c r="H880" s="33">
        <f>'Peak Models'!$P$16</f>
        <v>1.5</v>
      </c>
      <c r="I880" s="33">
        <v>12</v>
      </c>
      <c r="J880" s="33" t="e">
        <f>'Peak Models'!$P$13</f>
        <v>#N/A</v>
      </c>
      <c r="K880" s="28" t="e">
        <f t="shared" si="223"/>
        <v>#VALUE!</v>
      </c>
      <c r="L880" s="28" t="e">
        <f>INDEX('Peak Models'!$P$34:$P$64, MATCH(TRUNC(B880, 0), 'Peak Models'!$O$34:$O$64, 0))</f>
        <v>#N/A</v>
      </c>
      <c r="M880" s="28">
        <f>'Peak Models'!$P$15*INDEX('Peak Models'!$Q$34:$Q$64, MATCH(TRUNC(B880, 0),'Peak Models'!$O$34:$O$64, 0))/'Profit per cycles Model'!$E$78</f>
        <v>8.3040502706804666</v>
      </c>
      <c r="N880" s="28" t="e">
        <f t="shared" si="224"/>
        <v>#N/A</v>
      </c>
      <c r="O880" s="71" t="e">
        <f>AVERAGE($N$10:N880)</f>
        <v>#N/A</v>
      </c>
      <c r="P880" s="28" t="e">
        <f t="shared" si="225"/>
        <v>#N/A</v>
      </c>
      <c r="R880" s="28" t="e">
        <f t="shared" si="226"/>
        <v>#VALUE!</v>
      </c>
      <c r="S880" s="25"/>
      <c r="T880" s="25">
        <f t="shared" si="227"/>
        <v>15</v>
      </c>
      <c r="U880" s="33">
        <f>IF(PaybackCustom&gt;0, IF(PaybackCustom&lt;&gt;"Default", PaybackCustom, IF(PaybackStatus&lt;&gt;"",INDEX('Arbitrage Payback Engine'!$Y$2:$Y$6,MATCH(PaybackStatus,'Arbitrage Payback Engine'!$X$2:$X$6,FALSE)),-1)))</f>
        <v>25</v>
      </c>
      <c r="V880" s="32">
        <f t="shared" si="236"/>
        <v>15</v>
      </c>
      <c r="X880" s="29">
        <f t="shared" si="237"/>
        <v>871</v>
      </c>
      <c r="Z880" s="30">
        <f t="shared" si="228"/>
        <v>23.859745240378029</v>
      </c>
      <c r="AA880" s="28" t="e">
        <f t="shared" si="229"/>
        <v>#N/A</v>
      </c>
      <c r="AB880" s="28" t="e">
        <f t="shared" si="230"/>
        <v>#VALUE!</v>
      </c>
      <c r="AC880" s="29">
        <f t="shared" si="231"/>
        <v>826.37571157495256</v>
      </c>
      <c r="AD880" s="28" t="e">
        <f t="shared" si="232"/>
        <v>#VALUE!</v>
      </c>
      <c r="AE880" s="28" t="e">
        <f t="shared" si="233"/>
        <v>#N/A</v>
      </c>
      <c r="AF880" s="28" t="e">
        <f t="shared" si="234"/>
        <v>#VALUE!</v>
      </c>
      <c r="AH880" s="31" t="e">
        <f t="shared" si="235"/>
        <v>#N/A</v>
      </c>
      <c r="AI880" s="25"/>
      <c r="AJ880" s="31"/>
    </row>
    <row r="881" spans="2:36" x14ac:dyDescent="0.25">
      <c r="B881" s="33">
        <f>'Arbitrage Payback Engine'!E881</f>
        <v>23.887138748116694</v>
      </c>
      <c r="C881" s="33">
        <f t="shared" si="221"/>
        <v>1000</v>
      </c>
      <c r="D881" s="33">
        <f>'Battery Pricing Model'!$C$17</f>
        <v>1000</v>
      </c>
      <c r="E881" s="33">
        <f t="shared" si="222"/>
        <v>999</v>
      </c>
      <c r="F881" s="33" t="str">
        <f>'Peak Models'!$B$4</f>
        <v>Default</v>
      </c>
      <c r="G881" s="33" t="e">
        <f>'Peak Models'!$Q$7</f>
        <v>#VALUE!</v>
      </c>
      <c r="H881" s="33">
        <f>'Peak Models'!$P$16</f>
        <v>1.5</v>
      </c>
      <c r="I881" s="33">
        <v>12</v>
      </c>
      <c r="J881" s="33" t="e">
        <f>'Peak Models'!$P$13</f>
        <v>#N/A</v>
      </c>
      <c r="K881" s="28" t="e">
        <f t="shared" si="223"/>
        <v>#VALUE!</v>
      </c>
      <c r="L881" s="28" t="e">
        <f>INDEX('Peak Models'!$P$34:$P$64, MATCH(TRUNC(B881, 0), 'Peak Models'!$O$34:$O$64, 0))</f>
        <v>#N/A</v>
      </c>
      <c r="M881" s="28">
        <f>'Peak Models'!$P$15*INDEX('Peak Models'!$Q$34:$Q$64, MATCH(TRUNC(B881, 0),'Peak Models'!$O$34:$O$64, 0))/'Profit per cycles Model'!$E$78</f>
        <v>8.3040502706804666</v>
      </c>
      <c r="N881" s="28" t="e">
        <f t="shared" si="224"/>
        <v>#N/A</v>
      </c>
      <c r="O881" s="71" t="e">
        <f>AVERAGE($N$10:N881)</f>
        <v>#N/A</v>
      </c>
      <c r="P881" s="28" t="e">
        <f t="shared" si="225"/>
        <v>#N/A</v>
      </c>
      <c r="R881" s="28" t="e">
        <f t="shared" si="226"/>
        <v>#VALUE!</v>
      </c>
      <c r="S881" s="25"/>
      <c r="T881" s="25">
        <f t="shared" si="227"/>
        <v>15</v>
      </c>
      <c r="U881" s="33">
        <f>IF(PaybackCustom&gt;0, IF(PaybackCustom&lt;&gt;"Default", PaybackCustom, IF(PaybackStatus&lt;&gt;"",INDEX('Arbitrage Payback Engine'!$Y$2:$Y$6,MATCH(PaybackStatus,'Arbitrage Payback Engine'!$X$2:$X$6,FALSE)),-1)))</f>
        <v>25</v>
      </c>
      <c r="V881" s="32">
        <f t="shared" si="236"/>
        <v>15</v>
      </c>
      <c r="X881" s="29">
        <f t="shared" si="237"/>
        <v>872</v>
      </c>
      <c r="Z881" s="30">
        <f t="shared" si="228"/>
        <v>23.887138748116694</v>
      </c>
      <c r="AA881" s="28" t="e">
        <f t="shared" si="229"/>
        <v>#N/A</v>
      </c>
      <c r="AB881" s="28" t="e">
        <f t="shared" si="230"/>
        <v>#VALUE!</v>
      </c>
      <c r="AC881" s="29">
        <f t="shared" si="231"/>
        <v>827.32447817836805</v>
      </c>
      <c r="AD881" s="28" t="e">
        <f t="shared" si="232"/>
        <v>#VALUE!</v>
      </c>
      <c r="AE881" s="28" t="e">
        <f t="shared" si="233"/>
        <v>#N/A</v>
      </c>
      <c r="AF881" s="28" t="e">
        <f t="shared" si="234"/>
        <v>#VALUE!</v>
      </c>
      <c r="AH881" s="31" t="e">
        <f t="shared" si="235"/>
        <v>#N/A</v>
      </c>
      <c r="AI881" s="25"/>
      <c r="AJ881" s="31"/>
    </row>
    <row r="882" spans="2:36" x14ac:dyDescent="0.25">
      <c r="B882" s="33">
        <f>'Arbitrage Payback Engine'!E882</f>
        <v>23.914532255855363</v>
      </c>
      <c r="C882" s="33">
        <f t="shared" si="221"/>
        <v>1000</v>
      </c>
      <c r="D882" s="33">
        <f>'Battery Pricing Model'!$C$17</f>
        <v>1000</v>
      </c>
      <c r="E882" s="33">
        <f t="shared" si="222"/>
        <v>999</v>
      </c>
      <c r="F882" s="33" t="str">
        <f>'Peak Models'!$B$4</f>
        <v>Default</v>
      </c>
      <c r="G882" s="33" t="e">
        <f>'Peak Models'!$Q$7</f>
        <v>#VALUE!</v>
      </c>
      <c r="H882" s="33">
        <f>'Peak Models'!$P$16</f>
        <v>1.5</v>
      </c>
      <c r="I882" s="33">
        <v>12</v>
      </c>
      <c r="J882" s="33" t="e">
        <f>'Peak Models'!$P$13</f>
        <v>#N/A</v>
      </c>
      <c r="K882" s="28" t="e">
        <f t="shared" si="223"/>
        <v>#VALUE!</v>
      </c>
      <c r="L882" s="28" t="e">
        <f>INDEX('Peak Models'!$P$34:$P$64, MATCH(TRUNC(B882, 0), 'Peak Models'!$O$34:$O$64, 0))</f>
        <v>#N/A</v>
      </c>
      <c r="M882" s="28">
        <f>'Peak Models'!$P$15*INDEX('Peak Models'!$Q$34:$Q$64, MATCH(TRUNC(B882, 0),'Peak Models'!$O$34:$O$64, 0))/'Profit per cycles Model'!$E$78</f>
        <v>8.3040502706804666</v>
      </c>
      <c r="N882" s="28" t="e">
        <f t="shared" si="224"/>
        <v>#N/A</v>
      </c>
      <c r="O882" s="71" t="e">
        <f>AVERAGE($N$10:N882)</f>
        <v>#N/A</v>
      </c>
      <c r="P882" s="28" t="e">
        <f t="shared" si="225"/>
        <v>#N/A</v>
      </c>
      <c r="R882" s="28" t="e">
        <f t="shared" si="226"/>
        <v>#VALUE!</v>
      </c>
      <c r="S882" s="25"/>
      <c r="T882" s="25">
        <f t="shared" si="227"/>
        <v>15</v>
      </c>
      <c r="U882" s="33">
        <f>IF(PaybackCustom&gt;0, IF(PaybackCustom&lt;&gt;"Default", PaybackCustom, IF(PaybackStatus&lt;&gt;"",INDEX('Arbitrage Payback Engine'!$Y$2:$Y$6,MATCH(PaybackStatus,'Arbitrage Payback Engine'!$X$2:$X$6,FALSE)),-1)))</f>
        <v>25</v>
      </c>
      <c r="V882" s="32">
        <f t="shared" si="236"/>
        <v>15</v>
      </c>
      <c r="X882" s="29">
        <f t="shared" si="237"/>
        <v>873</v>
      </c>
      <c r="Z882" s="30">
        <f t="shared" si="228"/>
        <v>23.914532255855363</v>
      </c>
      <c r="AA882" s="28" t="e">
        <f t="shared" si="229"/>
        <v>#N/A</v>
      </c>
      <c r="AB882" s="28" t="e">
        <f t="shared" si="230"/>
        <v>#VALUE!</v>
      </c>
      <c r="AC882" s="29">
        <f t="shared" si="231"/>
        <v>828.27324478178377</v>
      </c>
      <c r="AD882" s="28" t="e">
        <f t="shared" si="232"/>
        <v>#VALUE!</v>
      </c>
      <c r="AE882" s="28" t="e">
        <f t="shared" si="233"/>
        <v>#N/A</v>
      </c>
      <c r="AF882" s="28" t="e">
        <f t="shared" si="234"/>
        <v>#VALUE!</v>
      </c>
      <c r="AH882" s="31" t="e">
        <f t="shared" si="235"/>
        <v>#N/A</v>
      </c>
      <c r="AI882" s="25"/>
      <c r="AJ882" s="31"/>
    </row>
    <row r="883" spans="2:36" x14ac:dyDescent="0.25">
      <c r="B883" s="33">
        <f>'Arbitrage Payback Engine'!E883</f>
        <v>23.941925763594028</v>
      </c>
      <c r="C883" s="33">
        <f t="shared" si="221"/>
        <v>1000</v>
      </c>
      <c r="D883" s="33">
        <f>'Battery Pricing Model'!$C$17</f>
        <v>1000</v>
      </c>
      <c r="E883" s="33">
        <f t="shared" si="222"/>
        <v>999</v>
      </c>
      <c r="F883" s="33" t="str">
        <f>'Peak Models'!$B$4</f>
        <v>Default</v>
      </c>
      <c r="G883" s="33" t="e">
        <f>'Peak Models'!$Q$7</f>
        <v>#VALUE!</v>
      </c>
      <c r="H883" s="33">
        <f>'Peak Models'!$P$16</f>
        <v>1.5</v>
      </c>
      <c r="I883" s="33">
        <v>12</v>
      </c>
      <c r="J883" s="33" t="e">
        <f>'Peak Models'!$P$13</f>
        <v>#N/A</v>
      </c>
      <c r="K883" s="28" t="e">
        <f t="shared" si="223"/>
        <v>#VALUE!</v>
      </c>
      <c r="L883" s="28" t="e">
        <f>INDEX('Peak Models'!$P$34:$P$64, MATCH(TRUNC(B883, 0), 'Peak Models'!$O$34:$O$64, 0))</f>
        <v>#N/A</v>
      </c>
      <c r="M883" s="28">
        <f>'Peak Models'!$P$15*INDEX('Peak Models'!$Q$34:$Q$64, MATCH(TRUNC(B883, 0),'Peak Models'!$O$34:$O$64, 0))/'Profit per cycles Model'!$E$78</f>
        <v>8.3040502706804666</v>
      </c>
      <c r="N883" s="28" t="e">
        <f t="shared" si="224"/>
        <v>#N/A</v>
      </c>
      <c r="O883" s="71" t="e">
        <f>AVERAGE($N$10:N883)</f>
        <v>#N/A</v>
      </c>
      <c r="P883" s="28" t="e">
        <f t="shared" si="225"/>
        <v>#N/A</v>
      </c>
      <c r="R883" s="28" t="e">
        <f t="shared" si="226"/>
        <v>#VALUE!</v>
      </c>
      <c r="S883" s="25"/>
      <c r="T883" s="25">
        <f t="shared" si="227"/>
        <v>15</v>
      </c>
      <c r="U883" s="33">
        <f>IF(PaybackCustom&gt;0, IF(PaybackCustom&lt;&gt;"Default", PaybackCustom, IF(PaybackStatus&lt;&gt;"",INDEX('Arbitrage Payback Engine'!$Y$2:$Y$6,MATCH(PaybackStatus,'Arbitrage Payback Engine'!$X$2:$X$6,FALSE)),-1)))</f>
        <v>25</v>
      </c>
      <c r="V883" s="32">
        <f t="shared" si="236"/>
        <v>15</v>
      </c>
      <c r="X883" s="29">
        <f t="shared" si="237"/>
        <v>874</v>
      </c>
      <c r="Z883" s="30">
        <f t="shared" si="228"/>
        <v>23.941925763594028</v>
      </c>
      <c r="AA883" s="28" t="e">
        <f t="shared" si="229"/>
        <v>#N/A</v>
      </c>
      <c r="AB883" s="28" t="e">
        <f t="shared" si="230"/>
        <v>#VALUE!</v>
      </c>
      <c r="AC883" s="29">
        <f t="shared" si="231"/>
        <v>829.22201138519927</v>
      </c>
      <c r="AD883" s="28" t="e">
        <f t="shared" si="232"/>
        <v>#VALUE!</v>
      </c>
      <c r="AE883" s="28" t="e">
        <f t="shared" si="233"/>
        <v>#N/A</v>
      </c>
      <c r="AF883" s="28" t="e">
        <f t="shared" si="234"/>
        <v>#VALUE!</v>
      </c>
      <c r="AH883" s="31" t="e">
        <f t="shared" si="235"/>
        <v>#N/A</v>
      </c>
      <c r="AI883" s="25"/>
      <c r="AJ883" s="31"/>
    </row>
    <row r="884" spans="2:36" x14ac:dyDescent="0.25">
      <c r="B884" s="33">
        <f>'Arbitrage Payback Engine'!E884</f>
        <v>23.969319271332694</v>
      </c>
      <c r="C884" s="33">
        <f t="shared" si="221"/>
        <v>1000</v>
      </c>
      <c r="D884" s="33">
        <f>'Battery Pricing Model'!$C$17</f>
        <v>1000</v>
      </c>
      <c r="E884" s="33">
        <f t="shared" si="222"/>
        <v>999</v>
      </c>
      <c r="F884" s="33" t="str">
        <f>'Peak Models'!$B$4</f>
        <v>Default</v>
      </c>
      <c r="G884" s="33" t="e">
        <f>'Peak Models'!$Q$7</f>
        <v>#VALUE!</v>
      </c>
      <c r="H884" s="33">
        <f>'Peak Models'!$P$16</f>
        <v>1.5</v>
      </c>
      <c r="I884" s="33">
        <v>12</v>
      </c>
      <c r="J884" s="33" t="e">
        <f>'Peak Models'!$P$13</f>
        <v>#N/A</v>
      </c>
      <c r="K884" s="28" t="e">
        <f t="shared" si="223"/>
        <v>#VALUE!</v>
      </c>
      <c r="L884" s="28" t="e">
        <f>INDEX('Peak Models'!$P$34:$P$64, MATCH(TRUNC(B884, 0), 'Peak Models'!$O$34:$O$64, 0))</f>
        <v>#N/A</v>
      </c>
      <c r="M884" s="28">
        <f>'Peak Models'!$P$15*INDEX('Peak Models'!$Q$34:$Q$64, MATCH(TRUNC(B884, 0),'Peak Models'!$O$34:$O$64, 0))/'Profit per cycles Model'!$E$78</f>
        <v>8.3040502706804666</v>
      </c>
      <c r="N884" s="28" t="e">
        <f t="shared" si="224"/>
        <v>#N/A</v>
      </c>
      <c r="O884" s="71" t="e">
        <f>AVERAGE($N$10:N884)</f>
        <v>#N/A</v>
      </c>
      <c r="P884" s="28" t="e">
        <f t="shared" si="225"/>
        <v>#N/A</v>
      </c>
      <c r="R884" s="28" t="e">
        <f t="shared" si="226"/>
        <v>#VALUE!</v>
      </c>
      <c r="S884" s="25"/>
      <c r="T884" s="25">
        <f t="shared" si="227"/>
        <v>15</v>
      </c>
      <c r="U884" s="33">
        <f>IF(PaybackCustom&gt;0, IF(PaybackCustom&lt;&gt;"Default", PaybackCustom, IF(PaybackStatus&lt;&gt;"",INDEX('Arbitrage Payback Engine'!$Y$2:$Y$6,MATCH(PaybackStatus,'Arbitrage Payback Engine'!$X$2:$X$6,FALSE)),-1)))</f>
        <v>25</v>
      </c>
      <c r="V884" s="32">
        <f t="shared" si="236"/>
        <v>15</v>
      </c>
      <c r="X884" s="29">
        <f t="shared" si="237"/>
        <v>875</v>
      </c>
      <c r="Z884" s="30">
        <f t="shared" si="228"/>
        <v>23.969319271332694</v>
      </c>
      <c r="AA884" s="28" t="e">
        <f t="shared" si="229"/>
        <v>#N/A</v>
      </c>
      <c r="AB884" s="28" t="e">
        <f t="shared" si="230"/>
        <v>#VALUE!</v>
      </c>
      <c r="AC884" s="29">
        <f t="shared" si="231"/>
        <v>830.17077798861487</v>
      </c>
      <c r="AD884" s="28" t="e">
        <f t="shared" si="232"/>
        <v>#VALUE!</v>
      </c>
      <c r="AE884" s="28" t="e">
        <f t="shared" si="233"/>
        <v>#N/A</v>
      </c>
      <c r="AF884" s="28" t="e">
        <f t="shared" si="234"/>
        <v>#VALUE!</v>
      </c>
      <c r="AH884" s="31" t="e">
        <f t="shared" si="235"/>
        <v>#N/A</v>
      </c>
      <c r="AI884" s="25"/>
      <c r="AJ884" s="31"/>
    </row>
    <row r="885" spans="2:36" x14ac:dyDescent="0.25">
      <c r="B885" s="33">
        <f>'Arbitrage Payback Engine'!E885</f>
        <v>23.996712779071359</v>
      </c>
      <c r="C885" s="33">
        <f t="shared" si="221"/>
        <v>1000</v>
      </c>
      <c r="D885" s="33">
        <f>'Battery Pricing Model'!$C$17</f>
        <v>1000</v>
      </c>
      <c r="E885" s="33">
        <f t="shared" si="222"/>
        <v>999</v>
      </c>
      <c r="F885" s="33" t="str">
        <f>'Peak Models'!$B$4</f>
        <v>Default</v>
      </c>
      <c r="G885" s="33" t="e">
        <f>'Peak Models'!$Q$7</f>
        <v>#VALUE!</v>
      </c>
      <c r="H885" s="33">
        <f>'Peak Models'!$P$16</f>
        <v>1.5</v>
      </c>
      <c r="I885" s="33">
        <v>12</v>
      </c>
      <c r="J885" s="33" t="e">
        <f>'Peak Models'!$P$13</f>
        <v>#N/A</v>
      </c>
      <c r="K885" s="28" t="e">
        <f t="shared" si="223"/>
        <v>#VALUE!</v>
      </c>
      <c r="L885" s="28" t="e">
        <f>INDEX('Peak Models'!$P$34:$P$64, MATCH(TRUNC(B885, 0), 'Peak Models'!$O$34:$O$64, 0))</f>
        <v>#N/A</v>
      </c>
      <c r="M885" s="28">
        <f>'Peak Models'!$P$15*INDEX('Peak Models'!$Q$34:$Q$64, MATCH(TRUNC(B885, 0),'Peak Models'!$O$34:$O$64, 0))/'Profit per cycles Model'!$E$78</f>
        <v>8.3040502706804666</v>
      </c>
      <c r="N885" s="28" t="e">
        <f t="shared" si="224"/>
        <v>#N/A</v>
      </c>
      <c r="O885" s="71" t="e">
        <f>AVERAGE($N$10:N885)</f>
        <v>#N/A</v>
      </c>
      <c r="P885" s="28" t="e">
        <f t="shared" si="225"/>
        <v>#N/A</v>
      </c>
      <c r="R885" s="28" t="e">
        <f t="shared" si="226"/>
        <v>#VALUE!</v>
      </c>
      <c r="S885" s="25"/>
      <c r="T885" s="25">
        <f t="shared" si="227"/>
        <v>15</v>
      </c>
      <c r="U885" s="33">
        <f>IF(PaybackCustom&gt;0, IF(PaybackCustom&lt;&gt;"Default", PaybackCustom, IF(PaybackStatus&lt;&gt;"",INDEX('Arbitrage Payback Engine'!$Y$2:$Y$6,MATCH(PaybackStatus,'Arbitrage Payback Engine'!$X$2:$X$6,FALSE)),-1)))</f>
        <v>25</v>
      </c>
      <c r="V885" s="32">
        <f t="shared" si="236"/>
        <v>15</v>
      </c>
      <c r="X885" s="29">
        <f t="shared" si="237"/>
        <v>876</v>
      </c>
      <c r="Z885" s="30">
        <f t="shared" si="228"/>
        <v>23.996712779071359</v>
      </c>
      <c r="AA885" s="28" t="e">
        <f t="shared" si="229"/>
        <v>#N/A</v>
      </c>
      <c r="AB885" s="28" t="e">
        <f t="shared" si="230"/>
        <v>#VALUE!</v>
      </c>
      <c r="AC885" s="29">
        <f t="shared" si="231"/>
        <v>831.11954459203037</v>
      </c>
      <c r="AD885" s="28" t="e">
        <f t="shared" si="232"/>
        <v>#VALUE!</v>
      </c>
      <c r="AE885" s="28" t="e">
        <f t="shared" si="233"/>
        <v>#N/A</v>
      </c>
      <c r="AF885" s="28" t="e">
        <f t="shared" si="234"/>
        <v>#VALUE!</v>
      </c>
      <c r="AH885" s="31" t="e">
        <f t="shared" si="235"/>
        <v>#N/A</v>
      </c>
      <c r="AI885" s="25"/>
      <c r="AJ885" s="31"/>
    </row>
    <row r="886" spans="2:36" x14ac:dyDescent="0.25">
      <c r="B886" s="33">
        <f>'Arbitrage Payback Engine'!E886</f>
        <v>24.024106286810024</v>
      </c>
      <c r="C886" s="33">
        <f t="shared" si="221"/>
        <v>1000</v>
      </c>
      <c r="D886" s="33">
        <f>'Battery Pricing Model'!$C$17</f>
        <v>1000</v>
      </c>
      <c r="E886" s="33">
        <f t="shared" si="222"/>
        <v>999</v>
      </c>
      <c r="F886" s="33" t="str">
        <f>'Peak Models'!$B$4</f>
        <v>Default</v>
      </c>
      <c r="G886" s="33" t="e">
        <f>'Peak Models'!$Q$7</f>
        <v>#VALUE!</v>
      </c>
      <c r="H886" s="33">
        <f>'Peak Models'!$P$16</f>
        <v>1.5</v>
      </c>
      <c r="I886" s="33">
        <v>12</v>
      </c>
      <c r="J886" s="33" t="e">
        <f>'Peak Models'!$P$13</f>
        <v>#N/A</v>
      </c>
      <c r="K886" s="28" t="e">
        <f t="shared" si="223"/>
        <v>#VALUE!</v>
      </c>
      <c r="L886" s="28" t="e">
        <f>INDEX('Peak Models'!$P$34:$P$64, MATCH(TRUNC(B886, 0), 'Peak Models'!$O$34:$O$64, 0))</f>
        <v>#N/A</v>
      </c>
      <c r="M886" s="28">
        <f>'Peak Models'!$P$15*INDEX('Peak Models'!$Q$34:$Q$64, MATCH(TRUNC(B886, 0),'Peak Models'!$O$34:$O$64, 0))/'Profit per cycles Model'!$E$78</f>
        <v>8.5116515274474782</v>
      </c>
      <c r="N886" s="28" t="e">
        <f t="shared" si="224"/>
        <v>#N/A</v>
      </c>
      <c r="O886" s="71" t="e">
        <f>AVERAGE($N$10:N886)</f>
        <v>#N/A</v>
      </c>
      <c r="P886" s="28" t="e">
        <f t="shared" si="225"/>
        <v>#N/A</v>
      </c>
      <c r="R886" s="28" t="e">
        <f t="shared" si="226"/>
        <v>#VALUE!</v>
      </c>
      <c r="S886" s="25"/>
      <c r="T886" s="25">
        <f t="shared" si="227"/>
        <v>15</v>
      </c>
      <c r="U886" s="33">
        <f>IF(PaybackCustom&gt;0, IF(PaybackCustom&lt;&gt;"Default", PaybackCustom, IF(PaybackStatus&lt;&gt;"",INDEX('Arbitrage Payback Engine'!$Y$2:$Y$6,MATCH(PaybackStatus,'Arbitrage Payback Engine'!$X$2:$X$6,FALSE)),-1)))</f>
        <v>25</v>
      </c>
      <c r="V886" s="32">
        <f t="shared" si="236"/>
        <v>15</v>
      </c>
      <c r="X886" s="29">
        <f t="shared" si="237"/>
        <v>877</v>
      </c>
      <c r="Z886" s="30">
        <f t="shared" si="228"/>
        <v>24.024106286810024</v>
      </c>
      <c r="AA886" s="28" t="e">
        <f t="shared" si="229"/>
        <v>#N/A</v>
      </c>
      <c r="AB886" s="28" t="e">
        <f t="shared" si="230"/>
        <v>#VALUE!</v>
      </c>
      <c r="AC886" s="29">
        <f t="shared" si="231"/>
        <v>832.06831119544586</v>
      </c>
      <c r="AD886" s="28" t="e">
        <f t="shared" si="232"/>
        <v>#VALUE!</v>
      </c>
      <c r="AE886" s="28" t="e">
        <f t="shared" si="233"/>
        <v>#N/A</v>
      </c>
      <c r="AF886" s="28" t="e">
        <f t="shared" si="234"/>
        <v>#VALUE!</v>
      </c>
      <c r="AH886" s="31" t="e">
        <f t="shared" si="235"/>
        <v>#N/A</v>
      </c>
      <c r="AI886" s="25"/>
      <c r="AJ886" s="31"/>
    </row>
    <row r="887" spans="2:36" x14ac:dyDescent="0.25">
      <c r="B887" s="33">
        <f>'Arbitrage Payback Engine'!E887</f>
        <v>24.05149979454869</v>
      </c>
      <c r="C887" s="33">
        <f t="shared" si="221"/>
        <v>1000</v>
      </c>
      <c r="D887" s="33">
        <f>'Battery Pricing Model'!$C$17</f>
        <v>1000</v>
      </c>
      <c r="E887" s="33">
        <f t="shared" si="222"/>
        <v>999</v>
      </c>
      <c r="F887" s="33" t="str">
        <f>'Peak Models'!$B$4</f>
        <v>Default</v>
      </c>
      <c r="G887" s="33" t="e">
        <f>'Peak Models'!$Q$7</f>
        <v>#VALUE!</v>
      </c>
      <c r="H887" s="33">
        <f>'Peak Models'!$P$16</f>
        <v>1.5</v>
      </c>
      <c r="I887" s="33">
        <v>12</v>
      </c>
      <c r="J887" s="33" t="e">
        <f>'Peak Models'!$P$13</f>
        <v>#N/A</v>
      </c>
      <c r="K887" s="28" t="e">
        <f t="shared" si="223"/>
        <v>#VALUE!</v>
      </c>
      <c r="L887" s="28" t="e">
        <f>INDEX('Peak Models'!$P$34:$P$64, MATCH(TRUNC(B887, 0), 'Peak Models'!$O$34:$O$64, 0))</f>
        <v>#N/A</v>
      </c>
      <c r="M887" s="28">
        <f>'Peak Models'!$P$15*INDEX('Peak Models'!$Q$34:$Q$64, MATCH(TRUNC(B887, 0),'Peak Models'!$O$34:$O$64, 0))/'Profit per cycles Model'!$E$78</f>
        <v>8.5116515274474782</v>
      </c>
      <c r="N887" s="28" t="e">
        <f t="shared" si="224"/>
        <v>#N/A</v>
      </c>
      <c r="O887" s="71" t="e">
        <f>AVERAGE($N$10:N887)</f>
        <v>#N/A</v>
      </c>
      <c r="P887" s="28" t="e">
        <f t="shared" si="225"/>
        <v>#N/A</v>
      </c>
      <c r="R887" s="28" t="e">
        <f t="shared" si="226"/>
        <v>#VALUE!</v>
      </c>
      <c r="S887" s="25"/>
      <c r="T887" s="25">
        <f t="shared" si="227"/>
        <v>15</v>
      </c>
      <c r="U887" s="33">
        <f>IF(PaybackCustom&gt;0, IF(PaybackCustom&lt;&gt;"Default", PaybackCustom, IF(PaybackStatus&lt;&gt;"",INDEX('Arbitrage Payback Engine'!$Y$2:$Y$6,MATCH(PaybackStatus,'Arbitrage Payback Engine'!$X$2:$X$6,FALSE)),-1)))</f>
        <v>25</v>
      </c>
      <c r="V887" s="32">
        <f t="shared" si="236"/>
        <v>15</v>
      </c>
      <c r="X887" s="29">
        <f t="shared" si="237"/>
        <v>878</v>
      </c>
      <c r="Z887" s="30">
        <f t="shared" si="228"/>
        <v>24.05149979454869</v>
      </c>
      <c r="AA887" s="28" t="e">
        <f t="shared" si="229"/>
        <v>#N/A</v>
      </c>
      <c r="AB887" s="28" t="e">
        <f t="shared" si="230"/>
        <v>#VALUE!</v>
      </c>
      <c r="AC887" s="29">
        <f t="shared" si="231"/>
        <v>833.01707779886146</v>
      </c>
      <c r="AD887" s="28" t="e">
        <f t="shared" si="232"/>
        <v>#VALUE!</v>
      </c>
      <c r="AE887" s="28" t="e">
        <f t="shared" si="233"/>
        <v>#N/A</v>
      </c>
      <c r="AF887" s="28" t="e">
        <f t="shared" si="234"/>
        <v>#VALUE!</v>
      </c>
      <c r="AH887" s="31" t="e">
        <f t="shared" si="235"/>
        <v>#N/A</v>
      </c>
      <c r="AI887" s="25"/>
      <c r="AJ887" s="31"/>
    </row>
    <row r="888" spans="2:36" x14ac:dyDescent="0.25">
      <c r="B888" s="33">
        <f>'Arbitrage Payback Engine'!E888</f>
        <v>24.078893302287359</v>
      </c>
      <c r="C888" s="33">
        <f t="shared" si="221"/>
        <v>1000</v>
      </c>
      <c r="D888" s="33">
        <f>'Battery Pricing Model'!$C$17</f>
        <v>1000</v>
      </c>
      <c r="E888" s="33">
        <f t="shared" si="222"/>
        <v>999</v>
      </c>
      <c r="F888" s="33" t="str">
        <f>'Peak Models'!$B$4</f>
        <v>Default</v>
      </c>
      <c r="G888" s="33" t="e">
        <f>'Peak Models'!$Q$7</f>
        <v>#VALUE!</v>
      </c>
      <c r="H888" s="33">
        <f>'Peak Models'!$P$16</f>
        <v>1.5</v>
      </c>
      <c r="I888" s="33">
        <v>12</v>
      </c>
      <c r="J888" s="33" t="e">
        <f>'Peak Models'!$P$13</f>
        <v>#N/A</v>
      </c>
      <c r="K888" s="28" t="e">
        <f t="shared" si="223"/>
        <v>#VALUE!</v>
      </c>
      <c r="L888" s="28" t="e">
        <f>INDEX('Peak Models'!$P$34:$P$64, MATCH(TRUNC(B888, 0), 'Peak Models'!$O$34:$O$64, 0))</f>
        <v>#N/A</v>
      </c>
      <c r="M888" s="28">
        <f>'Peak Models'!$P$15*INDEX('Peak Models'!$Q$34:$Q$64, MATCH(TRUNC(B888, 0),'Peak Models'!$O$34:$O$64, 0))/'Profit per cycles Model'!$E$78</f>
        <v>8.5116515274474782</v>
      </c>
      <c r="N888" s="28" t="e">
        <f t="shared" si="224"/>
        <v>#N/A</v>
      </c>
      <c r="O888" s="71" t="e">
        <f>AVERAGE($N$10:N888)</f>
        <v>#N/A</v>
      </c>
      <c r="P888" s="28" t="e">
        <f t="shared" si="225"/>
        <v>#N/A</v>
      </c>
      <c r="R888" s="28" t="e">
        <f t="shared" si="226"/>
        <v>#VALUE!</v>
      </c>
      <c r="S888" s="25"/>
      <c r="T888" s="25">
        <f t="shared" si="227"/>
        <v>15</v>
      </c>
      <c r="U888" s="33">
        <f>IF(PaybackCustom&gt;0, IF(PaybackCustom&lt;&gt;"Default", PaybackCustom, IF(PaybackStatus&lt;&gt;"",INDEX('Arbitrage Payback Engine'!$Y$2:$Y$6,MATCH(PaybackStatus,'Arbitrage Payback Engine'!$X$2:$X$6,FALSE)),-1)))</f>
        <v>25</v>
      </c>
      <c r="V888" s="32">
        <f t="shared" si="236"/>
        <v>15</v>
      </c>
      <c r="X888" s="29">
        <f t="shared" si="237"/>
        <v>879</v>
      </c>
      <c r="Z888" s="30">
        <f t="shared" si="228"/>
        <v>24.078893302287359</v>
      </c>
      <c r="AA888" s="28" t="e">
        <f t="shared" si="229"/>
        <v>#N/A</v>
      </c>
      <c r="AB888" s="28" t="e">
        <f t="shared" si="230"/>
        <v>#VALUE!</v>
      </c>
      <c r="AC888" s="29">
        <f t="shared" si="231"/>
        <v>833.96584440227707</v>
      </c>
      <c r="AD888" s="28" t="e">
        <f t="shared" si="232"/>
        <v>#VALUE!</v>
      </c>
      <c r="AE888" s="28" t="e">
        <f t="shared" si="233"/>
        <v>#N/A</v>
      </c>
      <c r="AF888" s="28" t="e">
        <f t="shared" si="234"/>
        <v>#VALUE!</v>
      </c>
      <c r="AH888" s="31" t="e">
        <f t="shared" si="235"/>
        <v>#N/A</v>
      </c>
      <c r="AI888" s="25"/>
      <c r="AJ888" s="31"/>
    </row>
    <row r="889" spans="2:36" x14ac:dyDescent="0.25">
      <c r="B889" s="33">
        <f>'Arbitrage Payback Engine'!E889</f>
        <v>24.106286810026024</v>
      </c>
      <c r="C889" s="33">
        <f t="shared" si="221"/>
        <v>1000</v>
      </c>
      <c r="D889" s="33">
        <f>'Battery Pricing Model'!$C$17</f>
        <v>1000</v>
      </c>
      <c r="E889" s="33">
        <f t="shared" si="222"/>
        <v>999</v>
      </c>
      <c r="F889" s="33" t="str">
        <f>'Peak Models'!$B$4</f>
        <v>Default</v>
      </c>
      <c r="G889" s="33" t="e">
        <f>'Peak Models'!$Q$7</f>
        <v>#VALUE!</v>
      </c>
      <c r="H889" s="33">
        <f>'Peak Models'!$P$16</f>
        <v>1.5</v>
      </c>
      <c r="I889" s="33">
        <v>12</v>
      </c>
      <c r="J889" s="33" t="e">
        <f>'Peak Models'!$P$13</f>
        <v>#N/A</v>
      </c>
      <c r="K889" s="28" t="e">
        <f t="shared" si="223"/>
        <v>#VALUE!</v>
      </c>
      <c r="L889" s="28" t="e">
        <f>INDEX('Peak Models'!$P$34:$P$64, MATCH(TRUNC(B889, 0), 'Peak Models'!$O$34:$O$64, 0))</f>
        <v>#N/A</v>
      </c>
      <c r="M889" s="28">
        <f>'Peak Models'!$P$15*INDEX('Peak Models'!$Q$34:$Q$64, MATCH(TRUNC(B889, 0),'Peak Models'!$O$34:$O$64, 0))/'Profit per cycles Model'!$E$78</f>
        <v>8.5116515274474782</v>
      </c>
      <c r="N889" s="28" t="e">
        <f t="shared" si="224"/>
        <v>#N/A</v>
      </c>
      <c r="O889" s="71" t="e">
        <f>AVERAGE($N$10:N889)</f>
        <v>#N/A</v>
      </c>
      <c r="P889" s="28" t="e">
        <f t="shared" si="225"/>
        <v>#N/A</v>
      </c>
      <c r="R889" s="28" t="e">
        <f t="shared" si="226"/>
        <v>#VALUE!</v>
      </c>
      <c r="S889" s="25"/>
      <c r="T889" s="25">
        <f t="shared" si="227"/>
        <v>15</v>
      </c>
      <c r="U889" s="33">
        <f>IF(PaybackCustom&gt;0, IF(PaybackCustom&lt;&gt;"Default", PaybackCustom, IF(PaybackStatus&lt;&gt;"",INDEX('Arbitrage Payback Engine'!$Y$2:$Y$6,MATCH(PaybackStatus,'Arbitrage Payback Engine'!$X$2:$X$6,FALSE)),-1)))</f>
        <v>25</v>
      </c>
      <c r="V889" s="32">
        <f t="shared" si="236"/>
        <v>15</v>
      </c>
      <c r="X889" s="29">
        <f t="shared" si="237"/>
        <v>880</v>
      </c>
      <c r="Z889" s="30">
        <f t="shared" si="228"/>
        <v>24.106286810026024</v>
      </c>
      <c r="AA889" s="28" t="e">
        <f t="shared" si="229"/>
        <v>#N/A</v>
      </c>
      <c r="AB889" s="28" t="e">
        <f t="shared" si="230"/>
        <v>#VALUE!</v>
      </c>
      <c r="AC889" s="29">
        <f t="shared" si="231"/>
        <v>834.91461100569268</v>
      </c>
      <c r="AD889" s="28" t="e">
        <f t="shared" si="232"/>
        <v>#VALUE!</v>
      </c>
      <c r="AE889" s="28" t="e">
        <f t="shared" si="233"/>
        <v>#N/A</v>
      </c>
      <c r="AF889" s="28" t="e">
        <f t="shared" si="234"/>
        <v>#VALUE!</v>
      </c>
      <c r="AH889" s="31" t="e">
        <f t="shared" si="235"/>
        <v>#N/A</v>
      </c>
      <c r="AI889" s="25"/>
      <c r="AJ889" s="31"/>
    </row>
    <row r="890" spans="2:36" x14ac:dyDescent="0.25">
      <c r="B890" s="33">
        <f>'Arbitrage Payback Engine'!E890</f>
        <v>24.133680317764689</v>
      </c>
      <c r="C890" s="33">
        <f t="shared" si="221"/>
        <v>1000</v>
      </c>
      <c r="D890" s="33">
        <f>'Battery Pricing Model'!$C$17</f>
        <v>1000</v>
      </c>
      <c r="E890" s="33">
        <f t="shared" si="222"/>
        <v>999</v>
      </c>
      <c r="F890" s="33" t="str">
        <f>'Peak Models'!$B$4</f>
        <v>Default</v>
      </c>
      <c r="G890" s="33" t="e">
        <f>'Peak Models'!$Q$7</f>
        <v>#VALUE!</v>
      </c>
      <c r="H890" s="33">
        <f>'Peak Models'!$P$16</f>
        <v>1.5</v>
      </c>
      <c r="I890" s="33">
        <v>12</v>
      </c>
      <c r="J890" s="33" t="e">
        <f>'Peak Models'!$P$13</f>
        <v>#N/A</v>
      </c>
      <c r="K890" s="28" t="e">
        <f t="shared" si="223"/>
        <v>#VALUE!</v>
      </c>
      <c r="L890" s="28" t="e">
        <f>INDEX('Peak Models'!$P$34:$P$64, MATCH(TRUNC(B890, 0), 'Peak Models'!$O$34:$O$64, 0))</f>
        <v>#N/A</v>
      </c>
      <c r="M890" s="28">
        <f>'Peak Models'!$P$15*INDEX('Peak Models'!$Q$34:$Q$64, MATCH(TRUNC(B890, 0),'Peak Models'!$O$34:$O$64, 0))/'Profit per cycles Model'!$E$78</f>
        <v>8.5116515274474782</v>
      </c>
      <c r="N890" s="28" t="e">
        <f t="shared" si="224"/>
        <v>#N/A</v>
      </c>
      <c r="O890" s="71" t="e">
        <f>AVERAGE($N$10:N890)</f>
        <v>#N/A</v>
      </c>
      <c r="P890" s="28" t="e">
        <f t="shared" si="225"/>
        <v>#N/A</v>
      </c>
      <c r="R890" s="28" t="e">
        <f t="shared" si="226"/>
        <v>#VALUE!</v>
      </c>
      <c r="S890" s="25"/>
      <c r="T890" s="25">
        <f t="shared" si="227"/>
        <v>15</v>
      </c>
      <c r="U890" s="33">
        <f>IF(PaybackCustom&gt;0, IF(PaybackCustom&lt;&gt;"Default", PaybackCustom, IF(PaybackStatus&lt;&gt;"",INDEX('Arbitrage Payback Engine'!$Y$2:$Y$6,MATCH(PaybackStatus,'Arbitrage Payback Engine'!$X$2:$X$6,FALSE)),-1)))</f>
        <v>25</v>
      </c>
      <c r="V890" s="32">
        <f t="shared" si="236"/>
        <v>15</v>
      </c>
      <c r="X890" s="29">
        <f t="shared" si="237"/>
        <v>881</v>
      </c>
      <c r="Z890" s="30">
        <f t="shared" si="228"/>
        <v>24.133680317764689</v>
      </c>
      <c r="AA890" s="28" t="e">
        <f t="shared" si="229"/>
        <v>#N/A</v>
      </c>
      <c r="AB890" s="28" t="e">
        <f t="shared" si="230"/>
        <v>#VALUE!</v>
      </c>
      <c r="AC890" s="29">
        <f t="shared" si="231"/>
        <v>835.86337760910828</v>
      </c>
      <c r="AD890" s="28" t="e">
        <f t="shared" si="232"/>
        <v>#VALUE!</v>
      </c>
      <c r="AE890" s="28" t="e">
        <f t="shared" si="233"/>
        <v>#N/A</v>
      </c>
      <c r="AF890" s="28" t="e">
        <f t="shared" si="234"/>
        <v>#VALUE!</v>
      </c>
      <c r="AH890" s="31" t="e">
        <f t="shared" si="235"/>
        <v>#N/A</v>
      </c>
      <c r="AI890" s="25"/>
      <c r="AJ890" s="31"/>
    </row>
    <row r="891" spans="2:36" x14ac:dyDescent="0.25">
      <c r="B891" s="33">
        <f>'Arbitrage Payback Engine'!E891</f>
        <v>24.161073825503355</v>
      </c>
      <c r="C891" s="33">
        <f t="shared" si="221"/>
        <v>1000</v>
      </c>
      <c r="D891" s="33">
        <f>'Battery Pricing Model'!$C$17</f>
        <v>1000</v>
      </c>
      <c r="E891" s="33">
        <f t="shared" si="222"/>
        <v>999</v>
      </c>
      <c r="F891" s="33" t="str">
        <f>'Peak Models'!$B$4</f>
        <v>Default</v>
      </c>
      <c r="G891" s="33" t="e">
        <f>'Peak Models'!$Q$7</f>
        <v>#VALUE!</v>
      </c>
      <c r="H891" s="33">
        <f>'Peak Models'!$P$16</f>
        <v>1.5</v>
      </c>
      <c r="I891" s="33">
        <v>12</v>
      </c>
      <c r="J891" s="33" t="e">
        <f>'Peak Models'!$P$13</f>
        <v>#N/A</v>
      </c>
      <c r="K891" s="28" t="e">
        <f t="shared" si="223"/>
        <v>#VALUE!</v>
      </c>
      <c r="L891" s="28" t="e">
        <f>INDEX('Peak Models'!$P$34:$P$64, MATCH(TRUNC(B891, 0), 'Peak Models'!$O$34:$O$64, 0))</f>
        <v>#N/A</v>
      </c>
      <c r="M891" s="28">
        <f>'Peak Models'!$P$15*INDEX('Peak Models'!$Q$34:$Q$64, MATCH(TRUNC(B891, 0),'Peak Models'!$O$34:$O$64, 0))/'Profit per cycles Model'!$E$78</f>
        <v>8.5116515274474782</v>
      </c>
      <c r="N891" s="28" t="e">
        <f t="shared" si="224"/>
        <v>#N/A</v>
      </c>
      <c r="O891" s="71" t="e">
        <f>AVERAGE($N$10:N891)</f>
        <v>#N/A</v>
      </c>
      <c r="P891" s="28" t="e">
        <f t="shared" si="225"/>
        <v>#N/A</v>
      </c>
      <c r="R891" s="28" t="e">
        <f t="shared" si="226"/>
        <v>#VALUE!</v>
      </c>
      <c r="S891" s="25"/>
      <c r="T891" s="25">
        <f t="shared" si="227"/>
        <v>15</v>
      </c>
      <c r="U891" s="33">
        <f>IF(PaybackCustom&gt;0, IF(PaybackCustom&lt;&gt;"Default", PaybackCustom, IF(PaybackStatus&lt;&gt;"",INDEX('Arbitrage Payback Engine'!$Y$2:$Y$6,MATCH(PaybackStatus,'Arbitrage Payback Engine'!$X$2:$X$6,FALSE)),-1)))</f>
        <v>25</v>
      </c>
      <c r="V891" s="32">
        <f t="shared" si="236"/>
        <v>15</v>
      </c>
      <c r="X891" s="29">
        <f t="shared" si="237"/>
        <v>882</v>
      </c>
      <c r="Z891" s="30">
        <f t="shared" si="228"/>
        <v>24.161073825503355</v>
      </c>
      <c r="AA891" s="28" t="e">
        <f t="shared" si="229"/>
        <v>#N/A</v>
      </c>
      <c r="AB891" s="28" t="e">
        <f t="shared" si="230"/>
        <v>#VALUE!</v>
      </c>
      <c r="AC891" s="29">
        <f t="shared" si="231"/>
        <v>836.81214421252366</v>
      </c>
      <c r="AD891" s="28" t="e">
        <f t="shared" si="232"/>
        <v>#VALUE!</v>
      </c>
      <c r="AE891" s="28" t="e">
        <f t="shared" si="233"/>
        <v>#N/A</v>
      </c>
      <c r="AF891" s="28" t="e">
        <f t="shared" si="234"/>
        <v>#VALUE!</v>
      </c>
      <c r="AH891" s="31" t="e">
        <f t="shared" si="235"/>
        <v>#N/A</v>
      </c>
      <c r="AI891" s="25"/>
      <c r="AJ891" s="31"/>
    </row>
    <row r="892" spans="2:36" x14ac:dyDescent="0.25">
      <c r="B892" s="33">
        <f>'Arbitrage Payback Engine'!E892</f>
        <v>24.18846733324202</v>
      </c>
      <c r="C892" s="33">
        <f t="shared" si="221"/>
        <v>1000</v>
      </c>
      <c r="D892" s="33">
        <f>'Battery Pricing Model'!$C$17</f>
        <v>1000</v>
      </c>
      <c r="E892" s="33">
        <f t="shared" si="222"/>
        <v>999</v>
      </c>
      <c r="F892" s="33" t="str">
        <f>'Peak Models'!$B$4</f>
        <v>Default</v>
      </c>
      <c r="G892" s="33" t="e">
        <f>'Peak Models'!$Q$7</f>
        <v>#VALUE!</v>
      </c>
      <c r="H892" s="33">
        <f>'Peak Models'!$P$16</f>
        <v>1.5</v>
      </c>
      <c r="I892" s="33">
        <v>12</v>
      </c>
      <c r="J892" s="33" t="e">
        <f>'Peak Models'!$P$13</f>
        <v>#N/A</v>
      </c>
      <c r="K892" s="28" t="e">
        <f t="shared" si="223"/>
        <v>#VALUE!</v>
      </c>
      <c r="L892" s="28" t="e">
        <f>INDEX('Peak Models'!$P$34:$P$64, MATCH(TRUNC(B892, 0), 'Peak Models'!$O$34:$O$64, 0))</f>
        <v>#N/A</v>
      </c>
      <c r="M892" s="28">
        <f>'Peak Models'!$P$15*INDEX('Peak Models'!$Q$34:$Q$64, MATCH(TRUNC(B892, 0),'Peak Models'!$O$34:$O$64, 0))/'Profit per cycles Model'!$E$78</f>
        <v>8.5116515274474782</v>
      </c>
      <c r="N892" s="28" t="e">
        <f t="shared" si="224"/>
        <v>#N/A</v>
      </c>
      <c r="O892" s="71" t="e">
        <f>AVERAGE($N$10:N892)</f>
        <v>#N/A</v>
      </c>
      <c r="P892" s="28" t="e">
        <f t="shared" si="225"/>
        <v>#N/A</v>
      </c>
      <c r="R892" s="28" t="e">
        <f t="shared" si="226"/>
        <v>#VALUE!</v>
      </c>
      <c r="S892" s="25"/>
      <c r="T892" s="25">
        <f t="shared" si="227"/>
        <v>15</v>
      </c>
      <c r="U892" s="33">
        <f>IF(PaybackCustom&gt;0, IF(PaybackCustom&lt;&gt;"Default", PaybackCustom, IF(PaybackStatus&lt;&gt;"",INDEX('Arbitrage Payback Engine'!$Y$2:$Y$6,MATCH(PaybackStatus,'Arbitrage Payback Engine'!$X$2:$X$6,FALSE)),-1)))</f>
        <v>25</v>
      </c>
      <c r="V892" s="32">
        <f t="shared" si="236"/>
        <v>15</v>
      </c>
      <c r="X892" s="29">
        <f t="shared" si="237"/>
        <v>883</v>
      </c>
      <c r="Z892" s="30">
        <f t="shared" si="228"/>
        <v>24.18846733324202</v>
      </c>
      <c r="AA892" s="28" t="e">
        <f t="shared" si="229"/>
        <v>#N/A</v>
      </c>
      <c r="AB892" s="28" t="e">
        <f t="shared" si="230"/>
        <v>#VALUE!</v>
      </c>
      <c r="AC892" s="29">
        <f t="shared" si="231"/>
        <v>837.76091081593927</v>
      </c>
      <c r="AD892" s="28" t="e">
        <f t="shared" si="232"/>
        <v>#VALUE!</v>
      </c>
      <c r="AE892" s="28" t="e">
        <f t="shared" si="233"/>
        <v>#N/A</v>
      </c>
      <c r="AF892" s="28" t="e">
        <f t="shared" si="234"/>
        <v>#VALUE!</v>
      </c>
      <c r="AH892" s="31" t="e">
        <f t="shared" si="235"/>
        <v>#N/A</v>
      </c>
      <c r="AI892" s="25"/>
      <c r="AJ892" s="31"/>
    </row>
    <row r="893" spans="2:36" x14ac:dyDescent="0.25">
      <c r="B893" s="33">
        <f>'Arbitrage Payback Engine'!E893</f>
        <v>24.215860840980685</v>
      </c>
      <c r="C893" s="33">
        <f t="shared" si="221"/>
        <v>1000</v>
      </c>
      <c r="D893" s="33">
        <f>'Battery Pricing Model'!$C$17</f>
        <v>1000</v>
      </c>
      <c r="E893" s="33">
        <f t="shared" si="222"/>
        <v>999</v>
      </c>
      <c r="F893" s="33" t="str">
        <f>'Peak Models'!$B$4</f>
        <v>Default</v>
      </c>
      <c r="G893" s="33" t="e">
        <f>'Peak Models'!$Q$7</f>
        <v>#VALUE!</v>
      </c>
      <c r="H893" s="33">
        <f>'Peak Models'!$P$16</f>
        <v>1.5</v>
      </c>
      <c r="I893" s="33">
        <v>12</v>
      </c>
      <c r="J893" s="33" t="e">
        <f>'Peak Models'!$P$13</f>
        <v>#N/A</v>
      </c>
      <c r="K893" s="28" t="e">
        <f t="shared" si="223"/>
        <v>#VALUE!</v>
      </c>
      <c r="L893" s="28" t="e">
        <f>INDEX('Peak Models'!$P$34:$P$64, MATCH(TRUNC(B893, 0), 'Peak Models'!$O$34:$O$64, 0))</f>
        <v>#N/A</v>
      </c>
      <c r="M893" s="28">
        <f>'Peak Models'!$P$15*INDEX('Peak Models'!$Q$34:$Q$64, MATCH(TRUNC(B893, 0),'Peak Models'!$O$34:$O$64, 0))/'Profit per cycles Model'!$E$78</f>
        <v>8.5116515274474782</v>
      </c>
      <c r="N893" s="28" t="e">
        <f t="shared" si="224"/>
        <v>#N/A</v>
      </c>
      <c r="O893" s="71" t="e">
        <f>AVERAGE($N$10:N893)</f>
        <v>#N/A</v>
      </c>
      <c r="P893" s="28" t="e">
        <f t="shared" si="225"/>
        <v>#N/A</v>
      </c>
      <c r="R893" s="28" t="e">
        <f t="shared" si="226"/>
        <v>#VALUE!</v>
      </c>
      <c r="S893" s="25"/>
      <c r="T893" s="25">
        <f t="shared" si="227"/>
        <v>15</v>
      </c>
      <c r="U893" s="33">
        <f>IF(PaybackCustom&gt;0, IF(PaybackCustom&lt;&gt;"Default", PaybackCustom, IF(PaybackStatus&lt;&gt;"",INDEX('Arbitrage Payback Engine'!$Y$2:$Y$6,MATCH(PaybackStatus,'Arbitrage Payback Engine'!$X$2:$X$6,FALSE)),-1)))</f>
        <v>25</v>
      </c>
      <c r="V893" s="32">
        <f t="shared" si="236"/>
        <v>15</v>
      </c>
      <c r="X893" s="29">
        <f t="shared" si="237"/>
        <v>884</v>
      </c>
      <c r="Z893" s="30">
        <f t="shared" si="228"/>
        <v>24.215860840980685</v>
      </c>
      <c r="AA893" s="28" t="e">
        <f t="shared" si="229"/>
        <v>#N/A</v>
      </c>
      <c r="AB893" s="28" t="e">
        <f t="shared" si="230"/>
        <v>#VALUE!</v>
      </c>
      <c r="AC893" s="29">
        <f t="shared" si="231"/>
        <v>838.70967741935476</v>
      </c>
      <c r="AD893" s="28" t="e">
        <f t="shared" si="232"/>
        <v>#VALUE!</v>
      </c>
      <c r="AE893" s="28" t="e">
        <f t="shared" si="233"/>
        <v>#N/A</v>
      </c>
      <c r="AF893" s="28" t="e">
        <f t="shared" si="234"/>
        <v>#VALUE!</v>
      </c>
      <c r="AH893" s="31" t="e">
        <f t="shared" si="235"/>
        <v>#N/A</v>
      </c>
      <c r="AI893" s="25"/>
      <c r="AJ893" s="31"/>
    </row>
    <row r="894" spans="2:36" x14ac:dyDescent="0.25">
      <c r="B894" s="33">
        <f>'Arbitrage Payback Engine'!E894</f>
        <v>24.243254348719354</v>
      </c>
      <c r="C894" s="33">
        <f t="shared" si="221"/>
        <v>1000</v>
      </c>
      <c r="D894" s="33">
        <f>'Battery Pricing Model'!$C$17</f>
        <v>1000</v>
      </c>
      <c r="E894" s="33">
        <f t="shared" si="222"/>
        <v>999</v>
      </c>
      <c r="F894" s="33" t="str">
        <f>'Peak Models'!$B$4</f>
        <v>Default</v>
      </c>
      <c r="G894" s="33" t="e">
        <f>'Peak Models'!$Q$7</f>
        <v>#VALUE!</v>
      </c>
      <c r="H894" s="33">
        <f>'Peak Models'!$P$16</f>
        <v>1.5</v>
      </c>
      <c r="I894" s="33">
        <v>12</v>
      </c>
      <c r="J894" s="33" t="e">
        <f>'Peak Models'!$P$13</f>
        <v>#N/A</v>
      </c>
      <c r="K894" s="28" t="e">
        <f t="shared" si="223"/>
        <v>#VALUE!</v>
      </c>
      <c r="L894" s="28" t="e">
        <f>INDEX('Peak Models'!$P$34:$P$64, MATCH(TRUNC(B894, 0), 'Peak Models'!$O$34:$O$64, 0))</f>
        <v>#N/A</v>
      </c>
      <c r="M894" s="28">
        <f>'Peak Models'!$P$15*INDEX('Peak Models'!$Q$34:$Q$64, MATCH(TRUNC(B894, 0),'Peak Models'!$O$34:$O$64, 0))/'Profit per cycles Model'!$E$78</f>
        <v>8.5116515274474782</v>
      </c>
      <c r="N894" s="28" t="e">
        <f t="shared" si="224"/>
        <v>#N/A</v>
      </c>
      <c r="O894" s="71" t="e">
        <f>AVERAGE($N$10:N894)</f>
        <v>#N/A</v>
      </c>
      <c r="P894" s="28" t="e">
        <f t="shared" si="225"/>
        <v>#N/A</v>
      </c>
      <c r="R894" s="28" t="e">
        <f t="shared" si="226"/>
        <v>#VALUE!</v>
      </c>
      <c r="S894" s="25"/>
      <c r="T894" s="25">
        <f t="shared" si="227"/>
        <v>15</v>
      </c>
      <c r="U894" s="33">
        <f>IF(PaybackCustom&gt;0, IF(PaybackCustom&lt;&gt;"Default", PaybackCustom, IF(PaybackStatus&lt;&gt;"",INDEX('Arbitrage Payback Engine'!$Y$2:$Y$6,MATCH(PaybackStatus,'Arbitrage Payback Engine'!$X$2:$X$6,FALSE)),-1)))</f>
        <v>25</v>
      </c>
      <c r="V894" s="32">
        <f t="shared" si="236"/>
        <v>15</v>
      </c>
      <c r="X894" s="29">
        <f t="shared" si="237"/>
        <v>885</v>
      </c>
      <c r="Z894" s="30">
        <f t="shared" si="228"/>
        <v>24.243254348719354</v>
      </c>
      <c r="AA894" s="28" t="e">
        <f t="shared" si="229"/>
        <v>#N/A</v>
      </c>
      <c r="AB894" s="28" t="e">
        <f t="shared" si="230"/>
        <v>#VALUE!</v>
      </c>
      <c r="AC894" s="29">
        <f t="shared" si="231"/>
        <v>839.65844402277048</v>
      </c>
      <c r="AD894" s="28" t="e">
        <f t="shared" si="232"/>
        <v>#VALUE!</v>
      </c>
      <c r="AE894" s="28" t="e">
        <f t="shared" si="233"/>
        <v>#N/A</v>
      </c>
      <c r="AF894" s="28" t="e">
        <f t="shared" si="234"/>
        <v>#VALUE!</v>
      </c>
      <c r="AH894" s="31" t="e">
        <f t="shared" si="235"/>
        <v>#N/A</v>
      </c>
      <c r="AI894" s="25"/>
      <c r="AJ894" s="31"/>
    </row>
    <row r="895" spans="2:36" x14ac:dyDescent="0.25">
      <c r="B895" s="33">
        <f>'Arbitrage Payback Engine'!E895</f>
        <v>24.270647856458019</v>
      </c>
      <c r="C895" s="33">
        <f t="shared" si="221"/>
        <v>1000</v>
      </c>
      <c r="D895" s="33">
        <f>'Battery Pricing Model'!$C$17</f>
        <v>1000</v>
      </c>
      <c r="E895" s="33">
        <f t="shared" si="222"/>
        <v>999</v>
      </c>
      <c r="F895" s="33" t="str">
        <f>'Peak Models'!$B$4</f>
        <v>Default</v>
      </c>
      <c r="G895" s="33" t="e">
        <f>'Peak Models'!$Q$7</f>
        <v>#VALUE!</v>
      </c>
      <c r="H895" s="33">
        <f>'Peak Models'!$P$16</f>
        <v>1.5</v>
      </c>
      <c r="I895" s="33">
        <v>12</v>
      </c>
      <c r="J895" s="33" t="e">
        <f>'Peak Models'!$P$13</f>
        <v>#N/A</v>
      </c>
      <c r="K895" s="28" t="e">
        <f t="shared" si="223"/>
        <v>#VALUE!</v>
      </c>
      <c r="L895" s="28" t="e">
        <f>INDEX('Peak Models'!$P$34:$P$64, MATCH(TRUNC(B895, 0), 'Peak Models'!$O$34:$O$64, 0))</f>
        <v>#N/A</v>
      </c>
      <c r="M895" s="28">
        <f>'Peak Models'!$P$15*INDEX('Peak Models'!$Q$34:$Q$64, MATCH(TRUNC(B895, 0),'Peak Models'!$O$34:$O$64, 0))/'Profit per cycles Model'!$E$78</f>
        <v>8.5116515274474782</v>
      </c>
      <c r="N895" s="28" t="e">
        <f t="shared" si="224"/>
        <v>#N/A</v>
      </c>
      <c r="O895" s="71" t="e">
        <f>AVERAGE($N$10:N895)</f>
        <v>#N/A</v>
      </c>
      <c r="P895" s="28" t="e">
        <f t="shared" si="225"/>
        <v>#N/A</v>
      </c>
      <c r="R895" s="28" t="e">
        <f t="shared" si="226"/>
        <v>#VALUE!</v>
      </c>
      <c r="S895" s="25"/>
      <c r="T895" s="25">
        <f t="shared" si="227"/>
        <v>15</v>
      </c>
      <c r="U895" s="33">
        <f>IF(PaybackCustom&gt;0, IF(PaybackCustom&lt;&gt;"Default", PaybackCustom, IF(PaybackStatus&lt;&gt;"",INDEX('Arbitrage Payback Engine'!$Y$2:$Y$6,MATCH(PaybackStatus,'Arbitrage Payback Engine'!$X$2:$X$6,FALSE)),-1)))</f>
        <v>25</v>
      </c>
      <c r="V895" s="32">
        <f t="shared" si="236"/>
        <v>15</v>
      </c>
      <c r="X895" s="29">
        <f t="shared" si="237"/>
        <v>886</v>
      </c>
      <c r="Z895" s="30">
        <f t="shared" si="228"/>
        <v>24.270647856458019</v>
      </c>
      <c r="AA895" s="28" t="e">
        <f t="shared" si="229"/>
        <v>#N/A</v>
      </c>
      <c r="AB895" s="28" t="e">
        <f t="shared" si="230"/>
        <v>#VALUE!</v>
      </c>
      <c r="AC895" s="29">
        <f t="shared" si="231"/>
        <v>840.60721062618609</v>
      </c>
      <c r="AD895" s="28" t="e">
        <f t="shared" si="232"/>
        <v>#VALUE!</v>
      </c>
      <c r="AE895" s="28" t="e">
        <f t="shared" si="233"/>
        <v>#N/A</v>
      </c>
      <c r="AF895" s="28" t="e">
        <f t="shared" si="234"/>
        <v>#VALUE!</v>
      </c>
      <c r="AH895" s="31" t="e">
        <f t="shared" si="235"/>
        <v>#N/A</v>
      </c>
      <c r="AI895" s="25"/>
      <c r="AJ895" s="31"/>
    </row>
    <row r="896" spans="2:36" x14ac:dyDescent="0.25">
      <c r="B896" s="33">
        <f>'Arbitrage Payback Engine'!E896</f>
        <v>24.298041364196685</v>
      </c>
      <c r="C896" s="33">
        <f t="shared" si="221"/>
        <v>1000</v>
      </c>
      <c r="D896" s="33">
        <f>'Battery Pricing Model'!$C$17</f>
        <v>1000</v>
      </c>
      <c r="E896" s="33">
        <f t="shared" si="222"/>
        <v>999</v>
      </c>
      <c r="F896" s="33" t="str">
        <f>'Peak Models'!$B$4</f>
        <v>Default</v>
      </c>
      <c r="G896" s="33" t="e">
        <f>'Peak Models'!$Q$7</f>
        <v>#VALUE!</v>
      </c>
      <c r="H896" s="33">
        <f>'Peak Models'!$P$16</f>
        <v>1.5</v>
      </c>
      <c r="I896" s="33">
        <v>12</v>
      </c>
      <c r="J896" s="33" t="e">
        <f>'Peak Models'!$P$13</f>
        <v>#N/A</v>
      </c>
      <c r="K896" s="28" t="e">
        <f t="shared" si="223"/>
        <v>#VALUE!</v>
      </c>
      <c r="L896" s="28" t="e">
        <f>INDEX('Peak Models'!$P$34:$P$64, MATCH(TRUNC(B896, 0), 'Peak Models'!$O$34:$O$64, 0))</f>
        <v>#N/A</v>
      </c>
      <c r="M896" s="28">
        <f>'Peak Models'!$P$15*INDEX('Peak Models'!$Q$34:$Q$64, MATCH(TRUNC(B896, 0),'Peak Models'!$O$34:$O$64, 0))/'Profit per cycles Model'!$E$78</f>
        <v>8.5116515274474782</v>
      </c>
      <c r="N896" s="28" t="e">
        <f t="shared" si="224"/>
        <v>#N/A</v>
      </c>
      <c r="O896" s="71" t="e">
        <f>AVERAGE($N$10:N896)</f>
        <v>#N/A</v>
      </c>
      <c r="P896" s="28" t="e">
        <f t="shared" si="225"/>
        <v>#N/A</v>
      </c>
      <c r="R896" s="28" t="e">
        <f t="shared" si="226"/>
        <v>#VALUE!</v>
      </c>
      <c r="S896" s="25"/>
      <c r="T896" s="25">
        <f t="shared" si="227"/>
        <v>15</v>
      </c>
      <c r="U896" s="33">
        <f>IF(PaybackCustom&gt;0, IF(PaybackCustom&lt;&gt;"Default", PaybackCustom, IF(PaybackStatus&lt;&gt;"",INDEX('Arbitrage Payback Engine'!$Y$2:$Y$6,MATCH(PaybackStatus,'Arbitrage Payback Engine'!$X$2:$X$6,FALSE)),-1)))</f>
        <v>25</v>
      </c>
      <c r="V896" s="32">
        <f t="shared" si="236"/>
        <v>15</v>
      </c>
      <c r="X896" s="29">
        <f t="shared" si="237"/>
        <v>887</v>
      </c>
      <c r="Z896" s="30">
        <f t="shared" si="228"/>
        <v>24.298041364196685</v>
      </c>
      <c r="AA896" s="28" t="e">
        <f t="shared" si="229"/>
        <v>#N/A</v>
      </c>
      <c r="AB896" s="28" t="e">
        <f t="shared" si="230"/>
        <v>#VALUE!</v>
      </c>
      <c r="AC896" s="29">
        <f t="shared" si="231"/>
        <v>841.55597722960158</v>
      </c>
      <c r="AD896" s="28" t="e">
        <f t="shared" si="232"/>
        <v>#VALUE!</v>
      </c>
      <c r="AE896" s="28" t="e">
        <f t="shared" si="233"/>
        <v>#N/A</v>
      </c>
      <c r="AF896" s="28" t="e">
        <f t="shared" si="234"/>
        <v>#VALUE!</v>
      </c>
      <c r="AH896" s="31" t="e">
        <f t="shared" si="235"/>
        <v>#N/A</v>
      </c>
      <c r="AI896" s="25"/>
      <c r="AJ896" s="31"/>
    </row>
    <row r="897" spans="2:36" x14ac:dyDescent="0.25">
      <c r="B897" s="33">
        <f>'Arbitrage Payback Engine'!E897</f>
        <v>24.32543487193535</v>
      </c>
      <c r="C897" s="33">
        <f t="shared" si="221"/>
        <v>1000</v>
      </c>
      <c r="D897" s="33">
        <f>'Battery Pricing Model'!$C$17</f>
        <v>1000</v>
      </c>
      <c r="E897" s="33">
        <f t="shared" si="222"/>
        <v>999</v>
      </c>
      <c r="F897" s="33" t="str">
        <f>'Peak Models'!$B$4</f>
        <v>Default</v>
      </c>
      <c r="G897" s="33" t="e">
        <f>'Peak Models'!$Q$7</f>
        <v>#VALUE!</v>
      </c>
      <c r="H897" s="33">
        <f>'Peak Models'!$P$16</f>
        <v>1.5</v>
      </c>
      <c r="I897" s="33">
        <v>12</v>
      </c>
      <c r="J897" s="33" t="e">
        <f>'Peak Models'!$P$13</f>
        <v>#N/A</v>
      </c>
      <c r="K897" s="28" t="e">
        <f t="shared" si="223"/>
        <v>#VALUE!</v>
      </c>
      <c r="L897" s="28" t="e">
        <f>INDEX('Peak Models'!$P$34:$P$64, MATCH(TRUNC(B897, 0), 'Peak Models'!$O$34:$O$64, 0))</f>
        <v>#N/A</v>
      </c>
      <c r="M897" s="28">
        <f>'Peak Models'!$P$15*INDEX('Peak Models'!$Q$34:$Q$64, MATCH(TRUNC(B897, 0),'Peak Models'!$O$34:$O$64, 0))/'Profit per cycles Model'!$E$78</f>
        <v>8.5116515274474782</v>
      </c>
      <c r="N897" s="28" t="e">
        <f t="shared" si="224"/>
        <v>#N/A</v>
      </c>
      <c r="O897" s="71" t="e">
        <f>AVERAGE($N$10:N897)</f>
        <v>#N/A</v>
      </c>
      <c r="P897" s="28" t="e">
        <f t="shared" si="225"/>
        <v>#N/A</v>
      </c>
      <c r="R897" s="28" t="e">
        <f t="shared" si="226"/>
        <v>#VALUE!</v>
      </c>
      <c r="S897" s="25"/>
      <c r="T897" s="25">
        <f t="shared" si="227"/>
        <v>15</v>
      </c>
      <c r="U897" s="33">
        <f>IF(PaybackCustom&gt;0, IF(PaybackCustom&lt;&gt;"Default", PaybackCustom, IF(PaybackStatus&lt;&gt;"",INDEX('Arbitrage Payback Engine'!$Y$2:$Y$6,MATCH(PaybackStatus,'Arbitrage Payback Engine'!$X$2:$X$6,FALSE)),-1)))</f>
        <v>25</v>
      </c>
      <c r="V897" s="32">
        <f t="shared" si="236"/>
        <v>15</v>
      </c>
      <c r="X897" s="29">
        <f t="shared" si="237"/>
        <v>888</v>
      </c>
      <c r="Z897" s="30">
        <f t="shared" si="228"/>
        <v>24.32543487193535</v>
      </c>
      <c r="AA897" s="28" t="e">
        <f t="shared" si="229"/>
        <v>#N/A</v>
      </c>
      <c r="AB897" s="28" t="e">
        <f t="shared" si="230"/>
        <v>#VALUE!</v>
      </c>
      <c r="AC897" s="29">
        <f t="shared" si="231"/>
        <v>842.50474383301707</v>
      </c>
      <c r="AD897" s="28" t="e">
        <f t="shared" si="232"/>
        <v>#VALUE!</v>
      </c>
      <c r="AE897" s="28" t="e">
        <f t="shared" si="233"/>
        <v>#N/A</v>
      </c>
      <c r="AF897" s="28" t="e">
        <f t="shared" si="234"/>
        <v>#VALUE!</v>
      </c>
      <c r="AH897" s="31" t="e">
        <f t="shared" si="235"/>
        <v>#N/A</v>
      </c>
      <c r="AI897" s="25"/>
      <c r="AJ897" s="31"/>
    </row>
    <row r="898" spans="2:36" x14ac:dyDescent="0.25">
      <c r="B898" s="33">
        <f>'Arbitrage Payback Engine'!E898</f>
        <v>24.352828379674015</v>
      </c>
      <c r="C898" s="33">
        <f t="shared" si="221"/>
        <v>1000</v>
      </c>
      <c r="D898" s="33">
        <f>'Battery Pricing Model'!$C$17</f>
        <v>1000</v>
      </c>
      <c r="E898" s="33">
        <f t="shared" si="222"/>
        <v>999</v>
      </c>
      <c r="F898" s="33" t="str">
        <f>'Peak Models'!$B$4</f>
        <v>Default</v>
      </c>
      <c r="G898" s="33" t="e">
        <f>'Peak Models'!$Q$7</f>
        <v>#VALUE!</v>
      </c>
      <c r="H898" s="33">
        <f>'Peak Models'!$P$16</f>
        <v>1.5</v>
      </c>
      <c r="I898" s="33">
        <v>12</v>
      </c>
      <c r="J898" s="33" t="e">
        <f>'Peak Models'!$P$13</f>
        <v>#N/A</v>
      </c>
      <c r="K898" s="28" t="e">
        <f t="shared" si="223"/>
        <v>#VALUE!</v>
      </c>
      <c r="L898" s="28" t="e">
        <f>INDEX('Peak Models'!$P$34:$P$64, MATCH(TRUNC(B898, 0), 'Peak Models'!$O$34:$O$64, 0))</f>
        <v>#N/A</v>
      </c>
      <c r="M898" s="28">
        <f>'Peak Models'!$P$15*INDEX('Peak Models'!$Q$34:$Q$64, MATCH(TRUNC(B898, 0),'Peak Models'!$O$34:$O$64, 0))/'Profit per cycles Model'!$E$78</f>
        <v>8.5116515274474782</v>
      </c>
      <c r="N898" s="28" t="e">
        <f t="shared" si="224"/>
        <v>#N/A</v>
      </c>
      <c r="O898" s="71" t="e">
        <f>AVERAGE($N$10:N898)</f>
        <v>#N/A</v>
      </c>
      <c r="P898" s="28" t="e">
        <f t="shared" si="225"/>
        <v>#N/A</v>
      </c>
      <c r="R898" s="28" t="e">
        <f t="shared" si="226"/>
        <v>#VALUE!</v>
      </c>
      <c r="S898" s="25"/>
      <c r="T898" s="25">
        <f t="shared" si="227"/>
        <v>15</v>
      </c>
      <c r="U898" s="33">
        <f>IF(PaybackCustom&gt;0, IF(PaybackCustom&lt;&gt;"Default", PaybackCustom, IF(PaybackStatus&lt;&gt;"",INDEX('Arbitrage Payback Engine'!$Y$2:$Y$6,MATCH(PaybackStatus,'Arbitrage Payback Engine'!$X$2:$X$6,FALSE)),-1)))</f>
        <v>25</v>
      </c>
      <c r="V898" s="32">
        <f t="shared" si="236"/>
        <v>15</v>
      </c>
      <c r="X898" s="29">
        <f t="shared" si="237"/>
        <v>889</v>
      </c>
      <c r="Z898" s="30">
        <f t="shared" si="228"/>
        <v>24.352828379674015</v>
      </c>
      <c r="AA898" s="28" t="e">
        <f t="shared" si="229"/>
        <v>#N/A</v>
      </c>
      <c r="AB898" s="28" t="e">
        <f t="shared" si="230"/>
        <v>#VALUE!</v>
      </c>
      <c r="AC898" s="29">
        <f t="shared" si="231"/>
        <v>843.45351043643257</v>
      </c>
      <c r="AD898" s="28" t="e">
        <f t="shared" si="232"/>
        <v>#VALUE!</v>
      </c>
      <c r="AE898" s="28" t="e">
        <f t="shared" si="233"/>
        <v>#N/A</v>
      </c>
      <c r="AF898" s="28" t="e">
        <f t="shared" si="234"/>
        <v>#VALUE!</v>
      </c>
      <c r="AH898" s="31" t="e">
        <f t="shared" si="235"/>
        <v>#N/A</v>
      </c>
      <c r="AI898" s="25"/>
      <c r="AJ898" s="31"/>
    </row>
    <row r="899" spans="2:36" x14ac:dyDescent="0.25">
      <c r="B899" s="33">
        <f>'Arbitrage Payback Engine'!E899</f>
        <v>24.380221887412681</v>
      </c>
      <c r="C899" s="33">
        <f t="shared" si="221"/>
        <v>1000</v>
      </c>
      <c r="D899" s="33">
        <f>'Battery Pricing Model'!$C$17</f>
        <v>1000</v>
      </c>
      <c r="E899" s="33">
        <f t="shared" si="222"/>
        <v>999</v>
      </c>
      <c r="F899" s="33" t="str">
        <f>'Peak Models'!$B$4</f>
        <v>Default</v>
      </c>
      <c r="G899" s="33" t="e">
        <f>'Peak Models'!$Q$7</f>
        <v>#VALUE!</v>
      </c>
      <c r="H899" s="33">
        <f>'Peak Models'!$P$16</f>
        <v>1.5</v>
      </c>
      <c r="I899" s="33">
        <v>12</v>
      </c>
      <c r="J899" s="33" t="e">
        <f>'Peak Models'!$P$13</f>
        <v>#N/A</v>
      </c>
      <c r="K899" s="28" t="e">
        <f t="shared" si="223"/>
        <v>#VALUE!</v>
      </c>
      <c r="L899" s="28" t="e">
        <f>INDEX('Peak Models'!$P$34:$P$64, MATCH(TRUNC(B899, 0), 'Peak Models'!$O$34:$O$64, 0))</f>
        <v>#N/A</v>
      </c>
      <c r="M899" s="28">
        <f>'Peak Models'!$P$15*INDEX('Peak Models'!$Q$34:$Q$64, MATCH(TRUNC(B899, 0),'Peak Models'!$O$34:$O$64, 0))/'Profit per cycles Model'!$E$78</f>
        <v>8.5116515274474782</v>
      </c>
      <c r="N899" s="28" t="e">
        <f t="shared" si="224"/>
        <v>#N/A</v>
      </c>
      <c r="O899" s="71" t="e">
        <f>AVERAGE($N$10:N899)</f>
        <v>#N/A</v>
      </c>
      <c r="P899" s="28" t="e">
        <f t="shared" si="225"/>
        <v>#N/A</v>
      </c>
      <c r="R899" s="28" t="e">
        <f t="shared" si="226"/>
        <v>#VALUE!</v>
      </c>
      <c r="S899" s="25"/>
      <c r="T899" s="25">
        <f t="shared" si="227"/>
        <v>15</v>
      </c>
      <c r="U899" s="33">
        <f>IF(PaybackCustom&gt;0, IF(PaybackCustom&lt;&gt;"Default", PaybackCustom, IF(PaybackStatus&lt;&gt;"",INDEX('Arbitrage Payback Engine'!$Y$2:$Y$6,MATCH(PaybackStatus,'Arbitrage Payback Engine'!$X$2:$X$6,FALSE)),-1)))</f>
        <v>25</v>
      </c>
      <c r="V899" s="32">
        <f t="shared" si="236"/>
        <v>15</v>
      </c>
      <c r="X899" s="29">
        <f t="shared" si="237"/>
        <v>890</v>
      </c>
      <c r="Z899" s="30">
        <f t="shared" si="228"/>
        <v>24.380221887412681</v>
      </c>
      <c r="AA899" s="28" t="e">
        <f t="shared" si="229"/>
        <v>#N/A</v>
      </c>
      <c r="AB899" s="28" t="e">
        <f t="shared" si="230"/>
        <v>#VALUE!</v>
      </c>
      <c r="AC899" s="29">
        <f t="shared" si="231"/>
        <v>844.40227703984817</v>
      </c>
      <c r="AD899" s="28" t="e">
        <f t="shared" si="232"/>
        <v>#VALUE!</v>
      </c>
      <c r="AE899" s="28" t="e">
        <f t="shared" si="233"/>
        <v>#N/A</v>
      </c>
      <c r="AF899" s="28" t="e">
        <f t="shared" si="234"/>
        <v>#VALUE!</v>
      </c>
      <c r="AH899" s="31" t="e">
        <f t="shared" si="235"/>
        <v>#N/A</v>
      </c>
      <c r="AI899" s="25"/>
      <c r="AJ899" s="31"/>
    </row>
    <row r="900" spans="2:36" x14ac:dyDescent="0.25">
      <c r="B900" s="33">
        <f>'Arbitrage Payback Engine'!E900</f>
        <v>24.40761539515135</v>
      </c>
      <c r="C900" s="33">
        <f t="shared" si="221"/>
        <v>1000</v>
      </c>
      <c r="D900" s="33">
        <f>'Battery Pricing Model'!$C$17</f>
        <v>1000</v>
      </c>
      <c r="E900" s="33">
        <f t="shared" si="222"/>
        <v>999</v>
      </c>
      <c r="F900" s="33" t="str">
        <f>'Peak Models'!$B$4</f>
        <v>Default</v>
      </c>
      <c r="G900" s="33" t="e">
        <f>'Peak Models'!$Q$7</f>
        <v>#VALUE!</v>
      </c>
      <c r="H900" s="33">
        <f>'Peak Models'!$P$16</f>
        <v>1.5</v>
      </c>
      <c r="I900" s="33">
        <v>12</v>
      </c>
      <c r="J900" s="33" t="e">
        <f>'Peak Models'!$P$13</f>
        <v>#N/A</v>
      </c>
      <c r="K900" s="28" t="e">
        <f t="shared" si="223"/>
        <v>#VALUE!</v>
      </c>
      <c r="L900" s="28" t="e">
        <f>INDEX('Peak Models'!$P$34:$P$64, MATCH(TRUNC(B900, 0), 'Peak Models'!$O$34:$O$64, 0))</f>
        <v>#N/A</v>
      </c>
      <c r="M900" s="28">
        <f>'Peak Models'!$P$15*INDEX('Peak Models'!$Q$34:$Q$64, MATCH(TRUNC(B900, 0),'Peak Models'!$O$34:$O$64, 0))/'Profit per cycles Model'!$E$78</f>
        <v>8.5116515274474782</v>
      </c>
      <c r="N900" s="28" t="e">
        <f t="shared" si="224"/>
        <v>#N/A</v>
      </c>
      <c r="O900" s="71" t="e">
        <f>AVERAGE($N$10:N900)</f>
        <v>#N/A</v>
      </c>
      <c r="P900" s="28" t="e">
        <f t="shared" si="225"/>
        <v>#N/A</v>
      </c>
      <c r="R900" s="28" t="e">
        <f t="shared" si="226"/>
        <v>#VALUE!</v>
      </c>
      <c r="S900" s="25"/>
      <c r="T900" s="25">
        <f t="shared" si="227"/>
        <v>15</v>
      </c>
      <c r="U900" s="33">
        <f>IF(PaybackCustom&gt;0, IF(PaybackCustom&lt;&gt;"Default", PaybackCustom, IF(PaybackStatus&lt;&gt;"",INDEX('Arbitrage Payback Engine'!$Y$2:$Y$6,MATCH(PaybackStatus,'Arbitrage Payback Engine'!$X$2:$X$6,FALSE)),-1)))</f>
        <v>25</v>
      </c>
      <c r="V900" s="32">
        <f t="shared" si="236"/>
        <v>15</v>
      </c>
      <c r="X900" s="29">
        <f t="shared" si="237"/>
        <v>891</v>
      </c>
      <c r="Z900" s="30">
        <f t="shared" si="228"/>
        <v>24.40761539515135</v>
      </c>
      <c r="AA900" s="28" t="e">
        <f t="shared" si="229"/>
        <v>#N/A</v>
      </c>
      <c r="AB900" s="28" t="e">
        <f t="shared" si="230"/>
        <v>#VALUE!</v>
      </c>
      <c r="AC900" s="29">
        <f t="shared" si="231"/>
        <v>845.35104364326378</v>
      </c>
      <c r="AD900" s="28" t="e">
        <f t="shared" si="232"/>
        <v>#VALUE!</v>
      </c>
      <c r="AE900" s="28" t="e">
        <f t="shared" si="233"/>
        <v>#N/A</v>
      </c>
      <c r="AF900" s="28" t="e">
        <f t="shared" si="234"/>
        <v>#VALUE!</v>
      </c>
      <c r="AH900" s="31" t="e">
        <f t="shared" si="235"/>
        <v>#N/A</v>
      </c>
      <c r="AI900" s="25"/>
      <c r="AJ900" s="31"/>
    </row>
    <row r="901" spans="2:36" x14ac:dyDescent="0.25">
      <c r="B901" s="33">
        <f>'Arbitrage Payback Engine'!E901</f>
        <v>24.435008902890015</v>
      </c>
      <c r="C901" s="33">
        <f t="shared" si="221"/>
        <v>1000</v>
      </c>
      <c r="D901" s="33">
        <f>'Battery Pricing Model'!$C$17</f>
        <v>1000</v>
      </c>
      <c r="E901" s="33">
        <f t="shared" si="222"/>
        <v>999</v>
      </c>
      <c r="F901" s="33" t="str">
        <f>'Peak Models'!$B$4</f>
        <v>Default</v>
      </c>
      <c r="G901" s="33" t="e">
        <f>'Peak Models'!$Q$7</f>
        <v>#VALUE!</v>
      </c>
      <c r="H901" s="33">
        <f>'Peak Models'!$P$16</f>
        <v>1.5</v>
      </c>
      <c r="I901" s="33">
        <v>12</v>
      </c>
      <c r="J901" s="33" t="e">
        <f>'Peak Models'!$P$13</f>
        <v>#N/A</v>
      </c>
      <c r="K901" s="28" t="e">
        <f t="shared" si="223"/>
        <v>#VALUE!</v>
      </c>
      <c r="L901" s="28" t="e">
        <f>INDEX('Peak Models'!$P$34:$P$64, MATCH(TRUNC(B901, 0), 'Peak Models'!$O$34:$O$64, 0))</f>
        <v>#N/A</v>
      </c>
      <c r="M901" s="28">
        <f>'Peak Models'!$P$15*INDEX('Peak Models'!$Q$34:$Q$64, MATCH(TRUNC(B901, 0),'Peak Models'!$O$34:$O$64, 0))/'Profit per cycles Model'!$E$78</f>
        <v>8.5116515274474782</v>
      </c>
      <c r="N901" s="28" t="e">
        <f t="shared" si="224"/>
        <v>#N/A</v>
      </c>
      <c r="O901" s="71" t="e">
        <f>AVERAGE($N$10:N901)</f>
        <v>#N/A</v>
      </c>
      <c r="P901" s="28" t="e">
        <f t="shared" si="225"/>
        <v>#N/A</v>
      </c>
      <c r="R901" s="28" t="e">
        <f t="shared" si="226"/>
        <v>#VALUE!</v>
      </c>
      <c r="S901" s="25"/>
      <c r="T901" s="25">
        <f t="shared" si="227"/>
        <v>15</v>
      </c>
      <c r="U901" s="33">
        <f>IF(PaybackCustom&gt;0, IF(PaybackCustom&lt;&gt;"Default", PaybackCustom, IF(PaybackStatus&lt;&gt;"",INDEX('Arbitrage Payback Engine'!$Y$2:$Y$6,MATCH(PaybackStatus,'Arbitrage Payback Engine'!$X$2:$X$6,FALSE)),-1)))</f>
        <v>25</v>
      </c>
      <c r="V901" s="32">
        <f t="shared" si="236"/>
        <v>15</v>
      </c>
      <c r="X901" s="29">
        <f t="shared" si="237"/>
        <v>892</v>
      </c>
      <c r="Z901" s="30">
        <f t="shared" si="228"/>
        <v>24.435008902890015</v>
      </c>
      <c r="AA901" s="28" t="e">
        <f t="shared" si="229"/>
        <v>#N/A</v>
      </c>
      <c r="AB901" s="28" t="e">
        <f t="shared" si="230"/>
        <v>#VALUE!</v>
      </c>
      <c r="AC901" s="29">
        <f t="shared" si="231"/>
        <v>846.29981024667939</v>
      </c>
      <c r="AD901" s="28" t="e">
        <f t="shared" si="232"/>
        <v>#VALUE!</v>
      </c>
      <c r="AE901" s="28" t="e">
        <f t="shared" si="233"/>
        <v>#N/A</v>
      </c>
      <c r="AF901" s="28" t="e">
        <f t="shared" si="234"/>
        <v>#VALUE!</v>
      </c>
      <c r="AH901" s="31" t="e">
        <f t="shared" si="235"/>
        <v>#N/A</v>
      </c>
      <c r="AI901" s="25"/>
      <c r="AJ901" s="31"/>
    </row>
    <row r="902" spans="2:36" x14ac:dyDescent="0.25">
      <c r="B902" s="33">
        <f>'Arbitrage Payback Engine'!E902</f>
        <v>24.46240241062868</v>
      </c>
      <c r="C902" s="33">
        <f t="shared" si="221"/>
        <v>1000</v>
      </c>
      <c r="D902" s="33">
        <f>'Battery Pricing Model'!$C$17</f>
        <v>1000</v>
      </c>
      <c r="E902" s="33">
        <f t="shared" si="222"/>
        <v>999</v>
      </c>
      <c r="F902" s="33" t="str">
        <f>'Peak Models'!$B$4</f>
        <v>Default</v>
      </c>
      <c r="G902" s="33" t="e">
        <f>'Peak Models'!$Q$7</f>
        <v>#VALUE!</v>
      </c>
      <c r="H902" s="33">
        <f>'Peak Models'!$P$16</f>
        <v>1.5</v>
      </c>
      <c r="I902" s="33">
        <v>12</v>
      </c>
      <c r="J902" s="33" t="e">
        <f>'Peak Models'!$P$13</f>
        <v>#N/A</v>
      </c>
      <c r="K902" s="28" t="e">
        <f t="shared" si="223"/>
        <v>#VALUE!</v>
      </c>
      <c r="L902" s="28" t="e">
        <f>INDEX('Peak Models'!$P$34:$P$64, MATCH(TRUNC(B902, 0), 'Peak Models'!$O$34:$O$64, 0))</f>
        <v>#N/A</v>
      </c>
      <c r="M902" s="28">
        <f>'Peak Models'!$P$15*INDEX('Peak Models'!$Q$34:$Q$64, MATCH(TRUNC(B902, 0),'Peak Models'!$O$34:$O$64, 0))/'Profit per cycles Model'!$E$78</f>
        <v>8.5116515274474782</v>
      </c>
      <c r="N902" s="28" t="e">
        <f t="shared" si="224"/>
        <v>#N/A</v>
      </c>
      <c r="O902" s="71" t="e">
        <f>AVERAGE($N$10:N902)</f>
        <v>#N/A</v>
      </c>
      <c r="P902" s="28" t="e">
        <f t="shared" si="225"/>
        <v>#N/A</v>
      </c>
      <c r="R902" s="28" t="e">
        <f t="shared" si="226"/>
        <v>#VALUE!</v>
      </c>
      <c r="S902" s="25"/>
      <c r="T902" s="25">
        <f t="shared" si="227"/>
        <v>15</v>
      </c>
      <c r="U902" s="33">
        <f>IF(PaybackCustom&gt;0, IF(PaybackCustom&lt;&gt;"Default", PaybackCustom, IF(PaybackStatus&lt;&gt;"",INDEX('Arbitrage Payback Engine'!$Y$2:$Y$6,MATCH(PaybackStatus,'Arbitrage Payback Engine'!$X$2:$X$6,FALSE)),-1)))</f>
        <v>25</v>
      </c>
      <c r="V902" s="32">
        <f t="shared" si="236"/>
        <v>15</v>
      </c>
      <c r="X902" s="29">
        <f t="shared" si="237"/>
        <v>893</v>
      </c>
      <c r="Z902" s="30">
        <f t="shared" si="228"/>
        <v>24.46240241062868</v>
      </c>
      <c r="AA902" s="28" t="e">
        <f t="shared" si="229"/>
        <v>#N/A</v>
      </c>
      <c r="AB902" s="28" t="e">
        <f t="shared" si="230"/>
        <v>#VALUE!</v>
      </c>
      <c r="AC902" s="29">
        <f t="shared" si="231"/>
        <v>847.24857685009499</v>
      </c>
      <c r="AD902" s="28" t="e">
        <f t="shared" si="232"/>
        <v>#VALUE!</v>
      </c>
      <c r="AE902" s="28" t="e">
        <f t="shared" si="233"/>
        <v>#N/A</v>
      </c>
      <c r="AF902" s="28" t="e">
        <f t="shared" si="234"/>
        <v>#VALUE!</v>
      </c>
      <c r="AH902" s="31" t="e">
        <f t="shared" si="235"/>
        <v>#N/A</v>
      </c>
      <c r="AI902" s="25"/>
      <c r="AJ902" s="31"/>
    </row>
    <row r="903" spans="2:36" x14ac:dyDescent="0.25">
      <c r="B903" s="33">
        <f>'Arbitrage Payback Engine'!E903</f>
        <v>24.489795918367346</v>
      </c>
      <c r="C903" s="33">
        <f t="shared" si="221"/>
        <v>1000</v>
      </c>
      <c r="D903" s="33">
        <f>'Battery Pricing Model'!$C$17</f>
        <v>1000</v>
      </c>
      <c r="E903" s="33">
        <f t="shared" si="222"/>
        <v>999</v>
      </c>
      <c r="F903" s="33" t="str">
        <f>'Peak Models'!$B$4</f>
        <v>Default</v>
      </c>
      <c r="G903" s="33" t="e">
        <f>'Peak Models'!$Q$7</f>
        <v>#VALUE!</v>
      </c>
      <c r="H903" s="33">
        <f>'Peak Models'!$P$16</f>
        <v>1.5</v>
      </c>
      <c r="I903" s="33">
        <v>12</v>
      </c>
      <c r="J903" s="33" t="e">
        <f>'Peak Models'!$P$13</f>
        <v>#N/A</v>
      </c>
      <c r="K903" s="28" t="e">
        <f t="shared" si="223"/>
        <v>#VALUE!</v>
      </c>
      <c r="L903" s="28" t="e">
        <f>INDEX('Peak Models'!$P$34:$P$64, MATCH(TRUNC(B903, 0), 'Peak Models'!$O$34:$O$64, 0))</f>
        <v>#N/A</v>
      </c>
      <c r="M903" s="28">
        <f>'Peak Models'!$P$15*INDEX('Peak Models'!$Q$34:$Q$64, MATCH(TRUNC(B903, 0),'Peak Models'!$O$34:$O$64, 0))/'Profit per cycles Model'!$E$78</f>
        <v>8.5116515274474782</v>
      </c>
      <c r="N903" s="28" t="e">
        <f t="shared" si="224"/>
        <v>#N/A</v>
      </c>
      <c r="O903" s="71" t="e">
        <f>AVERAGE($N$10:N903)</f>
        <v>#N/A</v>
      </c>
      <c r="P903" s="28" t="e">
        <f t="shared" si="225"/>
        <v>#N/A</v>
      </c>
      <c r="R903" s="28" t="e">
        <f t="shared" si="226"/>
        <v>#VALUE!</v>
      </c>
      <c r="S903" s="25"/>
      <c r="T903" s="25">
        <f t="shared" si="227"/>
        <v>15</v>
      </c>
      <c r="U903" s="33">
        <f>IF(PaybackCustom&gt;0, IF(PaybackCustom&lt;&gt;"Default", PaybackCustom, IF(PaybackStatus&lt;&gt;"",INDEX('Arbitrage Payback Engine'!$Y$2:$Y$6,MATCH(PaybackStatus,'Arbitrage Payback Engine'!$X$2:$X$6,FALSE)),-1)))</f>
        <v>25</v>
      </c>
      <c r="V903" s="32">
        <f t="shared" si="236"/>
        <v>15</v>
      </c>
      <c r="X903" s="29">
        <f t="shared" si="237"/>
        <v>894</v>
      </c>
      <c r="Z903" s="30">
        <f t="shared" si="228"/>
        <v>24.489795918367346</v>
      </c>
      <c r="AA903" s="28" t="e">
        <f t="shared" si="229"/>
        <v>#N/A</v>
      </c>
      <c r="AB903" s="28" t="e">
        <f t="shared" si="230"/>
        <v>#VALUE!</v>
      </c>
      <c r="AC903" s="29">
        <f t="shared" si="231"/>
        <v>848.19734345351037</v>
      </c>
      <c r="AD903" s="28" t="e">
        <f t="shared" si="232"/>
        <v>#VALUE!</v>
      </c>
      <c r="AE903" s="28" t="e">
        <f t="shared" si="233"/>
        <v>#N/A</v>
      </c>
      <c r="AF903" s="28" t="e">
        <f t="shared" si="234"/>
        <v>#VALUE!</v>
      </c>
      <c r="AH903" s="31" t="e">
        <f t="shared" si="235"/>
        <v>#N/A</v>
      </c>
      <c r="AI903" s="25"/>
      <c r="AJ903" s="31"/>
    </row>
    <row r="904" spans="2:36" x14ac:dyDescent="0.25">
      <c r="B904" s="33">
        <f>'Arbitrage Payback Engine'!E904</f>
        <v>24.517189426106011</v>
      </c>
      <c r="C904" s="33">
        <f t="shared" si="221"/>
        <v>1000</v>
      </c>
      <c r="D904" s="33">
        <f>'Battery Pricing Model'!$C$17</f>
        <v>1000</v>
      </c>
      <c r="E904" s="33">
        <f t="shared" si="222"/>
        <v>999</v>
      </c>
      <c r="F904" s="33" t="str">
        <f>'Peak Models'!$B$4</f>
        <v>Default</v>
      </c>
      <c r="G904" s="33" t="e">
        <f>'Peak Models'!$Q$7</f>
        <v>#VALUE!</v>
      </c>
      <c r="H904" s="33">
        <f>'Peak Models'!$P$16</f>
        <v>1.5</v>
      </c>
      <c r="I904" s="33">
        <v>12</v>
      </c>
      <c r="J904" s="33" t="e">
        <f>'Peak Models'!$P$13</f>
        <v>#N/A</v>
      </c>
      <c r="K904" s="28" t="e">
        <f t="shared" si="223"/>
        <v>#VALUE!</v>
      </c>
      <c r="L904" s="28" t="e">
        <f>INDEX('Peak Models'!$P$34:$P$64, MATCH(TRUNC(B904, 0), 'Peak Models'!$O$34:$O$64, 0))</f>
        <v>#N/A</v>
      </c>
      <c r="M904" s="28">
        <f>'Peak Models'!$P$15*INDEX('Peak Models'!$Q$34:$Q$64, MATCH(TRUNC(B904, 0),'Peak Models'!$O$34:$O$64, 0))/'Profit per cycles Model'!$E$78</f>
        <v>8.5116515274474782</v>
      </c>
      <c r="N904" s="28" t="e">
        <f t="shared" si="224"/>
        <v>#N/A</v>
      </c>
      <c r="O904" s="71" t="e">
        <f>AVERAGE($N$10:N904)</f>
        <v>#N/A</v>
      </c>
      <c r="P904" s="28" t="e">
        <f t="shared" si="225"/>
        <v>#N/A</v>
      </c>
      <c r="R904" s="28" t="e">
        <f t="shared" si="226"/>
        <v>#VALUE!</v>
      </c>
      <c r="S904" s="25"/>
      <c r="T904" s="25">
        <f t="shared" si="227"/>
        <v>15</v>
      </c>
      <c r="U904" s="33">
        <f>IF(PaybackCustom&gt;0, IF(PaybackCustom&lt;&gt;"Default", PaybackCustom, IF(PaybackStatus&lt;&gt;"",INDEX('Arbitrage Payback Engine'!$Y$2:$Y$6,MATCH(PaybackStatus,'Arbitrage Payback Engine'!$X$2:$X$6,FALSE)),-1)))</f>
        <v>25</v>
      </c>
      <c r="V904" s="32">
        <f t="shared" si="236"/>
        <v>15</v>
      </c>
      <c r="X904" s="29">
        <f t="shared" si="237"/>
        <v>895</v>
      </c>
      <c r="Z904" s="30">
        <f t="shared" si="228"/>
        <v>24.517189426106011</v>
      </c>
      <c r="AA904" s="28" t="e">
        <f t="shared" si="229"/>
        <v>#N/A</v>
      </c>
      <c r="AB904" s="28" t="e">
        <f t="shared" si="230"/>
        <v>#VALUE!</v>
      </c>
      <c r="AC904" s="29">
        <f t="shared" si="231"/>
        <v>849.14611005692598</v>
      </c>
      <c r="AD904" s="28" t="e">
        <f t="shared" si="232"/>
        <v>#VALUE!</v>
      </c>
      <c r="AE904" s="28" t="e">
        <f t="shared" si="233"/>
        <v>#N/A</v>
      </c>
      <c r="AF904" s="28" t="e">
        <f t="shared" si="234"/>
        <v>#VALUE!</v>
      </c>
      <c r="AH904" s="31" t="e">
        <f t="shared" si="235"/>
        <v>#N/A</v>
      </c>
      <c r="AI904" s="25"/>
      <c r="AJ904" s="31"/>
    </row>
    <row r="905" spans="2:36" x14ac:dyDescent="0.25">
      <c r="B905" s="33">
        <f>'Arbitrage Payback Engine'!E905</f>
        <v>24.544582933844676</v>
      </c>
      <c r="C905" s="33">
        <f t="shared" si="221"/>
        <v>1000</v>
      </c>
      <c r="D905" s="33">
        <f>'Battery Pricing Model'!$C$17</f>
        <v>1000</v>
      </c>
      <c r="E905" s="33">
        <f t="shared" si="222"/>
        <v>999</v>
      </c>
      <c r="F905" s="33" t="str">
        <f>'Peak Models'!$B$4</f>
        <v>Default</v>
      </c>
      <c r="G905" s="33" t="e">
        <f>'Peak Models'!$Q$7</f>
        <v>#VALUE!</v>
      </c>
      <c r="H905" s="33">
        <f>'Peak Models'!$P$16</f>
        <v>1.5</v>
      </c>
      <c r="I905" s="33">
        <v>12</v>
      </c>
      <c r="J905" s="33" t="e">
        <f>'Peak Models'!$P$13</f>
        <v>#N/A</v>
      </c>
      <c r="K905" s="28" t="e">
        <f t="shared" si="223"/>
        <v>#VALUE!</v>
      </c>
      <c r="L905" s="28" t="e">
        <f>INDEX('Peak Models'!$P$34:$P$64, MATCH(TRUNC(B905, 0), 'Peak Models'!$O$34:$O$64, 0))</f>
        <v>#N/A</v>
      </c>
      <c r="M905" s="28">
        <f>'Peak Models'!$P$15*INDEX('Peak Models'!$Q$34:$Q$64, MATCH(TRUNC(B905, 0),'Peak Models'!$O$34:$O$64, 0))/'Profit per cycles Model'!$E$78</f>
        <v>8.5116515274474782</v>
      </c>
      <c r="N905" s="28" t="e">
        <f t="shared" si="224"/>
        <v>#N/A</v>
      </c>
      <c r="O905" s="71" t="e">
        <f>AVERAGE($N$10:N905)</f>
        <v>#N/A</v>
      </c>
      <c r="P905" s="28" t="e">
        <f t="shared" si="225"/>
        <v>#N/A</v>
      </c>
      <c r="R905" s="28" t="e">
        <f t="shared" si="226"/>
        <v>#VALUE!</v>
      </c>
      <c r="S905" s="25"/>
      <c r="T905" s="25">
        <f t="shared" si="227"/>
        <v>15</v>
      </c>
      <c r="U905" s="33">
        <f>IF(PaybackCustom&gt;0, IF(PaybackCustom&lt;&gt;"Default", PaybackCustom, IF(PaybackStatus&lt;&gt;"",INDEX('Arbitrage Payback Engine'!$Y$2:$Y$6,MATCH(PaybackStatus,'Arbitrage Payback Engine'!$X$2:$X$6,FALSE)),-1)))</f>
        <v>25</v>
      </c>
      <c r="V905" s="32">
        <f t="shared" si="236"/>
        <v>15</v>
      </c>
      <c r="X905" s="29">
        <f t="shared" si="237"/>
        <v>896</v>
      </c>
      <c r="Z905" s="30">
        <f t="shared" si="228"/>
        <v>24.544582933844676</v>
      </c>
      <c r="AA905" s="28" t="e">
        <f t="shared" si="229"/>
        <v>#N/A</v>
      </c>
      <c r="AB905" s="28" t="e">
        <f t="shared" si="230"/>
        <v>#VALUE!</v>
      </c>
      <c r="AC905" s="29">
        <f t="shared" si="231"/>
        <v>850.09487666034147</v>
      </c>
      <c r="AD905" s="28" t="e">
        <f t="shared" si="232"/>
        <v>#VALUE!</v>
      </c>
      <c r="AE905" s="28" t="e">
        <f t="shared" si="233"/>
        <v>#N/A</v>
      </c>
      <c r="AF905" s="28" t="e">
        <f t="shared" si="234"/>
        <v>#VALUE!</v>
      </c>
      <c r="AH905" s="31" t="e">
        <f t="shared" si="235"/>
        <v>#N/A</v>
      </c>
      <c r="AI905" s="25"/>
      <c r="AJ905" s="31"/>
    </row>
    <row r="906" spans="2:36" x14ac:dyDescent="0.25">
      <c r="B906" s="33">
        <f>'Arbitrage Payback Engine'!E906</f>
        <v>24.571976441583345</v>
      </c>
      <c r="C906" s="33">
        <f t="shared" ref="C906:C969" si="238">IF(OR($E$6="None", $E$6=0), D906, E906)</f>
        <v>1000</v>
      </c>
      <c r="D906" s="33">
        <f>'Battery Pricing Model'!$C$17</f>
        <v>1000</v>
      </c>
      <c r="E906" s="33">
        <f t="shared" ref="E906:E969" si="239">IF(OR($E$6="None", $E$6=0), 999, $D906*(E$6))</f>
        <v>999</v>
      </c>
      <c r="F906" s="33" t="str">
        <f>'Peak Models'!$B$4</f>
        <v>Default</v>
      </c>
      <c r="G906" s="33" t="e">
        <f>'Peak Models'!$Q$7</f>
        <v>#VALUE!</v>
      </c>
      <c r="H906" s="33">
        <f>'Peak Models'!$P$16</f>
        <v>1.5</v>
      </c>
      <c r="I906" s="33">
        <v>12</v>
      </c>
      <c r="J906" s="33" t="e">
        <f>'Peak Models'!$P$13</f>
        <v>#N/A</v>
      </c>
      <c r="K906" s="28" t="e">
        <f t="shared" ref="K906:K969" si="240">C906*G906/(H906*B906)</f>
        <v>#VALUE!</v>
      </c>
      <c r="L906" s="28" t="e">
        <f>INDEX('Peak Models'!$P$34:$P$64, MATCH(TRUNC(B906, 0), 'Peak Models'!$O$34:$O$64, 0))</f>
        <v>#N/A</v>
      </c>
      <c r="M906" s="28">
        <f>'Peak Models'!$P$15*INDEX('Peak Models'!$Q$34:$Q$64, MATCH(TRUNC(B906, 0),'Peak Models'!$O$34:$O$64, 0))/'Profit per cycles Model'!$E$78</f>
        <v>8.5116515274474782</v>
      </c>
      <c r="N906" s="28" t="e">
        <f t="shared" ref="N906:N969" si="241">L906-M906</f>
        <v>#N/A</v>
      </c>
      <c r="O906" s="71" t="e">
        <f>AVERAGE($N$10:N906)</f>
        <v>#N/A</v>
      </c>
      <c r="P906" s="28" t="e">
        <f t="shared" ref="P906:P969" si="242">IF(O906-K906&lt;0, 999, O906-K906)</f>
        <v>#N/A</v>
      </c>
      <c r="R906" s="28" t="e">
        <f t="shared" ref="R906:R969" si="243">IF(ISNA(INDEX($K$10:$K$1063,MATCH(T906,$B$10:$B$1063,1))),-1,INDEX($K$10:$K$1063,MATCH(T906,$B$10:$B$1063,1)))</f>
        <v>#VALUE!</v>
      </c>
      <c r="S906" s="25"/>
      <c r="T906" s="25">
        <f t="shared" ref="T906:T969" si="244">IF( AND(U906&gt;0, V906&gt;0), IF(U906&lt;V906, U906, V906),  IF(U906&gt;0, U906, IF(V906&gt;0, V906, -1)) )</f>
        <v>15</v>
      </c>
      <c r="U906" s="33">
        <f>IF(PaybackCustom&gt;0, IF(PaybackCustom&lt;&gt;"Default", PaybackCustom, IF(PaybackStatus&lt;&gt;"",INDEX('Arbitrage Payback Engine'!$Y$2:$Y$6,MATCH(PaybackStatus,'Arbitrage Payback Engine'!$X$2:$X$6,FALSE)),-1)))</f>
        <v>25</v>
      </c>
      <c r="V906" s="32">
        <f t="shared" si="236"/>
        <v>15</v>
      </c>
      <c r="X906" s="29">
        <f t="shared" si="237"/>
        <v>897</v>
      </c>
      <c r="Z906" s="30">
        <f t="shared" ref="Z906:Z969" si="245">B906</f>
        <v>24.571976441583345</v>
      </c>
      <c r="AA906" s="28" t="e">
        <f t="shared" ref="AA906:AA969" si="246">N906</f>
        <v>#N/A</v>
      </c>
      <c r="AB906" s="28" t="e">
        <f t="shared" ref="AB906:AB969" si="247">R906</f>
        <v>#VALUE!</v>
      </c>
      <c r="AC906" s="29">
        <f t="shared" ref="AC906:AC969" si="248">$AB$2*(Z906-$AB$3)/($AB$4-$AB$3)</f>
        <v>851.04364326375719</v>
      </c>
      <c r="AD906" s="28" t="e">
        <f t="shared" ref="AD906:AD969" si="249">MIN(AB906, AA906)</f>
        <v>#VALUE!</v>
      </c>
      <c r="AE906" s="28" t="e">
        <f t="shared" ref="AE906:AE969" si="250">IF(AND(Z906&lt;T906, AA906&gt;AB906), AA906-AB906, 0)</f>
        <v>#N/A</v>
      </c>
      <c r="AF906" s="28" t="e">
        <f t="shared" ref="AF906:AF969" si="251">IF(AND(Z906&lt;T906, AB906&gt;AA906), AB906-AA906, 0)</f>
        <v>#VALUE!</v>
      </c>
      <c r="AH906" s="31" t="e">
        <f t="shared" ref="AH906:AH969" si="252">(O906-K906)/K906</f>
        <v>#N/A</v>
      </c>
      <c r="AI906" s="25"/>
      <c r="AJ906" s="31"/>
    </row>
    <row r="907" spans="2:36" x14ac:dyDescent="0.25">
      <c r="B907" s="33">
        <f>'Arbitrage Payback Engine'!E907</f>
        <v>24.599369949322011</v>
      </c>
      <c r="C907" s="33">
        <f t="shared" si="238"/>
        <v>1000</v>
      </c>
      <c r="D907" s="33">
        <f>'Battery Pricing Model'!$C$17</f>
        <v>1000</v>
      </c>
      <c r="E907" s="33">
        <f t="shared" si="239"/>
        <v>999</v>
      </c>
      <c r="F907" s="33" t="str">
        <f>'Peak Models'!$B$4</f>
        <v>Default</v>
      </c>
      <c r="G907" s="33" t="e">
        <f>'Peak Models'!$Q$7</f>
        <v>#VALUE!</v>
      </c>
      <c r="H907" s="33">
        <f>'Peak Models'!$P$16</f>
        <v>1.5</v>
      </c>
      <c r="I907" s="33">
        <v>12</v>
      </c>
      <c r="J907" s="33" t="e">
        <f>'Peak Models'!$P$13</f>
        <v>#N/A</v>
      </c>
      <c r="K907" s="28" t="e">
        <f t="shared" si="240"/>
        <v>#VALUE!</v>
      </c>
      <c r="L907" s="28" t="e">
        <f>INDEX('Peak Models'!$P$34:$P$64, MATCH(TRUNC(B907, 0), 'Peak Models'!$O$34:$O$64, 0))</f>
        <v>#N/A</v>
      </c>
      <c r="M907" s="28">
        <f>'Peak Models'!$P$15*INDEX('Peak Models'!$Q$34:$Q$64, MATCH(TRUNC(B907, 0),'Peak Models'!$O$34:$O$64, 0))/'Profit per cycles Model'!$E$78</f>
        <v>8.5116515274474782</v>
      </c>
      <c r="N907" s="28" t="e">
        <f t="shared" si="241"/>
        <v>#N/A</v>
      </c>
      <c r="O907" s="71" t="e">
        <f>AVERAGE($N$10:N907)</f>
        <v>#N/A</v>
      </c>
      <c r="P907" s="28" t="e">
        <f t="shared" si="242"/>
        <v>#N/A</v>
      </c>
      <c r="R907" s="28" t="e">
        <f t="shared" si="243"/>
        <v>#VALUE!</v>
      </c>
      <c r="S907" s="25"/>
      <c r="T907" s="25">
        <f t="shared" si="244"/>
        <v>15</v>
      </c>
      <c r="U907" s="33">
        <f>IF(PaybackCustom&gt;0, IF(PaybackCustom&lt;&gt;"Default", PaybackCustom, IF(PaybackStatus&lt;&gt;"",INDEX('Arbitrage Payback Engine'!$Y$2:$Y$6,MATCH(PaybackStatus,'Arbitrage Payback Engine'!$X$2:$X$6,FALSE)),-1)))</f>
        <v>25</v>
      </c>
      <c r="V907" s="32">
        <f t="shared" ref="V907:V970" si="253">IF(ISNUMBER($L$5), $L$5, 15)</f>
        <v>15</v>
      </c>
      <c r="X907" s="29">
        <f t="shared" ref="X907:X970" si="254">X906+1</f>
        <v>898</v>
      </c>
      <c r="Z907" s="30">
        <f t="shared" si="245"/>
        <v>24.599369949322011</v>
      </c>
      <c r="AA907" s="28" t="e">
        <f t="shared" si="246"/>
        <v>#N/A</v>
      </c>
      <c r="AB907" s="28" t="e">
        <f t="shared" si="247"/>
        <v>#VALUE!</v>
      </c>
      <c r="AC907" s="29">
        <f t="shared" si="248"/>
        <v>851.9924098671728</v>
      </c>
      <c r="AD907" s="28" t="e">
        <f t="shared" si="249"/>
        <v>#VALUE!</v>
      </c>
      <c r="AE907" s="28" t="e">
        <f t="shared" si="250"/>
        <v>#N/A</v>
      </c>
      <c r="AF907" s="28" t="e">
        <f t="shared" si="251"/>
        <v>#VALUE!</v>
      </c>
      <c r="AH907" s="31" t="e">
        <f t="shared" si="252"/>
        <v>#N/A</v>
      </c>
      <c r="AI907" s="25"/>
      <c r="AJ907" s="31"/>
    </row>
    <row r="908" spans="2:36" x14ac:dyDescent="0.25">
      <c r="B908" s="33">
        <f>'Arbitrage Payback Engine'!E908</f>
        <v>24.626763457060676</v>
      </c>
      <c r="C908" s="33">
        <f t="shared" si="238"/>
        <v>1000</v>
      </c>
      <c r="D908" s="33">
        <f>'Battery Pricing Model'!$C$17</f>
        <v>1000</v>
      </c>
      <c r="E908" s="33">
        <f t="shared" si="239"/>
        <v>999</v>
      </c>
      <c r="F908" s="33" t="str">
        <f>'Peak Models'!$B$4</f>
        <v>Default</v>
      </c>
      <c r="G908" s="33" t="e">
        <f>'Peak Models'!$Q$7</f>
        <v>#VALUE!</v>
      </c>
      <c r="H908" s="33">
        <f>'Peak Models'!$P$16</f>
        <v>1.5</v>
      </c>
      <c r="I908" s="33">
        <v>12</v>
      </c>
      <c r="J908" s="33" t="e">
        <f>'Peak Models'!$P$13</f>
        <v>#N/A</v>
      </c>
      <c r="K908" s="28" t="e">
        <f t="shared" si="240"/>
        <v>#VALUE!</v>
      </c>
      <c r="L908" s="28" t="e">
        <f>INDEX('Peak Models'!$P$34:$P$64, MATCH(TRUNC(B908, 0), 'Peak Models'!$O$34:$O$64, 0))</f>
        <v>#N/A</v>
      </c>
      <c r="M908" s="28">
        <f>'Peak Models'!$P$15*INDEX('Peak Models'!$Q$34:$Q$64, MATCH(TRUNC(B908, 0),'Peak Models'!$O$34:$O$64, 0))/'Profit per cycles Model'!$E$78</f>
        <v>8.5116515274474782</v>
      </c>
      <c r="N908" s="28" t="e">
        <f t="shared" si="241"/>
        <v>#N/A</v>
      </c>
      <c r="O908" s="71" t="e">
        <f>AVERAGE($N$10:N908)</f>
        <v>#N/A</v>
      </c>
      <c r="P908" s="28" t="e">
        <f t="shared" si="242"/>
        <v>#N/A</v>
      </c>
      <c r="R908" s="28" t="e">
        <f t="shared" si="243"/>
        <v>#VALUE!</v>
      </c>
      <c r="S908" s="25"/>
      <c r="T908" s="25">
        <f t="shared" si="244"/>
        <v>15</v>
      </c>
      <c r="U908" s="33">
        <f>IF(PaybackCustom&gt;0, IF(PaybackCustom&lt;&gt;"Default", PaybackCustom, IF(PaybackStatus&lt;&gt;"",INDEX('Arbitrage Payback Engine'!$Y$2:$Y$6,MATCH(PaybackStatus,'Arbitrage Payback Engine'!$X$2:$X$6,FALSE)),-1)))</f>
        <v>25</v>
      </c>
      <c r="V908" s="32">
        <f t="shared" si="253"/>
        <v>15</v>
      </c>
      <c r="X908" s="29">
        <f t="shared" si="254"/>
        <v>899</v>
      </c>
      <c r="Z908" s="30">
        <f t="shared" si="245"/>
        <v>24.626763457060676</v>
      </c>
      <c r="AA908" s="28" t="e">
        <f t="shared" si="246"/>
        <v>#N/A</v>
      </c>
      <c r="AB908" s="28" t="e">
        <f t="shared" si="247"/>
        <v>#VALUE!</v>
      </c>
      <c r="AC908" s="29">
        <f t="shared" si="248"/>
        <v>852.94117647058818</v>
      </c>
      <c r="AD908" s="28" t="e">
        <f t="shared" si="249"/>
        <v>#VALUE!</v>
      </c>
      <c r="AE908" s="28" t="e">
        <f t="shared" si="250"/>
        <v>#N/A</v>
      </c>
      <c r="AF908" s="28" t="e">
        <f t="shared" si="251"/>
        <v>#VALUE!</v>
      </c>
      <c r="AH908" s="31" t="e">
        <f t="shared" si="252"/>
        <v>#N/A</v>
      </c>
      <c r="AI908" s="25"/>
      <c r="AJ908" s="31"/>
    </row>
    <row r="909" spans="2:36" x14ac:dyDescent="0.25">
      <c r="B909" s="33">
        <f>'Arbitrage Payback Engine'!E909</f>
        <v>24.654156964799341</v>
      </c>
      <c r="C909" s="33">
        <f t="shared" si="238"/>
        <v>1000</v>
      </c>
      <c r="D909" s="33">
        <f>'Battery Pricing Model'!$C$17</f>
        <v>1000</v>
      </c>
      <c r="E909" s="33">
        <f t="shared" si="239"/>
        <v>999</v>
      </c>
      <c r="F909" s="33" t="str">
        <f>'Peak Models'!$B$4</f>
        <v>Default</v>
      </c>
      <c r="G909" s="33" t="e">
        <f>'Peak Models'!$Q$7</f>
        <v>#VALUE!</v>
      </c>
      <c r="H909" s="33">
        <f>'Peak Models'!$P$16</f>
        <v>1.5</v>
      </c>
      <c r="I909" s="33">
        <v>12</v>
      </c>
      <c r="J909" s="33" t="e">
        <f>'Peak Models'!$P$13</f>
        <v>#N/A</v>
      </c>
      <c r="K909" s="28" t="e">
        <f t="shared" si="240"/>
        <v>#VALUE!</v>
      </c>
      <c r="L909" s="28" t="e">
        <f>INDEX('Peak Models'!$P$34:$P$64, MATCH(TRUNC(B909, 0), 'Peak Models'!$O$34:$O$64, 0))</f>
        <v>#N/A</v>
      </c>
      <c r="M909" s="28">
        <f>'Peak Models'!$P$15*INDEX('Peak Models'!$Q$34:$Q$64, MATCH(TRUNC(B909, 0),'Peak Models'!$O$34:$O$64, 0))/'Profit per cycles Model'!$E$78</f>
        <v>8.5116515274474782</v>
      </c>
      <c r="N909" s="28" t="e">
        <f t="shared" si="241"/>
        <v>#N/A</v>
      </c>
      <c r="O909" s="71" t="e">
        <f>AVERAGE($N$10:N909)</f>
        <v>#N/A</v>
      </c>
      <c r="P909" s="28" t="e">
        <f t="shared" si="242"/>
        <v>#N/A</v>
      </c>
      <c r="R909" s="28" t="e">
        <f t="shared" si="243"/>
        <v>#VALUE!</v>
      </c>
      <c r="S909" s="25"/>
      <c r="T909" s="25">
        <f t="shared" si="244"/>
        <v>15</v>
      </c>
      <c r="U909" s="33">
        <f>IF(PaybackCustom&gt;0, IF(PaybackCustom&lt;&gt;"Default", PaybackCustom, IF(PaybackStatus&lt;&gt;"",INDEX('Arbitrage Payback Engine'!$Y$2:$Y$6,MATCH(PaybackStatus,'Arbitrage Payback Engine'!$X$2:$X$6,FALSE)),-1)))</f>
        <v>25</v>
      </c>
      <c r="V909" s="32">
        <f t="shared" si="253"/>
        <v>15</v>
      </c>
      <c r="X909" s="29">
        <f t="shared" si="254"/>
        <v>900</v>
      </c>
      <c r="Z909" s="30">
        <f t="shared" si="245"/>
        <v>24.654156964799341</v>
      </c>
      <c r="AA909" s="28" t="e">
        <f t="shared" si="246"/>
        <v>#N/A</v>
      </c>
      <c r="AB909" s="28" t="e">
        <f t="shared" si="247"/>
        <v>#VALUE!</v>
      </c>
      <c r="AC909" s="29">
        <f t="shared" si="248"/>
        <v>853.88994307400378</v>
      </c>
      <c r="AD909" s="28" t="e">
        <f t="shared" si="249"/>
        <v>#VALUE!</v>
      </c>
      <c r="AE909" s="28" t="e">
        <f t="shared" si="250"/>
        <v>#N/A</v>
      </c>
      <c r="AF909" s="28" t="e">
        <f t="shared" si="251"/>
        <v>#VALUE!</v>
      </c>
      <c r="AH909" s="31" t="e">
        <f t="shared" si="252"/>
        <v>#N/A</v>
      </c>
      <c r="AI909" s="25"/>
      <c r="AJ909" s="31"/>
    </row>
    <row r="910" spans="2:36" x14ac:dyDescent="0.25">
      <c r="B910" s="33">
        <f>'Arbitrage Payback Engine'!E910</f>
        <v>24.681550472538007</v>
      </c>
      <c r="C910" s="33">
        <f t="shared" si="238"/>
        <v>1000</v>
      </c>
      <c r="D910" s="33">
        <f>'Battery Pricing Model'!$C$17</f>
        <v>1000</v>
      </c>
      <c r="E910" s="33">
        <f t="shared" si="239"/>
        <v>999</v>
      </c>
      <c r="F910" s="33" t="str">
        <f>'Peak Models'!$B$4</f>
        <v>Default</v>
      </c>
      <c r="G910" s="33" t="e">
        <f>'Peak Models'!$Q$7</f>
        <v>#VALUE!</v>
      </c>
      <c r="H910" s="33">
        <f>'Peak Models'!$P$16</f>
        <v>1.5</v>
      </c>
      <c r="I910" s="33">
        <v>12</v>
      </c>
      <c r="J910" s="33" t="e">
        <f>'Peak Models'!$P$13</f>
        <v>#N/A</v>
      </c>
      <c r="K910" s="28" t="e">
        <f t="shared" si="240"/>
        <v>#VALUE!</v>
      </c>
      <c r="L910" s="28" t="e">
        <f>INDEX('Peak Models'!$P$34:$P$64, MATCH(TRUNC(B910, 0), 'Peak Models'!$O$34:$O$64, 0))</f>
        <v>#N/A</v>
      </c>
      <c r="M910" s="28">
        <f>'Peak Models'!$P$15*INDEX('Peak Models'!$Q$34:$Q$64, MATCH(TRUNC(B910, 0),'Peak Models'!$O$34:$O$64, 0))/'Profit per cycles Model'!$E$78</f>
        <v>8.5116515274474782</v>
      </c>
      <c r="N910" s="28" t="e">
        <f t="shared" si="241"/>
        <v>#N/A</v>
      </c>
      <c r="O910" s="71" t="e">
        <f>AVERAGE($N$10:N910)</f>
        <v>#N/A</v>
      </c>
      <c r="P910" s="28" t="e">
        <f t="shared" si="242"/>
        <v>#N/A</v>
      </c>
      <c r="R910" s="28" t="e">
        <f t="shared" si="243"/>
        <v>#VALUE!</v>
      </c>
      <c r="S910" s="25"/>
      <c r="T910" s="25">
        <f t="shared" si="244"/>
        <v>15</v>
      </c>
      <c r="U910" s="33">
        <f>IF(PaybackCustom&gt;0, IF(PaybackCustom&lt;&gt;"Default", PaybackCustom, IF(PaybackStatus&lt;&gt;"",INDEX('Arbitrage Payback Engine'!$Y$2:$Y$6,MATCH(PaybackStatus,'Arbitrage Payback Engine'!$X$2:$X$6,FALSE)),-1)))</f>
        <v>25</v>
      </c>
      <c r="V910" s="32">
        <f t="shared" si="253"/>
        <v>15</v>
      </c>
      <c r="X910" s="29">
        <f t="shared" si="254"/>
        <v>901</v>
      </c>
      <c r="Z910" s="30">
        <f t="shared" si="245"/>
        <v>24.681550472538007</v>
      </c>
      <c r="AA910" s="28" t="e">
        <f t="shared" si="246"/>
        <v>#N/A</v>
      </c>
      <c r="AB910" s="28" t="e">
        <f t="shared" si="247"/>
        <v>#VALUE!</v>
      </c>
      <c r="AC910" s="29">
        <f t="shared" si="248"/>
        <v>854.83870967741927</v>
      </c>
      <c r="AD910" s="28" t="e">
        <f t="shared" si="249"/>
        <v>#VALUE!</v>
      </c>
      <c r="AE910" s="28" t="e">
        <f t="shared" si="250"/>
        <v>#N/A</v>
      </c>
      <c r="AF910" s="28" t="e">
        <f t="shared" si="251"/>
        <v>#VALUE!</v>
      </c>
      <c r="AH910" s="31" t="e">
        <f t="shared" si="252"/>
        <v>#N/A</v>
      </c>
      <c r="AI910" s="25"/>
      <c r="AJ910" s="31"/>
    </row>
    <row r="911" spans="2:36" x14ac:dyDescent="0.25">
      <c r="B911" s="33">
        <f>'Arbitrage Payback Engine'!E911</f>
        <v>24.708943980276672</v>
      </c>
      <c r="C911" s="33">
        <f t="shared" si="238"/>
        <v>1000</v>
      </c>
      <c r="D911" s="33">
        <f>'Battery Pricing Model'!$C$17</f>
        <v>1000</v>
      </c>
      <c r="E911" s="33">
        <f t="shared" si="239"/>
        <v>999</v>
      </c>
      <c r="F911" s="33" t="str">
        <f>'Peak Models'!$B$4</f>
        <v>Default</v>
      </c>
      <c r="G911" s="33" t="e">
        <f>'Peak Models'!$Q$7</f>
        <v>#VALUE!</v>
      </c>
      <c r="H911" s="33">
        <f>'Peak Models'!$P$16</f>
        <v>1.5</v>
      </c>
      <c r="I911" s="33">
        <v>12</v>
      </c>
      <c r="J911" s="33" t="e">
        <f>'Peak Models'!$P$13</f>
        <v>#N/A</v>
      </c>
      <c r="K911" s="28" t="e">
        <f t="shared" si="240"/>
        <v>#VALUE!</v>
      </c>
      <c r="L911" s="28" t="e">
        <f>INDEX('Peak Models'!$P$34:$P$64, MATCH(TRUNC(B911, 0), 'Peak Models'!$O$34:$O$64, 0))</f>
        <v>#N/A</v>
      </c>
      <c r="M911" s="28">
        <f>'Peak Models'!$P$15*INDEX('Peak Models'!$Q$34:$Q$64, MATCH(TRUNC(B911, 0),'Peak Models'!$O$34:$O$64, 0))/'Profit per cycles Model'!$E$78</f>
        <v>8.5116515274474782</v>
      </c>
      <c r="N911" s="28" t="e">
        <f t="shared" si="241"/>
        <v>#N/A</v>
      </c>
      <c r="O911" s="71" t="e">
        <f>AVERAGE($N$10:N911)</f>
        <v>#N/A</v>
      </c>
      <c r="P911" s="28" t="e">
        <f t="shared" si="242"/>
        <v>#N/A</v>
      </c>
      <c r="R911" s="28" t="e">
        <f t="shared" si="243"/>
        <v>#VALUE!</v>
      </c>
      <c r="S911" s="25"/>
      <c r="T911" s="25">
        <f t="shared" si="244"/>
        <v>15</v>
      </c>
      <c r="U911" s="33">
        <f>IF(PaybackCustom&gt;0, IF(PaybackCustom&lt;&gt;"Default", PaybackCustom, IF(PaybackStatus&lt;&gt;"",INDEX('Arbitrage Payback Engine'!$Y$2:$Y$6,MATCH(PaybackStatus,'Arbitrage Payback Engine'!$X$2:$X$6,FALSE)),-1)))</f>
        <v>25</v>
      </c>
      <c r="V911" s="32">
        <f t="shared" si="253"/>
        <v>15</v>
      </c>
      <c r="X911" s="29">
        <f t="shared" si="254"/>
        <v>902</v>
      </c>
      <c r="Z911" s="30">
        <f t="shared" si="245"/>
        <v>24.708943980276672</v>
      </c>
      <c r="AA911" s="28" t="e">
        <f t="shared" si="246"/>
        <v>#N/A</v>
      </c>
      <c r="AB911" s="28" t="e">
        <f t="shared" si="247"/>
        <v>#VALUE!</v>
      </c>
      <c r="AC911" s="29">
        <f t="shared" si="248"/>
        <v>855.78747628083488</v>
      </c>
      <c r="AD911" s="28" t="e">
        <f t="shared" si="249"/>
        <v>#VALUE!</v>
      </c>
      <c r="AE911" s="28" t="e">
        <f t="shared" si="250"/>
        <v>#N/A</v>
      </c>
      <c r="AF911" s="28" t="e">
        <f t="shared" si="251"/>
        <v>#VALUE!</v>
      </c>
      <c r="AH911" s="31" t="e">
        <f t="shared" si="252"/>
        <v>#N/A</v>
      </c>
      <c r="AI911" s="25"/>
      <c r="AJ911" s="31"/>
    </row>
    <row r="912" spans="2:36" x14ac:dyDescent="0.25">
      <c r="B912" s="33">
        <f>'Arbitrage Payback Engine'!E912</f>
        <v>24.736337488015341</v>
      </c>
      <c r="C912" s="33">
        <f t="shared" si="238"/>
        <v>1000</v>
      </c>
      <c r="D912" s="33">
        <f>'Battery Pricing Model'!$C$17</f>
        <v>1000</v>
      </c>
      <c r="E912" s="33">
        <f t="shared" si="239"/>
        <v>999</v>
      </c>
      <c r="F912" s="33" t="str">
        <f>'Peak Models'!$B$4</f>
        <v>Default</v>
      </c>
      <c r="G912" s="33" t="e">
        <f>'Peak Models'!$Q$7</f>
        <v>#VALUE!</v>
      </c>
      <c r="H912" s="33">
        <f>'Peak Models'!$P$16</f>
        <v>1.5</v>
      </c>
      <c r="I912" s="33">
        <v>12</v>
      </c>
      <c r="J912" s="33" t="e">
        <f>'Peak Models'!$P$13</f>
        <v>#N/A</v>
      </c>
      <c r="K912" s="28" t="e">
        <f t="shared" si="240"/>
        <v>#VALUE!</v>
      </c>
      <c r="L912" s="28" t="e">
        <f>INDEX('Peak Models'!$P$34:$P$64, MATCH(TRUNC(B912, 0), 'Peak Models'!$O$34:$O$64, 0))</f>
        <v>#N/A</v>
      </c>
      <c r="M912" s="28">
        <f>'Peak Models'!$P$15*INDEX('Peak Models'!$Q$34:$Q$64, MATCH(TRUNC(B912, 0),'Peak Models'!$O$34:$O$64, 0))/'Profit per cycles Model'!$E$78</f>
        <v>8.5116515274474782</v>
      </c>
      <c r="N912" s="28" t="e">
        <f t="shared" si="241"/>
        <v>#N/A</v>
      </c>
      <c r="O912" s="71" t="e">
        <f>AVERAGE($N$10:N912)</f>
        <v>#N/A</v>
      </c>
      <c r="P912" s="28" t="e">
        <f t="shared" si="242"/>
        <v>#N/A</v>
      </c>
      <c r="R912" s="28" t="e">
        <f t="shared" si="243"/>
        <v>#VALUE!</v>
      </c>
      <c r="S912" s="25"/>
      <c r="T912" s="25">
        <f t="shared" si="244"/>
        <v>15</v>
      </c>
      <c r="U912" s="33">
        <f>IF(PaybackCustom&gt;0, IF(PaybackCustom&lt;&gt;"Default", PaybackCustom, IF(PaybackStatus&lt;&gt;"",INDEX('Arbitrage Payback Engine'!$Y$2:$Y$6,MATCH(PaybackStatus,'Arbitrage Payback Engine'!$X$2:$X$6,FALSE)),-1)))</f>
        <v>25</v>
      </c>
      <c r="V912" s="32">
        <f t="shared" si="253"/>
        <v>15</v>
      </c>
      <c r="X912" s="29">
        <f t="shared" si="254"/>
        <v>903</v>
      </c>
      <c r="Z912" s="30">
        <f t="shared" si="245"/>
        <v>24.736337488015341</v>
      </c>
      <c r="AA912" s="28" t="e">
        <f t="shared" si="246"/>
        <v>#N/A</v>
      </c>
      <c r="AB912" s="28" t="e">
        <f t="shared" si="247"/>
        <v>#VALUE!</v>
      </c>
      <c r="AC912" s="29">
        <f t="shared" si="248"/>
        <v>856.7362428842506</v>
      </c>
      <c r="AD912" s="28" t="e">
        <f t="shared" si="249"/>
        <v>#VALUE!</v>
      </c>
      <c r="AE912" s="28" t="e">
        <f t="shared" si="250"/>
        <v>#N/A</v>
      </c>
      <c r="AF912" s="28" t="e">
        <f t="shared" si="251"/>
        <v>#VALUE!</v>
      </c>
      <c r="AH912" s="31" t="e">
        <f t="shared" si="252"/>
        <v>#N/A</v>
      </c>
      <c r="AI912" s="25"/>
      <c r="AJ912" s="31"/>
    </row>
    <row r="913" spans="2:36" x14ac:dyDescent="0.25">
      <c r="B913" s="33">
        <f>'Arbitrage Payback Engine'!E913</f>
        <v>24.763730995754006</v>
      </c>
      <c r="C913" s="33">
        <f t="shared" si="238"/>
        <v>1000</v>
      </c>
      <c r="D913" s="33">
        <f>'Battery Pricing Model'!$C$17</f>
        <v>1000</v>
      </c>
      <c r="E913" s="33">
        <f t="shared" si="239"/>
        <v>999</v>
      </c>
      <c r="F913" s="33" t="str">
        <f>'Peak Models'!$B$4</f>
        <v>Default</v>
      </c>
      <c r="G913" s="33" t="e">
        <f>'Peak Models'!$Q$7</f>
        <v>#VALUE!</v>
      </c>
      <c r="H913" s="33">
        <f>'Peak Models'!$P$16</f>
        <v>1.5</v>
      </c>
      <c r="I913" s="33">
        <v>12</v>
      </c>
      <c r="J913" s="33" t="e">
        <f>'Peak Models'!$P$13</f>
        <v>#N/A</v>
      </c>
      <c r="K913" s="28" t="e">
        <f t="shared" si="240"/>
        <v>#VALUE!</v>
      </c>
      <c r="L913" s="28" t="e">
        <f>INDEX('Peak Models'!$P$34:$P$64, MATCH(TRUNC(B913, 0), 'Peak Models'!$O$34:$O$64, 0))</f>
        <v>#N/A</v>
      </c>
      <c r="M913" s="28">
        <f>'Peak Models'!$P$15*INDEX('Peak Models'!$Q$34:$Q$64, MATCH(TRUNC(B913, 0),'Peak Models'!$O$34:$O$64, 0))/'Profit per cycles Model'!$E$78</f>
        <v>8.5116515274474782</v>
      </c>
      <c r="N913" s="28" t="e">
        <f t="shared" si="241"/>
        <v>#N/A</v>
      </c>
      <c r="O913" s="71" t="e">
        <f>AVERAGE($N$10:N913)</f>
        <v>#N/A</v>
      </c>
      <c r="P913" s="28" t="e">
        <f t="shared" si="242"/>
        <v>#N/A</v>
      </c>
      <c r="R913" s="28" t="e">
        <f t="shared" si="243"/>
        <v>#VALUE!</v>
      </c>
      <c r="S913" s="25"/>
      <c r="T913" s="25">
        <f t="shared" si="244"/>
        <v>15</v>
      </c>
      <c r="U913" s="33">
        <f>IF(PaybackCustom&gt;0, IF(PaybackCustom&lt;&gt;"Default", PaybackCustom, IF(PaybackStatus&lt;&gt;"",INDEX('Arbitrage Payback Engine'!$Y$2:$Y$6,MATCH(PaybackStatus,'Arbitrage Payback Engine'!$X$2:$X$6,FALSE)),-1)))</f>
        <v>25</v>
      </c>
      <c r="V913" s="32">
        <f t="shared" si="253"/>
        <v>15</v>
      </c>
      <c r="X913" s="29">
        <f t="shared" si="254"/>
        <v>904</v>
      </c>
      <c r="Z913" s="30">
        <f t="shared" si="245"/>
        <v>24.763730995754006</v>
      </c>
      <c r="AA913" s="28" t="e">
        <f t="shared" si="246"/>
        <v>#N/A</v>
      </c>
      <c r="AB913" s="28" t="e">
        <f t="shared" si="247"/>
        <v>#VALUE!</v>
      </c>
      <c r="AC913" s="29">
        <f t="shared" si="248"/>
        <v>857.68500948766609</v>
      </c>
      <c r="AD913" s="28" t="e">
        <f t="shared" si="249"/>
        <v>#VALUE!</v>
      </c>
      <c r="AE913" s="28" t="e">
        <f t="shared" si="250"/>
        <v>#N/A</v>
      </c>
      <c r="AF913" s="28" t="e">
        <f t="shared" si="251"/>
        <v>#VALUE!</v>
      </c>
      <c r="AH913" s="31" t="e">
        <f t="shared" si="252"/>
        <v>#N/A</v>
      </c>
      <c r="AI913" s="25"/>
      <c r="AJ913" s="31"/>
    </row>
    <row r="914" spans="2:36" x14ac:dyDescent="0.25">
      <c r="B914" s="33">
        <f>'Arbitrage Payback Engine'!E914</f>
        <v>24.791124503492671</v>
      </c>
      <c r="C914" s="33">
        <f t="shared" si="238"/>
        <v>1000</v>
      </c>
      <c r="D914" s="33">
        <f>'Battery Pricing Model'!$C$17</f>
        <v>1000</v>
      </c>
      <c r="E914" s="33">
        <f t="shared" si="239"/>
        <v>999</v>
      </c>
      <c r="F914" s="33" t="str">
        <f>'Peak Models'!$B$4</f>
        <v>Default</v>
      </c>
      <c r="G914" s="33" t="e">
        <f>'Peak Models'!$Q$7</f>
        <v>#VALUE!</v>
      </c>
      <c r="H914" s="33">
        <f>'Peak Models'!$P$16</f>
        <v>1.5</v>
      </c>
      <c r="I914" s="33">
        <v>12</v>
      </c>
      <c r="J914" s="33" t="e">
        <f>'Peak Models'!$P$13</f>
        <v>#N/A</v>
      </c>
      <c r="K914" s="28" t="e">
        <f t="shared" si="240"/>
        <v>#VALUE!</v>
      </c>
      <c r="L914" s="28" t="e">
        <f>INDEX('Peak Models'!$P$34:$P$64, MATCH(TRUNC(B914, 0), 'Peak Models'!$O$34:$O$64, 0))</f>
        <v>#N/A</v>
      </c>
      <c r="M914" s="28">
        <f>'Peak Models'!$P$15*INDEX('Peak Models'!$Q$34:$Q$64, MATCH(TRUNC(B914, 0),'Peak Models'!$O$34:$O$64, 0))/'Profit per cycles Model'!$E$78</f>
        <v>8.5116515274474782</v>
      </c>
      <c r="N914" s="28" t="e">
        <f t="shared" si="241"/>
        <v>#N/A</v>
      </c>
      <c r="O914" s="71" t="e">
        <f>AVERAGE($N$10:N914)</f>
        <v>#N/A</v>
      </c>
      <c r="P914" s="28" t="e">
        <f t="shared" si="242"/>
        <v>#N/A</v>
      </c>
      <c r="R914" s="28" t="e">
        <f t="shared" si="243"/>
        <v>#VALUE!</v>
      </c>
      <c r="S914" s="25"/>
      <c r="T914" s="25">
        <f t="shared" si="244"/>
        <v>15</v>
      </c>
      <c r="U914" s="33">
        <f>IF(PaybackCustom&gt;0, IF(PaybackCustom&lt;&gt;"Default", PaybackCustom, IF(PaybackStatus&lt;&gt;"",INDEX('Arbitrage Payback Engine'!$Y$2:$Y$6,MATCH(PaybackStatus,'Arbitrage Payback Engine'!$X$2:$X$6,FALSE)),-1)))</f>
        <v>25</v>
      </c>
      <c r="V914" s="32">
        <f t="shared" si="253"/>
        <v>15</v>
      </c>
      <c r="X914" s="29">
        <f t="shared" si="254"/>
        <v>905</v>
      </c>
      <c r="Z914" s="30">
        <f t="shared" si="245"/>
        <v>24.791124503492671</v>
      </c>
      <c r="AA914" s="28" t="e">
        <f t="shared" si="246"/>
        <v>#N/A</v>
      </c>
      <c r="AB914" s="28" t="e">
        <f t="shared" si="247"/>
        <v>#VALUE!</v>
      </c>
      <c r="AC914" s="29">
        <f t="shared" si="248"/>
        <v>858.6337760910817</v>
      </c>
      <c r="AD914" s="28" t="e">
        <f t="shared" si="249"/>
        <v>#VALUE!</v>
      </c>
      <c r="AE914" s="28" t="e">
        <f t="shared" si="250"/>
        <v>#N/A</v>
      </c>
      <c r="AF914" s="28" t="e">
        <f t="shared" si="251"/>
        <v>#VALUE!</v>
      </c>
      <c r="AH914" s="31" t="e">
        <f t="shared" si="252"/>
        <v>#N/A</v>
      </c>
      <c r="AI914" s="25"/>
      <c r="AJ914" s="31"/>
    </row>
    <row r="915" spans="2:36" x14ac:dyDescent="0.25">
      <c r="B915" s="33">
        <f>'Arbitrage Payback Engine'!E915</f>
        <v>24.818518011231337</v>
      </c>
      <c r="C915" s="33">
        <f t="shared" si="238"/>
        <v>1000</v>
      </c>
      <c r="D915" s="33">
        <f>'Battery Pricing Model'!$C$17</f>
        <v>1000</v>
      </c>
      <c r="E915" s="33">
        <f t="shared" si="239"/>
        <v>999</v>
      </c>
      <c r="F915" s="33" t="str">
        <f>'Peak Models'!$B$4</f>
        <v>Default</v>
      </c>
      <c r="G915" s="33" t="e">
        <f>'Peak Models'!$Q$7</f>
        <v>#VALUE!</v>
      </c>
      <c r="H915" s="33">
        <f>'Peak Models'!$P$16</f>
        <v>1.5</v>
      </c>
      <c r="I915" s="33">
        <v>12</v>
      </c>
      <c r="J915" s="33" t="e">
        <f>'Peak Models'!$P$13</f>
        <v>#N/A</v>
      </c>
      <c r="K915" s="28" t="e">
        <f t="shared" si="240"/>
        <v>#VALUE!</v>
      </c>
      <c r="L915" s="28" t="e">
        <f>INDEX('Peak Models'!$P$34:$P$64, MATCH(TRUNC(B915, 0), 'Peak Models'!$O$34:$O$64, 0))</f>
        <v>#N/A</v>
      </c>
      <c r="M915" s="28">
        <f>'Peak Models'!$P$15*INDEX('Peak Models'!$Q$34:$Q$64, MATCH(TRUNC(B915, 0),'Peak Models'!$O$34:$O$64, 0))/'Profit per cycles Model'!$E$78</f>
        <v>8.5116515274474782</v>
      </c>
      <c r="N915" s="28" t="e">
        <f t="shared" si="241"/>
        <v>#N/A</v>
      </c>
      <c r="O915" s="71" t="e">
        <f>AVERAGE($N$10:N915)</f>
        <v>#N/A</v>
      </c>
      <c r="P915" s="28" t="e">
        <f t="shared" si="242"/>
        <v>#N/A</v>
      </c>
      <c r="R915" s="28" t="e">
        <f t="shared" si="243"/>
        <v>#VALUE!</v>
      </c>
      <c r="S915" s="25"/>
      <c r="T915" s="25">
        <f t="shared" si="244"/>
        <v>15</v>
      </c>
      <c r="U915" s="33">
        <f>IF(PaybackCustom&gt;0, IF(PaybackCustom&lt;&gt;"Default", PaybackCustom, IF(PaybackStatus&lt;&gt;"",INDEX('Arbitrage Payback Engine'!$Y$2:$Y$6,MATCH(PaybackStatus,'Arbitrage Payback Engine'!$X$2:$X$6,FALSE)),-1)))</f>
        <v>25</v>
      </c>
      <c r="V915" s="32">
        <f t="shared" si="253"/>
        <v>15</v>
      </c>
      <c r="X915" s="29">
        <f t="shared" si="254"/>
        <v>906</v>
      </c>
      <c r="Z915" s="30">
        <f t="shared" si="245"/>
        <v>24.818518011231337</v>
      </c>
      <c r="AA915" s="28" t="e">
        <f t="shared" si="246"/>
        <v>#N/A</v>
      </c>
      <c r="AB915" s="28" t="e">
        <f t="shared" si="247"/>
        <v>#VALUE!</v>
      </c>
      <c r="AC915" s="29">
        <f t="shared" si="248"/>
        <v>859.58254269449708</v>
      </c>
      <c r="AD915" s="28" t="e">
        <f t="shared" si="249"/>
        <v>#VALUE!</v>
      </c>
      <c r="AE915" s="28" t="e">
        <f t="shared" si="250"/>
        <v>#N/A</v>
      </c>
      <c r="AF915" s="28" t="e">
        <f t="shared" si="251"/>
        <v>#VALUE!</v>
      </c>
      <c r="AH915" s="31" t="e">
        <f t="shared" si="252"/>
        <v>#N/A</v>
      </c>
      <c r="AI915" s="25"/>
      <c r="AJ915" s="31"/>
    </row>
    <row r="916" spans="2:36" x14ac:dyDescent="0.25">
      <c r="B916" s="33">
        <f>'Arbitrage Payback Engine'!E916</f>
        <v>24.845911518970002</v>
      </c>
      <c r="C916" s="33">
        <f t="shared" si="238"/>
        <v>1000</v>
      </c>
      <c r="D916" s="33">
        <f>'Battery Pricing Model'!$C$17</f>
        <v>1000</v>
      </c>
      <c r="E916" s="33">
        <f t="shared" si="239"/>
        <v>999</v>
      </c>
      <c r="F916" s="33" t="str">
        <f>'Peak Models'!$B$4</f>
        <v>Default</v>
      </c>
      <c r="G916" s="33" t="e">
        <f>'Peak Models'!$Q$7</f>
        <v>#VALUE!</v>
      </c>
      <c r="H916" s="33">
        <f>'Peak Models'!$P$16</f>
        <v>1.5</v>
      </c>
      <c r="I916" s="33">
        <v>12</v>
      </c>
      <c r="J916" s="33" t="e">
        <f>'Peak Models'!$P$13</f>
        <v>#N/A</v>
      </c>
      <c r="K916" s="28" t="e">
        <f t="shared" si="240"/>
        <v>#VALUE!</v>
      </c>
      <c r="L916" s="28" t="e">
        <f>INDEX('Peak Models'!$P$34:$P$64, MATCH(TRUNC(B916, 0), 'Peak Models'!$O$34:$O$64, 0))</f>
        <v>#N/A</v>
      </c>
      <c r="M916" s="28">
        <f>'Peak Models'!$P$15*INDEX('Peak Models'!$Q$34:$Q$64, MATCH(TRUNC(B916, 0),'Peak Models'!$O$34:$O$64, 0))/'Profit per cycles Model'!$E$78</f>
        <v>8.5116515274474782</v>
      </c>
      <c r="N916" s="28" t="e">
        <f t="shared" si="241"/>
        <v>#N/A</v>
      </c>
      <c r="O916" s="71" t="e">
        <f>AVERAGE($N$10:N916)</f>
        <v>#N/A</v>
      </c>
      <c r="P916" s="28" t="e">
        <f t="shared" si="242"/>
        <v>#N/A</v>
      </c>
      <c r="R916" s="28" t="e">
        <f t="shared" si="243"/>
        <v>#VALUE!</v>
      </c>
      <c r="S916" s="25"/>
      <c r="T916" s="25">
        <f t="shared" si="244"/>
        <v>15</v>
      </c>
      <c r="U916" s="33">
        <f>IF(PaybackCustom&gt;0, IF(PaybackCustom&lt;&gt;"Default", PaybackCustom, IF(PaybackStatus&lt;&gt;"",INDEX('Arbitrage Payback Engine'!$Y$2:$Y$6,MATCH(PaybackStatus,'Arbitrage Payback Engine'!$X$2:$X$6,FALSE)),-1)))</f>
        <v>25</v>
      </c>
      <c r="V916" s="32">
        <f t="shared" si="253"/>
        <v>15</v>
      </c>
      <c r="X916" s="29">
        <f t="shared" si="254"/>
        <v>907</v>
      </c>
      <c r="Z916" s="30">
        <f t="shared" si="245"/>
        <v>24.845911518970002</v>
      </c>
      <c r="AA916" s="28" t="e">
        <f t="shared" si="246"/>
        <v>#N/A</v>
      </c>
      <c r="AB916" s="28" t="e">
        <f t="shared" si="247"/>
        <v>#VALUE!</v>
      </c>
      <c r="AC916" s="29">
        <f t="shared" si="248"/>
        <v>860.53130929791268</v>
      </c>
      <c r="AD916" s="28" t="e">
        <f t="shared" si="249"/>
        <v>#VALUE!</v>
      </c>
      <c r="AE916" s="28" t="e">
        <f t="shared" si="250"/>
        <v>#N/A</v>
      </c>
      <c r="AF916" s="28" t="e">
        <f t="shared" si="251"/>
        <v>#VALUE!</v>
      </c>
      <c r="AH916" s="31" t="e">
        <f t="shared" si="252"/>
        <v>#N/A</v>
      </c>
      <c r="AI916" s="25"/>
      <c r="AJ916" s="31"/>
    </row>
    <row r="917" spans="2:36" x14ac:dyDescent="0.25">
      <c r="B917" s="33">
        <f>'Arbitrage Payback Engine'!E917</f>
        <v>24.873305026708667</v>
      </c>
      <c r="C917" s="33">
        <f t="shared" si="238"/>
        <v>1000</v>
      </c>
      <c r="D917" s="33">
        <f>'Battery Pricing Model'!$C$17</f>
        <v>1000</v>
      </c>
      <c r="E917" s="33">
        <f t="shared" si="239"/>
        <v>999</v>
      </c>
      <c r="F917" s="33" t="str">
        <f>'Peak Models'!$B$4</f>
        <v>Default</v>
      </c>
      <c r="G917" s="33" t="e">
        <f>'Peak Models'!$Q$7</f>
        <v>#VALUE!</v>
      </c>
      <c r="H917" s="33">
        <f>'Peak Models'!$P$16</f>
        <v>1.5</v>
      </c>
      <c r="I917" s="33">
        <v>12</v>
      </c>
      <c r="J917" s="33" t="e">
        <f>'Peak Models'!$P$13</f>
        <v>#N/A</v>
      </c>
      <c r="K917" s="28" t="e">
        <f t="shared" si="240"/>
        <v>#VALUE!</v>
      </c>
      <c r="L917" s="28" t="e">
        <f>INDEX('Peak Models'!$P$34:$P$64, MATCH(TRUNC(B917, 0), 'Peak Models'!$O$34:$O$64, 0))</f>
        <v>#N/A</v>
      </c>
      <c r="M917" s="28">
        <f>'Peak Models'!$P$15*INDEX('Peak Models'!$Q$34:$Q$64, MATCH(TRUNC(B917, 0),'Peak Models'!$O$34:$O$64, 0))/'Profit per cycles Model'!$E$78</f>
        <v>8.5116515274474782</v>
      </c>
      <c r="N917" s="28" t="e">
        <f t="shared" si="241"/>
        <v>#N/A</v>
      </c>
      <c r="O917" s="71" t="e">
        <f>AVERAGE($N$10:N917)</f>
        <v>#N/A</v>
      </c>
      <c r="P917" s="28" t="e">
        <f t="shared" si="242"/>
        <v>#N/A</v>
      </c>
      <c r="R917" s="28" t="e">
        <f t="shared" si="243"/>
        <v>#VALUE!</v>
      </c>
      <c r="S917" s="25"/>
      <c r="T917" s="25">
        <f t="shared" si="244"/>
        <v>15</v>
      </c>
      <c r="U917" s="33">
        <f>IF(PaybackCustom&gt;0, IF(PaybackCustom&lt;&gt;"Default", PaybackCustom, IF(PaybackStatus&lt;&gt;"",INDEX('Arbitrage Payback Engine'!$Y$2:$Y$6,MATCH(PaybackStatus,'Arbitrage Payback Engine'!$X$2:$X$6,FALSE)),-1)))</f>
        <v>25</v>
      </c>
      <c r="V917" s="32">
        <f t="shared" si="253"/>
        <v>15</v>
      </c>
      <c r="X917" s="29">
        <f t="shared" si="254"/>
        <v>908</v>
      </c>
      <c r="Z917" s="30">
        <f t="shared" si="245"/>
        <v>24.873305026708667</v>
      </c>
      <c r="AA917" s="28" t="e">
        <f t="shared" si="246"/>
        <v>#N/A</v>
      </c>
      <c r="AB917" s="28" t="e">
        <f t="shared" si="247"/>
        <v>#VALUE!</v>
      </c>
      <c r="AC917" s="29">
        <f t="shared" si="248"/>
        <v>861.48007590132829</v>
      </c>
      <c r="AD917" s="28" t="e">
        <f t="shared" si="249"/>
        <v>#VALUE!</v>
      </c>
      <c r="AE917" s="28" t="e">
        <f t="shared" si="250"/>
        <v>#N/A</v>
      </c>
      <c r="AF917" s="28" t="e">
        <f t="shared" si="251"/>
        <v>#VALUE!</v>
      </c>
      <c r="AH917" s="31" t="e">
        <f t="shared" si="252"/>
        <v>#N/A</v>
      </c>
      <c r="AI917" s="25"/>
      <c r="AJ917" s="31"/>
    </row>
    <row r="918" spans="2:36" x14ac:dyDescent="0.25">
      <c r="B918" s="33">
        <f>'Arbitrage Payback Engine'!E918</f>
        <v>24.900698534447336</v>
      </c>
      <c r="C918" s="33">
        <f t="shared" si="238"/>
        <v>1000</v>
      </c>
      <c r="D918" s="33">
        <f>'Battery Pricing Model'!$C$17</f>
        <v>1000</v>
      </c>
      <c r="E918" s="33">
        <f t="shared" si="239"/>
        <v>999</v>
      </c>
      <c r="F918" s="33" t="str">
        <f>'Peak Models'!$B$4</f>
        <v>Default</v>
      </c>
      <c r="G918" s="33" t="e">
        <f>'Peak Models'!$Q$7</f>
        <v>#VALUE!</v>
      </c>
      <c r="H918" s="33">
        <f>'Peak Models'!$P$16</f>
        <v>1.5</v>
      </c>
      <c r="I918" s="33">
        <v>12</v>
      </c>
      <c r="J918" s="33" t="e">
        <f>'Peak Models'!$P$13</f>
        <v>#N/A</v>
      </c>
      <c r="K918" s="28" t="e">
        <f t="shared" si="240"/>
        <v>#VALUE!</v>
      </c>
      <c r="L918" s="28" t="e">
        <f>INDEX('Peak Models'!$P$34:$P$64, MATCH(TRUNC(B918, 0), 'Peak Models'!$O$34:$O$64, 0))</f>
        <v>#N/A</v>
      </c>
      <c r="M918" s="28">
        <f>'Peak Models'!$P$15*INDEX('Peak Models'!$Q$34:$Q$64, MATCH(TRUNC(B918, 0),'Peak Models'!$O$34:$O$64, 0))/'Profit per cycles Model'!$E$78</f>
        <v>8.5116515274474782</v>
      </c>
      <c r="N918" s="28" t="e">
        <f t="shared" si="241"/>
        <v>#N/A</v>
      </c>
      <c r="O918" s="71" t="e">
        <f>AVERAGE($N$10:N918)</f>
        <v>#N/A</v>
      </c>
      <c r="P918" s="28" t="e">
        <f t="shared" si="242"/>
        <v>#N/A</v>
      </c>
      <c r="R918" s="28" t="e">
        <f t="shared" si="243"/>
        <v>#VALUE!</v>
      </c>
      <c r="S918" s="25"/>
      <c r="T918" s="25">
        <f t="shared" si="244"/>
        <v>15</v>
      </c>
      <c r="U918" s="33">
        <f>IF(PaybackCustom&gt;0, IF(PaybackCustom&lt;&gt;"Default", PaybackCustom, IF(PaybackStatus&lt;&gt;"",INDEX('Arbitrage Payback Engine'!$Y$2:$Y$6,MATCH(PaybackStatus,'Arbitrage Payback Engine'!$X$2:$X$6,FALSE)),-1)))</f>
        <v>25</v>
      </c>
      <c r="V918" s="32">
        <f t="shared" si="253"/>
        <v>15</v>
      </c>
      <c r="X918" s="29">
        <f t="shared" si="254"/>
        <v>909</v>
      </c>
      <c r="Z918" s="30">
        <f t="shared" si="245"/>
        <v>24.900698534447336</v>
      </c>
      <c r="AA918" s="28" t="e">
        <f t="shared" si="246"/>
        <v>#N/A</v>
      </c>
      <c r="AB918" s="28" t="e">
        <f t="shared" si="247"/>
        <v>#VALUE!</v>
      </c>
      <c r="AC918" s="29">
        <f t="shared" si="248"/>
        <v>862.4288425047439</v>
      </c>
      <c r="AD918" s="28" t="e">
        <f t="shared" si="249"/>
        <v>#VALUE!</v>
      </c>
      <c r="AE918" s="28" t="e">
        <f t="shared" si="250"/>
        <v>#N/A</v>
      </c>
      <c r="AF918" s="28" t="e">
        <f t="shared" si="251"/>
        <v>#VALUE!</v>
      </c>
      <c r="AH918" s="31" t="e">
        <f t="shared" si="252"/>
        <v>#N/A</v>
      </c>
      <c r="AI918" s="25"/>
      <c r="AJ918" s="31"/>
    </row>
    <row r="919" spans="2:36" x14ac:dyDescent="0.25">
      <c r="B919" s="33">
        <f>'Arbitrage Payback Engine'!E919</f>
        <v>24.928092042186002</v>
      </c>
      <c r="C919" s="33">
        <f t="shared" si="238"/>
        <v>1000</v>
      </c>
      <c r="D919" s="33">
        <f>'Battery Pricing Model'!$C$17</f>
        <v>1000</v>
      </c>
      <c r="E919" s="33">
        <f t="shared" si="239"/>
        <v>999</v>
      </c>
      <c r="F919" s="33" t="str">
        <f>'Peak Models'!$B$4</f>
        <v>Default</v>
      </c>
      <c r="G919" s="33" t="e">
        <f>'Peak Models'!$Q$7</f>
        <v>#VALUE!</v>
      </c>
      <c r="H919" s="33">
        <f>'Peak Models'!$P$16</f>
        <v>1.5</v>
      </c>
      <c r="I919" s="33">
        <v>12</v>
      </c>
      <c r="J919" s="33" t="e">
        <f>'Peak Models'!$P$13</f>
        <v>#N/A</v>
      </c>
      <c r="K919" s="28" t="e">
        <f t="shared" si="240"/>
        <v>#VALUE!</v>
      </c>
      <c r="L919" s="28" t="e">
        <f>INDEX('Peak Models'!$P$34:$P$64, MATCH(TRUNC(B919, 0), 'Peak Models'!$O$34:$O$64, 0))</f>
        <v>#N/A</v>
      </c>
      <c r="M919" s="28">
        <f>'Peak Models'!$P$15*INDEX('Peak Models'!$Q$34:$Q$64, MATCH(TRUNC(B919, 0),'Peak Models'!$O$34:$O$64, 0))/'Profit per cycles Model'!$E$78</f>
        <v>8.5116515274474782</v>
      </c>
      <c r="N919" s="28" t="e">
        <f t="shared" si="241"/>
        <v>#N/A</v>
      </c>
      <c r="O919" s="71" t="e">
        <f>AVERAGE($N$10:N919)</f>
        <v>#N/A</v>
      </c>
      <c r="P919" s="28" t="e">
        <f t="shared" si="242"/>
        <v>#N/A</v>
      </c>
      <c r="R919" s="28" t="e">
        <f t="shared" si="243"/>
        <v>#VALUE!</v>
      </c>
      <c r="S919" s="25"/>
      <c r="T919" s="25">
        <f t="shared" si="244"/>
        <v>15</v>
      </c>
      <c r="U919" s="33">
        <f>IF(PaybackCustom&gt;0, IF(PaybackCustom&lt;&gt;"Default", PaybackCustom, IF(PaybackStatus&lt;&gt;"",INDEX('Arbitrage Payback Engine'!$Y$2:$Y$6,MATCH(PaybackStatus,'Arbitrage Payback Engine'!$X$2:$X$6,FALSE)),-1)))</f>
        <v>25</v>
      </c>
      <c r="V919" s="32">
        <f t="shared" si="253"/>
        <v>15</v>
      </c>
      <c r="X919" s="29">
        <f t="shared" si="254"/>
        <v>910</v>
      </c>
      <c r="Z919" s="30">
        <f t="shared" si="245"/>
        <v>24.928092042186002</v>
      </c>
      <c r="AA919" s="28" t="e">
        <f t="shared" si="246"/>
        <v>#N/A</v>
      </c>
      <c r="AB919" s="28" t="e">
        <f t="shared" si="247"/>
        <v>#VALUE!</v>
      </c>
      <c r="AC919" s="29">
        <f t="shared" si="248"/>
        <v>863.3776091081595</v>
      </c>
      <c r="AD919" s="28" t="e">
        <f t="shared" si="249"/>
        <v>#VALUE!</v>
      </c>
      <c r="AE919" s="28" t="e">
        <f t="shared" si="250"/>
        <v>#N/A</v>
      </c>
      <c r="AF919" s="28" t="e">
        <f t="shared" si="251"/>
        <v>#VALUE!</v>
      </c>
      <c r="AH919" s="31" t="e">
        <f t="shared" si="252"/>
        <v>#N/A</v>
      </c>
      <c r="AI919" s="25"/>
      <c r="AJ919" s="31"/>
    </row>
    <row r="920" spans="2:36" x14ac:dyDescent="0.25">
      <c r="B920" s="33">
        <f>'Arbitrage Payback Engine'!E920</f>
        <v>24.955485549924667</v>
      </c>
      <c r="C920" s="33">
        <f t="shared" si="238"/>
        <v>1000</v>
      </c>
      <c r="D920" s="33">
        <f>'Battery Pricing Model'!$C$17</f>
        <v>1000</v>
      </c>
      <c r="E920" s="33">
        <f t="shared" si="239"/>
        <v>999</v>
      </c>
      <c r="F920" s="33" t="str">
        <f>'Peak Models'!$B$4</f>
        <v>Default</v>
      </c>
      <c r="G920" s="33" t="e">
        <f>'Peak Models'!$Q$7</f>
        <v>#VALUE!</v>
      </c>
      <c r="H920" s="33">
        <f>'Peak Models'!$P$16</f>
        <v>1.5</v>
      </c>
      <c r="I920" s="33">
        <v>12</v>
      </c>
      <c r="J920" s="33" t="e">
        <f>'Peak Models'!$P$13</f>
        <v>#N/A</v>
      </c>
      <c r="K920" s="28" t="e">
        <f t="shared" si="240"/>
        <v>#VALUE!</v>
      </c>
      <c r="L920" s="28" t="e">
        <f>INDEX('Peak Models'!$P$34:$P$64, MATCH(TRUNC(B920, 0), 'Peak Models'!$O$34:$O$64, 0))</f>
        <v>#N/A</v>
      </c>
      <c r="M920" s="28">
        <f>'Peak Models'!$P$15*INDEX('Peak Models'!$Q$34:$Q$64, MATCH(TRUNC(B920, 0),'Peak Models'!$O$34:$O$64, 0))/'Profit per cycles Model'!$E$78</f>
        <v>8.5116515274474782</v>
      </c>
      <c r="N920" s="28" t="e">
        <f t="shared" si="241"/>
        <v>#N/A</v>
      </c>
      <c r="O920" s="71" t="e">
        <f>AVERAGE($N$10:N920)</f>
        <v>#N/A</v>
      </c>
      <c r="P920" s="28" t="e">
        <f t="shared" si="242"/>
        <v>#N/A</v>
      </c>
      <c r="R920" s="28" t="e">
        <f t="shared" si="243"/>
        <v>#VALUE!</v>
      </c>
      <c r="S920" s="25"/>
      <c r="T920" s="25">
        <f t="shared" si="244"/>
        <v>15</v>
      </c>
      <c r="U920" s="33">
        <f>IF(PaybackCustom&gt;0, IF(PaybackCustom&lt;&gt;"Default", PaybackCustom, IF(PaybackStatus&lt;&gt;"",INDEX('Arbitrage Payback Engine'!$Y$2:$Y$6,MATCH(PaybackStatus,'Arbitrage Payback Engine'!$X$2:$X$6,FALSE)),-1)))</f>
        <v>25</v>
      </c>
      <c r="V920" s="32">
        <f t="shared" si="253"/>
        <v>15</v>
      </c>
      <c r="X920" s="29">
        <f t="shared" si="254"/>
        <v>911</v>
      </c>
      <c r="Z920" s="30">
        <f t="shared" si="245"/>
        <v>24.955485549924667</v>
      </c>
      <c r="AA920" s="28" t="e">
        <f t="shared" si="246"/>
        <v>#N/A</v>
      </c>
      <c r="AB920" s="28" t="e">
        <f t="shared" si="247"/>
        <v>#VALUE!</v>
      </c>
      <c r="AC920" s="29">
        <f t="shared" si="248"/>
        <v>864.32637571157488</v>
      </c>
      <c r="AD920" s="28" t="e">
        <f t="shared" si="249"/>
        <v>#VALUE!</v>
      </c>
      <c r="AE920" s="28" t="e">
        <f t="shared" si="250"/>
        <v>#N/A</v>
      </c>
      <c r="AF920" s="28" t="e">
        <f t="shared" si="251"/>
        <v>#VALUE!</v>
      </c>
      <c r="AH920" s="31" t="e">
        <f t="shared" si="252"/>
        <v>#N/A</v>
      </c>
      <c r="AI920" s="25"/>
      <c r="AJ920" s="31"/>
    </row>
    <row r="921" spans="2:36" x14ac:dyDescent="0.25">
      <c r="B921" s="33">
        <f>'Arbitrage Payback Engine'!E921</f>
        <v>24.982879057663332</v>
      </c>
      <c r="C921" s="33">
        <f t="shared" si="238"/>
        <v>1000</v>
      </c>
      <c r="D921" s="33">
        <f>'Battery Pricing Model'!$C$17</f>
        <v>1000</v>
      </c>
      <c r="E921" s="33">
        <f t="shared" si="239"/>
        <v>999</v>
      </c>
      <c r="F921" s="33" t="str">
        <f>'Peak Models'!$B$4</f>
        <v>Default</v>
      </c>
      <c r="G921" s="33" t="e">
        <f>'Peak Models'!$Q$7</f>
        <v>#VALUE!</v>
      </c>
      <c r="H921" s="33">
        <f>'Peak Models'!$P$16</f>
        <v>1.5</v>
      </c>
      <c r="I921" s="33">
        <v>12</v>
      </c>
      <c r="J921" s="33" t="e">
        <f>'Peak Models'!$P$13</f>
        <v>#N/A</v>
      </c>
      <c r="K921" s="28" t="e">
        <f t="shared" si="240"/>
        <v>#VALUE!</v>
      </c>
      <c r="L921" s="28" t="e">
        <f>INDEX('Peak Models'!$P$34:$P$64, MATCH(TRUNC(B921, 0), 'Peak Models'!$O$34:$O$64, 0))</f>
        <v>#N/A</v>
      </c>
      <c r="M921" s="28">
        <f>'Peak Models'!$P$15*INDEX('Peak Models'!$Q$34:$Q$64, MATCH(TRUNC(B921, 0),'Peak Models'!$O$34:$O$64, 0))/'Profit per cycles Model'!$E$78</f>
        <v>8.5116515274474782</v>
      </c>
      <c r="N921" s="28" t="e">
        <f t="shared" si="241"/>
        <v>#N/A</v>
      </c>
      <c r="O921" s="71" t="e">
        <f>AVERAGE($N$10:N921)</f>
        <v>#N/A</v>
      </c>
      <c r="P921" s="28" t="e">
        <f t="shared" si="242"/>
        <v>#N/A</v>
      </c>
      <c r="R921" s="28" t="e">
        <f t="shared" si="243"/>
        <v>#VALUE!</v>
      </c>
      <c r="S921" s="25"/>
      <c r="T921" s="25">
        <f t="shared" si="244"/>
        <v>15</v>
      </c>
      <c r="U921" s="33">
        <f>IF(PaybackCustom&gt;0, IF(PaybackCustom&lt;&gt;"Default", PaybackCustom, IF(PaybackStatus&lt;&gt;"",INDEX('Arbitrage Payback Engine'!$Y$2:$Y$6,MATCH(PaybackStatus,'Arbitrage Payback Engine'!$X$2:$X$6,FALSE)),-1)))</f>
        <v>25</v>
      </c>
      <c r="V921" s="32">
        <f t="shared" si="253"/>
        <v>15</v>
      </c>
      <c r="X921" s="29">
        <f t="shared" si="254"/>
        <v>912</v>
      </c>
      <c r="Z921" s="30">
        <f t="shared" si="245"/>
        <v>24.982879057663332</v>
      </c>
      <c r="AA921" s="28" t="e">
        <f t="shared" si="246"/>
        <v>#N/A</v>
      </c>
      <c r="AB921" s="28" t="e">
        <f t="shared" si="247"/>
        <v>#VALUE!</v>
      </c>
      <c r="AC921" s="29">
        <f t="shared" si="248"/>
        <v>865.27514231499049</v>
      </c>
      <c r="AD921" s="28" t="e">
        <f t="shared" si="249"/>
        <v>#VALUE!</v>
      </c>
      <c r="AE921" s="28" t="e">
        <f t="shared" si="250"/>
        <v>#N/A</v>
      </c>
      <c r="AF921" s="28" t="e">
        <f t="shared" si="251"/>
        <v>#VALUE!</v>
      </c>
      <c r="AH921" s="31" t="e">
        <f t="shared" si="252"/>
        <v>#N/A</v>
      </c>
      <c r="AI921" s="25"/>
      <c r="AJ921" s="31"/>
    </row>
    <row r="922" spans="2:36" x14ac:dyDescent="0.25">
      <c r="B922" s="33">
        <f>'Arbitrage Payback Engine'!E922</f>
        <v>25.010272565401998</v>
      </c>
      <c r="C922" s="33">
        <f t="shared" si="238"/>
        <v>1000</v>
      </c>
      <c r="D922" s="33">
        <f>'Battery Pricing Model'!$C$17</f>
        <v>1000</v>
      </c>
      <c r="E922" s="33">
        <f t="shared" si="239"/>
        <v>999</v>
      </c>
      <c r="F922" s="33" t="str">
        <f>'Peak Models'!$B$4</f>
        <v>Default</v>
      </c>
      <c r="G922" s="33" t="e">
        <f>'Peak Models'!$Q$7</f>
        <v>#VALUE!</v>
      </c>
      <c r="H922" s="33">
        <f>'Peak Models'!$P$16</f>
        <v>1.5</v>
      </c>
      <c r="I922" s="33">
        <v>12</v>
      </c>
      <c r="J922" s="33" t="e">
        <f>'Peak Models'!$P$13</f>
        <v>#N/A</v>
      </c>
      <c r="K922" s="28" t="e">
        <f t="shared" si="240"/>
        <v>#VALUE!</v>
      </c>
      <c r="L922" s="28" t="e">
        <f>INDEX('Peak Models'!$P$34:$P$64, MATCH(TRUNC(B922, 0), 'Peak Models'!$O$34:$O$64, 0))</f>
        <v>#N/A</v>
      </c>
      <c r="M922" s="28">
        <f>'Peak Models'!$P$15*INDEX('Peak Models'!$Q$34:$Q$64, MATCH(TRUNC(B922, 0),'Peak Models'!$O$34:$O$64, 0))/'Profit per cycles Model'!$E$78</f>
        <v>8.7244428156336635</v>
      </c>
      <c r="N922" s="28" t="e">
        <f t="shared" si="241"/>
        <v>#N/A</v>
      </c>
      <c r="O922" s="71" t="e">
        <f>AVERAGE($N$10:N922)</f>
        <v>#N/A</v>
      </c>
      <c r="P922" s="28" t="e">
        <f t="shared" si="242"/>
        <v>#N/A</v>
      </c>
      <c r="R922" s="28" t="e">
        <f t="shared" si="243"/>
        <v>#VALUE!</v>
      </c>
      <c r="S922" s="25"/>
      <c r="T922" s="25">
        <f t="shared" si="244"/>
        <v>15</v>
      </c>
      <c r="U922" s="33">
        <f>IF(PaybackCustom&gt;0, IF(PaybackCustom&lt;&gt;"Default", PaybackCustom, IF(PaybackStatus&lt;&gt;"",INDEX('Arbitrage Payback Engine'!$Y$2:$Y$6,MATCH(PaybackStatus,'Arbitrage Payback Engine'!$X$2:$X$6,FALSE)),-1)))</f>
        <v>25</v>
      </c>
      <c r="V922" s="32">
        <f t="shared" si="253"/>
        <v>15</v>
      </c>
      <c r="X922" s="29">
        <f t="shared" si="254"/>
        <v>913</v>
      </c>
      <c r="Z922" s="30">
        <f t="shared" si="245"/>
        <v>25.010272565401998</v>
      </c>
      <c r="AA922" s="28" t="e">
        <f t="shared" si="246"/>
        <v>#N/A</v>
      </c>
      <c r="AB922" s="28" t="e">
        <f t="shared" si="247"/>
        <v>#VALUE!</v>
      </c>
      <c r="AC922" s="29">
        <f t="shared" si="248"/>
        <v>866.22390891840598</v>
      </c>
      <c r="AD922" s="28" t="e">
        <f t="shared" si="249"/>
        <v>#VALUE!</v>
      </c>
      <c r="AE922" s="28" t="e">
        <f t="shared" si="250"/>
        <v>#N/A</v>
      </c>
      <c r="AF922" s="28" t="e">
        <f t="shared" si="251"/>
        <v>#VALUE!</v>
      </c>
      <c r="AH922" s="31" t="e">
        <f t="shared" si="252"/>
        <v>#N/A</v>
      </c>
      <c r="AI922" s="25"/>
      <c r="AJ922" s="31"/>
    </row>
    <row r="923" spans="2:36" x14ac:dyDescent="0.25">
      <c r="B923" s="33">
        <f>'Arbitrage Payback Engine'!E923</f>
        <v>25.037666073140667</v>
      </c>
      <c r="C923" s="33">
        <f t="shared" si="238"/>
        <v>1000</v>
      </c>
      <c r="D923" s="33">
        <f>'Battery Pricing Model'!$C$17</f>
        <v>1000</v>
      </c>
      <c r="E923" s="33">
        <f t="shared" si="239"/>
        <v>999</v>
      </c>
      <c r="F923" s="33" t="str">
        <f>'Peak Models'!$B$4</f>
        <v>Default</v>
      </c>
      <c r="G923" s="33" t="e">
        <f>'Peak Models'!$Q$7</f>
        <v>#VALUE!</v>
      </c>
      <c r="H923" s="33">
        <f>'Peak Models'!$P$16</f>
        <v>1.5</v>
      </c>
      <c r="I923" s="33">
        <v>12</v>
      </c>
      <c r="J923" s="33" t="e">
        <f>'Peak Models'!$P$13</f>
        <v>#N/A</v>
      </c>
      <c r="K923" s="28" t="e">
        <f t="shared" si="240"/>
        <v>#VALUE!</v>
      </c>
      <c r="L923" s="28" t="e">
        <f>INDEX('Peak Models'!$P$34:$P$64, MATCH(TRUNC(B923, 0), 'Peak Models'!$O$34:$O$64, 0))</f>
        <v>#N/A</v>
      </c>
      <c r="M923" s="28">
        <f>'Peak Models'!$P$15*INDEX('Peak Models'!$Q$34:$Q$64, MATCH(TRUNC(B923, 0),'Peak Models'!$O$34:$O$64, 0))/'Profit per cycles Model'!$E$78</f>
        <v>8.7244428156336635</v>
      </c>
      <c r="N923" s="28" t="e">
        <f t="shared" si="241"/>
        <v>#N/A</v>
      </c>
      <c r="O923" s="71" t="e">
        <f>AVERAGE($N$10:N923)</f>
        <v>#N/A</v>
      </c>
      <c r="P923" s="28" t="e">
        <f t="shared" si="242"/>
        <v>#N/A</v>
      </c>
      <c r="R923" s="28" t="e">
        <f t="shared" si="243"/>
        <v>#VALUE!</v>
      </c>
      <c r="S923" s="25"/>
      <c r="T923" s="25">
        <f t="shared" si="244"/>
        <v>15</v>
      </c>
      <c r="U923" s="33">
        <f>IF(PaybackCustom&gt;0, IF(PaybackCustom&lt;&gt;"Default", PaybackCustom, IF(PaybackStatus&lt;&gt;"",INDEX('Arbitrage Payback Engine'!$Y$2:$Y$6,MATCH(PaybackStatus,'Arbitrage Payback Engine'!$X$2:$X$6,FALSE)),-1)))</f>
        <v>25</v>
      </c>
      <c r="V923" s="32">
        <f t="shared" si="253"/>
        <v>15</v>
      </c>
      <c r="X923" s="29">
        <f t="shared" si="254"/>
        <v>914</v>
      </c>
      <c r="Z923" s="30">
        <f t="shared" si="245"/>
        <v>25.037666073140667</v>
      </c>
      <c r="AA923" s="28" t="e">
        <f t="shared" si="246"/>
        <v>#N/A</v>
      </c>
      <c r="AB923" s="28" t="e">
        <f t="shared" si="247"/>
        <v>#VALUE!</v>
      </c>
      <c r="AC923" s="29">
        <f t="shared" si="248"/>
        <v>867.1726755218217</v>
      </c>
      <c r="AD923" s="28" t="e">
        <f t="shared" si="249"/>
        <v>#VALUE!</v>
      </c>
      <c r="AE923" s="28" t="e">
        <f t="shared" si="250"/>
        <v>#N/A</v>
      </c>
      <c r="AF923" s="28" t="e">
        <f t="shared" si="251"/>
        <v>#VALUE!</v>
      </c>
      <c r="AH923" s="31" t="e">
        <f t="shared" si="252"/>
        <v>#N/A</v>
      </c>
      <c r="AI923" s="25"/>
      <c r="AJ923" s="31"/>
    </row>
    <row r="924" spans="2:36" x14ac:dyDescent="0.25">
      <c r="B924" s="33">
        <f>'Arbitrage Payback Engine'!E924</f>
        <v>25.065059580879332</v>
      </c>
      <c r="C924" s="33">
        <f t="shared" si="238"/>
        <v>1000</v>
      </c>
      <c r="D924" s="33">
        <f>'Battery Pricing Model'!$C$17</f>
        <v>1000</v>
      </c>
      <c r="E924" s="33">
        <f t="shared" si="239"/>
        <v>999</v>
      </c>
      <c r="F924" s="33" t="str">
        <f>'Peak Models'!$B$4</f>
        <v>Default</v>
      </c>
      <c r="G924" s="33" t="e">
        <f>'Peak Models'!$Q$7</f>
        <v>#VALUE!</v>
      </c>
      <c r="H924" s="33">
        <f>'Peak Models'!$P$16</f>
        <v>1.5</v>
      </c>
      <c r="I924" s="33">
        <v>12</v>
      </c>
      <c r="J924" s="33" t="e">
        <f>'Peak Models'!$P$13</f>
        <v>#N/A</v>
      </c>
      <c r="K924" s="28" t="e">
        <f t="shared" si="240"/>
        <v>#VALUE!</v>
      </c>
      <c r="L924" s="28" t="e">
        <f>INDEX('Peak Models'!$P$34:$P$64, MATCH(TRUNC(B924, 0), 'Peak Models'!$O$34:$O$64, 0))</f>
        <v>#N/A</v>
      </c>
      <c r="M924" s="28">
        <f>'Peak Models'!$P$15*INDEX('Peak Models'!$Q$34:$Q$64, MATCH(TRUNC(B924, 0),'Peak Models'!$O$34:$O$64, 0))/'Profit per cycles Model'!$E$78</f>
        <v>8.7244428156336635</v>
      </c>
      <c r="N924" s="28" t="e">
        <f t="shared" si="241"/>
        <v>#N/A</v>
      </c>
      <c r="O924" s="71" t="e">
        <f>AVERAGE($N$10:N924)</f>
        <v>#N/A</v>
      </c>
      <c r="P924" s="28" t="e">
        <f t="shared" si="242"/>
        <v>#N/A</v>
      </c>
      <c r="R924" s="28" t="e">
        <f t="shared" si="243"/>
        <v>#VALUE!</v>
      </c>
      <c r="S924" s="25"/>
      <c r="T924" s="25">
        <f t="shared" si="244"/>
        <v>15</v>
      </c>
      <c r="U924" s="33">
        <f>IF(PaybackCustom&gt;0, IF(PaybackCustom&lt;&gt;"Default", PaybackCustom, IF(PaybackStatus&lt;&gt;"",INDEX('Arbitrage Payback Engine'!$Y$2:$Y$6,MATCH(PaybackStatus,'Arbitrage Payback Engine'!$X$2:$X$6,FALSE)),-1)))</f>
        <v>25</v>
      </c>
      <c r="V924" s="32">
        <f t="shared" si="253"/>
        <v>15</v>
      </c>
      <c r="X924" s="29">
        <f t="shared" si="254"/>
        <v>915</v>
      </c>
      <c r="Z924" s="30">
        <f t="shared" si="245"/>
        <v>25.065059580879332</v>
      </c>
      <c r="AA924" s="28" t="e">
        <f t="shared" si="246"/>
        <v>#N/A</v>
      </c>
      <c r="AB924" s="28" t="e">
        <f t="shared" si="247"/>
        <v>#VALUE!</v>
      </c>
      <c r="AC924" s="29">
        <f t="shared" si="248"/>
        <v>868.12144212523731</v>
      </c>
      <c r="AD924" s="28" t="e">
        <f t="shared" si="249"/>
        <v>#VALUE!</v>
      </c>
      <c r="AE924" s="28" t="e">
        <f t="shared" si="250"/>
        <v>#N/A</v>
      </c>
      <c r="AF924" s="28" t="e">
        <f t="shared" si="251"/>
        <v>#VALUE!</v>
      </c>
      <c r="AH924" s="31" t="e">
        <f t="shared" si="252"/>
        <v>#N/A</v>
      </c>
      <c r="AI924" s="25"/>
      <c r="AJ924" s="31"/>
    </row>
    <row r="925" spans="2:36" x14ac:dyDescent="0.25">
      <c r="B925" s="33">
        <f>'Arbitrage Payback Engine'!E925</f>
        <v>25.092453088617997</v>
      </c>
      <c r="C925" s="33">
        <f t="shared" si="238"/>
        <v>1000</v>
      </c>
      <c r="D925" s="33">
        <f>'Battery Pricing Model'!$C$17</f>
        <v>1000</v>
      </c>
      <c r="E925" s="33">
        <f t="shared" si="239"/>
        <v>999</v>
      </c>
      <c r="F925" s="33" t="str">
        <f>'Peak Models'!$B$4</f>
        <v>Default</v>
      </c>
      <c r="G925" s="33" t="e">
        <f>'Peak Models'!$Q$7</f>
        <v>#VALUE!</v>
      </c>
      <c r="H925" s="33">
        <f>'Peak Models'!$P$16</f>
        <v>1.5</v>
      </c>
      <c r="I925" s="33">
        <v>12</v>
      </c>
      <c r="J925" s="33" t="e">
        <f>'Peak Models'!$P$13</f>
        <v>#N/A</v>
      </c>
      <c r="K925" s="28" t="e">
        <f t="shared" si="240"/>
        <v>#VALUE!</v>
      </c>
      <c r="L925" s="28" t="e">
        <f>INDEX('Peak Models'!$P$34:$P$64, MATCH(TRUNC(B925, 0), 'Peak Models'!$O$34:$O$64, 0))</f>
        <v>#N/A</v>
      </c>
      <c r="M925" s="28">
        <f>'Peak Models'!$P$15*INDEX('Peak Models'!$Q$34:$Q$64, MATCH(TRUNC(B925, 0),'Peak Models'!$O$34:$O$64, 0))/'Profit per cycles Model'!$E$78</f>
        <v>8.7244428156336635</v>
      </c>
      <c r="N925" s="28" t="e">
        <f t="shared" si="241"/>
        <v>#N/A</v>
      </c>
      <c r="O925" s="71" t="e">
        <f>AVERAGE($N$10:N925)</f>
        <v>#N/A</v>
      </c>
      <c r="P925" s="28" t="e">
        <f t="shared" si="242"/>
        <v>#N/A</v>
      </c>
      <c r="R925" s="28" t="e">
        <f t="shared" si="243"/>
        <v>#VALUE!</v>
      </c>
      <c r="S925" s="25"/>
      <c r="T925" s="25">
        <f t="shared" si="244"/>
        <v>15</v>
      </c>
      <c r="U925" s="33">
        <f>IF(PaybackCustom&gt;0, IF(PaybackCustom&lt;&gt;"Default", PaybackCustom, IF(PaybackStatus&lt;&gt;"",INDEX('Arbitrage Payback Engine'!$Y$2:$Y$6,MATCH(PaybackStatus,'Arbitrage Payback Engine'!$X$2:$X$6,FALSE)),-1)))</f>
        <v>25</v>
      </c>
      <c r="V925" s="32">
        <f t="shared" si="253"/>
        <v>15</v>
      </c>
      <c r="X925" s="29">
        <f t="shared" si="254"/>
        <v>916</v>
      </c>
      <c r="Z925" s="30">
        <f t="shared" si="245"/>
        <v>25.092453088617997</v>
      </c>
      <c r="AA925" s="28" t="e">
        <f t="shared" si="246"/>
        <v>#N/A</v>
      </c>
      <c r="AB925" s="28" t="e">
        <f t="shared" si="247"/>
        <v>#VALUE!</v>
      </c>
      <c r="AC925" s="29">
        <f t="shared" si="248"/>
        <v>869.0702087286528</v>
      </c>
      <c r="AD925" s="28" t="e">
        <f t="shared" si="249"/>
        <v>#VALUE!</v>
      </c>
      <c r="AE925" s="28" t="e">
        <f t="shared" si="250"/>
        <v>#N/A</v>
      </c>
      <c r="AF925" s="28" t="e">
        <f t="shared" si="251"/>
        <v>#VALUE!</v>
      </c>
      <c r="AH925" s="31" t="e">
        <f t="shared" si="252"/>
        <v>#N/A</v>
      </c>
      <c r="AI925" s="25"/>
      <c r="AJ925" s="31"/>
    </row>
    <row r="926" spans="2:36" x14ac:dyDescent="0.25">
      <c r="B926" s="33">
        <f>'Arbitrage Payback Engine'!E926</f>
        <v>25.119846596356663</v>
      </c>
      <c r="C926" s="33">
        <f t="shared" si="238"/>
        <v>1000</v>
      </c>
      <c r="D926" s="33">
        <f>'Battery Pricing Model'!$C$17</f>
        <v>1000</v>
      </c>
      <c r="E926" s="33">
        <f t="shared" si="239"/>
        <v>999</v>
      </c>
      <c r="F926" s="33" t="str">
        <f>'Peak Models'!$B$4</f>
        <v>Default</v>
      </c>
      <c r="G926" s="33" t="e">
        <f>'Peak Models'!$Q$7</f>
        <v>#VALUE!</v>
      </c>
      <c r="H926" s="33">
        <f>'Peak Models'!$P$16</f>
        <v>1.5</v>
      </c>
      <c r="I926" s="33">
        <v>12</v>
      </c>
      <c r="J926" s="33" t="e">
        <f>'Peak Models'!$P$13</f>
        <v>#N/A</v>
      </c>
      <c r="K926" s="28" t="e">
        <f t="shared" si="240"/>
        <v>#VALUE!</v>
      </c>
      <c r="L926" s="28" t="e">
        <f>INDEX('Peak Models'!$P$34:$P$64, MATCH(TRUNC(B926, 0), 'Peak Models'!$O$34:$O$64, 0))</f>
        <v>#N/A</v>
      </c>
      <c r="M926" s="28">
        <f>'Peak Models'!$P$15*INDEX('Peak Models'!$Q$34:$Q$64, MATCH(TRUNC(B926, 0),'Peak Models'!$O$34:$O$64, 0))/'Profit per cycles Model'!$E$78</f>
        <v>8.7244428156336635</v>
      </c>
      <c r="N926" s="28" t="e">
        <f t="shared" si="241"/>
        <v>#N/A</v>
      </c>
      <c r="O926" s="71" t="e">
        <f>AVERAGE($N$10:N926)</f>
        <v>#N/A</v>
      </c>
      <c r="P926" s="28" t="e">
        <f t="shared" si="242"/>
        <v>#N/A</v>
      </c>
      <c r="R926" s="28" t="e">
        <f t="shared" si="243"/>
        <v>#VALUE!</v>
      </c>
      <c r="S926" s="25"/>
      <c r="T926" s="25">
        <f t="shared" si="244"/>
        <v>15</v>
      </c>
      <c r="U926" s="33">
        <f>IF(PaybackCustom&gt;0, IF(PaybackCustom&lt;&gt;"Default", PaybackCustom, IF(PaybackStatus&lt;&gt;"",INDEX('Arbitrage Payback Engine'!$Y$2:$Y$6,MATCH(PaybackStatus,'Arbitrage Payback Engine'!$X$2:$X$6,FALSE)),-1)))</f>
        <v>25</v>
      </c>
      <c r="V926" s="32">
        <f t="shared" si="253"/>
        <v>15</v>
      </c>
      <c r="X926" s="29">
        <f t="shared" si="254"/>
        <v>917</v>
      </c>
      <c r="Z926" s="30">
        <f t="shared" si="245"/>
        <v>25.119846596356663</v>
      </c>
      <c r="AA926" s="28" t="e">
        <f t="shared" si="246"/>
        <v>#N/A</v>
      </c>
      <c r="AB926" s="28" t="e">
        <f t="shared" si="247"/>
        <v>#VALUE!</v>
      </c>
      <c r="AC926" s="29">
        <f t="shared" si="248"/>
        <v>870.01897533206829</v>
      </c>
      <c r="AD926" s="28" t="e">
        <f t="shared" si="249"/>
        <v>#VALUE!</v>
      </c>
      <c r="AE926" s="28" t="e">
        <f t="shared" si="250"/>
        <v>#N/A</v>
      </c>
      <c r="AF926" s="28" t="e">
        <f t="shared" si="251"/>
        <v>#VALUE!</v>
      </c>
      <c r="AH926" s="31" t="e">
        <f t="shared" si="252"/>
        <v>#N/A</v>
      </c>
      <c r="AI926" s="25"/>
      <c r="AJ926" s="31"/>
    </row>
    <row r="927" spans="2:36" x14ac:dyDescent="0.25">
      <c r="B927" s="33">
        <f>'Arbitrage Payback Engine'!E927</f>
        <v>25.147240104095328</v>
      </c>
      <c r="C927" s="33">
        <f t="shared" si="238"/>
        <v>1000</v>
      </c>
      <c r="D927" s="33">
        <f>'Battery Pricing Model'!$C$17</f>
        <v>1000</v>
      </c>
      <c r="E927" s="33">
        <f t="shared" si="239"/>
        <v>999</v>
      </c>
      <c r="F927" s="33" t="str">
        <f>'Peak Models'!$B$4</f>
        <v>Default</v>
      </c>
      <c r="G927" s="33" t="e">
        <f>'Peak Models'!$Q$7</f>
        <v>#VALUE!</v>
      </c>
      <c r="H927" s="33">
        <f>'Peak Models'!$P$16</f>
        <v>1.5</v>
      </c>
      <c r="I927" s="33">
        <v>12</v>
      </c>
      <c r="J927" s="33" t="e">
        <f>'Peak Models'!$P$13</f>
        <v>#N/A</v>
      </c>
      <c r="K927" s="28" t="e">
        <f t="shared" si="240"/>
        <v>#VALUE!</v>
      </c>
      <c r="L927" s="28" t="e">
        <f>INDEX('Peak Models'!$P$34:$P$64, MATCH(TRUNC(B927, 0), 'Peak Models'!$O$34:$O$64, 0))</f>
        <v>#N/A</v>
      </c>
      <c r="M927" s="28">
        <f>'Peak Models'!$P$15*INDEX('Peak Models'!$Q$34:$Q$64, MATCH(TRUNC(B927, 0),'Peak Models'!$O$34:$O$64, 0))/'Profit per cycles Model'!$E$78</f>
        <v>8.7244428156336635</v>
      </c>
      <c r="N927" s="28" t="e">
        <f t="shared" si="241"/>
        <v>#N/A</v>
      </c>
      <c r="O927" s="71" t="e">
        <f>AVERAGE($N$10:N927)</f>
        <v>#N/A</v>
      </c>
      <c r="P927" s="28" t="e">
        <f t="shared" si="242"/>
        <v>#N/A</v>
      </c>
      <c r="R927" s="28" t="e">
        <f t="shared" si="243"/>
        <v>#VALUE!</v>
      </c>
      <c r="S927" s="25"/>
      <c r="T927" s="25">
        <f t="shared" si="244"/>
        <v>15</v>
      </c>
      <c r="U927" s="33">
        <f>IF(PaybackCustom&gt;0, IF(PaybackCustom&lt;&gt;"Default", PaybackCustom, IF(PaybackStatus&lt;&gt;"",INDEX('Arbitrage Payback Engine'!$Y$2:$Y$6,MATCH(PaybackStatus,'Arbitrage Payback Engine'!$X$2:$X$6,FALSE)),-1)))</f>
        <v>25</v>
      </c>
      <c r="V927" s="32">
        <f t="shared" si="253"/>
        <v>15</v>
      </c>
      <c r="X927" s="29">
        <f t="shared" si="254"/>
        <v>918</v>
      </c>
      <c r="Z927" s="30">
        <f t="shared" si="245"/>
        <v>25.147240104095328</v>
      </c>
      <c r="AA927" s="28" t="e">
        <f t="shared" si="246"/>
        <v>#N/A</v>
      </c>
      <c r="AB927" s="28" t="e">
        <f t="shared" si="247"/>
        <v>#VALUE!</v>
      </c>
      <c r="AC927" s="29">
        <f t="shared" si="248"/>
        <v>870.96774193548379</v>
      </c>
      <c r="AD927" s="28" t="e">
        <f t="shared" si="249"/>
        <v>#VALUE!</v>
      </c>
      <c r="AE927" s="28" t="e">
        <f t="shared" si="250"/>
        <v>#N/A</v>
      </c>
      <c r="AF927" s="28" t="e">
        <f t="shared" si="251"/>
        <v>#VALUE!</v>
      </c>
      <c r="AH927" s="31" t="e">
        <f t="shared" si="252"/>
        <v>#N/A</v>
      </c>
      <c r="AI927" s="25"/>
      <c r="AJ927" s="31"/>
    </row>
    <row r="928" spans="2:36" x14ac:dyDescent="0.25">
      <c r="B928" s="33">
        <f>'Arbitrage Payback Engine'!E928</f>
        <v>25.174633611833993</v>
      </c>
      <c r="C928" s="33">
        <f t="shared" si="238"/>
        <v>1000</v>
      </c>
      <c r="D928" s="33">
        <f>'Battery Pricing Model'!$C$17</f>
        <v>1000</v>
      </c>
      <c r="E928" s="33">
        <f t="shared" si="239"/>
        <v>999</v>
      </c>
      <c r="F928" s="33" t="str">
        <f>'Peak Models'!$B$4</f>
        <v>Default</v>
      </c>
      <c r="G928" s="33" t="e">
        <f>'Peak Models'!$Q$7</f>
        <v>#VALUE!</v>
      </c>
      <c r="H928" s="33">
        <f>'Peak Models'!$P$16</f>
        <v>1.5</v>
      </c>
      <c r="I928" s="33">
        <v>12</v>
      </c>
      <c r="J928" s="33" t="e">
        <f>'Peak Models'!$P$13</f>
        <v>#N/A</v>
      </c>
      <c r="K928" s="28" t="e">
        <f t="shared" si="240"/>
        <v>#VALUE!</v>
      </c>
      <c r="L928" s="28" t="e">
        <f>INDEX('Peak Models'!$P$34:$P$64, MATCH(TRUNC(B928, 0), 'Peak Models'!$O$34:$O$64, 0))</f>
        <v>#N/A</v>
      </c>
      <c r="M928" s="28">
        <f>'Peak Models'!$P$15*INDEX('Peak Models'!$Q$34:$Q$64, MATCH(TRUNC(B928, 0),'Peak Models'!$O$34:$O$64, 0))/'Profit per cycles Model'!$E$78</f>
        <v>8.7244428156336635</v>
      </c>
      <c r="N928" s="28" t="e">
        <f t="shared" si="241"/>
        <v>#N/A</v>
      </c>
      <c r="O928" s="71" t="e">
        <f>AVERAGE($N$10:N928)</f>
        <v>#N/A</v>
      </c>
      <c r="P928" s="28" t="e">
        <f t="shared" si="242"/>
        <v>#N/A</v>
      </c>
      <c r="R928" s="28" t="e">
        <f t="shared" si="243"/>
        <v>#VALUE!</v>
      </c>
      <c r="S928" s="25"/>
      <c r="T928" s="25">
        <f t="shared" si="244"/>
        <v>15</v>
      </c>
      <c r="U928" s="33">
        <f>IF(PaybackCustom&gt;0, IF(PaybackCustom&lt;&gt;"Default", PaybackCustom, IF(PaybackStatus&lt;&gt;"",INDEX('Arbitrage Payback Engine'!$Y$2:$Y$6,MATCH(PaybackStatus,'Arbitrage Payback Engine'!$X$2:$X$6,FALSE)),-1)))</f>
        <v>25</v>
      </c>
      <c r="V928" s="32">
        <f t="shared" si="253"/>
        <v>15</v>
      </c>
      <c r="X928" s="29">
        <f t="shared" si="254"/>
        <v>919</v>
      </c>
      <c r="Z928" s="30">
        <f t="shared" si="245"/>
        <v>25.174633611833993</v>
      </c>
      <c r="AA928" s="28" t="e">
        <f t="shared" si="246"/>
        <v>#N/A</v>
      </c>
      <c r="AB928" s="28" t="e">
        <f t="shared" si="247"/>
        <v>#VALUE!</v>
      </c>
      <c r="AC928" s="29">
        <f t="shared" si="248"/>
        <v>871.91650853889939</v>
      </c>
      <c r="AD928" s="28" t="e">
        <f t="shared" si="249"/>
        <v>#VALUE!</v>
      </c>
      <c r="AE928" s="28" t="e">
        <f t="shared" si="250"/>
        <v>#N/A</v>
      </c>
      <c r="AF928" s="28" t="e">
        <f t="shared" si="251"/>
        <v>#VALUE!</v>
      </c>
      <c r="AH928" s="31" t="e">
        <f t="shared" si="252"/>
        <v>#N/A</v>
      </c>
      <c r="AI928" s="25"/>
      <c r="AJ928" s="31"/>
    </row>
    <row r="929" spans="2:36" x14ac:dyDescent="0.25">
      <c r="B929" s="33">
        <f>'Arbitrage Payback Engine'!E929</f>
        <v>25.202027119572662</v>
      </c>
      <c r="C929" s="33">
        <f t="shared" si="238"/>
        <v>1000</v>
      </c>
      <c r="D929" s="33">
        <f>'Battery Pricing Model'!$C$17</f>
        <v>1000</v>
      </c>
      <c r="E929" s="33">
        <f t="shared" si="239"/>
        <v>999</v>
      </c>
      <c r="F929" s="33" t="str">
        <f>'Peak Models'!$B$4</f>
        <v>Default</v>
      </c>
      <c r="G929" s="33" t="e">
        <f>'Peak Models'!$Q$7</f>
        <v>#VALUE!</v>
      </c>
      <c r="H929" s="33">
        <f>'Peak Models'!$P$16</f>
        <v>1.5</v>
      </c>
      <c r="I929" s="33">
        <v>12</v>
      </c>
      <c r="J929" s="33" t="e">
        <f>'Peak Models'!$P$13</f>
        <v>#N/A</v>
      </c>
      <c r="K929" s="28" t="e">
        <f t="shared" si="240"/>
        <v>#VALUE!</v>
      </c>
      <c r="L929" s="28" t="e">
        <f>INDEX('Peak Models'!$P$34:$P$64, MATCH(TRUNC(B929, 0), 'Peak Models'!$O$34:$O$64, 0))</f>
        <v>#N/A</v>
      </c>
      <c r="M929" s="28">
        <f>'Peak Models'!$P$15*INDEX('Peak Models'!$Q$34:$Q$64, MATCH(TRUNC(B929, 0),'Peak Models'!$O$34:$O$64, 0))/'Profit per cycles Model'!$E$78</f>
        <v>8.7244428156336635</v>
      </c>
      <c r="N929" s="28" t="e">
        <f t="shared" si="241"/>
        <v>#N/A</v>
      </c>
      <c r="O929" s="71" t="e">
        <f>AVERAGE($N$10:N929)</f>
        <v>#N/A</v>
      </c>
      <c r="P929" s="28" t="e">
        <f t="shared" si="242"/>
        <v>#N/A</v>
      </c>
      <c r="R929" s="28" t="e">
        <f t="shared" si="243"/>
        <v>#VALUE!</v>
      </c>
      <c r="S929" s="25"/>
      <c r="T929" s="25">
        <f t="shared" si="244"/>
        <v>15</v>
      </c>
      <c r="U929" s="33">
        <f>IF(PaybackCustom&gt;0, IF(PaybackCustom&lt;&gt;"Default", PaybackCustom, IF(PaybackStatus&lt;&gt;"",INDEX('Arbitrage Payback Engine'!$Y$2:$Y$6,MATCH(PaybackStatus,'Arbitrage Payback Engine'!$X$2:$X$6,FALSE)),-1)))</f>
        <v>25</v>
      </c>
      <c r="V929" s="32">
        <f t="shared" si="253"/>
        <v>15</v>
      </c>
      <c r="X929" s="29">
        <f t="shared" si="254"/>
        <v>920</v>
      </c>
      <c r="Z929" s="30">
        <f t="shared" si="245"/>
        <v>25.202027119572662</v>
      </c>
      <c r="AA929" s="28" t="e">
        <f t="shared" si="246"/>
        <v>#N/A</v>
      </c>
      <c r="AB929" s="28" t="e">
        <f t="shared" si="247"/>
        <v>#VALUE!</v>
      </c>
      <c r="AC929" s="29">
        <f t="shared" si="248"/>
        <v>872.86527514231511</v>
      </c>
      <c r="AD929" s="28" t="e">
        <f t="shared" si="249"/>
        <v>#VALUE!</v>
      </c>
      <c r="AE929" s="28" t="e">
        <f t="shared" si="250"/>
        <v>#N/A</v>
      </c>
      <c r="AF929" s="28" t="e">
        <f t="shared" si="251"/>
        <v>#VALUE!</v>
      </c>
      <c r="AH929" s="31" t="e">
        <f t="shared" si="252"/>
        <v>#N/A</v>
      </c>
      <c r="AI929" s="25"/>
      <c r="AJ929" s="31"/>
    </row>
    <row r="930" spans="2:36" x14ac:dyDescent="0.25">
      <c r="B930" s="33">
        <f>'Arbitrage Payback Engine'!E930</f>
        <v>25.229420627311328</v>
      </c>
      <c r="C930" s="33">
        <f t="shared" si="238"/>
        <v>1000</v>
      </c>
      <c r="D930" s="33">
        <f>'Battery Pricing Model'!$C$17</f>
        <v>1000</v>
      </c>
      <c r="E930" s="33">
        <f t="shared" si="239"/>
        <v>999</v>
      </c>
      <c r="F930" s="33" t="str">
        <f>'Peak Models'!$B$4</f>
        <v>Default</v>
      </c>
      <c r="G930" s="33" t="e">
        <f>'Peak Models'!$Q$7</f>
        <v>#VALUE!</v>
      </c>
      <c r="H930" s="33">
        <f>'Peak Models'!$P$16</f>
        <v>1.5</v>
      </c>
      <c r="I930" s="33">
        <v>12</v>
      </c>
      <c r="J930" s="33" t="e">
        <f>'Peak Models'!$P$13</f>
        <v>#N/A</v>
      </c>
      <c r="K930" s="28" t="e">
        <f t="shared" si="240"/>
        <v>#VALUE!</v>
      </c>
      <c r="L930" s="28" t="e">
        <f>INDEX('Peak Models'!$P$34:$P$64, MATCH(TRUNC(B930, 0), 'Peak Models'!$O$34:$O$64, 0))</f>
        <v>#N/A</v>
      </c>
      <c r="M930" s="28">
        <f>'Peak Models'!$P$15*INDEX('Peak Models'!$Q$34:$Q$64, MATCH(TRUNC(B930, 0),'Peak Models'!$O$34:$O$64, 0))/'Profit per cycles Model'!$E$78</f>
        <v>8.7244428156336635</v>
      </c>
      <c r="N930" s="28" t="e">
        <f t="shared" si="241"/>
        <v>#N/A</v>
      </c>
      <c r="O930" s="71" t="e">
        <f>AVERAGE($N$10:N930)</f>
        <v>#N/A</v>
      </c>
      <c r="P930" s="28" t="e">
        <f t="shared" si="242"/>
        <v>#N/A</v>
      </c>
      <c r="R930" s="28" t="e">
        <f t="shared" si="243"/>
        <v>#VALUE!</v>
      </c>
      <c r="S930" s="25"/>
      <c r="T930" s="25">
        <f t="shared" si="244"/>
        <v>15</v>
      </c>
      <c r="U930" s="33">
        <f>IF(PaybackCustom&gt;0, IF(PaybackCustom&lt;&gt;"Default", PaybackCustom, IF(PaybackStatus&lt;&gt;"",INDEX('Arbitrage Payback Engine'!$Y$2:$Y$6,MATCH(PaybackStatus,'Arbitrage Payback Engine'!$X$2:$X$6,FALSE)),-1)))</f>
        <v>25</v>
      </c>
      <c r="V930" s="32">
        <f t="shared" si="253"/>
        <v>15</v>
      </c>
      <c r="X930" s="29">
        <f t="shared" si="254"/>
        <v>921</v>
      </c>
      <c r="Z930" s="30">
        <f t="shared" si="245"/>
        <v>25.229420627311328</v>
      </c>
      <c r="AA930" s="28" t="e">
        <f t="shared" si="246"/>
        <v>#N/A</v>
      </c>
      <c r="AB930" s="28" t="e">
        <f t="shared" si="247"/>
        <v>#VALUE!</v>
      </c>
      <c r="AC930" s="29">
        <f t="shared" si="248"/>
        <v>873.81404174573061</v>
      </c>
      <c r="AD930" s="28" t="e">
        <f t="shared" si="249"/>
        <v>#VALUE!</v>
      </c>
      <c r="AE930" s="28" t="e">
        <f t="shared" si="250"/>
        <v>#N/A</v>
      </c>
      <c r="AF930" s="28" t="e">
        <f t="shared" si="251"/>
        <v>#VALUE!</v>
      </c>
      <c r="AH930" s="31" t="e">
        <f t="shared" si="252"/>
        <v>#N/A</v>
      </c>
      <c r="AI930" s="25"/>
      <c r="AJ930" s="31"/>
    </row>
    <row r="931" spans="2:36" x14ac:dyDescent="0.25">
      <c r="B931" s="33">
        <f>'Arbitrage Payback Engine'!E931</f>
        <v>25.256814135049993</v>
      </c>
      <c r="C931" s="33">
        <f t="shared" si="238"/>
        <v>1000</v>
      </c>
      <c r="D931" s="33">
        <f>'Battery Pricing Model'!$C$17</f>
        <v>1000</v>
      </c>
      <c r="E931" s="33">
        <f t="shared" si="239"/>
        <v>999</v>
      </c>
      <c r="F931" s="33" t="str">
        <f>'Peak Models'!$B$4</f>
        <v>Default</v>
      </c>
      <c r="G931" s="33" t="e">
        <f>'Peak Models'!$Q$7</f>
        <v>#VALUE!</v>
      </c>
      <c r="H931" s="33">
        <f>'Peak Models'!$P$16</f>
        <v>1.5</v>
      </c>
      <c r="I931" s="33">
        <v>12</v>
      </c>
      <c r="J931" s="33" t="e">
        <f>'Peak Models'!$P$13</f>
        <v>#N/A</v>
      </c>
      <c r="K931" s="28" t="e">
        <f t="shared" si="240"/>
        <v>#VALUE!</v>
      </c>
      <c r="L931" s="28" t="e">
        <f>INDEX('Peak Models'!$P$34:$P$64, MATCH(TRUNC(B931, 0), 'Peak Models'!$O$34:$O$64, 0))</f>
        <v>#N/A</v>
      </c>
      <c r="M931" s="28">
        <f>'Peak Models'!$P$15*INDEX('Peak Models'!$Q$34:$Q$64, MATCH(TRUNC(B931, 0),'Peak Models'!$O$34:$O$64, 0))/'Profit per cycles Model'!$E$78</f>
        <v>8.7244428156336635</v>
      </c>
      <c r="N931" s="28" t="e">
        <f t="shared" si="241"/>
        <v>#N/A</v>
      </c>
      <c r="O931" s="71" t="e">
        <f>AVERAGE($N$10:N931)</f>
        <v>#N/A</v>
      </c>
      <c r="P931" s="28" t="e">
        <f t="shared" si="242"/>
        <v>#N/A</v>
      </c>
      <c r="R931" s="28" t="e">
        <f t="shared" si="243"/>
        <v>#VALUE!</v>
      </c>
      <c r="S931" s="25"/>
      <c r="T931" s="25">
        <f t="shared" si="244"/>
        <v>15</v>
      </c>
      <c r="U931" s="33">
        <f>IF(PaybackCustom&gt;0, IF(PaybackCustom&lt;&gt;"Default", PaybackCustom, IF(PaybackStatus&lt;&gt;"",INDEX('Arbitrage Payback Engine'!$Y$2:$Y$6,MATCH(PaybackStatus,'Arbitrage Payback Engine'!$X$2:$X$6,FALSE)),-1)))</f>
        <v>25</v>
      </c>
      <c r="V931" s="32">
        <f t="shared" si="253"/>
        <v>15</v>
      </c>
      <c r="X931" s="29">
        <f t="shared" si="254"/>
        <v>922</v>
      </c>
      <c r="Z931" s="30">
        <f t="shared" si="245"/>
        <v>25.256814135049993</v>
      </c>
      <c r="AA931" s="28" t="e">
        <f t="shared" si="246"/>
        <v>#N/A</v>
      </c>
      <c r="AB931" s="28" t="e">
        <f t="shared" si="247"/>
        <v>#VALUE!</v>
      </c>
      <c r="AC931" s="29">
        <f t="shared" si="248"/>
        <v>874.76280834914621</v>
      </c>
      <c r="AD931" s="28" t="e">
        <f t="shared" si="249"/>
        <v>#VALUE!</v>
      </c>
      <c r="AE931" s="28" t="e">
        <f t="shared" si="250"/>
        <v>#N/A</v>
      </c>
      <c r="AF931" s="28" t="e">
        <f t="shared" si="251"/>
        <v>#VALUE!</v>
      </c>
      <c r="AH931" s="31" t="e">
        <f t="shared" si="252"/>
        <v>#N/A</v>
      </c>
      <c r="AI931" s="25"/>
      <c r="AJ931" s="31"/>
    </row>
    <row r="932" spans="2:36" x14ac:dyDescent="0.25">
      <c r="B932" s="33">
        <f>'Arbitrage Payback Engine'!E932</f>
        <v>25.284207642788658</v>
      </c>
      <c r="C932" s="33">
        <f t="shared" si="238"/>
        <v>1000</v>
      </c>
      <c r="D932" s="33">
        <f>'Battery Pricing Model'!$C$17</f>
        <v>1000</v>
      </c>
      <c r="E932" s="33">
        <f t="shared" si="239"/>
        <v>999</v>
      </c>
      <c r="F932" s="33" t="str">
        <f>'Peak Models'!$B$4</f>
        <v>Default</v>
      </c>
      <c r="G932" s="33" t="e">
        <f>'Peak Models'!$Q$7</f>
        <v>#VALUE!</v>
      </c>
      <c r="H932" s="33">
        <f>'Peak Models'!$P$16</f>
        <v>1.5</v>
      </c>
      <c r="I932" s="33">
        <v>12</v>
      </c>
      <c r="J932" s="33" t="e">
        <f>'Peak Models'!$P$13</f>
        <v>#N/A</v>
      </c>
      <c r="K932" s="28" t="e">
        <f t="shared" si="240"/>
        <v>#VALUE!</v>
      </c>
      <c r="L932" s="28" t="e">
        <f>INDEX('Peak Models'!$P$34:$P$64, MATCH(TRUNC(B932, 0), 'Peak Models'!$O$34:$O$64, 0))</f>
        <v>#N/A</v>
      </c>
      <c r="M932" s="28">
        <f>'Peak Models'!$P$15*INDEX('Peak Models'!$Q$34:$Q$64, MATCH(TRUNC(B932, 0),'Peak Models'!$O$34:$O$64, 0))/'Profit per cycles Model'!$E$78</f>
        <v>8.7244428156336635</v>
      </c>
      <c r="N932" s="28" t="e">
        <f t="shared" si="241"/>
        <v>#N/A</v>
      </c>
      <c r="O932" s="71" t="e">
        <f>AVERAGE($N$10:N932)</f>
        <v>#N/A</v>
      </c>
      <c r="P932" s="28" t="e">
        <f t="shared" si="242"/>
        <v>#N/A</v>
      </c>
      <c r="R932" s="28" t="e">
        <f t="shared" si="243"/>
        <v>#VALUE!</v>
      </c>
      <c r="S932" s="25"/>
      <c r="T932" s="25">
        <f t="shared" si="244"/>
        <v>15</v>
      </c>
      <c r="U932" s="33">
        <f>IF(PaybackCustom&gt;0, IF(PaybackCustom&lt;&gt;"Default", PaybackCustom, IF(PaybackStatus&lt;&gt;"",INDEX('Arbitrage Payback Engine'!$Y$2:$Y$6,MATCH(PaybackStatus,'Arbitrage Payback Engine'!$X$2:$X$6,FALSE)),-1)))</f>
        <v>25</v>
      </c>
      <c r="V932" s="32">
        <f t="shared" si="253"/>
        <v>15</v>
      </c>
      <c r="X932" s="29">
        <f t="shared" si="254"/>
        <v>923</v>
      </c>
      <c r="Z932" s="30">
        <f t="shared" si="245"/>
        <v>25.284207642788658</v>
      </c>
      <c r="AA932" s="28" t="e">
        <f t="shared" si="246"/>
        <v>#N/A</v>
      </c>
      <c r="AB932" s="28" t="e">
        <f t="shared" si="247"/>
        <v>#VALUE!</v>
      </c>
      <c r="AC932" s="29">
        <f t="shared" si="248"/>
        <v>875.71157495256159</v>
      </c>
      <c r="AD932" s="28" t="e">
        <f t="shared" si="249"/>
        <v>#VALUE!</v>
      </c>
      <c r="AE932" s="28" t="e">
        <f t="shared" si="250"/>
        <v>#N/A</v>
      </c>
      <c r="AF932" s="28" t="e">
        <f t="shared" si="251"/>
        <v>#VALUE!</v>
      </c>
      <c r="AH932" s="31" t="e">
        <f t="shared" si="252"/>
        <v>#N/A</v>
      </c>
      <c r="AI932" s="25"/>
      <c r="AJ932" s="31"/>
    </row>
    <row r="933" spans="2:36" x14ac:dyDescent="0.25">
      <c r="B933" s="33">
        <f>'Arbitrage Payback Engine'!E933</f>
        <v>25.311601150527324</v>
      </c>
      <c r="C933" s="33">
        <f t="shared" si="238"/>
        <v>1000</v>
      </c>
      <c r="D933" s="33">
        <f>'Battery Pricing Model'!$C$17</f>
        <v>1000</v>
      </c>
      <c r="E933" s="33">
        <f t="shared" si="239"/>
        <v>999</v>
      </c>
      <c r="F933" s="33" t="str">
        <f>'Peak Models'!$B$4</f>
        <v>Default</v>
      </c>
      <c r="G933" s="33" t="e">
        <f>'Peak Models'!$Q$7</f>
        <v>#VALUE!</v>
      </c>
      <c r="H933" s="33">
        <f>'Peak Models'!$P$16</f>
        <v>1.5</v>
      </c>
      <c r="I933" s="33">
        <v>12</v>
      </c>
      <c r="J933" s="33" t="e">
        <f>'Peak Models'!$P$13</f>
        <v>#N/A</v>
      </c>
      <c r="K933" s="28" t="e">
        <f t="shared" si="240"/>
        <v>#VALUE!</v>
      </c>
      <c r="L933" s="28" t="e">
        <f>INDEX('Peak Models'!$P$34:$P$64, MATCH(TRUNC(B933, 0), 'Peak Models'!$O$34:$O$64, 0))</f>
        <v>#N/A</v>
      </c>
      <c r="M933" s="28">
        <f>'Peak Models'!$P$15*INDEX('Peak Models'!$Q$34:$Q$64, MATCH(TRUNC(B933, 0),'Peak Models'!$O$34:$O$64, 0))/'Profit per cycles Model'!$E$78</f>
        <v>8.7244428156336635</v>
      </c>
      <c r="N933" s="28" t="e">
        <f t="shared" si="241"/>
        <v>#N/A</v>
      </c>
      <c r="O933" s="71" t="e">
        <f>AVERAGE($N$10:N933)</f>
        <v>#N/A</v>
      </c>
      <c r="P933" s="28" t="e">
        <f t="shared" si="242"/>
        <v>#N/A</v>
      </c>
      <c r="R933" s="28" t="e">
        <f t="shared" si="243"/>
        <v>#VALUE!</v>
      </c>
      <c r="S933" s="25"/>
      <c r="T933" s="25">
        <f t="shared" si="244"/>
        <v>15</v>
      </c>
      <c r="U933" s="33">
        <f>IF(PaybackCustom&gt;0, IF(PaybackCustom&lt;&gt;"Default", PaybackCustom, IF(PaybackStatus&lt;&gt;"",INDEX('Arbitrage Payback Engine'!$Y$2:$Y$6,MATCH(PaybackStatus,'Arbitrage Payback Engine'!$X$2:$X$6,FALSE)),-1)))</f>
        <v>25</v>
      </c>
      <c r="V933" s="32">
        <f t="shared" si="253"/>
        <v>15</v>
      </c>
      <c r="X933" s="29">
        <f t="shared" si="254"/>
        <v>924</v>
      </c>
      <c r="Z933" s="30">
        <f t="shared" si="245"/>
        <v>25.311601150527324</v>
      </c>
      <c r="AA933" s="28" t="e">
        <f t="shared" si="246"/>
        <v>#N/A</v>
      </c>
      <c r="AB933" s="28" t="e">
        <f t="shared" si="247"/>
        <v>#VALUE!</v>
      </c>
      <c r="AC933" s="29">
        <f t="shared" si="248"/>
        <v>876.6603415559772</v>
      </c>
      <c r="AD933" s="28" t="e">
        <f t="shared" si="249"/>
        <v>#VALUE!</v>
      </c>
      <c r="AE933" s="28" t="e">
        <f t="shared" si="250"/>
        <v>#N/A</v>
      </c>
      <c r="AF933" s="28" t="e">
        <f t="shared" si="251"/>
        <v>#VALUE!</v>
      </c>
      <c r="AH933" s="31" t="e">
        <f t="shared" si="252"/>
        <v>#N/A</v>
      </c>
      <c r="AI933" s="25"/>
      <c r="AJ933" s="31"/>
    </row>
    <row r="934" spans="2:36" x14ac:dyDescent="0.25">
      <c r="B934" s="33">
        <f>'Arbitrage Payback Engine'!E934</f>
        <v>25.338994658265989</v>
      </c>
      <c r="C934" s="33">
        <f t="shared" si="238"/>
        <v>1000</v>
      </c>
      <c r="D934" s="33">
        <f>'Battery Pricing Model'!$C$17</f>
        <v>1000</v>
      </c>
      <c r="E934" s="33">
        <f t="shared" si="239"/>
        <v>999</v>
      </c>
      <c r="F934" s="33" t="str">
        <f>'Peak Models'!$B$4</f>
        <v>Default</v>
      </c>
      <c r="G934" s="33" t="e">
        <f>'Peak Models'!$Q$7</f>
        <v>#VALUE!</v>
      </c>
      <c r="H934" s="33">
        <f>'Peak Models'!$P$16</f>
        <v>1.5</v>
      </c>
      <c r="I934" s="33">
        <v>12</v>
      </c>
      <c r="J934" s="33" t="e">
        <f>'Peak Models'!$P$13</f>
        <v>#N/A</v>
      </c>
      <c r="K934" s="28" t="e">
        <f t="shared" si="240"/>
        <v>#VALUE!</v>
      </c>
      <c r="L934" s="28" t="e">
        <f>INDEX('Peak Models'!$P$34:$P$64, MATCH(TRUNC(B934, 0), 'Peak Models'!$O$34:$O$64, 0))</f>
        <v>#N/A</v>
      </c>
      <c r="M934" s="28">
        <f>'Peak Models'!$P$15*INDEX('Peak Models'!$Q$34:$Q$64, MATCH(TRUNC(B934, 0),'Peak Models'!$O$34:$O$64, 0))/'Profit per cycles Model'!$E$78</f>
        <v>8.7244428156336635</v>
      </c>
      <c r="N934" s="28" t="e">
        <f t="shared" si="241"/>
        <v>#N/A</v>
      </c>
      <c r="O934" s="71" t="e">
        <f>AVERAGE($N$10:N934)</f>
        <v>#N/A</v>
      </c>
      <c r="P934" s="28" t="e">
        <f t="shared" si="242"/>
        <v>#N/A</v>
      </c>
      <c r="R934" s="28" t="e">
        <f t="shared" si="243"/>
        <v>#VALUE!</v>
      </c>
      <c r="S934" s="25"/>
      <c r="T934" s="25">
        <f t="shared" si="244"/>
        <v>15</v>
      </c>
      <c r="U934" s="33">
        <f>IF(PaybackCustom&gt;0, IF(PaybackCustom&lt;&gt;"Default", PaybackCustom, IF(PaybackStatus&lt;&gt;"",INDEX('Arbitrage Payback Engine'!$Y$2:$Y$6,MATCH(PaybackStatus,'Arbitrage Payback Engine'!$X$2:$X$6,FALSE)),-1)))</f>
        <v>25</v>
      </c>
      <c r="V934" s="32">
        <f t="shared" si="253"/>
        <v>15</v>
      </c>
      <c r="X934" s="29">
        <f t="shared" si="254"/>
        <v>925</v>
      </c>
      <c r="Z934" s="30">
        <f t="shared" si="245"/>
        <v>25.338994658265989</v>
      </c>
      <c r="AA934" s="28" t="e">
        <f t="shared" si="246"/>
        <v>#N/A</v>
      </c>
      <c r="AB934" s="28" t="e">
        <f t="shared" si="247"/>
        <v>#VALUE!</v>
      </c>
      <c r="AC934" s="29">
        <f t="shared" si="248"/>
        <v>877.6091081593928</v>
      </c>
      <c r="AD934" s="28" t="e">
        <f t="shared" si="249"/>
        <v>#VALUE!</v>
      </c>
      <c r="AE934" s="28" t="e">
        <f t="shared" si="250"/>
        <v>#N/A</v>
      </c>
      <c r="AF934" s="28" t="e">
        <f t="shared" si="251"/>
        <v>#VALUE!</v>
      </c>
      <c r="AH934" s="31" t="e">
        <f t="shared" si="252"/>
        <v>#N/A</v>
      </c>
      <c r="AI934" s="25"/>
      <c r="AJ934" s="31"/>
    </row>
    <row r="935" spans="2:36" x14ac:dyDescent="0.25">
      <c r="B935" s="33">
        <f>'Arbitrage Payback Engine'!E935</f>
        <v>25.366388166004658</v>
      </c>
      <c r="C935" s="33">
        <f t="shared" si="238"/>
        <v>1000</v>
      </c>
      <c r="D935" s="33">
        <f>'Battery Pricing Model'!$C$17</f>
        <v>1000</v>
      </c>
      <c r="E935" s="33">
        <f t="shared" si="239"/>
        <v>999</v>
      </c>
      <c r="F935" s="33" t="str">
        <f>'Peak Models'!$B$4</f>
        <v>Default</v>
      </c>
      <c r="G935" s="33" t="e">
        <f>'Peak Models'!$Q$7</f>
        <v>#VALUE!</v>
      </c>
      <c r="H935" s="33">
        <f>'Peak Models'!$P$16</f>
        <v>1.5</v>
      </c>
      <c r="I935" s="33">
        <v>12</v>
      </c>
      <c r="J935" s="33" t="e">
        <f>'Peak Models'!$P$13</f>
        <v>#N/A</v>
      </c>
      <c r="K935" s="28" t="e">
        <f t="shared" si="240"/>
        <v>#VALUE!</v>
      </c>
      <c r="L935" s="28" t="e">
        <f>INDEX('Peak Models'!$P$34:$P$64, MATCH(TRUNC(B935, 0), 'Peak Models'!$O$34:$O$64, 0))</f>
        <v>#N/A</v>
      </c>
      <c r="M935" s="28">
        <f>'Peak Models'!$P$15*INDEX('Peak Models'!$Q$34:$Q$64, MATCH(TRUNC(B935, 0),'Peak Models'!$O$34:$O$64, 0))/'Profit per cycles Model'!$E$78</f>
        <v>8.7244428156336635</v>
      </c>
      <c r="N935" s="28" t="e">
        <f t="shared" si="241"/>
        <v>#N/A</v>
      </c>
      <c r="O935" s="71" t="e">
        <f>AVERAGE($N$10:N935)</f>
        <v>#N/A</v>
      </c>
      <c r="P935" s="28" t="e">
        <f t="shared" si="242"/>
        <v>#N/A</v>
      </c>
      <c r="R935" s="28" t="e">
        <f t="shared" si="243"/>
        <v>#VALUE!</v>
      </c>
      <c r="S935" s="25"/>
      <c r="T935" s="25">
        <f t="shared" si="244"/>
        <v>15</v>
      </c>
      <c r="U935" s="33">
        <f>IF(PaybackCustom&gt;0, IF(PaybackCustom&lt;&gt;"Default", PaybackCustom, IF(PaybackStatus&lt;&gt;"",INDEX('Arbitrage Payback Engine'!$Y$2:$Y$6,MATCH(PaybackStatus,'Arbitrage Payback Engine'!$X$2:$X$6,FALSE)),-1)))</f>
        <v>25</v>
      </c>
      <c r="V935" s="32">
        <f t="shared" si="253"/>
        <v>15</v>
      </c>
      <c r="X935" s="29">
        <f t="shared" si="254"/>
        <v>926</v>
      </c>
      <c r="Z935" s="30">
        <f t="shared" si="245"/>
        <v>25.366388166004658</v>
      </c>
      <c r="AA935" s="28" t="e">
        <f t="shared" si="246"/>
        <v>#N/A</v>
      </c>
      <c r="AB935" s="28" t="e">
        <f t="shared" si="247"/>
        <v>#VALUE!</v>
      </c>
      <c r="AC935" s="29">
        <f t="shared" si="248"/>
        <v>878.55787476280841</v>
      </c>
      <c r="AD935" s="28" t="e">
        <f t="shared" si="249"/>
        <v>#VALUE!</v>
      </c>
      <c r="AE935" s="28" t="e">
        <f t="shared" si="250"/>
        <v>#N/A</v>
      </c>
      <c r="AF935" s="28" t="e">
        <f t="shared" si="251"/>
        <v>#VALUE!</v>
      </c>
      <c r="AH935" s="31" t="e">
        <f t="shared" si="252"/>
        <v>#N/A</v>
      </c>
      <c r="AI935" s="25"/>
      <c r="AJ935" s="31"/>
    </row>
    <row r="936" spans="2:36" x14ac:dyDescent="0.25">
      <c r="B936" s="33">
        <f>'Arbitrage Payback Engine'!E936</f>
        <v>25.393781673743323</v>
      </c>
      <c r="C936" s="33">
        <f t="shared" si="238"/>
        <v>1000</v>
      </c>
      <c r="D936" s="33">
        <f>'Battery Pricing Model'!$C$17</f>
        <v>1000</v>
      </c>
      <c r="E936" s="33">
        <f t="shared" si="239"/>
        <v>999</v>
      </c>
      <c r="F936" s="33" t="str">
        <f>'Peak Models'!$B$4</f>
        <v>Default</v>
      </c>
      <c r="G936" s="33" t="e">
        <f>'Peak Models'!$Q$7</f>
        <v>#VALUE!</v>
      </c>
      <c r="H936" s="33">
        <f>'Peak Models'!$P$16</f>
        <v>1.5</v>
      </c>
      <c r="I936" s="33">
        <v>12</v>
      </c>
      <c r="J936" s="33" t="e">
        <f>'Peak Models'!$P$13</f>
        <v>#N/A</v>
      </c>
      <c r="K936" s="28" t="e">
        <f t="shared" si="240"/>
        <v>#VALUE!</v>
      </c>
      <c r="L936" s="28" t="e">
        <f>INDEX('Peak Models'!$P$34:$P$64, MATCH(TRUNC(B936, 0), 'Peak Models'!$O$34:$O$64, 0))</f>
        <v>#N/A</v>
      </c>
      <c r="M936" s="28">
        <f>'Peak Models'!$P$15*INDEX('Peak Models'!$Q$34:$Q$64, MATCH(TRUNC(B936, 0),'Peak Models'!$O$34:$O$64, 0))/'Profit per cycles Model'!$E$78</f>
        <v>8.7244428156336635</v>
      </c>
      <c r="N936" s="28" t="e">
        <f t="shared" si="241"/>
        <v>#N/A</v>
      </c>
      <c r="O936" s="71" t="e">
        <f>AVERAGE($N$10:N936)</f>
        <v>#N/A</v>
      </c>
      <c r="P936" s="28" t="e">
        <f t="shared" si="242"/>
        <v>#N/A</v>
      </c>
      <c r="R936" s="28" t="e">
        <f t="shared" si="243"/>
        <v>#VALUE!</v>
      </c>
      <c r="S936" s="25"/>
      <c r="T936" s="25">
        <f t="shared" si="244"/>
        <v>15</v>
      </c>
      <c r="U936" s="33">
        <f>IF(PaybackCustom&gt;0, IF(PaybackCustom&lt;&gt;"Default", PaybackCustom, IF(PaybackStatus&lt;&gt;"",INDEX('Arbitrage Payback Engine'!$Y$2:$Y$6,MATCH(PaybackStatus,'Arbitrage Payback Engine'!$X$2:$X$6,FALSE)),-1)))</f>
        <v>25</v>
      </c>
      <c r="V936" s="32">
        <f t="shared" si="253"/>
        <v>15</v>
      </c>
      <c r="X936" s="29">
        <f t="shared" si="254"/>
        <v>927</v>
      </c>
      <c r="Z936" s="30">
        <f t="shared" si="245"/>
        <v>25.393781673743323</v>
      </c>
      <c r="AA936" s="28" t="e">
        <f t="shared" si="246"/>
        <v>#N/A</v>
      </c>
      <c r="AB936" s="28" t="e">
        <f t="shared" si="247"/>
        <v>#VALUE!</v>
      </c>
      <c r="AC936" s="29">
        <f t="shared" si="248"/>
        <v>879.50664136622402</v>
      </c>
      <c r="AD936" s="28" t="e">
        <f t="shared" si="249"/>
        <v>#VALUE!</v>
      </c>
      <c r="AE936" s="28" t="e">
        <f t="shared" si="250"/>
        <v>#N/A</v>
      </c>
      <c r="AF936" s="28" t="e">
        <f t="shared" si="251"/>
        <v>#VALUE!</v>
      </c>
      <c r="AH936" s="31" t="e">
        <f t="shared" si="252"/>
        <v>#N/A</v>
      </c>
      <c r="AI936" s="25"/>
      <c r="AJ936" s="31"/>
    </row>
    <row r="937" spans="2:36" x14ac:dyDescent="0.25">
      <c r="B937" s="33">
        <f>'Arbitrage Payback Engine'!E937</f>
        <v>25.421175181481988</v>
      </c>
      <c r="C937" s="33">
        <f t="shared" si="238"/>
        <v>1000</v>
      </c>
      <c r="D937" s="33">
        <f>'Battery Pricing Model'!$C$17</f>
        <v>1000</v>
      </c>
      <c r="E937" s="33">
        <f t="shared" si="239"/>
        <v>999</v>
      </c>
      <c r="F937" s="33" t="str">
        <f>'Peak Models'!$B$4</f>
        <v>Default</v>
      </c>
      <c r="G937" s="33" t="e">
        <f>'Peak Models'!$Q$7</f>
        <v>#VALUE!</v>
      </c>
      <c r="H937" s="33">
        <f>'Peak Models'!$P$16</f>
        <v>1.5</v>
      </c>
      <c r="I937" s="33">
        <v>12</v>
      </c>
      <c r="J937" s="33" t="e">
        <f>'Peak Models'!$P$13</f>
        <v>#N/A</v>
      </c>
      <c r="K937" s="28" t="e">
        <f t="shared" si="240"/>
        <v>#VALUE!</v>
      </c>
      <c r="L937" s="28" t="e">
        <f>INDEX('Peak Models'!$P$34:$P$64, MATCH(TRUNC(B937, 0), 'Peak Models'!$O$34:$O$64, 0))</f>
        <v>#N/A</v>
      </c>
      <c r="M937" s="28">
        <f>'Peak Models'!$P$15*INDEX('Peak Models'!$Q$34:$Q$64, MATCH(TRUNC(B937, 0),'Peak Models'!$O$34:$O$64, 0))/'Profit per cycles Model'!$E$78</f>
        <v>8.7244428156336635</v>
      </c>
      <c r="N937" s="28" t="e">
        <f t="shared" si="241"/>
        <v>#N/A</v>
      </c>
      <c r="O937" s="71" t="e">
        <f>AVERAGE($N$10:N937)</f>
        <v>#N/A</v>
      </c>
      <c r="P937" s="28" t="e">
        <f t="shared" si="242"/>
        <v>#N/A</v>
      </c>
      <c r="R937" s="28" t="e">
        <f t="shared" si="243"/>
        <v>#VALUE!</v>
      </c>
      <c r="S937" s="25"/>
      <c r="T937" s="25">
        <f t="shared" si="244"/>
        <v>15</v>
      </c>
      <c r="U937" s="33">
        <f>IF(PaybackCustom&gt;0, IF(PaybackCustom&lt;&gt;"Default", PaybackCustom, IF(PaybackStatus&lt;&gt;"",INDEX('Arbitrage Payback Engine'!$Y$2:$Y$6,MATCH(PaybackStatus,'Arbitrage Payback Engine'!$X$2:$X$6,FALSE)),-1)))</f>
        <v>25</v>
      </c>
      <c r="V937" s="32">
        <f t="shared" si="253"/>
        <v>15</v>
      </c>
      <c r="X937" s="29">
        <f t="shared" si="254"/>
        <v>928</v>
      </c>
      <c r="Z937" s="30">
        <f t="shared" si="245"/>
        <v>25.421175181481988</v>
      </c>
      <c r="AA937" s="28" t="e">
        <f t="shared" si="246"/>
        <v>#N/A</v>
      </c>
      <c r="AB937" s="28" t="e">
        <f t="shared" si="247"/>
        <v>#VALUE!</v>
      </c>
      <c r="AC937" s="29">
        <f t="shared" si="248"/>
        <v>880.45540796963951</v>
      </c>
      <c r="AD937" s="28" t="e">
        <f t="shared" si="249"/>
        <v>#VALUE!</v>
      </c>
      <c r="AE937" s="28" t="e">
        <f t="shared" si="250"/>
        <v>#N/A</v>
      </c>
      <c r="AF937" s="28" t="e">
        <f t="shared" si="251"/>
        <v>#VALUE!</v>
      </c>
      <c r="AH937" s="31" t="e">
        <f t="shared" si="252"/>
        <v>#N/A</v>
      </c>
      <c r="AI937" s="25"/>
      <c r="AJ937" s="31"/>
    </row>
    <row r="938" spans="2:36" x14ac:dyDescent="0.25">
      <c r="B938" s="33">
        <f>'Arbitrage Payback Engine'!E938</f>
        <v>25.448568689220654</v>
      </c>
      <c r="C938" s="33">
        <f t="shared" si="238"/>
        <v>1000</v>
      </c>
      <c r="D938" s="33">
        <f>'Battery Pricing Model'!$C$17</f>
        <v>1000</v>
      </c>
      <c r="E938" s="33">
        <f t="shared" si="239"/>
        <v>999</v>
      </c>
      <c r="F938" s="33" t="str">
        <f>'Peak Models'!$B$4</f>
        <v>Default</v>
      </c>
      <c r="G938" s="33" t="e">
        <f>'Peak Models'!$Q$7</f>
        <v>#VALUE!</v>
      </c>
      <c r="H938" s="33">
        <f>'Peak Models'!$P$16</f>
        <v>1.5</v>
      </c>
      <c r="I938" s="33">
        <v>12</v>
      </c>
      <c r="J938" s="33" t="e">
        <f>'Peak Models'!$P$13</f>
        <v>#N/A</v>
      </c>
      <c r="K938" s="28" t="e">
        <f t="shared" si="240"/>
        <v>#VALUE!</v>
      </c>
      <c r="L938" s="28" t="e">
        <f>INDEX('Peak Models'!$P$34:$P$64, MATCH(TRUNC(B938, 0), 'Peak Models'!$O$34:$O$64, 0))</f>
        <v>#N/A</v>
      </c>
      <c r="M938" s="28">
        <f>'Peak Models'!$P$15*INDEX('Peak Models'!$Q$34:$Q$64, MATCH(TRUNC(B938, 0),'Peak Models'!$O$34:$O$64, 0))/'Profit per cycles Model'!$E$78</f>
        <v>8.7244428156336635</v>
      </c>
      <c r="N938" s="28" t="e">
        <f t="shared" si="241"/>
        <v>#N/A</v>
      </c>
      <c r="O938" s="71" t="e">
        <f>AVERAGE($N$10:N938)</f>
        <v>#N/A</v>
      </c>
      <c r="P938" s="28" t="e">
        <f t="shared" si="242"/>
        <v>#N/A</v>
      </c>
      <c r="R938" s="28" t="e">
        <f t="shared" si="243"/>
        <v>#VALUE!</v>
      </c>
      <c r="S938" s="25"/>
      <c r="T938" s="25">
        <f t="shared" si="244"/>
        <v>15</v>
      </c>
      <c r="U938" s="33">
        <f>IF(PaybackCustom&gt;0, IF(PaybackCustom&lt;&gt;"Default", PaybackCustom, IF(PaybackStatus&lt;&gt;"",INDEX('Arbitrage Payback Engine'!$Y$2:$Y$6,MATCH(PaybackStatus,'Arbitrage Payback Engine'!$X$2:$X$6,FALSE)),-1)))</f>
        <v>25</v>
      </c>
      <c r="V938" s="32">
        <f t="shared" si="253"/>
        <v>15</v>
      </c>
      <c r="X938" s="29">
        <f t="shared" si="254"/>
        <v>929</v>
      </c>
      <c r="Z938" s="30">
        <f t="shared" si="245"/>
        <v>25.448568689220654</v>
      </c>
      <c r="AA938" s="28" t="e">
        <f t="shared" si="246"/>
        <v>#N/A</v>
      </c>
      <c r="AB938" s="28" t="e">
        <f t="shared" si="247"/>
        <v>#VALUE!</v>
      </c>
      <c r="AC938" s="29">
        <f t="shared" si="248"/>
        <v>881.404174573055</v>
      </c>
      <c r="AD938" s="28" t="e">
        <f t="shared" si="249"/>
        <v>#VALUE!</v>
      </c>
      <c r="AE938" s="28" t="e">
        <f t="shared" si="250"/>
        <v>#N/A</v>
      </c>
      <c r="AF938" s="28" t="e">
        <f t="shared" si="251"/>
        <v>#VALUE!</v>
      </c>
      <c r="AH938" s="31" t="e">
        <f t="shared" si="252"/>
        <v>#N/A</v>
      </c>
      <c r="AI938" s="25"/>
      <c r="AJ938" s="31"/>
    </row>
    <row r="939" spans="2:36" x14ac:dyDescent="0.25">
      <c r="B939" s="33">
        <f>'Arbitrage Payback Engine'!E939</f>
        <v>25.475962196959319</v>
      </c>
      <c r="C939" s="33">
        <f t="shared" si="238"/>
        <v>1000</v>
      </c>
      <c r="D939" s="33">
        <f>'Battery Pricing Model'!$C$17</f>
        <v>1000</v>
      </c>
      <c r="E939" s="33">
        <f t="shared" si="239"/>
        <v>999</v>
      </c>
      <c r="F939" s="33" t="str">
        <f>'Peak Models'!$B$4</f>
        <v>Default</v>
      </c>
      <c r="G939" s="33" t="e">
        <f>'Peak Models'!$Q$7</f>
        <v>#VALUE!</v>
      </c>
      <c r="H939" s="33">
        <f>'Peak Models'!$P$16</f>
        <v>1.5</v>
      </c>
      <c r="I939" s="33">
        <v>12</v>
      </c>
      <c r="J939" s="33" t="e">
        <f>'Peak Models'!$P$13</f>
        <v>#N/A</v>
      </c>
      <c r="K939" s="28" t="e">
        <f t="shared" si="240"/>
        <v>#VALUE!</v>
      </c>
      <c r="L939" s="28" t="e">
        <f>INDEX('Peak Models'!$P$34:$P$64, MATCH(TRUNC(B939, 0), 'Peak Models'!$O$34:$O$64, 0))</f>
        <v>#N/A</v>
      </c>
      <c r="M939" s="28">
        <f>'Peak Models'!$P$15*INDEX('Peak Models'!$Q$34:$Q$64, MATCH(TRUNC(B939, 0),'Peak Models'!$O$34:$O$64, 0))/'Profit per cycles Model'!$E$78</f>
        <v>8.7244428156336635</v>
      </c>
      <c r="N939" s="28" t="e">
        <f t="shared" si="241"/>
        <v>#N/A</v>
      </c>
      <c r="O939" s="71" t="e">
        <f>AVERAGE($N$10:N939)</f>
        <v>#N/A</v>
      </c>
      <c r="P939" s="28" t="e">
        <f t="shared" si="242"/>
        <v>#N/A</v>
      </c>
      <c r="R939" s="28" t="e">
        <f t="shared" si="243"/>
        <v>#VALUE!</v>
      </c>
      <c r="S939" s="25"/>
      <c r="T939" s="25">
        <f t="shared" si="244"/>
        <v>15</v>
      </c>
      <c r="U939" s="33">
        <f>IF(PaybackCustom&gt;0, IF(PaybackCustom&lt;&gt;"Default", PaybackCustom, IF(PaybackStatus&lt;&gt;"",INDEX('Arbitrage Payback Engine'!$Y$2:$Y$6,MATCH(PaybackStatus,'Arbitrage Payback Engine'!$X$2:$X$6,FALSE)),-1)))</f>
        <v>25</v>
      </c>
      <c r="V939" s="32">
        <f t="shared" si="253"/>
        <v>15</v>
      </c>
      <c r="X939" s="29">
        <f t="shared" si="254"/>
        <v>930</v>
      </c>
      <c r="Z939" s="30">
        <f t="shared" si="245"/>
        <v>25.475962196959319</v>
      </c>
      <c r="AA939" s="28" t="e">
        <f t="shared" si="246"/>
        <v>#N/A</v>
      </c>
      <c r="AB939" s="28" t="e">
        <f t="shared" si="247"/>
        <v>#VALUE!</v>
      </c>
      <c r="AC939" s="29">
        <f t="shared" si="248"/>
        <v>882.35294117647061</v>
      </c>
      <c r="AD939" s="28" t="e">
        <f t="shared" si="249"/>
        <v>#VALUE!</v>
      </c>
      <c r="AE939" s="28" t="e">
        <f t="shared" si="250"/>
        <v>#N/A</v>
      </c>
      <c r="AF939" s="28" t="e">
        <f t="shared" si="251"/>
        <v>#VALUE!</v>
      </c>
      <c r="AH939" s="31" t="e">
        <f t="shared" si="252"/>
        <v>#N/A</v>
      </c>
      <c r="AI939" s="25"/>
      <c r="AJ939" s="31"/>
    </row>
    <row r="940" spans="2:36" x14ac:dyDescent="0.25">
      <c r="B940" s="33">
        <f>'Arbitrage Payback Engine'!E940</f>
        <v>25.503355704697984</v>
      </c>
      <c r="C940" s="33">
        <f t="shared" si="238"/>
        <v>1000</v>
      </c>
      <c r="D940" s="33">
        <f>'Battery Pricing Model'!$C$17</f>
        <v>1000</v>
      </c>
      <c r="E940" s="33">
        <f t="shared" si="239"/>
        <v>999</v>
      </c>
      <c r="F940" s="33" t="str">
        <f>'Peak Models'!$B$4</f>
        <v>Default</v>
      </c>
      <c r="G940" s="33" t="e">
        <f>'Peak Models'!$Q$7</f>
        <v>#VALUE!</v>
      </c>
      <c r="H940" s="33">
        <f>'Peak Models'!$P$16</f>
        <v>1.5</v>
      </c>
      <c r="I940" s="33">
        <v>12</v>
      </c>
      <c r="J940" s="33" t="e">
        <f>'Peak Models'!$P$13</f>
        <v>#N/A</v>
      </c>
      <c r="K940" s="28" t="e">
        <f t="shared" si="240"/>
        <v>#VALUE!</v>
      </c>
      <c r="L940" s="28" t="e">
        <f>INDEX('Peak Models'!$P$34:$P$64, MATCH(TRUNC(B940, 0), 'Peak Models'!$O$34:$O$64, 0))</f>
        <v>#N/A</v>
      </c>
      <c r="M940" s="28">
        <f>'Peak Models'!$P$15*INDEX('Peak Models'!$Q$34:$Q$64, MATCH(TRUNC(B940, 0),'Peak Models'!$O$34:$O$64, 0))/'Profit per cycles Model'!$E$78</f>
        <v>8.7244428156336635</v>
      </c>
      <c r="N940" s="28" t="e">
        <f t="shared" si="241"/>
        <v>#N/A</v>
      </c>
      <c r="O940" s="71" t="e">
        <f>AVERAGE($N$10:N940)</f>
        <v>#N/A</v>
      </c>
      <c r="P940" s="28" t="e">
        <f t="shared" si="242"/>
        <v>#N/A</v>
      </c>
      <c r="R940" s="28" t="e">
        <f t="shared" si="243"/>
        <v>#VALUE!</v>
      </c>
      <c r="S940" s="25"/>
      <c r="T940" s="25">
        <f t="shared" si="244"/>
        <v>15</v>
      </c>
      <c r="U940" s="33">
        <f>IF(PaybackCustom&gt;0, IF(PaybackCustom&lt;&gt;"Default", PaybackCustom, IF(PaybackStatus&lt;&gt;"",INDEX('Arbitrage Payback Engine'!$Y$2:$Y$6,MATCH(PaybackStatus,'Arbitrage Payback Engine'!$X$2:$X$6,FALSE)),-1)))</f>
        <v>25</v>
      </c>
      <c r="V940" s="32">
        <f t="shared" si="253"/>
        <v>15</v>
      </c>
      <c r="X940" s="29">
        <f t="shared" si="254"/>
        <v>931</v>
      </c>
      <c r="Z940" s="30">
        <f t="shared" si="245"/>
        <v>25.503355704697984</v>
      </c>
      <c r="AA940" s="28" t="e">
        <f t="shared" si="246"/>
        <v>#N/A</v>
      </c>
      <c r="AB940" s="28" t="e">
        <f t="shared" si="247"/>
        <v>#VALUE!</v>
      </c>
      <c r="AC940" s="29">
        <f t="shared" si="248"/>
        <v>883.3017077798861</v>
      </c>
      <c r="AD940" s="28" t="e">
        <f t="shared" si="249"/>
        <v>#VALUE!</v>
      </c>
      <c r="AE940" s="28" t="e">
        <f t="shared" si="250"/>
        <v>#N/A</v>
      </c>
      <c r="AF940" s="28" t="e">
        <f t="shared" si="251"/>
        <v>#VALUE!</v>
      </c>
      <c r="AH940" s="31" t="e">
        <f t="shared" si="252"/>
        <v>#N/A</v>
      </c>
      <c r="AI940" s="25"/>
      <c r="AJ940" s="31"/>
    </row>
    <row r="941" spans="2:36" x14ac:dyDescent="0.25">
      <c r="B941" s="33">
        <f>'Arbitrage Payback Engine'!E941</f>
        <v>25.530749212436653</v>
      </c>
      <c r="C941" s="33">
        <f t="shared" si="238"/>
        <v>1000</v>
      </c>
      <c r="D941" s="33">
        <f>'Battery Pricing Model'!$C$17</f>
        <v>1000</v>
      </c>
      <c r="E941" s="33">
        <f t="shared" si="239"/>
        <v>999</v>
      </c>
      <c r="F941" s="33" t="str">
        <f>'Peak Models'!$B$4</f>
        <v>Default</v>
      </c>
      <c r="G941" s="33" t="e">
        <f>'Peak Models'!$Q$7</f>
        <v>#VALUE!</v>
      </c>
      <c r="H941" s="33">
        <f>'Peak Models'!$P$16</f>
        <v>1.5</v>
      </c>
      <c r="I941" s="33">
        <v>12</v>
      </c>
      <c r="J941" s="33" t="e">
        <f>'Peak Models'!$P$13</f>
        <v>#N/A</v>
      </c>
      <c r="K941" s="28" t="e">
        <f t="shared" si="240"/>
        <v>#VALUE!</v>
      </c>
      <c r="L941" s="28" t="e">
        <f>INDEX('Peak Models'!$P$34:$P$64, MATCH(TRUNC(B941, 0), 'Peak Models'!$O$34:$O$64, 0))</f>
        <v>#N/A</v>
      </c>
      <c r="M941" s="28">
        <f>'Peak Models'!$P$15*INDEX('Peak Models'!$Q$34:$Q$64, MATCH(TRUNC(B941, 0),'Peak Models'!$O$34:$O$64, 0))/'Profit per cycles Model'!$E$78</f>
        <v>8.7244428156336635</v>
      </c>
      <c r="N941" s="28" t="e">
        <f t="shared" si="241"/>
        <v>#N/A</v>
      </c>
      <c r="O941" s="71" t="e">
        <f>AVERAGE($N$10:N941)</f>
        <v>#N/A</v>
      </c>
      <c r="P941" s="28" t="e">
        <f t="shared" si="242"/>
        <v>#N/A</v>
      </c>
      <c r="R941" s="28" t="e">
        <f t="shared" si="243"/>
        <v>#VALUE!</v>
      </c>
      <c r="S941" s="25"/>
      <c r="T941" s="25">
        <f t="shared" si="244"/>
        <v>15</v>
      </c>
      <c r="U941" s="33">
        <f>IF(PaybackCustom&gt;0, IF(PaybackCustom&lt;&gt;"Default", PaybackCustom, IF(PaybackStatus&lt;&gt;"",INDEX('Arbitrage Payback Engine'!$Y$2:$Y$6,MATCH(PaybackStatus,'Arbitrage Payback Engine'!$X$2:$X$6,FALSE)),-1)))</f>
        <v>25</v>
      </c>
      <c r="V941" s="32">
        <f t="shared" si="253"/>
        <v>15</v>
      </c>
      <c r="X941" s="29">
        <f t="shared" si="254"/>
        <v>932</v>
      </c>
      <c r="Z941" s="30">
        <f t="shared" si="245"/>
        <v>25.530749212436653</v>
      </c>
      <c r="AA941" s="28" t="e">
        <f t="shared" si="246"/>
        <v>#N/A</v>
      </c>
      <c r="AB941" s="28" t="e">
        <f t="shared" si="247"/>
        <v>#VALUE!</v>
      </c>
      <c r="AC941" s="29">
        <f t="shared" si="248"/>
        <v>884.25047438330182</v>
      </c>
      <c r="AD941" s="28" t="e">
        <f t="shared" si="249"/>
        <v>#VALUE!</v>
      </c>
      <c r="AE941" s="28" t="e">
        <f t="shared" si="250"/>
        <v>#N/A</v>
      </c>
      <c r="AF941" s="28" t="e">
        <f t="shared" si="251"/>
        <v>#VALUE!</v>
      </c>
      <c r="AH941" s="31" t="e">
        <f t="shared" si="252"/>
        <v>#N/A</v>
      </c>
      <c r="AI941" s="25"/>
      <c r="AJ941" s="31"/>
    </row>
    <row r="942" spans="2:36" x14ac:dyDescent="0.25">
      <c r="B942" s="33">
        <f>'Arbitrage Payback Engine'!E942</f>
        <v>25.558142720175319</v>
      </c>
      <c r="C942" s="33">
        <f t="shared" si="238"/>
        <v>1000</v>
      </c>
      <c r="D942" s="33">
        <f>'Battery Pricing Model'!$C$17</f>
        <v>1000</v>
      </c>
      <c r="E942" s="33">
        <f t="shared" si="239"/>
        <v>999</v>
      </c>
      <c r="F942" s="33" t="str">
        <f>'Peak Models'!$B$4</f>
        <v>Default</v>
      </c>
      <c r="G942" s="33" t="e">
        <f>'Peak Models'!$Q$7</f>
        <v>#VALUE!</v>
      </c>
      <c r="H942" s="33">
        <f>'Peak Models'!$P$16</f>
        <v>1.5</v>
      </c>
      <c r="I942" s="33">
        <v>12</v>
      </c>
      <c r="J942" s="33" t="e">
        <f>'Peak Models'!$P$13</f>
        <v>#N/A</v>
      </c>
      <c r="K942" s="28" t="e">
        <f t="shared" si="240"/>
        <v>#VALUE!</v>
      </c>
      <c r="L942" s="28" t="e">
        <f>INDEX('Peak Models'!$P$34:$P$64, MATCH(TRUNC(B942, 0), 'Peak Models'!$O$34:$O$64, 0))</f>
        <v>#N/A</v>
      </c>
      <c r="M942" s="28">
        <f>'Peak Models'!$P$15*INDEX('Peak Models'!$Q$34:$Q$64, MATCH(TRUNC(B942, 0),'Peak Models'!$O$34:$O$64, 0))/'Profit per cycles Model'!$E$78</f>
        <v>8.7244428156336635</v>
      </c>
      <c r="N942" s="28" t="e">
        <f t="shared" si="241"/>
        <v>#N/A</v>
      </c>
      <c r="O942" s="71" t="e">
        <f>AVERAGE($N$10:N942)</f>
        <v>#N/A</v>
      </c>
      <c r="P942" s="28" t="e">
        <f t="shared" si="242"/>
        <v>#N/A</v>
      </c>
      <c r="R942" s="28" t="e">
        <f t="shared" si="243"/>
        <v>#VALUE!</v>
      </c>
      <c r="S942" s="25"/>
      <c r="T942" s="25">
        <f t="shared" si="244"/>
        <v>15</v>
      </c>
      <c r="U942" s="33">
        <f>IF(PaybackCustom&gt;0, IF(PaybackCustom&lt;&gt;"Default", PaybackCustom, IF(PaybackStatus&lt;&gt;"",INDEX('Arbitrage Payback Engine'!$Y$2:$Y$6,MATCH(PaybackStatus,'Arbitrage Payback Engine'!$X$2:$X$6,FALSE)),-1)))</f>
        <v>25</v>
      </c>
      <c r="V942" s="32">
        <f t="shared" si="253"/>
        <v>15</v>
      </c>
      <c r="X942" s="29">
        <f t="shared" si="254"/>
        <v>933</v>
      </c>
      <c r="Z942" s="30">
        <f t="shared" si="245"/>
        <v>25.558142720175319</v>
      </c>
      <c r="AA942" s="28" t="e">
        <f t="shared" si="246"/>
        <v>#N/A</v>
      </c>
      <c r="AB942" s="28" t="e">
        <f t="shared" si="247"/>
        <v>#VALUE!</v>
      </c>
      <c r="AC942" s="29">
        <f t="shared" si="248"/>
        <v>885.19924098671731</v>
      </c>
      <c r="AD942" s="28" t="e">
        <f t="shared" si="249"/>
        <v>#VALUE!</v>
      </c>
      <c r="AE942" s="28" t="e">
        <f t="shared" si="250"/>
        <v>#N/A</v>
      </c>
      <c r="AF942" s="28" t="e">
        <f t="shared" si="251"/>
        <v>#VALUE!</v>
      </c>
      <c r="AH942" s="31" t="e">
        <f t="shared" si="252"/>
        <v>#N/A</v>
      </c>
      <c r="AI942" s="25"/>
      <c r="AJ942" s="31"/>
    </row>
    <row r="943" spans="2:36" x14ac:dyDescent="0.25">
      <c r="B943" s="33">
        <f>'Arbitrage Payback Engine'!E943</f>
        <v>25.585536227913984</v>
      </c>
      <c r="C943" s="33">
        <f t="shared" si="238"/>
        <v>1000</v>
      </c>
      <c r="D943" s="33">
        <f>'Battery Pricing Model'!$C$17</f>
        <v>1000</v>
      </c>
      <c r="E943" s="33">
        <f t="shared" si="239"/>
        <v>999</v>
      </c>
      <c r="F943" s="33" t="str">
        <f>'Peak Models'!$B$4</f>
        <v>Default</v>
      </c>
      <c r="G943" s="33" t="e">
        <f>'Peak Models'!$Q$7</f>
        <v>#VALUE!</v>
      </c>
      <c r="H943" s="33">
        <f>'Peak Models'!$P$16</f>
        <v>1.5</v>
      </c>
      <c r="I943" s="33">
        <v>12</v>
      </c>
      <c r="J943" s="33" t="e">
        <f>'Peak Models'!$P$13</f>
        <v>#N/A</v>
      </c>
      <c r="K943" s="28" t="e">
        <f t="shared" si="240"/>
        <v>#VALUE!</v>
      </c>
      <c r="L943" s="28" t="e">
        <f>INDEX('Peak Models'!$P$34:$P$64, MATCH(TRUNC(B943, 0), 'Peak Models'!$O$34:$O$64, 0))</f>
        <v>#N/A</v>
      </c>
      <c r="M943" s="28">
        <f>'Peak Models'!$P$15*INDEX('Peak Models'!$Q$34:$Q$64, MATCH(TRUNC(B943, 0),'Peak Models'!$O$34:$O$64, 0))/'Profit per cycles Model'!$E$78</f>
        <v>8.7244428156336635</v>
      </c>
      <c r="N943" s="28" t="e">
        <f t="shared" si="241"/>
        <v>#N/A</v>
      </c>
      <c r="O943" s="71" t="e">
        <f>AVERAGE($N$10:N943)</f>
        <v>#N/A</v>
      </c>
      <c r="P943" s="28" t="e">
        <f t="shared" si="242"/>
        <v>#N/A</v>
      </c>
      <c r="R943" s="28" t="e">
        <f t="shared" si="243"/>
        <v>#VALUE!</v>
      </c>
      <c r="S943" s="25"/>
      <c r="T943" s="25">
        <f t="shared" si="244"/>
        <v>15</v>
      </c>
      <c r="U943" s="33">
        <f>IF(PaybackCustom&gt;0, IF(PaybackCustom&lt;&gt;"Default", PaybackCustom, IF(PaybackStatus&lt;&gt;"",INDEX('Arbitrage Payback Engine'!$Y$2:$Y$6,MATCH(PaybackStatus,'Arbitrage Payback Engine'!$X$2:$X$6,FALSE)),-1)))</f>
        <v>25</v>
      </c>
      <c r="V943" s="32">
        <f t="shared" si="253"/>
        <v>15</v>
      </c>
      <c r="X943" s="29">
        <f t="shared" si="254"/>
        <v>934</v>
      </c>
      <c r="Z943" s="30">
        <f t="shared" si="245"/>
        <v>25.585536227913984</v>
      </c>
      <c r="AA943" s="28" t="e">
        <f t="shared" si="246"/>
        <v>#N/A</v>
      </c>
      <c r="AB943" s="28" t="e">
        <f t="shared" si="247"/>
        <v>#VALUE!</v>
      </c>
      <c r="AC943" s="29">
        <f t="shared" si="248"/>
        <v>886.14800759013292</v>
      </c>
      <c r="AD943" s="28" t="e">
        <f t="shared" si="249"/>
        <v>#VALUE!</v>
      </c>
      <c r="AE943" s="28" t="e">
        <f t="shared" si="250"/>
        <v>#N/A</v>
      </c>
      <c r="AF943" s="28" t="e">
        <f t="shared" si="251"/>
        <v>#VALUE!</v>
      </c>
      <c r="AH943" s="31" t="e">
        <f t="shared" si="252"/>
        <v>#N/A</v>
      </c>
      <c r="AI943" s="25"/>
      <c r="AJ943" s="31"/>
    </row>
    <row r="944" spans="2:36" x14ac:dyDescent="0.25">
      <c r="B944" s="33">
        <f>'Arbitrage Payback Engine'!E944</f>
        <v>25.612929735652649</v>
      </c>
      <c r="C944" s="33">
        <f t="shared" si="238"/>
        <v>1000</v>
      </c>
      <c r="D944" s="33">
        <f>'Battery Pricing Model'!$C$17</f>
        <v>1000</v>
      </c>
      <c r="E944" s="33">
        <f t="shared" si="239"/>
        <v>999</v>
      </c>
      <c r="F944" s="33" t="str">
        <f>'Peak Models'!$B$4</f>
        <v>Default</v>
      </c>
      <c r="G944" s="33" t="e">
        <f>'Peak Models'!$Q$7</f>
        <v>#VALUE!</v>
      </c>
      <c r="H944" s="33">
        <f>'Peak Models'!$P$16</f>
        <v>1.5</v>
      </c>
      <c r="I944" s="33">
        <v>12</v>
      </c>
      <c r="J944" s="33" t="e">
        <f>'Peak Models'!$P$13</f>
        <v>#N/A</v>
      </c>
      <c r="K944" s="28" t="e">
        <f t="shared" si="240"/>
        <v>#VALUE!</v>
      </c>
      <c r="L944" s="28" t="e">
        <f>INDEX('Peak Models'!$P$34:$P$64, MATCH(TRUNC(B944, 0), 'Peak Models'!$O$34:$O$64, 0))</f>
        <v>#N/A</v>
      </c>
      <c r="M944" s="28">
        <f>'Peak Models'!$P$15*INDEX('Peak Models'!$Q$34:$Q$64, MATCH(TRUNC(B944, 0),'Peak Models'!$O$34:$O$64, 0))/'Profit per cycles Model'!$E$78</f>
        <v>8.7244428156336635</v>
      </c>
      <c r="N944" s="28" t="e">
        <f t="shared" si="241"/>
        <v>#N/A</v>
      </c>
      <c r="O944" s="71" t="e">
        <f>AVERAGE($N$10:N944)</f>
        <v>#N/A</v>
      </c>
      <c r="P944" s="28" t="e">
        <f t="shared" si="242"/>
        <v>#N/A</v>
      </c>
      <c r="R944" s="28" t="e">
        <f t="shared" si="243"/>
        <v>#VALUE!</v>
      </c>
      <c r="S944" s="25"/>
      <c r="T944" s="25">
        <f t="shared" si="244"/>
        <v>15</v>
      </c>
      <c r="U944" s="33">
        <f>IF(PaybackCustom&gt;0, IF(PaybackCustom&lt;&gt;"Default", PaybackCustom, IF(PaybackStatus&lt;&gt;"",INDEX('Arbitrage Payback Engine'!$Y$2:$Y$6,MATCH(PaybackStatus,'Arbitrage Payback Engine'!$X$2:$X$6,FALSE)),-1)))</f>
        <v>25</v>
      </c>
      <c r="V944" s="32">
        <f t="shared" si="253"/>
        <v>15</v>
      </c>
      <c r="X944" s="29">
        <f t="shared" si="254"/>
        <v>935</v>
      </c>
      <c r="Z944" s="30">
        <f t="shared" si="245"/>
        <v>25.612929735652649</v>
      </c>
      <c r="AA944" s="28" t="e">
        <f t="shared" si="246"/>
        <v>#N/A</v>
      </c>
      <c r="AB944" s="28" t="e">
        <f t="shared" si="247"/>
        <v>#VALUE!</v>
      </c>
      <c r="AC944" s="29">
        <f t="shared" si="248"/>
        <v>887.0967741935483</v>
      </c>
      <c r="AD944" s="28" t="e">
        <f t="shared" si="249"/>
        <v>#VALUE!</v>
      </c>
      <c r="AE944" s="28" t="e">
        <f t="shared" si="250"/>
        <v>#N/A</v>
      </c>
      <c r="AF944" s="28" t="e">
        <f t="shared" si="251"/>
        <v>#VALUE!</v>
      </c>
      <c r="AH944" s="31" t="e">
        <f t="shared" si="252"/>
        <v>#N/A</v>
      </c>
      <c r="AI944" s="25"/>
      <c r="AJ944" s="31"/>
    </row>
    <row r="945" spans="2:36" x14ac:dyDescent="0.25">
      <c r="B945" s="33">
        <f>'Arbitrage Payback Engine'!E945</f>
        <v>25.640323243391315</v>
      </c>
      <c r="C945" s="33">
        <f t="shared" si="238"/>
        <v>1000</v>
      </c>
      <c r="D945" s="33">
        <f>'Battery Pricing Model'!$C$17</f>
        <v>1000</v>
      </c>
      <c r="E945" s="33">
        <f t="shared" si="239"/>
        <v>999</v>
      </c>
      <c r="F945" s="33" t="str">
        <f>'Peak Models'!$B$4</f>
        <v>Default</v>
      </c>
      <c r="G945" s="33" t="e">
        <f>'Peak Models'!$Q$7</f>
        <v>#VALUE!</v>
      </c>
      <c r="H945" s="33">
        <f>'Peak Models'!$P$16</f>
        <v>1.5</v>
      </c>
      <c r="I945" s="33">
        <v>12</v>
      </c>
      <c r="J945" s="33" t="e">
        <f>'Peak Models'!$P$13</f>
        <v>#N/A</v>
      </c>
      <c r="K945" s="28" t="e">
        <f t="shared" si="240"/>
        <v>#VALUE!</v>
      </c>
      <c r="L945" s="28" t="e">
        <f>INDEX('Peak Models'!$P$34:$P$64, MATCH(TRUNC(B945, 0), 'Peak Models'!$O$34:$O$64, 0))</f>
        <v>#N/A</v>
      </c>
      <c r="M945" s="28">
        <f>'Peak Models'!$P$15*INDEX('Peak Models'!$Q$34:$Q$64, MATCH(TRUNC(B945, 0),'Peak Models'!$O$34:$O$64, 0))/'Profit per cycles Model'!$E$78</f>
        <v>8.7244428156336635</v>
      </c>
      <c r="N945" s="28" t="e">
        <f t="shared" si="241"/>
        <v>#N/A</v>
      </c>
      <c r="O945" s="71" t="e">
        <f>AVERAGE($N$10:N945)</f>
        <v>#N/A</v>
      </c>
      <c r="P945" s="28" t="e">
        <f t="shared" si="242"/>
        <v>#N/A</v>
      </c>
      <c r="R945" s="28" t="e">
        <f t="shared" si="243"/>
        <v>#VALUE!</v>
      </c>
      <c r="S945" s="25"/>
      <c r="T945" s="25">
        <f t="shared" si="244"/>
        <v>15</v>
      </c>
      <c r="U945" s="33">
        <f>IF(PaybackCustom&gt;0, IF(PaybackCustom&lt;&gt;"Default", PaybackCustom, IF(PaybackStatus&lt;&gt;"",INDEX('Arbitrage Payback Engine'!$Y$2:$Y$6,MATCH(PaybackStatus,'Arbitrage Payback Engine'!$X$2:$X$6,FALSE)),-1)))</f>
        <v>25</v>
      </c>
      <c r="V945" s="32">
        <f t="shared" si="253"/>
        <v>15</v>
      </c>
      <c r="X945" s="29">
        <f t="shared" si="254"/>
        <v>936</v>
      </c>
      <c r="Z945" s="30">
        <f t="shared" si="245"/>
        <v>25.640323243391315</v>
      </c>
      <c r="AA945" s="28" t="e">
        <f t="shared" si="246"/>
        <v>#N/A</v>
      </c>
      <c r="AB945" s="28" t="e">
        <f t="shared" si="247"/>
        <v>#VALUE!</v>
      </c>
      <c r="AC945" s="29">
        <f t="shared" si="248"/>
        <v>888.04554079696391</v>
      </c>
      <c r="AD945" s="28" t="e">
        <f t="shared" si="249"/>
        <v>#VALUE!</v>
      </c>
      <c r="AE945" s="28" t="e">
        <f t="shared" si="250"/>
        <v>#N/A</v>
      </c>
      <c r="AF945" s="28" t="e">
        <f t="shared" si="251"/>
        <v>#VALUE!</v>
      </c>
      <c r="AH945" s="31" t="e">
        <f t="shared" si="252"/>
        <v>#N/A</v>
      </c>
      <c r="AI945" s="25"/>
      <c r="AJ945" s="31"/>
    </row>
    <row r="946" spans="2:36" x14ac:dyDescent="0.25">
      <c r="B946" s="33">
        <f>'Arbitrage Payback Engine'!E946</f>
        <v>25.66771675112998</v>
      </c>
      <c r="C946" s="33">
        <f t="shared" si="238"/>
        <v>1000</v>
      </c>
      <c r="D946" s="33">
        <f>'Battery Pricing Model'!$C$17</f>
        <v>1000</v>
      </c>
      <c r="E946" s="33">
        <f t="shared" si="239"/>
        <v>999</v>
      </c>
      <c r="F946" s="33" t="str">
        <f>'Peak Models'!$B$4</f>
        <v>Default</v>
      </c>
      <c r="G946" s="33" t="e">
        <f>'Peak Models'!$Q$7</f>
        <v>#VALUE!</v>
      </c>
      <c r="H946" s="33">
        <f>'Peak Models'!$P$16</f>
        <v>1.5</v>
      </c>
      <c r="I946" s="33">
        <v>12</v>
      </c>
      <c r="J946" s="33" t="e">
        <f>'Peak Models'!$P$13</f>
        <v>#N/A</v>
      </c>
      <c r="K946" s="28" t="e">
        <f t="shared" si="240"/>
        <v>#VALUE!</v>
      </c>
      <c r="L946" s="28" t="e">
        <f>INDEX('Peak Models'!$P$34:$P$64, MATCH(TRUNC(B946, 0), 'Peak Models'!$O$34:$O$64, 0))</f>
        <v>#N/A</v>
      </c>
      <c r="M946" s="28">
        <f>'Peak Models'!$P$15*INDEX('Peak Models'!$Q$34:$Q$64, MATCH(TRUNC(B946, 0),'Peak Models'!$O$34:$O$64, 0))/'Profit per cycles Model'!$E$78</f>
        <v>8.7244428156336635</v>
      </c>
      <c r="N946" s="28" t="e">
        <f t="shared" si="241"/>
        <v>#N/A</v>
      </c>
      <c r="O946" s="71" t="e">
        <f>AVERAGE($N$10:N946)</f>
        <v>#N/A</v>
      </c>
      <c r="P946" s="28" t="e">
        <f t="shared" si="242"/>
        <v>#N/A</v>
      </c>
      <c r="R946" s="28" t="e">
        <f t="shared" si="243"/>
        <v>#VALUE!</v>
      </c>
      <c r="S946" s="25"/>
      <c r="T946" s="25">
        <f t="shared" si="244"/>
        <v>15</v>
      </c>
      <c r="U946" s="33">
        <f>IF(PaybackCustom&gt;0, IF(PaybackCustom&lt;&gt;"Default", PaybackCustom, IF(PaybackStatus&lt;&gt;"",INDEX('Arbitrage Payback Engine'!$Y$2:$Y$6,MATCH(PaybackStatus,'Arbitrage Payback Engine'!$X$2:$X$6,FALSE)),-1)))</f>
        <v>25</v>
      </c>
      <c r="V946" s="32">
        <f t="shared" si="253"/>
        <v>15</v>
      </c>
      <c r="X946" s="29">
        <f t="shared" si="254"/>
        <v>937</v>
      </c>
      <c r="Z946" s="30">
        <f t="shared" si="245"/>
        <v>25.66771675112998</v>
      </c>
      <c r="AA946" s="28" t="e">
        <f t="shared" si="246"/>
        <v>#N/A</v>
      </c>
      <c r="AB946" s="28" t="e">
        <f t="shared" si="247"/>
        <v>#VALUE!</v>
      </c>
      <c r="AC946" s="29">
        <f t="shared" si="248"/>
        <v>888.99430740037951</v>
      </c>
      <c r="AD946" s="28" t="e">
        <f t="shared" si="249"/>
        <v>#VALUE!</v>
      </c>
      <c r="AE946" s="28" t="e">
        <f t="shared" si="250"/>
        <v>#N/A</v>
      </c>
      <c r="AF946" s="28" t="e">
        <f t="shared" si="251"/>
        <v>#VALUE!</v>
      </c>
      <c r="AH946" s="31" t="e">
        <f t="shared" si="252"/>
        <v>#N/A</v>
      </c>
      <c r="AI946" s="25"/>
      <c r="AJ946" s="31"/>
    </row>
    <row r="947" spans="2:36" x14ac:dyDescent="0.25">
      <c r="B947" s="33">
        <f>'Arbitrage Payback Engine'!E947</f>
        <v>25.695110258868649</v>
      </c>
      <c r="C947" s="33">
        <f t="shared" si="238"/>
        <v>1000</v>
      </c>
      <c r="D947" s="33">
        <f>'Battery Pricing Model'!$C$17</f>
        <v>1000</v>
      </c>
      <c r="E947" s="33">
        <f t="shared" si="239"/>
        <v>999</v>
      </c>
      <c r="F947" s="33" t="str">
        <f>'Peak Models'!$B$4</f>
        <v>Default</v>
      </c>
      <c r="G947" s="33" t="e">
        <f>'Peak Models'!$Q$7</f>
        <v>#VALUE!</v>
      </c>
      <c r="H947" s="33">
        <f>'Peak Models'!$P$16</f>
        <v>1.5</v>
      </c>
      <c r="I947" s="33">
        <v>12</v>
      </c>
      <c r="J947" s="33" t="e">
        <f>'Peak Models'!$P$13</f>
        <v>#N/A</v>
      </c>
      <c r="K947" s="28" t="e">
        <f t="shared" si="240"/>
        <v>#VALUE!</v>
      </c>
      <c r="L947" s="28" t="e">
        <f>INDEX('Peak Models'!$P$34:$P$64, MATCH(TRUNC(B947, 0), 'Peak Models'!$O$34:$O$64, 0))</f>
        <v>#N/A</v>
      </c>
      <c r="M947" s="28">
        <f>'Peak Models'!$P$15*INDEX('Peak Models'!$Q$34:$Q$64, MATCH(TRUNC(B947, 0),'Peak Models'!$O$34:$O$64, 0))/'Profit per cycles Model'!$E$78</f>
        <v>8.7244428156336635</v>
      </c>
      <c r="N947" s="28" t="e">
        <f t="shared" si="241"/>
        <v>#N/A</v>
      </c>
      <c r="O947" s="71" t="e">
        <f>AVERAGE($N$10:N947)</f>
        <v>#N/A</v>
      </c>
      <c r="P947" s="28" t="e">
        <f t="shared" si="242"/>
        <v>#N/A</v>
      </c>
      <c r="R947" s="28" t="e">
        <f t="shared" si="243"/>
        <v>#VALUE!</v>
      </c>
      <c r="S947" s="25"/>
      <c r="T947" s="25">
        <f t="shared" si="244"/>
        <v>15</v>
      </c>
      <c r="U947" s="33">
        <f>IF(PaybackCustom&gt;0, IF(PaybackCustom&lt;&gt;"Default", PaybackCustom, IF(PaybackStatus&lt;&gt;"",INDEX('Arbitrage Payback Engine'!$Y$2:$Y$6,MATCH(PaybackStatus,'Arbitrage Payback Engine'!$X$2:$X$6,FALSE)),-1)))</f>
        <v>25</v>
      </c>
      <c r="V947" s="32">
        <f t="shared" si="253"/>
        <v>15</v>
      </c>
      <c r="X947" s="29">
        <f t="shared" si="254"/>
        <v>938</v>
      </c>
      <c r="Z947" s="30">
        <f t="shared" si="245"/>
        <v>25.695110258868649</v>
      </c>
      <c r="AA947" s="28" t="e">
        <f t="shared" si="246"/>
        <v>#N/A</v>
      </c>
      <c r="AB947" s="28" t="e">
        <f t="shared" si="247"/>
        <v>#VALUE!</v>
      </c>
      <c r="AC947" s="29">
        <f t="shared" si="248"/>
        <v>889.94307400379512</v>
      </c>
      <c r="AD947" s="28" t="e">
        <f t="shared" si="249"/>
        <v>#VALUE!</v>
      </c>
      <c r="AE947" s="28" t="e">
        <f t="shared" si="250"/>
        <v>#N/A</v>
      </c>
      <c r="AF947" s="28" t="e">
        <f t="shared" si="251"/>
        <v>#VALUE!</v>
      </c>
      <c r="AH947" s="31" t="e">
        <f t="shared" si="252"/>
        <v>#N/A</v>
      </c>
      <c r="AI947" s="25"/>
      <c r="AJ947" s="31"/>
    </row>
    <row r="948" spans="2:36" x14ac:dyDescent="0.25">
      <c r="B948" s="33">
        <f>'Arbitrage Payback Engine'!E948</f>
        <v>25.722503766607314</v>
      </c>
      <c r="C948" s="33">
        <f t="shared" si="238"/>
        <v>1000</v>
      </c>
      <c r="D948" s="33">
        <f>'Battery Pricing Model'!$C$17</f>
        <v>1000</v>
      </c>
      <c r="E948" s="33">
        <f t="shared" si="239"/>
        <v>999</v>
      </c>
      <c r="F948" s="33" t="str">
        <f>'Peak Models'!$B$4</f>
        <v>Default</v>
      </c>
      <c r="G948" s="33" t="e">
        <f>'Peak Models'!$Q$7</f>
        <v>#VALUE!</v>
      </c>
      <c r="H948" s="33">
        <f>'Peak Models'!$P$16</f>
        <v>1.5</v>
      </c>
      <c r="I948" s="33">
        <v>12</v>
      </c>
      <c r="J948" s="33" t="e">
        <f>'Peak Models'!$P$13</f>
        <v>#N/A</v>
      </c>
      <c r="K948" s="28" t="e">
        <f t="shared" si="240"/>
        <v>#VALUE!</v>
      </c>
      <c r="L948" s="28" t="e">
        <f>INDEX('Peak Models'!$P$34:$P$64, MATCH(TRUNC(B948, 0), 'Peak Models'!$O$34:$O$64, 0))</f>
        <v>#N/A</v>
      </c>
      <c r="M948" s="28">
        <f>'Peak Models'!$P$15*INDEX('Peak Models'!$Q$34:$Q$64, MATCH(TRUNC(B948, 0),'Peak Models'!$O$34:$O$64, 0))/'Profit per cycles Model'!$E$78</f>
        <v>8.7244428156336635</v>
      </c>
      <c r="N948" s="28" t="e">
        <f t="shared" si="241"/>
        <v>#N/A</v>
      </c>
      <c r="O948" s="71" t="e">
        <f>AVERAGE($N$10:N948)</f>
        <v>#N/A</v>
      </c>
      <c r="P948" s="28" t="e">
        <f t="shared" si="242"/>
        <v>#N/A</v>
      </c>
      <c r="R948" s="28" t="e">
        <f t="shared" si="243"/>
        <v>#VALUE!</v>
      </c>
      <c r="S948" s="25"/>
      <c r="T948" s="25">
        <f t="shared" si="244"/>
        <v>15</v>
      </c>
      <c r="U948" s="33">
        <f>IF(PaybackCustom&gt;0, IF(PaybackCustom&lt;&gt;"Default", PaybackCustom, IF(PaybackStatus&lt;&gt;"",INDEX('Arbitrage Payback Engine'!$Y$2:$Y$6,MATCH(PaybackStatus,'Arbitrage Payback Engine'!$X$2:$X$6,FALSE)),-1)))</f>
        <v>25</v>
      </c>
      <c r="V948" s="32">
        <f t="shared" si="253"/>
        <v>15</v>
      </c>
      <c r="X948" s="29">
        <f t="shared" si="254"/>
        <v>939</v>
      </c>
      <c r="Z948" s="30">
        <f t="shared" si="245"/>
        <v>25.722503766607314</v>
      </c>
      <c r="AA948" s="28" t="e">
        <f t="shared" si="246"/>
        <v>#N/A</v>
      </c>
      <c r="AB948" s="28" t="e">
        <f t="shared" si="247"/>
        <v>#VALUE!</v>
      </c>
      <c r="AC948" s="29">
        <f t="shared" si="248"/>
        <v>890.89184060721072</v>
      </c>
      <c r="AD948" s="28" t="e">
        <f t="shared" si="249"/>
        <v>#VALUE!</v>
      </c>
      <c r="AE948" s="28" t="e">
        <f t="shared" si="250"/>
        <v>#N/A</v>
      </c>
      <c r="AF948" s="28" t="e">
        <f t="shared" si="251"/>
        <v>#VALUE!</v>
      </c>
      <c r="AH948" s="31" t="e">
        <f t="shared" si="252"/>
        <v>#N/A</v>
      </c>
      <c r="AI948" s="25"/>
      <c r="AJ948" s="31"/>
    </row>
    <row r="949" spans="2:36" x14ac:dyDescent="0.25">
      <c r="B949" s="33">
        <f>'Arbitrage Payback Engine'!E949</f>
        <v>25.74989727434598</v>
      </c>
      <c r="C949" s="33">
        <f t="shared" si="238"/>
        <v>1000</v>
      </c>
      <c r="D949" s="33">
        <f>'Battery Pricing Model'!$C$17</f>
        <v>1000</v>
      </c>
      <c r="E949" s="33">
        <f t="shared" si="239"/>
        <v>999</v>
      </c>
      <c r="F949" s="33" t="str">
        <f>'Peak Models'!$B$4</f>
        <v>Default</v>
      </c>
      <c r="G949" s="33" t="e">
        <f>'Peak Models'!$Q$7</f>
        <v>#VALUE!</v>
      </c>
      <c r="H949" s="33">
        <f>'Peak Models'!$P$16</f>
        <v>1.5</v>
      </c>
      <c r="I949" s="33">
        <v>12</v>
      </c>
      <c r="J949" s="33" t="e">
        <f>'Peak Models'!$P$13</f>
        <v>#N/A</v>
      </c>
      <c r="K949" s="28" t="e">
        <f t="shared" si="240"/>
        <v>#VALUE!</v>
      </c>
      <c r="L949" s="28" t="e">
        <f>INDEX('Peak Models'!$P$34:$P$64, MATCH(TRUNC(B949, 0), 'Peak Models'!$O$34:$O$64, 0))</f>
        <v>#N/A</v>
      </c>
      <c r="M949" s="28">
        <f>'Peak Models'!$P$15*INDEX('Peak Models'!$Q$34:$Q$64, MATCH(TRUNC(B949, 0),'Peak Models'!$O$34:$O$64, 0))/'Profit per cycles Model'!$E$78</f>
        <v>8.7244428156336635</v>
      </c>
      <c r="N949" s="28" t="e">
        <f t="shared" si="241"/>
        <v>#N/A</v>
      </c>
      <c r="O949" s="71" t="e">
        <f>AVERAGE($N$10:N949)</f>
        <v>#N/A</v>
      </c>
      <c r="P949" s="28" t="e">
        <f t="shared" si="242"/>
        <v>#N/A</v>
      </c>
      <c r="R949" s="28" t="e">
        <f t="shared" si="243"/>
        <v>#VALUE!</v>
      </c>
      <c r="S949" s="25"/>
      <c r="T949" s="25">
        <f t="shared" si="244"/>
        <v>15</v>
      </c>
      <c r="U949" s="33">
        <f>IF(PaybackCustom&gt;0, IF(PaybackCustom&lt;&gt;"Default", PaybackCustom, IF(PaybackStatus&lt;&gt;"",INDEX('Arbitrage Payback Engine'!$Y$2:$Y$6,MATCH(PaybackStatus,'Arbitrage Payback Engine'!$X$2:$X$6,FALSE)),-1)))</f>
        <v>25</v>
      </c>
      <c r="V949" s="32">
        <f t="shared" si="253"/>
        <v>15</v>
      </c>
      <c r="X949" s="29">
        <f t="shared" si="254"/>
        <v>940</v>
      </c>
      <c r="Z949" s="30">
        <f t="shared" si="245"/>
        <v>25.74989727434598</v>
      </c>
      <c r="AA949" s="28" t="e">
        <f t="shared" si="246"/>
        <v>#N/A</v>
      </c>
      <c r="AB949" s="28" t="e">
        <f t="shared" si="247"/>
        <v>#VALUE!</v>
      </c>
      <c r="AC949" s="29">
        <f t="shared" si="248"/>
        <v>891.84060721062622</v>
      </c>
      <c r="AD949" s="28" t="e">
        <f t="shared" si="249"/>
        <v>#VALUE!</v>
      </c>
      <c r="AE949" s="28" t="e">
        <f t="shared" si="250"/>
        <v>#N/A</v>
      </c>
      <c r="AF949" s="28" t="e">
        <f t="shared" si="251"/>
        <v>#VALUE!</v>
      </c>
      <c r="AH949" s="31" t="e">
        <f t="shared" si="252"/>
        <v>#N/A</v>
      </c>
      <c r="AI949" s="25"/>
      <c r="AJ949" s="31"/>
    </row>
    <row r="950" spans="2:36" x14ac:dyDescent="0.25">
      <c r="B950" s="33">
        <f>'Arbitrage Payback Engine'!E950</f>
        <v>25.777290782084645</v>
      </c>
      <c r="C950" s="33">
        <f t="shared" si="238"/>
        <v>1000</v>
      </c>
      <c r="D950" s="33">
        <f>'Battery Pricing Model'!$C$17</f>
        <v>1000</v>
      </c>
      <c r="E950" s="33">
        <f t="shared" si="239"/>
        <v>999</v>
      </c>
      <c r="F950" s="33" t="str">
        <f>'Peak Models'!$B$4</f>
        <v>Default</v>
      </c>
      <c r="G950" s="33" t="e">
        <f>'Peak Models'!$Q$7</f>
        <v>#VALUE!</v>
      </c>
      <c r="H950" s="33">
        <f>'Peak Models'!$P$16</f>
        <v>1.5</v>
      </c>
      <c r="I950" s="33">
        <v>12</v>
      </c>
      <c r="J950" s="33" t="e">
        <f>'Peak Models'!$P$13</f>
        <v>#N/A</v>
      </c>
      <c r="K950" s="28" t="e">
        <f t="shared" si="240"/>
        <v>#VALUE!</v>
      </c>
      <c r="L950" s="28" t="e">
        <f>INDEX('Peak Models'!$P$34:$P$64, MATCH(TRUNC(B950, 0), 'Peak Models'!$O$34:$O$64, 0))</f>
        <v>#N/A</v>
      </c>
      <c r="M950" s="28">
        <f>'Peak Models'!$P$15*INDEX('Peak Models'!$Q$34:$Q$64, MATCH(TRUNC(B950, 0),'Peak Models'!$O$34:$O$64, 0))/'Profit per cycles Model'!$E$78</f>
        <v>8.7244428156336635</v>
      </c>
      <c r="N950" s="28" t="e">
        <f t="shared" si="241"/>
        <v>#N/A</v>
      </c>
      <c r="O950" s="71" t="e">
        <f>AVERAGE($N$10:N950)</f>
        <v>#N/A</v>
      </c>
      <c r="P950" s="28" t="e">
        <f t="shared" si="242"/>
        <v>#N/A</v>
      </c>
      <c r="R950" s="28" t="e">
        <f t="shared" si="243"/>
        <v>#VALUE!</v>
      </c>
      <c r="S950" s="25"/>
      <c r="T950" s="25">
        <f t="shared" si="244"/>
        <v>15</v>
      </c>
      <c r="U950" s="33">
        <f>IF(PaybackCustom&gt;0, IF(PaybackCustom&lt;&gt;"Default", PaybackCustom, IF(PaybackStatus&lt;&gt;"",INDEX('Arbitrage Payback Engine'!$Y$2:$Y$6,MATCH(PaybackStatus,'Arbitrage Payback Engine'!$X$2:$X$6,FALSE)),-1)))</f>
        <v>25</v>
      </c>
      <c r="V950" s="32">
        <f t="shared" si="253"/>
        <v>15</v>
      </c>
      <c r="X950" s="29">
        <f t="shared" si="254"/>
        <v>941</v>
      </c>
      <c r="Z950" s="30">
        <f t="shared" si="245"/>
        <v>25.777290782084645</v>
      </c>
      <c r="AA950" s="28" t="e">
        <f t="shared" si="246"/>
        <v>#N/A</v>
      </c>
      <c r="AB950" s="28" t="e">
        <f t="shared" si="247"/>
        <v>#VALUE!</v>
      </c>
      <c r="AC950" s="29">
        <f t="shared" si="248"/>
        <v>892.78937381404171</v>
      </c>
      <c r="AD950" s="28" t="e">
        <f t="shared" si="249"/>
        <v>#VALUE!</v>
      </c>
      <c r="AE950" s="28" t="e">
        <f t="shared" si="250"/>
        <v>#N/A</v>
      </c>
      <c r="AF950" s="28" t="e">
        <f t="shared" si="251"/>
        <v>#VALUE!</v>
      </c>
      <c r="AH950" s="31" t="e">
        <f t="shared" si="252"/>
        <v>#N/A</v>
      </c>
      <c r="AI950" s="25"/>
      <c r="AJ950" s="31"/>
    </row>
    <row r="951" spans="2:36" x14ac:dyDescent="0.25">
      <c r="B951" s="33">
        <f>'Arbitrage Payback Engine'!E951</f>
        <v>25.80468428982331</v>
      </c>
      <c r="C951" s="33">
        <f t="shared" si="238"/>
        <v>1000</v>
      </c>
      <c r="D951" s="33">
        <f>'Battery Pricing Model'!$C$17</f>
        <v>1000</v>
      </c>
      <c r="E951" s="33">
        <f t="shared" si="239"/>
        <v>999</v>
      </c>
      <c r="F951" s="33" t="str">
        <f>'Peak Models'!$B$4</f>
        <v>Default</v>
      </c>
      <c r="G951" s="33" t="e">
        <f>'Peak Models'!$Q$7</f>
        <v>#VALUE!</v>
      </c>
      <c r="H951" s="33">
        <f>'Peak Models'!$P$16</f>
        <v>1.5</v>
      </c>
      <c r="I951" s="33">
        <v>12</v>
      </c>
      <c r="J951" s="33" t="e">
        <f>'Peak Models'!$P$13</f>
        <v>#N/A</v>
      </c>
      <c r="K951" s="28" t="e">
        <f t="shared" si="240"/>
        <v>#VALUE!</v>
      </c>
      <c r="L951" s="28" t="e">
        <f>INDEX('Peak Models'!$P$34:$P$64, MATCH(TRUNC(B951, 0), 'Peak Models'!$O$34:$O$64, 0))</f>
        <v>#N/A</v>
      </c>
      <c r="M951" s="28">
        <f>'Peak Models'!$P$15*INDEX('Peak Models'!$Q$34:$Q$64, MATCH(TRUNC(B951, 0),'Peak Models'!$O$34:$O$64, 0))/'Profit per cycles Model'!$E$78</f>
        <v>8.7244428156336635</v>
      </c>
      <c r="N951" s="28" t="e">
        <f t="shared" si="241"/>
        <v>#N/A</v>
      </c>
      <c r="O951" s="71" t="e">
        <f>AVERAGE($N$10:N951)</f>
        <v>#N/A</v>
      </c>
      <c r="P951" s="28" t="e">
        <f t="shared" si="242"/>
        <v>#N/A</v>
      </c>
      <c r="R951" s="28" t="e">
        <f t="shared" si="243"/>
        <v>#VALUE!</v>
      </c>
      <c r="S951" s="25"/>
      <c r="T951" s="25">
        <f t="shared" si="244"/>
        <v>15</v>
      </c>
      <c r="U951" s="33">
        <f>IF(PaybackCustom&gt;0, IF(PaybackCustom&lt;&gt;"Default", PaybackCustom, IF(PaybackStatus&lt;&gt;"",INDEX('Arbitrage Payback Engine'!$Y$2:$Y$6,MATCH(PaybackStatus,'Arbitrage Payback Engine'!$X$2:$X$6,FALSE)),-1)))</f>
        <v>25</v>
      </c>
      <c r="V951" s="32">
        <f t="shared" si="253"/>
        <v>15</v>
      </c>
      <c r="X951" s="29">
        <f t="shared" si="254"/>
        <v>942</v>
      </c>
      <c r="Z951" s="30">
        <f t="shared" si="245"/>
        <v>25.80468428982331</v>
      </c>
      <c r="AA951" s="28" t="e">
        <f t="shared" si="246"/>
        <v>#N/A</v>
      </c>
      <c r="AB951" s="28" t="e">
        <f t="shared" si="247"/>
        <v>#VALUE!</v>
      </c>
      <c r="AC951" s="29">
        <f t="shared" si="248"/>
        <v>893.73814041745732</v>
      </c>
      <c r="AD951" s="28" t="e">
        <f t="shared" si="249"/>
        <v>#VALUE!</v>
      </c>
      <c r="AE951" s="28" t="e">
        <f t="shared" si="250"/>
        <v>#N/A</v>
      </c>
      <c r="AF951" s="28" t="e">
        <f t="shared" si="251"/>
        <v>#VALUE!</v>
      </c>
      <c r="AH951" s="31" t="e">
        <f t="shared" si="252"/>
        <v>#N/A</v>
      </c>
      <c r="AI951" s="25"/>
      <c r="AJ951" s="31"/>
    </row>
    <row r="952" spans="2:36" x14ac:dyDescent="0.25">
      <c r="B952" s="33">
        <f>'Arbitrage Payback Engine'!E952</f>
        <v>25.832077797561976</v>
      </c>
      <c r="C952" s="33">
        <f t="shared" si="238"/>
        <v>1000</v>
      </c>
      <c r="D952" s="33">
        <f>'Battery Pricing Model'!$C$17</f>
        <v>1000</v>
      </c>
      <c r="E952" s="33">
        <f t="shared" si="239"/>
        <v>999</v>
      </c>
      <c r="F952" s="33" t="str">
        <f>'Peak Models'!$B$4</f>
        <v>Default</v>
      </c>
      <c r="G952" s="33" t="e">
        <f>'Peak Models'!$Q$7</f>
        <v>#VALUE!</v>
      </c>
      <c r="H952" s="33">
        <f>'Peak Models'!$P$16</f>
        <v>1.5</v>
      </c>
      <c r="I952" s="33">
        <v>12</v>
      </c>
      <c r="J952" s="33" t="e">
        <f>'Peak Models'!$P$13</f>
        <v>#N/A</v>
      </c>
      <c r="K952" s="28" t="e">
        <f t="shared" si="240"/>
        <v>#VALUE!</v>
      </c>
      <c r="L952" s="28" t="e">
        <f>INDEX('Peak Models'!$P$34:$P$64, MATCH(TRUNC(B952, 0), 'Peak Models'!$O$34:$O$64, 0))</f>
        <v>#N/A</v>
      </c>
      <c r="M952" s="28">
        <f>'Peak Models'!$P$15*INDEX('Peak Models'!$Q$34:$Q$64, MATCH(TRUNC(B952, 0),'Peak Models'!$O$34:$O$64, 0))/'Profit per cycles Model'!$E$78</f>
        <v>8.7244428156336635</v>
      </c>
      <c r="N952" s="28" t="e">
        <f t="shared" si="241"/>
        <v>#N/A</v>
      </c>
      <c r="O952" s="71" t="e">
        <f>AVERAGE($N$10:N952)</f>
        <v>#N/A</v>
      </c>
      <c r="P952" s="28" t="e">
        <f t="shared" si="242"/>
        <v>#N/A</v>
      </c>
      <c r="R952" s="28" t="e">
        <f t="shared" si="243"/>
        <v>#VALUE!</v>
      </c>
      <c r="S952" s="25"/>
      <c r="T952" s="25">
        <f t="shared" si="244"/>
        <v>15</v>
      </c>
      <c r="U952" s="33">
        <f>IF(PaybackCustom&gt;0, IF(PaybackCustom&lt;&gt;"Default", PaybackCustom, IF(PaybackStatus&lt;&gt;"",INDEX('Arbitrage Payback Engine'!$Y$2:$Y$6,MATCH(PaybackStatus,'Arbitrage Payback Engine'!$X$2:$X$6,FALSE)),-1)))</f>
        <v>25</v>
      </c>
      <c r="V952" s="32">
        <f t="shared" si="253"/>
        <v>15</v>
      </c>
      <c r="X952" s="29">
        <f t="shared" si="254"/>
        <v>943</v>
      </c>
      <c r="Z952" s="30">
        <f t="shared" si="245"/>
        <v>25.832077797561976</v>
      </c>
      <c r="AA952" s="28" t="e">
        <f t="shared" si="246"/>
        <v>#N/A</v>
      </c>
      <c r="AB952" s="28" t="e">
        <f t="shared" si="247"/>
        <v>#VALUE!</v>
      </c>
      <c r="AC952" s="29">
        <f t="shared" si="248"/>
        <v>894.68690702087281</v>
      </c>
      <c r="AD952" s="28" t="e">
        <f t="shared" si="249"/>
        <v>#VALUE!</v>
      </c>
      <c r="AE952" s="28" t="e">
        <f t="shared" si="250"/>
        <v>#N/A</v>
      </c>
      <c r="AF952" s="28" t="e">
        <f t="shared" si="251"/>
        <v>#VALUE!</v>
      </c>
      <c r="AH952" s="31" t="e">
        <f t="shared" si="252"/>
        <v>#N/A</v>
      </c>
      <c r="AI952" s="25"/>
      <c r="AJ952" s="31"/>
    </row>
    <row r="953" spans="2:36" x14ac:dyDescent="0.25">
      <c r="B953" s="33">
        <f>'Arbitrage Payback Engine'!E953</f>
        <v>25.859471305300644</v>
      </c>
      <c r="C953" s="33">
        <f t="shared" si="238"/>
        <v>1000</v>
      </c>
      <c r="D953" s="33">
        <f>'Battery Pricing Model'!$C$17</f>
        <v>1000</v>
      </c>
      <c r="E953" s="33">
        <f t="shared" si="239"/>
        <v>999</v>
      </c>
      <c r="F953" s="33" t="str">
        <f>'Peak Models'!$B$4</f>
        <v>Default</v>
      </c>
      <c r="G953" s="33" t="e">
        <f>'Peak Models'!$Q$7</f>
        <v>#VALUE!</v>
      </c>
      <c r="H953" s="33">
        <f>'Peak Models'!$P$16</f>
        <v>1.5</v>
      </c>
      <c r="I953" s="33">
        <v>12</v>
      </c>
      <c r="J953" s="33" t="e">
        <f>'Peak Models'!$P$13</f>
        <v>#N/A</v>
      </c>
      <c r="K953" s="28" t="e">
        <f t="shared" si="240"/>
        <v>#VALUE!</v>
      </c>
      <c r="L953" s="28" t="e">
        <f>INDEX('Peak Models'!$P$34:$P$64, MATCH(TRUNC(B953, 0), 'Peak Models'!$O$34:$O$64, 0))</f>
        <v>#N/A</v>
      </c>
      <c r="M953" s="28">
        <f>'Peak Models'!$P$15*INDEX('Peak Models'!$Q$34:$Q$64, MATCH(TRUNC(B953, 0),'Peak Models'!$O$34:$O$64, 0))/'Profit per cycles Model'!$E$78</f>
        <v>8.7244428156336635</v>
      </c>
      <c r="N953" s="28" t="e">
        <f t="shared" si="241"/>
        <v>#N/A</v>
      </c>
      <c r="O953" s="71" t="e">
        <f>AVERAGE($N$10:N953)</f>
        <v>#N/A</v>
      </c>
      <c r="P953" s="28" t="e">
        <f t="shared" si="242"/>
        <v>#N/A</v>
      </c>
      <c r="R953" s="28" t="e">
        <f t="shared" si="243"/>
        <v>#VALUE!</v>
      </c>
      <c r="S953" s="25"/>
      <c r="T953" s="25">
        <f t="shared" si="244"/>
        <v>15</v>
      </c>
      <c r="U953" s="33">
        <f>IF(PaybackCustom&gt;0, IF(PaybackCustom&lt;&gt;"Default", PaybackCustom, IF(PaybackStatus&lt;&gt;"",INDEX('Arbitrage Payback Engine'!$Y$2:$Y$6,MATCH(PaybackStatus,'Arbitrage Payback Engine'!$X$2:$X$6,FALSE)),-1)))</f>
        <v>25</v>
      </c>
      <c r="V953" s="32">
        <f t="shared" si="253"/>
        <v>15</v>
      </c>
      <c r="X953" s="29">
        <f t="shared" si="254"/>
        <v>944</v>
      </c>
      <c r="Z953" s="30">
        <f t="shared" si="245"/>
        <v>25.859471305300644</v>
      </c>
      <c r="AA953" s="28" t="e">
        <f t="shared" si="246"/>
        <v>#N/A</v>
      </c>
      <c r="AB953" s="28" t="e">
        <f t="shared" si="247"/>
        <v>#VALUE!</v>
      </c>
      <c r="AC953" s="29">
        <f t="shared" si="248"/>
        <v>895.63567362428853</v>
      </c>
      <c r="AD953" s="28" t="e">
        <f t="shared" si="249"/>
        <v>#VALUE!</v>
      </c>
      <c r="AE953" s="28" t="e">
        <f t="shared" si="250"/>
        <v>#N/A</v>
      </c>
      <c r="AF953" s="28" t="e">
        <f t="shared" si="251"/>
        <v>#VALUE!</v>
      </c>
      <c r="AH953" s="31" t="e">
        <f t="shared" si="252"/>
        <v>#N/A</v>
      </c>
      <c r="AI953" s="25"/>
      <c r="AJ953" s="31"/>
    </row>
    <row r="954" spans="2:36" x14ac:dyDescent="0.25">
      <c r="B954" s="33">
        <f>'Arbitrage Payback Engine'!E954</f>
        <v>25.88686481303931</v>
      </c>
      <c r="C954" s="33">
        <f t="shared" si="238"/>
        <v>1000</v>
      </c>
      <c r="D954" s="33">
        <f>'Battery Pricing Model'!$C$17</f>
        <v>1000</v>
      </c>
      <c r="E954" s="33">
        <f t="shared" si="239"/>
        <v>999</v>
      </c>
      <c r="F954" s="33" t="str">
        <f>'Peak Models'!$B$4</f>
        <v>Default</v>
      </c>
      <c r="G954" s="33" t="e">
        <f>'Peak Models'!$Q$7</f>
        <v>#VALUE!</v>
      </c>
      <c r="H954" s="33">
        <f>'Peak Models'!$P$16</f>
        <v>1.5</v>
      </c>
      <c r="I954" s="33">
        <v>12</v>
      </c>
      <c r="J954" s="33" t="e">
        <f>'Peak Models'!$P$13</f>
        <v>#N/A</v>
      </c>
      <c r="K954" s="28" t="e">
        <f t="shared" si="240"/>
        <v>#VALUE!</v>
      </c>
      <c r="L954" s="28" t="e">
        <f>INDEX('Peak Models'!$P$34:$P$64, MATCH(TRUNC(B954, 0), 'Peak Models'!$O$34:$O$64, 0))</f>
        <v>#N/A</v>
      </c>
      <c r="M954" s="28">
        <f>'Peak Models'!$P$15*INDEX('Peak Models'!$Q$34:$Q$64, MATCH(TRUNC(B954, 0),'Peak Models'!$O$34:$O$64, 0))/'Profit per cycles Model'!$E$78</f>
        <v>8.7244428156336635</v>
      </c>
      <c r="N954" s="28" t="e">
        <f t="shared" si="241"/>
        <v>#N/A</v>
      </c>
      <c r="O954" s="71" t="e">
        <f>AVERAGE($N$10:N954)</f>
        <v>#N/A</v>
      </c>
      <c r="P954" s="28" t="e">
        <f t="shared" si="242"/>
        <v>#N/A</v>
      </c>
      <c r="R954" s="28" t="e">
        <f t="shared" si="243"/>
        <v>#VALUE!</v>
      </c>
      <c r="S954" s="25"/>
      <c r="T954" s="25">
        <f t="shared" si="244"/>
        <v>15</v>
      </c>
      <c r="U954" s="33">
        <f>IF(PaybackCustom&gt;0, IF(PaybackCustom&lt;&gt;"Default", PaybackCustom, IF(PaybackStatus&lt;&gt;"",INDEX('Arbitrage Payback Engine'!$Y$2:$Y$6,MATCH(PaybackStatus,'Arbitrage Payback Engine'!$X$2:$X$6,FALSE)),-1)))</f>
        <v>25</v>
      </c>
      <c r="V954" s="32">
        <f t="shared" si="253"/>
        <v>15</v>
      </c>
      <c r="X954" s="29">
        <f t="shared" si="254"/>
        <v>945</v>
      </c>
      <c r="Z954" s="30">
        <f t="shared" si="245"/>
        <v>25.88686481303931</v>
      </c>
      <c r="AA954" s="28" t="e">
        <f t="shared" si="246"/>
        <v>#N/A</v>
      </c>
      <c r="AB954" s="28" t="e">
        <f t="shared" si="247"/>
        <v>#VALUE!</v>
      </c>
      <c r="AC954" s="29">
        <f t="shared" si="248"/>
        <v>896.58444022770402</v>
      </c>
      <c r="AD954" s="28" t="e">
        <f t="shared" si="249"/>
        <v>#VALUE!</v>
      </c>
      <c r="AE954" s="28" t="e">
        <f t="shared" si="250"/>
        <v>#N/A</v>
      </c>
      <c r="AF954" s="28" t="e">
        <f t="shared" si="251"/>
        <v>#VALUE!</v>
      </c>
      <c r="AH954" s="31" t="e">
        <f t="shared" si="252"/>
        <v>#N/A</v>
      </c>
      <c r="AI954" s="25"/>
      <c r="AJ954" s="31"/>
    </row>
    <row r="955" spans="2:36" x14ac:dyDescent="0.25">
      <c r="B955" s="33">
        <f>'Arbitrage Payback Engine'!E955</f>
        <v>25.914258320777975</v>
      </c>
      <c r="C955" s="33">
        <f t="shared" si="238"/>
        <v>1000</v>
      </c>
      <c r="D955" s="33">
        <f>'Battery Pricing Model'!$C$17</f>
        <v>1000</v>
      </c>
      <c r="E955" s="33">
        <f t="shared" si="239"/>
        <v>999</v>
      </c>
      <c r="F955" s="33" t="str">
        <f>'Peak Models'!$B$4</f>
        <v>Default</v>
      </c>
      <c r="G955" s="33" t="e">
        <f>'Peak Models'!$Q$7</f>
        <v>#VALUE!</v>
      </c>
      <c r="H955" s="33">
        <f>'Peak Models'!$P$16</f>
        <v>1.5</v>
      </c>
      <c r="I955" s="33">
        <v>12</v>
      </c>
      <c r="J955" s="33" t="e">
        <f>'Peak Models'!$P$13</f>
        <v>#N/A</v>
      </c>
      <c r="K955" s="28" t="e">
        <f t="shared" si="240"/>
        <v>#VALUE!</v>
      </c>
      <c r="L955" s="28" t="e">
        <f>INDEX('Peak Models'!$P$34:$P$64, MATCH(TRUNC(B955, 0), 'Peak Models'!$O$34:$O$64, 0))</f>
        <v>#N/A</v>
      </c>
      <c r="M955" s="28">
        <f>'Peak Models'!$P$15*INDEX('Peak Models'!$Q$34:$Q$64, MATCH(TRUNC(B955, 0),'Peak Models'!$O$34:$O$64, 0))/'Profit per cycles Model'!$E$78</f>
        <v>8.7244428156336635</v>
      </c>
      <c r="N955" s="28" t="e">
        <f t="shared" si="241"/>
        <v>#N/A</v>
      </c>
      <c r="O955" s="71" t="e">
        <f>AVERAGE($N$10:N955)</f>
        <v>#N/A</v>
      </c>
      <c r="P955" s="28" t="e">
        <f t="shared" si="242"/>
        <v>#N/A</v>
      </c>
      <c r="R955" s="28" t="e">
        <f t="shared" si="243"/>
        <v>#VALUE!</v>
      </c>
      <c r="S955" s="25"/>
      <c r="T955" s="25">
        <f t="shared" si="244"/>
        <v>15</v>
      </c>
      <c r="U955" s="33">
        <f>IF(PaybackCustom&gt;0, IF(PaybackCustom&lt;&gt;"Default", PaybackCustom, IF(PaybackStatus&lt;&gt;"",INDEX('Arbitrage Payback Engine'!$Y$2:$Y$6,MATCH(PaybackStatus,'Arbitrage Payback Engine'!$X$2:$X$6,FALSE)),-1)))</f>
        <v>25</v>
      </c>
      <c r="V955" s="32">
        <f t="shared" si="253"/>
        <v>15</v>
      </c>
      <c r="X955" s="29">
        <f t="shared" si="254"/>
        <v>946</v>
      </c>
      <c r="Z955" s="30">
        <f t="shared" si="245"/>
        <v>25.914258320777975</v>
      </c>
      <c r="AA955" s="28" t="e">
        <f t="shared" si="246"/>
        <v>#N/A</v>
      </c>
      <c r="AB955" s="28" t="e">
        <f t="shared" si="247"/>
        <v>#VALUE!</v>
      </c>
      <c r="AC955" s="29">
        <f t="shared" si="248"/>
        <v>897.53320683111963</v>
      </c>
      <c r="AD955" s="28" t="e">
        <f t="shared" si="249"/>
        <v>#VALUE!</v>
      </c>
      <c r="AE955" s="28" t="e">
        <f t="shared" si="250"/>
        <v>#N/A</v>
      </c>
      <c r="AF955" s="28" t="e">
        <f t="shared" si="251"/>
        <v>#VALUE!</v>
      </c>
      <c r="AH955" s="31" t="e">
        <f t="shared" si="252"/>
        <v>#N/A</v>
      </c>
      <c r="AI955" s="25"/>
      <c r="AJ955" s="31"/>
    </row>
    <row r="956" spans="2:36" x14ac:dyDescent="0.25">
      <c r="B956" s="33">
        <f>'Arbitrage Payback Engine'!E956</f>
        <v>25.94165182851664</v>
      </c>
      <c r="C956" s="33">
        <f t="shared" si="238"/>
        <v>1000</v>
      </c>
      <c r="D956" s="33">
        <f>'Battery Pricing Model'!$C$17</f>
        <v>1000</v>
      </c>
      <c r="E956" s="33">
        <f t="shared" si="239"/>
        <v>999</v>
      </c>
      <c r="F956" s="33" t="str">
        <f>'Peak Models'!$B$4</f>
        <v>Default</v>
      </c>
      <c r="G956" s="33" t="e">
        <f>'Peak Models'!$Q$7</f>
        <v>#VALUE!</v>
      </c>
      <c r="H956" s="33">
        <f>'Peak Models'!$P$16</f>
        <v>1.5</v>
      </c>
      <c r="I956" s="33">
        <v>12</v>
      </c>
      <c r="J956" s="33" t="e">
        <f>'Peak Models'!$P$13</f>
        <v>#N/A</v>
      </c>
      <c r="K956" s="28" t="e">
        <f t="shared" si="240"/>
        <v>#VALUE!</v>
      </c>
      <c r="L956" s="28" t="e">
        <f>INDEX('Peak Models'!$P$34:$P$64, MATCH(TRUNC(B956, 0), 'Peak Models'!$O$34:$O$64, 0))</f>
        <v>#N/A</v>
      </c>
      <c r="M956" s="28">
        <f>'Peak Models'!$P$15*INDEX('Peak Models'!$Q$34:$Q$64, MATCH(TRUNC(B956, 0),'Peak Models'!$O$34:$O$64, 0))/'Profit per cycles Model'!$E$78</f>
        <v>8.7244428156336635</v>
      </c>
      <c r="N956" s="28" t="e">
        <f t="shared" si="241"/>
        <v>#N/A</v>
      </c>
      <c r="O956" s="71" t="e">
        <f>AVERAGE($N$10:N956)</f>
        <v>#N/A</v>
      </c>
      <c r="P956" s="28" t="e">
        <f t="shared" si="242"/>
        <v>#N/A</v>
      </c>
      <c r="R956" s="28" t="e">
        <f t="shared" si="243"/>
        <v>#VALUE!</v>
      </c>
      <c r="S956" s="25"/>
      <c r="T956" s="25">
        <f t="shared" si="244"/>
        <v>15</v>
      </c>
      <c r="U956" s="33">
        <f>IF(PaybackCustom&gt;0, IF(PaybackCustom&lt;&gt;"Default", PaybackCustom, IF(PaybackStatus&lt;&gt;"",INDEX('Arbitrage Payback Engine'!$Y$2:$Y$6,MATCH(PaybackStatus,'Arbitrage Payback Engine'!$X$2:$X$6,FALSE)),-1)))</f>
        <v>25</v>
      </c>
      <c r="V956" s="32">
        <f t="shared" si="253"/>
        <v>15</v>
      </c>
      <c r="X956" s="29">
        <f t="shared" si="254"/>
        <v>947</v>
      </c>
      <c r="Z956" s="30">
        <f t="shared" si="245"/>
        <v>25.94165182851664</v>
      </c>
      <c r="AA956" s="28" t="e">
        <f t="shared" si="246"/>
        <v>#N/A</v>
      </c>
      <c r="AB956" s="28" t="e">
        <f t="shared" si="247"/>
        <v>#VALUE!</v>
      </c>
      <c r="AC956" s="29">
        <f t="shared" si="248"/>
        <v>898.48197343453512</v>
      </c>
      <c r="AD956" s="28" t="e">
        <f t="shared" si="249"/>
        <v>#VALUE!</v>
      </c>
      <c r="AE956" s="28" t="e">
        <f t="shared" si="250"/>
        <v>#N/A</v>
      </c>
      <c r="AF956" s="28" t="e">
        <f t="shared" si="251"/>
        <v>#VALUE!</v>
      </c>
      <c r="AH956" s="31" t="e">
        <f t="shared" si="252"/>
        <v>#N/A</v>
      </c>
      <c r="AI956" s="25"/>
      <c r="AJ956" s="31"/>
    </row>
    <row r="957" spans="2:36" x14ac:dyDescent="0.25">
      <c r="B957" s="33">
        <f>'Arbitrage Payback Engine'!E957</f>
        <v>25.969045336255306</v>
      </c>
      <c r="C957" s="33">
        <f t="shared" si="238"/>
        <v>1000</v>
      </c>
      <c r="D957" s="33">
        <f>'Battery Pricing Model'!$C$17</f>
        <v>1000</v>
      </c>
      <c r="E957" s="33">
        <f t="shared" si="239"/>
        <v>999</v>
      </c>
      <c r="F957" s="33" t="str">
        <f>'Peak Models'!$B$4</f>
        <v>Default</v>
      </c>
      <c r="G957" s="33" t="e">
        <f>'Peak Models'!$Q$7</f>
        <v>#VALUE!</v>
      </c>
      <c r="H957" s="33">
        <f>'Peak Models'!$P$16</f>
        <v>1.5</v>
      </c>
      <c r="I957" s="33">
        <v>12</v>
      </c>
      <c r="J957" s="33" t="e">
        <f>'Peak Models'!$P$13</f>
        <v>#N/A</v>
      </c>
      <c r="K957" s="28" t="e">
        <f t="shared" si="240"/>
        <v>#VALUE!</v>
      </c>
      <c r="L957" s="28" t="e">
        <f>INDEX('Peak Models'!$P$34:$P$64, MATCH(TRUNC(B957, 0), 'Peak Models'!$O$34:$O$64, 0))</f>
        <v>#N/A</v>
      </c>
      <c r="M957" s="28">
        <f>'Peak Models'!$P$15*INDEX('Peak Models'!$Q$34:$Q$64, MATCH(TRUNC(B957, 0),'Peak Models'!$O$34:$O$64, 0))/'Profit per cycles Model'!$E$78</f>
        <v>8.7244428156336635</v>
      </c>
      <c r="N957" s="28" t="e">
        <f t="shared" si="241"/>
        <v>#N/A</v>
      </c>
      <c r="O957" s="71" t="e">
        <f>AVERAGE($N$10:N957)</f>
        <v>#N/A</v>
      </c>
      <c r="P957" s="28" t="e">
        <f t="shared" si="242"/>
        <v>#N/A</v>
      </c>
      <c r="R957" s="28" t="e">
        <f t="shared" si="243"/>
        <v>#VALUE!</v>
      </c>
      <c r="S957" s="25"/>
      <c r="T957" s="25">
        <f t="shared" si="244"/>
        <v>15</v>
      </c>
      <c r="U957" s="33">
        <f>IF(PaybackCustom&gt;0, IF(PaybackCustom&lt;&gt;"Default", PaybackCustom, IF(PaybackStatus&lt;&gt;"",INDEX('Arbitrage Payback Engine'!$Y$2:$Y$6,MATCH(PaybackStatus,'Arbitrage Payback Engine'!$X$2:$X$6,FALSE)),-1)))</f>
        <v>25</v>
      </c>
      <c r="V957" s="32">
        <f t="shared" si="253"/>
        <v>15</v>
      </c>
      <c r="X957" s="29">
        <f t="shared" si="254"/>
        <v>948</v>
      </c>
      <c r="Z957" s="30">
        <f t="shared" si="245"/>
        <v>25.969045336255306</v>
      </c>
      <c r="AA957" s="28" t="e">
        <f t="shared" si="246"/>
        <v>#N/A</v>
      </c>
      <c r="AB957" s="28" t="e">
        <f t="shared" si="247"/>
        <v>#VALUE!</v>
      </c>
      <c r="AC957" s="29">
        <f t="shared" si="248"/>
        <v>899.43074003795061</v>
      </c>
      <c r="AD957" s="28" t="e">
        <f t="shared" si="249"/>
        <v>#VALUE!</v>
      </c>
      <c r="AE957" s="28" t="e">
        <f t="shared" si="250"/>
        <v>#N/A</v>
      </c>
      <c r="AF957" s="28" t="e">
        <f t="shared" si="251"/>
        <v>#VALUE!</v>
      </c>
      <c r="AH957" s="31" t="e">
        <f t="shared" si="252"/>
        <v>#N/A</v>
      </c>
      <c r="AI957" s="25"/>
      <c r="AJ957" s="31"/>
    </row>
    <row r="958" spans="2:36" x14ac:dyDescent="0.25">
      <c r="B958" s="33">
        <f>'Arbitrage Payback Engine'!E958</f>
        <v>25.996438843993971</v>
      </c>
      <c r="C958" s="33">
        <f t="shared" si="238"/>
        <v>1000</v>
      </c>
      <c r="D958" s="33">
        <f>'Battery Pricing Model'!$C$17</f>
        <v>1000</v>
      </c>
      <c r="E958" s="33">
        <f t="shared" si="239"/>
        <v>999</v>
      </c>
      <c r="F958" s="33" t="str">
        <f>'Peak Models'!$B$4</f>
        <v>Default</v>
      </c>
      <c r="G958" s="33" t="e">
        <f>'Peak Models'!$Q$7</f>
        <v>#VALUE!</v>
      </c>
      <c r="H958" s="33">
        <f>'Peak Models'!$P$16</f>
        <v>1.5</v>
      </c>
      <c r="I958" s="33">
        <v>12</v>
      </c>
      <c r="J958" s="33" t="e">
        <f>'Peak Models'!$P$13</f>
        <v>#N/A</v>
      </c>
      <c r="K958" s="28" t="e">
        <f t="shared" si="240"/>
        <v>#VALUE!</v>
      </c>
      <c r="L958" s="28" t="e">
        <f>INDEX('Peak Models'!$P$34:$P$64, MATCH(TRUNC(B958, 0), 'Peak Models'!$O$34:$O$64, 0))</f>
        <v>#N/A</v>
      </c>
      <c r="M958" s="28">
        <f>'Peak Models'!$P$15*INDEX('Peak Models'!$Q$34:$Q$64, MATCH(TRUNC(B958, 0),'Peak Models'!$O$34:$O$64, 0))/'Profit per cycles Model'!$E$78</f>
        <v>8.7244428156336635</v>
      </c>
      <c r="N958" s="28" t="e">
        <f t="shared" si="241"/>
        <v>#N/A</v>
      </c>
      <c r="O958" s="71" t="e">
        <f>AVERAGE($N$10:N958)</f>
        <v>#N/A</v>
      </c>
      <c r="P958" s="28" t="e">
        <f t="shared" si="242"/>
        <v>#N/A</v>
      </c>
      <c r="R958" s="28" t="e">
        <f t="shared" si="243"/>
        <v>#VALUE!</v>
      </c>
      <c r="S958" s="25"/>
      <c r="T958" s="25">
        <f t="shared" si="244"/>
        <v>15</v>
      </c>
      <c r="U958" s="33">
        <f>IF(PaybackCustom&gt;0, IF(PaybackCustom&lt;&gt;"Default", PaybackCustom, IF(PaybackStatus&lt;&gt;"",INDEX('Arbitrage Payback Engine'!$Y$2:$Y$6,MATCH(PaybackStatus,'Arbitrage Payback Engine'!$X$2:$X$6,FALSE)),-1)))</f>
        <v>25</v>
      </c>
      <c r="V958" s="32">
        <f t="shared" si="253"/>
        <v>15</v>
      </c>
      <c r="X958" s="29">
        <f t="shared" si="254"/>
        <v>949</v>
      </c>
      <c r="Z958" s="30">
        <f t="shared" si="245"/>
        <v>25.996438843993971</v>
      </c>
      <c r="AA958" s="28" t="e">
        <f t="shared" si="246"/>
        <v>#N/A</v>
      </c>
      <c r="AB958" s="28" t="e">
        <f t="shared" si="247"/>
        <v>#VALUE!</v>
      </c>
      <c r="AC958" s="29">
        <f t="shared" si="248"/>
        <v>900.37950664136622</v>
      </c>
      <c r="AD958" s="28" t="e">
        <f t="shared" si="249"/>
        <v>#VALUE!</v>
      </c>
      <c r="AE958" s="28" t="e">
        <f t="shared" si="250"/>
        <v>#N/A</v>
      </c>
      <c r="AF958" s="28" t="e">
        <f t="shared" si="251"/>
        <v>#VALUE!</v>
      </c>
      <c r="AH958" s="31" t="e">
        <f t="shared" si="252"/>
        <v>#N/A</v>
      </c>
      <c r="AI958" s="25"/>
      <c r="AJ958" s="31"/>
    </row>
    <row r="959" spans="2:36" x14ac:dyDescent="0.25">
      <c r="B959" s="33">
        <f>'Arbitrage Payback Engine'!E959</f>
        <v>26.02383235173264</v>
      </c>
      <c r="C959" s="33">
        <f t="shared" si="238"/>
        <v>1000</v>
      </c>
      <c r="D959" s="33">
        <f>'Battery Pricing Model'!$C$17</f>
        <v>1000</v>
      </c>
      <c r="E959" s="33">
        <f t="shared" si="239"/>
        <v>999</v>
      </c>
      <c r="F959" s="33" t="str">
        <f>'Peak Models'!$B$4</f>
        <v>Default</v>
      </c>
      <c r="G959" s="33" t="e">
        <f>'Peak Models'!$Q$7</f>
        <v>#VALUE!</v>
      </c>
      <c r="H959" s="33">
        <f>'Peak Models'!$P$16</f>
        <v>1.5</v>
      </c>
      <c r="I959" s="33">
        <v>12</v>
      </c>
      <c r="J959" s="33" t="e">
        <f>'Peak Models'!$P$13</f>
        <v>#N/A</v>
      </c>
      <c r="K959" s="28" t="e">
        <f t="shared" si="240"/>
        <v>#VALUE!</v>
      </c>
      <c r="L959" s="28" t="e">
        <f>INDEX('Peak Models'!$P$34:$P$64, MATCH(TRUNC(B959, 0), 'Peak Models'!$O$34:$O$64, 0))</f>
        <v>#N/A</v>
      </c>
      <c r="M959" s="28">
        <f>'Peak Models'!$P$15*INDEX('Peak Models'!$Q$34:$Q$64, MATCH(TRUNC(B959, 0),'Peak Models'!$O$34:$O$64, 0))/'Profit per cycles Model'!$E$78</f>
        <v>8.9425538860245055</v>
      </c>
      <c r="N959" s="28" t="e">
        <f t="shared" si="241"/>
        <v>#N/A</v>
      </c>
      <c r="O959" s="71" t="e">
        <f>AVERAGE($N$10:N959)</f>
        <v>#N/A</v>
      </c>
      <c r="P959" s="28" t="e">
        <f t="shared" si="242"/>
        <v>#N/A</v>
      </c>
      <c r="R959" s="28" t="e">
        <f t="shared" si="243"/>
        <v>#VALUE!</v>
      </c>
      <c r="S959" s="25"/>
      <c r="T959" s="25">
        <f t="shared" si="244"/>
        <v>15</v>
      </c>
      <c r="U959" s="33">
        <f>IF(PaybackCustom&gt;0, IF(PaybackCustom&lt;&gt;"Default", PaybackCustom, IF(PaybackStatus&lt;&gt;"",INDEX('Arbitrage Payback Engine'!$Y$2:$Y$6,MATCH(PaybackStatus,'Arbitrage Payback Engine'!$X$2:$X$6,FALSE)),-1)))</f>
        <v>25</v>
      </c>
      <c r="V959" s="32">
        <f t="shared" si="253"/>
        <v>15</v>
      </c>
      <c r="X959" s="29">
        <f t="shared" si="254"/>
        <v>950</v>
      </c>
      <c r="Z959" s="30">
        <f t="shared" si="245"/>
        <v>26.02383235173264</v>
      </c>
      <c r="AA959" s="28" t="e">
        <f t="shared" si="246"/>
        <v>#N/A</v>
      </c>
      <c r="AB959" s="28" t="e">
        <f t="shared" si="247"/>
        <v>#VALUE!</v>
      </c>
      <c r="AC959" s="29">
        <f t="shared" si="248"/>
        <v>901.32827324478183</v>
      </c>
      <c r="AD959" s="28" t="e">
        <f t="shared" si="249"/>
        <v>#VALUE!</v>
      </c>
      <c r="AE959" s="28" t="e">
        <f t="shared" si="250"/>
        <v>#N/A</v>
      </c>
      <c r="AF959" s="28" t="e">
        <f t="shared" si="251"/>
        <v>#VALUE!</v>
      </c>
      <c r="AH959" s="31" t="e">
        <f t="shared" si="252"/>
        <v>#N/A</v>
      </c>
      <c r="AI959" s="25"/>
      <c r="AJ959" s="31"/>
    </row>
    <row r="960" spans="2:36" x14ac:dyDescent="0.25">
      <c r="B960" s="33">
        <f>'Arbitrage Payback Engine'!E960</f>
        <v>26.051225859471305</v>
      </c>
      <c r="C960" s="33">
        <f t="shared" si="238"/>
        <v>1000</v>
      </c>
      <c r="D960" s="33">
        <f>'Battery Pricing Model'!$C$17</f>
        <v>1000</v>
      </c>
      <c r="E960" s="33">
        <f t="shared" si="239"/>
        <v>999</v>
      </c>
      <c r="F960" s="33" t="str">
        <f>'Peak Models'!$B$4</f>
        <v>Default</v>
      </c>
      <c r="G960" s="33" t="e">
        <f>'Peak Models'!$Q$7</f>
        <v>#VALUE!</v>
      </c>
      <c r="H960" s="33">
        <f>'Peak Models'!$P$16</f>
        <v>1.5</v>
      </c>
      <c r="I960" s="33">
        <v>12</v>
      </c>
      <c r="J960" s="33" t="e">
        <f>'Peak Models'!$P$13</f>
        <v>#N/A</v>
      </c>
      <c r="K960" s="28" t="e">
        <f t="shared" si="240"/>
        <v>#VALUE!</v>
      </c>
      <c r="L960" s="28" t="e">
        <f>INDEX('Peak Models'!$P$34:$P$64, MATCH(TRUNC(B960, 0), 'Peak Models'!$O$34:$O$64, 0))</f>
        <v>#N/A</v>
      </c>
      <c r="M960" s="28">
        <f>'Peak Models'!$P$15*INDEX('Peak Models'!$Q$34:$Q$64, MATCH(TRUNC(B960, 0),'Peak Models'!$O$34:$O$64, 0))/'Profit per cycles Model'!$E$78</f>
        <v>8.9425538860245055</v>
      </c>
      <c r="N960" s="28" t="e">
        <f t="shared" si="241"/>
        <v>#N/A</v>
      </c>
      <c r="O960" s="71" t="e">
        <f>AVERAGE($N$10:N960)</f>
        <v>#N/A</v>
      </c>
      <c r="P960" s="28" t="e">
        <f t="shared" si="242"/>
        <v>#N/A</v>
      </c>
      <c r="R960" s="28" t="e">
        <f t="shared" si="243"/>
        <v>#VALUE!</v>
      </c>
      <c r="S960" s="25"/>
      <c r="T960" s="25">
        <f t="shared" si="244"/>
        <v>15</v>
      </c>
      <c r="U960" s="33">
        <f>IF(PaybackCustom&gt;0, IF(PaybackCustom&lt;&gt;"Default", PaybackCustom, IF(PaybackStatus&lt;&gt;"",INDEX('Arbitrage Payback Engine'!$Y$2:$Y$6,MATCH(PaybackStatus,'Arbitrage Payback Engine'!$X$2:$X$6,FALSE)),-1)))</f>
        <v>25</v>
      </c>
      <c r="V960" s="32">
        <f t="shared" si="253"/>
        <v>15</v>
      </c>
      <c r="X960" s="29">
        <f t="shared" si="254"/>
        <v>951</v>
      </c>
      <c r="Z960" s="30">
        <f t="shared" si="245"/>
        <v>26.051225859471305</v>
      </c>
      <c r="AA960" s="28" t="e">
        <f t="shared" si="246"/>
        <v>#N/A</v>
      </c>
      <c r="AB960" s="28" t="e">
        <f t="shared" si="247"/>
        <v>#VALUE!</v>
      </c>
      <c r="AC960" s="29">
        <f t="shared" si="248"/>
        <v>902.27703984819743</v>
      </c>
      <c r="AD960" s="28" t="e">
        <f t="shared" si="249"/>
        <v>#VALUE!</v>
      </c>
      <c r="AE960" s="28" t="e">
        <f t="shared" si="250"/>
        <v>#N/A</v>
      </c>
      <c r="AF960" s="28" t="e">
        <f t="shared" si="251"/>
        <v>#VALUE!</v>
      </c>
      <c r="AH960" s="31" t="e">
        <f t="shared" si="252"/>
        <v>#N/A</v>
      </c>
      <c r="AI960" s="25"/>
      <c r="AJ960" s="31"/>
    </row>
    <row r="961" spans="2:36" x14ac:dyDescent="0.25">
      <c r="B961" s="33">
        <f>'Arbitrage Payback Engine'!E961</f>
        <v>26.078619367209971</v>
      </c>
      <c r="C961" s="33">
        <f t="shared" si="238"/>
        <v>1000</v>
      </c>
      <c r="D961" s="33">
        <f>'Battery Pricing Model'!$C$17</f>
        <v>1000</v>
      </c>
      <c r="E961" s="33">
        <f t="shared" si="239"/>
        <v>999</v>
      </c>
      <c r="F961" s="33" t="str">
        <f>'Peak Models'!$B$4</f>
        <v>Default</v>
      </c>
      <c r="G961" s="33" t="e">
        <f>'Peak Models'!$Q$7</f>
        <v>#VALUE!</v>
      </c>
      <c r="H961" s="33">
        <f>'Peak Models'!$P$16</f>
        <v>1.5</v>
      </c>
      <c r="I961" s="33">
        <v>12</v>
      </c>
      <c r="J961" s="33" t="e">
        <f>'Peak Models'!$P$13</f>
        <v>#N/A</v>
      </c>
      <c r="K961" s="28" t="e">
        <f t="shared" si="240"/>
        <v>#VALUE!</v>
      </c>
      <c r="L961" s="28" t="e">
        <f>INDEX('Peak Models'!$P$34:$P$64, MATCH(TRUNC(B961, 0), 'Peak Models'!$O$34:$O$64, 0))</f>
        <v>#N/A</v>
      </c>
      <c r="M961" s="28">
        <f>'Peak Models'!$P$15*INDEX('Peak Models'!$Q$34:$Q$64, MATCH(TRUNC(B961, 0),'Peak Models'!$O$34:$O$64, 0))/'Profit per cycles Model'!$E$78</f>
        <v>8.9425538860245055</v>
      </c>
      <c r="N961" s="28" t="e">
        <f t="shared" si="241"/>
        <v>#N/A</v>
      </c>
      <c r="O961" s="71" t="e">
        <f>AVERAGE($N$10:N961)</f>
        <v>#N/A</v>
      </c>
      <c r="P961" s="28" t="e">
        <f t="shared" si="242"/>
        <v>#N/A</v>
      </c>
      <c r="R961" s="28" t="e">
        <f t="shared" si="243"/>
        <v>#VALUE!</v>
      </c>
      <c r="S961" s="25"/>
      <c r="T961" s="25">
        <f t="shared" si="244"/>
        <v>15</v>
      </c>
      <c r="U961" s="33">
        <f>IF(PaybackCustom&gt;0, IF(PaybackCustom&lt;&gt;"Default", PaybackCustom, IF(PaybackStatus&lt;&gt;"",INDEX('Arbitrage Payback Engine'!$Y$2:$Y$6,MATCH(PaybackStatus,'Arbitrage Payback Engine'!$X$2:$X$6,FALSE)),-1)))</f>
        <v>25</v>
      </c>
      <c r="V961" s="32">
        <f t="shared" si="253"/>
        <v>15</v>
      </c>
      <c r="X961" s="29">
        <f t="shared" si="254"/>
        <v>952</v>
      </c>
      <c r="Z961" s="30">
        <f t="shared" si="245"/>
        <v>26.078619367209971</v>
      </c>
      <c r="AA961" s="28" t="e">
        <f t="shared" si="246"/>
        <v>#N/A</v>
      </c>
      <c r="AB961" s="28" t="e">
        <f t="shared" si="247"/>
        <v>#VALUE!</v>
      </c>
      <c r="AC961" s="29">
        <f t="shared" si="248"/>
        <v>903.22580645161293</v>
      </c>
      <c r="AD961" s="28" t="e">
        <f t="shared" si="249"/>
        <v>#VALUE!</v>
      </c>
      <c r="AE961" s="28" t="e">
        <f t="shared" si="250"/>
        <v>#N/A</v>
      </c>
      <c r="AF961" s="28" t="e">
        <f t="shared" si="251"/>
        <v>#VALUE!</v>
      </c>
      <c r="AH961" s="31" t="e">
        <f t="shared" si="252"/>
        <v>#N/A</v>
      </c>
      <c r="AI961" s="25"/>
      <c r="AJ961" s="31"/>
    </row>
    <row r="962" spans="2:36" x14ac:dyDescent="0.25">
      <c r="B962" s="33">
        <f>'Arbitrage Payback Engine'!E962</f>
        <v>26.106012874948636</v>
      </c>
      <c r="C962" s="33">
        <f t="shared" si="238"/>
        <v>1000</v>
      </c>
      <c r="D962" s="33">
        <f>'Battery Pricing Model'!$C$17</f>
        <v>1000</v>
      </c>
      <c r="E962" s="33">
        <f t="shared" si="239"/>
        <v>999</v>
      </c>
      <c r="F962" s="33" t="str">
        <f>'Peak Models'!$B$4</f>
        <v>Default</v>
      </c>
      <c r="G962" s="33" t="e">
        <f>'Peak Models'!$Q$7</f>
        <v>#VALUE!</v>
      </c>
      <c r="H962" s="33">
        <f>'Peak Models'!$P$16</f>
        <v>1.5</v>
      </c>
      <c r="I962" s="33">
        <v>12</v>
      </c>
      <c r="J962" s="33" t="e">
        <f>'Peak Models'!$P$13</f>
        <v>#N/A</v>
      </c>
      <c r="K962" s="28" t="e">
        <f t="shared" si="240"/>
        <v>#VALUE!</v>
      </c>
      <c r="L962" s="28" t="e">
        <f>INDEX('Peak Models'!$P$34:$P$64, MATCH(TRUNC(B962, 0), 'Peak Models'!$O$34:$O$64, 0))</f>
        <v>#N/A</v>
      </c>
      <c r="M962" s="28">
        <f>'Peak Models'!$P$15*INDEX('Peak Models'!$Q$34:$Q$64, MATCH(TRUNC(B962, 0),'Peak Models'!$O$34:$O$64, 0))/'Profit per cycles Model'!$E$78</f>
        <v>8.9425538860245055</v>
      </c>
      <c r="N962" s="28" t="e">
        <f t="shared" si="241"/>
        <v>#N/A</v>
      </c>
      <c r="O962" s="71" t="e">
        <f>AVERAGE($N$10:N962)</f>
        <v>#N/A</v>
      </c>
      <c r="P962" s="28" t="e">
        <f t="shared" si="242"/>
        <v>#N/A</v>
      </c>
      <c r="R962" s="28" t="e">
        <f t="shared" si="243"/>
        <v>#VALUE!</v>
      </c>
      <c r="S962" s="25"/>
      <c r="T962" s="25">
        <f t="shared" si="244"/>
        <v>15</v>
      </c>
      <c r="U962" s="33">
        <f>IF(PaybackCustom&gt;0, IF(PaybackCustom&lt;&gt;"Default", PaybackCustom, IF(PaybackStatus&lt;&gt;"",INDEX('Arbitrage Payback Engine'!$Y$2:$Y$6,MATCH(PaybackStatus,'Arbitrage Payback Engine'!$X$2:$X$6,FALSE)),-1)))</f>
        <v>25</v>
      </c>
      <c r="V962" s="32">
        <f t="shared" si="253"/>
        <v>15</v>
      </c>
      <c r="X962" s="29">
        <f t="shared" si="254"/>
        <v>953</v>
      </c>
      <c r="Z962" s="30">
        <f t="shared" si="245"/>
        <v>26.106012874948636</v>
      </c>
      <c r="AA962" s="28" t="e">
        <f t="shared" si="246"/>
        <v>#N/A</v>
      </c>
      <c r="AB962" s="28" t="e">
        <f t="shared" si="247"/>
        <v>#VALUE!</v>
      </c>
      <c r="AC962" s="29">
        <f t="shared" si="248"/>
        <v>904.17457305502842</v>
      </c>
      <c r="AD962" s="28" t="e">
        <f t="shared" si="249"/>
        <v>#VALUE!</v>
      </c>
      <c r="AE962" s="28" t="e">
        <f t="shared" si="250"/>
        <v>#N/A</v>
      </c>
      <c r="AF962" s="28" t="e">
        <f t="shared" si="251"/>
        <v>#VALUE!</v>
      </c>
      <c r="AH962" s="31" t="e">
        <f t="shared" si="252"/>
        <v>#N/A</v>
      </c>
      <c r="AI962" s="25"/>
      <c r="AJ962" s="31"/>
    </row>
    <row r="963" spans="2:36" x14ac:dyDescent="0.25">
      <c r="B963" s="33">
        <f>'Arbitrage Payback Engine'!E963</f>
        <v>26.133406382687301</v>
      </c>
      <c r="C963" s="33">
        <f t="shared" si="238"/>
        <v>1000</v>
      </c>
      <c r="D963" s="33">
        <f>'Battery Pricing Model'!$C$17</f>
        <v>1000</v>
      </c>
      <c r="E963" s="33">
        <f t="shared" si="239"/>
        <v>999</v>
      </c>
      <c r="F963" s="33" t="str">
        <f>'Peak Models'!$B$4</f>
        <v>Default</v>
      </c>
      <c r="G963" s="33" t="e">
        <f>'Peak Models'!$Q$7</f>
        <v>#VALUE!</v>
      </c>
      <c r="H963" s="33">
        <f>'Peak Models'!$P$16</f>
        <v>1.5</v>
      </c>
      <c r="I963" s="33">
        <v>12</v>
      </c>
      <c r="J963" s="33" t="e">
        <f>'Peak Models'!$P$13</f>
        <v>#N/A</v>
      </c>
      <c r="K963" s="28" t="e">
        <f t="shared" si="240"/>
        <v>#VALUE!</v>
      </c>
      <c r="L963" s="28" t="e">
        <f>INDEX('Peak Models'!$P$34:$P$64, MATCH(TRUNC(B963, 0), 'Peak Models'!$O$34:$O$64, 0))</f>
        <v>#N/A</v>
      </c>
      <c r="M963" s="28">
        <f>'Peak Models'!$P$15*INDEX('Peak Models'!$Q$34:$Q$64, MATCH(TRUNC(B963, 0),'Peak Models'!$O$34:$O$64, 0))/'Profit per cycles Model'!$E$78</f>
        <v>8.9425538860245055</v>
      </c>
      <c r="N963" s="28" t="e">
        <f t="shared" si="241"/>
        <v>#N/A</v>
      </c>
      <c r="O963" s="71" t="e">
        <f>AVERAGE($N$10:N963)</f>
        <v>#N/A</v>
      </c>
      <c r="P963" s="28" t="e">
        <f t="shared" si="242"/>
        <v>#N/A</v>
      </c>
      <c r="R963" s="28" t="e">
        <f t="shared" si="243"/>
        <v>#VALUE!</v>
      </c>
      <c r="S963" s="25"/>
      <c r="T963" s="25">
        <f t="shared" si="244"/>
        <v>15</v>
      </c>
      <c r="U963" s="33">
        <f>IF(PaybackCustom&gt;0, IF(PaybackCustom&lt;&gt;"Default", PaybackCustom, IF(PaybackStatus&lt;&gt;"",INDEX('Arbitrage Payback Engine'!$Y$2:$Y$6,MATCH(PaybackStatus,'Arbitrage Payback Engine'!$X$2:$X$6,FALSE)),-1)))</f>
        <v>25</v>
      </c>
      <c r="V963" s="32">
        <f t="shared" si="253"/>
        <v>15</v>
      </c>
      <c r="X963" s="29">
        <f t="shared" si="254"/>
        <v>954</v>
      </c>
      <c r="Z963" s="30">
        <f t="shared" si="245"/>
        <v>26.133406382687301</v>
      </c>
      <c r="AA963" s="28" t="e">
        <f t="shared" si="246"/>
        <v>#N/A</v>
      </c>
      <c r="AB963" s="28" t="e">
        <f t="shared" si="247"/>
        <v>#VALUE!</v>
      </c>
      <c r="AC963" s="29">
        <f t="shared" si="248"/>
        <v>905.12333965844402</v>
      </c>
      <c r="AD963" s="28" t="e">
        <f t="shared" si="249"/>
        <v>#VALUE!</v>
      </c>
      <c r="AE963" s="28" t="e">
        <f t="shared" si="250"/>
        <v>#N/A</v>
      </c>
      <c r="AF963" s="28" t="e">
        <f t="shared" si="251"/>
        <v>#VALUE!</v>
      </c>
      <c r="AH963" s="31" t="e">
        <f t="shared" si="252"/>
        <v>#N/A</v>
      </c>
      <c r="AI963" s="25"/>
      <c r="AJ963" s="31"/>
    </row>
    <row r="964" spans="2:36" x14ac:dyDescent="0.25">
      <c r="B964" s="33">
        <f>'Arbitrage Payback Engine'!E964</f>
        <v>26.160799890425967</v>
      </c>
      <c r="C964" s="33">
        <f t="shared" si="238"/>
        <v>1000</v>
      </c>
      <c r="D964" s="33">
        <f>'Battery Pricing Model'!$C$17</f>
        <v>1000</v>
      </c>
      <c r="E964" s="33">
        <f t="shared" si="239"/>
        <v>999</v>
      </c>
      <c r="F964" s="33" t="str">
        <f>'Peak Models'!$B$4</f>
        <v>Default</v>
      </c>
      <c r="G964" s="33" t="e">
        <f>'Peak Models'!$Q$7</f>
        <v>#VALUE!</v>
      </c>
      <c r="H964" s="33">
        <f>'Peak Models'!$P$16</f>
        <v>1.5</v>
      </c>
      <c r="I964" s="33">
        <v>12</v>
      </c>
      <c r="J964" s="33" t="e">
        <f>'Peak Models'!$P$13</f>
        <v>#N/A</v>
      </c>
      <c r="K964" s="28" t="e">
        <f t="shared" si="240"/>
        <v>#VALUE!</v>
      </c>
      <c r="L964" s="28" t="e">
        <f>INDEX('Peak Models'!$P$34:$P$64, MATCH(TRUNC(B964, 0), 'Peak Models'!$O$34:$O$64, 0))</f>
        <v>#N/A</v>
      </c>
      <c r="M964" s="28">
        <f>'Peak Models'!$P$15*INDEX('Peak Models'!$Q$34:$Q$64, MATCH(TRUNC(B964, 0),'Peak Models'!$O$34:$O$64, 0))/'Profit per cycles Model'!$E$78</f>
        <v>8.9425538860245055</v>
      </c>
      <c r="N964" s="28" t="e">
        <f t="shared" si="241"/>
        <v>#N/A</v>
      </c>
      <c r="O964" s="71" t="e">
        <f>AVERAGE($N$10:N964)</f>
        <v>#N/A</v>
      </c>
      <c r="P964" s="28" t="e">
        <f t="shared" si="242"/>
        <v>#N/A</v>
      </c>
      <c r="R964" s="28" t="e">
        <f t="shared" si="243"/>
        <v>#VALUE!</v>
      </c>
      <c r="S964" s="25"/>
      <c r="T964" s="25">
        <f t="shared" si="244"/>
        <v>15</v>
      </c>
      <c r="U964" s="33">
        <f>IF(PaybackCustom&gt;0, IF(PaybackCustom&lt;&gt;"Default", PaybackCustom, IF(PaybackStatus&lt;&gt;"",INDEX('Arbitrage Payback Engine'!$Y$2:$Y$6,MATCH(PaybackStatus,'Arbitrage Payback Engine'!$X$2:$X$6,FALSE)),-1)))</f>
        <v>25</v>
      </c>
      <c r="V964" s="32">
        <f t="shared" si="253"/>
        <v>15</v>
      </c>
      <c r="X964" s="29">
        <f t="shared" si="254"/>
        <v>955</v>
      </c>
      <c r="Z964" s="30">
        <f t="shared" si="245"/>
        <v>26.160799890425967</v>
      </c>
      <c r="AA964" s="28" t="e">
        <f t="shared" si="246"/>
        <v>#N/A</v>
      </c>
      <c r="AB964" s="28" t="e">
        <f t="shared" si="247"/>
        <v>#VALUE!</v>
      </c>
      <c r="AC964" s="29">
        <f t="shared" si="248"/>
        <v>906.07210626185952</v>
      </c>
      <c r="AD964" s="28" t="e">
        <f t="shared" si="249"/>
        <v>#VALUE!</v>
      </c>
      <c r="AE964" s="28" t="e">
        <f t="shared" si="250"/>
        <v>#N/A</v>
      </c>
      <c r="AF964" s="28" t="e">
        <f t="shared" si="251"/>
        <v>#VALUE!</v>
      </c>
      <c r="AH964" s="31" t="e">
        <f t="shared" si="252"/>
        <v>#N/A</v>
      </c>
      <c r="AI964" s="25"/>
      <c r="AJ964" s="31"/>
    </row>
    <row r="965" spans="2:36" x14ac:dyDescent="0.25">
      <c r="B965" s="33">
        <f>'Arbitrage Payback Engine'!E965</f>
        <v>26.188193398164636</v>
      </c>
      <c r="C965" s="33">
        <f t="shared" si="238"/>
        <v>1000</v>
      </c>
      <c r="D965" s="33">
        <f>'Battery Pricing Model'!$C$17</f>
        <v>1000</v>
      </c>
      <c r="E965" s="33">
        <f t="shared" si="239"/>
        <v>999</v>
      </c>
      <c r="F965" s="33" t="str">
        <f>'Peak Models'!$B$4</f>
        <v>Default</v>
      </c>
      <c r="G965" s="33" t="e">
        <f>'Peak Models'!$Q$7</f>
        <v>#VALUE!</v>
      </c>
      <c r="H965" s="33">
        <f>'Peak Models'!$P$16</f>
        <v>1.5</v>
      </c>
      <c r="I965" s="33">
        <v>12</v>
      </c>
      <c r="J965" s="33" t="e">
        <f>'Peak Models'!$P$13</f>
        <v>#N/A</v>
      </c>
      <c r="K965" s="28" t="e">
        <f t="shared" si="240"/>
        <v>#VALUE!</v>
      </c>
      <c r="L965" s="28" t="e">
        <f>INDEX('Peak Models'!$P$34:$P$64, MATCH(TRUNC(B965, 0), 'Peak Models'!$O$34:$O$64, 0))</f>
        <v>#N/A</v>
      </c>
      <c r="M965" s="28">
        <f>'Peak Models'!$P$15*INDEX('Peak Models'!$Q$34:$Q$64, MATCH(TRUNC(B965, 0),'Peak Models'!$O$34:$O$64, 0))/'Profit per cycles Model'!$E$78</f>
        <v>8.9425538860245055</v>
      </c>
      <c r="N965" s="28" t="e">
        <f t="shared" si="241"/>
        <v>#N/A</v>
      </c>
      <c r="O965" s="71" t="e">
        <f>AVERAGE($N$10:N965)</f>
        <v>#N/A</v>
      </c>
      <c r="P965" s="28" t="e">
        <f t="shared" si="242"/>
        <v>#N/A</v>
      </c>
      <c r="R965" s="28" t="e">
        <f t="shared" si="243"/>
        <v>#VALUE!</v>
      </c>
      <c r="S965" s="25"/>
      <c r="T965" s="25">
        <f t="shared" si="244"/>
        <v>15</v>
      </c>
      <c r="U965" s="33">
        <f>IF(PaybackCustom&gt;0, IF(PaybackCustom&lt;&gt;"Default", PaybackCustom, IF(PaybackStatus&lt;&gt;"",INDEX('Arbitrage Payback Engine'!$Y$2:$Y$6,MATCH(PaybackStatus,'Arbitrage Payback Engine'!$X$2:$X$6,FALSE)),-1)))</f>
        <v>25</v>
      </c>
      <c r="V965" s="32">
        <f t="shared" si="253"/>
        <v>15</v>
      </c>
      <c r="X965" s="29">
        <f t="shared" si="254"/>
        <v>956</v>
      </c>
      <c r="Z965" s="30">
        <f t="shared" si="245"/>
        <v>26.188193398164636</v>
      </c>
      <c r="AA965" s="28" t="e">
        <f t="shared" si="246"/>
        <v>#N/A</v>
      </c>
      <c r="AB965" s="28" t="e">
        <f t="shared" si="247"/>
        <v>#VALUE!</v>
      </c>
      <c r="AC965" s="29">
        <f t="shared" si="248"/>
        <v>907.02087286527524</v>
      </c>
      <c r="AD965" s="28" t="e">
        <f t="shared" si="249"/>
        <v>#VALUE!</v>
      </c>
      <c r="AE965" s="28" t="e">
        <f t="shared" si="250"/>
        <v>#N/A</v>
      </c>
      <c r="AF965" s="28" t="e">
        <f t="shared" si="251"/>
        <v>#VALUE!</v>
      </c>
      <c r="AH965" s="31" t="e">
        <f t="shared" si="252"/>
        <v>#N/A</v>
      </c>
      <c r="AI965" s="25"/>
      <c r="AJ965" s="31"/>
    </row>
    <row r="966" spans="2:36" x14ac:dyDescent="0.25">
      <c r="B966" s="33">
        <f>'Arbitrage Payback Engine'!E966</f>
        <v>26.215586905903301</v>
      </c>
      <c r="C966" s="33">
        <f t="shared" si="238"/>
        <v>1000</v>
      </c>
      <c r="D966" s="33">
        <f>'Battery Pricing Model'!$C$17</f>
        <v>1000</v>
      </c>
      <c r="E966" s="33">
        <f t="shared" si="239"/>
        <v>999</v>
      </c>
      <c r="F966" s="33" t="str">
        <f>'Peak Models'!$B$4</f>
        <v>Default</v>
      </c>
      <c r="G966" s="33" t="e">
        <f>'Peak Models'!$Q$7</f>
        <v>#VALUE!</v>
      </c>
      <c r="H966" s="33">
        <f>'Peak Models'!$P$16</f>
        <v>1.5</v>
      </c>
      <c r="I966" s="33">
        <v>12</v>
      </c>
      <c r="J966" s="33" t="e">
        <f>'Peak Models'!$P$13</f>
        <v>#N/A</v>
      </c>
      <c r="K966" s="28" t="e">
        <f t="shared" si="240"/>
        <v>#VALUE!</v>
      </c>
      <c r="L966" s="28" t="e">
        <f>INDEX('Peak Models'!$P$34:$P$64, MATCH(TRUNC(B966, 0), 'Peak Models'!$O$34:$O$64, 0))</f>
        <v>#N/A</v>
      </c>
      <c r="M966" s="28">
        <f>'Peak Models'!$P$15*INDEX('Peak Models'!$Q$34:$Q$64, MATCH(TRUNC(B966, 0),'Peak Models'!$O$34:$O$64, 0))/'Profit per cycles Model'!$E$78</f>
        <v>8.9425538860245055</v>
      </c>
      <c r="N966" s="28" t="e">
        <f t="shared" si="241"/>
        <v>#N/A</v>
      </c>
      <c r="O966" s="71" t="e">
        <f>AVERAGE($N$10:N966)</f>
        <v>#N/A</v>
      </c>
      <c r="P966" s="28" t="e">
        <f t="shared" si="242"/>
        <v>#N/A</v>
      </c>
      <c r="R966" s="28" t="e">
        <f t="shared" si="243"/>
        <v>#VALUE!</v>
      </c>
      <c r="S966" s="25"/>
      <c r="T966" s="25">
        <f t="shared" si="244"/>
        <v>15</v>
      </c>
      <c r="U966" s="33">
        <f>IF(PaybackCustom&gt;0, IF(PaybackCustom&lt;&gt;"Default", PaybackCustom, IF(PaybackStatus&lt;&gt;"",INDEX('Arbitrage Payback Engine'!$Y$2:$Y$6,MATCH(PaybackStatus,'Arbitrage Payback Engine'!$X$2:$X$6,FALSE)),-1)))</f>
        <v>25</v>
      </c>
      <c r="V966" s="32">
        <f t="shared" si="253"/>
        <v>15</v>
      </c>
      <c r="X966" s="29">
        <f t="shared" si="254"/>
        <v>957</v>
      </c>
      <c r="Z966" s="30">
        <f t="shared" si="245"/>
        <v>26.215586905903301</v>
      </c>
      <c r="AA966" s="28" t="e">
        <f t="shared" si="246"/>
        <v>#N/A</v>
      </c>
      <c r="AB966" s="28" t="e">
        <f t="shared" si="247"/>
        <v>#VALUE!</v>
      </c>
      <c r="AC966" s="29">
        <f t="shared" si="248"/>
        <v>907.96963946869073</v>
      </c>
      <c r="AD966" s="28" t="e">
        <f t="shared" si="249"/>
        <v>#VALUE!</v>
      </c>
      <c r="AE966" s="28" t="e">
        <f t="shared" si="250"/>
        <v>#N/A</v>
      </c>
      <c r="AF966" s="28" t="e">
        <f t="shared" si="251"/>
        <v>#VALUE!</v>
      </c>
      <c r="AH966" s="31" t="e">
        <f t="shared" si="252"/>
        <v>#N/A</v>
      </c>
      <c r="AI966" s="25"/>
      <c r="AJ966" s="31"/>
    </row>
    <row r="967" spans="2:36" x14ac:dyDescent="0.25">
      <c r="B967" s="33">
        <f>'Arbitrage Payback Engine'!E967</f>
        <v>26.242980413641966</v>
      </c>
      <c r="C967" s="33">
        <f t="shared" si="238"/>
        <v>1000</v>
      </c>
      <c r="D967" s="33">
        <f>'Battery Pricing Model'!$C$17</f>
        <v>1000</v>
      </c>
      <c r="E967" s="33">
        <f t="shared" si="239"/>
        <v>999</v>
      </c>
      <c r="F967" s="33" t="str">
        <f>'Peak Models'!$B$4</f>
        <v>Default</v>
      </c>
      <c r="G967" s="33" t="e">
        <f>'Peak Models'!$Q$7</f>
        <v>#VALUE!</v>
      </c>
      <c r="H967" s="33">
        <f>'Peak Models'!$P$16</f>
        <v>1.5</v>
      </c>
      <c r="I967" s="33">
        <v>12</v>
      </c>
      <c r="J967" s="33" t="e">
        <f>'Peak Models'!$P$13</f>
        <v>#N/A</v>
      </c>
      <c r="K967" s="28" t="e">
        <f t="shared" si="240"/>
        <v>#VALUE!</v>
      </c>
      <c r="L967" s="28" t="e">
        <f>INDEX('Peak Models'!$P$34:$P$64, MATCH(TRUNC(B967, 0), 'Peak Models'!$O$34:$O$64, 0))</f>
        <v>#N/A</v>
      </c>
      <c r="M967" s="28">
        <f>'Peak Models'!$P$15*INDEX('Peak Models'!$Q$34:$Q$64, MATCH(TRUNC(B967, 0),'Peak Models'!$O$34:$O$64, 0))/'Profit per cycles Model'!$E$78</f>
        <v>8.9425538860245055</v>
      </c>
      <c r="N967" s="28" t="e">
        <f t="shared" si="241"/>
        <v>#N/A</v>
      </c>
      <c r="O967" s="71" t="e">
        <f>AVERAGE($N$10:N967)</f>
        <v>#N/A</v>
      </c>
      <c r="P967" s="28" t="e">
        <f t="shared" si="242"/>
        <v>#N/A</v>
      </c>
      <c r="R967" s="28" t="e">
        <f t="shared" si="243"/>
        <v>#VALUE!</v>
      </c>
      <c r="S967" s="25"/>
      <c r="T967" s="25">
        <f t="shared" si="244"/>
        <v>15</v>
      </c>
      <c r="U967" s="33">
        <f>IF(PaybackCustom&gt;0, IF(PaybackCustom&lt;&gt;"Default", PaybackCustom, IF(PaybackStatus&lt;&gt;"",INDEX('Arbitrage Payback Engine'!$Y$2:$Y$6,MATCH(PaybackStatus,'Arbitrage Payback Engine'!$X$2:$X$6,FALSE)),-1)))</f>
        <v>25</v>
      </c>
      <c r="V967" s="32">
        <f t="shared" si="253"/>
        <v>15</v>
      </c>
      <c r="X967" s="29">
        <f t="shared" si="254"/>
        <v>958</v>
      </c>
      <c r="Z967" s="30">
        <f t="shared" si="245"/>
        <v>26.242980413641966</v>
      </c>
      <c r="AA967" s="28" t="e">
        <f t="shared" si="246"/>
        <v>#N/A</v>
      </c>
      <c r="AB967" s="28" t="e">
        <f t="shared" si="247"/>
        <v>#VALUE!</v>
      </c>
      <c r="AC967" s="29">
        <f t="shared" si="248"/>
        <v>908.91840607210634</v>
      </c>
      <c r="AD967" s="28" t="e">
        <f t="shared" si="249"/>
        <v>#VALUE!</v>
      </c>
      <c r="AE967" s="28" t="e">
        <f t="shared" si="250"/>
        <v>#N/A</v>
      </c>
      <c r="AF967" s="28" t="e">
        <f t="shared" si="251"/>
        <v>#VALUE!</v>
      </c>
      <c r="AH967" s="31" t="e">
        <f t="shared" si="252"/>
        <v>#N/A</v>
      </c>
      <c r="AI967" s="25"/>
      <c r="AJ967" s="31"/>
    </row>
    <row r="968" spans="2:36" x14ac:dyDescent="0.25">
      <c r="B968" s="33">
        <f>'Arbitrage Payback Engine'!E968</f>
        <v>26.270373921380632</v>
      </c>
      <c r="C968" s="33">
        <f t="shared" si="238"/>
        <v>1000</v>
      </c>
      <c r="D968" s="33">
        <f>'Battery Pricing Model'!$C$17</f>
        <v>1000</v>
      </c>
      <c r="E968" s="33">
        <f t="shared" si="239"/>
        <v>999</v>
      </c>
      <c r="F968" s="33" t="str">
        <f>'Peak Models'!$B$4</f>
        <v>Default</v>
      </c>
      <c r="G968" s="33" t="e">
        <f>'Peak Models'!$Q$7</f>
        <v>#VALUE!</v>
      </c>
      <c r="H968" s="33">
        <f>'Peak Models'!$P$16</f>
        <v>1.5</v>
      </c>
      <c r="I968" s="33">
        <v>12</v>
      </c>
      <c r="J968" s="33" t="e">
        <f>'Peak Models'!$P$13</f>
        <v>#N/A</v>
      </c>
      <c r="K968" s="28" t="e">
        <f t="shared" si="240"/>
        <v>#VALUE!</v>
      </c>
      <c r="L968" s="28" t="e">
        <f>INDEX('Peak Models'!$P$34:$P$64, MATCH(TRUNC(B968, 0), 'Peak Models'!$O$34:$O$64, 0))</f>
        <v>#N/A</v>
      </c>
      <c r="M968" s="28">
        <f>'Peak Models'!$P$15*INDEX('Peak Models'!$Q$34:$Q$64, MATCH(TRUNC(B968, 0),'Peak Models'!$O$34:$O$64, 0))/'Profit per cycles Model'!$E$78</f>
        <v>8.9425538860245055</v>
      </c>
      <c r="N968" s="28" t="e">
        <f t="shared" si="241"/>
        <v>#N/A</v>
      </c>
      <c r="O968" s="71" t="e">
        <f>AVERAGE($N$10:N968)</f>
        <v>#N/A</v>
      </c>
      <c r="P968" s="28" t="e">
        <f t="shared" si="242"/>
        <v>#N/A</v>
      </c>
      <c r="R968" s="28" t="e">
        <f t="shared" si="243"/>
        <v>#VALUE!</v>
      </c>
      <c r="S968" s="25"/>
      <c r="T968" s="25">
        <f t="shared" si="244"/>
        <v>15</v>
      </c>
      <c r="U968" s="33">
        <f>IF(PaybackCustom&gt;0, IF(PaybackCustom&lt;&gt;"Default", PaybackCustom, IF(PaybackStatus&lt;&gt;"",INDEX('Arbitrage Payback Engine'!$Y$2:$Y$6,MATCH(PaybackStatus,'Arbitrage Payback Engine'!$X$2:$X$6,FALSE)),-1)))</f>
        <v>25</v>
      </c>
      <c r="V968" s="32">
        <f t="shared" si="253"/>
        <v>15</v>
      </c>
      <c r="X968" s="29">
        <f t="shared" si="254"/>
        <v>959</v>
      </c>
      <c r="Z968" s="30">
        <f t="shared" si="245"/>
        <v>26.270373921380632</v>
      </c>
      <c r="AA968" s="28" t="e">
        <f t="shared" si="246"/>
        <v>#N/A</v>
      </c>
      <c r="AB968" s="28" t="e">
        <f t="shared" si="247"/>
        <v>#VALUE!</v>
      </c>
      <c r="AC968" s="29">
        <f t="shared" si="248"/>
        <v>909.86717267552183</v>
      </c>
      <c r="AD968" s="28" t="e">
        <f t="shared" si="249"/>
        <v>#VALUE!</v>
      </c>
      <c r="AE968" s="28" t="e">
        <f t="shared" si="250"/>
        <v>#N/A</v>
      </c>
      <c r="AF968" s="28" t="e">
        <f t="shared" si="251"/>
        <v>#VALUE!</v>
      </c>
      <c r="AH968" s="31" t="e">
        <f t="shared" si="252"/>
        <v>#N/A</v>
      </c>
      <c r="AI968" s="25"/>
      <c r="AJ968" s="31"/>
    </row>
    <row r="969" spans="2:36" x14ac:dyDescent="0.25">
      <c r="B969" s="33">
        <f>'Arbitrage Payback Engine'!E969</f>
        <v>26.297767429119297</v>
      </c>
      <c r="C969" s="33">
        <f t="shared" si="238"/>
        <v>1000</v>
      </c>
      <c r="D969" s="33">
        <f>'Battery Pricing Model'!$C$17</f>
        <v>1000</v>
      </c>
      <c r="E969" s="33">
        <f t="shared" si="239"/>
        <v>999</v>
      </c>
      <c r="F969" s="33" t="str">
        <f>'Peak Models'!$B$4</f>
        <v>Default</v>
      </c>
      <c r="G969" s="33" t="e">
        <f>'Peak Models'!$Q$7</f>
        <v>#VALUE!</v>
      </c>
      <c r="H969" s="33">
        <f>'Peak Models'!$P$16</f>
        <v>1.5</v>
      </c>
      <c r="I969" s="33">
        <v>12</v>
      </c>
      <c r="J969" s="33" t="e">
        <f>'Peak Models'!$P$13</f>
        <v>#N/A</v>
      </c>
      <c r="K969" s="28" t="e">
        <f t="shared" si="240"/>
        <v>#VALUE!</v>
      </c>
      <c r="L969" s="28" t="e">
        <f>INDEX('Peak Models'!$P$34:$P$64, MATCH(TRUNC(B969, 0), 'Peak Models'!$O$34:$O$64, 0))</f>
        <v>#N/A</v>
      </c>
      <c r="M969" s="28">
        <f>'Peak Models'!$P$15*INDEX('Peak Models'!$Q$34:$Q$64, MATCH(TRUNC(B969, 0),'Peak Models'!$O$34:$O$64, 0))/'Profit per cycles Model'!$E$78</f>
        <v>8.9425538860245055</v>
      </c>
      <c r="N969" s="28" t="e">
        <f t="shared" si="241"/>
        <v>#N/A</v>
      </c>
      <c r="O969" s="71" t="e">
        <f>AVERAGE($N$10:N969)</f>
        <v>#N/A</v>
      </c>
      <c r="P969" s="28" t="e">
        <f t="shared" si="242"/>
        <v>#N/A</v>
      </c>
      <c r="R969" s="28" t="e">
        <f t="shared" si="243"/>
        <v>#VALUE!</v>
      </c>
      <c r="S969" s="25"/>
      <c r="T969" s="25">
        <f t="shared" si="244"/>
        <v>15</v>
      </c>
      <c r="U969" s="33">
        <f>IF(PaybackCustom&gt;0, IF(PaybackCustom&lt;&gt;"Default", PaybackCustom, IF(PaybackStatus&lt;&gt;"",INDEX('Arbitrage Payback Engine'!$Y$2:$Y$6,MATCH(PaybackStatus,'Arbitrage Payback Engine'!$X$2:$X$6,FALSE)),-1)))</f>
        <v>25</v>
      </c>
      <c r="V969" s="32">
        <f t="shared" si="253"/>
        <v>15</v>
      </c>
      <c r="X969" s="29">
        <f t="shared" si="254"/>
        <v>960</v>
      </c>
      <c r="Z969" s="30">
        <f t="shared" si="245"/>
        <v>26.297767429119297</v>
      </c>
      <c r="AA969" s="28" t="e">
        <f t="shared" si="246"/>
        <v>#N/A</v>
      </c>
      <c r="AB969" s="28" t="e">
        <f t="shared" si="247"/>
        <v>#VALUE!</v>
      </c>
      <c r="AC969" s="29">
        <f t="shared" si="248"/>
        <v>910.81593927893732</v>
      </c>
      <c r="AD969" s="28" t="e">
        <f t="shared" si="249"/>
        <v>#VALUE!</v>
      </c>
      <c r="AE969" s="28" t="e">
        <f t="shared" si="250"/>
        <v>#N/A</v>
      </c>
      <c r="AF969" s="28" t="e">
        <f t="shared" si="251"/>
        <v>#VALUE!</v>
      </c>
      <c r="AH969" s="31" t="e">
        <f t="shared" si="252"/>
        <v>#N/A</v>
      </c>
      <c r="AI969" s="25"/>
      <c r="AJ969" s="31"/>
    </row>
    <row r="970" spans="2:36" x14ac:dyDescent="0.25">
      <c r="B970" s="33">
        <f>'Arbitrage Payback Engine'!E970</f>
        <v>26.325160936857962</v>
      </c>
      <c r="C970" s="33">
        <f t="shared" ref="C970:C1033" si="255">IF(OR($E$6="None", $E$6=0), D970, E970)</f>
        <v>1000</v>
      </c>
      <c r="D970" s="33">
        <f>'Battery Pricing Model'!$C$17</f>
        <v>1000</v>
      </c>
      <c r="E970" s="33">
        <f t="shared" ref="E970:E1033" si="256">IF(OR($E$6="None", $E$6=0), 999, $D970*(E$6))</f>
        <v>999</v>
      </c>
      <c r="F970" s="33" t="str">
        <f>'Peak Models'!$B$4</f>
        <v>Default</v>
      </c>
      <c r="G970" s="33" t="e">
        <f>'Peak Models'!$Q$7</f>
        <v>#VALUE!</v>
      </c>
      <c r="H970" s="33">
        <f>'Peak Models'!$P$16</f>
        <v>1.5</v>
      </c>
      <c r="I970" s="33">
        <v>12</v>
      </c>
      <c r="J970" s="33" t="e">
        <f>'Peak Models'!$P$13</f>
        <v>#N/A</v>
      </c>
      <c r="K970" s="28" t="e">
        <f t="shared" ref="K970:K1033" si="257">C970*G970/(H970*B970)</f>
        <v>#VALUE!</v>
      </c>
      <c r="L970" s="28" t="e">
        <f>INDEX('Peak Models'!$P$34:$P$64, MATCH(TRUNC(B970, 0), 'Peak Models'!$O$34:$O$64, 0))</f>
        <v>#N/A</v>
      </c>
      <c r="M970" s="28">
        <f>'Peak Models'!$P$15*INDEX('Peak Models'!$Q$34:$Q$64, MATCH(TRUNC(B970, 0),'Peak Models'!$O$34:$O$64, 0))/'Profit per cycles Model'!$E$78</f>
        <v>8.9425538860245055</v>
      </c>
      <c r="N970" s="28" t="e">
        <f t="shared" ref="N970:N1033" si="258">L970-M970</f>
        <v>#N/A</v>
      </c>
      <c r="O970" s="71" t="e">
        <f>AVERAGE($N$10:N970)</f>
        <v>#N/A</v>
      </c>
      <c r="P970" s="28" t="e">
        <f t="shared" ref="P970:P1033" si="259">IF(O970-K970&lt;0, 999, O970-K970)</f>
        <v>#N/A</v>
      </c>
      <c r="R970" s="28" t="e">
        <f t="shared" ref="R970:R1033" si="260">IF(ISNA(INDEX($K$10:$K$1063,MATCH(T970,$B$10:$B$1063,1))),-1,INDEX($K$10:$K$1063,MATCH(T970,$B$10:$B$1063,1)))</f>
        <v>#VALUE!</v>
      </c>
      <c r="S970" s="25"/>
      <c r="T970" s="25">
        <f t="shared" ref="T970:T1033" si="261">IF( AND(U970&gt;0, V970&gt;0), IF(U970&lt;V970, U970, V970),  IF(U970&gt;0, U970, IF(V970&gt;0, V970, -1)) )</f>
        <v>15</v>
      </c>
      <c r="U970" s="33">
        <f>IF(PaybackCustom&gt;0, IF(PaybackCustom&lt;&gt;"Default", PaybackCustom, IF(PaybackStatus&lt;&gt;"",INDEX('Arbitrage Payback Engine'!$Y$2:$Y$6,MATCH(PaybackStatus,'Arbitrage Payback Engine'!$X$2:$X$6,FALSE)),-1)))</f>
        <v>25</v>
      </c>
      <c r="V970" s="32">
        <f t="shared" si="253"/>
        <v>15</v>
      </c>
      <c r="X970" s="29">
        <f t="shared" si="254"/>
        <v>961</v>
      </c>
      <c r="Z970" s="30">
        <f t="shared" ref="Z970:Z1033" si="262">B970</f>
        <v>26.325160936857962</v>
      </c>
      <c r="AA970" s="28" t="e">
        <f t="shared" ref="AA970:AA1033" si="263">N970</f>
        <v>#N/A</v>
      </c>
      <c r="AB970" s="28" t="e">
        <f t="shared" ref="AB970:AB1033" si="264">R970</f>
        <v>#VALUE!</v>
      </c>
      <c r="AC970" s="29">
        <f t="shared" ref="AC970:AC1033" si="265">$AB$2*(Z970-$AB$3)/($AB$4-$AB$3)</f>
        <v>911.76470588235293</v>
      </c>
      <c r="AD970" s="28" t="e">
        <f t="shared" ref="AD970:AD1033" si="266">MIN(AB970, AA970)</f>
        <v>#VALUE!</v>
      </c>
      <c r="AE970" s="28" t="e">
        <f t="shared" ref="AE970:AE1033" si="267">IF(AND(Z970&lt;T970, AA970&gt;AB970), AA970-AB970, 0)</f>
        <v>#N/A</v>
      </c>
      <c r="AF970" s="28" t="e">
        <f t="shared" ref="AF970:AF1033" si="268">IF(AND(Z970&lt;T970, AB970&gt;AA970), AB970-AA970, 0)</f>
        <v>#VALUE!</v>
      </c>
      <c r="AH970" s="31" t="e">
        <f t="shared" ref="AH970:AH1033" si="269">(O970-K970)/K970</f>
        <v>#N/A</v>
      </c>
      <c r="AI970" s="25"/>
      <c r="AJ970" s="31"/>
    </row>
    <row r="971" spans="2:36" x14ac:dyDescent="0.25">
      <c r="B971" s="33">
        <f>'Arbitrage Payback Engine'!E971</f>
        <v>26.352554444596631</v>
      </c>
      <c r="C971" s="33">
        <f t="shared" si="255"/>
        <v>1000</v>
      </c>
      <c r="D971" s="33">
        <f>'Battery Pricing Model'!$C$17</f>
        <v>1000</v>
      </c>
      <c r="E971" s="33">
        <f t="shared" si="256"/>
        <v>999</v>
      </c>
      <c r="F971" s="33" t="str">
        <f>'Peak Models'!$B$4</f>
        <v>Default</v>
      </c>
      <c r="G971" s="33" t="e">
        <f>'Peak Models'!$Q$7</f>
        <v>#VALUE!</v>
      </c>
      <c r="H971" s="33">
        <f>'Peak Models'!$P$16</f>
        <v>1.5</v>
      </c>
      <c r="I971" s="33">
        <v>12</v>
      </c>
      <c r="J971" s="33" t="e">
        <f>'Peak Models'!$P$13</f>
        <v>#N/A</v>
      </c>
      <c r="K971" s="28" t="e">
        <f t="shared" si="257"/>
        <v>#VALUE!</v>
      </c>
      <c r="L971" s="28" t="e">
        <f>INDEX('Peak Models'!$P$34:$P$64, MATCH(TRUNC(B971, 0), 'Peak Models'!$O$34:$O$64, 0))</f>
        <v>#N/A</v>
      </c>
      <c r="M971" s="28">
        <f>'Peak Models'!$P$15*INDEX('Peak Models'!$Q$34:$Q$64, MATCH(TRUNC(B971, 0),'Peak Models'!$O$34:$O$64, 0))/'Profit per cycles Model'!$E$78</f>
        <v>8.9425538860245055</v>
      </c>
      <c r="N971" s="28" t="e">
        <f t="shared" si="258"/>
        <v>#N/A</v>
      </c>
      <c r="O971" s="71" t="e">
        <f>AVERAGE($N$10:N971)</f>
        <v>#N/A</v>
      </c>
      <c r="P971" s="28" t="e">
        <f t="shared" si="259"/>
        <v>#N/A</v>
      </c>
      <c r="R971" s="28" t="e">
        <f t="shared" si="260"/>
        <v>#VALUE!</v>
      </c>
      <c r="S971" s="25"/>
      <c r="T971" s="25">
        <f t="shared" si="261"/>
        <v>15</v>
      </c>
      <c r="U971" s="33">
        <f>IF(PaybackCustom&gt;0, IF(PaybackCustom&lt;&gt;"Default", PaybackCustom, IF(PaybackStatus&lt;&gt;"",INDEX('Arbitrage Payback Engine'!$Y$2:$Y$6,MATCH(PaybackStatus,'Arbitrage Payback Engine'!$X$2:$X$6,FALSE)),-1)))</f>
        <v>25</v>
      </c>
      <c r="V971" s="32">
        <f t="shared" ref="V971:V1034" si="270">IF(ISNUMBER($L$5), $L$5, 15)</f>
        <v>15</v>
      </c>
      <c r="X971" s="29">
        <f t="shared" ref="X971:X1034" si="271">X970+1</f>
        <v>962</v>
      </c>
      <c r="Z971" s="30">
        <f t="shared" si="262"/>
        <v>26.352554444596631</v>
      </c>
      <c r="AA971" s="28" t="e">
        <f t="shared" si="263"/>
        <v>#N/A</v>
      </c>
      <c r="AB971" s="28" t="e">
        <f t="shared" si="264"/>
        <v>#VALUE!</v>
      </c>
      <c r="AC971" s="29">
        <f t="shared" si="265"/>
        <v>912.71347248576853</v>
      </c>
      <c r="AD971" s="28" t="e">
        <f t="shared" si="266"/>
        <v>#VALUE!</v>
      </c>
      <c r="AE971" s="28" t="e">
        <f t="shared" si="267"/>
        <v>#N/A</v>
      </c>
      <c r="AF971" s="28" t="e">
        <f t="shared" si="268"/>
        <v>#VALUE!</v>
      </c>
      <c r="AH971" s="31" t="e">
        <f t="shared" si="269"/>
        <v>#N/A</v>
      </c>
      <c r="AI971" s="25"/>
      <c r="AJ971" s="31"/>
    </row>
    <row r="972" spans="2:36" x14ac:dyDescent="0.25">
      <c r="B972" s="33">
        <f>'Arbitrage Payback Engine'!E972</f>
        <v>26.379947952335296</v>
      </c>
      <c r="C972" s="33">
        <f t="shared" si="255"/>
        <v>1000</v>
      </c>
      <c r="D972" s="33">
        <f>'Battery Pricing Model'!$C$17</f>
        <v>1000</v>
      </c>
      <c r="E972" s="33">
        <f t="shared" si="256"/>
        <v>999</v>
      </c>
      <c r="F972" s="33" t="str">
        <f>'Peak Models'!$B$4</f>
        <v>Default</v>
      </c>
      <c r="G972" s="33" t="e">
        <f>'Peak Models'!$Q$7</f>
        <v>#VALUE!</v>
      </c>
      <c r="H972" s="33">
        <f>'Peak Models'!$P$16</f>
        <v>1.5</v>
      </c>
      <c r="I972" s="33">
        <v>12</v>
      </c>
      <c r="J972" s="33" t="e">
        <f>'Peak Models'!$P$13</f>
        <v>#N/A</v>
      </c>
      <c r="K972" s="28" t="e">
        <f t="shared" si="257"/>
        <v>#VALUE!</v>
      </c>
      <c r="L972" s="28" t="e">
        <f>INDEX('Peak Models'!$P$34:$P$64, MATCH(TRUNC(B972, 0), 'Peak Models'!$O$34:$O$64, 0))</f>
        <v>#N/A</v>
      </c>
      <c r="M972" s="28">
        <f>'Peak Models'!$P$15*INDEX('Peak Models'!$Q$34:$Q$64, MATCH(TRUNC(B972, 0),'Peak Models'!$O$34:$O$64, 0))/'Profit per cycles Model'!$E$78</f>
        <v>8.9425538860245055</v>
      </c>
      <c r="N972" s="28" t="e">
        <f t="shared" si="258"/>
        <v>#N/A</v>
      </c>
      <c r="O972" s="71" t="e">
        <f>AVERAGE($N$10:N972)</f>
        <v>#N/A</v>
      </c>
      <c r="P972" s="28" t="e">
        <f t="shared" si="259"/>
        <v>#N/A</v>
      </c>
      <c r="R972" s="28" t="e">
        <f t="shared" si="260"/>
        <v>#VALUE!</v>
      </c>
      <c r="S972" s="25"/>
      <c r="T972" s="25">
        <f t="shared" si="261"/>
        <v>15</v>
      </c>
      <c r="U972" s="33">
        <f>IF(PaybackCustom&gt;0, IF(PaybackCustom&lt;&gt;"Default", PaybackCustom, IF(PaybackStatus&lt;&gt;"",INDEX('Arbitrage Payback Engine'!$Y$2:$Y$6,MATCH(PaybackStatus,'Arbitrage Payback Engine'!$X$2:$X$6,FALSE)),-1)))</f>
        <v>25</v>
      </c>
      <c r="V972" s="32">
        <f t="shared" si="270"/>
        <v>15</v>
      </c>
      <c r="X972" s="29">
        <f t="shared" si="271"/>
        <v>963</v>
      </c>
      <c r="Z972" s="30">
        <f t="shared" si="262"/>
        <v>26.379947952335296</v>
      </c>
      <c r="AA972" s="28" t="e">
        <f t="shared" si="263"/>
        <v>#N/A</v>
      </c>
      <c r="AB972" s="28" t="e">
        <f t="shared" si="264"/>
        <v>#VALUE!</v>
      </c>
      <c r="AC972" s="29">
        <f t="shared" si="265"/>
        <v>913.66223908918414</v>
      </c>
      <c r="AD972" s="28" t="e">
        <f t="shared" si="266"/>
        <v>#VALUE!</v>
      </c>
      <c r="AE972" s="28" t="e">
        <f t="shared" si="267"/>
        <v>#N/A</v>
      </c>
      <c r="AF972" s="28" t="e">
        <f t="shared" si="268"/>
        <v>#VALUE!</v>
      </c>
      <c r="AH972" s="31" t="e">
        <f t="shared" si="269"/>
        <v>#N/A</v>
      </c>
      <c r="AI972" s="25"/>
      <c r="AJ972" s="31"/>
    </row>
    <row r="973" spans="2:36" x14ac:dyDescent="0.25">
      <c r="B973" s="33">
        <f>'Arbitrage Payback Engine'!E973</f>
        <v>26.407341460073962</v>
      </c>
      <c r="C973" s="33">
        <f t="shared" si="255"/>
        <v>1000</v>
      </c>
      <c r="D973" s="33">
        <f>'Battery Pricing Model'!$C$17</f>
        <v>1000</v>
      </c>
      <c r="E973" s="33">
        <f t="shared" si="256"/>
        <v>999</v>
      </c>
      <c r="F973" s="33" t="str">
        <f>'Peak Models'!$B$4</f>
        <v>Default</v>
      </c>
      <c r="G973" s="33" t="e">
        <f>'Peak Models'!$Q$7</f>
        <v>#VALUE!</v>
      </c>
      <c r="H973" s="33">
        <f>'Peak Models'!$P$16</f>
        <v>1.5</v>
      </c>
      <c r="I973" s="33">
        <v>12</v>
      </c>
      <c r="J973" s="33" t="e">
        <f>'Peak Models'!$P$13</f>
        <v>#N/A</v>
      </c>
      <c r="K973" s="28" t="e">
        <f t="shared" si="257"/>
        <v>#VALUE!</v>
      </c>
      <c r="L973" s="28" t="e">
        <f>INDEX('Peak Models'!$P$34:$P$64, MATCH(TRUNC(B973, 0), 'Peak Models'!$O$34:$O$64, 0))</f>
        <v>#N/A</v>
      </c>
      <c r="M973" s="28">
        <f>'Peak Models'!$P$15*INDEX('Peak Models'!$Q$34:$Q$64, MATCH(TRUNC(B973, 0),'Peak Models'!$O$34:$O$64, 0))/'Profit per cycles Model'!$E$78</f>
        <v>8.9425538860245055</v>
      </c>
      <c r="N973" s="28" t="e">
        <f t="shared" si="258"/>
        <v>#N/A</v>
      </c>
      <c r="O973" s="71" t="e">
        <f>AVERAGE($N$10:N973)</f>
        <v>#N/A</v>
      </c>
      <c r="P973" s="28" t="e">
        <f t="shared" si="259"/>
        <v>#N/A</v>
      </c>
      <c r="R973" s="28" t="e">
        <f t="shared" si="260"/>
        <v>#VALUE!</v>
      </c>
      <c r="S973" s="25"/>
      <c r="T973" s="25">
        <f t="shared" si="261"/>
        <v>15</v>
      </c>
      <c r="U973" s="33">
        <f>IF(PaybackCustom&gt;0, IF(PaybackCustom&lt;&gt;"Default", PaybackCustom, IF(PaybackStatus&lt;&gt;"",INDEX('Arbitrage Payback Engine'!$Y$2:$Y$6,MATCH(PaybackStatus,'Arbitrage Payback Engine'!$X$2:$X$6,FALSE)),-1)))</f>
        <v>25</v>
      </c>
      <c r="V973" s="32">
        <f t="shared" si="270"/>
        <v>15</v>
      </c>
      <c r="X973" s="29">
        <f t="shared" si="271"/>
        <v>964</v>
      </c>
      <c r="Z973" s="30">
        <f t="shared" si="262"/>
        <v>26.407341460073962</v>
      </c>
      <c r="AA973" s="28" t="e">
        <f t="shared" si="263"/>
        <v>#N/A</v>
      </c>
      <c r="AB973" s="28" t="e">
        <f t="shared" si="264"/>
        <v>#VALUE!</v>
      </c>
      <c r="AC973" s="29">
        <f t="shared" si="265"/>
        <v>914.61100569259975</v>
      </c>
      <c r="AD973" s="28" t="e">
        <f t="shared" si="266"/>
        <v>#VALUE!</v>
      </c>
      <c r="AE973" s="28" t="e">
        <f t="shared" si="267"/>
        <v>#N/A</v>
      </c>
      <c r="AF973" s="28" t="e">
        <f t="shared" si="268"/>
        <v>#VALUE!</v>
      </c>
      <c r="AH973" s="31" t="e">
        <f t="shared" si="269"/>
        <v>#N/A</v>
      </c>
      <c r="AI973" s="25"/>
      <c r="AJ973" s="31"/>
    </row>
    <row r="974" spans="2:36" x14ac:dyDescent="0.25">
      <c r="B974" s="33">
        <f>'Arbitrage Payback Engine'!E974</f>
        <v>26.434734967812627</v>
      </c>
      <c r="C974" s="33">
        <f t="shared" si="255"/>
        <v>1000</v>
      </c>
      <c r="D974" s="33">
        <f>'Battery Pricing Model'!$C$17</f>
        <v>1000</v>
      </c>
      <c r="E974" s="33">
        <f t="shared" si="256"/>
        <v>999</v>
      </c>
      <c r="F974" s="33" t="str">
        <f>'Peak Models'!$B$4</f>
        <v>Default</v>
      </c>
      <c r="G974" s="33" t="e">
        <f>'Peak Models'!$Q$7</f>
        <v>#VALUE!</v>
      </c>
      <c r="H974" s="33">
        <f>'Peak Models'!$P$16</f>
        <v>1.5</v>
      </c>
      <c r="I974" s="33">
        <v>12</v>
      </c>
      <c r="J974" s="33" t="e">
        <f>'Peak Models'!$P$13</f>
        <v>#N/A</v>
      </c>
      <c r="K974" s="28" t="e">
        <f t="shared" si="257"/>
        <v>#VALUE!</v>
      </c>
      <c r="L974" s="28" t="e">
        <f>INDEX('Peak Models'!$P$34:$P$64, MATCH(TRUNC(B974, 0), 'Peak Models'!$O$34:$O$64, 0))</f>
        <v>#N/A</v>
      </c>
      <c r="M974" s="28">
        <f>'Peak Models'!$P$15*INDEX('Peak Models'!$Q$34:$Q$64, MATCH(TRUNC(B974, 0),'Peak Models'!$O$34:$O$64, 0))/'Profit per cycles Model'!$E$78</f>
        <v>8.9425538860245055</v>
      </c>
      <c r="N974" s="28" t="e">
        <f t="shared" si="258"/>
        <v>#N/A</v>
      </c>
      <c r="O974" s="71" t="e">
        <f>AVERAGE($N$10:N974)</f>
        <v>#N/A</v>
      </c>
      <c r="P974" s="28" t="e">
        <f t="shared" si="259"/>
        <v>#N/A</v>
      </c>
      <c r="R974" s="28" t="e">
        <f t="shared" si="260"/>
        <v>#VALUE!</v>
      </c>
      <c r="S974" s="25"/>
      <c r="T974" s="25">
        <f t="shared" si="261"/>
        <v>15</v>
      </c>
      <c r="U974" s="33">
        <f>IF(PaybackCustom&gt;0, IF(PaybackCustom&lt;&gt;"Default", PaybackCustom, IF(PaybackStatus&lt;&gt;"",INDEX('Arbitrage Payback Engine'!$Y$2:$Y$6,MATCH(PaybackStatus,'Arbitrage Payback Engine'!$X$2:$X$6,FALSE)),-1)))</f>
        <v>25</v>
      </c>
      <c r="V974" s="32">
        <f t="shared" si="270"/>
        <v>15</v>
      </c>
      <c r="X974" s="29">
        <f t="shared" si="271"/>
        <v>965</v>
      </c>
      <c r="Z974" s="30">
        <f t="shared" si="262"/>
        <v>26.434734967812627</v>
      </c>
      <c r="AA974" s="28" t="e">
        <f t="shared" si="263"/>
        <v>#N/A</v>
      </c>
      <c r="AB974" s="28" t="e">
        <f t="shared" si="264"/>
        <v>#VALUE!</v>
      </c>
      <c r="AC974" s="29">
        <f t="shared" si="265"/>
        <v>915.55977229601513</v>
      </c>
      <c r="AD974" s="28" t="e">
        <f t="shared" si="266"/>
        <v>#VALUE!</v>
      </c>
      <c r="AE974" s="28" t="e">
        <f t="shared" si="267"/>
        <v>#N/A</v>
      </c>
      <c r="AF974" s="28" t="e">
        <f t="shared" si="268"/>
        <v>#VALUE!</v>
      </c>
      <c r="AH974" s="31" t="e">
        <f t="shared" si="269"/>
        <v>#N/A</v>
      </c>
      <c r="AI974" s="25"/>
      <c r="AJ974" s="31"/>
    </row>
    <row r="975" spans="2:36" x14ac:dyDescent="0.25">
      <c r="B975" s="33">
        <f>'Arbitrage Payback Engine'!E975</f>
        <v>26.462128475551292</v>
      </c>
      <c r="C975" s="33">
        <f t="shared" si="255"/>
        <v>1000</v>
      </c>
      <c r="D975" s="33">
        <f>'Battery Pricing Model'!$C$17</f>
        <v>1000</v>
      </c>
      <c r="E975" s="33">
        <f t="shared" si="256"/>
        <v>999</v>
      </c>
      <c r="F975" s="33" t="str">
        <f>'Peak Models'!$B$4</f>
        <v>Default</v>
      </c>
      <c r="G975" s="33" t="e">
        <f>'Peak Models'!$Q$7</f>
        <v>#VALUE!</v>
      </c>
      <c r="H975" s="33">
        <f>'Peak Models'!$P$16</f>
        <v>1.5</v>
      </c>
      <c r="I975" s="33">
        <v>12</v>
      </c>
      <c r="J975" s="33" t="e">
        <f>'Peak Models'!$P$13</f>
        <v>#N/A</v>
      </c>
      <c r="K975" s="28" t="e">
        <f t="shared" si="257"/>
        <v>#VALUE!</v>
      </c>
      <c r="L975" s="28" t="e">
        <f>INDEX('Peak Models'!$P$34:$P$64, MATCH(TRUNC(B975, 0), 'Peak Models'!$O$34:$O$64, 0))</f>
        <v>#N/A</v>
      </c>
      <c r="M975" s="28">
        <f>'Peak Models'!$P$15*INDEX('Peak Models'!$Q$34:$Q$64, MATCH(TRUNC(B975, 0),'Peak Models'!$O$34:$O$64, 0))/'Profit per cycles Model'!$E$78</f>
        <v>8.9425538860245055</v>
      </c>
      <c r="N975" s="28" t="e">
        <f t="shared" si="258"/>
        <v>#N/A</v>
      </c>
      <c r="O975" s="71" t="e">
        <f>AVERAGE($N$10:N975)</f>
        <v>#N/A</v>
      </c>
      <c r="P975" s="28" t="e">
        <f t="shared" si="259"/>
        <v>#N/A</v>
      </c>
      <c r="R975" s="28" t="e">
        <f t="shared" si="260"/>
        <v>#VALUE!</v>
      </c>
      <c r="S975" s="25"/>
      <c r="T975" s="25">
        <f t="shared" si="261"/>
        <v>15</v>
      </c>
      <c r="U975" s="33">
        <f>IF(PaybackCustom&gt;0, IF(PaybackCustom&lt;&gt;"Default", PaybackCustom, IF(PaybackStatus&lt;&gt;"",INDEX('Arbitrage Payback Engine'!$Y$2:$Y$6,MATCH(PaybackStatus,'Arbitrage Payback Engine'!$X$2:$X$6,FALSE)),-1)))</f>
        <v>25</v>
      </c>
      <c r="V975" s="32">
        <f t="shared" si="270"/>
        <v>15</v>
      </c>
      <c r="X975" s="29">
        <f t="shared" si="271"/>
        <v>966</v>
      </c>
      <c r="Z975" s="30">
        <f t="shared" si="262"/>
        <v>26.462128475551292</v>
      </c>
      <c r="AA975" s="28" t="e">
        <f t="shared" si="263"/>
        <v>#N/A</v>
      </c>
      <c r="AB975" s="28" t="e">
        <f t="shared" si="264"/>
        <v>#VALUE!</v>
      </c>
      <c r="AC975" s="29">
        <f t="shared" si="265"/>
        <v>916.50853889943073</v>
      </c>
      <c r="AD975" s="28" t="e">
        <f t="shared" si="266"/>
        <v>#VALUE!</v>
      </c>
      <c r="AE975" s="28" t="e">
        <f t="shared" si="267"/>
        <v>#N/A</v>
      </c>
      <c r="AF975" s="28" t="e">
        <f t="shared" si="268"/>
        <v>#VALUE!</v>
      </c>
      <c r="AH975" s="31" t="e">
        <f t="shared" si="269"/>
        <v>#N/A</v>
      </c>
      <c r="AI975" s="25"/>
      <c r="AJ975" s="31"/>
    </row>
    <row r="976" spans="2:36" x14ac:dyDescent="0.25">
      <c r="B976" s="33">
        <f>'Arbitrage Payback Engine'!E976</f>
        <v>26.489521983289958</v>
      </c>
      <c r="C976" s="33">
        <f t="shared" si="255"/>
        <v>1000</v>
      </c>
      <c r="D976" s="33">
        <f>'Battery Pricing Model'!$C$17</f>
        <v>1000</v>
      </c>
      <c r="E976" s="33">
        <f t="shared" si="256"/>
        <v>999</v>
      </c>
      <c r="F976" s="33" t="str">
        <f>'Peak Models'!$B$4</f>
        <v>Default</v>
      </c>
      <c r="G976" s="33" t="e">
        <f>'Peak Models'!$Q$7</f>
        <v>#VALUE!</v>
      </c>
      <c r="H976" s="33">
        <f>'Peak Models'!$P$16</f>
        <v>1.5</v>
      </c>
      <c r="I976" s="33">
        <v>12</v>
      </c>
      <c r="J976" s="33" t="e">
        <f>'Peak Models'!$P$13</f>
        <v>#N/A</v>
      </c>
      <c r="K976" s="28" t="e">
        <f t="shared" si="257"/>
        <v>#VALUE!</v>
      </c>
      <c r="L976" s="28" t="e">
        <f>INDEX('Peak Models'!$P$34:$P$64, MATCH(TRUNC(B976, 0), 'Peak Models'!$O$34:$O$64, 0))</f>
        <v>#N/A</v>
      </c>
      <c r="M976" s="28">
        <f>'Peak Models'!$P$15*INDEX('Peak Models'!$Q$34:$Q$64, MATCH(TRUNC(B976, 0),'Peak Models'!$O$34:$O$64, 0))/'Profit per cycles Model'!$E$78</f>
        <v>8.9425538860245055</v>
      </c>
      <c r="N976" s="28" t="e">
        <f t="shared" si="258"/>
        <v>#N/A</v>
      </c>
      <c r="O976" s="71" t="e">
        <f>AVERAGE($N$10:N976)</f>
        <v>#N/A</v>
      </c>
      <c r="P976" s="28" t="e">
        <f t="shared" si="259"/>
        <v>#N/A</v>
      </c>
      <c r="R976" s="28" t="e">
        <f t="shared" si="260"/>
        <v>#VALUE!</v>
      </c>
      <c r="S976" s="25"/>
      <c r="T976" s="25">
        <f t="shared" si="261"/>
        <v>15</v>
      </c>
      <c r="U976" s="33">
        <f>IF(PaybackCustom&gt;0, IF(PaybackCustom&lt;&gt;"Default", PaybackCustom, IF(PaybackStatus&lt;&gt;"",INDEX('Arbitrage Payback Engine'!$Y$2:$Y$6,MATCH(PaybackStatus,'Arbitrage Payback Engine'!$X$2:$X$6,FALSE)),-1)))</f>
        <v>25</v>
      </c>
      <c r="V976" s="32">
        <f t="shared" si="270"/>
        <v>15</v>
      </c>
      <c r="X976" s="29">
        <f t="shared" si="271"/>
        <v>967</v>
      </c>
      <c r="Z976" s="30">
        <f t="shared" si="262"/>
        <v>26.489521983289958</v>
      </c>
      <c r="AA976" s="28" t="e">
        <f t="shared" si="263"/>
        <v>#N/A</v>
      </c>
      <c r="AB976" s="28" t="e">
        <f t="shared" si="264"/>
        <v>#VALUE!</v>
      </c>
      <c r="AC976" s="29">
        <f t="shared" si="265"/>
        <v>917.45730550284622</v>
      </c>
      <c r="AD976" s="28" t="e">
        <f t="shared" si="266"/>
        <v>#VALUE!</v>
      </c>
      <c r="AE976" s="28" t="e">
        <f t="shared" si="267"/>
        <v>#N/A</v>
      </c>
      <c r="AF976" s="28" t="e">
        <f t="shared" si="268"/>
        <v>#VALUE!</v>
      </c>
      <c r="AH976" s="31" t="e">
        <f t="shared" si="269"/>
        <v>#N/A</v>
      </c>
      <c r="AI976" s="25"/>
      <c r="AJ976" s="31"/>
    </row>
    <row r="977" spans="2:36" x14ac:dyDescent="0.25">
      <c r="B977" s="33">
        <f>'Arbitrage Payback Engine'!E977</f>
        <v>26.516915491028627</v>
      </c>
      <c r="C977" s="33">
        <f t="shared" si="255"/>
        <v>1000</v>
      </c>
      <c r="D977" s="33">
        <f>'Battery Pricing Model'!$C$17</f>
        <v>1000</v>
      </c>
      <c r="E977" s="33">
        <f t="shared" si="256"/>
        <v>999</v>
      </c>
      <c r="F977" s="33" t="str">
        <f>'Peak Models'!$B$4</f>
        <v>Default</v>
      </c>
      <c r="G977" s="33" t="e">
        <f>'Peak Models'!$Q$7</f>
        <v>#VALUE!</v>
      </c>
      <c r="H977" s="33">
        <f>'Peak Models'!$P$16</f>
        <v>1.5</v>
      </c>
      <c r="I977" s="33">
        <v>12</v>
      </c>
      <c r="J977" s="33" t="e">
        <f>'Peak Models'!$P$13</f>
        <v>#N/A</v>
      </c>
      <c r="K977" s="28" t="e">
        <f t="shared" si="257"/>
        <v>#VALUE!</v>
      </c>
      <c r="L977" s="28" t="e">
        <f>INDEX('Peak Models'!$P$34:$P$64, MATCH(TRUNC(B977, 0), 'Peak Models'!$O$34:$O$64, 0))</f>
        <v>#N/A</v>
      </c>
      <c r="M977" s="28">
        <f>'Peak Models'!$P$15*INDEX('Peak Models'!$Q$34:$Q$64, MATCH(TRUNC(B977, 0),'Peak Models'!$O$34:$O$64, 0))/'Profit per cycles Model'!$E$78</f>
        <v>8.9425538860245055</v>
      </c>
      <c r="N977" s="28" t="e">
        <f t="shared" si="258"/>
        <v>#N/A</v>
      </c>
      <c r="O977" s="71" t="e">
        <f>AVERAGE($N$10:N977)</f>
        <v>#N/A</v>
      </c>
      <c r="P977" s="28" t="e">
        <f t="shared" si="259"/>
        <v>#N/A</v>
      </c>
      <c r="R977" s="28" t="e">
        <f t="shared" si="260"/>
        <v>#VALUE!</v>
      </c>
      <c r="S977" s="25"/>
      <c r="T977" s="25">
        <f t="shared" si="261"/>
        <v>15</v>
      </c>
      <c r="U977" s="33">
        <f>IF(PaybackCustom&gt;0, IF(PaybackCustom&lt;&gt;"Default", PaybackCustom, IF(PaybackStatus&lt;&gt;"",INDEX('Arbitrage Payback Engine'!$Y$2:$Y$6,MATCH(PaybackStatus,'Arbitrage Payback Engine'!$X$2:$X$6,FALSE)),-1)))</f>
        <v>25</v>
      </c>
      <c r="V977" s="32">
        <f t="shared" si="270"/>
        <v>15</v>
      </c>
      <c r="X977" s="29">
        <f t="shared" si="271"/>
        <v>968</v>
      </c>
      <c r="Z977" s="30">
        <f t="shared" si="262"/>
        <v>26.516915491028627</v>
      </c>
      <c r="AA977" s="28" t="e">
        <f t="shared" si="263"/>
        <v>#N/A</v>
      </c>
      <c r="AB977" s="28" t="e">
        <f t="shared" si="264"/>
        <v>#VALUE!</v>
      </c>
      <c r="AC977" s="29">
        <f t="shared" si="265"/>
        <v>918.40607210626195</v>
      </c>
      <c r="AD977" s="28" t="e">
        <f t="shared" si="266"/>
        <v>#VALUE!</v>
      </c>
      <c r="AE977" s="28" t="e">
        <f t="shared" si="267"/>
        <v>#N/A</v>
      </c>
      <c r="AF977" s="28" t="e">
        <f t="shared" si="268"/>
        <v>#VALUE!</v>
      </c>
      <c r="AH977" s="31" t="e">
        <f t="shared" si="269"/>
        <v>#N/A</v>
      </c>
      <c r="AI977" s="25"/>
      <c r="AJ977" s="31"/>
    </row>
    <row r="978" spans="2:36" x14ac:dyDescent="0.25">
      <c r="B978" s="33">
        <f>'Arbitrage Payback Engine'!E978</f>
        <v>26.544308998767292</v>
      </c>
      <c r="C978" s="33">
        <f t="shared" si="255"/>
        <v>1000</v>
      </c>
      <c r="D978" s="33">
        <f>'Battery Pricing Model'!$C$17</f>
        <v>1000</v>
      </c>
      <c r="E978" s="33">
        <f t="shared" si="256"/>
        <v>999</v>
      </c>
      <c r="F978" s="33" t="str">
        <f>'Peak Models'!$B$4</f>
        <v>Default</v>
      </c>
      <c r="G978" s="33" t="e">
        <f>'Peak Models'!$Q$7</f>
        <v>#VALUE!</v>
      </c>
      <c r="H978" s="33">
        <f>'Peak Models'!$P$16</f>
        <v>1.5</v>
      </c>
      <c r="I978" s="33">
        <v>12</v>
      </c>
      <c r="J978" s="33" t="e">
        <f>'Peak Models'!$P$13</f>
        <v>#N/A</v>
      </c>
      <c r="K978" s="28" t="e">
        <f t="shared" si="257"/>
        <v>#VALUE!</v>
      </c>
      <c r="L978" s="28" t="e">
        <f>INDEX('Peak Models'!$P$34:$P$64, MATCH(TRUNC(B978, 0), 'Peak Models'!$O$34:$O$64, 0))</f>
        <v>#N/A</v>
      </c>
      <c r="M978" s="28">
        <f>'Peak Models'!$P$15*INDEX('Peak Models'!$Q$34:$Q$64, MATCH(TRUNC(B978, 0),'Peak Models'!$O$34:$O$64, 0))/'Profit per cycles Model'!$E$78</f>
        <v>8.9425538860245055</v>
      </c>
      <c r="N978" s="28" t="e">
        <f t="shared" si="258"/>
        <v>#N/A</v>
      </c>
      <c r="O978" s="71" t="e">
        <f>AVERAGE($N$10:N978)</f>
        <v>#N/A</v>
      </c>
      <c r="P978" s="28" t="e">
        <f t="shared" si="259"/>
        <v>#N/A</v>
      </c>
      <c r="R978" s="28" t="e">
        <f t="shared" si="260"/>
        <v>#VALUE!</v>
      </c>
      <c r="S978" s="25"/>
      <c r="T978" s="25">
        <f t="shared" si="261"/>
        <v>15</v>
      </c>
      <c r="U978" s="33">
        <f>IF(PaybackCustom&gt;0, IF(PaybackCustom&lt;&gt;"Default", PaybackCustom, IF(PaybackStatus&lt;&gt;"",INDEX('Arbitrage Payback Engine'!$Y$2:$Y$6,MATCH(PaybackStatus,'Arbitrage Payback Engine'!$X$2:$X$6,FALSE)),-1)))</f>
        <v>25</v>
      </c>
      <c r="V978" s="32">
        <f t="shared" si="270"/>
        <v>15</v>
      </c>
      <c r="X978" s="29">
        <f t="shared" si="271"/>
        <v>969</v>
      </c>
      <c r="Z978" s="30">
        <f t="shared" si="262"/>
        <v>26.544308998767292</v>
      </c>
      <c r="AA978" s="28" t="e">
        <f t="shared" si="263"/>
        <v>#N/A</v>
      </c>
      <c r="AB978" s="28" t="e">
        <f t="shared" si="264"/>
        <v>#VALUE!</v>
      </c>
      <c r="AC978" s="29">
        <f t="shared" si="265"/>
        <v>919.35483870967755</v>
      </c>
      <c r="AD978" s="28" t="e">
        <f t="shared" si="266"/>
        <v>#VALUE!</v>
      </c>
      <c r="AE978" s="28" t="e">
        <f t="shared" si="267"/>
        <v>#N/A</v>
      </c>
      <c r="AF978" s="28" t="e">
        <f t="shared" si="268"/>
        <v>#VALUE!</v>
      </c>
      <c r="AH978" s="31" t="e">
        <f t="shared" si="269"/>
        <v>#N/A</v>
      </c>
      <c r="AI978" s="25"/>
      <c r="AJ978" s="31"/>
    </row>
    <row r="979" spans="2:36" x14ac:dyDescent="0.25">
      <c r="B979" s="33">
        <f>'Arbitrage Payback Engine'!E979</f>
        <v>26.571702506505957</v>
      </c>
      <c r="C979" s="33">
        <f t="shared" si="255"/>
        <v>1000</v>
      </c>
      <c r="D979" s="33">
        <f>'Battery Pricing Model'!$C$17</f>
        <v>1000</v>
      </c>
      <c r="E979" s="33">
        <f t="shared" si="256"/>
        <v>999</v>
      </c>
      <c r="F979" s="33" t="str">
        <f>'Peak Models'!$B$4</f>
        <v>Default</v>
      </c>
      <c r="G979" s="33" t="e">
        <f>'Peak Models'!$Q$7</f>
        <v>#VALUE!</v>
      </c>
      <c r="H979" s="33">
        <f>'Peak Models'!$P$16</f>
        <v>1.5</v>
      </c>
      <c r="I979" s="33">
        <v>12</v>
      </c>
      <c r="J979" s="33" t="e">
        <f>'Peak Models'!$P$13</f>
        <v>#N/A</v>
      </c>
      <c r="K979" s="28" t="e">
        <f t="shared" si="257"/>
        <v>#VALUE!</v>
      </c>
      <c r="L979" s="28" t="e">
        <f>INDEX('Peak Models'!$P$34:$P$64, MATCH(TRUNC(B979, 0), 'Peak Models'!$O$34:$O$64, 0))</f>
        <v>#N/A</v>
      </c>
      <c r="M979" s="28">
        <f>'Peak Models'!$P$15*INDEX('Peak Models'!$Q$34:$Q$64, MATCH(TRUNC(B979, 0),'Peak Models'!$O$34:$O$64, 0))/'Profit per cycles Model'!$E$78</f>
        <v>8.9425538860245055</v>
      </c>
      <c r="N979" s="28" t="e">
        <f t="shared" si="258"/>
        <v>#N/A</v>
      </c>
      <c r="O979" s="71" t="e">
        <f>AVERAGE($N$10:N979)</f>
        <v>#N/A</v>
      </c>
      <c r="P979" s="28" t="e">
        <f t="shared" si="259"/>
        <v>#N/A</v>
      </c>
      <c r="R979" s="28" t="e">
        <f t="shared" si="260"/>
        <v>#VALUE!</v>
      </c>
      <c r="S979" s="25"/>
      <c r="T979" s="25">
        <f t="shared" si="261"/>
        <v>15</v>
      </c>
      <c r="U979" s="33">
        <f>IF(PaybackCustom&gt;0, IF(PaybackCustom&lt;&gt;"Default", PaybackCustom, IF(PaybackStatus&lt;&gt;"",INDEX('Arbitrage Payback Engine'!$Y$2:$Y$6,MATCH(PaybackStatus,'Arbitrage Payback Engine'!$X$2:$X$6,FALSE)),-1)))</f>
        <v>25</v>
      </c>
      <c r="V979" s="32">
        <f t="shared" si="270"/>
        <v>15</v>
      </c>
      <c r="X979" s="29">
        <f t="shared" si="271"/>
        <v>970</v>
      </c>
      <c r="Z979" s="30">
        <f t="shared" si="262"/>
        <v>26.571702506505957</v>
      </c>
      <c r="AA979" s="28" t="e">
        <f t="shared" si="263"/>
        <v>#N/A</v>
      </c>
      <c r="AB979" s="28" t="e">
        <f t="shared" si="264"/>
        <v>#VALUE!</v>
      </c>
      <c r="AC979" s="29">
        <f t="shared" si="265"/>
        <v>920.30360531309304</v>
      </c>
      <c r="AD979" s="28" t="e">
        <f t="shared" si="266"/>
        <v>#VALUE!</v>
      </c>
      <c r="AE979" s="28" t="e">
        <f t="shared" si="267"/>
        <v>#N/A</v>
      </c>
      <c r="AF979" s="28" t="e">
        <f t="shared" si="268"/>
        <v>#VALUE!</v>
      </c>
      <c r="AH979" s="31" t="e">
        <f t="shared" si="269"/>
        <v>#N/A</v>
      </c>
      <c r="AI979" s="25"/>
      <c r="AJ979" s="31"/>
    </row>
    <row r="980" spans="2:36" x14ac:dyDescent="0.25">
      <c r="B980" s="33">
        <f>'Arbitrage Payback Engine'!E980</f>
        <v>26.599096014244623</v>
      </c>
      <c r="C980" s="33">
        <f t="shared" si="255"/>
        <v>1000</v>
      </c>
      <c r="D980" s="33">
        <f>'Battery Pricing Model'!$C$17</f>
        <v>1000</v>
      </c>
      <c r="E980" s="33">
        <f t="shared" si="256"/>
        <v>999</v>
      </c>
      <c r="F980" s="33" t="str">
        <f>'Peak Models'!$B$4</f>
        <v>Default</v>
      </c>
      <c r="G980" s="33" t="e">
        <f>'Peak Models'!$Q$7</f>
        <v>#VALUE!</v>
      </c>
      <c r="H980" s="33">
        <f>'Peak Models'!$P$16</f>
        <v>1.5</v>
      </c>
      <c r="I980" s="33">
        <v>12</v>
      </c>
      <c r="J980" s="33" t="e">
        <f>'Peak Models'!$P$13</f>
        <v>#N/A</v>
      </c>
      <c r="K980" s="28" t="e">
        <f t="shared" si="257"/>
        <v>#VALUE!</v>
      </c>
      <c r="L980" s="28" t="e">
        <f>INDEX('Peak Models'!$P$34:$P$64, MATCH(TRUNC(B980, 0), 'Peak Models'!$O$34:$O$64, 0))</f>
        <v>#N/A</v>
      </c>
      <c r="M980" s="28">
        <f>'Peak Models'!$P$15*INDEX('Peak Models'!$Q$34:$Q$64, MATCH(TRUNC(B980, 0),'Peak Models'!$O$34:$O$64, 0))/'Profit per cycles Model'!$E$78</f>
        <v>8.9425538860245055</v>
      </c>
      <c r="N980" s="28" t="e">
        <f t="shared" si="258"/>
        <v>#N/A</v>
      </c>
      <c r="O980" s="71" t="e">
        <f>AVERAGE($N$10:N980)</f>
        <v>#N/A</v>
      </c>
      <c r="P980" s="28" t="e">
        <f t="shared" si="259"/>
        <v>#N/A</v>
      </c>
      <c r="R980" s="28" t="e">
        <f t="shared" si="260"/>
        <v>#VALUE!</v>
      </c>
      <c r="S980" s="25"/>
      <c r="T980" s="25">
        <f t="shared" si="261"/>
        <v>15</v>
      </c>
      <c r="U980" s="33">
        <f>IF(PaybackCustom&gt;0, IF(PaybackCustom&lt;&gt;"Default", PaybackCustom, IF(PaybackStatus&lt;&gt;"",INDEX('Arbitrage Payback Engine'!$Y$2:$Y$6,MATCH(PaybackStatus,'Arbitrage Payback Engine'!$X$2:$X$6,FALSE)),-1)))</f>
        <v>25</v>
      </c>
      <c r="V980" s="32">
        <f t="shared" si="270"/>
        <v>15</v>
      </c>
      <c r="X980" s="29">
        <f t="shared" si="271"/>
        <v>971</v>
      </c>
      <c r="Z980" s="30">
        <f t="shared" si="262"/>
        <v>26.599096014244623</v>
      </c>
      <c r="AA980" s="28" t="e">
        <f t="shared" si="263"/>
        <v>#N/A</v>
      </c>
      <c r="AB980" s="28" t="e">
        <f t="shared" si="264"/>
        <v>#VALUE!</v>
      </c>
      <c r="AC980" s="29">
        <f t="shared" si="265"/>
        <v>921.25237191650854</v>
      </c>
      <c r="AD980" s="28" t="e">
        <f t="shared" si="266"/>
        <v>#VALUE!</v>
      </c>
      <c r="AE980" s="28" t="e">
        <f t="shared" si="267"/>
        <v>#N/A</v>
      </c>
      <c r="AF980" s="28" t="e">
        <f t="shared" si="268"/>
        <v>#VALUE!</v>
      </c>
      <c r="AH980" s="31" t="e">
        <f t="shared" si="269"/>
        <v>#N/A</v>
      </c>
      <c r="AI980" s="25"/>
      <c r="AJ980" s="31"/>
    </row>
    <row r="981" spans="2:36" x14ac:dyDescent="0.25">
      <c r="B981" s="33">
        <f>'Arbitrage Payback Engine'!E981</f>
        <v>26.626489521983288</v>
      </c>
      <c r="C981" s="33">
        <f t="shared" si="255"/>
        <v>1000</v>
      </c>
      <c r="D981" s="33">
        <f>'Battery Pricing Model'!$C$17</f>
        <v>1000</v>
      </c>
      <c r="E981" s="33">
        <f t="shared" si="256"/>
        <v>999</v>
      </c>
      <c r="F981" s="33" t="str">
        <f>'Peak Models'!$B$4</f>
        <v>Default</v>
      </c>
      <c r="G981" s="33" t="e">
        <f>'Peak Models'!$Q$7</f>
        <v>#VALUE!</v>
      </c>
      <c r="H981" s="33">
        <f>'Peak Models'!$P$16</f>
        <v>1.5</v>
      </c>
      <c r="I981" s="33">
        <v>12</v>
      </c>
      <c r="J981" s="33" t="e">
        <f>'Peak Models'!$P$13</f>
        <v>#N/A</v>
      </c>
      <c r="K981" s="28" t="e">
        <f t="shared" si="257"/>
        <v>#VALUE!</v>
      </c>
      <c r="L981" s="28" t="e">
        <f>INDEX('Peak Models'!$P$34:$P$64, MATCH(TRUNC(B981, 0), 'Peak Models'!$O$34:$O$64, 0))</f>
        <v>#N/A</v>
      </c>
      <c r="M981" s="28">
        <f>'Peak Models'!$P$15*INDEX('Peak Models'!$Q$34:$Q$64, MATCH(TRUNC(B981, 0),'Peak Models'!$O$34:$O$64, 0))/'Profit per cycles Model'!$E$78</f>
        <v>8.9425538860245055</v>
      </c>
      <c r="N981" s="28" t="e">
        <f t="shared" si="258"/>
        <v>#N/A</v>
      </c>
      <c r="O981" s="71" t="e">
        <f>AVERAGE($N$10:N981)</f>
        <v>#N/A</v>
      </c>
      <c r="P981" s="28" t="e">
        <f t="shared" si="259"/>
        <v>#N/A</v>
      </c>
      <c r="R981" s="28" t="e">
        <f t="shared" si="260"/>
        <v>#VALUE!</v>
      </c>
      <c r="S981" s="25"/>
      <c r="T981" s="25">
        <f t="shared" si="261"/>
        <v>15</v>
      </c>
      <c r="U981" s="33">
        <f>IF(PaybackCustom&gt;0, IF(PaybackCustom&lt;&gt;"Default", PaybackCustom, IF(PaybackStatus&lt;&gt;"",INDEX('Arbitrage Payback Engine'!$Y$2:$Y$6,MATCH(PaybackStatus,'Arbitrage Payback Engine'!$X$2:$X$6,FALSE)),-1)))</f>
        <v>25</v>
      </c>
      <c r="V981" s="32">
        <f t="shared" si="270"/>
        <v>15</v>
      </c>
      <c r="X981" s="29">
        <f t="shared" si="271"/>
        <v>972</v>
      </c>
      <c r="Z981" s="30">
        <f t="shared" si="262"/>
        <v>26.626489521983288</v>
      </c>
      <c r="AA981" s="28" t="e">
        <f t="shared" si="263"/>
        <v>#N/A</v>
      </c>
      <c r="AB981" s="28" t="e">
        <f t="shared" si="264"/>
        <v>#VALUE!</v>
      </c>
      <c r="AC981" s="29">
        <f t="shared" si="265"/>
        <v>922.20113851992403</v>
      </c>
      <c r="AD981" s="28" t="e">
        <f t="shared" si="266"/>
        <v>#VALUE!</v>
      </c>
      <c r="AE981" s="28" t="e">
        <f t="shared" si="267"/>
        <v>#N/A</v>
      </c>
      <c r="AF981" s="28" t="e">
        <f t="shared" si="268"/>
        <v>#VALUE!</v>
      </c>
      <c r="AH981" s="31" t="e">
        <f t="shared" si="269"/>
        <v>#N/A</v>
      </c>
      <c r="AI981" s="25"/>
      <c r="AJ981" s="31"/>
    </row>
    <row r="982" spans="2:36" x14ac:dyDescent="0.25">
      <c r="B982" s="33">
        <f>'Arbitrage Payback Engine'!E982</f>
        <v>26.653883029721953</v>
      </c>
      <c r="C982" s="33">
        <f t="shared" si="255"/>
        <v>1000</v>
      </c>
      <c r="D982" s="33">
        <f>'Battery Pricing Model'!$C$17</f>
        <v>1000</v>
      </c>
      <c r="E982" s="33">
        <f t="shared" si="256"/>
        <v>999</v>
      </c>
      <c r="F982" s="33" t="str">
        <f>'Peak Models'!$B$4</f>
        <v>Default</v>
      </c>
      <c r="G982" s="33" t="e">
        <f>'Peak Models'!$Q$7</f>
        <v>#VALUE!</v>
      </c>
      <c r="H982" s="33">
        <f>'Peak Models'!$P$16</f>
        <v>1.5</v>
      </c>
      <c r="I982" s="33">
        <v>12</v>
      </c>
      <c r="J982" s="33" t="e">
        <f>'Peak Models'!$P$13</f>
        <v>#N/A</v>
      </c>
      <c r="K982" s="28" t="e">
        <f t="shared" si="257"/>
        <v>#VALUE!</v>
      </c>
      <c r="L982" s="28" t="e">
        <f>INDEX('Peak Models'!$P$34:$P$64, MATCH(TRUNC(B982, 0), 'Peak Models'!$O$34:$O$64, 0))</f>
        <v>#N/A</v>
      </c>
      <c r="M982" s="28">
        <f>'Peak Models'!$P$15*INDEX('Peak Models'!$Q$34:$Q$64, MATCH(TRUNC(B982, 0),'Peak Models'!$O$34:$O$64, 0))/'Profit per cycles Model'!$E$78</f>
        <v>8.9425538860245055</v>
      </c>
      <c r="N982" s="28" t="e">
        <f t="shared" si="258"/>
        <v>#N/A</v>
      </c>
      <c r="O982" s="71" t="e">
        <f>AVERAGE($N$10:N982)</f>
        <v>#N/A</v>
      </c>
      <c r="P982" s="28" t="e">
        <f t="shared" si="259"/>
        <v>#N/A</v>
      </c>
      <c r="R982" s="28" t="e">
        <f t="shared" si="260"/>
        <v>#VALUE!</v>
      </c>
      <c r="S982" s="25"/>
      <c r="T982" s="25">
        <f t="shared" si="261"/>
        <v>15</v>
      </c>
      <c r="U982" s="33">
        <f>IF(PaybackCustom&gt;0, IF(PaybackCustom&lt;&gt;"Default", PaybackCustom, IF(PaybackStatus&lt;&gt;"",INDEX('Arbitrage Payback Engine'!$Y$2:$Y$6,MATCH(PaybackStatus,'Arbitrage Payback Engine'!$X$2:$X$6,FALSE)),-1)))</f>
        <v>25</v>
      </c>
      <c r="V982" s="32">
        <f t="shared" si="270"/>
        <v>15</v>
      </c>
      <c r="X982" s="29">
        <f t="shared" si="271"/>
        <v>973</v>
      </c>
      <c r="Z982" s="30">
        <f t="shared" si="262"/>
        <v>26.653883029721953</v>
      </c>
      <c r="AA982" s="28" t="e">
        <f t="shared" si="263"/>
        <v>#N/A</v>
      </c>
      <c r="AB982" s="28" t="e">
        <f t="shared" si="264"/>
        <v>#VALUE!</v>
      </c>
      <c r="AC982" s="29">
        <f t="shared" si="265"/>
        <v>923.14990512333964</v>
      </c>
      <c r="AD982" s="28" t="e">
        <f t="shared" si="266"/>
        <v>#VALUE!</v>
      </c>
      <c r="AE982" s="28" t="e">
        <f t="shared" si="267"/>
        <v>#N/A</v>
      </c>
      <c r="AF982" s="28" t="e">
        <f t="shared" si="268"/>
        <v>#VALUE!</v>
      </c>
      <c r="AH982" s="31" t="e">
        <f t="shared" si="269"/>
        <v>#N/A</v>
      </c>
      <c r="AI982" s="25"/>
      <c r="AJ982" s="31"/>
    </row>
    <row r="983" spans="2:36" x14ac:dyDescent="0.25">
      <c r="B983" s="33">
        <f>'Arbitrage Payback Engine'!E983</f>
        <v>26.681276537460622</v>
      </c>
      <c r="C983" s="33">
        <f t="shared" si="255"/>
        <v>1000</v>
      </c>
      <c r="D983" s="33">
        <f>'Battery Pricing Model'!$C$17</f>
        <v>1000</v>
      </c>
      <c r="E983" s="33">
        <f t="shared" si="256"/>
        <v>999</v>
      </c>
      <c r="F983" s="33" t="str">
        <f>'Peak Models'!$B$4</f>
        <v>Default</v>
      </c>
      <c r="G983" s="33" t="e">
        <f>'Peak Models'!$Q$7</f>
        <v>#VALUE!</v>
      </c>
      <c r="H983" s="33">
        <f>'Peak Models'!$P$16</f>
        <v>1.5</v>
      </c>
      <c r="I983" s="33">
        <v>12</v>
      </c>
      <c r="J983" s="33" t="e">
        <f>'Peak Models'!$P$13</f>
        <v>#N/A</v>
      </c>
      <c r="K983" s="28" t="e">
        <f t="shared" si="257"/>
        <v>#VALUE!</v>
      </c>
      <c r="L983" s="28" t="e">
        <f>INDEX('Peak Models'!$P$34:$P$64, MATCH(TRUNC(B983, 0), 'Peak Models'!$O$34:$O$64, 0))</f>
        <v>#N/A</v>
      </c>
      <c r="M983" s="28">
        <f>'Peak Models'!$P$15*INDEX('Peak Models'!$Q$34:$Q$64, MATCH(TRUNC(B983, 0),'Peak Models'!$O$34:$O$64, 0))/'Profit per cycles Model'!$E$78</f>
        <v>8.9425538860245055</v>
      </c>
      <c r="N983" s="28" t="e">
        <f t="shared" si="258"/>
        <v>#N/A</v>
      </c>
      <c r="O983" s="71" t="e">
        <f>AVERAGE($N$10:N983)</f>
        <v>#N/A</v>
      </c>
      <c r="P983" s="28" t="e">
        <f t="shared" si="259"/>
        <v>#N/A</v>
      </c>
      <c r="R983" s="28" t="e">
        <f t="shared" si="260"/>
        <v>#VALUE!</v>
      </c>
      <c r="S983" s="25"/>
      <c r="T983" s="25">
        <f t="shared" si="261"/>
        <v>15</v>
      </c>
      <c r="U983" s="33">
        <f>IF(PaybackCustom&gt;0, IF(PaybackCustom&lt;&gt;"Default", PaybackCustom, IF(PaybackStatus&lt;&gt;"",INDEX('Arbitrage Payback Engine'!$Y$2:$Y$6,MATCH(PaybackStatus,'Arbitrage Payback Engine'!$X$2:$X$6,FALSE)),-1)))</f>
        <v>25</v>
      </c>
      <c r="V983" s="32">
        <f t="shared" si="270"/>
        <v>15</v>
      </c>
      <c r="X983" s="29">
        <f t="shared" si="271"/>
        <v>974</v>
      </c>
      <c r="Z983" s="30">
        <f t="shared" si="262"/>
        <v>26.681276537460622</v>
      </c>
      <c r="AA983" s="28" t="e">
        <f t="shared" si="263"/>
        <v>#N/A</v>
      </c>
      <c r="AB983" s="28" t="e">
        <f t="shared" si="264"/>
        <v>#VALUE!</v>
      </c>
      <c r="AC983" s="29">
        <f t="shared" si="265"/>
        <v>924.09867172675524</v>
      </c>
      <c r="AD983" s="28" t="e">
        <f t="shared" si="266"/>
        <v>#VALUE!</v>
      </c>
      <c r="AE983" s="28" t="e">
        <f t="shared" si="267"/>
        <v>#N/A</v>
      </c>
      <c r="AF983" s="28" t="e">
        <f t="shared" si="268"/>
        <v>#VALUE!</v>
      </c>
      <c r="AH983" s="31" t="e">
        <f t="shared" si="269"/>
        <v>#N/A</v>
      </c>
      <c r="AI983" s="25"/>
      <c r="AJ983" s="31"/>
    </row>
    <row r="984" spans="2:36" x14ac:dyDescent="0.25">
      <c r="B984" s="33">
        <f>'Arbitrage Payback Engine'!E984</f>
        <v>26.708670045199288</v>
      </c>
      <c r="C984" s="33">
        <f t="shared" si="255"/>
        <v>1000</v>
      </c>
      <c r="D984" s="33">
        <f>'Battery Pricing Model'!$C$17</f>
        <v>1000</v>
      </c>
      <c r="E984" s="33">
        <f t="shared" si="256"/>
        <v>999</v>
      </c>
      <c r="F984" s="33" t="str">
        <f>'Peak Models'!$B$4</f>
        <v>Default</v>
      </c>
      <c r="G984" s="33" t="e">
        <f>'Peak Models'!$Q$7</f>
        <v>#VALUE!</v>
      </c>
      <c r="H984" s="33">
        <f>'Peak Models'!$P$16</f>
        <v>1.5</v>
      </c>
      <c r="I984" s="33">
        <v>12</v>
      </c>
      <c r="J984" s="33" t="e">
        <f>'Peak Models'!$P$13</f>
        <v>#N/A</v>
      </c>
      <c r="K984" s="28" t="e">
        <f t="shared" si="257"/>
        <v>#VALUE!</v>
      </c>
      <c r="L984" s="28" t="e">
        <f>INDEX('Peak Models'!$P$34:$P$64, MATCH(TRUNC(B984, 0), 'Peak Models'!$O$34:$O$64, 0))</f>
        <v>#N/A</v>
      </c>
      <c r="M984" s="28">
        <f>'Peak Models'!$P$15*INDEX('Peak Models'!$Q$34:$Q$64, MATCH(TRUNC(B984, 0),'Peak Models'!$O$34:$O$64, 0))/'Profit per cycles Model'!$E$78</f>
        <v>8.9425538860245055</v>
      </c>
      <c r="N984" s="28" t="e">
        <f t="shared" si="258"/>
        <v>#N/A</v>
      </c>
      <c r="O984" s="71" t="e">
        <f>AVERAGE($N$10:N984)</f>
        <v>#N/A</v>
      </c>
      <c r="P984" s="28" t="e">
        <f t="shared" si="259"/>
        <v>#N/A</v>
      </c>
      <c r="R984" s="28" t="e">
        <f t="shared" si="260"/>
        <v>#VALUE!</v>
      </c>
      <c r="S984" s="25"/>
      <c r="T984" s="25">
        <f t="shared" si="261"/>
        <v>15</v>
      </c>
      <c r="U984" s="33">
        <f>IF(PaybackCustom&gt;0, IF(PaybackCustom&lt;&gt;"Default", PaybackCustom, IF(PaybackStatus&lt;&gt;"",INDEX('Arbitrage Payback Engine'!$Y$2:$Y$6,MATCH(PaybackStatus,'Arbitrage Payback Engine'!$X$2:$X$6,FALSE)),-1)))</f>
        <v>25</v>
      </c>
      <c r="V984" s="32">
        <f t="shared" si="270"/>
        <v>15</v>
      </c>
      <c r="X984" s="29">
        <f t="shared" si="271"/>
        <v>975</v>
      </c>
      <c r="Z984" s="30">
        <f t="shared" si="262"/>
        <v>26.708670045199288</v>
      </c>
      <c r="AA984" s="28" t="e">
        <f t="shared" si="263"/>
        <v>#N/A</v>
      </c>
      <c r="AB984" s="28" t="e">
        <f t="shared" si="264"/>
        <v>#VALUE!</v>
      </c>
      <c r="AC984" s="29">
        <f t="shared" si="265"/>
        <v>925.04743833017085</v>
      </c>
      <c r="AD984" s="28" t="e">
        <f t="shared" si="266"/>
        <v>#VALUE!</v>
      </c>
      <c r="AE984" s="28" t="e">
        <f t="shared" si="267"/>
        <v>#N/A</v>
      </c>
      <c r="AF984" s="28" t="e">
        <f t="shared" si="268"/>
        <v>#VALUE!</v>
      </c>
      <c r="AH984" s="31" t="e">
        <f t="shared" si="269"/>
        <v>#N/A</v>
      </c>
      <c r="AI984" s="25"/>
      <c r="AJ984" s="31"/>
    </row>
    <row r="985" spans="2:36" x14ac:dyDescent="0.25">
      <c r="B985" s="33">
        <f>'Arbitrage Payback Engine'!E985</f>
        <v>26.736063552937953</v>
      </c>
      <c r="C985" s="33">
        <f t="shared" si="255"/>
        <v>1000</v>
      </c>
      <c r="D985" s="33">
        <f>'Battery Pricing Model'!$C$17</f>
        <v>1000</v>
      </c>
      <c r="E985" s="33">
        <f t="shared" si="256"/>
        <v>999</v>
      </c>
      <c r="F985" s="33" t="str">
        <f>'Peak Models'!$B$4</f>
        <v>Default</v>
      </c>
      <c r="G985" s="33" t="e">
        <f>'Peak Models'!$Q$7</f>
        <v>#VALUE!</v>
      </c>
      <c r="H985" s="33">
        <f>'Peak Models'!$P$16</f>
        <v>1.5</v>
      </c>
      <c r="I985" s="33">
        <v>12</v>
      </c>
      <c r="J985" s="33" t="e">
        <f>'Peak Models'!$P$13</f>
        <v>#N/A</v>
      </c>
      <c r="K985" s="28" t="e">
        <f t="shared" si="257"/>
        <v>#VALUE!</v>
      </c>
      <c r="L985" s="28" t="e">
        <f>INDEX('Peak Models'!$P$34:$P$64, MATCH(TRUNC(B985, 0), 'Peak Models'!$O$34:$O$64, 0))</f>
        <v>#N/A</v>
      </c>
      <c r="M985" s="28">
        <f>'Peak Models'!$P$15*INDEX('Peak Models'!$Q$34:$Q$64, MATCH(TRUNC(B985, 0),'Peak Models'!$O$34:$O$64, 0))/'Profit per cycles Model'!$E$78</f>
        <v>8.9425538860245055</v>
      </c>
      <c r="N985" s="28" t="e">
        <f t="shared" si="258"/>
        <v>#N/A</v>
      </c>
      <c r="O985" s="71" t="e">
        <f>AVERAGE($N$10:N985)</f>
        <v>#N/A</v>
      </c>
      <c r="P985" s="28" t="e">
        <f t="shared" si="259"/>
        <v>#N/A</v>
      </c>
      <c r="R985" s="28" t="e">
        <f t="shared" si="260"/>
        <v>#VALUE!</v>
      </c>
      <c r="S985" s="25"/>
      <c r="T985" s="25">
        <f t="shared" si="261"/>
        <v>15</v>
      </c>
      <c r="U985" s="33">
        <f>IF(PaybackCustom&gt;0, IF(PaybackCustom&lt;&gt;"Default", PaybackCustom, IF(PaybackStatus&lt;&gt;"",INDEX('Arbitrage Payback Engine'!$Y$2:$Y$6,MATCH(PaybackStatus,'Arbitrage Payback Engine'!$X$2:$X$6,FALSE)),-1)))</f>
        <v>25</v>
      </c>
      <c r="V985" s="32">
        <f t="shared" si="270"/>
        <v>15</v>
      </c>
      <c r="X985" s="29">
        <f t="shared" si="271"/>
        <v>976</v>
      </c>
      <c r="Z985" s="30">
        <f t="shared" si="262"/>
        <v>26.736063552937953</v>
      </c>
      <c r="AA985" s="28" t="e">
        <f t="shared" si="263"/>
        <v>#N/A</v>
      </c>
      <c r="AB985" s="28" t="e">
        <f t="shared" si="264"/>
        <v>#VALUE!</v>
      </c>
      <c r="AC985" s="29">
        <f t="shared" si="265"/>
        <v>925.99620493358645</v>
      </c>
      <c r="AD985" s="28" t="e">
        <f t="shared" si="266"/>
        <v>#VALUE!</v>
      </c>
      <c r="AE985" s="28" t="e">
        <f t="shared" si="267"/>
        <v>#N/A</v>
      </c>
      <c r="AF985" s="28" t="e">
        <f t="shared" si="268"/>
        <v>#VALUE!</v>
      </c>
      <c r="AH985" s="31" t="e">
        <f t="shared" si="269"/>
        <v>#N/A</v>
      </c>
      <c r="AI985" s="25"/>
      <c r="AJ985" s="31"/>
    </row>
    <row r="986" spans="2:36" x14ac:dyDescent="0.25">
      <c r="B986" s="33">
        <f>'Arbitrage Payback Engine'!E986</f>
        <v>26.763457060676618</v>
      </c>
      <c r="C986" s="33">
        <f t="shared" si="255"/>
        <v>1000</v>
      </c>
      <c r="D986" s="33">
        <f>'Battery Pricing Model'!$C$17</f>
        <v>1000</v>
      </c>
      <c r="E986" s="33">
        <f t="shared" si="256"/>
        <v>999</v>
      </c>
      <c r="F986" s="33" t="str">
        <f>'Peak Models'!$B$4</f>
        <v>Default</v>
      </c>
      <c r="G986" s="33" t="e">
        <f>'Peak Models'!$Q$7</f>
        <v>#VALUE!</v>
      </c>
      <c r="H986" s="33">
        <f>'Peak Models'!$P$16</f>
        <v>1.5</v>
      </c>
      <c r="I986" s="33">
        <v>12</v>
      </c>
      <c r="J986" s="33" t="e">
        <f>'Peak Models'!$P$13</f>
        <v>#N/A</v>
      </c>
      <c r="K986" s="28" t="e">
        <f t="shared" si="257"/>
        <v>#VALUE!</v>
      </c>
      <c r="L986" s="28" t="e">
        <f>INDEX('Peak Models'!$P$34:$P$64, MATCH(TRUNC(B986, 0), 'Peak Models'!$O$34:$O$64, 0))</f>
        <v>#N/A</v>
      </c>
      <c r="M986" s="28">
        <f>'Peak Models'!$P$15*INDEX('Peak Models'!$Q$34:$Q$64, MATCH(TRUNC(B986, 0),'Peak Models'!$O$34:$O$64, 0))/'Profit per cycles Model'!$E$78</f>
        <v>8.9425538860245055</v>
      </c>
      <c r="N986" s="28" t="e">
        <f t="shared" si="258"/>
        <v>#N/A</v>
      </c>
      <c r="O986" s="71" t="e">
        <f>AVERAGE($N$10:N986)</f>
        <v>#N/A</v>
      </c>
      <c r="P986" s="28" t="e">
        <f t="shared" si="259"/>
        <v>#N/A</v>
      </c>
      <c r="R986" s="28" t="e">
        <f t="shared" si="260"/>
        <v>#VALUE!</v>
      </c>
      <c r="S986" s="25"/>
      <c r="T986" s="25">
        <f t="shared" si="261"/>
        <v>15</v>
      </c>
      <c r="U986" s="33">
        <f>IF(PaybackCustom&gt;0, IF(PaybackCustom&lt;&gt;"Default", PaybackCustom, IF(PaybackStatus&lt;&gt;"",INDEX('Arbitrage Payback Engine'!$Y$2:$Y$6,MATCH(PaybackStatus,'Arbitrage Payback Engine'!$X$2:$X$6,FALSE)),-1)))</f>
        <v>25</v>
      </c>
      <c r="V986" s="32">
        <f t="shared" si="270"/>
        <v>15</v>
      </c>
      <c r="X986" s="29">
        <f t="shared" si="271"/>
        <v>977</v>
      </c>
      <c r="Z986" s="30">
        <f t="shared" si="262"/>
        <v>26.763457060676618</v>
      </c>
      <c r="AA986" s="28" t="e">
        <f t="shared" si="263"/>
        <v>#N/A</v>
      </c>
      <c r="AB986" s="28" t="e">
        <f t="shared" si="264"/>
        <v>#VALUE!</v>
      </c>
      <c r="AC986" s="29">
        <f t="shared" si="265"/>
        <v>926.94497153700183</v>
      </c>
      <c r="AD986" s="28" t="e">
        <f t="shared" si="266"/>
        <v>#VALUE!</v>
      </c>
      <c r="AE986" s="28" t="e">
        <f t="shared" si="267"/>
        <v>#N/A</v>
      </c>
      <c r="AF986" s="28" t="e">
        <f t="shared" si="268"/>
        <v>#VALUE!</v>
      </c>
      <c r="AH986" s="31" t="e">
        <f t="shared" si="269"/>
        <v>#N/A</v>
      </c>
      <c r="AI986" s="25"/>
      <c r="AJ986" s="31"/>
    </row>
    <row r="987" spans="2:36" x14ac:dyDescent="0.25">
      <c r="B987" s="33">
        <f>'Arbitrage Payback Engine'!E987</f>
        <v>26.790850568415284</v>
      </c>
      <c r="C987" s="33">
        <f t="shared" si="255"/>
        <v>1000</v>
      </c>
      <c r="D987" s="33">
        <f>'Battery Pricing Model'!$C$17</f>
        <v>1000</v>
      </c>
      <c r="E987" s="33">
        <f t="shared" si="256"/>
        <v>999</v>
      </c>
      <c r="F987" s="33" t="str">
        <f>'Peak Models'!$B$4</f>
        <v>Default</v>
      </c>
      <c r="G987" s="33" t="e">
        <f>'Peak Models'!$Q$7</f>
        <v>#VALUE!</v>
      </c>
      <c r="H987" s="33">
        <f>'Peak Models'!$P$16</f>
        <v>1.5</v>
      </c>
      <c r="I987" s="33">
        <v>12</v>
      </c>
      <c r="J987" s="33" t="e">
        <f>'Peak Models'!$P$13</f>
        <v>#N/A</v>
      </c>
      <c r="K987" s="28" t="e">
        <f t="shared" si="257"/>
        <v>#VALUE!</v>
      </c>
      <c r="L987" s="28" t="e">
        <f>INDEX('Peak Models'!$P$34:$P$64, MATCH(TRUNC(B987, 0), 'Peak Models'!$O$34:$O$64, 0))</f>
        <v>#N/A</v>
      </c>
      <c r="M987" s="28">
        <f>'Peak Models'!$P$15*INDEX('Peak Models'!$Q$34:$Q$64, MATCH(TRUNC(B987, 0),'Peak Models'!$O$34:$O$64, 0))/'Profit per cycles Model'!$E$78</f>
        <v>8.9425538860245055</v>
      </c>
      <c r="N987" s="28" t="e">
        <f t="shared" si="258"/>
        <v>#N/A</v>
      </c>
      <c r="O987" s="71" t="e">
        <f>AVERAGE($N$10:N987)</f>
        <v>#N/A</v>
      </c>
      <c r="P987" s="28" t="e">
        <f t="shared" si="259"/>
        <v>#N/A</v>
      </c>
      <c r="R987" s="28" t="e">
        <f t="shared" si="260"/>
        <v>#VALUE!</v>
      </c>
      <c r="S987" s="25"/>
      <c r="T987" s="25">
        <f t="shared" si="261"/>
        <v>15</v>
      </c>
      <c r="U987" s="33">
        <f>IF(PaybackCustom&gt;0, IF(PaybackCustom&lt;&gt;"Default", PaybackCustom, IF(PaybackStatus&lt;&gt;"",INDEX('Arbitrage Payback Engine'!$Y$2:$Y$6,MATCH(PaybackStatus,'Arbitrage Payback Engine'!$X$2:$X$6,FALSE)),-1)))</f>
        <v>25</v>
      </c>
      <c r="V987" s="32">
        <f t="shared" si="270"/>
        <v>15</v>
      </c>
      <c r="X987" s="29">
        <f t="shared" si="271"/>
        <v>978</v>
      </c>
      <c r="Z987" s="30">
        <f t="shared" si="262"/>
        <v>26.790850568415284</v>
      </c>
      <c r="AA987" s="28" t="e">
        <f t="shared" si="263"/>
        <v>#N/A</v>
      </c>
      <c r="AB987" s="28" t="e">
        <f t="shared" si="264"/>
        <v>#VALUE!</v>
      </c>
      <c r="AC987" s="29">
        <f t="shared" si="265"/>
        <v>927.89373814041744</v>
      </c>
      <c r="AD987" s="28" t="e">
        <f t="shared" si="266"/>
        <v>#VALUE!</v>
      </c>
      <c r="AE987" s="28" t="e">
        <f t="shared" si="267"/>
        <v>#N/A</v>
      </c>
      <c r="AF987" s="28" t="e">
        <f t="shared" si="268"/>
        <v>#VALUE!</v>
      </c>
      <c r="AH987" s="31" t="e">
        <f t="shared" si="269"/>
        <v>#N/A</v>
      </c>
      <c r="AI987" s="25"/>
      <c r="AJ987" s="31"/>
    </row>
    <row r="988" spans="2:36" x14ac:dyDescent="0.25">
      <c r="B988" s="33">
        <f>'Arbitrage Payback Engine'!E988</f>
        <v>26.818244076153952</v>
      </c>
      <c r="C988" s="33">
        <f t="shared" si="255"/>
        <v>1000</v>
      </c>
      <c r="D988" s="33">
        <f>'Battery Pricing Model'!$C$17</f>
        <v>1000</v>
      </c>
      <c r="E988" s="33">
        <f t="shared" si="256"/>
        <v>999</v>
      </c>
      <c r="F988" s="33" t="str">
        <f>'Peak Models'!$B$4</f>
        <v>Default</v>
      </c>
      <c r="G988" s="33" t="e">
        <f>'Peak Models'!$Q$7</f>
        <v>#VALUE!</v>
      </c>
      <c r="H988" s="33">
        <f>'Peak Models'!$P$16</f>
        <v>1.5</v>
      </c>
      <c r="I988" s="33">
        <v>12</v>
      </c>
      <c r="J988" s="33" t="e">
        <f>'Peak Models'!$P$13</f>
        <v>#N/A</v>
      </c>
      <c r="K988" s="28" t="e">
        <f t="shared" si="257"/>
        <v>#VALUE!</v>
      </c>
      <c r="L988" s="28" t="e">
        <f>INDEX('Peak Models'!$P$34:$P$64, MATCH(TRUNC(B988, 0), 'Peak Models'!$O$34:$O$64, 0))</f>
        <v>#N/A</v>
      </c>
      <c r="M988" s="28">
        <f>'Peak Models'!$P$15*INDEX('Peak Models'!$Q$34:$Q$64, MATCH(TRUNC(B988, 0),'Peak Models'!$O$34:$O$64, 0))/'Profit per cycles Model'!$E$78</f>
        <v>8.9425538860245055</v>
      </c>
      <c r="N988" s="28" t="e">
        <f t="shared" si="258"/>
        <v>#N/A</v>
      </c>
      <c r="O988" s="71" t="e">
        <f>AVERAGE($N$10:N988)</f>
        <v>#N/A</v>
      </c>
      <c r="P988" s="28" t="e">
        <f t="shared" si="259"/>
        <v>#N/A</v>
      </c>
      <c r="R988" s="28" t="e">
        <f t="shared" si="260"/>
        <v>#VALUE!</v>
      </c>
      <c r="S988" s="25"/>
      <c r="T988" s="25">
        <f t="shared" si="261"/>
        <v>15</v>
      </c>
      <c r="U988" s="33">
        <f>IF(PaybackCustom&gt;0, IF(PaybackCustom&lt;&gt;"Default", PaybackCustom, IF(PaybackStatus&lt;&gt;"",INDEX('Arbitrage Payback Engine'!$Y$2:$Y$6,MATCH(PaybackStatus,'Arbitrage Payback Engine'!$X$2:$X$6,FALSE)),-1)))</f>
        <v>25</v>
      </c>
      <c r="V988" s="32">
        <f t="shared" si="270"/>
        <v>15</v>
      </c>
      <c r="X988" s="29">
        <f t="shared" si="271"/>
        <v>979</v>
      </c>
      <c r="Z988" s="30">
        <f t="shared" si="262"/>
        <v>26.818244076153952</v>
      </c>
      <c r="AA988" s="28" t="e">
        <f t="shared" si="263"/>
        <v>#N/A</v>
      </c>
      <c r="AB988" s="28" t="e">
        <f t="shared" si="264"/>
        <v>#VALUE!</v>
      </c>
      <c r="AC988" s="29">
        <f t="shared" si="265"/>
        <v>928.84250474383305</v>
      </c>
      <c r="AD988" s="28" t="e">
        <f t="shared" si="266"/>
        <v>#VALUE!</v>
      </c>
      <c r="AE988" s="28" t="e">
        <f t="shared" si="267"/>
        <v>#N/A</v>
      </c>
      <c r="AF988" s="28" t="e">
        <f t="shared" si="268"/>
        <v>#VALUE!</v>
      </c>
      <c r="AH988" s="31" t="e">
        <f t="shared" si="269"/>
        <v>#N/A</v>
      </c>
      <c r="AI988" s="25"/>
      <c r="AJ988" s="31"/>
    </row>
    <row r="989" spans="2:36" x14ac:dyDescent="0.25">
      <c r="B989" s="33">
        <f>'Arbitrage Payback Engine'!E989</f>
        <v>26.845637583892618</v>
      </c>
      <c r="C989" s="33">
        <f t="shared" si="255"/>
        <v>1000</v>
      </c>
      <c r="D989" s="33">
        <f>'Battery Pricing Model'!$C$17</f>
        <v>1000</v>
      </c>
      <c r="E989" s="33">
        <f t="shared" si="256"/>
        <v>999</v>
      </c>
      <c r="F989" s="33" t="str">
        <f>'Peak Models'!$B$4</f>
        <v>Default</v>
      </c>
      <c r="G989" s="33" t="e">
        <f>'Peak Models'!$Q$7</f>
        <v>#VALUE!</v>
      </c>
      <c r="H989" s="33">
        <f>'Peak Models'!$P$16</f>
        <v>1.5</v>
      </c>
      <c r="I989" s="33">
        <v>12</v>
      </c>
      <c r="J989" s="33" t="e">
        <f>'Peak Models'!$P$13</f>
        <v>#N/A</v>
      </c>
      <c r="K989" s="28" t="e">
        <f t="shared" si="257"/>
        <v>#VALUE!</v>
      </c>
      <c r="L989" s="28" t="e">
        <f>INDEX('Peak Models'!$P$34:$P$64, MATCH(TRUNC(B989, 0), 'Peak Models'!$O$34:$O$64, 0))</f>
        <v>#N/A</v>
      </c>
      <c r="M989" s="28">
        <f>'Peak Models'!$P$15*INDEX('Peak Models'!$Q$34:$Q$64, MATCH(TRUNC(B989, 0),'Peak Models'!$O$34:$O$64, 0))/'Profit per cycles Model'!$E$78</f>
        <v>8.9425538860245055</v>
      </c>
      <c r="N989" s="28" t="e">
        <f t="shared" si="258"/>
        <v>#N/A</v>
      </c>
      <c r="O989" s="71" t="e">
        <f>AVERAGE($N$10:N989)</f>
        <v>#N/A</v>
      </c>
      <c r="P989" s="28" t="e">
        <f t="shared" si="259"/>
        <v>#N/A</v>
      </c>
      <c r="R989" s="28" t="e">
        <f t="shared" si="260"/>
        <v>#VALUE!</v>
      </c>
      <c r="S989" s="25"/>
      <c r="T989" s="25">
        <f t="shared" si="261"/>
        <v>15</v>
      </c>
      <c r="U989" s="33">
        <f>IF(PaybackCustom&gt;0, IF(PaybackCustom&lt;&gt;"Default", PaybackCustom, IF(PaybackStatus&lt;&gt;"",INDEX('Arbitrage Payback Engine'!$Y$2:$Y$6,MATCH(PaybackStatus,'Arbitrage Payback Engine'!$X$2:$X$6,FALSE)),-1)))</f>
        <v>25</v>
      </c>
      <c r="V989" s="32">
        <f t="shared" si="270"/>
        <v>15</v>
      </c>
      <c r="X989" s="29">
        <f t="shared" si="271"/>
        <v>980</v>
      </c>
      <c r="Z989" s="30">
        <f t="shared" si="262"/>
        <v>26.845637583892618</v>
      </c>
      <c r="AA989" s="28" t="e">
        <f t="shared" si="263"/>
        <v>#N/A</v>
      </c>
      <c r="AB989" s="28" t="e">
        <f t="shared" si="264"/>
        <v>#VALUE!</v>
      </c>
      <c r="AC989" s="29">
        <f t="shared" si="265"/>
        <v>929.79127134724865</v>
      </c>
      <c r="AD989" s="28" t="e">
        <f t="shared" si="266"/>
        <v>#VALUE!</v>
      </c>
      <c r="AE989" s="28" t="e">
        <f t="shared" si="267"/>
        <v>#N/A</v>
      </c>
      <c r="AF989" s="28" t="e">
        <f t="shared" si="268"/>
        <v>#VALUE!</v>
      </c>
      <c r="AH989" s="31" t="e">
        <f t="shared" si="269"/>
        <v>#N/A</v>
      </c>
      <c r="AI989" s="25"/>
      <c r="AJ989" s="31"/>
    </row>
    <row r="990" spans="2:36" x14ac:dyDescent="0.25">
      <c r="B990" s="33">
        <f>'Arbitrage Payback Engine'!E990</f>
        <v>26.873031091631283</v>
      </c>
      <c r="C990" s="33">
        <f t="shared" si="255"/>
        <v>1000</v>
      </c>
      <c r="D990" s="33">
        <f>'Battery Pricing Model'!$C$17</f>
        <v>1000</v>
      </c>
      <c r="E990" s="33">
        <f t="shared" si="256"/>
        <v>999</v>
      </c>
      <c r="F990" s="33" t="str">
        <f>'Peak Models'!$B$4</f>
        <v>Default</v>
      </c>
      <c r="G990" s="33" t="e">
        <f>'Peak Models'!$Q$7</f>
        <v>#VALUE!</v>
      </c>
      <c r="H990" s="33">
        <f>'Peak Models'!$P$16</f>
        <v>1.5</v>
      </c>
      <c r="I990" s="33">
        <v>12</v>
      </c>
      <c r="J990" s="33" t="e">
        <f>'Peak Models'!$P$13</f>
        <v>#N/A</v>
      </c>
      <c r="K990" s="28" t="e">
        <f t="shared" si="257"/>
        <v>#VALUE!</v>
      </c>
      <c r="L990" s="28" t="e">
        <f>INDEX('Peak Models'!$P$34:$P$64, MATCH(TRUNC(B990, 0), 'Peak Models'!$O$34:$O$64, 0))</f>
        <v>#N/A</v>
      </c>
      <c r="M990" s="28">
        <f>'Peak Models'!$P$15*INDEX('Peak Models'!$Q$34:$Q$64, MATCH(TRUNC(B990, 0),'Peak Models'!$O$34:$O$64, 0))/'Profit per cycles Model'!$E$78</f>
        <v>8.9425538860245055</v>
      </c>
      <c r="N990" s="28" t="e">
        <f t="shared" si="258"/>
        <v>#N/A</v>
      </c>
      <c r="O990" s="71" t="e">
        <f>AVERAGE($N$10:N990)</f>
        <v>#N/A</v>
      </c>
      <c r="P990" s="28" t="e">
        <f t="shared" si="259"/>
        <v>#N/A</v>
      </c>
      <c r="R990" s="28" t="e">
        <f t="shared" si="260"/>
        <v>#VALUE!</v>
      </c>
      <c r="S990" s="25"/>
      <c r="T990" s="25">
        <f t="shared" si="261"/>
        <v>15</v>
      </c>
      <c r="U990" s="33">
        <f>IF(PaybackCustom&gt;0, IF(PaybackCustom&lt;&gt;"Default", PaybackCustom, IF(PaybackStatus&lt;&gt;"",INDEX('Arbitrage Payback Engine'!$Y$2:$Y$6,MATCH(PaybackStatus,'Arbitrage Payback Engine'!$X$2:$X$6,FALSE)),-1)))</f>
        <v>25</v>
      </c>
      <c r="V990" s="32">
        <f t="shared" si="270"/>
        <v>15</v>
      </c>
      <c r="X990" s="29">
        <f t="shared" si="271"/>
        <v>981</v>
      </c>
      <c r="Z990" s="30">
        <f t="shared" si="262"/>
        <v>26.873031091631283</v>
      </c>
      <c r="AA990" s="28" t="e">
        <f t="shared" si="263"/>
        <v>#N/A</v>
      </c>
      <c r="AB990" s="28" t="e">
        <f t="shared" si="264"/>
        <v>#VALUE!</v>
      </c>
      <c r="AC990" s="29">
        <f t="shared" si="265"/>
        <v>930.74003795066426</v>
      </c>
      <c r="AD990" s="28" t="e">
        <f t="shared" si="266"/>
        <v>#VALUE!</v>
      </c>
      <c r="AE990" s="28" t="e">
        <f t="shared" si="267"/>
        <v>#N/A</v>
      </c>
      <c r="AF990" s="28" t="e">
        <f t="shared" si="268"/>
        <v>#VALUE!</v>
      </c>
      <c r="AH990" s="31" t="e">
        <f t="shared" si="269"/>
        <v>#N/A</v>
      </c>
      <c r="AI990" s="25"/>
      <c r="AJ990" s="31"/>
    </row>
    <row r="991" spans="2:36" x14ac:dyDescent="0.25">
      <c r="B991" s="33">
        <f>'Arbitrage Payback Engine'!E991</f>
        <v>26.900424599369948</v>
      </c>
      <c r="C991" s="33">
        <f t="shared" si="255"/>
        <v>1000</v>
      </c>
      <c r="D991" s="33">
        <f>'Battery Pricing Model'!$C$17</f>
        <v>1000</v>
      </c>
      <c r="E991" s="33">
        <f t="shared" si="256"/>
        <v>999</v>
      </c>
      <c r="F991" s="33" t="str">
        <f>'Peak Models'!$B$4</f>
        <v>Default</v>
      </c>
      <c r="G991" s="33" t="e">
        <f>'Peak Models'!$Q$7</f>
        <v>#VALUE!</v>
      </c>
      <c r="H991" s="33">
        <f>'Peak Models'!$P$16</f>
        <v>1.5</v>
      </c>
      <c r="I991" s="33">
        <v>12</v>
      </c>
      <c r="J991" s="33" t="e">
        <f>'Peak Models'!$P$13</f>
        <v>#N/A</v>
      </c>
      <c r="K991" s="28" t="e">
        <f t="shared" si="257"/>
        <v>#VALUE!</v>
      </c>
      <c r="L991" s="28" t="e">
        <f>INDEX('Peak Models'!$P$34:$P$64, MATCH(TRUNC(B991, 0), 'Peak Models'!$O$34:$O$64, 0))</f>
        <v>#N/A</v>
      </c>
      <c r="M991" s="28">
        <f>'Peak Models'!$P$15*INDEX('Peak Models'!$Q$34:$Q$64, MATCH(TRUNC(B991, 0),'Peak Models'!$O$34:$O$64, 0))/'Profit per cycles Model'!$E$78</f>
        <v>8.9425538860245055</v>
      </c>
      <c r="N991" s="28" t="e">
        <f t="shared" si="258"/>
        <v>#N/A</v>
      </c>
      <c r="O991" s="71" t="e">
        <f>AVERAGE($N$10:N991)</f>
        <v>#N/A</v>
      </c>
      <c r="P991" s="28" t="e">
        <f t="shared" si="259"/>
        <v>#N/A</v>
      </c>
      <c r="R991" s="28" t="e">
        <f t="shared" si="260"/>
        <v>#VALUE!</v>
      </c>
      <c r="S991" s="25"/>
      <c r="T991" s="25">
        <f t="shared" si="261"/>
        <v>15</v>
      </c>
      <c r="U991" s="33">
        <f>IF(PaybackCustom&gt;0, IF(PaybackCustom&lt;&gt;"Default", PaybackCustom, IF(PaybackStatus&lt;&gt;"",INDEX('Arbitrage Payback Engine'!$Y$2:$Y$6,MATCH(PaybackStatus,'Arbitrage Payback Engine'!$X$2:$X$6,FALSE)),-1)))</f>
        <v>25</v>
      </c>
      <c r="V991" s="32">
        <f t="shared" si="270"/>
        <v>15</v>
      </c>
      <c r="X991" s="29">
        <f t="shared" si="271"/>
        <v>982</v>
      </c>
      <c r="Z991" s="30">
        <f t="shared" si="262"/>
        <v>26.900424599369948</v>
      </c>
      <c r="AA991" s="28" t="e">
        <f t="shared" si="263"/>
        <v>#N/A</v>
      </c>
      <c r="AB991" s="28" t="e">
        <f t="shared" si="264"/>
        <v>#VALUE!</v>
      </c>
      <c r="AC991" s="29">
        <f t="shared" si="265"/>
        <v>931.68880455407964</v>
      </c>
      <c r="AD991" s="28" t="e">
        <f t="shared" si="266"/>
        <v>#VALUE!</v>
      </c>
      <c r="AE991" s="28" t="e">
        <f t="shared" si="267"/>
        <v>#N/A</v>
      </c>
      <c r="AF991" s="28" t="e">
        <f t="shared" si="268"/>
        <v>#VALUE!</v>
      </c>
      <c r="AH991" s="31" t="e">
        <f t="shared" si="269"/>
        <v>#N/A</v>
      </c>
      <c r="AI991" s="25"/>
      <c r="AJ991" s="31"/>
    </row>
    <row r="992" spans="2:36" x14ac:dyDescent="0.25">
      <c r="B992" s="33">
        <f>'Arbitrage Payback Engine'!E992</f>
        <v>26.927818107108614</v>
      </c>
      <c r="C992" s="33">
        <f t="shared" si="255"/>
        <v>1000</v>
      </c>
      <c r="D992" s="33">
        <f>'Battery Pricing Model'!$C$17</f>
        <v>1000</v>
      </c>
      <c r="E992" s="33">
        <f t="shared" si="256"/>
        <v>999</v>
      </c>
      <c r="F992" s="33" t="str">
        <f>'Peak Models'!$B$4</f>
        <v>Default</v>
      </c>
      <c r="G992" s="33" t="e">
        <f>'Peak Models'!$Q$7</f>
        <v>#VALUE!</v>
      </c>
      <c r="H992" s="33">
        <f>'Peak Models'!$P$16</f>
        <v>1.5</v>
      </c>
      <c r="I992" s="33">
        <v>12</v>
      </c>
      <c r="J992" s="33" t="e">
        <f>'Peak Models'!$P$13</f>
        <v>#N/A</v>
      </c>
      <c r="K992" s="28" t="e">
        <f t="shared" si="257"/>
        <v>#VALUE!</v>
      </c>
      <c r="L992" s="28" t="e">
        <f>INDEX('Peak Models'!$P$34:$P$64, MATCH(TRUNC(B992, 0), 'Peak Models'!$O$34:$O$64, 0))</f>
        <v>#N/A</v>
      </c>
      <c r="M992" s="28">
        <f>'Peak Models'!$P$15*INDEX('Peak Models'!$Q$34:$Q$64, MATCH(TRUNC(B992, 0),'Peak Models'!$O$34:$O$64, 0))/'Profit per cycles Model'!$E$78</f>
        <v>8.9425538860245055</v>
      </c>
      <c r="N992" s="28" t="e">
        <f t="shared" si="258"/>
        <v>#N/A</v>
      </c>
      <c r="O992" s="71" t="e">
        <f>AVERAGE($N$10:N992)</f>
        <v>#N/A</v>
      </c>
      <c r="P992" s="28" t="e">
        <f t="shared" si="259"/>
        <v>#N/A</v>
      </c>
      <c r="R992" s="28" t="e">
        <f t="shared" si="260"/>
        <v>#VALUE!</v>
      </c>
      <c r="S992" s="25"/>
      <c r="T992" s="25">
        <f t="shared" si="261"/>
        <v>15</v>
      </c>
      <c r="U992" s="33">
        <f>IF(PaybackCustom&gt;0, IF(PaybackCustom&lt;&gt;"Default", PaybackCustom, IF(PaybackStatus&lt;&gt;"",INDEX('Arbitrage Payback Engine'!$Y$2:$Y$6,MATCH(PaybackStatus,'Arbitrage Payback Engine'!$X$2:$X$6,FALSE)),-1)))</f>
        <v>25</v>
      </c>
      <c r="V992" s="32">
        <f t="shared" si="270"/>
        <v>15</v>
      </c>
      <c r="X992" s="29">
        <f t="shared" si="271"/>
        <v>983</v>
      </c>
      <c r="Z992" s="30">
        <f t="shared" si="262"/>
        <v>26.927818107108614</v>
      </c>
      <c r="AA992" s="28" t="e">
        <f t="shared" si="263"/>
        <v>#N/A</v>
      </c>
      <c r="AB992" s="28" t="e">
        <f t="shared" si="264"/>
        <v>#VALUE!</v>
      </c>
      <c r="AC992" s="29">
        <f t="shared" si="265"/>
        <v>932.63757115749524</v>
      </c>
      <c r="AD992" s="28" t="e">
        <f t="shared" si="266"/>
        <v>#VALUE!</v>
      </c>
      <c r="AE992" s="28" t="e">
        <f t="shared" si="267"/>
        <v>#N/A</v>
      </c>
      <c r="AF992" s="28" t="e">
        <f t="shared" si="268"/>
        <v>#VALUE!</v>
      </c>
      <c r="AH992" s="31" t="e">
        <f t="shared" si="269"/>
        <v>#N/A</v>
      </c>
      <c r="AI992" s="25"/>
      <c r="AJ992" s="31"/>
    </row>
    <row r="993" spans="2:36" x14ac:dyDescent="0.25">
      <c r="B993" s="33">
        <f>'Arbitrage Payback Engine'!E993</f>
        <v>26.955211614847279</v>
      </c>
      <c r="C993" s="33">
        <f t="shared" si="255"/>
        <v>1000</v>
      </c>
      <c r="D993" s="33">
        <f>'Battery Pricing Model'!$C$17</f>
        <v>1000</v>
      </c>
      <c r="E993" s="33">
        <f t="shared" si="256"/>
        <v>999</v>
      </c>
      <c r="F993" s="33" t="str">
        <f>'Peak Models'!$B$4</f>
        <v>Default</v>
      </c>
      <c r="G993" s="33" t="e">
        <f>'Peak Models'!$Q$7</f>
        <v>#VALUE!</v>
      </c>
      <c r="H993" s="33">
        <f>'Peak Models'!$P$16</f>
        <v>1.5</v>
      </c>
      <c r="I993" s="33">
        <v>12</v>
      </c>
      <c r="J993" s="33" t="e">
        <f>'Peak Models'!$P$13</f>
        <v>#N/A</v>
      </c>
      <c r="K993" s="28" t="e">
        <f t="shared" si="257"/>
        <v>#VALUE!</v>
      </c>
      <c r="L993" s="28" t="e">
        <f>INDEX('Peak Models'!$P$34:$P$64, MATCH(TRUNC(B993, 0), 'Peak Models'!$O$34:$O$64, 0))</f>
        <v>#N/A</v>
      </c>
      <c r="M993" s="28">
        <f>'Peak Models'!$P$15*INDEX('Peak Models'!$Q$34:$Q$64, MATCH(TRUNC(B993, 0),'Peak Models'!$O$34:$O$64, 0))/'Profit per cycles Model'!$E$78</f>
        <v>8.9425538860245055</v>
      </c>
      <c r="N993" s="28" t="e">
        <f t="shared" si="258"/>
        <v>#N/A</v>
      </c>
      <c r="O993" s="71" t="e">
        <f>AVERAGE($N$10:N993)</f>
        <v>#N/A</v>
      </c>
      <c r="P993" s="28" t="e">
        <f t="shared" si="259"/>
        <v>#N/A</v>
      </c>
      <c r="R993" s="28" t="e">
        <f t="shared" si="260"/>
        <v>#VALUE!</v>
      </c>
      <c r="S993" s="25"/>
      <c r="T993" s="25">
        <f t="shared" si="261"/>
        <v>15</v>
      </c>
      <c r="U993" s="33">
        <f>IF(PaybackCustom&gt;0, IF(PaybackCustom&lt;&gt;"Default", PaybackCustom, IF(PaybackStatus&lt;&gt;"",INDEX('Arbitrage Payback Engine'!$Y$2:$Y$6,MATCH(PaybackStatus,'Arbitrage Payback Engine'!$X$2:$X$6,FALSE)),-1)))</f>
        <v>25</v>
      </c>
      <c r="V993" s="32">
        <f t="shared" si="270"/>
        <v>15</v>
      </c>
      <c r="X993" s="29">
        <f t="shared" si="271"/>
        <v>984</v>
      </c>
      <c r="Z993" s="30">
        <f t="shared" si="262"/>
        <v>26.955211614847279</v>
      </c>
      <c r="AA993" s="28" t="e">
        <f t="shared" si="263"/>
        <v>#N/A</v>
      </c>
      <c r="AB993" s="28" t="e">
        <f t="shared" si="264"/>
        <v>#VALUE!</v>
      </c>
      <c r="AC993" s="29">
        <f t="shared" si="265"/>
        <v>933.58633776091074</v>
      </c>
      <c r="AD993" s="28" t="e">
        <f t="shared" si="266"/>
        <v>#VALUE!</v>
      </c>
      <c r="AE993" s="28" t="e">
        <f t="shared" si="267"/>
        <v>#N/A</v>
      </c>
      <c r="AF993" s="28" t="e">
        <f t="shared" si="268"/>
        <v>#VALUE!</v>
      </c>
      <c r="AH993" s="31" t="e">
        <f t="shared" si="269"/>
        <v>#N/A</v>
      </c>
      <c r="AI993" s="25"/>
      <c r="AJ993" s="31"/>
    </row>
    <row r="994" spans="2:36" x14ac:dyDescent="0.25">
      <c r="B994" s="33">
        <f>'Arbitrage Payback Engine'!E994</f>
        <v>26.982605122585948</v>
      </c>
      <c r="C994" s="33">
        <f t="shared" si="255"/>
        <v>1000</v>
      </c>
      <c r="D994" s="33">
        <f>'Battery Pricing Model'!$C$17</f>
        <v>1000</v>
      </c>
      <c r="E994" s="33">
        <f t="shared" si="256"/>
        <v>999</v>
      </c>
      <c r="F994" s="33" t="str">
        <f>'Peak Models'!$B$4</f>
        <v>Default</v>
      </c>
      <c r="G994" s="33" t="e">
        <f>'Peak Models'!$Q$7</f>
        <v>#VALUE!</v>
      </c>
      <c r="H994" s="33">
        <f>'Peak Models'!$P$16</f>
        <v>1.5</v>
      </c>
      <c r="I994" s="33">
        <v>12</v>
      </c>
      <c r="J994" s="33" t="e">
        <f>'Peak Models'!$P$13</f>
        <v>#N/A</v>
      </c>
      <c r="K994" s="28" t="e">
        <f t="shared" si="257"/>
        <v>#VALUE!</v>
      </c>
      <c r="L994" s="28" t="e">
        <f>INDEX('Peak Models'!$P$34:$P$64, MATCH(TRUNC(B994, 0), 'Peak Models'!$O$34:$O$64, 0))</f>
        <v>#N/A</v>
      </c>
      <c r="M994" s="28">
        <f>'Peak Models'!$P$15*INDEX('Peak Models'!$Q$34:$Q$64, MATCH(TRUNC(B994, 0),'Peak Models'!$O$34:$O$64, 0))/'Profit per cycles Model'!$E$78</f>
        <v>8.9425538860245055</v>
      </c>
      <c r="N994" s="28" t="e">
        <f t="shared" si="258"/>
        <v>#N/A</v>
      </c>
      <c r="O994" s="71" t="e">
        <f>AVERAGE($N$10:N994)</f>
        <v>#N/A</v>
      </c>
      <c r="P994" s="28" t="e">
        <f t="shared" si="259"/>
        <v>#N/A</v>
      </c>
      <c r="R994" s="28" t="e">
        <f t="shared" si="260"/>
        <v>#VALUE!</v>
      </c>
      <c r="S994" s="25"/>
      <c r="T994" s="25">
        <f t="shared" si="261"/>
        <v>15</v>
      </c>
      <c r="U994" s="33">
        <f>IF(PaybackCustom&gt;0, IF(PaybackCustom&lt;&gt;"Default", PaybackCustom, IF(PaybackStatus&lt;&gt;"",INDEX('Arbitrage Payback Engine'!$Y$2:$Y$6,MATCH(PaybackStatus,'Arbitrage Payback Engine'!$X$2:$X$6,FALSE)),-1)))</f>
        <v>25</v>
      </c>
      <c r="V994" s="32">
        <f t="shared" si="270"/>
        <v>15</v>
      </c>
      <c r="X994" s="29">
        <f t="shared" si="271"/>
        <v>985</v>
      </c>
      <c r="Z994" s="30">
        <f t="shared" si="262"/>
        <v>26.982605122585948</v>
      </c>
      <c r="AA994" s="28" t="e">
        <f t="shared" si="263"/>
        <v>#N/A</v>
      </c>
      <c r="AB994" s="28" t="e">
        <f t="shared" si="264"/>
        <v>#VALUE!</v>
      </c>
      <c r="AC994" s="29">
        <f t="shared" si="265"/>
        <v>934.53510436432646</v>
      </c>
      <c r="AD994" s="28" t="e">
        <f t="shared" si="266"/>
        <v>#VALUE!</v>
      </c>
      <c r="AE994" s="28" t="e">
        <f t="shared" si="267"/>
        <v>#N/A</v>
      </c>
      <c r="AF994" s="28" t="e">
        <f t="shared" si="268"/>
        <v>#VALUE!</v>
      </c>
      <c r="AH994" s="31" t="e">
        <f t="shared" si="269"/>
        <v>#N/A</v>
      </c>
      <c r="AI994" s="25"/>
      <c r="AJ994" s="31"/>
    </row>
    <row r="995" spans="2:36" x14ac:dyDescent="0.25">
      <c r="B995" s="33">
        <f>'Arbitrage Payback Engine'!E995</f>
        <v>27.009998630324613</v>
      </c>
      <c r="C995" s="33">
        <f t="shared" si="255"/>
        <v>1000</v>
      </c>
      <c r="D995" s="33">
        <f>'Battery Pricing Model'!$C$17</f>
        <v>1000</v>
      </c>
      <c r="E995" s="33">
        <f t="shared" si="256"/>
        <v>999</v>
      </c>
      <c r="F995" s="33" t="str">
        <f>'Peak Models'!$B$4</f>
        <v>Default</v>
      </c>
      <c r="G995" s="33" t="e">
        <f>'Peak Models'!$Q$7</f>
        <v>#VALUE!</v>
      </c>
      <c r="H995" s="33">
        <f>'Peak Models'!$P$16</f>
        <v>1.5</v>
      </c>
      <c r="I995" s="33">
        <v>12</v>
      </c>
      <c r="J995" s="33" t="e">
        <f>'Peak Models'!$P$13</f>
        <v>#N/A</v>
      </c>
      <c r="K995" s="28" t="e">
        <f t="shared" si="257"/>
        <v>#VALUE!</v>
      </c>
      <c r="L995" s="28" t="e">
        <f>INDEX('Peak Models'!$P$34:$P$64, MATCH(TRUNC(B995, 0), 'Peak Models'!$O$34:$O$64, 0))</f>
        <v>#N/A</v>
      </c>
      <c r="M995" s="28">
        <f>'Peak Models'!$P$15*INDEX('Peak Models'!$Q$34:$Q$64, MATCH(TRUNC(B995, 0),'Peak Models'!$O$34:$O$64, 0))/'Profit per cycles Model'!$E$78</f>
        <v>9.1661177331751169</v>
      </c>
      <c r="N995" s="28" t="e">
        <f t="shared" si="258"/>
        <v>#N/A</v>
      </c>
      <c r="O995" s="71" t="e">
        <f>AVERAGE($N$10:N995)</f>
        <v>#N/A</v>
      </c>
      <c r="P995" s="28" t="e">
        <f t="shared" si="259"/>
        <v>#N/A</v>
      </c>
      <c r="R995" s="28" t="e">
        <f t="shared" si="260"/>
        <v>#VALUE!</v>
      </c>
      <c r="S995" s="25"/>
      <c r="T995" s="25">
        <f t="shared" si="261"/>
        <v>15</v>
      </c>
      <c r="U995" s="33">
        <f>IF(PaybackCustom&gt;0, IF(PaybackCustom&lt;&gt;"Default", PaybackCustom, IF(PaybackStatus&lt;&gt;"",INDEX('Arbitrage Payback Engine'!$Y$2:$Y$6,MATCH(PaybackStatus,'Arbitrage Payback Engine'!$X$2:$X$6,FALSE)),-1)))</f>
        <v>25</v>
      </c>
      <c r="V995" s="32">
        <f t="shared" si="270"/>
        <v>15</v>
      </c>
      <c r="X995" s="29">
        <f t="shared" si="271"/>
        <v>986</v>
      </c>
      <c r="Z995" s="30">
        <f t="shared" si="262"/>
        <v>27.009998630324613</v>
      </c>
      <c r="AA995" s="28" t="e">
        <f t="shared" si="263"/>
        <v>#N/A</v>
      </c>
      <c r="AB995" s="28" t="e">
        <f t="shared" si="264"/>
        <v>#VALUE!</v>
      </c>
      <c r="AC995" s="29">
        <f t="shared" si="265"/>
        <v>935.48387096774206</v>
      </c>
      <c r="AD995" s="28" t="e">
        <f t="shared" si="266"/>
        <v>#VALUE!</v>
      </c>
      <c r="AE995" s="28" t="e">
        <f t="shared" si="267"/>
        <v>#N/A</v>
      </c>
      <c r="AF995" s="28" t="e">
        <f t="shared" si="268"/>
        <v>#VALUE!</v>
      </c>
      <c r="AH995" s="31" t="e">
        <f t="shared" si="269"/>
        <v>#N/A</v>
      </c>
      <c r="AI995" s="25"/>
      <c r="AJ995" s="31"/>
    </row>
    <row r="996" spans="2:36" x14ac:dyDescent="0.25">
      <c r="B996" s="33">
        <f>'Arbitrage Payback Engine'!E996</f>
        <v>27.037392138063279</v>
      </c>
      <c r="C996" s="33">
        <f t="shared" si="255"/>
        <v>1000</v>
      </c>
      <c r="D996" s="33">
        <f>'Battery Pricing Model'!$C$17</f>
        <v>1000</v>
      </c>
      <c r="E996" s="33">
        <f t="shared" si="256"/>
        <v>999</v>
      </c>
      <c r="F996" s="33" t="str">
        <f>'Peak Models'!$B$4</f>
        <v>Default</v>
      </c>
      <c r="G996" s="33" t="e">
        <f>'Peak Models'!$Q$7</f>
        <v>#VALUE!</v>
      </c>
      <c r="H996" s="33">
        <f>'Peak Models'!$P$16</f>
        <v>1.5</v>
      </c>
      <c r="I996" s="33">
        <v>12</v>
      </c>
      <c r="J996" s="33" t="e">
        <f>'Peak Models'!$P$13</f>
        <v>#N/A</v>
      </c>
      <c r="K996" s="28" t="e">
        <f t="shared" si="257"/>
        <v>#VALUE!</v>
      </c>
      <c r="L996" s="28" t="e">
        <f>INDEX('Peak Models'!$P$34:$P$64, MATCH(TRUNC(B996, 0), 'Peak Models'!$O$34:$O$64, 0))</f>
        <v>#N/A</v>
      </c>
      <c r="M996" s="28">
        <f>'Peak Models'!$P$15*INDEX('Peak Models'!$Q$34:$Q$64, MATCH(TRUNC(B996, 0),'Peak Models'!$O$34:$O$64, 0))/'Profit per cycles Model'!$E$78</f>
        <v>9.1661177331751169</v>
      </c>
      <c r="N996" s="28" t="e">
        <f t="shared" si="258"/>
        <v>#N/A</v>
      </c>
      <c r="O996" s="71" t="e">
        <f>AVERAGE($N$10:N996)</f>
        <v>#N/A</v>
      </c>
      <c r="P996" s="28" t="e">
        <f t="shared" si="259"/>
        <v>#N/A</v>
      </c>
      <c r="R996" s="28" t="e">
        <f t="shared" si="260"/>
        <v>#VALUE!</v>
      </c>
      <c r="S996" s="25"/>
      <c r="T996" s="25">
        <f t="shared" si="261"/>
        <v>15</v>
      </c>
      <c r="U996" s="33">
        <f>IF(PaybackCustom&gt;0, IF(PaybackCustom&lt;&gt;"Default", PaybackCustom, IF(PaybackStatus&lt;&gt;"",INDEX('Arbitrage Payback Engine'!$Y$2:$Y$6,MATCH(PaybackStatus,'Arbitrage Payback Engine'!$X$2:$X$6,FALSE)),-1)))</f>
        <v>25</v>
      </c>
      <c r="V996" s="32">
        <f t="shared" si="270"/>
        <v>15</v>
      </c>
      <c r="X996" s="29">
        <f t="shared" si="271"/>
        <v>987</v>
      </c>
      <c r="Z996" s="30">
        <f t="shared" si="262"/>
        <v>27.037392138063279</v>
      </c>
      <c r="AA996" s="28" t="e">
        <f t="shared" si="263"/>
        <v>#N/A</v>
      </c>
      <c r="AB996" s="28" t="e">
        <f t="shared" si="264"/>
        <v>#VALUE!</v>
      </c>
      <c r="AC996" s="29">
        <f t="shared" si="265"/>
        <v>936.43263757115756</v>
      </c>
      <c r="AD996" s="28" t="e">
        <f t="shared" si="266"/>
        <v>#VALUE!</v>
      </c>
      <c r="AE996" s="28" t="e">
        <f t="shared" si="267"/>
        <v>#N/A</v>
      </c>
      <c r="AF996" s="28" t="e">
        <f t="shared" si="268"/>
        <v>#VALUE!</v>
      </c>
      <c r="AH996" s="31" t="e">
        <f t="shared" si="269"/>
        <v>#N/A</v>
      </c>
      <c r="AI996" s="25"/>
      <c r="AJ996" s="31"/>
    </row>
    <row r="997" spans="2:36" x14ac:dyDescent="0.25">
      <c r="B997" s="33">
        <f>'Arbitrage Payback Engine'!E997</f>
        <v>27.064785645801944</v>
      </c>
      <c r="C997" s="33">
        <f t="shared" si="255"/>
        <v>1000</v>
      </c>
      <c r="D997" s="33">
        <f>'Battery Pricing Model'!$C$17</f>
        <v>1000</v>
      </c>
      <c r="E997" s="33">
        <f t="shared" si="256"/>
        <v>999</v>
      </c>
      <c r="F997" s="33" t="str">
        <f>'Peak Models'!$B$4</f>
        <v>Default</v>
      </c>
      <c r="G997" s="33" t="e">
        <f>'Peak Models'!$Q$7</f>
        <v>#VALUE!</v>
      </c>
      <c r="H997" s="33">
        <f>'Peak Models'!$P$16</f>
        <v>1.5</v>
      </c>
      <c r="I997" s="33">
        <v>12</v>
      </c>
      <c r="J997" s="33" t="e">
        <f>'Peak Models'!$P$13</f>
        <v>#N/A</v>
      </c>
      <c r="K997" s="28" t="e">
        <f t="shared" si="257"/>
        <v>#VALUE!</v>
      </c>
      <c r="L997" s="28" t="e">
        <f>INDEX('Peak Models'!$P$34:$P$64, MATCH(TRUNC(B997, 0), 'Peak Models'!$O$34:$O$64, 0))</f>
        <v>#N/A</v>
      </c>
      <c r="M997" s="28">
        <f>'Peak Models'!$P$15*INDEX('Peak Models'!$Q$34:$Q$64, MATCH(TRUNC(B997, 0),'Peak Models'!$O$34:$O$64, 0))/'Profit per cycles Model'!$E$78</f>
        <v>9.1661177331751169</v>
      </c>
      <c r="N997" s="28" t="e">
        <f t="shared" si="258"/>
        <v>#N/A</v>
      </c>
      <c r="O997" s="71" t="e">
        <f>AVERAGE($N$10:N997)</f>
        <v>#N/A</v>
      </c>
      <c r="P997" s="28" t="e">
        <f t="shared" si="259"/>
        <v>#N/A</v>
      </c>
      <c r="R997" s="28" t="e">
        <f t="shared" si="260"/>
        <v>#VALUE!</v>
      </c>
      <c r="S997" s="25"/>
      <c r="T997" s="25">
        <f t="shared" si="261"/>
        <v>15</v>
      </c>
      <c r="U997" s="33">
        <f>IF(PaybackCustom&gt;0, IF(PaybackCustom&lt;&gt;"Default", PaybackCustom, IF(PaybackStatus&lt;&gt;"",INDEX('Arbitrage Payback Engine'!$Y$2:$Y$6,MATCH(PaybackStatus,'Arbitrage Payback Engine'!$X$2:$X$6,FALSE)),-1)))</f>
        <v>25</v>
      </c>
      <c r="V997" s="32">
        <f t="shared" si="270"/>
        <v>15</v>
      </c>
      <c r="X997" s="29">
        <f t="shared" si="271"/>
        <v>988</v>
      </c>
      <c r="Z997" s="30">
        <f t="shared" si="262"/>
        <v>27.064785645801944</v>
      </c>
      <c r="AA997" s="28" t="e">
        <f t="shared" si="263"/>
        <v>#N/A</v>
      </c>
      <c r="AB997" s="28" t="e">
        <f t="shared" si="264"/>
        <v>#VALUE!</v>
      </c>
      <c r="AC997" s="29">
        <f t="shared" si="265"/>
        <v>937.38140417457316</v>
      </c>
      <c r="AD997" s="28" t="e">
        <f t="shared" si="266"/>
        <v>#VALUE!</v>
      </c>
      <c r="AE997" s="28" t="e">
        <f t="shared" si="267"/>
        <v>#N/A</v>
      </c>
      <c r="AF997" s="28" t="e">
        <f t="shared" si="268"/>
        <v>#VALUE!</v>
      </c>
      <c r="AH997" s="31" t="e">
        <f t="shared" si="269"/>
        <v>#N/A</v>
      </c>
      <c r="AI997" s="25"/>
      <c r="AJ997" s="31"/>
    </row>
    <row r="998" spans="2:36" x14ac:dyDescent="0.25">
      <c r="B998" s="33">
        <f>'Arbitrage Payback Engine'!E998</f>
        <v>27.092179153540609</v>
      </c>
      <c r="C998" s="33">
        <f t="shared" si="255"/>
        <v>1000</v>
      </c>
      <c r="D998" s="33">
        <f>'Battery Pricing Model'!$C$17</f>
        <v>1000</v>
      </c>
      <c r="E998" s="33">
        <f t="shared" si="256"/>
        <v>999</v>
      </c>
      <c r="F998" s="33" t="str">
        <f>'Peak Models'!$B$4</f>
        <v>Default</v>
      </c>
      <c r="G998" s="33" t="e">
        <f>'Peak Models'!$Q$7</f>
        <v>#VALUE!</v>
      </c>
      <c r="H998" s="33">
        <f>'Peak Models'!$P$16</f>
        <v>1.5</v>
      </c>
      <c r="I998" s="33">
        <v>12</v>
      </c>
      <c r="J998" s="33" t="e">
        <f>'Peak Models'!$P$13</f>
        <v>#N/A</v>
      </c>
      <c r="K998" s="28" t="e">
        <f t="shared" si="257"/>
        <v>#VALUE!</v>
      </c>
      <c r="L998" s="28" t="e">
        <f>INDEX('Peak Models'!$P$34:$P$64, MATCH(TRUNC(B998, 0), 'Peak Models'!$O$34:$O$64, 0))</f>
        <v>#N/A</v>
      </c>
      <c r="M998" s="28">
        <f>'Peak Models'!$P$15*INDEX('Peak Models'!$Q$34:$Q$64, MATCH(TRUNC(B998, 0),'Peak Models'!$O$34:$O$64, 0))/'Profit per cycles Model'!$E$78</f>
        <v>9.1661177331751169</v>
      </c>
      <c r="N998" s="28" t="e">
        <f t="shared" si="258"/>
        <v>#N/A</v>
      </c>
      <c r="O998" s="71" t="e">
        <f>AVERAGE($N$10:N998)</f>
        <v>#N/A</v>
      </c>
      <c r="P998" s="28" t="e">
        <f t="shared" si="259"/>
        <v>#N/A</v>
      </c>
      <c r="R998" s="28" t="e">
        <f t="shared" si="260"/>
        <v>#VALUE!</v>
      </c>
      <c r="S998" s="25"/>
      <c r="T998" s="25">
        <f t="shared" si="261"/>
        <v>15</v>
      </c>
      <c r="U998" s="33">
        <f>IF(PaybackCustom&gt;0, IF(PaybackCustom&lt;&gt;"Default", PaybackCustom, IF(PaybackStatus&lt;&gt;"",INDEX('Arbitrage Payback Engine'!$Y$2:$Y$6,MATCH(PaybackStatus,'Arbitrage Payback Engine'!$X$2:$X$6,FALSE)),-1)))</f>
        <v>25</v>
      </c>
      <c r="V998" s="32">
        <f t="shared" si="270"/>
        <v>15</v>
      </c>
      <c r="X998" s="29">
        <f t="shared" si="271"/>
        <v>989</v>
      </c>
      <c r="Z998" s="30">
        <f t="shared" si="262"/>
        <v>27.092179153540609</v>
      </c>
      <c r="AA998" s="28" t="e">
        <f t="shared" si="263"/>
        <v>#N/A</v>
      </c>
      <c r="AB998" s="28" t="e">
        <f t="shared" si="264"/>
        <v>#VALUE!</v>
      </c>
      <c r="AC998" s="29">
        <f t="shared" si="265"/>
        <v>938.33017077798854</v>
      </c>
      <c r="AD998" s="28" t="e">
        <f t="shared" si="266"/>
        <v>#VALUE!</v>
      </c>
      <c r="AE998" s="28" t="e">
        <f t="shared" si="267"/>
        <v>#N/A</v>
      </c>
      <c r="AF998" s="28" t="e">
        <f t="shared" si="268"/>
        <v>#VALUE!</v>
      </c>
      <c r="AH998" s="31" t="e">
        <f t="shared" si="269"/>
        <v>#N/A</v>
      </c>
      <c r="AI998" s="25"/>
      <c r="AJ998" s="31"/>
    </row>
    <row r="999" spans="2:36" x14ac:dyDescent="0.25">
      <c r="B999" s="33">
        <f>'Arbitrage Payback Engine'!E999</f>
        <v>27.119572661279275</v>
      </c>
      <c r="C999" s="33">
        <f t="shared" si="255"/>
        <v>1000</v>
      </c>
      <c r="D999" s="33">
        <f>'Battery Pricing Model'!$C$17</f>
        <v>1000</v>
      </c>
      <c r="E999" s="33">
        <f t="shared" si="256"/>
        <v>999</v>
      </c>
      <c r="F999" s="33" t="str">
        <f>'Peak Models'!$B$4</f>
        <v>Default</v>
      </c>
      <c r="G999" s="33" t="e">
        <f>'Peak Models'!$Q$7</f>
        <v>#VALUE!</v>
      </c>
      <c r="H999" s="33">
        <f>'Peak Models'!$P$16</f>
        <v>1.5</v>
      </c>
      <c r="I999" s="33">
        <v>12</v>
      </c>
      <c r="J999" s="33" t="e">
        <f>'Peak Models'!$P$13</f>
        <v>#N/A</v>
      </c>
      <c r="K999" s="28" t="e">
        <f t="shared" si="257"/>
        <v>#VALUE!</v>
      </c>
      <c r="L999" s="28" t="e">
        <f>INDEX('Peak Models'!$P$34:$P$64, MATCH(TRUNC(B999, 0), 'Peak Models'!$O$34:$O$64, 0))</f>
        <v>#N/A</v>
      </c>
      <c r="M999" s="28">
        <f>'Peak Models'!$P$15*INDEX('Peak Models'!$Q$34:$Q$64, MATCH(TRUNC(B999, 0),'Peak Models'!$O$34:$O$64, 0))/'Profit per cycles Model'!$E$78</f>
        <v>9.1661177331751169</v>
      </c>
      <c r="N999" s="28" t="e">
        <f t="shared" si="258"/>
        <v>#N/A</v>
      </c>
      <c r="O999" s="71" t="e">
        <f>AVERAGE($N$10:N999)</f>
        <v>#N/A</v>
      </c>
      <c r="P999" s="28" t="e">
        <f t="shared" si="259"/>
        <v>#N/A</v>
      </c>
      <c r="R999" s="28" t="e">
        <f t="shared" si="260"/>
        <v>#VALUE!</v>
      </c>
      <c r="S999" s="25"/>
      <c r="T999" s="25">
        <f t="shared" si="261"/>
        <v>15</v>
      </c>
      <c r="U999" s="33">
        <f>IF(PaybackCustom&gt;0, IF(PaybackCustom&lt;&gt;"Default", PaybackCustom, IF(PaybackStatus&lt;&gt;"",INDEX('Arbitrage Payback Engine'!$Y$2:$Y$6,MATCH(PaybackStatus,'Arbitrage Payback Engine'!$X$2:$X$6,FALSE)),-1)))</f>
        <v>25</v>
      </c>
      <c r="V999" s="32">
        <f t="shared" si="270"/>
        <v>15</v>
      </c>
      <c r="X999" s="29">
        <f t="shared" si="271"/>
        <v>990</v>
      </c>
      <c r="Z999" s="30">
        <f t="shared" si="262"/>
        <v>27.119572661279275</v>
      </c>
      <c r="AA999" s="28" t="e">
        <f t="shared" si="263"/>
        <v>#N/A</v>
      </c>
      <c r="AB999" s="28" t="e">
        <f t="shared" si="264"/>
        <v>#VALUE!</v>
      </c>
      <c r="AC999" s="29">
        <f t="shared" si="265"/>
        <v>939.27893738140415</v>
      </c>
      <c r="AD999" s="28" t="e">
        <f t="shared" si="266"/>
        <v>#VALUE!</v>
      </c>
      <c r="AE999" s="28" t="e">
        <f t="shared" si="267"/>
        <v>#N/A</v>
      </c>
      <c r="AF999" s="28" t="e">
        <f t="shared" si="268"/>
        <v>#VALUE!</v>
      </c>
      <c r="AH999" s="31" t="e">
        <f t="shared" si="269"/>
        <v>#N/A</v>
      </c>
      <c r="AI999" s="25"/>
      <c r="AJ999" s="31"/>
    </row>
    <row r="1000" spans="2:36" x14ac:dyDescent="0.25">
      <c r="B1000" s="33">
        <f>'Arbitrage Payback Engine'!E1000</f>
        <v>27.146966169017944</v>
      </c>
      <c r="C1000" s="33">
        <f t="shared" si="255"/>
        <v>1000</v>
      </c>
      <c r="D1000" s="33">
        <f>'Battery Pricing Model'!$C$17</f>
        <v>1000</v>
      </c>
      <c r="E1000" s="33">
        <f t="shared" si="256"/>
        <v>999</v>
      </c>
      <c r="F1000" s="33" t="str">
        <f>'Peak Models'!$B$4</f>
        <v>Default</v>
      </c>
      <c r="G1000" s="33" t="e">
        <f>'Peak Models'!$Q$7</f>
        <v>#VALUE!</v>
      </c>
      <c r="H1000" s="33">
        <f>'Peak Models'!$P$16</f>
        <v>1.5</v>
      </c>
      <c r="I1000" s="33">
        <v>12</v>
      </c>
      <c r="J1000" s="33" t="e">
        <f>'Peak Models'!$P$13</f>
        <v>#N/A</v>
      </c>
      <c r="K1000" s="28" t="e">
        <f t="shared" si="257"/>
        <v>#VALUE!</v>
      </c>
      <c r="L1000" s="28" t="e">
        <f>INDEX('Peak Models'!$P$34:$P$64, MATCH(TRUNC(B1000, 0), 'Peak Models'!$O$34:$O$64, 0))</f>
        <v>#N/A</v>
      </c>
      <c r="M1000" s="28">
        <f>'Peak Models'!$P$15*INDEX('Peak Models'!$Q$34:$Q$64, MATCH(TRUNC(B1000, 0),'Peak Models'!$O$34:$O$64, 0))/'Profit per cycles Model'!$E$78</f>
        <v>9.1661177331751169</v>
      </c>
      <c r="N1000" s="28" t="e">
        <f t="shared" si="258"/>
        <v>#N/A</v>
      </c>
      <c r="O1000" s="71" t="e">
        <f>AVERAGE($N$10:N1000)</f>
        <v>#N/A</v>
      </c>
      <c r="P1000" s="28" t="e">
        <f t="shared" si="259"/>
        <v>#N/A</v>
      </c>
      <c r="R1000" s="28" t="e">
        <f t="shared" si="260"/>
        <v>#VALUE!</v>
      </c>
      <c r="S1000" s="25"/>
      <c r="T1000" s="25">
        <f t="shared" si="261"/>
        <v>15</v>
      </c>
      <c r="U1000" s="33">
        <f>IF(PaybackCustom&gt;0, IF(PaybackCustom&lt;&gt;"Default", PaybackCustom, IF(PaybackStatus&lt;&gt;"",INDEX('Arbitrage Payback Engine'!$Y$2:$Y$6,MATCH(PaybackStatus,'Arbitrage Payback Engine'!$X$2:$X$6,FALSE)),-1)))</f>
        <v>25</v>
      </c>
      <c r="V1000" s="32">
        <f t="shared" si="270"/>
        <v>15</v>
      </c>
      <c r="X1000" s="29">
        <f t="shared" si="271"/>
        <v>991</v>
      </c>
      <c r="Z1000" s="30">
        <f t="shared" si="262"/>
        <v>27.146966169017944</v>
      </c>
      <c r="AA1000" s="28" t="e">
        <f t="shared" si="263"/>
        <v>#N/A</v>
      </c>
      <c r="AB1000" s="28" t="e">
        <f t="shared" si="264"/>
        <v>#VALUE!</v>
      </c>
      <c r="AC1000" s="29">
        <f t="shared" si="265"/>
        <v>940.22770398481975</v>
      </c>
      <c r="AD1000" s="28" t="e">
        <f t="shared" si="266"/>
        <v>#VALUE!</v>
      </c>
      <c r="AE1000" s="28" t="e">
        <f t="shared" si="267"/>
        <v>#N/A</v>
      </c>
      <c r="AF1000" s="28" t="e">
        <f t="shared" si="268"/>
        <v>#VALUE!</v>
      </c>
      <c r="AH1000" s="31" t="e">
        <f t="shared" si="269"/>
        <v>#N/A</v>
      </c>
      <c r="AI1000" s="25"/>
      <c r="AJ1000" s="31"/>
    </row>
    <row r="1001" spans="2:36" x14ac:dyDescent="0.25">
      <c r="B1001" s="33">
        <f>'Arbitrage Payback Engine'!E1001</f>
        <v>27.174359676756609</v>
      </c>
      <c r="C1001" s="33">
        <f t="shared" si="255"/>
        <v>1000</v>
      </c>
      <c r="D1001" s="33">
        <f>'Battery Pricing Model'!$C$17</f>
        <v>1000</v>
      </c>
      <c r="E1001" s="33">
        <f t="shared" si="256"/>
        <v>999</v>
      </c>
      <c r="F1001" s="33" t="str">
        <f>'Peak Models'!$B$4</f>
        <v>Default</v>
      </c>
      <c r="G1001" s="33" t="e">
        <f>'Peak Models'!$Q$7</f>
        <v>#VALUE!</v>
      </c>
      <c r="H1001" s="33">
        <f>'Peak Models'!$P$16</f>
        <v>1.5</v>
      </c>
      <c r="I1001" s="33">
        <v>12</v>
      </c>
      <c r="J1001" s="33" t="e">
        <f>'Peak Models'!$P$13</f>
        <v>#N/A</v>
      </c>
      <c r="K1001" s="28" t="e">
        <f t="shared" si="257"/>
        <v>#VALUE!</v>
      </c>
      <c r="L1001" s="28" t="e">
        <f>INDEX('Peak Models'!$P$34:$P$64, MATCH(TRUNC(B1001, 0), 'Peak Models'!$O$34:$O$64, 0))</f>
        <v>#N/A</v>
      </c>
      <c r="M1001" s="28">
        <f>'Peak Models'!$P$15*INDEX('Peak Models'!$Q$34:$Q$64, MATCH(TRUNC(B1001, 0),'Peak Models'!$O$34:$O$64, 0))/'Profit per cycles Model'!$E$78</f>
        <v>9.1661177331751169</v>
      </c>
      <c r="N1001" s="28" t="e">
        <f t="shared" si="258"/>
        <v>#N/A</v>
      </c>
      <c r="O1001" s="71" t="e">
        <f>AVERAGE($N$10:N1001)</f>
        <v>#N/A</v>
      </c>
      <c r="P1001" s="28" t="e">
        <f t="shared" si="259"/>
        <v>#N/A</v>
      </c>
      <c r="R1001" s="28" t="e">
        <f t="shared" si="260"/>
        <v>#VALUE!</v>
      </c>
      <c r="S1001" s="25"/>
      <c r="T1001" s="25">
        <f t="shared" si="261"/>
        <v>15</v>
      </c>
      <c r="U1001" s="33">
        <f>IF(PaybackCustom&gt;0, IF(PaybackCustom&lt;&gt;"Default", PaybackCustom, IF(PaybackStatus&lt;&gt;"",INDEX('Arbitrage Payback Engine'!$Y$2:$Y$6,MATCH(PaybackStatus,'Arbitrage Payback Engine'!$X$2:$X$6,FALSE)),-1)))</f>
        <v>25</v>
      </c>
      <c r="V1001" s="32">
        <f t="shared" si="270"/>
        <v>15</v>
      </c>
      <c r="X1001" s="29">
        <f t="shared" si="271"/>
        <v>992</v>
      </c>
      <c r="Z1001" s="30">
        <f t="shared" si="262"/>
        <v>27.174359676756609</v>
      </c>
      <c r="AA1001" s="28" t="e">
        <f t="shared" si="263"/>
        <v>#N/A</v>
      </c>
      <c r="AB1001" s="28" t="e">
        <f t="shared" si="264"/>
        <v>#VALUE!</v>
      </c>
      <c r="AC1001" s="29">
        <f t="shared" si="265"/>
        <v>941.17647058823536</v>
      </c>
      <c r="AD1001" s="28" t="e">
        <f t="shared" si="266"/>
        <v>#VALUE!</v>
      </c>
      <c r="AE1001" s="28" t="e">
        <f t="shared" si="267"/>
        <v>#N/A</v>
      </c>
      <c r="AF1001" s="28" t="e">
        <f t="shared" si="268"/>
        <v>#VALUE!</v>
      </c>
      <c r="AH1001" s="31" t="e">
        <f t="shared" si="269"/>
        <v>#N/A</v>
      </c>
      <c r="AI1001" s="25"/>
      <c r="AJ1001" s="31"/>
    </row>
    <row r="1002" spans="2:36" x14ac:dyDescent="0.25">
      <c r="B1002" s="33">
        <f>'Arbitrage Payback Engine'!E1002</f>
        <v>27.201753184495274</v>
      </c>
      <c r="C1002" s="33">
        <f t="shared" si="255"/>
        <v>1000</v>
      </c>
      <c r="D1002" s="33">
        <f>'Battery Pricing Model'!$C$17</f>
        <v>1000</v>
      </c>
      <c r="E1002" s="33">
        <f t="shared" si="256"/>
        <v>999</v>
      </c>
      <c r="F1002" s="33" t="str">
        <f>'Peak Models'!$B$4</f>
        <v>Default</v>
      </c>
      <c r="G1002" s="33" t="e">
        <f>'Peak Models'!$Q$7</f>
        <v>#VALUE!</v>
      </c>
      <c r="H1002" s="33">
        <f>'Peak Models'!$P$16</f>
        <v>1.5</v>
      </c>
      <c r="I1002" s="33">
        <v>12</v>
      </c>
      <c r="J1002" s="33" t="e">
        <f>'Peak Models'!$P$13</f>
        <v>#N/A</v>
      </c>
      <c r="K1002" s="28" t="e">
        <f t="shared" si="257"/>
        <v>#VALUE!</v>
      </c>
      <c r="L1002" s="28" t="e">
        <f>INDEX('Peak Models'!$P$34:$P$64, MATCH(TRUNC(B1002, 0), 'Peak Models'!$O$34:$O$64, 0))</f>
        <v>#N/A</v>
      </c>
      <c r="M1002" s="28">
        <f>'Peak Models'!$P$15*INDEX('Peak Models'!$Q$34:$Q$64, MATCH(TRUNC(B1002, 0),'Peak Models'!$O$34:$O$64, 0))/'Profit per cycles Model'!$E$78</f>
        <v>9.1661177331751169</v>
      </c>
      <c r="N1002" s="28" t="e">
        <f t="shared" si="258"/>
        <v>#N/A</v>
      </c>
      <c r="O1002" s="71" t="e">
        <f>AVERAGE($N$10:N1002)</f>
        <v>#N/A</v>
      </c>
      <c r="P1002" s="28" t="e">
        <f t="shared" si="259"/>
        <v>#N/A</v>
      </c>
      <c r="R1002" s="28" t="e">
        <f t="shared" si="260"/>
        <v>#VALUE!</v>
      </c>
      <c r="S1002" s="25"/>
      <c r="T1002" s="25">
        <f t="shared" si="261"/>
        <v>15</v>
      </c>
      <c r="U1002" s="33">
        <f>IF(PaybackCustom&gt;0, IF(PaybackCustom&lt;&gt;"Default", PaybackCustom, IF(PaybackStatus&lt;&gt;"",INDEX('Arbitrage Payback Engine'!$Y$2:$Y$6,MATCH(PaybackStatus,'Arbitrage Payback Engine'!$X$2:$X$6,FALSE)),-1)))</f>
        <v>25</v>
      </c>
      <c r="V1002" s="32">
        <f t="shared" si="270"/>
        <v>15</v>
      </c>
      <c r="X1002" s="29">
        <f t="shared" si="271"/>
        <v>993</v>
      </c>
      <c r="Z1002" s="30">
        <f t="shared" si="262"/>
        <v>27.201753184495274</v>
      </c>
      <c r="AA1002" s="28" t="e">
        <f t="shared" si="263"/>
        <v>#N/A</v>
      </c>
      <c r="AB1002" s="28" t="e">
        <f t="shared" si="264"/>
        <v>#VALUE!</v>
      </c>
      <c r="AC1002" s="29">
        <f t="shared" si="265"/>
        <v>942.12523719165097</v>
      </c>
      <c r="AD1002" s="28" t="e">
        <f t="shared" si="266"/>
        <v>#VALUE!</v>
      </c>
      <c r="AE1002" s="28" t="e">
        <f t="shared" si="267"/>
        <v>#N/A</v>
      </c>
      <c r="AF1002" s="28" t="e">
        <f t="shared" si="268"/>
        <v>#VALUE!</v>
      </c>
      <c r="AH1002" s="31" t="e">
        <f t="shared" si="269"/>
        <v>#N/A</v>
      </c>
      <c r="AI1002" s="25"/>
      <c r="AJ1002" s="31"/>
    </row>
    <row r="1003" spans="2:36" x14ac:dyDescent="0.25">
      <c r="B1003" s="33">
        <f>'Arbitrage Payback Engine'!E1003</f>
        <v>27.22914669223394</v>
      </c>
      <c r="C1003" s="33">
        <f t="shared" si="255"/>
        <v>1000</v>
      </c>
      <c r="D1003" s="33">
        <f>'Battery Pricing Model'!$C$17</f>
        <v>1000</v>
      </c>
      <c r="E1003" s="33">
        <f t="shared" si="256"/>
        <v>999</v>
      </c>
      <c r="F1003" s="33" t="str">
        <f>'Peak Models'!$B$4</f>
        <v>Default</v>
      </c>
      <c r="G1003" s="33" t="e">
        <f>'Peak Models'!$Q$7</f>
        <v>#VALUE!</v>
      </c>
      <c r="H1003" s="33">
        <f>'Peak Models'!$P$16</f>
        <v>1.5</v>
      </c>
      <c r="I1003" s="33">
        <v>12</v>
      </c>
      <c r="J1003" s="33" t="e">
        <f>'Peak Models'!$P$13</f>
        <v>#N/A</v>
      </c>
      <c r="K1003" s="28" t="e">
        <f t="shared" si="257"/>
        <v>#VALUE!</v>
      </c>
      <c r="L1003" s="28" t="e">
        <f>INDEX('Peak Models'!$P$34:$P$64, MATCH(TRUNC(B1003, 0), 'Peak Models'!$O$34:$O$64, 0))</f>
        <v>#N/A</v>
      </c>
      <c r="M1003" s="28">
        <f>'Peak Models'!$P$15*INDEX('Peak Models'!$Q$34:$Q$64, MATCH(TRUNC(B1003, 0),'Peak Models'!$O$34:$O$64, 0))/'Profit per cycles Model'!$E$78</f>
        <v>9.1661177331751169</v>
      </c>
      <c r="N1003" s="28" t="e">
        <f t="shared" si="258"/>
        <v>#N/A</v>
      </c>
      <c r="O1003" s="71" t="e">
        <f>AVERAGE($N$10:N1003)</f>
        <v>#N/A</v>
      </c>
      <c r="P1003" s="28" t="e">
        <f t="shared" si="259"/>
        <v>#N/A</v>
      </c>
      <c r="R1003" s="28" t="e">
        <f t="shared" si="260"/>
        <v>#VALUE!</v>
      </c>
      <c r="S1003" s="25"/>
      <c r="T1003" s="25">
        <f t="shared" si="261"/>
        <v>15</v>
      </c>
      <c r="U1003" s="33">
        <f>IF(PaybackCustom&gt;0, IF(PaybackCustom&lt;&gt;"Default", PaybackCustom, IF(PaybackStatus&lt;&gt;"",INDEX('Arbitrage Payback Engine'!$Y$2:$Y$6,MATCH(PaybackStatus,'Arbitrage Payback Engine'!$X$2:$X$6,FALSE)),-1)))</f>
        <v>25</v>
      </c>
      <c r="V1003" s="32">
        <f t="shared" si="270"/>
        <v>15</v>
      </c>
      <c r="X1003" s="29">
        <f t="shared" si="271"/>
        <v>994</v>
      </c>
      <c r="Z1003" s="30">
        <f t="shared" si="262"/>
        <v>27.22914669223394</v>
      </c>
      <c r="AA1003" s="28" t="e">
        <f t="shared" si="263"/>
        <v>#N/A</v>
      </c>
      <c r="AB1003" s="28" t="e">
        <f t="shared" si="264"/>
        <v>#VALUE!</v>
      </c>
      <c r="AC1003" s="29">
        <f t="shared" si="265"/>
        <v>943.07400379506635</v>
      </c>
      <c r="AD1003" s="28" t="e">
        <f t="shared" si="266"/>
        <v>#VALUE!</v>
      </c>
      <c r="AE1003" s="28" t="e">
        <f t="shared" si="267"/>
        <v>#N/A</v>
      </c>
      <c r="AF1003" s="28" t="e">
        <f t="shared" si="268"/>
        <v>#VALUE!</v>
      </c>
      <c r="AH1003" s="31" t="e">
        <f t="shared" si="269"/>
        <v>#N/A</v>
      </c>
      <c r="AI1003" s="25"/>
      <c r="AJ1003" s="31"/>
    </row>
    <row r="1004" spans="2:36" x14ac:dyDescent="0.25">
      <c r="B1004" s="33">
        <f>'Arbitrage Payback Engine'!E1004</f>
        <v>27.256540199972605</v>
      </c>
      <c r="C1004" s="33">
        <f t="shared" si="255"/>
        <v>1000</v>
      </c>
      <c r="D1004" s="33">
        <f>'Battery Pricing Model'!$C$17</f>
        <v>1000</v>
      </c>
      <c r="E1004" s="33">
        <f t="shared" si="256"/>
        <v>999</v>
      </c>
      <c r="F1004" s="33" t="str">
        <f>'Peak Models'!$B$4</f>
        <v>Default</v>
      </c>
      <c r="G1004" s="33" t="e">
        <f>'Peak Models'!$Q$7</f>
        <v>#VALUE!</v>
      </c>
      <c r="H1004" s="33">
        <f>'Peak Models'!$P$16</f>
        <v>1.5</v>
      </c>
      <c r="I1004" s="33">
        <v>12</v>
      </c>
      <c r="J1004" s="33" t="e">
        <f>'Peak Models'!$P$13</f>
        <v>#N/A</v>
      </c>
      <c r="K1004" s="28" t="e">
        <f t="shared" si="257"/>
        <v>#VALUE!</v>
      </c>
      <c r="L1004" s="28" t="e">
        <f>INDEX('Peak Models'!$P$34:$P$64, MATCH(TRUNC(B1004, 0), 'Peak Models'!$O$34:$O$64, 0))</f>
        <v>#N/A</v>
      </c>
      <c r="M1004" s="28">
        <f>'Peak Models'!$P$15*INDEX('Peak Models'!$Q$34:$Q$64, MATCH(TRUNC(B1004, 0),'Peak Models'!$O$34:$O$64, 0))/'Profit per cycles Model'!$E$78</f>
        <v>9.1661177331751169</v>
      </c>
      <c r="N1004" s="28" t="e">
        <f t="shared" si="258"/>
        <v>#N/A</v>
      </c>
      <c r="O1004" s="71" t="e">
        <f>AVERAGE($N$10:N1004)</f>
        <v>#N/A</v>
      </c>
      <c r="P1004" s="28" t="e">
        <f t="shared" si="259"/>
        <v>#N/A</v>
      </c>
      <c r="R1004" s="28" t="e">
        <f t="shared" si="260"/>
        <v>#VALUE!</v>
      </c>
      <c r="S1004" s="25"/>
      <c r="T1004" s="25">
        <f t="shared" si="261"/>
        <v>15</v>
      </c>
      <c r="U1004" s="33">
        <f>IF(PaybackCustom&gt;0, IF(PaybackCustom&lt;&gt;"Default", PaybackCustom, IF(PaybackStatus&lt;&gt;"",INDEX('Arbitrage Payback Engine'!$Y$2:$Y$6,MATCH(PaybackStatus,'Arbitrage Payback Engine'!$X$2:$X$6,FALSE)),-1)))</f>
        <v>25</v>
      </c>
      <c r="V1004" s="32">
        <f t="shared" si="270"/>
        <v>15</v>
      </c>
      <c r="X1004" s="29">
        <f t="shared" si="271"/>
        <v>995</v>
      </c>
      <c r="Z1004" s="30">
        <f t="shared" si="262"/>
        <v>27.256540199972605</v>
      </c>
      <c r="AA1004" s="28" t="e">
        <f t="shared" si="263"/>
        <v>#N/A</v>
      </c>
      <c r="AB1004" s="28" t="e">
        <f t="shared" si="264"/>
        <v>#VALUE!</v>
      </c>
      <c r="AC1004" s="29">
        <f t="shared" si="265"/>
        <v>944.02277039848195</v>
      </c>
      <c r="AD1004" s="28" t="e">
        <f t="shared" si="266"/>
        <v>#VALUE!</v>
      </c>
      <c r="AE1004" s="28" t="e">
        <f t="shared" si="267"/>
        <v>#N/A</v>
      </c>
      <c r="AF1004" s="28" t="e">
        <f t="shared" si="268"/>
        <v>#VALUE!</v>
      </c>
      <c r="AH1004" s="31" t="e">
        <f t="shared" si="269"/>
        <v>#N/A</v>
      </c>
      <c r="AI1004" s="25"/>
      <c r="AJ1004" s="31"/>
    </row>
    <row r="1005" spans="2:36" x14ac:dyDescent="0.25">
      <c r="B1005" s="33">
        <f>'Arbitrage Payback Engine'!E1005</f>
        <v>27.28393370771127</v>
      </c>
      <c r="C1005" s="33">
        <f t="shared" si="255"/>
        <v>1000</v>
      </c>
      <c r="D1005" s="33">
        <f>'Battery Pricing Model'!$C$17</f>
        <v>1000</v>
      </c>
      <c r="E1005" s="33">
        <f t="shared" si="256"/>
        <v>999</v>
      </c>
      <c r="F1005" s="33" t="str">
        <f>'Peak Models'!$B$4</f>
        <v>Default</v>
      </c>
      <c r="G1005" s="33" t="e">
        <f>'Peak Models'!$Q$7</f>
        <v>#VALUE!</v>
      </c>
      <c r="H1005" s="33">
        <f>'Peak Models'!$P$16</f>
        <v>1.5</v>
      </c>
      <c r="I1005" s="33">
        <v>12</v>
      </c>
      <c r="J1005" s="33" t="e">
        <f>'Peak Models'!$P$13</f>
        <v>#N/A</v>
      </c>
      <c r="K1005" s="28" t="e">
        <f t="shared" si="257"/>
        <v>#VALUE!</v>
      </c>
      <c r="L1005" s="28" t="e">
        <f>INDEX('Peak Models'!$P$34:$P$64, MATCH(TRUNC(B1005, 0), 'Peak Models'!$O$34:$O$64, 0))</f>
        <v>#N/A</v>
      </c>
      <c r="M1005" s="28">
        <f>'Peak Models'!$P$15*INDEX('Peak Models'!$Q$34:$Q$64, MATCH(TRUNC(B1005, 0),'Peak Models'!$O$34:$O$64, 0))/'Profit per cycles Model'!$E$78</f>
        <v>9.1661177331751169</v>
      </c>
      <c r="N1005" s="28" t="e">
        <f t="shared" si="258"/>
        <v>#N/A</v>
      </c>
      <c r="O1005" s="71" t="e">
        <f>AVERAGE($N$10:N1005)</f>
        <v>#N/A</v>
      </c>
      <c r="P1005" s="28" t="e">
        <f t="shared" si="259"/>
        <v>#N/A</v>
      </c>
      <c r="R1005" s="28" t="e">
        <f t="shared" si="260"/>
        <v>#VALUE!</v>
      </c>
      <c r="S1005" s="25"/>
      <c r="T1005" s="25">
        <f t="shared" si="261"/>
        <v>15</v>
      </c>
      <c r="U1005" s="33">
        <f>IF(PaybackCustom&gt;0, IF(PaybackCustom&lt;&gt;"Default", PaybackCustom, IF(PaybackStatus&lt;&gt;"",INDEX('Arbitrage Payback Engine'!$Y$2:$Y$6,MATCH(PaybackStatus,'Arbitrage Payback Engine'!$X$2:$X$6,FALSE)),-1)))</f>
        <v>25</v>
      </c>
      <c r="V1005" s="32">
        <f t="shared" si="270"/>
        <v>15</v>
      </c>
      <c r="X1005" s="29">
        <f t="shared" si="271"/>
        <v>996</v>
      </c>
      <c r="Z1005" s="30">
        <f t="shared" si="262"/>
        <v>27.28393370771127</v>
      </c>
      <c r="AA1005" s="28" t="e">
        <f t="shared" si="263"/>
        <v>#N/A</v>
      </c>
      <c r="AB1005" s="28" t="e">
        <f t="shared" si="264"/>
        <v>#VALUE!</v>
      </c>
      <c r="AC1005" s="29">
        <f t="shared" si="265"/>
        <v>944.97153700189745</v>
      </c>
      <c r="AD1005" s="28" t="e">
        <f t="shared" si="266"/>
        <v>#VALUE!</v>
      </c>
      <c r="AE1005" s="28" t="e">
        <f t="shared" si="267"/>
        <v>#N/A</v>
      </c>
      <c r="AF1005" s="28" t="e">
        <f t="shared" si="268"/>
        <v>#VALUE!</v>
      </c>
      <c r="AH1005" s="31" t="e">
        <f t="shared" si="269"/>
        <v>#N/A</v>
      </c>
      <c r="AI1005" s="25"/>
      <c r="AJ1005" s="31"/>
    </row>
    <row r="1006" spans="2:36" x14ac:dyDescent="0.25">
      <c r="B1006" s="33">
        <f>'Arbitrage Payback Engine'!E1006</f>
        <v>27.311327215449939</v>
      </c>
      <c r="C1006" s="33">
        <f t="shared" si="255"/>
        <v>1000</v>
      </c>
      <c r="D1006" s="33">
        <f>'Battery Pricing Model'!$C$17</f>
        <v>1000</v>
      </c>
      <c r="E1006" s="33">
        <f t="shared" si="256"/>
        <v>999</v>
      </c>
      <c r="F1006" s="33" t="str">
        <f>'Peak Models'!$B$4</f>
        <v>Default</v>
      </c>
      <c r="G1006" s="33" t="e">
        <f>'Peak Models'!$Q$7</f>
        <v>#VALUE!</v>
      </c>
      <c r="H1006" s="33">
        <f>'Peak Models'!$P$16</f>
        <v>1.5</v>
      </c>
      <c r="I1006" s="33">
        <v>12</v>
      </c>
      <c r="J1006" s="33" t="e">
        <f>'Peak Models'!$P$13</f>
        <v>#N/A</v>
      </c>
      <c r="K1006" s="28" t="e">
        <f t="shared" si="257"/>
        <v>#VALUE!</v>
      </c>
      <c r="L1006" s="28" t="e">
        <f>INDEX('Peak Models'!$P$34:$P$64, MATCH(TRUNC(B1006, 0), 'Peak Models'!$O$34:$O$64, 0))</f>
        <v>#N/A</v>
      </c>
      <c r="M1006" s="28">
        <f>'Peak Models'!$P$15*INDEX('Peak Models'!$Q$34:$Q$64, MATCH(TRUNC(B1006, 0),'Peak Models'!$O$34:$O$64, 0))/'Profit per cycles Model'!$E$78</f>
        <v>9.1661177331751169</v>
      </c>
      <c r="N1006" s="28" t="e">
        <f t="shared" si="258"/>
        <v>#N/A</v>
      </c>
      <c r="O1006" s="71" t="e">
        <f>AVERAGE($N$10:N1006)</f>
        <v>#N/A</v>
      </c>
      <c r="P1006" s="28" t="e">
        <f t="shared" si="259"/>
        <v>#N/A</v>
      </c>
      <c r="R1006" s="28" t="e">
        <f t="shared" si="260"/>
        <v>#VALUE!</v>
      </c>
      <c r="S1006" s="25"/>
      <c r="T1006" s="25">
        <f t="shared" si="261"/>
        <v>15</v>
      </c>
      <c r="U1006" s="33">
        <f>IF(PaybackCustom&gt;0, IF(PaybackCustom&lt;&gt;"Default", PaybackCustom, IF(PaybackStatus&lt;&gt;"",INDEX('Arbitrage Payback Engine'!$Y$2:$Y$6,MATCH(PaybackStatus,'Arbitrage Payback Engine'!$X$2:$X$6,FALSE)),-1)))</f>
        <v>25</v>
      </c>
      <c r="V1006" s="32">
        <f t="shared" si="270"/>
        <v>15</v>
      </c>
      <c r="X1006" s="29">
        <f t="shared" si="271"/>
        <v>997</v>
      </c>
      <c r="Z1006" s="30">
        <f t="shared" si="262"/>
        <v>27.311327215449939</v>
      </c>
      <c r="AA1006" s="28" t="e">
        <f t="shared" si="263"/>
        <v>#N/A</v>
      </c>
      <c r="AB1006" s="28" t="e">
        <f t="shared" si="264"/>
        <v>#VALUE!</v>
      </c>
      <c r="AC1006" s="29">
        <f t="shared" si="265"/>
        <v>945.92030360531317</v>
      </c>
      <c r="AD1006" s="28" t="e">
        <f t="shared" si="266"/>
        <v>#VALUE!</v>
      </c>
      <c r="AE1006" s="28" t="e">
        <f t="shared" si="267"/>
        <v>#N/A</v>
      </c>
      <c r="AF1006" s="28" t="e">
        <f t="shared" si="268"/>
        <v>#VALUE!</v>
      </c>
      <c r="AH1006" s="31" t="e">
        <f t="shared" si="269"/>
        <v>#N/A</v>
      </c>
      <c r="AI1006" s="25"/>
      <c r="AJ1006" s="31"/>
    </row>
    <row r="1007" spans="2:36" x14ac:dyDescent="0.25">
      <c r="B1007" s="33">
        <f>'Arbitrage Payback Engine'!E1007</f>
        <v>27.338720723188604</v>
      </c>
      <c r="C1007" s="33">
        <f t="shared" si="255"/>
        <v>1000</v>
      </c>
      <c r="D1007" s="33">
        <f>'Battery Pricing Model'!$C$17</f>
        <v>1000</v>
      </c>
      <c r="E1007" s="33">
        <f t="shared" si="256"/>
        <v>999</v>
      </c>
      <c r="F1007" s="33" t="str">
        <f>'Peak Models'!$B$4</f>
        <v>Default</v>
      </c>
      <c r="G1007" s="33" t="e">
        <f>'Peak Models'!$Q$7</f>
        <v>#VALUE!</v>
      </c>
      <c r="H1007" s="33">
        <f>'Peak Models'!$P$16</f>
        <v>1.5</v>
      </c>
      <c r="I1007" s="33">
        <v>12</v>
      </c>
      <c r="J1007" s="33" t="e">
        <f>'Peak Models'!$P$13</f>
        <v>#N/A</v>
      </c>
      <c r="K1007" s="28" t="e">
        <f t="shared" si="257"/>
        <v>#VALUE!</v>
      </c>
      <c r="L1007" s="28" t="e">
        <f>INDEX('Peak Models'!$P$34:$P$64, MATCH(TRUNC(B1007, 0), 'Peak Models'!$O$34:$O$64, 0))</f>
        <v>#N/A</v>
      </c>
      <c r="M1007" s="28">
        <f>'Peak Models'!$P$15*INDEX('Peak Models'!$Q$34:$Q$64, MATCH(TRUNC(B1007, 0),'Peak Models'!$O$34:$O$64, 0))/'Profit per cycles Model'!$E$78</f>
        <v>9.1661177331751169</v>
      </c>
      <c r="N1007" s="28" t="e">
        <f t="shared" si="258"/>
        <v>#N/A</v>
      </c>
      <c r="O1007" s="71" t="e">
        <f>AVERAGE($N$10:N1007)</f>
        <v>#N/A</v>
      </c>
      <c r="P1007" s="28" t="e">
        <f t="shared" si="259"/>
        <v>#N/A</v>
      </c>
      <c r="R1007" s="28" t="e">
        <f t="shared" si="260"/>
        <v>#VALUE!</v>
      </c>
      <c r="S1007" s="25"/>
      <c r="T1007" s="25">
        <f t="shared" si="261"/>
        <v>15</v>
      </c>
      <c r="U1007" s="33">
        <f>IF(PaybackCustom&gt;0, IF(PaybackCustom&lt;&gt;"Default", PaybackCustom, IF(PaybackStatus&lt;&gt;"",INDEX('Arbitrage Payback Engine'!$Y$2:$Y$6,MATCH(PaybackStatus,'Arbitrage Payback Engine'!$X$2:$X$6,FALSE)),-1)))</f>
        <v>25</v>
      </c>
      <c r="V1007" s="32">
        <f t="shared" si="270"/>
        <v>15</v>
      </c>
      <c r="X1007" s="29">
        <f t="shared" si="271"/>
        <v>998</v>
      </c>
      <c r="Z1007" s="30">
        <f t="shared" si="262"/>
        <v>27.338720723188604</v>
      </c>
      <c r="AA1007" s="28" t="e">
        <f t="shared" si="263"/>
        <v>#N/A</v>
      </c>
      <c r="AB1007" s="28" t="e">
        <f t="shared" si="264"/>
        <v>#VALUE!</v>
      </c>
      <c r="AC1007" s="29">
        <f t="shared" si="265"/>
        <v>946.86907020872877</v>
      </c>
      <c r="AD1007" s="28" t="e">
        <f t="shared" si="266"/>
        <v>#VALUE!</v>
      </c>
      <c r="AE1007" s="28" t="e">
        <f t="shared" si="267"/>
        <v>#N/A</v>
      </c>
      <c r="AF1007" s="28" t="e">
        <f t="shared" si="268"/>
        <v>#VALUE!</v>
      </c>
      <c r="AH1007" s="31" t="e">
        <f t="shared" si="269"/>
        <v>#N/A</v>
      </c>
      <c r="AI1007" s="25"/>
      <c r="AJ1007" s="31"/>
    </row>
    <row r="1008" spans="2:36" x14ac:dyDescent="0.25">
      <c r="B1008" s="33">
        <f>'Arbitrage Payback Engine'!E1008</f>
        <v>27.36611423092727</v>
      </c>
      <c r="C1008" s="33">
        <f t="shared" si="255"/>
        <v>1000</v>
      </c>
      <c r="D1008" s="33">
        <f>'Battery Pricing Model'!$C$17</f>
        <v>1000</v>
      </c>
      <c r="E1008" s="33">
        <f t="shared" si="256"/>
        <v>999</v>
      </c>
      <c r="F1008" s="33" t="str">
        <f>'Peak Models'!$B$4</f>
        <v>Default</v>
      </c>
      <c r="G1008" s="33" t="e">
        <f>'Peak Models'!$Q$7</f>
        <v>#VALUE!</v>
      </c>
      <c r="H1008" s="33">
        <f>'Peak Models'!$P$16</f>
        <v>1.5</v>
      </c>
      <c r="I1008" s="33">
        <v>12</v>
      </c>
      <c r="J1008" s="33" t="e">
        <f>'Peak Models'!$P$13</f>
        <v>#N/A</v>
      </c>
      <c r="K1008" s="28" t="e">
        <f t="shared" si="257"/>
        <v>#VALUE!</v>
      </c>
      <c r="L1008" s="28" t="e">
        <f>INDEX('Peak Models'!$P$34:$P$64, MATCH(TRUNC(B1008, 0), 'Peak Models'!$O$34:$O$64, 0))</f>
        <v>#N/A</v>
      </c>
      <c r="M1008" s="28">
        <f>'Peak Models'!$P$15*INDEX('Peak Models'!$Q$34:$Q$64, MATCH(TRUNC(B1008, 0),'Peak Models'!$O$34:$O$64, 0))/'Profit per cycles Model'!$E$78</f>
        <v>9.1661177331751169</v>
      </c>
      <c r="N1008" s="28" t="e">
        <f t="shared" si="258"/>
        <v>#N/A</v>
      </c>
      <c r="O1008" s="71" t="e">
        <f>AVERAGE($N$10:N1008)</f>
        <v>#N/A</v>
      </c>
      <c r="P1008" s="28" t="e">
        <f t="shared" si="259"/>
        <v>#N/A</v>
      </c>
      <c r="R1008" s="28" t="e">
        <f t="shared" si="260"/>
        <v>#VALUE!</v>
      </c>
      <c r="S1008" s="25"/>
      <c r="T1008" s="25">
        <f t="shared" si="261"/>
        <v>15</v>
      </c>
      <c r="U1008" s="33">
        <f>IF(PaybackCustom&gt;0, IF(PaybackCustom&lt;&gt;"Default", PaybackCustom, IF(PaybackStatus&lt;&gt;"",INDEX('Arbitrage Payback Engine'!$Y$2:$Y$6,MATCH(PaybackStatus,'Arbitrage Payback Engine'!$X$2:$X$6,FALSE)),-1)))</f>
        <v>25</v>
      </c>
      <c r="V1008" s="32">
        <f t="shared" si="270"/>
        <v>15</v>
      </c>
      <c r="X1008" s="29">
        <f t="shared" si="271"/>
        <v>999</v>
      </c>
      <c r="Z1008" s="30">
        <f t="shared" si="262"/>
        <v>27.36611423092727</v>
      </c>
      <c r="AA1008" s="28" t="e">
        <f t="shared" si="263"/>
        <v>#N/A</v>
      </c>
      <c r="AB1008" s="28" t="e">
        <f t="shared" si="264"/>
        <v>#VALUE!</v>
      </c>
      <c r="AC1008" s="29">
        <f t="shared" si="265"/>
        <v>947.81783681214426</v>
      </c>
      <c r="AD1008" s="28" t="e">
        <f t="shared" si="266"/>
        <v>#VALUE!</v>
      </c>
      <c r="AE1008" s="28" t="e">
        <f t="shared" si="267"/>
        <v>#N/A</v>
      </c>
      <c r="AF1008" s="28" t="e">
        <f t="shared" si="268"/>
        <v>#VALUE!</v>
      </c>
      <c r="AH1008" s="31" t="e">
        <f t="shared" si="269"/>
        <v>#N/A</v>
      </c>
      <c r="AI1008" s="25"/>
      <c r="AJ1008" s="31"/>
    </row>
    <row r="1009" spans="2:36" x14ac:dyDescent="0.25">
      <c r="B1009" s="33">
        <f>'Arbitrage Payback Engine'!E1009</f>
        <v>27.393507738665935</v>
      </c>
      <c r="C1009" s="33">
        <f t="shared" si="255"/>
        <v>1000</v>
      </c>
      <c r="D1009" s="33">
        <f>'Battery Pricing Model'!$C$17</f>
        <v>1000</v>
      </c>
      <c r="E1009" s="33">
        <f t="shared" si="256"/>
        <v>999</v>
      </c>
      <c r="F1009" s="33" t="str">
        <f>'Peak Models'!$B$4</f>
        <v>Default</v>
      </c>
      <c r="G1009" s="33" t="e">
        <f>'Peak Models'!$Q$7</f>
        <v>#VALUE!</v>
      </c>
      <c r="H1009" s="33">
        <f>'Peak Models'!$P$16</f>
        <v>1.5</v>
      </c>
      <c r="I1009" s="33">
        <v>12</v>
      </c>
      <c r="J1009" s="33" t="e">
        <f>'Peak Models'!$P$13</f>
        <v>#N/A</v>
      </c>
      <c r="K1009" s="28" t="e">
        <f t="shared" si="257"/>
        <v>#VALUE!</v>
      </c>
      <c r="L1009" s="28" t="e">
        <f>INDEX('Peak Models'!$P$34:$P$64, MATCH(TRUNC(B1009, 0), 'Peak Models'!$O$34:$O$64, 0))</f>
        <v>#N/A</v>
      </c>
      <c r="M1009" s="28">
        <f>'Peak Models'!$P$15*INDEX('Peak Models'!$Q$34:$Q$64, MATCH(TRUNC(B1009, 0),'Peak Models'!$O$34:$O$64, 0))/'Profit per cycles Model'!$E$78</f>
        <v>9.1661177331751169</v>
      </c>
      <c r="N1009" s="28" t="e">
        <f t="shared" si="258"/>
        <v>#N/A</v>
      </c>
      <c r="O1009" s="71" t="e">
        <f>AVERAGE($N$10:N1009)</f>
        <v>#N/A</v>
      </c>
      <c r="P1009" s="28" t="e">
        <f t="shared" si="259"/>
        <v>#N/A</v>
      </c>
      <c r="R1009" s="28" t="e">
        <f t="shared" si="260"/>
        <v>#VALUE!</v>
      </c>
      <c r="S1009" s="25"/>
      <c r="T1009" s="25">
        <f t="shared" si="261"/>
        <v>15</v>
      </c>
      <c r="U1009" s="33">
        <f>IF(PaybackCustom&gt;0, IF(PaybackCustom&lt;&gt;"Default", PaybackCustom, IF(PaybackStatus&lt;&gt;"",INDEX('Arbitrage Payback Engine'!$Y$2:$Y$6,MATCH(PaybackStatus,'Arbitrage Payback Engine'!$X$2:$X$6,FALSE)),-1)))</f>
        <v>25</v>
      </c>
      <c r="V1009" s="32">
        <f t="shared" si="270"/>
        <v>15</v>
      </c>
      <c r="X1009" s="29">
        <f t="shared" si="271"/>
        <v>1000</v>
      </c>
      <c r="Z1009" s="30">
        <f t="shared" si="262"/>
        <v>27.393507738665935</v>
      </c>
      <c r="AA1009" s="28" t="e">
        <f t="shared" si="263"/>
        <v>#N/A</v>
      </c>
      <c r="AB1009" s="28" t="e">
        <f t="shared" si="264"/>
        <v>#VALUE!</v>
      </c>
      <c r="AC1009" s="29">
        <f t="shared" si="265"/>
        <v>948.76660341555976</v>
      </c>
      <c r="AD1009" s="28" t="e">
        <f t="shared" si="266"/>
        <v>#VALUE!</v>
      </c>
      <c r="AE1009" s="28" t="e">
        <f t="shared" si="267"/>
        <v>#N/A</v>
      </c>
      <c r="AF1009" s="28" t="e">
        <f t="shared" si="268"/>
        <v>#VALUE!</v>
      </c>
      <c r="AH1009" s="31" t="e">
        <f t="shared" si="269"/>
        <v>#N/A</v>
      </c>
      <c r="AI1009" s="25"/>
      <c r="AJ1009" s="31"/>
    </row>
    <row r="1010" spans="2:36" x14ac:dyDescent="0.25">
      <c r="B1010" s="33">
        <f>'Arbitrage Payback Engine'!E1010</f>
        <v>27.4209012464046</v>
      </c>
      <c r="C1010" s="33">
        <f t="shared" si="255"/>
        <v>1000</v>
      </c>
      <c r="D1010" s="33">
        <f>'Battery Pricing Model'!$C$17</f>
        <v>1000</v>
      </c>
      <c r="E1010" s="33">
        <f t="shared" si="256"/>
        <v>999</v>
      </c>
      <c r="F1010" s="33" t="str">
        <f>'Peak Models'!$B$4</f>
        <v>Default</v>
      </c>
      <c r="G1010" s="33" t="e">
        <f>'Peak Models'!$Q$7</f>
        <v>#VALUE!</v>
      </c>
      <c r="H1010" s="33">
        <f>'Peak Models'!$P$16</f>
        <v>1.5</v>
      </c>
      <c r="I1010" s="33">
        <v>12</v>
      </c>
      <c r="J1010" s="33" t="e">
        <f>'Peak Models'!$P$13</f>
        <v>#N/A</v>
      </c>
      <c r="K1010" s="28" t="e">
        <f t="shared" si="257"/>
        <v>#VALUE!</v>
      </c>
      <c r="L1010" s="28" t="e">
        <f>INDEX('Peak Models'!$P$34:$P$64, MATCH(TRUNC(B1010, 0), 'Peak Models'!$O$34:$O$64, 0))</f>
        <v>#N/A</v>
      </c>
      <c r="M1010" s="28">
        <f>'Peak Models'!$P$15*INDEX('Peak Models'!$Q$34:$Q$64, MATCH(TRUNC(B1010, 0),'Peak Models'!$O$34:$O$64, 0))/'Profit per cycles Model'!$E$78</f>
        <v>9.1661177331751169</v>
      </c>
      <c r="N1010" s="28" t="e">
        <f t="shared" si="258"/>
        <v>#N/A</v>
      </c>
      <c r="O1010" s="71" t="e">
        <f>AVERAGE($N$10:N1010)</f>
        <v>#N/A</v>
      </c>
      <c r="P1010" s="28" t="e">
        <f t="shared" si="259"/>
        <v>#N/A</v>
      </c>
      <c r="R1010" s="28" t="e">
        <f t="shared" si="260"/>
        <v>#VALUE!</v>
      </c>
      <c r="S1010" s="25"/>
      <c r="T1010" s="25">
        <f t="shared" si="261"/>
        <v>15</v>
      </c>
      <c r="U1010" s="33">
        <f>IF(PaybackCustom&gt;0, IF(PaybackCustom&lt;&gt;"Default", PaybackCustom, IF(PaybackStatus&lt;&gt;"",INDEX('Arbitrage Payback Engine'!$Y$2:$Y$6,MATCH(PaybackStatus,'Arbitrage Payback Engine'!$X$2:$X$6,FALSE)),-1)))</f>
        <v>25</v>
      </c>
      <c r="V1010" s="32">
        <f t="shared" si="270"/>
        <v>15</v>
      </c>
      <c r="X1010" s="29">
        <f t="shared" si="271"/>
        <v>1001</v>
      </c>
      <c r="Z1010" s="30">
        <f t="shared" si="262"/>
        <v>27.4209012464046</v>
      </c>
      <c r="AA1010" s="28" t="e">
        <f t="shared" si="263"/>
        <v>#N/A</v>
      </c>
      <c r="AB1010" s="28" t="e">
        <f t="shared" si="264"/>
        <v>#VALUE!</v>
      </c>
      <c r="AC1010" s="29">
        <f t="shared" si="265"/>
        <v>949.71537001897525</v>
      </c>
      <c r="AD1010" s="28" t="e">
        <f t="shared" si="266"/>
        <v>#VALUE!</v>
      </c>
      <c r="AE1010" s="28" t="e">
        <f t="shared" si="267"/>
        <v>#N/A</v>
      </c>
      <c r="AF1010" s="28" t="e">
        <f t="shared" si="268"/>
        <v>#VALUE!</v>
      </c>
      <c r="AH1010" s="31" t="e">
        <f t="shared" si="269"/>
        <v>#N/A</v>
      </c>
      <c r="AI1010" s="25"/>
      <c r="AJ1010" s="31"/>
    </row>
    <row r="1011" spans="2:36" x14ac:dyDescent="0.25">
      <c r="B1011" s="33">
        <f>'Arbitrage Payback Engine'!E1011</f>
        <v>27.448294754143266</v>
      </c>
      <c r="C1011" s="33">
        <f t="shared" si="255"/>
        <v>1000</v>
      </c>
      <c r="D1011" s="33">
        <f>'Battery Pricing Model'!$C$17</f>
        <v>1000</v>
      </c>
      <c r="E1011" s="33">
        <f t="shared" si="256"/>
        <v>999</v>
      </c>
      <c r="F1011" s="33" t="str">
        <f>'Peak Models'!$B$4</f>
        <v>Default</v>
      </c>
      <c r="G1011" s="33" t="e">
        <f>'Peak Models'!$Q$7</f>
        <v>#VALUE!</v>
      </c>
      <c r="H1011" s="33">
        <f>'Peak Models'!$P$16</f>
        <v>1.5</v>
      </c>
      <c r="I1011" s="33">
        <v>12</v>
      </c>
      <c r="J1011" s="33" t="e">
        <f>'Peak Models'!$P$13</f>
        <v>#N/A</v>
      </c>
      <c r="K1011" s="28" t="e">
        <f t="shared" si="257"/>
        <v>#VALUE!</v>
      </c>
      <c r="L1011" s="28" t="e">
        <f>INDEX('Peak Models'!$P$34:$P$64, MATCH(TRUNC(B1011, 0), 'Peak Models'!$O$34:$O$64, 0))</f>
        <v>#N/A</v>
      </c>
      <c r="M1011" s="28">
        <f>'Peak Models'!$P$15*INDEX('Peak Models'!$Q$34:$Q$64, MATCH(TRUNC(B1011, 0),'Peak Models'!$O$34:$O$64, 0))/'Profit per cycles Model'!$E$78</f>
        <v>9.1661177331751169</v>
      </c>
      <c r="N1011" s="28" t="e">
        <f t="shared" si="258"/>
        <v>#N/A</v>
      </c>
      <c r="O1011" s="71" t="e">
        <f>AVERAGE($N$10:N1011)</f>
        <v>#N/A</v>
      </c>
      <c r="P1011" s="28" t="e">
        <f t="shared" si="259"/>
        <v>#N/A</v>
      </c>
      <c r="R1011" s="28" t="e">
        <f t="shared" si="260"/>
        <v>#VALUE!</v>
      </c>
      <c r="S1011" s="25"/>
      <c r="T1011" s="25">
        <f t="shared" si="261"/>
        <v>15</v>
      </c>
      <c r="U1011" s="33">
        <f>IF(PaybackCustom&gt;0, IF(PaybackCustom&lt;&gt;"Default", PaybackCustom, IF(PaybackStatus&lt;&gt;"",INDEX('Arbitrage Payback Engine'!$Y$2:$Y$6,MATCH(PaybackStatus,'Arbitrage Payback Engine'!$X$2:$X$6,FALSE)),-1)))</f>
        <v>25</v>
      </c>
      <c r="V1011" s="32">
        <f t="shared" si="270"/>
        <v>15</v>
      </c>
      <c r="X1011" s="29">
        <f t="shared" si="271"/>
        <v>1002</v>
      </c>
      <c r="Z1011" s="30">
        <f t="shared" si="262"/>
        <v>27.448294754143266</v>
      </c>
      <c r="AA1011" s="28" t="e">
        <f t="shared" si="263"/>
        <v>#N/A</v>
      </c>
      <c r="AB1011" s="28" t="e">
        <f t="shared" si="264"/>
        <v>#VALUE!</v>
      </c>
      <c r="AC1011" s="29">
        <f t="shared" si="265"/>
        <v>950.66413662239086</v>
      </c>
      <c r="AD1011" s="28" t="e">
        <f t="shared" si="266"/>
        <v>#VALUE!</v>
      </c>
      <c r="AE1011" s="28" t="e">
        <f t="shared" si="267"/>
        <v>#N/A</v>
      </c>
      <c r="AF1011" s="28" t="e">
        <f t="shared" si="268"/>
        <v>#VALUE!</v>
      </c>
      <c r="AH1011" s="31" t="e">
        <f t="shared" si="269"/>
        <v>#N/A</v>
      </c>
      <c r="AI1011" s="25"/>
      <c r="AJ1011" s="31"/>
    </row>
    <row r="1012" spans="2:36" x14ac:dyDescent="0.25">
      <c r="B1012" s="33">
        <f>'Arbitrage Payback Engine'!E1012</f>
        <v>27.475688261881935</v>
      </c>
      <c r="C1012" s="33">
        <f t="shared" si="255"/>
        <v>1000</v>
      </c>
      <c r="D1012" s="33">
        <f>'Battery Pricing Model'!$C$17</f>
        <v>1000</v>
      </c>
      <c r="E1012" s="33">
        <f t="shared" si="256"/>
        <v>999</v>
      </c>
      <c r="F1012" s="33" t="str">
        <f>'Peak Models'!$B$4</f>
        <v>Default</v>
      </c>
      <c r="G1012" s="33" t="e">
        <f>'Peak Models'!$Q$7</f>
        <v>#VALUE!</v>
      </c>
      <c r="H1012" s="33">
        <f>'Peak Models'!$P$16</f>
        <v>1.5</v>
      </c>
      <c r="I1012" s="33">
        <v>12</v>
      </c>
      <c r="J1012" s="33" t="e">
        <f>'Peak Models'!$P$13</f>
        <v>#N/A</v>
      </c>
      <c r="K1012" s="28" t="e">
        <f t="shared" si="257"/>
        <v>#VALUE!</v>
      </c>
      <c r="L1012" s="28" t="e">
        <f>INDEX('Peak Models'!$P$34:$P$64, MATCH(TRUNC(B1012, 0), 'Peak Models'!$O$34:$O$64, 0))</f>
        <v>#N/A</v>
      </c>
      <c r="M1012" s="28">
        <f>'Peak Models'!$P$15*INDEX('Peak Models'!$Q$34:$Q$64, MATCH(TRUNC(B1012, 0),'Peak Models'!$O$34:$O$64, 0))/'Profit per cycles Model'!$E$78</f>
        <v>9.1661177331751169</v>
      </c>
      <c r="N1012" s="28" t="e">
        <f t="shared" si="258"/>
        <v>#N/A</v>
      </c>
      <c r="O1012" s="71" t="e">
        <f>AVERAGE($N$10:N1012)</f>
        <v>#N/A</v>
      </c>
      <c r="P1012" s="28" t="e">
        <f t="shared" si="259"/>
        <v>#N/A</v>
      </c>
      <c r="R1012" s="28" t="e">
        <f t="shared" si="260"/>
        <v>#VALUE!</v>
      </c>
      <c r="S1012" s="25"/>
      <c r="T1012" s="25">
        <f t="shared" si="261"/>
        <v>15</v>
      </c>
      <c r="U1012" s="33">
        <f>IF(PaybackCustom&gt;0, IF(PaybackCustom&lt;&gt;"Default", PaybackCustom, IF(PaybackStatus&lt;&gt;"",INDEX('Arbitrage Payback Engine'!$Y$2:$Y$6,MATCH(PaybackStatus,'Arbitrage Payback Engine'!$X$2:$X$6,FALSE)),-1)))</f>
        <v>25</v>
      </c>
      <c r="V1012" s="32">
        <f t="shared" si="270"/>
        <v>15</v>
      </c>
      <c r="X1012" s="29">
        <f t="shared" si="271"/>
        <v>1003</v>
      </c>
      <c r="Z1012" s="30">
        <f t="shared" si="262"/>
        <v>27.475688261881935</v>
      </c>
      <c r="AA1012" s="28" t="e">
        <f t="shared" si="263"/>
        <v>#N/A</v>
      </c>
      <c r="AB1012" s="28" t="e">
        <f t="shared" si="264"/>
        <v>#VALUE!</v>
      </c>
      <c r="AC1012" s="29">
        <f t="shared" si="265"/>
        <v>951.61290322580658</v>
      </c>
      <c r="AD1012" s="28" t="e">
        <f t="shared" si="266"/>
        <v>#VALUE!</v>
      </c>
      <c r="AE1012" s="28" t="e">
        <f t="shared" si="267"/>
        <v>#N/A</v>
      </c>
      <c r="AF1012" s="28" t="e">
        <f t="shared" si="268"/>
        <v>#VALUE!</v>
      </c>
      <c r="AH1012" s="31" t="e">
        <f t="shared" si="269"/>
        <v>#N/A</v>
      </c>
      <c r="AI1012" s="25"/>
      <c r="AJ1012" s="31"/>
    </row>
    <row r="1013" spans="2:36" x14ac:dyDescent="0.25">
      <c r="B1013" s="33">
        <f>'Arbitrage Payback Engine'!E1013</f>
        <v>27.5030817696206</v>
      </c>
      <c r="C1013" s="33">
        <f t="shared" si="255"/>
        <v>1000</v>
      </c>
      <c r="D1013" s="33">
        <f>'Battery Pricing Model'!$C$17</f>
        <v>1000</v>
      </c>
      <c r="E1013" s="33">
        <f t="shared" si="256"/>
        <v>999</v>
      </c>
      <c r="F1013" s="33" t="str">
        <f>'Peak Models'!$B$4</f>
        <v>Default</v>
      </c>
      <c r="G1013" s="33" t="e">
        <f>'Peak Models'!$Q$7</f>
        <v>#VALUE!</v>
      </c>
      <c r="H1013" s="33">
        <f>'Peak Models'!$P$16</f>
        <v>1.5</v>
      </c>
      <c r="I1013" s="33">
        <v>12</v>
      </c>
      <c r="J1013" s="33" t="e">
        <f>'Peak Models'!$P$13</f>
        <v>#N/A</v>
      </c>
      <c r="K1013" s="28" t="e">
        <f t="shared" si="257"/>
        <v>#VALUE!</v>
      </c>
      <c r="L1013" s="28" t="e">
        <f>INDEX('Peak Models'!$P$34:$P$64, MATCH(TRUNC(B1013, 0), 'Peak Models'!$O$34:$O$64, 0))</f>
        <v>#N/A</v>
      </c>
      <c r="M1013" s="28">
        <f>'Peak Models'!$P$15*INDEX('Peak Models'!$Q$34:$Q$64, MATCH(TRUNC(B1013, 0),'Peak Models'!$O$34:$O$64, 0))/'Profit per cycles Model'!$E$78</f>
        <v>9.1661177331751169</v>
      </c>
      <c r="N1013" s="28" t="e">
        <f t="shared" si="258"/>
        <v>#N/A</v>
      </c>
      <c r="O1013" s="71" t="e">
        <f>AVERAGE($N$10:N1013)</f>
        <v>#N/A</v>
      </c>
      <c r="P1013" s="28" t="e">
        <f t="shared" si="259"/>
        <v>#N/A</v>
      </c>
      <c r="R1013" s="28" t="e">
        <f t="shared" si="260"/>
        <v>#VALUE!</v>
      </c>
      <c r="S1013" s="25"/>
      <c r="T1013" s="25">
        <f t="shared" si="261"/>
        <v>15</v>
      </c>
      <c r="U1013" s="33">
        <f>IF(PaybackCustom&gt;0, IF(PaybackCustom&lt;&gt;"Default", PaybackCustom, IF(PaybackStatus&lt;&gt;"",INDEX('Arbitrage Payback Engine'!$Y$2:$Y$6,MATCH(PaybackStatus,'Arbitrage Payback Engine'!$X$2:$X$6,FALSE)),-1)))</f>
        <v>25</v>
      </c>
      <c r="V1013" s="32">
        <f t="shared" si="270"/>
        <v>15</v>
      </c>
      <c r="X1013" s="29">
        <f t="shared" si="271"/>
        <v>1004</v>
      </c>
      <c r="Z1013" s="30">
        <f t="shared" si="262"/>
        <v>27.5030817696206</v>
      </c>
      <c r="AA1013" s="28" t="e">
        <f t="shared" si="263"/>
        <v>#N/A</v>
      </c>
      <c r="AB1013" s="28" t="e">
        <f t="shared" si="264"/>
        <v>#VALUE!</v>
      </c>
      <c r="AC1013" s="29">
        <f t="shared" si="265"/>
        <v>952.56166982922207</v>
      </c>
      <c r="AD1013" s="28" t="e">
        <f t="shared" si="266"/>
        <v>#VALUE!</v>
      </c>
      <c r="AE1013" s="28" t="e">
        <f t="shared" si="267"/>
        <v>#N/A</v>
      </c>
      <c r="AF1013" s="28" t="e">
        <f t="shared" si="268"/>
        <v>#VALUE!</v>
      </c>
      <c r="AH1013" s="31" t="e">
        <f t="shared" si="269"/>
        <v>#N/A</v>
      </c>
      <c r="AI1013" s="25"/>
      <c r="AJ1013" s="31"/>
    </row>
    <row r="1014" spans="2:36" x14ac:dyDescent="0.25">
      <c r="B1014" s="33">
        <f>'Arbitrage Payback Engine'!E1014</f>
        <v>27.530475277359265</v>
      </c>
      <c r="C1014" s="33">
        <f t="shared" si="255"/>
        <v>1000</v>
      </c>
      <c r="D1014" s="33">
        <f>'Battery Pricing Model'!$C$17</f>
        <v>1000</v>
      </c>
      <c r="E1014" s="33">
        <f t="shared" si="256"/>
        <v>999</v>
      </c>
      <c r="F1014" s="33" t="str">
        <f>'Peak Models'!$B$4</f>
        <v>Default</v>
      </c>
      <c r="G1014" s="33" t="e">
        <f>'Peak Models'!$Q$7</f>
        <v>#VALUE!</v>
      </c>
      <c r="H1014" s="33">
        <f>'Peak Models'!$P$16</f>
        <v>1.5</v>
      </c>
      <c r="I1014" s="33">
        <v>12</v>
      </c>
      <c r="J1014" s="33" t="e">
        <f>'Peak Models'!$P$13</f>
        <v>#N/A</v>
      </c>
      <c r="K1014" s="28" t="e">
        <f t="shared" si="257"/>
        <v>#VALUE!</v>
      </c>
      <c r="L1014" s="28" t="e">
        <f>INDEX('Peak Models'!$P$34:$P$64, MATCH(TRUNC(B1014, 0), 'Peak Models'!$O$34:$O$64, 0))</f>
        <v>#N/A</v>
      </c>
      <c r="M1014" s="28">
        <f>'Peak Models'!$P$15*INDEX('Peak Models'!$Q$34:$Q$64, MATCH(TRUNC(B1014, 0),'Peak Models'!$O$34:$O$64, 0))/'Profit per cycles Model'!$E$78</f>
        <v>9.1661177331751169</v>
      </c>
      <c r="N1014" s="28" t="e">
        <f t="shared" si="258"/>
        <v>#N/A</v>
      </c>
      <c r="O1014" s="71" t="e">
        <f>AVERAGE($N$10:N1014)</f>
        <v>#N/A</v>
      </c>
      <c r="P1014" s="28" t="e">
        <f t="shared" si="259"/>
        <v>#N/A</v>
      </c>
      <c r="R1014" s="28" t="e">
        <f t="shared" si="260"/>
        <v>#VALUE!</v>
      </c>
      <c r="S1014" s="25"/>
      <c r="T1014" s="25">
        <f t="shared" si="261"/>
        <v>15</v>
      </c>
      <c r="U1014" s="33">
        <f>IF(PaybackCustom&gt;0, IF(PaybackCustom&lt;&gt;"Default", PaybackCustom, IF(PaybackStatus&lt;&gt;"",INDEX('Arbitrage Payback Engine'!$Y$2:$Y$6,MATCH(PaybackStatus,'Arbitrage Payback Engine'!$X$2:$X$6,FALSE)),-1)))</f>
        <v>25</v>
      </c>
      <c r="V1014" s="32">
        <f t="shared" si="270"/>
        <v>15</v>
      </c>
      <c r="X1014" s="29">
        <f t="shared" si="271"/>
        <v>1005</v>
      </c>
      <c r="Z1014" s="30">
        <f t="shared" si="262"/>
        <v>27.530475277359265</v>
      </c>
      <c r="AA1014" s="28" t="e">
        <f t="shared" si="263"/>
        <v>#N/A</v>
      </c>
      <c r="AB1014" s="28" t="e">
        <f t="shared" si="264"/>
        <v>#VALUE!</v>
      </c>
      <c r="AC1014" s="29">
        <f t="shared" si="265"/>
        <v>953.51043643263768</v>
      </c>
      <c r="AD1014" s="28" t="e">
        <f t="shared" si="266"/>
        <v>#VALUE!</v>
      </c>
      <c r="AE1014" s="28" t="e">
        <f t="shared" si="267"/>
        <v>#N/A</v>
      </c>
      <c r="AF1014" s="28" t="e">
        <f t="shared" si="268"/>
        <v>#VALUE!</v>
      </c>
      <c r="AH1014" s="31" t="e">
        <f t="shared" si="269"/>
        <v>#N/A</v>
      </c>
      <c r="AI1014" s="25"/>
      <c r="AJ1014" s="31"/>
    </row>
    <row r="1015" spans="2:36" x14ac:dyDescent="0.25">
      <c r="B1015" s="33">
        <f>'Arbitrage Payback Engine'!E1015</f>
        <v>27.557868785097931</v>
      </c>
      <c r="C1015" s="33">
        <f t="shared" si="255"/>
        <v>1000</v>
      </c>
      <c r="D1015" s="33">
        <f>'Battery Pricing Model'!$C$17</f>
        <v>1000</v>
      </c>
      <c r="E1015" s="33">
        <f t="shared" si="256"/>
        <v>999</v>
      </c>
      <c r="F1015" s="33" t="str">
        <f>'Peak Models'!$B$4</f>
        <v>Default</v>
      </c>
      <c r="G1015" s="33" t="e">
        <f>'Peak Models'!$Q$7</f>
        <v>#VALUE!</v>
      </c>
      <c r="H1015" s="33">
        <f>'Peak Models'!$P$16</f>
        <v>1.5</v>
      </c>
      <c r="I1015" s="33">
        <v>12</v>
      </c>
      <c r="J1015" s="33" t="e">
        <f>'Peak Models'!$P$13</f>
        <v>#N/A</v>
      </c>
      <c r="K1015" s="28" t="e">
        <f t="shared" si="257"/>
        <v>#VALUE!</v>
      </c>
      <c r="L1015" s="28" t="e">
        <f>INDEX('Peak Models'!$P$34:$P$64, MATCH(TRUNC(B1015, 0), 'Peak Models'!$O$34:$O$64, 0))</f>
        <v>#N/A</v>
      </c>
      <c r="M1015" s="28">
        <f>'Peak Models'!$P$15*INDEX('Peak Models'!$Q$34:$Q$64, MATCH(TRUNC(B1015, 0),'Peak Models'!$O$34:$O$64, 0))/'Profit per cycles Model'!$E$78</f>
        <v>9.1661177331751169</v>
      </c>
      <c r="N1015" s="28" t="e">
        <f t="shared" si="258"/>
        <v>#N/A</v>
      </c>
      <c r="O1015" s="71" t="e">
        <f>AVERAGE($N$10:N1015)</f>
        <v>#N/A</v>
      </c>
      <c r="P1015" s="28" t="e">
        <f t="shared" si="259"/>
        <v>#N/A</v>
      </c>
      <c r="R1015" s="28" t="e">
        <f t="shared" si="260"/>
        <v>#VALUE!</v>
      </c>
      <c r="S1015" s="25"/>
      <c r="T1015" s="25">
        <f t="shared" si="261"/>
        <v>15</v>
      </c>
      <c r="U1015" s="33">
        <f>IF(PaybackCustom&gt;0, IF(PaybackCustom&lt;&gt;"Default", PaybackCustom, IF(PaybackStatus&lt;&gt;"",INDEX('Arbitrage Payback Engine'!$Y$2:$Y$6,MATCH(PaybackStatus,'Arbitrage Payback Engine'!$X$2:$X$6,FALSE)),-1)))</f>
        <v>25</v>
      </c>
      <c r="V1015" s="32">
        <f t="shared" si="270"/>
        <v>15</v>
      </c>
      <c r="X1015" s="29">
        <f t="shared" si="271"/>
        <v>1006</v>
      </c>
      <c r="Z1015" s="30">
        <f t="shared" si="262"/>
        <v>27.557868785097931</v>
      </c>
      <c r="AA1015" s="28" t="e">
        <f t="shared" si="263"/>
        <v>#N/A</v>
      </c>
      <c r="AB1015" s="28" t="e">
        <f t="shared" si="264"/>
        <v>#VALUE!</v>
      </c>
      <c r="AC1015" s="29">
        <f t="shared" si="265"/>
        <v>954.45920303605305</v>
      </c>
      <c r="AD1015" s="28" t="e">
        <f t="shared" si="266"/>
        <v>#VALUE!</v>
      </c>
      <c r="AE1015" s="28" t="e">
        <f t="shared" si="267"/>
        <v>#N/A</v>
      </c>
      <c r="AF1015" s="28" t="e">
        <f t="shared" si="268"/>
        <v>#VALUE!</v>
      </c>
      <c r="AH1015" s="31" t="e">
        <f t="shared" si="269"/>
        <v>#N/A</v>
      </c>
      <c r="AI1015" s="25"/>
      <c r="AJ1015" s="31"/>
    </row>
    <row r="1016" spans="2:36" x14ac:dyDescent="0.25">
      <c r="B1016" s="33">
        <f>'Arbitrage Payback Engine'!E1016</f>
        <v>27.585262292836596</v>
      </c>
      <c r="C1016" s="33">
        <f t="shared" si="255"/>
        <v>1000</v>
      </c>
      <c r="D1016" s="33">
        <f>'Battery Pricing Model'!$C$17</f>
        <v>1000</v>
      </c>
      <c r="E1016" s="33">
        <f t="shared" si="256"/>
        <v>999</v>
      </c>
      <c r="F1016" s="33" t="str">
        <f>'Peak Models'!$B$4</f>
        <v>Default</v>
      </c>
      <c r="G1016" s="33" t="e">
        <f>'Peak Models'!$Q$7</f>
        <v>#VALUE!</v>
      </c>
      <c r="H1016" s="33">
        <f>'Peak Models'!$P$16</f>
        <v>1.5</v>
      </c>
      <c r="I1016" s="33">
        <v>12</v>
      </c>
      <c r="J1016" s="33" t="e">
        <f>'Peak Models'!$P$13</f>
        <v>#N/A</v>
      </c>
      <c r="K1016" s="28" t="e">
        <f t="shared" si="257"/>
        <v>#VALUE!</v>
      </c>
      <c r="L1016" s="28" t="e">
        <f>INDEX('Peak Models'!$P$34:$P$64, MATCH(TRUNC(B1016, 0), 'Peak Models'!$O$34:$O$64, 0))</f>
        <v>#N/A</v>
      </c>
      <c r="M1016" s="28">
        <f>'Peak Models'!$P$15*INDEX('Peak Models'!$Q$34:$Q$64, MATCH(TRUNC(B1016, 0),'Peak Models'!$O$34:$O$64, 0))/'Profit per cycles Model'!$E$78</f>
        <v>9.1661177331751169</v>
      </c>
      <c r="N1016" s="28" t="e">
        <f t="shared" si="258"/>
        <v>#N/A</v>
      </c>
      <c r="O1016" s="71" t="e">
        <f>AVERAGE($N$10:N1016)</f>
        <v>#N/A</v>
      </c>
      <c r="P1016" s="28" t="e">
        <f t="shared" si="259"/>
        <v>#N/A</v>
      </c>
      <c r="R1016" s="28" t="e">
        <f t="shared" si="260"/>
        <v>#VALUE!</v>
      </c>
      <c r="S1016" s="25"/>
      <c r="T1016" s="25">
        <f t="shared" si="261"/>
        <v>15</v>
      </c>
      <c r="U1016" s="33">
        <f>IF(PaybackCustom&gt;0, IF(PaybackCustom&lt;&gt;"Default", PaybackCustom, IF(PaybackStatus&lt;&gt;"",INDEX('Arbitrage Payback Engine'!$Y$2:$Y$6,MATCH(PaybackStatus,'Arbitrage Payback Engine'!$X$2:$X$6,FALSE)),-1)))</f>
        <v>25</v>
      </c>
      <c r="V1016" s="32">
        <f t="shared" si="270"/>
        <v>15</v>
      </c>
      <c r="X1016" s="29">
        <f t="shared" si="271"/>
        <v>1007</v>
      </c>
      <c r="Z1016" s="30">
        <f t="shared" si="262"/>
        <v>27.585262292836596</v>
      </c>
      <c r="AA1016" s="28" t="e">
        <f t="shared" si="263"/>
        <v>#N/A</v>
      </c>
      <c r="AB1016" s="28" t="e">
        <f t="shared" si="264"/>
        <v>#VALUE!</v>
      </c>
      <c r="AC1016" s="29">
        <f t="shared" si="265"/>
        <v>955.40796963946866</v>
      </c>
      <c r="AD1016" s="28" t="e">
        <f t="shared" si="266"/>
        <v>#VALUE!</v>
      </c>
      <c r="AE1016" s="28" t="e">
        <f t="shared" si="267"/>
        <v>#N/A</v>
      </c>
      <c r="AF1016" s="28" t="e">
        <f t="shared" si="268"/>
        <v>#VALUE!</v>
      </c>
      <c r="AH1016" s="31" t="e">
        <f t="shared" si="269"/>
        <v>#N/A</v>
      </c>
      <c r="AI1016" s="25"/>
      <c r="AJ1016" s="31"/>
    </row>
    <row r="1017" spans="2:36" x14ac:dyDescent="0.25">
      <c r="B1017" s="33">
        <f>'Arbitrage Payback Engine'!E1017</f>
        <v>27.612655800575261</v>
      </c>
      <c r="C1017" s="33">
        <f t="shared" si="255"/>
        <v>1000</v>
      </c>
      <c r="D1017" s="33">
        <f>'Battery Pricing Model'!$C$17</f>
        <v>1000</v>
      </c>
      <c r="E1017" s="33">
        <f t="shared" si="256"/>
        <v>999</v>
      </c>
      <c r="F1017" s="33" t="str">
        <f>'Peak Models'!$B$4</f>
        <v>Default</v>
      </c>
      <c r="G1017" s="33" t="e">
        <f>'Peak Models'!$Q$7</f>
        <v>#VALUE!</v>
      </c>
      <c r="H1017" s="33">
        <f>'Peak Models'!$P$16</f>
        <v>1.5</v>
      </c>
      <c r="I1017" s="33">
        <v>12</v>
      </c>
      <c r="J1017" s="33" t="e">
        <f>'Peak Models'!$P$13</f>
        <v>#N/A</v>
      </c>
      <c r="K1017" s="28" t="e">
        <f t="shared" si="257"/>
        <v>#VALUE!</v>
      </c>
      <c r="L1017" s="28" t="e">
        <f>INDEX('Peak Models'!$P$34:$P$64, MATCH(TRUNC(B1017, 0), 'Peak Models'!$O$34:$O$64, 0))</f>
        <v>#N/A</v>
      </c>
      <c r="M1017" s="28">
        <f>'Peak Models'!$P$15*INDEX('Peak Models'!$Q$34:$Q$64, MATCH(TRUNC(B1017, 0),'Peak Models'!$O$34:$O$64, 0))/'Profit per cycles Model'!$E$78</f>
        <v>9.1661177331751169</v>
      </c>
      <c r="N1017" s="28" t="e">
        <f t="shared" si="258"/>
        <v>#N/A</v>
      </c>
      <c r="O1017" s="71" t="e">
        <f>AVERAGE($N$10:N1017)</f>
        <v>#N/A</v>
      </c>
      <c r="P1017" s="28" t="e">
        <f t="shared" si="259"/>
        <v>#N/A</v>
      </c>
      <c r="R1017" s="28" t="e">
        <f t="shared" si="260"/>
        <v>#VALUE!</v>
      </c>
      <c r="S1017" s="25"/>
      <c r="T1017" s="25">
        <f t="shared" si="261"/>
        <v>15</v>
      </c>
      <c r="U1017" s="33">
        <f>IF(PaybackCustom&gt;0, IF(PaybackCustom&lt;&gt;"Default", PaybackCustom, IF(PaybackStatus&lt;&gt;"",INDEX('Arbitrage Payback Engine'!$Y$2:$Y$6,MATCH(PaybackStatus,'Arbitrage Payback Engine'!$X$2:$X$6,FALSE)),-1)))</f>
        <v>25</v>
      </c>
      <c r="V1017" s="32">
        <f t="shared" si="270"/>
        <v>15</v>
      </c>
      <c r="X1017" s="29">
        <f t="shared" si="271"/>
        <v>1008</v>
      </c>
      <c r="Z1017" s="30">
        <f t="shared" si="262"/>
        <v>27.612655800575261</v>
      </c>
      <c r="AA1017" s="28" t="e">
        <f t="shared" si="263"/>
        <v>#N/A</v>
      </c>
      <c r="AB1017" s="28" t="e">
        <f t="shared" si="264"/>
        <v>#VALUE!</v>
      </c>
      <c r="AC1017" s="29">
        <f t="shared" si="265"/>
        <v>956.35673624288427</v>
      </c>
      <c r="AD1017" s="28" t="e">
        <f t="shared" si="266"/>
        <v>#VALUE!</v>
      </c>
      <c r="AE1017" s="28" t="e">
        <f t="shared" si="267"/>
        <v>#N/A</v>
      </c>
      <c r="AF1017" s="28" t="e">
        <f t="shared" si="268"/>
        <v>#VALUE!</v>
      </c>
      <c r="AH1017" s="31" t="e">
        <f t="shared" si="269"/>
        <v>#N/A</v>
      </c>
      <c r="AI1017" s="25"/>
      <c r="AJ1017" s="31"/>
    </row>
    <row r="1018" spans="2:36" x14ac:dyDescent="0.25">
      <c r="B1018" s="33">
        <f>'Arbitrage Payback Engine'!E1018</f>
        <v>27.64004930831393</v>
      </c>
      <c r="C1018" s="33">
        <f t="shared" si="255"/>
        <v>1000</v>
      </c>
      <c r="D1018" s="33">
        <f>'Battery Pricing Model'!$C$17</f>
        <v>1000</v>
      </c>
      <c r="E1018" s="33">
        <f t="shared" si="256"/>
        <v>999</v>
      </c>
      <c r="F1018" s="33" t="str">
        <f>'Peak Models'!$B$4</f>
        <v>Default</v>
      </c>
      <c r="G1018" s="33" t="e">
        <f>'Peak Models'!$Q$7</f>
        <v>#VALUE!</v>
      </c>
      <c r="H1018" s="33">
        <f>'Peak Models'!$P$16</f>
        <v>1.5</v>
      </c>
      <c r="I1018" s="33">
        <v>12</v>
      </c>
      <c r="J1018" s="33" t="e">
        <f>'Peak Models'!$P$13</f>
        <v>#N/A</v>
      </c>
      <c r="K1018" s="28" t="e">
        <f t="shared" si="257"/>
        <v>#VALUE!</v>
      </c>
      <c r="L1018" s="28" t="e">
        <f>INDEX('Peak Models'!$P$34:$P$64, MATCH(TRUNC(B1018, 0), 'Peak Models'!$O$34:$O$64, 0))</f>
        <v>#N/A</v>
      </c>
      <c r="M1018" s="28">
        <f>'Peak Models'!$P$15*INDEX('Peak Models'!$Q$34:$Q$64, MATCH(TRUNC(B1018, 0),'Peak Models'!$O$34:$O$64, 0))/'Profit per cycles Model'!$E$78</f>
        <v>9.1661177331751169</v>
      </c>
      <c r="N1018" s="28" t="e">
        <f t="shared" si="258"/>
        <v>#N/A</v>
      </c>
      <c r="O1018" s="71" t="e">
        <f>AVERAGE($N$10:N1018)</f>
        <v>#N/A</v>
      </c>
      <c r="P1018" s="28" t="e">
        <f t="shared" si="259"/>
        <v>#N/A</v>
      </c>
      <c r="R1018" s="28" t="e">
        <f t="shared" si="260"/>
        <v>#VALUE!</v>
      </c>
      <c r="S1018" s="25"/>
      <c r="T1018" s="25">
        <f t="shared" si="261"/>
        <v>15</v>
      </c>
      <c r="U1018" s="33">
        <f>IF(PaybackCustom&gt;0, IF(PaybackCustom&lt;&gt;"Default", PaybackCustom, IF(PaybackStatus&lt;&gt;"",INDEX('Arbitrage Payback Engine'!$Y$2:$Y$6,MATCH(PaybackStatus,'Arbitrage Payback Engine'!$X$2:$X$6,FALSE)),-1)))</f>
        <v>25</v>
      </c>
      <c r="V1018" s="32">
        <f t="shared" si="270"/>
        <v>15</v>
      </c>
      <c r="X1018" s="29">
        <f t="shared" si="271"/>
        <v>1009</v>
      </c>
      <c r="Z1018" s="30">
        <f t="shared" si="262"/>
        <v>27.64004930831393</v>
      </c>
      <c r="AA1018" s="28" t="e">
        <f t="shared" si="263"/>
        <v>#N/A</v>
      </c>
      <c r="AB1018" s="28" t="e">
        <f t="shared" si="264"/>
        <v>#VALUE!</v>
      </c>
      <c r="AC1018" s="29">
        <f t="shared" si="265"/>
        <v>957.30550284629987</v>
      </c>
      <c r="AD1018" s="28" t="e">
        <f t="shared" si="266"/>
        <v>#VALUE!</v>
      </c>
      <c r="AE1018" s="28" t="e">
        <f t="shared" si="267"/>
        <v>#N/A</v>
      </c>
      <c r="AF1018" s="28" t="e">
        <f t="shared" si="268"/>
        <v>#VALUE!</v>
      </c>
      <c r="AH1018" s="31" t="e">
        <f t="shared" si="269"/>
        <v>#N/A</v>
      </c>
      <c r="AI1018" s="25"/>
      <c r="AJ1018" s="31"/>
    </row>
    <row r="1019" spans="2:36" x14ac:dyDescent="0.25">
      <c r="B1019" s="33">
        <f>'Arbitrage Payback Engine'!E1019</f>
        <v>27.667442816052596</v>
      </c>
      <c r="C1019" s="33">
        <f t="shared" si="255"/>
        <v>1000</v>
      </c>
      <c r="D1019" s="33">
        <f>'Battery Pricing Model'!$C$17</f>
        <v>1000</v>
      </c>
      <c r="E1019" s="33">
        <f t="shared" si="256"/>
        <v>999</v>
      </c>
      <c r="F1019" s="33" t="str">
        <f>'Peak Models'!$B$4</f>
        <v>Default</v>
      </c>
      <c r="G1019" s="33" t="e">
        <f>'Peak Models'!$Q$7</f>
        <v>#VALUE!</v>
      </c>
      <c r="H1019" s="33">
        <f>'Peak Models'!$P$16</f>
        <v>1.5</v>
      </c>
      <c r="I1019" s="33">
        <v>12</v>
      </c>
      <c r="J1019" s="33" t="e">
        <f>'Peak Models'!$P$13</f>
        <v>#N/A</v>
      </c>
      <c r="K1019" s="28" t="e">
        <f t="shared" si="257"/>
        <v>#VALUE!</v>
      </c>
      <c r="L1019" s="28" t="e">
        <f>INDEX('Peak Models'!$P$34:$P$64, MATCH(TRUNC(B1019, 0), 'Peak Models'!$O$34:$O$64, 0))</f>
        <v>#N/A</v>
      </c>
      <c r="M1019" s="28">
        <f>'Peak Models'!$P$15*INDEX('Peak Models'!$Q$34:$Q$64, MATCH(TRUNC(B1019, 0),'Peak Models'!$O$34:$O$64, 0))/'Profit per cycles Model'!$E$78</f>
        <v>9.1661177331751169</v>
      </c>
      <c r="N1019" s="28" t="e">
        <f t="shared" si="258"/>
        <v>#N/A</v>
      </c>
      <c r="O1019" s="71" t="e">
        <f>AVERAGE($N$10:N1019)</f>
        <v>#N/A</v>
      </c>
      <c r="P1019" s="28" t="e">
        <f t="shared" si="259"/>
        <v>#N/A</v>
      </c>
      <c r="R1019" s="28" t="e">
        <f t="shared" si="260"/>
        <v>#VALUE!</v>
      </c>
      <c r="S1019" s="25"/>
      <c r="T1019" s="25">
        <f t="shared" si="261"/>
        <v>15</v>
      </c>
      <c r="U1019" s="33">
        <f>IF(PaybackCustom&gt;0, IF(PaybackCustom&lt;&gt;"Default", PaybackCustom, IF(PaybackStatus&lt;&gt;"",INDEX('Arbitrage Payback Engine'!$Y$2:$Y$6,MATCH(PaybackStatus,'Arbitrage Payback Engine'!$X$2:$X$6,FALSE)),-1)))</f>
        <v>25</v>
      </c>
      <c r="V1019" s="32">
        <f t="shared" si="270"/>
        <v>15</v>
      </c>
      <c r="X1019" s="29">
        <f t="shared" si="271"/>
        <v>1010</v>
      </c>
      <c r="Z1019" s="30">
        <f t="shared" si="262"/>
        <v>27.667442816052596</v>
      </c>
      <c r="AA1019" s="28" t="e">
        <f t="shared" si="263"/>
        <v>#N/A</v>
      </c>
      <c r="AB1019" s="28" t="e">
        <f t="shared" si="264"/>
        <v>#VALUE!</v>
      </c>
      <c r="AC1019" s="29">
        <f t="shared" si="265"/>
        <v>958.25426944971548</v>
      </c>
      <c r="AD1019" s="28" t="e">
        <f t="shared" si="266"/>
        <v>#VALUE!</v>
      </c>
      <c r="AE1019" s="28" t="e">
        <f t="shared" si="267"/>
        <v>#N/A</v>
      </c>
      <c r="AF1019" s="28" t="e">
        <f t="shared" si="268"/>
        <v>#VALUE!</v>
      </c>
      <c r="AH1019" s="31" t="e">
        <f t="shared" si="269"/>
        <v>#N/A</v>
      </c>
      <c r="AI1019" s="25"/>
      <c r="AJ1019" s="31"/>
    </row>
    <row r="1020" spans="2:36" x14ac:dyDescent="0.25">
      <c r="B1020" s="33">
        <f>'Arbitrage Payback Engine'!E1020</f>
        <v>27.694836323791261</v>
      </c>
      <c r="C1020" s="33">
        <f t="shared" si="255"/>
        <v>1000</v>
      </c>
      <c r="D1020" s="33">
        <f>'Battery Pricing Model'!$C$17</f>
        <v>1000</v>
      </c>
      <c r="E1020" s="33">
        <f t="shared" si="256"/>
        <v>999</v>
      </c>
      <c r="F1020" s="33" t="str">
        <f>'Peak Models'!$B$4</f>
        <v>Default</v>
      </c>
      <c r="G1020" s="33" t="e">
        <f>'Peak Models'!$Q$7</f>
        <v>#VALUE!</v>
      </c>
      <c r="H1020" s="33">
        <f>'Peak Models'!$P$16</f>
        <v>1.5</v>
      </c>
      <c r="I1020" s="33">
        <v>12</v>
      </c>
      <c r="J1020" s="33" t="e">
        <f>'Peak Models'!$P$13</f>
        <v>#N/A</v>
      </c>
      <c r="K1020" s="28" t="e">
        <f t="shared" si="257"/>
        <v>#VALUE!</v>
      </c>
      <c r="L1020" s="28" t="e">
        <f>INDEX('Peak Models'!$P$34:$P$64, MATCH(TRUNC(B1020, 0), 'Peak Models'!$O$34:$O$64, 0))</f>
        <v>#N/A</v>
      </c>
      <c r="M1020" s="28">
        <f>'Peak Models'!$P$15*INDEX('Peak Models'!$Q$34:$Q$64, MATCH(TRUNC(B1020, 0),'Peak Models'!$O$34:$O$64, 0))/'Profit per cycles Model'!$E$78</f>
        <v>9.1661177331751169</v>
      </c>
      <c r="N1020" s="28" t="e">
        <f t="shared" si="258"/>
        <v>#N/A</v>
      </c>
      <c r="O1020" s="71" t="e">
        <f>AVERAGE($N$10:N1020)</f>
        <v>#N/A</v>
      </c>
      <c r="P1020" s="28" t="e">
        <f t="shared" si="259"/>
        <v>#N/A</v>
      </c>
      <c r="R1020" s="28" t="e">
        <f t="shared" si="260"/>
        <v>#VALUE!</v>
      </c>
      <c r="S1020" s="25"/>
      <c r="T1020" s="25">
        <f t="shared" si="261"/>
        <v>15</v>
      </c>
      <c r="U1020" s="33">
        <f>IF(PaybackCustom&gt;0, IF(PaybackCustom&lt;&gt;"Default", PaybackCustom, IF(PaybackStatus&lt;&gt;"",INDEX('Arbitrage Payback Engine'!$Y$2:$Y$6,MATCH(PaybackStatus,'Arbitrage Payback Engine'!$X$2:$X$6,FALSE)),-1)))</f>
        <v>25</v>
      </c>
      <c r="V1020" s="32">
        <f t="shared" si="270"/>
        <v>15</v>
      </c>
      <c r="X1020" s="29">
        <f t="shared" si="271"/>
        <v>1011</v>
      </c>
      <c r="Z1020" s="30">
        <f t="shared" si="262"/>
        <v>27.694836323791261</v>
      </c>
      <c r="AA1020" s="28" t="e">
        <f t="shared" si="263"/>
        <v>#N/A</v>
      </c>
      <c r="AB1020" s="28" t="e">
        <f t="shared" si="264"/>
        <v>#VALUE!</v>
      </c>
      <c r="AC1020" s="29">
        <f t="shared" si="265"/>
        <v>959.20303605313097</v>
      </c>
      <c r="AD1020" s="28" t="e">
        <f t="shared" si="266"/>
        <v>#VALUE!</v>
      </c>
      <c r="AE1020" s="28" t="e">
        <f t="shared" si="267"/>
        <v>#N/A</v>
      </c>
      <c r="AF1020" s="28" t="e">
        <f t="shared" si="268"/>
        <v>#VALUE!</v>
      </c>
      <c r="AH1020" s="31" t="e">
        <f t="shared" si="269"/>
        <v>#N/A</v>
      </c>
      <c r="AI1020" s="25"/>
      <c r="AJ1020" s="31"/>
    </row>
    <row r="1021" spans="2:36" x14ac:dyDescent="0.25">
      <c r="B1021" s="33">
        <f>'Arbitrage Payback Engine'!E1021</f>
        <v>27.722229831529926</v>
      </c>
      <c r="C1021" s="33">
        <f t="shared" si="255"/>
        <v>1000</v>
      </c>
      <c r="D1021" s="33">
        <f>'Battery Pricing Model'!$C$17</f>
        <v>1000</v>
      </c>
      <c r="E1021" s="33">
        <f t="shared" si="256"/>
        <v>999</v>
      </c>
      <c r="F1021" s="33" t="str">
        <f>'Peak Models'!$B$4</f>
        <v>Default</v>
      </c>
      <c r="G1021" s="33" t="e">
        <f>'Peak Models'!$Q$7</f>
        <v>#VALUE!</v>
      </c>
      <c r="H1021" s="33">
        <f>'Peak Models'!$P$16</f>
        <v>1.5</v>
      </c>
      <c r="I1021" s="33">
        <v>12</v>
      </c>
      <c r="J1021" s="33" t="e">
        <f>'Peak Models'!$P$13</f>
        <v>#N/A</v>
      </c>
      <c r="K1021" s="28" t="e">
        <f t="shared" si="257"/>
        <v>#VALUE!</v>
      </c>
      <c r="L1021" s="28" t="e">
        <f>INDEX('Peak Models'!$P$34:$P$64, MATCH(TRUNC(B1021, 0), 'Peak Models'!$O$34:$O$64, 0))</f>
        <v>#N/A</v>
      </c>
      <c r="M1021" s="28">
        <f>'Peak Models'!$P$15*INDEX('Peak Models'!$Q$34:$Q$64, MATCH(TRUNC(B1021, 0),'Peak Models'!$O$34:$O$64, 0))/'Profit per cycles Model'!$E$78</f>
        <v>9.1661177331751169</v>
      </c>
      <c r="N1021" s="28" t="e">
        <f t="shared" si="258"/>
        <v>#N/A</v>
      </c>
      <c r="O1021" s="71" t="e">
        <f>AVERAGE($N$10:N1021)</f>
        <v>#N/A</v>
      </c>
      <c r="P1021" s="28" t="e">
        <f t="shared" si="259"/>
        <v>#N/A</v>
      </c>
      <c r="R1021" s="28" t="e">
        <f t="shared" si="260"/>
        <v>#VALUE!</v>
      </c>
      <c r="S1021" s="25"/>
      <c r="T1021" s="25">
        <f t="shared" si="261"/>
        <v>15</v>
      </c>
      <c r="U1021" s="33">
        <f>IF(PaybackCustom&gt;0, IF(PaybackCustom&lt;&gt;"Default", PaybackCustom, IF(PaybackStatus&lt;&gt;"",INDEX('Arbitrage Payback Engine'!$Y$2:$Y$6,MATCH(PaybackStatus,'Arbitrage Payback Engine'!$X$2:$X$6,FALSE)),-1)))</f>
        <v>25</v>
      </c>
      <c r="V1021" s="32">
        <f t="shared" si="270"/>
        <v>15</v>
      </c>
      <c r="X1021" s="29">
        <f t="shared" si="271"/>
        <v>1012</v>
      </c>
      <c r="Z1021" s="30">
        <f t="shared" si="262"/>
        <v>27.722229831529926</v>
      </c>
      <c r="AA1021" s="28" t="e">
        <f t="shared" si="263"/>
        <v>#N/A</v>
      </c>
      <c r="AB1021" s="28" t="e">
        <f t="shared" si="264"/>
        <v>#VALUE!</v>
      </c>
      <c r="AC1021" s="29">
        <f t="shared" si="265"/>
        <v>960.15180265654647</v>
      </c>
      <c r="AD1021" s="28" t="e">
        <f t="shared" si="266"/>
        <v>#VALUE!</v>
      </c>
      <c r="AE1021" s="28" t="e">
        <f t="shared" si="267"/>
        <v>#N/A</v>
      </c>
      <c r="AF1021" s="28" t="e">
        <f t="shared" si="268"/>
        <v>#VALUE!</v>
      </c>
      <c r="AH1021" s="31" t="e">
        <f t="shared" si="269"/>
        <v>#N/A</v>
      </c>
      <c r="AI1021" s="25"/>
      <c r="AJ1021" s="31"/>
    </row>
    <row r="1022" spans="2:36" x14ac:dyDescent="0.25">
      <c r="B1022" s="33">
        <f>'Arbitrage Payback Engine'!E1022</f>
        <v>27.749623339268592</v>
      </c>
      <c r="C1022" s="33">
        <f t="shared" si="255"/>
        <v>1000</v>
      </c>
      <c r="D1022" s="33">
        <f>'Battery Pricing Model'!$C$17</f>
        <v>1000</v>
      </c>
      <c r="E1022" s="33">
        <f t="shared" si="256"/>
        <v>999</v>
      </c>
      <c r="F1022" s="33" t="str">
        <f>'Peak Models'!$B$4</f>
        <v>Default</v>
      </c>
      <c r="G1022" s="33" t="e">
        <f>'Peak Models'!$Q$7</f>
        <v>#VALUE!</v>
      </c>
      <c r="H1022" s="33">
        <f>'Peak Models'!$P$16</f>
        <v>1.5</v>
      </c>
      <c r="I1022" s="33">
        <v>12</v>
      </c>
      <c r="J1022" s="33" t="e">
        <f>'Peak Models'!$P$13</f>
        <v>#N/A</v>
      </c>
      <c r="K1022" s="28" t="e">
        <f t="shared" si="257"/>
        <v>#VALUE!</v>
      </c>
      <c r="L1022" s="28" t="e">
        <f>INDEX('Peak Models'!$P$34:$P$64, MATCH(TRUNC(B1022, 0), 'Peak Models'!$O$34:$O$64, 0))</f>
        <v>#N/A</v>
      </c>
      <c r="M1022" s="28">
        <f>'Peak Models'!$P$15*INDEX('Peak Models'!$Q$34:$Q$64, MATCH(TRUNC(B1022, 0),'Peak Models'!$O$34:$O$64, 0))/'Profit per cycles Model'!$E$78</f>
        <v>9.1661177331751169</v>
      </c>
      <c r="N1022" s="28" t="e">
        <f t="shared" si="258"/>
        <v>#N/A</v>
      </c>
      <c r="O1022" s="71" t="e">
        <f>AVERAGE($N$10:N1022)</f>
        <v>#N/A</v>
      </c>
      <c r="P1022" s="28" t="e">
        <f t="shared" si="259"/>
        <v>#N/A</v>
      </c>
      <c r="R1022" s="28" t="e">
        <f t="shared" si="260"/>
        <v>#VALUE!</v>
      </c>
      <c r="S1022" s="25"/>
      <c r="T1022" s="25">
        <f t="shared" si="261"/>
        <v>15</v>
      </c>
      <c r="U1022" s="33">
        <f>IF(PaybackCustom&gt;0, IF(PaybackCustom&lt;&gt;"Default", PaybackCustom, IF(PaybackStatus&lt;&gt;"",INDEX('Arbitrage Payback Engine'!$Y$2:$Y$6,MATCH(PaybackStatus,'Arbitrage Payback Engine'!$X$2:$X$6,FALSE)),-1)))</f>
        <v>25</v>
      </c>
      <c r="V1022" s="32">
        <f t="shared" si="270"/>
        <v>15</v>
      </c>
      <c r="X1022" s="29">
        <f t="shared" si="271"/>
        <v>1013</v>
      </c>
      <c r="Z1022" s="30">
        <f t="shared" si="262"/>
        <v>27.749623339268592</v>
      </c>
      <c r="AA1022" s="28" t="e">
        <f t="shared" si="263"/>
        <v>#N/A</v>
      </c>
      <c r="AB1022" s="28" t="e">
        <f t="shared" si="264"/>
        <v>#VALUE!</v>
      </c>
      <c r="AC1022" s="29">
        <f t="shared" si="265"/>
        <v>961.10056925996196</v>
      </c>
      <c r="AD1022" s="28" t="e">
        <f t="shared" si="266"/>
        <v>#VALUE!</v>
      </c>
      <c r="AE1022" s="28" t="e">
        <f t="shared" si="267"/>
        <v>#N/A</v>
      </c>
      <c r="AF1022" s="28" t="e">
        <f t="shared" si="268"/>
        <v>#VALUE!</v>
      </c>
      <c r="AH1022" s="31" t="e">
        <f t="shared" si="269"/>
        <v>#N/A</v>
      </c>
      <c r="AI1022" s="25"/>
      <c r="AJ1022" s="31"/>
    </row>
    <row r="1023" spans="2:36" x14ac:dyDescent="0.25">
      <c r="B1023" s="33">
        <f>'Arbitrage Payback Engine'!E1023</f>
        <v>27.777016847007257</v>
      </c>
      <c r="C1023" s="33">
        <f t="shared" si="255"/>
        <v>1000</v>
      </c>
      <c r="D1023" s="33">
        <f>'Battery Pricing Model'!$C$17</f>
        <v>1000</v>
      </c>
      <c r="E1023" s="33">
        <f t="shared" si="256"/>
        <v>999</v>
      </c>
      <c r="F1023" s="33" t="str">
        <f>'Peak Models'!$B$4</f>
        <v>Default</v>
      </c>
      <c r="G1023" s="33" t="e">
        <f>'Peak Models'!$Q$7</f>
        <v>#VALUE!</v>
      </c>
      <c r="H1023" s="33">
        <f>'Peak Models'!$P$16</f>
        <v>1.5</v>
      </c>
      <c r="I1023" s="33">
        <v>12</v>
      </c>
      <c r="J1023" s="33" t="e">
        <f>'Peak Models'!$P$13</f>
        <v>#N/A</v>
      </c>
      <c r="K1023" s="28" t="e">
        <f t="shared" si="257"/>
        <v>#VALUE!</v>
      </c>
      <c r="L1023" s="28" t="e">
        <f>INDEX('Peak Models'!$P$34:$P$64, MATCH(TRUNC(B1023, 0), 'Peak Models'!$O$34:$O$64, 0))</f>
        <v>#N/A</v>
      </c>
      <c r="M1023" s="28">
        <f>'Peak Models'!$P$15*INDEX('Peak Models'!$Q$34:$Q$64, MATCH(TRUNC(B1023, 0),'Peak Models'!$O$34:$O$64, 0))/'Profit per cycles Model'!$E$78</f>
        <v>9.1661177331751169</v>
      </c>
      <c r="N1023" s="28" t="e">
        <f t="shared" si="258"/>
        <v>#N/A</v>
      </c>
      <c r="O1023" s="71" t="e">
        <f>AVERAGE($N$10:N1023)</f>
        <v>#N/A</v>
      </c>
      <c r="P1023" s="28" t="e">
        <f t="shared" si="259"/>
        <v>#N/A</v>
      </c>
      <c r="R1023" s="28" t="e">
        <f t="shared" si="260"/>
        <v>#VALUE!</v>
      </c>
      <c r="S1023" s="25"/>
      <c r="T1023" s="25">
        <f t="shared" si="261"/>
        <v>15</v>
      </c>
      <c r="U1023" s="33">
        <f>IF(PaybackCustom&gt;0, IF(PaybackCustom&lt;&gt;"Default", PaybackCustom, IF(PaybackStatus&lt;&gt;"",INDEX('Arbitrage Payback Engine'!$Y$2:$Y$6,MATCH(PaybackStatus,'Arbitrage Payback Engine'!$X$2:$X$6,FALSE)),-1)))</f>
        <v>25</v>
      </c>
      <c r="V1023" s="32">
        <f t="shared" si="270"/>
        <v>15</v>
      </c>
      <c r="X1023" s="29">
        <f t="shared" si="271"/>
        <v>1014</v>
      </c>
      <c r="Z1023" s="30">
        <f t="shared" si="262"/>
        <v>27.777016847007257</v>
      </c>
      <c r="AA1023" s="28" t="e">
        <f t="shared" si="263"/>
        <v>#N/A</v>
      </c>
      <c r="AB1023" s="28" t="e">
        <f t="shared" si="264"/>
        <v>#VALUE!</v>
      </c>
      <c r="AC1023" s="29">
        <f t="shared" si="265"/>
        <v>962.04933586337756</v>
      </c>
      <c r="AD1023" s="28" t="e">
        <f t="shared" si="266"/>
        <v>#VALUE!</v>
      </c>
      <c r="AE1023" s="28" t="e">
        <f t="shared" si="267"/>
        <v>#N/A</v>
      </c>
      <c r="AF1023" s="28" t="e">
        <f t="shared" si="268"/>
        <v>#VALUE!</v>
      </c>
      <c r="AH1023" s="31" t="e">
        <f t="shared" si="269"/>
        <v>#N/A</v>
      </c>
      <c r="AI1023" s="25"/>
      <c r="AJ1023" s="31"/>
    </row>
    <row r="1024" spans="2:36" x14ac:dyDescent="0.25">
      <c r="B1024" s="33">
        <f>'Arbitrage Payback Engine'!E1024</f>
        <v>27.804410354745926</v>
      </c>
      <c r="C1024" s="33">
        <f t="shared" si="255"/>
        <v>1000</v>
      </c>
      <c r="D1024" s="33">
        <f>'Battery Pricing Model'!$C$17</f>
        <v>1000</v>
      </c>
      <c r="E1024" s="33">
        <f t="shared" si="256"/>
        <v>999</v>
      </c>
      <c r="F1024" s="33" t="str">
        <f>'Peak Models'!$B$4</f>
        <v>Default</v>
      </c>
      <c r="G1024" s="33" t="e">
        <f>'Peak Models'!$Q$7</f>
        <v>#VALUE!</v>
      </c>
      <c r="H1024" s="33">
        <f>'Peak Models'!$P$16</f>
        <v>1.5</v>
      </c>
      <c r="I1024" s="33">
        <v>12</v>
      </c>
      <c r="J1024" s="33" t="e">
        <f>'Peak Models'!$P$13</f>
        <v>#N/A</v>
      </c>
      <c r="K1024" s="28" t="e">
        <f t="shared" si="257"/>
        <v>#VALUE!</v>
      </c>
      <c r="L1024" s="28" t="e">
        <f>INDEX('Peak Models'!$P$34:$P$64, MATCH(TRUNC(B1024, 0), 'Peak Models'!$O$34:$O$64, 0))</f>
        <v>#N/A</v>
      </c>
      <c r="M1024" s="28">
        <f>'Peak Models'!$P$15*INDEX('Peak Models'!$Q$34:$Q$64, MATCH(TRUNC(B1024, 0),'Peak Models'!$O$34:$O$64, 0))/'Profit per cycles Model'!$E$78</f>
        <v>9.1661177331751169</v>
      </c>
      <c r="N1024" s="28" t="e">
        <f t="shared" si="258"/>
        <v>#N/A</v>
      </c>
      <c r="O1024" s="71" t="e">
        <f>AVERAGE($N$10:N1024)</f>
        <v>#N/A</v>
      </c>
      <c r="P1024" s="28" t="e">
        <f t="shared" si="259"/>
        <v>#N/A</v>
      </c>
      <c r="R1024" s="28" t="e">
        <f t="shared" si="260"/>
        <v>#VALUE!</v>
      </c>
      <c r="S1024" s="25"/>
      <c r="T1024" s="25">
        <f t="shared" si="261"/>
        <v>15</v>
      </c>
      <c r="U1024" s="33">
        <f>IF(PaybackCustom&gt;0, IF(PaybackCustom&lt;&gt;"Default", PaybackCustom, IF(PaybackStatus&lt;&gt;"",INDEX('Arbitrage Payback Engine'!$Y$2:$Y$6,MATCH(PaybackStatus,'Arbitrage Payback Engine'!$X$2:$X$6,FALSE)),-1)))</f>
        <v>25</v>
      </c>
      <c r="V1024" s="32">
        <f t="shared" si="270"/>
        <v>15</v>
      </c>
      <c r="X1024" s="29">
        <f t="shared" si="271"/>
        <v>1015</v>
      </c>
      <c r="Z1024" s="30">
        <f t="shared" si="262"/>
        <v>27.804410354745926</v>
      </c>
      <c r="AA1024" s="28" t="e">
        <f t="shared" si="263"/>
        <v>#N/A</v>
      </c>
      <c r="AB1024" s="28" t="e">
        <f t="shared" si="264"/>
        <v>#VALUE!</v>
      </c>
      <c r="AC1024" s="29">
        <f t="shared" si="265"/>
        <v>962.99810246679328</v>
      </c>
      <c r="AD1024" s="28" t="e">
        <f t="shared" si="266"/>
        <v>#VALUE!</v>
      </c>
      <c r="AE1024" s="28" t="e">
        <f t="shared" si="267"/>
        <v>#N/A</v>
      </c>
      <c r="AF1024" s="28" t="e">
        <f t="shared" si="268"/>
        <v>#VALUE!</v>
      </c>
      <c r="AH1024" s="31" t="e">
        <f t="shared" si="269"/>
        <v>#N/A</v>
      </c>
      <c r="AI1024" s="25"/>
      <c r="AJ1024" s="31"/>
    </row>
    <row r="1025" spans="2:36" x14ac:dyDescent="0.25">
      <c r="B1025" s="33">
        <f>'Arbitrage Payback Engine'!E1025</f>
        <v>27.831803862484591</v>
      </c>
      <c r="C1025" s="33">
        <f t="shared" si="255"/>
        <v>1000</v>
      </c>
      <c r="D1025" s="33">
        <f>'Battery Pricing Model'!$C$17</f>
        <v>1000</v>
      </c>
      <c r="E1025" s="33">
        <f t="shared" si="256"/>
        <v>999</v>
      </c>
      <c r="F1025" s="33" t="str">
        <f>'Peak Models'!$B$4</f>
        <v>Default</v>
      </c>
      <c r="G1025" s="33" t="e">
        <f>'Peak Models'!$Q$7</f>
        <v>#VALUE!</v>
      </c>
      <c r="H1025" s="33">
        <f>'Peak Models'!$P$16</f>
        <v>1.5</v>
      </c>
      <c r="I1025" s="33">
        <v>12</v>
      </c>
      <c r="J1025" s="33" t="e">
        <f>'Peak Models'!$P$13</f>
        <v>#N/A</v>
      </c>
      <c r="K1025" s="28" t="e">
        <f t="shared" si="257"/>
        <v>#VALUE!</v>
      </c>
      <c r="L1025" s="28" t="e">
        <f>INDEX('Peak Models'!$P$34:$P$64, MATCH(TRUNC(B1025, 0), 'Peak Models'!$O$34:$O$64, 0))</f>
        <v>#N/A</v>
      </c>
      <c r="M1025" s="28">
        <f>'Peak Models'!$P$15*INDEX('Peak Models'!$Q$34:$Q$64, MATCH(TRUNC(B1025, 0),'Peak Models'!$O$34:$O$64, 0))/'Profit per cycles Model'!$E$78</f>
        <v>9.1661177331751169</v>
      </c>
      <c r="N1025" s="28" t="e">
        <f t="shared" si="258"/>
        <v>#N/A</v>
      </c>
      <c r="O1025" s="71" t="e">
        <f>AVERAGE($N$10:N1025)</f>
        <v>#N/A</v>
      </c>
      <c r="P1025" s="28" t="e">
        <f t="shared" si="259"/>
        <v>#N/A</v>
      </c>
      <c r="R1025" s="28" t="e">
        <f t="shared" si="260"/>
        <v>#VALUE!</v>
      </c>
      <c r="S1025" s="25"/>
      <c r="T1025" s="25">
        <f t="shared" si="261"/>
        <v>15</v>
      </c>
      <c r="U1025" s="33">
        <f>IF(PaybackCustom&gt;0, IF(PaybackCustom&lt;&gt;"Default", PaybackCustom, IF(PaybackStatus&lt;&gt;"",INDEX('Arbitrage Payback Engine'!$Y$2:$Y$6,MATCH(PaybackStatus,'Arbitrage Payback Engine'!$X$2:$X$6,FALSE)),-1)))</f>
        <v>25</v>
      </c>
      <c r="V1025" s="32">
        <f t="shared" si="270"/>
        <v>15</v>
      </c>
      <c r="X1025" s="29">
        <f t="shared" si="271"/>
        <v>1016</v>
      </c>
      <c r="Z1025" s="30">
        <f t="shared" si="262"/>
        <v>27.831803862484591</v>
      </c>
      <c r="AA1025" s="28" t="e">
        <f t="shared" si="263"/>
        <v>#N/A</v>
      </c>
      <c r="AB1025" s="28" t="e">
        <f t="shared" si="264"/>
        <v>#VALUE!</v>
      </c>
      <c r="AC1025" s="29">
        <f t="shared" si="265"/>
        <v>963.94686907020878</v>
      </c>
      <c r="AD1025" s="28" t="e">
        <f t="shared" si="266"/>
        <v>#VALUE!</v>
      </c>
      <c r="AE1025" s="28" t="e">
        <f t="shared" si="267"/>
        <v>#N/A</v>
      </c>
      <c r="AF1025" s="28" t="e">
        <f t="shared" si="268"/>
        <v>#VALUE!</v>
      </c>
      <c r="AH1025" s="31" t="e">
        <f t="shared" si="269"/>
        <v>#N/A</v>
      </c>
      <c r="AI1025" s="25"/>
      <c r="AJ1025" s="31"/>
    </row>
    <row r="1026" spans="2:36" x14ac:dyDescent="0.25">
      <c r="B1026" s="33">
        <f>'Arbitrage Payback Engine'!E1026</f>
        <v>27.859197370223256</v>
      </c>
      <c r="C1026" s="33">
        <f t="shared" si="255"/>
        <v>1000</v>
      </c>
      <c r="D1026" s="33">
        <f>'Battery Pricing Model'!$C$17</f>
        <v>1000</v>
      </c>
      <c r="E1026" s="33">
        <f t="shared" si="256"/>
        <v>999</v>
      </c>
      <c r="F1026" s="33" t="str">
        <f>'Peak Models'!$B$4</f>
        <v>Default</v>
      </c>
      <c r="G1026" s="33" t="e">
        <f>'Peak Models'!$Q$7</f>
        <v>#VALUE!</v>
      </c>
      <c r="H1026" s="33">
        <f>'Peak Models'!$P$16</f>
        <v>1.5</v>
      </c>
      <c r="I1026" s="33">
        <v>12</v>
      </c>
      <c r="J1026" s="33" t="e">
        <f>'Peak Models'!$P$13</f>
        <v>#N/A</v>
      </c>
      <c r="K1026" s="28" t="e">
        <f t="shared" si="257"/>
        <v>#VALUE!</v>
      </c>
      <c r="L1026" s="28" t="e">
        <f>INDEX('Peak Models'!$P$34:$P$64, MATCH(TRUNC(B1026, 0), 'Peak Models'!$O$34:$O$64, 0))</f>
        <v>#N/A</v>
      </c>
      <c r="M1026" s="28">
        <f>'Peak Models'!$P$15*INDEX('Peak Models'!$Q$34:$Q$64, MATCH(TRUNC(B1026, 0),'Peak Models'!$O$34:$O$64, 0))/'Profit per cycles Model'!$E$78</f>
        <v>9.1661177331751169</v>
      </c>
      <c r="N1026" s="28" t="e">
        <f t="shared" si="258"/>
        <v>#N/A</v>
      </c>
      <c r="O1026" s="71" t="e">
        <f>AVERAGE($N$10:N1026)</f>
        <v>#N/A</v>
      </c>
      <c r="P1026" s="28" t="e">
        <f t="shared" si="259"/>
        <v>#N/A</v>
      </c>
      <c r="R1026" s="28" t="e">
        <f t="shared" si="260"/>
        <v>#VALUE!</v>
      </c>
      <c r="S1026" s="25"/>
      <c r="T1026" s="25">
        <f t="shared" si="261"/>
        <v>15</v>
      </c>
      <c r="U1026" s="33">
        <f>IF(PaybackCustom&gt;0, IF(PaybackCustom&lt;&gt;"Default", PaybackCustom, IF(PaybackStatus&lt;&gt;"",INDEX('Arbitrage Payback Engine'!$Y$2:$Y$6,MATCH(PaybackStatus,'Arbitrage Payback Engine'!$X$2:$X$6,FALSE)),-1)))</f>
        <v>25</v>
      </c>
      <c r="V1026" s="32">
        <f t="shared" si="270"/>
        <v>15</v>
      </c>
      <c r="X1026" s="29">
        <f t="shared" si="271"/>
        <v>1017</v>
      </c>
      <c r="Z1026" s="30">
        <f t="shared" si="262"/>
        <v>27.859197370223256</v>
      </c>
      <c r="AA1026" s="28" t="e">
        <f t="shared" si="263"/>
        <v>#N/A</v>
      </c>
      <c r="AB1026" s="28" t="e">
        <f t="shared" si="264"/>
        <v>#VALUE!</v>
      </c>
      <c r="AC1026" s="29">
        <f t="shared" si="265"/>
        <v>964.89563567362438</v>
      </c>
      <c r="AD1026" s="28" t="e">
        <f t="shared" si="266"/>
        <v>#VALUE!</v>
      </c>
      <c r="AE1026" s="28" t="e">
        <f t="shared" si="267"/>
        <v>#N/A</v>
      </c>
      <c r="AF1026" s="28" t="e">
        <f t="shared" si="268"/>
        <v>#VALUE!</v>
      </c>
      <c r="AH1026" s="31" t="e">
        <f t="shared" si="269"/>
        <v>#N/A</v>
      </c>
      <c r="AI1026" s="25"/>
      <c r="AJ1026" s="31"/>
    </row>
    <row r="1027" spans="2:36" x14ac:dyDescent="0.25">
      <c r="B1027" s="33">
        <f>'Arbitrage Payback Engine'!E1027</f>
        <v>27.886590877961922</v>
      </c>
      <c r="C1027" s="33">
        <f t="shared" si="255"/>
        <v>1000</v>
      </c>
      <c r="D1027" s="33">
        <f>'Battery Pricing Model'!$C$17</f>
        <v>1000</v>
      </c>
      <c r="E1027" s="33">
        <f t="shared" si="256"/>
        <v>999</v>
      </c>
      <c r="F1027" s="33" t="str">
        <f>'Peak Models'!$B$4</f>
        <v>Default</v>
      </c>
      <c r="G1027" s="33" t="e">
        <f>'Peak Models'!$Q$7</f>
        <v>#VALUE!</v>
      </c>
      <c r="H1027" s="33">
        <f>'Peak Models'!$P$16</f>
        <v>1.5</v>
      </c>
      <c r="I1027" s="33">
        <v>12</v>
      </c>
      <c r="J1027" s="33" t="e">
        <f>'Peak Models'!$P$13</f>
        <v>#N/A</v>
      </c>
      <c r="K1027" s="28" t="e">
        <f t="shared" si="257"/>
        <v>#VALUE!</v>
      </c>
      <c r="L1027" s="28" t="e">
        <f>INDEX('Peak Models'!$P$34:$P$64, MATCH(TRUNC(B1027, 0), 'Peak Models'!$O$34:$O$64, 0))</f>
        <v>#N/A</v>
      </c>
      <c r="M1027" s="28">
        <f>'Peak Models'!$P$15*INDEX('Peak Models'!$Q$34:$Q$64, MATCH(TRUNC(B1027, 0),'Peak Models'!$O$34:$O$64, 0))/'Profit per cycles Model'!$E$78</f>
        <v>9.1661177331751169</v>
      </c>
      <c r="N1027" s="28" t="e">
        <f t="shared" si="258"/>
        <v>#N/A</v>
      </c>
      <c r="O1027" s="71" t="e">
        <f>AVERAGE($N$10:N1027)</f>
        <v>#N/A</v>
      </c>
      <c r="P1027" s="28" t="e">
        <f t="shared" si="259"/>
        <v>#N/A</v>
      </c>
      <c r="R1027" s="28" t="e">
        <f t="shared" si="260"/>
        <v>#VALUE!</v>
      </c>
      <c r="S1027" s="25"/>
      <c r="T1027" s="25">
        <f t="shared" si="261"/>
        <v>15</v>
      </c>
      <c r="U1027" s="33">
        <f>IF(PaybackCustom&gt;0, IF(PaybackCustom&lt;&gt;"Default", PaybackCustom, IF(PaybackStatus&lt;&gt;"",INDEX('Arbitrage Payback Engine'!$Y$2:$Y$6,MATCH(PaybackStatus,'Arbitrage Payback Engine'!$X$2:$X$6,FALSE)),-1)))</f>
        <v>25</v>
      </c>
      <c r="V1027" s="32">
        <f t="shared" si="270"/>
        <v>15</v>
      </c>
      <c r="X1027" s="29">
        <f t="shared" si="271"/>
        <v>1018</v>
      </c>
      <c r="Z1027" s="30">
        <f t="shared" si="262"/>
        <v>27.886590877961922</v>
      </c>
      <c r="AA1027" s="28" t="e">
        <f t="shared" si="263"/>
        <v>#N/A</v>
      </c>
      <c r="AB1027" s="28" t="e">
        <f t="shared" si="264"/>
        <v>#VALUE!</v>
      </c>
      <c r="AC1027" s="29">
        <f t="shared" si="265"/>
        <v>965.84440227703976</v>
      </c>
      <c r="AD1027" s="28" t="e">
        <f t="shared" si="266"/>
        <v>#VALUE!</v>
      </c>
      <c r="AE1027" s="28" t="e">
        <f t="shared" si="267"/>
        <v>#N/A</v>
      </c>
      <c r="AF1027" s="28" t="e">
        <f t="shared" si="268"/>
        <v>#VALUE!</v>
      </c>
      <c r="AH1027" s="31" t="e">
        <f t="shared" si="269"/>
        <v>#N/A</v>
      </c>
      <c r="AI1027" s="25"/>
      <c r="AJ1027" s="31"/>
    </row>
    <row r="1028" spans="2:36" x14ac:dyDescent="0.25">
      <c r="B1028" s="33">
        <f>'Arbitrage Payback Engine'!E1028</f>
        <v>27.913984385700587</v>
      </c>
      <c r="C1028" s="33">
        <f t="shared" si="255"/>
        <v>1000</v>
      </c>
      <c r="D1028" s="33">
        <f>'Battery Pricing Model'!$C$17</f>
        <v>1000</v>
      </c>
      <c r="E1028" s="33">
        <f t="shared" si="256"/>
        <v>999</v>
      </c>
      <c r="F1028" s="33" t="str">
        <f>'Peak Models'!$B$4</f>
        <v>Default</v>
      </c>
      <c r="G1028" s="33" t="e">
        <f>'Peak Models'!$Q$7</f>
        <v>#VALUE!</v>
      </c>
      <c r="H1028" s="33">
        <f>'Peak Models'!$P$16</f>
        <v>1.5</v>
      </c>
      <c r="I1028" s="33">
        <v>12</v>
      </c>
      <c r="J1028" s="33" t="e">
        <f>'Peak Models'!$P$13</f>
        <v>#N/A</v>
      </c>
      <c r="K1028" s="28" t="e">
        <f t="shared" si="257"/>
        <v>#VALUE!</v>
      </c>
      <c r="L1028" s="28" t="e">
        <f>INDEX('Peak Models'!$P$34:$P$64, MATCH(TRUNC(B1028, 0), 'Peak Models'!$O$34:$O$64, 0))</f>
        <v>#N/A</v>
      </c>
      <c r="M1028" s="28">
        <f>'Peak Models'!$P$15*INDEX('Peak Models'!$Q$34:$Q$64, MATCH(TRUNC(B1028, 0),'Peak Models'!$O$34:$O$64, 0))/'Profit per cycles Model'!$E$78</f>
        <v>9.1661177331751169</v>
      </c>
      <c r="N1028" s="28" t="e">
        <f t="shared" si="258"/>
        <v>#N/A</v>
      </c>
      <c r="O1028" s="71" t="e">
        <f>AVERAGE($N$10:N1028)</f>
        <v>#N/A</v>
      </c>
      <c r="P1028" s="28" t="e">
        <f t="shared" si="259"/>
        <v>#N/A</v>
      </c>
      <c r="R1028" s="28" t="e">
        <f t="shared" si="260"/>
        <v>#VALUE!</v>
      </c>
      <c r="S1028" s="25"/>
      <c r="T1028" s="25">
        <f t="shared" si="261"/>
        <v>15</v>
      </c>
      <c r="U1028" s="33">
        <f>IF(PaybackCustom&gt;0, IF(PaybackCustom&lt;&gt;"Default", PaybackCustom, IF(PaybackStatus&lt;&gt;"",INDEX('Arbitrage Payback Engine'!$Y$2:$Y$6,MATCH(PaybackStatus,'Arbitrage Payback Engine'!$X$2:$X$6,FALSE)),-1)))</f>
        <v>25</v>
      </c>
      <c r="V1028" s="32">
        <f t="shared" si="270"/>
        <v>15</v>
      </c>
      <c r="X1028" s="29">
        <f t="shared" si="271"/>
        <v>1019</v>
      </c>
      <c r="Z1028" s="30">
        <f t="shared" si="262"/>
        <v>27.913984385700587</v>
      </c>
      <c r="AA1028" s="28" t="e">
        <f t="shared" si="263"/>
        <v>#N/A</v>
      </c>
      <c r="AB1028" s="28" t="e">
        <f t="shared" si="264"/>
        <v>#VALUE!</v>
      </c>
      <c r="AC1028" s="29">
        <f t="shared" si="265"/>
        <v>966.79316888045537</v>
      </c>
      <c r="AD1028" s="28" t="e">
        <f t="shared" si="266"/>
        <v>#VALUE!</v>
      </c>
      <c r="AE1028" s="28" t="e">
        <f t="shared" si="267"/>
        <v>#N/A</v>
      </c>
      <c r="AF1028" s="28" t="e">
        <f t="shared" si="268"/>
        <v>#VALUE!</v>
      </c>
      <c r="AH1028" s="31" t="e">
        <f t="shared" si="269"/>
        <v>#N/A</v>
      </c>
      <c r="AI1028" s="25"/>
      <c r="AJ1028" s="31"/>
    </row>
    <row r="1029" spans="2:36" x14ac:dyDescent="0.25">
      <c r="B1029" s="33">
        <f>'Arbitrage Payback Engine'!E1029</f>
        <v>27.941377893439252</v>
      </c>
      <c r="C1029" s="33">
        <f t="shared" si="255"/>
        <v>1000</v>
      </c>
      <c r="D1029" s="33">
        <f>'Battery Pricing Model'!$C$17</f>
        <v>1000</v>
      </c>
      <c r="E1029" s="33">
        <f t="shared" si="256"/>
        <v>999</v>
      </c>
      <c r="F1029" s="33" t="str">
        <f>'Peak Models'!$B$4</f>
        <v>Default</v>
      </c>
      <c r="G1029" s="33" t="e">
        <f>'Peak Models'!$Q$7</f>
        <v>#VALUE!</v>
      </c>
      <c r="H1029" s="33">
        <f>'Peak Models'!$P$16</f>
        <v>1.5</v>
      </c>
      <c r="I1029" s="33">
        <v>12</v>
      </c>
      <c r="J1029" s="33" t="e">
        <f>'Peak Models'!$P$13</f>
        <v>#N/A</v>
      </c>
      <c r="K1029" s="28" t="e">
        <f t="shared" si="257"/>
        <v>#VALUE!</v>
      </c>
      <c r="L1029" s="28" t="e">
        <f>INDEX('Peak Models'!$P$34:$P$64, MATCH(TRUNC(B1029, 0), 'Peak Models'!$O$34:$O$64, 0))</f>
        <v>#N/A</v>
      </c>
      <c r="M1029" s="28">
        <f>'Peak Models'!$P$15*INDEX('Peak Models'!$Q$34:$Q$64, MATCH(TRUNC(B1029, 0),'Peak Models'!$O$34:$O$64, 0))/'Profit per cycles Model'!$E$78</f>
        <v>9.1661177331751169</v>
      </c>
      <c r="N1029" s="28" t="e">
        <f t="shared" si="258"/>
        <v>#N/A</v>
      </c>
      <c r="O1029" s="71" t="e">
        <f>AVERAGE($N$10:N1029)</f>
        <v>#N/A</v>
      </c>
      <c r="P1029" s="28" t="e">
        <f t="shared" si="259"/>
        <v>#N/A</v>
      </c>
      <c r="R1029" s="28" t="e">
        <f t="shared" si="260"/>
        <v>#VALUE!</v>
      </c>
      <c r="S1029" s="25"/>
      <c r="T1029" s="25">
        <f t="shared" si="261"/>
        <v>15</v>
      </c>
      <c r="U1029" s="33">
        <f>IF(PaybackCustom&gt;0, IF(PaybackCustom&lt;&gt;"Default", PaybackCustom, IF(PaybackStatus&lt;&gt;"",INDEX('Arbitrage Payback Engine'!$Y$2:$Y$6,MATCH(PaybackStatus,'Arbitrage Payback Engine'!$X$2:$X$6,FALSE)),-1)))</f>
        <v>25</v>
      </c>
      <c r="V1029" s="32">
        <f t="shared" si="270"/>
        <v>15</v>
      </c>
      <c r="X1029" s="29">
        <f t="shared" si="271"/>
        <v>1020</v>
      </c>
      <c r="Z1029" s="30">
        <f t="shared" si="262"/>
        <v>27.941377893439252</v>
      </c>
      <c r="AA1029" s="28" t="e">
        <f t="shared" si="263"/>
        <v>#N/A</v>
      </c>
      <c r="AB1029" s="28" t="e">
        <f t="shared" si="264"/>
        <v>#VALUE!</v>
      </c>
      <c r="AC1029" s="29">
        <f t="shared" si="265"/>
        <v>967.74193548387098</v>
      </c>
      <c r="AD1029" s="28" t="e">
        <f t="shared" si="266"/>
        <v>#VALUE!</v>
      </c>
      <c r="AE1029" s="28" t="e">
        <f t="shared" si="267"/>
        <v>#N/A</v>
      </c>
      <c r="AF1029" s="28" t="e">
        <f t="shared" si="268"/>
        <v>#VALUE!</v>
      </c>
      <c r="AH1029" s="31" t="e">
        <f t="shared" si="269"/>
        <v>#N/A</v>
      </c>
      <c r="AI1029" s="25"/>
      <c r="AJ1029" s="31"/>
    </row>
    <row r="1030" spans="2:36" x14ac:dyDescent="0.25">
      <c r="B1030" s="33">
        <f>'Arbitrage Payback Engine'!E1030</f>
        <v>27.968771401177921</v>
      </c>
      <c r="C1030" s="33">
        <f t="shared" si="255"/>
        <v>1000</v>
      </c>
      <c r="D1030" s="33">
        <f>'Battery Pricing Model'!$C$17</f>
        <v>1000</v>
      </c>
      <c r="E1030" s="33">
        <f t="shared" si="256"/>
        <v>999</v>
      </c>
      <c r="F1030" s="33" t="str">
        <f>'Peak Models'!$B$4</f>
        <v>Default</v>
      </c>
      <c r="G1030" s="33" t="e">
        <f>'Peak Models'!$Q$7</f>
        <v>#VALUE!</v>
      </c>
      <c r="H1030" s="33">
        <f>'Peak Models'!$P$16</f>
        <v>1.5</v>
      </c>
      <c r="I1030" s="33">
        <v>12</v>
      </c>
      <c r="J1030" s="33" t="e">
        <f>'Peak Models'!$P$13</f>
        <v>#N/A</v>
      </c>
      <c r="K1030" s="28" t="e">
        <f t="shared" si="257"/>
        <v>#VALUE!</v>
      </c>
      <c r="L1030" s="28" t="e">
        <f>INDEX('Peak Models'!$P$34:$P$64, MATCH(TRUNC(B1030, 0), 'Peak Models'!$O$34:$O$64, 0))</f>
        <v>#N/A</v>
      </c>
      <c r="M1030" s="28">
        <f>'Peak Models'!$P$15*INDEX('Peak Models'!$Q$34:$Q$64, MATCH(TRUNC(B1030, 0),'Peak Models'!$O$34:$O$64, 0))/'Profit per cycles Model'!$E$78</f>
        <v>9.1661177331751169</v>
      </c>
      <c r="N1030" s="28" t="e">
        <f t="shared" si="258"/>
        <v>#N/A</v>
      </c>
      <c r="O1030" s="71" t="e">
        <f>AVERAGE($N$10:N1030)</f>
        <v>#N/A</v>
      </c>
      <c r="P1030" s="28" t="e">
        <f t="shared" si="259"/>
        <v>#N/A</v>
      </c>
      <c r="R1030" s="28" t="e">
        <f t="shared" si="260"/>
        <v>#VALUE!</v>
      </c>
      <c r="S1030" s="25"/>
      <c r="T1030" s="25">
        <f t="shared" si="261"/>
        <v>15</v>
      </c>
      <c r="U1030" s="33">
        <f>IF(PaybackCustom&gt;0, IF(PaybackCustom&lt;&gt;"Default", PaybackCustom, IF(PaybackStatus&lt;&gt;"",INDEX('Arbitrage Payback Engine'!$Y$2:$Y$6,MATCH(PaybackStatus,'Arbitrage Payback Engine'!$X$2:$X$6,FALSE)),-1)))</f>
        <v>25</v>
      </c>
      <c r="V1030" s="32">
        <f t="shared" si="270"/>
        <v>15</v>
      </c>
      <c r="X1030" s="29">
        <f t="shared" si="271"/>
        <v>1021</v>
      </c>
      <c r="Z1030" s="30">
        <f t="shared" si="262"/>
        <v>27.968771401177921</v>
      </c>
      <c r="AA1030" s="28" t="e">
        <f t="shared" si="263"/>
        <v>#N/A</v>
      </c>
      <c r="AB1030" s="28" t="e">
        <f t="shared" si="264"/>
        <v>#VALUE!</v>
      </c>
      <c r="AC1030" s="29">
        <f t="shared" si="265"/>
        <v>968.69070208728658</v>
      </c>
      <c r="AD1030" s="28" t="e">
        <f t="shared" si="266"/>
        <v>#VALUE!</v>
      </c>
      <c r="AE1030" s="28" t="e">
        <f t="shared" si="267"/>
        <v>#N/A</v>
      </c>
      <c r="AF1030" s="28" t="e">
        <f t="shared" si="268"/>
        <v>#VALUE!</v>
      </c>
      <c r="AH1030" s="31" t="e">
        <f t="shared" si="269"/>
        <v>#N/A</v>
      </c>
      <c r="AI1030" s="25"/>
      <c r="AJ1030" s="31"/>
    </row>
    <row r="1031" spans="2:36" x14ac:dyDescent="0.25">
      <c r="B1031" s="33">
        <f>'Arbitrage Payback Engine'!E1031</f>
        <v>27.996164908916587</v>
      </c>
      <c r="C1031" s="33">
        <f t="shared" si="255"/>
        <v>1000</v>
      </c>
      <c r="D1031" s="33">
        <f>'Battery Pricing Model'!$C$17</f>
        <v>1000</v>
      </c>
      <c r="E1031" s="33">
        <f t="shared" si="256"/>
        <v>999</v>
      </c>
      <c r="F1031" s="33" t="str">
        <f>'Peak Models'!$B$4</f>
        <v>Default</v>
      </c>
      <c r="G1031" s="33" t="e">
        <f>'Peak Models'!$Q$7</f>
        <v>#VALUE!</v>
      </c>
      <c r="H1031" s="33">
        <f>'Peak Models'!$P$16</f>
        <v>1.5</v>
      </c>
      <c r="I1031" s="33">
        <v>12</v>
      </c>
      <c r="J1031" s="33" t="e">
        <f>'Peak Models'!$P$13</f>
        <v>#N/A</v>
      </c>
      <c r="K1031" s="28" t="e">
        <f t="shared" si="257"/>
        <v>#VALUE!</v>
      </c>
      <c r="L1031" s="28" t="e">
        <f>INDEX('Peak Models'!$P$34:$P$64, MATCH(TRUNC(B1031, 0), 'Peak Models'!$O$34:$O$64, 0))</f>
        <v>#N/A</v>
      </c>
      <c r="M1031" s="28">
        <f>'Peak Models'!$P$15*INDEX('Peak Models'!$Q$34:$Q$64, MATCH(TRUNC(B1031, 0),'Peak Models'!$O$34:$O$64, 0))/'Profit per cycles Model'!$E$78</f>
        <v>9.1661177331751169</v>
      </c>
      <c r="N1031" s="28" t="e">
        <f t="shared" si="258"/>
        <v>#N/A</v>
      </c>
      <c r="O1031" s="71" t="e">
        <f>AVERAGE($N$10:N1031)</f>
        <v>#N/A</v>
      </c>
      <c r="P1031" s="28" t="e">
        <f t="shared" si="259"/>
        <v>#N/A</v>
      </c>
      <c r="R1031" s="28" t="e">
        <f t="shared" si="260"/>
        <v>#VALUE!</v>
      </c>
      <c r="S1031" s="25"/>
      <c r="T1031" s="25">
        <f t="shared" si="261"/>
        <v>15</v>
      </c>
      <c r="U1031" s="33">
        <f>IF(PaybackCustom&gt;0, IF(PaybackCustom&lt;&gt;"Default", PaybackCustom, IF(PaybackStatus&lt;&gt;"",INDEX('Arbitrage Payback Engine'!$Y$2:$Y$6,MATCH(PaybackStatus,'Arbitrage Payback Engine'!$X$2:$X$6,FALSE)),-1)))</f>
        <v>25</v>
      </c>
      <c r="V1031" s="32">
        <f t="shared" si="270"/>
        <v>15</v>
      </c>
      <c r="X1031" s="29">
        <f t="shared" si="271"/>
        <v>1022</v>
      </c>
      <c r="Z1031" s="30">
        <f t="shared" si="262"/>
        <v>27.996164908916587</v>
      </c>
      <c r="AA1031" s="28" t="e">
        <f t="shared" si="263"/>
        <v>#N/A</v>
      </c>
      <c r="AB1031" s="28" t="e">
        <f t="shared" si="264"/>
        <v>#VALUE!</v>
      </c>
      <c r="AC1031" s="29">
        <f t="shared" si="265"/>
        <v>969.63946869070219</v>
      </c>
      <c r="AD1031" s="28" t="e">
        <f t="shared" si="266"/>
        <v>#VALUE!</v>
      </c>
      <c r="AE1031" s="28" t="e">
        <f t="shared" si="267"/>
        <v>#N/A</v>
      </c>
      <c r="AF1031" s="28" t="e">
        <f t="shared" si="268"/>
        <v>#VALUE!</v>
      </c>
      <c r="AH1031" s="31" t="e">
        <f t="shared" si="269"/>
        <v>#N/A</v>
      </c>
      <c r="AI1031" s="25"/>
      <c r="AJ1031" s="31"/>
    </row>
    <row r="1032" spans="2:36" x14ac:dyDescent="0.25">
      <c r="B1032" s="33">
        <f>'Arbitrage Payback Engine'!E1032</f>
        <v>28.023558416655252</v>
      </c>
      <c r="C1032" s="33">
        <f t="shared" si="255"/>
        <v>1000</v>
      </c>
      <c r="D1032" s="33">
        <f>'Battery Pricing Model'!$C$17</f>
        <v>1000</v>
      </c>
      <c r="E1032" s="33">
        <f t="shared" si="256"/>
        <v>999</v>
      </c>
      <c r="F1032" s="33" t="str">
        <f>'Peak Models'!$B$4</f>
        <v>Default</v>
      </c>
      <c r="G1032" s="33" t="e">
        <f>'Peak Models'!$Q$7</f>
        <v>#VALUE!</v>
      </c>
      <c r="H1032" s="33">
        <f>'Peak Models'!$P$16</f>
        <v>1.5</v>
      </c>
      <c r="I1032" s="33">
        <v>12</v>
      </c>
      <c r="J1032" s="33" t="e">
        <f>'Peak Models'!$P$13</f>
        <v>#N/A</v>
      </c>
      <c r="K1032" s="28" t="e">
        <f t="shared" si="257"/>
        <v>#VALUE!</v>
      </c>
      <c r="L1032" s="28" t="e">
        <f>INDEX('Peak Models'!$P$34:$P$64, MATCH(TRUNC(B1032, 0), 'Peak Models'!$O$34:$O$64, 0))</f>
        <v>#N/A</v>
      </c>
      <c r="M1032" s="28">
        <f>'Peak Models'!$P$15*INDEX('Peak Models'!$Q$34:$Q$64, MATCH(TRUNC(B1032, 0),'Peak Models'!$O$34:$O$64, 0))/'Profit per cycles Model'!$E$78</f>
        <v>9.3952706765044951</v>
      </c>
      <c r="N1032" s="28" t="e">
        <f t="shared" si="258"/>
        <v>#N/A</v>
      </c>
      <c r="O1032" s="71" t="e">
        <f>AVERAGE($N$10:N1032)</f>
        <v>#N/A</v>
      </c>
      <c r="P1032" s="28" t="e">
        <f t="shared" si="259"/>
        <v>#N/A</v>
      </c>
      <c r="R1032" s="28" t="e">
        <f t="shared" si="260"/>
        <v>#VALUE!</v>
      </c>
      <c r="S1032" s="25"/>
      <c r="T1032" s="25">
        <f t="shared" si="261"/>
        <v>15</v>
      </c>
      <c r="U1032" s="33">
        <f>IF(PaybackCustom&gt;0, IF(PaybackCustom&lt;&gt;"Default", PaybackCustom, IF(PaybackStatus&lt;&gt;"",INDEX('Arbitrage Payback Engine'!$Y$2:$Y$6,MATCH(PaybackStatus,'Arbitrage Payback Engine'!$X$2:$X$6,FALSE)),-1)))</f>
        <v>25</v>
      </c>
      <c r="V1032" s="32">
        <f t="shared" si="270"/>
        <v>15</v>
      </c>
      <c r="X1032" s="29">
        <f t="shared" si="271"/>
        <v>1023</v>
      </c>
      <c r="Z1032" s="30">
        <f t="shared" si="262"/>
        <v>28.023558416655252</v>
      </c>
      <c r="AA1032" s="28" t="e">
        <f t="shared" si="263"/>
        <v>#N/A</v>
      </c>
      <c r="AB1032" s="28" t="e">
        <f t="shared" si="264"/>
        <v>#VALUE!</v>
      </c>
      <c r="AC1032" s="29">
        <f t="shared" si="265"/>
        <v>970.58823529411768</v>
      </c>
      <c r="AD1032" s="28" t="e">
        <f t="shared" si="266"/>
        <v>#VALUE!</v>
      </c>
      <c r="AE1032" s="28" t="e">
        <f t="shared" si="267"/>
        <v>#N/A</v>
      </c>
      <c r="AF1032" s="28" t="e">
        <f t="shared" si="268"/>
        <v>#VALUE!</v>
      </c>
      <c r="AH1032" s="31" t="e">
        <f t="shared" si="269"/>
        <v>#N/A</v>
      </c>
      <c r="AI1032" s="25"/>
      <c r="AJ1032" s="31"/>
    </row>
    <row r="1033" spans="2:36" x14ac:dyDescent="0.25">
      <c r="B1033" s="33">
        <f>'Arbitrage Payback Engine'!E1033</f>
        <v>28.050951924393917</v>
      </c>
      <c r="C1033" s="33">
        <f t="shared" si="255"/>
        <v>1000</v>
      </c>
      <c r="D1033" s="33">
        <f>'Battery Pricing Model'!$C$17</f>
        <v>1000</v>
      </c>
      <c r="E1033" s="33">
        <f t="shared" si="256"/>
        <v>999</v>
      </c>
      <c r="F1033" s="33" t="str">
        <f>'Peak Models'!$B$4</f>
        <v>Default</v>
      </c>
      <c r="G1033" s="33" t="e">
        <f>'Peak Models'!$Q$7</f>
        <v>#VALUE!</v>
      </c>
      <c r="H1033" s="33">
        <f>'Peak Models'!$P$16</f>
        <v>1.5</v>
      </c>
      <c r="I1033" s="33">
        <v>12</v>
      </c>
      <c r="J1033" s="33" t="e">
        <f>'Peak Models'!$P$13</f>
        <v>#N/A</v>
      </c>
      <c r="K1033" s="28" t="e">
        <f t="shared" si="257"/>
        <v>#VALUE!</v>
      </c>
      <c r="L1033" s="28" t="e">
        <f>INDEX('Peak Models'!$P$34:$P$64, MATCH(TRUNC(B1033, 0), 'Peak Models'!$O$34:$O$64, 0))</f>
        <v>#N/A</v>
      </c>
      <c r="M1033" s="28">
        <f>'Peak Models'!$P$15*INDEX('Peak Models'!$Q$34:$Q$64, MATCH(TRUNC(B1033, 0),'Peak Models'!$O$34:$O$64, 0))/'Profit per cycles Model'!$E$78</f>
        <v>9.3952706765044951</v>
      </c>
      <c r="N1033" s="28" t="e">
        <f t="shared" si="258"/>
        <v>#N/A</v>
      </c>
      <c r="O1033" s="71" t="e">
        <f>AVERAGE($N$10:N1033)</f>
        <v>#N/A</v>
      </c>
      <c r="P1033" s="28" t="e">
        <f t="shared" si="259"/>
        <v>#N/A</v>
      </c>
      <c r="R1033" s="28" t="e">
        <f t="shared" si="260"/>
        <v>#VALUE!</v>
      </c>
      <c r="S1033" s="25"/>
      <c r="T1033" s="25">
        <f t="shared" si="261"/>
        <v>15</v>
      </c>
      <c r="U1033" s="33">
        <f>IF(PaybackCustom&gt;0, IF(PaybackCustom&lt;&gt;"Default", PaybackCustom, IF(PaybackStatus&lt;&gt;"",INDEX('Arbitrage Payback Engine'!$Y$2:$Y$6,MATCH(PaybackStatus,'Arbitrage Payback Engine'!$X$2:$X$6,FALSE)),-1)))</f>
        <v>25</v>
      </c>
      <c r="V1033" s="32">
        <f t="shared" si="270"/>
        <v>15</v>
      </c>
      <c r="X1033" s="29">
        <f t="shared" si="271"/>
        <v>1024</v>
      </c>
      <c r="Z1033" s="30">
        <f t="shared" si="262"/>
        <v>28.050951924393917</v>
      </c>
      <c r="AA1033" s="28" t="e">
        <f t="shared" si="263"/>
        <v>#N/A</v>
      </c>
      <c r="AB1033" s="28" t="e">
        <f t="shared" si="264"/>
        <v>#VALUE!</v>
      </c>
      <c r="AC1033" s="29">
        <f t="shared" si="265"/>
        <v>971.53700189753317</v>
      </c>
      <c r="AD1033" s="28" t="e">
        <f t="shared" si="266"/>
        <v>#VALUE!</v>
      </c>
      <c r="AE1033" s="28" t="e">
        <f t="shared" si="267"/>
        <v>#N/A</v>
      </c>
      <c r="AF1033" s="28" t="e">
        <f t="shared" si="268"/>
        <v>#VALUE!</v>
      </c>
      <c r="AH1033" s="31" t="e">
        <f t="shared" si="269"/>
        <v>#N/A</v>
      </c>
      <c r="AI1033" s="25"/>
      <c r="AJ1033" s="31"/>
    </row>
    <row r="1034" spans="2:36" x14ac:dyDescent="0.25">
      <c r="B1034" s="33">
        <f>'Arbitrage Payback Engine'!E1034</f>
        <v>28.078345432132583</v>
      </c>
      <c r="C1034" s="33">
        <f t="shared" ref="C1034:C1063" si="272">IF(OR($E$6="None", $E$6=0), D1034, E1034)</f>
        <v>1000</v>
      </c>
      <c r="D1034" s="33">
        <f>'Battery Pricing Model'!$C$17</f>
        <v>1000</v>
      </c>
      <c r="E1034" s="33">
        <f t="shared" ref="E1034:E1063" si="273">IF(OR($E$6="None", $E$6=0), 999, $D1034*(E$6))</f>
        <v>999</v>
      </c>
      <c r="F1034" s="33" t="str">
        <f>'Peak Models'!$B$4</f>
        <v>Default</v>
      </c>
      <c r="G1034" s="33" t="e">
        <f>'Peak Models'!$Q$7</f>
        <v>#VALUE!</v>
      </c>
      <c r="H1034" s="33">
        <f>'Peak Models'!$P$16</f>
        <v>1.5</v>
      </c>
      <c r="I1034" s="33">
        <v>12</v>
      </c>
      <c r="J1034" s="33" t="e">
        <f>'Peak Models'!$P$13</f>
        <v>#N/A</v>
      </c>
      <c r="K1034" s="28" t="e">
        <f t="shared" ref="K1034:K1063" si="274">C1034*G1034/(H1034*B1034)</f>
        <v>#VALUE!</v>
      </c>
      <c r="L1034" s="28" t="e">
        <f>INDEX('Peak Models'!$P$34:$P$64, MATCH(TRUNC(B1034, 0), 'Peak Models'!$O$34:$O$64, 0))</f>
        <v>#N/A</v>
      </c>
      <c r="M1034" s="28">
        <f>'Peak Models'!$P$15*INDEX('Peak Models'!$Q$34:$Q$64, MATCH(TRUNC(B1034, 0),'Peak Models'!$O$34:$O$64, 0))/'Profit per cycles Model'!$E$78</f>
        <v>9.3952706765044951</v>
      </c>
      <c r="N1034" s="28" t="e">
        <f t="shared" ref="N1034:N1063" si="275">L1034-M1034</f>
        <v>#N/A</v>
      </c>
      <c r="O1034" s="71" t="e">
        <f>AVERAGE($N$10:N1034)</f>
        <v>#N/A</v>
      </c>
      <c r="P1034" s="28" t="e">
        <f t="shared" ref="P1034:P1063" si="276">IF(O1034-K1034&lt;0, 999, O1034-K1034)</f>
        <v>#N/A</v>
      </c>
      <c r="R1034" s="28" t="e">
        <f t="shared" ref="R1034:R1063" si="277">IF(ISNA(INDEX($K$10:$K$1063,MATCH(T1034,$B$10:$B$1063,1))),-1,INDEX($K$10:$K$1063,MATCH(T1034,$B$10:$B$1063,1)))</f>
        <v>#VALUE!</v>
      </c>
      <c r="S1034" s="25"/>
      <c r="T1034" s="25">
        <f t="shared" ref="T1034:T1063" si="278">IF( AND(U1034&gt;0, V1034&gt;0), IF(U1034&lt;V1034, U1034, V1034),  IF(U1034&gt;0, U1034, IF(V1034&gt;0, V1034, -1)) )</f>
        <v>15</v>
      </c>
      <c r="U1034" s="33">
        <f>IF(PaybackCustom&gt;0, IF(PaybackCustom&lt;&gt;"Default", PaybackCustom, IF(PaybackStatus&lt;&gt;"",INDEX('Arbitrage Payback Engine'!$Y$2:$Y$6,MATCH(PaybackStatus,'Arbitrage Payback Engine'!$X$2:$X$6,FALSE)),-1)))</f>
        <v>25</v>
      </c>
      <c r="V1034" s="32">
        <f t="shared" si="270"/>
        <v>15</v>
      </c>
      <c r="X1034" s="29">
        <f t="shared" si="271"/>
        <v>1025</v>
      </c>
      <c r="Z1034" s="30">
        <f t="shared" ref="Z1034:Z1065" si="279">B1034</f>
        <v>28.078345432132583</v>
      </c>
      <c r="AA1034" s="28" t="e">
        <f t="shared" ref="AA1034:AA1063" si="280">N1034</f>
        <v>#N/A</v>
      </c>
      <c r="AB1034" s="28" t="e">
        <f t="shared" ref="AB1034:AB1063" si="281">R1034</f>
        <v>#VALUE!</v>
      </c>
      <c r="AC1034" s="29">
        <f t="shared" ref="AC1034:AC1065" si="282">$AB$2*(Z1034-$AB$3)/($AB$4-$AB$3)</f>
        <v>972.48576850094878</v>
      </c>
      <c r="AD1034" s="28" t="e">
        <f t="shared" ref="AD1034:AD1063" si="283">MIN(AB1034, AA1034)</f>
        <v>#VALUE!</v>
      </c>
      <c r="AE1034" s="28" t="e">
        <f t="shared" ref="AE1034:AE1065" si="284">IF(AND(Z1034&lt;T1034, AA1034&gt;AB1034), AA1034-AB1034, 0)</f>
        <v>#N/A</v>
      </c>
      <c r="AF1034" s="28" t="e">
        <f t="shared" ref="AF1034:AF1065" si="285">IF(AND(Z1034&lt;T1034, AB1034&gt;AA1034), AB1034-AA1034, 0)</f>
        <v>#VALUE!</v>
      </c>
      <c r="AH1034" s="31" t="e">
        <f t="shared" ref="AH1034:AH1063" si="286">(O1034-K1034)/K1034</f>
        <v>#N/A</v>
      </c>
      <c r="AI1034" s="25"/>
      <c r="AJ1034" s="31"/>
    </row>
    <row r="1035" spans="2:36" x14ac:dyDescent="0.25">
      <c r="B1035" s="33">
        <f>'Arbitrage Payback Engine'!E1035</f>
        <v>28.105738939871248</v>
      </c>
      <c r="C1035" s="33">
        <f t="shared" si="272"/>
        <v>1000</v>
      </c>
      <c r="D1035" s="33">
        <f>'Battery Pricing Model'!$C$17</f>
        <v>1000</v>
      </c>
      <c r="E1035" s="33">
        <f t="shared" si="273"/>
        <v>999</v>
      </c>
      <c r="F1035" s="33" t="str">
        <f>'Peak Models'!$B$4</f>
        <v>Default</v>
      </c>
      <c r="G1035" s="33" t="e">
        <f>'Peak Models'!$Q$7</f>
        <v>#VALUE!</v>
      </c>
      <c r="H1035" s="33">
        <f>'Peak Models'!$P$16</f>
        <v>1.5</v>
      </c>
      <c r="I1035" s="33">
        <v>12</v>
      </c>
      <c r="J1035" s="33" t="e">
        <f>'Peak Models'!$P$13</f>
        <v>#N/A</v>
      </c>
      <c r="K1035" s="28" t="e">
        <f t="shared" si="274"/>
        <v>#VALUE!</v>
      </c>
      <c r="L1035" s="28" t="e">
        <f>INDEX('Peak Models'!$P$34:$P$64, MATCH(TRUNC(B1035, 0), 'Peak Models'!$O$34:$O$64, 0))</f>
        <v>#N/A</v>
      </c>
      <c r="M1035" s="28">
        <f>'Peak Models'!$P$15*INDEX('Peak Models'!$Q$34:$Q$64, MATCH(TRUNC(B1035, 0),'Peak Models'!$O$34:$O$64, 0))/'Profit per cycles Model'!$E$78</f>
        <v>9.3952706765044951</v>
      </c>
      <c r="N1035" s="28" t="e">
        <f t="shared" si="275"/>
        <v>#N/A</v>
      </c>
      <c r="O1035" s="71" t="e">
        <f>AVERAGE($N$10:N1035)</f>
        <v>#N/A</v>
      </c>
      <c r="P1035" s="28" t="e">
        <f t="shared" si="276"/>
        <v>#N/A</v>
      </c>
      <c r="R1035" s="28" t="e">
        <f t="shared" si="277"/>
        <v>#VALUE!</v>
      </c>
      <c r="S1035" s="25"/>
      <c r="T1035" s="25">
        <f t="shared" si="278"/>
        <v>15</v>
      </c>
      <c r="U1035" s="33">
        <f>IF(PaybackCustom&gt;0, IF(PaybackCustom&lt;&gt;"Default", PaybackCustom, IF(PaybackStatus&lt;&gt;"",INDEX('Arbitrage Payback Engine'!$Y$2:$Y$6,MATCH(PaybackStatus,'Arbitrage Payback Engine'!$X$2:$X$6,FALSE)),-1)))</f>
        <v>25</v>
      </c>
      <c r="V1035" s="32">
        <f t="shared" ref="V1035:V1063" si="287">IF(ISNUMBER($L$5), $L$5, 15)</f>
        <v>15</v>
      </c>
      <c r="X1035" s="29">
        <f t="shared" ref="X1035:X1063" si="288">X1034+1</f>
        <v>1026</v>
      </c>
      <c r="Z1035" s="30">
        <f t="shared" si="279"/>
        <v>28.105738939871248</v>
      </c>
      <c r="AA1035" s="28" t="e">
        <f t="shared" si="280"/>
        <v>#N/A</v>
      </c>
      <c r="AB1035" s="28" t="e">
        <f t="shared" si="281"/>
        <v>#VALUE!</v>
      </c>
      <c r="AC1035" s="29">
        <f t="shared" si="282"/>
        <v>973.43453510436427</v>
      </c>
      <c r="AD1035" s="28" t="e">
        <f t="shared" si="283"/>
        <v>#VALUE!</v>
      </c>
      <c r="AE1035" s="28" t="e">
        <f t="shared" si="284"/>
        <v>#N/A</v>
      </c>
      <c r="AF1035" s="28" t="e">
        <f t="shared" si="285"/>
        <v>#VALUE!</v>
      </c>
      <c r="AH1035" s="31" t="e">
        <f t="shared" si="286"/>
        <v>#N/A</v>
      </c>
      <c r="AI1035" s="25"/>
      <c r="AJ1035" s="31"/>
    </row>
    <row r="1036" spans="2:36" x14ac:dyDescent="0.25">
      <c r="B1036" s="33">
        <f>'Arbitrage Payback Engine'!E1036</f>
        <v>28.133132447609917</v>
      </c>
      <c r="C1036" s="33">
        <f t="shared" si="272"/>
        <v>1000</v>
      </c>
      <c r="D1036" s="33">
        <f>'Battery Pricing Model'!$C$17</f>
        <v>1000</v>
      </c>
      <c r="E1036" s="33">
        <f t="shared" si="273"/>
        <v>999</v>
      </c>
      <c r="F1036" s="33" t="str">
        <f>'Peak Models'!$B$4</f>
        <v>Default</v>
      </c>
      <c r="G1036" s="33" t="e">
        <f>'Peak Models'!$Q$7</f>
        <v>#VALUE!</v>
      </c>
      <c r="H1036" s="33">
        <f>'Peak Models'!$P$16</f>
        <v>1.5</v>
      </c>
      <c r="I1036" s="33">
        <v>12</v>
      </c>
      <c r="J1036" s="33" t="e">
        <f>'Peak Models'!$P$13</f>
        <v>#N/A</v>
      </c>
      <c r="K1036" s="28" t="e">
        <f t="shared" si="274"/>
        <v>#VALUE!</v>
      </c>
      <c r="L1036" s="28" t="e">
        <f>INDEX('Peak Models'!$P$34:$P$64, MATCH(TRUNC(B1036, 0), 'Peak Models'!$O$34:$O$64, 0))</f>
        <v>#N/A</v>
      </c>
      <c r="M1036" s="28">
        <f>'Peak Models'!$P$15*INDEX('Peak Models'!$Q$34:$Q$64, MATCH(TRUNC(B1036, 0),'Peak Models'!$O$34:$O$64, 0))/'Profit per cycles Model'!$E$78</f>
        <v>9.3952706765044951</v>
      </c>
      <c r="N1036" s="28" t="e">
        <f t="shared" si="275"/>
        <v>#N/A</v>
      </c>
      <c r="O1036" s="71" t="e">
        <f>AVERAGE($N$10:N1036)</f>
        <v>#N/A</v>
      </c>
      <c r="P1036" s="28" t="e">
        <f t="shared" si="276"/>
        <v>#N/A</v>
      </c>
      <c r="R1036" s="28" t="e">
        <f t="shared" si="277"/>
        <v>#VALUE!</v>
      </c>
      <c r="S1036" s="25"/>
      <c r="T1036" s="25">
        <f t="shared" si="278"/>
        <v>15</v>
      </c>
      <c r="U1036" s="33">
        <f>IF(PaybackCustom&gt;0, IF(PaybackCustom&lt;&gt;"Default", PaybackCustom, IF(PaybackStatus&lt;&gt;"",INDEX('Arbitrage Payback Engine'!$Y$2:$Y$6,MATCH(PaybackStatus,'Arbitrage Payback Engine'!$X$2:$X$6,FALSE)),-1)))</f>
        <v>25</v>
      </c>
      <c r="V1036" s="32">
        <f t="shared" si="287"/>
        <v>15</v>
      </c>
      <c r="X1036" s="29">
        <f t="shared" si="288"/>
        <v>1027</v>
      </c>
      <c r="Z1036" s="30">
        <f t="shared" si="279"/>
        <v>28.133132447609917</v>
      </c>
      <c r="AA1036" s="28" t="e">
        <f t="shared" si="280"/>
        <v>#N/A</v>
      </c>
      <c r="AB1036" s="28" t="e">
        <f t="shared" si="281"/>
        <v>#VALUE!</v>
      </c>
      <c r="AC1036" s="29">
        <f t="shared" si="282"/>
        <v>974.38330170777999</v>
      </c>
      <c r="AD1036" s="28" t="e">
        <f t="shared" si="283"/>
        <v>#VALUE!</v>
      </c>
      <c r="AE1036" s="28" t="e">
        <f t="shared" si="284"/>
        <v>#N/A</v>
      </c>
      <c r="AF1036" s="28" t="e">
        <f t="shared" si="285"/>
        <v>#VALUE!</v>
      </c>
      <c r="AH1036" s="31" t="e">
        <f t="shared" si="286"/>
        <v>#N/A</v>
      </c>
      <c r="AI1036" s="25"/>
      <c r="AJ1036" s="31"/>
    </row>
    <row r="1037" spans="2:36" x14ac:dyDescent="0.25">
      <c r="B1037" s="33">
        <f>'Arbitrage Payback Engine'!E1037</f>
        <v>28.160525955348582</v>
      </c>
      <c r="C1037" s="33">
        <f t="shared" si="272"/>
        <v>1000</v>
      </c>
      <c r="D1037" s="33">
        <f>'Battery Pricing Model'!$C$17</f>
        <v>1000</v>
      </c>
      <c r="E1037" s="33">
        <f t="shared" si="273"/>
        <v>999</v>
      </c>
      <c r="F1037" s="33" t="str">
        <f>'Peak Models'!$B$4</f>
        <v>Default</v>
      </c>
      <c r="G1037" s="33" t="e">
        <f>'Peak Models'!$Q$7</f>
        <v>#VALUE!</v>
      </c>
      <c r="H1037" s="33">
        <f>'Peak Models'!$P$16</f>
        <v>1.5</v>
      </c>
      <c r="I1037" s="33">
        <v>12</v>
      </c>
      <c r="J1037" s="33" t="e">
        <f>'Peak Models'!$P$13</f>
        <v>#N/A</v>
      </c>
      <c r="K1037" s="28" t="e">
        <f t="shared" si="274"/>
        <v>#VALUE!</v>
      </c>
      <c r="L1037" s="28" t="e">
        <f>INDEX('Peak Models'!$P$34:$P$64, MATCH(TRUNC(B1037, 0), 'Peak Models'!$O$34:$O$64, 0))</f>
        <v>#N/A</v>
      </c>
      <c r="M1037" s="28">
        <f>'Peak Models'!$P$15*INDEX('Peak Models'!$Q$34:$Q$64, MATCH(TRUNC(B1037, 0),'Peak Models'!$O$34:$O$64, 0))/'Profit per cycles Model'!$E$78</f>
        <v>9.3952706765044951</v>
      </c>
      <c r="N1037" s="28" t="e">
        <f t="shared" si="275"/>
        <v>#N/A</v>
      </c>
      <c r="O1037" s="71" t="e">
        <f>AVERAGE($N$10:N1037)</f>
        <v>#N/A</v>
      </c>
      <c r="P1037" s="28" t="e">
        <f t="shared" si="276"/>
        <v>#N/A</v>
      </c>
      <c r="R1037" s="28" t="e">
        <f t="shared" si="277"/>
        <v>#VALUE!</v>
      </c>
      <c r="S1037" s="25"/>
      <c r="T1037" s="25">
        <f t="shared" si="278"/>
        <v>15</v>
      </c>
      <c r="U1037" s="33">
        <f>IF(PaybackCustom&gt;0, IF(PaybackCustom&lt;&gt;"Default", PaybackCustom, IF(PaybackStatus&lt;&gt;"",INDEX('Arbitrage Payback Engine'!$Y$2:$Y$6,MATCH(PaybackStatus,'Arbitrage Payback Engine'!$X$2:$X$6,FALSE)),-1)))</f>
        <v>25</v>
      </c>
      <c r="V1037" s="32">
        <f t="shared" si="287"/>
        <v>15</v>
      </c>
      <c r="X1037" s="29">
        <f t="shared" si="288"/>
        <v>1028</v>
      </c>
      <c r="Z1037" s="30">
        <f t="shared" si="279"/>
        <v>28.160525955348582</v>
      </c>
      <c r="AA1037" s="28" t="e">
        <f t="shared" si="280"/>
        <v>#N/A</v>
      </c>
      <c r="AB1037" s="28" t="e">
        <f t="shared" si="281"/>
        <v>#VALUE!</v>
      </c>
      <c r="AC1037" s="29">
        <f t="shared" si="282"/>
        <v>975.33206831119548</v>
      </c>
      <c r="AD1037" s="28" t="e">
        <f t="shared" si="283"/>
        <v>#VALUE!</v>
      </c>
      <c r="AE1037" s="28" t="e">
        <f t="shared" si="284"/>
        <v>#N/A</v>
      </c>
      <c r="AF1037" s="28" t="e">
        <f t="shared" si="285"/>
        <v>#VALUE!</v>
      </c>
      <c r="AH1037" s="31" t="e">
        <f t="shared" si="286"/>
        <v>#N/A</v>
      </c>
      <c r="AI1037" s="25"/>
      <c r="AJ1037" s="31"/>
    </row>
    <row r="1038" spans="2:36" x14ac:dyDescent="0.25">
      <c r="B1038" s="33">
        <f>'Arbitrage Payback Engine'!E1038</f>
        <v>28.187919463087248</v>
      </c>
      <c r="C1038" s="33">
        <f t="shared" si="272"/>
        <v>1000</v>
      </c>
      <c r="D1038" s="33">
        <f>'Battery Pricing Model'!$C$17</f>
        <v>1000</v>
      </c>
      <c r="E1038" s="33">
        <f t="shared" si="273"/>
        <v>999</v>
      </c>
      <c r="F1038" s="33" t="str">
        <f>'Peak Models'!$B$4</f>
        <v>Default</v>
      </c>
      <c r="G1038" s="33" t="e">
        <f>'Peak Models'!$Q$7</f>
        <v>#VALUE!</v>
      </c>
      <c r="H1038" s="33">
        <f>'Peak Models'!$P$16</f>
        <v>1.5</v>
      </c>
      <c r="I1038" s="33">
        <v>12</v>
      </c>
      <c r="J1038" s="33" t="e">
        <f>'Peak Models'!$P$13</f>
        <v>#N/A</v>
      </c>
      <c r="K1038" s="28" t="e">
        <f t="shared" si="274"/>
        <v>#VALUE!</v>
      </c>
      <c r="L1038" s="28" t="e">
        <f>INDEX('Peak Models'!$P$34:$P$64, MATCH(TRUNC(B1038, 0), 'Peak Models'!$O$34:$O$64, 0))</f>
        <v>#N/A</v>
      </c>
      <c r="M1038" s="28">
        <f>'Peak Models'!$P$15*INDEX('Peak Models'!$Q$34:$Q$64, MATCH(TRUNC(B1038, 0),'Peak Models'!$O$34:$O$64, 0))/'Profit per cycles Model'!$E$78</f>
        <v>9.3952706765044951</v>
      </c>
      <c r="N1038" s="28" t="e">
        <f t="shared" si="275"/>
        <v>#N/A</v>
      </c>
      <c r="O1038" s="71" t="e">
        <f>AVERAGE($N$10:N1038)</f>
        <v>#N/A</v>
      </c>
      <c r="P1038" s="28" t="e">
        <f t="shared" si="276"/>
        <v>#N/A</v>
      </c>
      <c r="R1038" s="28" t="e">
        <f t="shared" si="277"/>
        <v>#VALUE!</v>
      </c>
      <c r="S1038" s="25"/>
      <c r="T1038" s="25">
        <f t="shared" si="278"/>
        <v>15</v>
      </c>
      <c r="U1038" s="33">
        <f>IF(PaybackCustom&gt;0, IF(PaybackCustom&lt;&gt;"Default", PaybackCustom, IF(PaybackStatus&lt;&gt;"",INDEX('Arbitrage Payback Engine'!$Y$2:$Y$6,MATCH(PaybackStatus,'Arbitrage Payback Engine'!$X$2:$X$6,FALSE)),-1)))</f>
        <v>25</v>
      </c>
      <c r="V1038" s="32">
        <f t="shared" si="287"/>
        <v>15</v>
      </c>
      <c r="X1038" s="29">
        <f t="shared" si="288"/>
        <v>1029</v>
      </c>
      <c r="Z1038" s="30">
        <f t="shared" si="279"/>
        <v>28.187919463087248</v>
      </c>
      <c r="AA1038" s="28" t="e">
        <f t="shared" si="280"/>
        <v>#N/A</v>
      </c>
      <c r="AB1038" s="28" t="e">
        <f t="shared" si="281"/>
        <v>#VALUE!</v>
      </c>
      <c r="AC1038" s="29">
        <f t="shared" si="282"/>
        <v>976.28083491461109</v>
      </c>
      <c r="AD1038" s="28" t="e">
        <f t="shared" si="283"/>
        <v>#VALUE!</v>
      </c>
      <c r="AE1038" s="28" t="e">
        <f t="shared" si="284"/>
        <v>#N/A</v>
      </c>
      <c r="AF1038" s="28" t="e">
        <f t="shared" si="285"/>
        <v>#VALUE!</v>
      </c>
      <c r="AH1038" s="31" t="e">
        <f t="shared" si="286"/>
        <v>#N/A</v>
      </c>
      <c r="AI1038" s="25"/>
      <c r="AJ1038" s="31"/>
    </row>
    <row r="1039" spans="2:36" x14ac:dyDescent="0.25">
      <c r="B1039" s="33">
        <f>'Arbitrage Payback Engine'!E1039</f>
        <v>28.215312970825913</v>
      </c>
      <c r="C1039" s="33">
        <f t="shared" si="272"/>
        <v>1000</v>
      </c>
      <c r="D1039" s="33">
        <f>'Battery Pricing Model'!$C$17</f>
        <v>1000</v>
      </c>
      <c r="E1039" s="33">
        <f t="shared" si="273"/>
        <v>999</v>
      </c>
      <c r="F1039" s="33" t="str">
        <f>'Peak Models'!$B$4</f>
        <v>Default</v>
      </c>
      <c r="G1039" s="33" t="e">
        <f>'Peak Models'!$Q$7</f>
        <v>#VALUE!</v>
      </c>
      <c r="H1039" s="33">
        <f>'Peak Models'!$P$16</f>
        <v>1.5</v>
      </c>
      <c r="I1039" s="33">
        <v>12</v>
      </c>
      <c r="J1039" s="33" t="e">
        <f>'Peak Models'!$P$13</f>
        <v>#N/A</v>
      </c>
      <c r="K1039" s="28" t="e">
        <f t="shared" si="274"/>
        <v>#VALUE!</v>
      </c>
      <c r="L1039" s="28" t="e">
        <f>INDEX('Peak Models'!$P$34:$P$64, MATCH(TRUNC(B1039, 0), 'Peak Models'!$O$34:$O$64, 0))</f>
        <v>#N/A</v>
      </c>
      <c r="M1039" s="28">
        <f>'Peak Models'!$P$15*INDEX('Peak Models'!$Q$34:$Q$64, MATCH(TRUNC(B1039, 0),'Peak Models'!$O$34:$O$64, 0))/'Profit per cycles Model'!$E$78</f>
        <v>9.3952706765044951</v>
      </c>
      <c r="N1039" s="28" t="e">
        <f t="shared" si="275"/>
        <v>#N/A</v>
      </c>
      <c r="O1039" s="71" t="e">
        <f>AVERAGE($N$10:N1039)</f>
        <v>#N/A</v>
      </c>
      <c r="P1039" s="28" t="e">
        <f t="shared" si="276"/>
        <v>#N/A</v>
      </c>
      <c r="R1039" s="28" t="e">
        <f t="shared" si="277"/>
        <v>#VALUE!</v>
      </c>
      <c r="S1039" s="25"/>
      <c r="T1039" s="25">
        <f t="shared" si="278"/>
        <v>15</v>
      </c>
      <c r="U1039" s="33">
        <f>IF(PaybackCustom&gt;0, IF(PaybackCustom&lt;&gt;"Default", PaybackCustom, IF(PaybackStatus&lt;&gt;"",INDEX('Arbitrage Payback Engine'!$Y$2:$Y$6,MATCH(PaybackStatus,'Arbitrage Payback Engine'!$X$2:$X$6,FALSE)),-1)))</f>
        <v>25</v>
      </c>
      <c r="V1039" s="32">
        <f t="shared" si="287"/>
        <v>15</v>
      </c>
      <c r="X1039" s="29">
        <f t="shared" si="288"/>
        <v>1030</v>
      </c>
      <c r="Z1039" s="30">
        <f t="shared" si="279"/>
        <v>28.215312970825913</v>
      </c>
      <c r="AA1039" s="28" t="e">
        <f t="shared" si="280"/>
        <v>#N/A</v>
      </c>
      <c r="AB1039" s="28" t="e">
        <f t="shared" si="281"/>
        <v>#VALUE!</v>
      </c>
      <c r="AC1039" s="29">
        <f t="shared" si="282"/>
        <v>977.22960151802647</v>
      </c>
      <c r="AD1039" s="28" t="e">
        <f t="shared" si="283"/>
        <v>#VALUE!</v>
      </c>
      <c r="AE1039" s="28" t="e">
        <f t="shared" si="284"/>
        <v>#N/A</v>
      </c>
      <c r="AF1039" s="28" t="e">
        <f t="shared" si="285"/>
        <v>#VALUE!</v>
      </c>
      <c r="AH1039" s="31" t="e">
        <f t="shared" si="286"/>
        <v>#N/A</v>
      </c>
      <c r="AI1039" s="25"/>
      <c r="AJ1039" s="31"/>
    </row>
    <row r="1040" spans="2:36" x14ac:dyDescent="0.25">
      <c r="B1040" s="33">
        <f>'Arbitrage Payback Engine'!E1040</f>
        <v>28.242706478564578</v>
      </c>
      <c r="C1040" s="33">
        <f t="shared" si="272"/>
        <v>1000</v>
      </c>
      <c r="D1040" s="33">
        <f>'Battery Pricing Model'!$C$17</f>
        <v>1000</v>
      </c>
      <c r="E1040" s="33">
        <f t="shared" si="273"/>
        <v>999</v>
      </c>
      <c r="F1040" s="33" t="str">
        <f>'Peak Models'!$B$4</f>
        <v>Default</v>
      </c>
      <c r="G1040" s="33" t="e">
        <f>'Peak Models'!$Q$7</f>
        <v>#VALUE!</v>
      </c>
      <c r="H1040" s="33">
        <f>'Peak Models'!$P$16</f>
        <v>1.5</v>
      </c>
      <c r="I1040" s="33">
        <v>12</v>
      </c>
      <c r="J1040" s="33" t="e">
        <f>'Peak Models'!$P$13</f>
        <v>#N/A</v>
      </c>
      <c r="K1040" s="28" t="e">
        <f t="shared" si="274"/>
        <v>#VALUE!</v>
      </c>
      <c r="L1040" s="28" t="e">
        <f>INDEX('Peak Models'!$P$34:$P$64, MATCH(TRUNC(B1040, 0), 'Peak Models'!$O$34:$O$64, 0))</f>
        <v>#N/A</v>
      </c>
      <c r="M1040" s="28">
        <f>'Peak Models'!$P$15*INDEX('Peak Models'!$Q$34:$Q$64, MATCH(TRUNC(B1040, 0),'Peak Models'!$O$34:$O$64, 0))/'Profit per cycles Model'!$E$78</f>
        <v>9.3952706765044951</v>
      </c>
      <c r="N1040" s="28" t="e">
        <f t="shared" si="275"/>
        <v>#N/A</v>
      </c>
      <c r="O1040" s="71" t="e">
        <f>AVERAGE($N$10:N1040)</f>
        <v>#N/A</v>
      </c>
      <c r="P1040" s="28" t="e">
        <f t="shared" si="276"/>
        <v>#N/A</v>
      </c>
      <c r="R1040" s="28" t="e">
        <f t="shared" si="277"/>
        <v>#VALUE!</v>
      </c>
      <c r="S1040" s="25"/>
      <c r="T1040" s="25">
        <f t="shared" si="278"/>
        <v>15</v>
      </c>
      <c r="U1040" s="33">
        <f>IF(PaybackCustom&gt;0, IF(PaybackCustom&lt;&gt;"Default", PaybackCustom, IF(PaybackStatus&lt;&gt;"",INDEX('Arbitrage Payback Engine'!$Y$2:$Y$6,MATCH(PaybackStatus,'Arbitrage Payback Engine'!$X$2:$X$6,FALSE)),-1)))</f>
        <v>25</v>
      </c>
      <c r="V1040" s="32">
        <f t="shared" si="287"/>
        <v>15</v>
      </c>
      <c r="X1040" s="29">
        <f t="shared" si="288"/>
        <v>1031</v>
      </c>
      <c r="Z1040" s="30">
        <f t="shared" si="279"/>
        <v>28.242706478564578</v>
      </c>
      <c r="AA1040" s="28" t="e">
        <f t="shared" si="280"/>
        <v>#N/A</v>
      </c>
      <c r="AB1040" s="28" t="e">
        <f t="shared" si="281"/>
        <v>#VALUE!</v>
      </c>
      <c r="AC1040" s="29">
        <f t="shared" si="282"/>
        <v>978.17836812144208</v>
      </c>
      <c r="AD1040" s="28" t="e">
        <f t="shared" si="283"/>
        <v>#VALUE!</v>
      </c>
      <c r="AE1040" s="28" t="e">
        <f t="shared" si="284"/>
        <v>#N/A</v>
      </c>
      <c r="AF1040" s="28" t="e">
        <f t="shared" si="285"/>
        <v>#VALUE!</v>
      </c>
      <c r="AH1040" s="31" t="e">
        <f t="shared" si="286"/>
        <v>#N/A</v>
      </c>
      <c r="AI1040" s="25"/>
      <c r="AJ1040" s="31"/>
    </row>
    <row r="1041" spans="2:36" x14ac:dyDescent="0.25">
      <c r="B1041" s="33">
        <f>'Arbitrage Payback Engine'!E1041</f>
        <v>28.270099986303244</v>
      </c>
      <c r="C1041" s="33">
        <f t="shared" si="272"/>
        <v>1000</v>
      </c>
      <c r="D1041" s="33">
        <f>'Battery Pricing Model'!$C$17</f>
        <v>1000</v>
      </c>
      <c r="E1041" s="33">
        <f t="shared" si="273"/>
        <v>999</v>
      </c>
      <c r="F1041" s="33" t="str">
        <f>'Peak Models'!$B$4</f>
        <v>Default</v>
      </c>
      <c r="G1041" s="33" t="e">
        <f>'Peak Models'!$Q$7</f>
        <v>#VALUE!</v>
      </c>
      <c r="H1041" s="33">
        <f>'Peak Models'!$P$16</f>
        <v>1.5</v>
      </c>
      <c r="I1041" s="33">
        <v>12</v>
      </c>
      <c r="J1041" s="33" t="e">
        <f>'Peak Models'!$P$13</f>
        <v>#N/A</v>
      </c>
      <c r="K1041" s="28" t="e">
        <f t="shared" si="274"/>
        <v>#VALUE!</v>
      </c>
      <c r="L1041" s="28" t="e">
        <f>INDEX('Peak Models'!$P$34:$P$64, MATCH(TRUNC(B1041, 0), 'Peak Models'!$O$34:$O$64, 0))</f>
        <v>#N/A</v>
      </c>
      <c r="M1041" s="28">
        <f>'Peak Models'!$P$15*INDEX('Peak Models'!$Q$34:$Q$64, MATCH(TRUNC(B1041, 0),'Peak Models'!$O$34:$O$64, 0))/'Profit per cycles Model'!$E$78</f>
        <v>9.3952706765044951</v>
      </c>
      <c r="N1041" s="28" t="e">
        <f t="shared" si="275"/>
        <v>#N/A</v>
      </c>
      <c r="O1041" s="71" t="e">
        <f>AVERAGE($N$10:N1041)</f>
        <v>#N/A</v>
      </c>
      <c r="P1041" s="28" t="e">
        <f t="shared" si="276"/>
        <v>#N/A</v>
      </c>
      <c r="R1041" s="28" t="e">
        <f t="shared" si="277"/>
        <v>#VALUE!</v>
      </c>
      <c r="S1041" s="25"/>
      <c r="T1041" s="25">
        <f t="shared" si="278"/>
        <v>15</v>
      </c>
      <c r="U1041" s="33">
        <f>IF(PaybackCustom&gt;0, IF(PaybackCustom&lt;&gt;"Default", PaybackCustom, IF(PaybackStatus&lt;&gt;"",INDEX('Arbitrage Payback Engine'!$Y$2:$Y$6,MATCH(PaybackStatus,'Arbitrage Payback Engine'!$X$2:$X$6,FALSE)),-1)))</f>
        <v>25</v>
      </c>
      <c r="V1041" s="32">
        <f t="shared" si="287"/>
        <v>15</v>
      </c>
      <c r="X1041" s="29">
        <f t="shared" si="288"/>
        <v>1032</v>
      </c>
      <c r="Z1041" s="30">
        <f t="shared" si="279"/>
        <v>28.270099986303244</v>
      </c>
      <c r="AA1041" s="28" t="e">
        <f t="shared" si="280"/>
        <v>#N/A</v>
      </c>
      <c r="AB1041" s="28" t="e">
        <f t="shared" si="281"/>
        <v>#VALUE!</v>
      </c>
      <c r="AC1041" s="29">
        <f t="shared" si="282"/>
        <v>979.12713472485768</v>
      </c>
      <c r="AD1041" s="28" t="e">
        <f t="shared" si="283"/>
        <v>#VALUE!</v>
      </c>
      <c r="AE1041" s="28" t="e">
        <f t="shared" si="284"/>
        <v>#N/A</v>
      </c>
      <c r="AF1041" s="28" t="e">
        <f t="shared" si="285"/>
        <v>#VALUE!</v>
      </c>
      <c r="AH1041" s="31" t="e">
        <f t="shared" si="286"/>
        <v>#N/A</v>
      </c>
      <c r="AI1041" s="25"/>
      <c r="AJ1041" s="31"/>
    </row>
    <row r="1042" spans="2:36" x14ac:dyDescent="0.25">
      <c r="B1042" s="33">
        <f>'Arbitrage Payback Engine'!E1042</f>
        <v>28.297493494041912</v>
      </c>
      <c r="C1042" s="33">
        <f t="shared" si="272"/>
        <v>1000</v>
      </c>
      <c r="D1042" s="33">
        <f>'Battery Pricing Model'!$C$17</f>
        <v>1000</v>
      </c>
      <c r="E1042" s="33">
        <f t="shared" si="273"/>
        <v>999</v>
      </c>
      <c r="F1042" s="33" t="str">
        <f>'Peak Models'!$B$4</f>
        <v>Default</v>
      </c>
      <c r="G1042" s="33" t="e">
        <f>'Peak Models'!$Q$7</f>
        <v>#VALUE!</v>
      </c>
      <c r="H1042" s="33">
        <f>'Peak Models'!$P$16</f>
        <v>1.5</v>
      </c>
      <c r="I1042" s="33">
        <v>12</v>
      </c>
      <c r="J1042" s="33" t="e">
        <f>'Peak Models'!$P$13</f>
        <v>#N/A</v>
      </c>
      <c r="K1042" s="28" t="e">
        <f t="shared" si="274"/>
        <v>#VALUE!</v>
      </c>
      <c r="L1042" s="28" t="e">
        <f>INDEX('Peak Models'!$P$34:$P$64, MATCH(TRUNC(B1042, 0), 'Peak Models'!$O$34:$O$64, 0))</f>
        <v>#N/A</v>
      </c>
      <c r="M1042" s="28">
        <f>'Peak Models'!$P$15*INDEX('Peak Models'!$Q$34:$Q$64, MATCH(TRUNC(B1042, 0),'Peak Models'!$O$34:$O$64, 0))/'Profit per cycles Model'!$E$78</f>
        <v>9.3952706765044951</v>
      </c>
      <c r="N1042" s="28" t="e">
        <f t="shared" si="275"/>
        <v>#N/A</v>
      </c>
      <c r="O1042" s="71" t="e">
        <f>AVERAGE($N$10:N1042)</f>
        <v>#N/A</v>
      </c>
      <c r="P1042" s="28" t="e">
        <f t="shared" si="276"/>
        <v>#N/A</v>
      </c>
      <c r="R1042" s="28" t="e">
        <f t="shared" si="277"/>
        <v>#VALUE!</v>
      </c>
      <c r="S1042" s="25"/>
      <c r="T1042" s="25">
        <f t="shared" si="278"/>
        <v>15</v>
      </c>
      <c r="U1042" s="33">
        <f>IF(PaybackCustom&gt;0, IF(PaybackCustom&lt;&gt;"Default", PaybackCustom, IF(PaybackStatus&lt;&gt;"",INDEX('Arbitrage Payback Engine'!$Y$2:$Y$6,MATCH(PaybackStatus,'Arbitrage Payback Engine'!$X$2:$X$6,FALSE)),-1)))</f>
        <v>25</v>
      </c>
      <c r="V1042" s="32">
        <f t="shared" si="287"/>
        <v>15</v>
      </c>
      <c r="X1042" s="29">
        <f t="shared" si="288"/>
        <v>1033</v>
      </c>
      <c r="Z1042" s="30">
        <f t="shared" si="279"/>
        <v>28.297493494041912</v>
      </c>
      <c r="AA1042" s="28" t="e">
        <f t="shared" si="280"/>
        <v>#N/A</v>
      </c>
      <c r="AB1042" s="28" t="e">
        <f t="shared" si="281"/>
        <v>#VALUE!</v>
      </c>
      <c r="AC1042" s="29">
        <f t="shared" si="282"/>
        <v>980.07590132827329</v>
      </c>
      <c r="AD1042" s="28" t="e">
        <f t="shared" si="283"/>
        <v>#VALUE!</v>
      </c>
      <c r="AE1042" s="28" t="e">
        <f t="shared" si="284"/>
        <v>#N/A</v>
      </c>
      <c r="AF1042" s="28" t="e">
        <f t="shared" si="285"/>
        <v>#VALUE!</v>
      </c>
      <c r="AH1042" s="31" t="e">
        <f t="shared" si="286"/>
        <v>#N/A</v>
      </c>
      <c r="AI1042" s="25"/>
      <c r="AJ1042" s="31"/>
    </row>
    <row r="1043" spans="2:36" x14ac:dyDescent="0.25">
      <c r="B1043" s="33">
        <f>'Arbitrage Payback Engine'!E1043</f>
        <v>28.324887001780578</v>
      </c>
      <c r="C1043" s="33">
        <f t="shared" si="272"/>
        <v>1000</v>
      </c>
      <c r="D1043" s="33">
        <f>'Battery Pricing Model'!$C$17</f>
        <v>1000</v>
      </c>
      <c r="E1043" s="33">
        <f t="shared" si="273"/>
        <v>999</v>
      </c>
      <c r="F1043" s="33" t="str">
        <f>'Peak Models'!$B$4</f>
        <v>Default</v>
      </c>
      <c r="G1043" s="33" t="e">
        <f>'Peak Models'!$Q$7</f>
        <v>#VALUE!</v>
      </c>
      <c r="H1043" s="33">
        <f>'Peak Models'!$P$16</f>
        <v>1.5</v>
      </c>
      <c r="I1043" s="33">
        <v>12</v>
      </c>
      <c r="J1043" s="33" t="e">
        <f>'Peak Models'!$P$13</f>
        <v>#N/A</v>
      </c>
      <c r="K1043" s="28" t="e">
        <f t="shared" si="274"/>
        <v>#VALUE!</v>
      </c>
      <c r="L1043" s="28" t="e">
        <f>INDEX('Peak Models'!$P$34:$P$64, MATCH(TRUNC(B1043, 0), 'Peak Models'!$O$34:$O$64, 0))</f>
        <v>#N/A</v>
      </c>
      <c r="M1043" s="28">
        <f>'Peak Models'!$P$15*INDEX('Peak Models'!$Q$34:$Q$64, MATCH(TRUNC(B1043, 0),'Peak Models'!$O$34:$O$64, 0))/'Profit per cycles Model'!$E$78</f>
        <v>9.3952706765044951</v>
      </c>
      <c r="N1043" s="28" t="e">
        <f t="shared" si="275"/>
        <v>#N/A</v>
      </c>
      <c r="O1043" s="71" t="e">
        <f>AVERAGE($N$10:N1043)</f>
        <v>#N/A</v>
      </c>
      <c r="P1043" s="28" t="e">
        <f t="shared" si="276"/>
        <v>#N/A</v>
      </c>
      <c r="R1043" s="28" t="e">
        <f t="shared" si="277"/>
        <v>#VALUE!</v>
      </c>
      <c r="S1043" s="25"/>
      <c r="T1043" s="25">
        <f t="shared" si="278"/>
        <v>15</v>
      </c>
      <c r="U1043" s="33">
        <f>IF(PaybackCustom&gt;0, IF(PaybackCustom&lt;&gt;"Default", PaybackCustom, IF(PaybackStatus&lt;&gt;"",INDEX('Arbitrage Payback Engine'!$Y$2:$Y$6,MATCH(PaybackStatus,'Arbitrage Payback Engine'!$X$2:$X$6,FALSE)),-1)))</f>
        <v>25</v>
      </c>
      <c r="V1043" s="32">
        <f t="shared" si="287"/>
        <v>15</v>
      </c>
      <c r="X1043" s="29">
        <f t="shared" si="288"/>
        <v>1034</v>
      </c>
      <c r="Z1043" s="30">
        <f t="shared" si="279"/>
        <v>28.324887001780578</v>
      </c>
      <c r="AA1043" s="28" t="e">
        <f t="shared" si="280"/>
        <v>#N/A</v>
      </c>
      <c r="AB1043" s="28" t="e">
        <f t="shared" si="281"/>
        <v>#VALUE!</v>
      </c>
      <c r="AC1043" s="29">
        <f t="shared" si="282"/>
        <v>981.0246679316889</v>
      </c>
      <c r="AD1043" s="28" t="e">
        <f t="shared" si="283"/>
        <v>#VALUE!</v>
      </c>
      <c r="AE1043" s="28" t="e">
        <f t="shared" si="284"/>
        <v>#N/A</v>
      </c>
      <c r="AF1043" s="28" t="e">
        <f t="shared" si="285"/>
        <v>#VALUE!</v>
      </c>
      <c r="AH1043" s="31" t="e">
        <f t="shared" si="286"/>
        <v>#N/A</v>
      </c>
      <c r="AI1043" s="25"/>
      <c r="AJ1043" s="31"/>
    </row>
    <row r="1044" spans="2:36" x14ac:dyDescent="0.25">
      <c r="B1044" s="33">
        <f>'Arbitrage Payback Engine'!E1044</f>
        <v>28.352280509519243</v>
      </c>
      <c r="C1044" s="33">
        <f t="shared" si="272"/>
        <v>1000</v>
      </c>
      <c r="D1044" s="33">
        <f>'Battery Pricing Model'!$C$17</f>
        <v>1000</v>
      </c>
      <c r="E1044" s="33">
        <f t="shared" si="273"/>
        <v>999</v>
      </c>
      <c r="F1044" s="33" t="str">
        <f>'Peak Models'!$B$4</f>
        <v>Default</v>
      </c>
      <c r="G1044" s="33" t="e">
        <f>'Peak Models'!$Q$7</f>
        <v>#VALUE!</v>
      </c>
      <c r="H1044" s="33">
        <f>'Peak Models'!$P$16</f>
        <v>1.5</v>
      </c>
      <c r="I1044" s="33">
        <v>12</v>
      </c>
      <c r="J1044" s="33" t="e">
        <f>'Peak Models'!$P$13</f>
        <v>#N/A</v>
      </c>
      <c r="K1044" s="28" t="e">
        <f t="shared" si="274"/>
        <v>#VALUE!</v>
      </c>
      <c r="L1044" s="28" t="e">
        <f>INDEX('Peak Models'!$P$34:$P$64, MATCH(TRUNC(B1044, 0), 'Peak Models'!$O$34:$O$64, 0))</f>
        <v>#N/A</v>
      </c>
      <c r="M1044" s="28">
        <f>'Peak Models'!$P$15*INDEX('Peak Models'!$Q$34:$Q$64, MATCH(TRUNC(B1044, 0),'Peak Models'!$O$34:$O$64, 0))/'Profit per cycles Model'!$E$78</f>
        <v>9.3952706765044951</v>
      </c>
      <c r="N1044" s="28" t="e">
        <f t="shared" si="275"/>
        <v>#N/A</v>
      </c>
      <c r="O1044" s="71" t="e">
        <f>AVERAGE($N$10:N1044)</f>
        <v>#N/A</v>
      </c>
      <c r="P1044" s="28" t="e">
        <f t="shared" si="276"/>
        <v>#N/A</v>
      </c>
      <c r="R1044" s="28" t="e">
        <f t="shared" si="277"/>
        <v>#VALUE!</v>
      </c>
      <c r="S1044" s="25"/>
      <c r="T1044" s="25">
        <f t="shared" si="278"/>
        <v>15</v>
      </c>
      <c r="U1044" s="33">
        <f>IF(PaybackCustom&gt;0, IF(PaybackCustom&lt;&gt;"Default", PaybackCustom, IF(PaybackStatus&lt;&gt;"",INDEX('Arbitrage Payback Engine'!$Y$2:$Y$6,MATCH(PaybackStatus,'Arbitrage Payback Engine'!$X$2:$X$6,FALSE)),-1)))</f>
        <v>25</v>
      </c>
      <c r="V1044" s="32">
        <f t="shared" si="287"/>
        <v>15</v>
      </c>
      <c r="X1044" s="29">
        <f t="shared" si="288"/>
        <v>1035</v>
      </c>
      <c r="Z1044" s="30">
        <f t="shared" si="279"/>
        <v>28.352280509519243</v>
      </c>
      <c r="AA1044" s="28" t="e">
        <f t="shared" si="280"/>
        <v>#N/A</v>
      </c>
      <c r="AB1044" s="28" t="e">
        <f t="shared" si="281"/>
        <v>#VALUE!</v>
      </c>
      <c r="AC1044" s="29">
        <f t="shared" si="282"/>
        <v>981.97343453510439</v>
      </c>
      <c r="AD1044" s="28" t="e">
        <f t="shared" si="283"/>
        <v>#VALUE!</v>
      </c>
      <c r="AE1044" s="28" t="e">
        <f t="shared" si="284"/>
        <v>#N/A</v>
      </c>
      <c r="AF1044" s="28" t="e">
        <f t="shared" si="285"/>
        <v>#VALUE!</v>
      </c>
      <c r="AH1044" s="31" t="e">
        <f t="shared" si="286"/>
        <v>#N/A</v>
      </c>
      <c r="AI1044" s="25"/>
      <c r="AJ1044" s="31"/>
    </row>
    <row r="1045" spans="2:36" x14ac:dyDescent="0.25">
      <c r="B1045" s="33">
        <f>'Arbitrage Payback Engine'!E1045</f>
        <v>28.379674017257909</v>
      </c>
      <c r="C1045" s="33">
        <f t="shared" si="272"/>
        <v>1000</v>
      </c>
      <c r="D1045" s="33">
        <f>'Battery Pricing Model'!$C$17</f>
        <v>1000</v>
      </c>
      <c r="E1045" s="33">
        <f t="shared" si="273"/>
        <v>999</v>
      </c>
      <c r="F1045" s="33" t="str">
        <f>'Peak Models'!$B$4</f>
        <v>Default</v>
      </c>
      <c r="G1045" s="33" t="e">
        <f>'Peak Models'!$Q$7</f>
        <v>#VALUE!</v>
      </c>
      <c r="H1045" s="33">
        <f>'Peak Models'!$P$16</f>
        <v>1.5</v>
      </c>
      <c r="I1045" s="33">
        <v>12</v>
      </c>
      <c r="J1045" s="33" t="e">
        <f>'Peak Models'!$P$13</f>
        <v>#N/A</v>
      </c>
      <c r="K1045" s="28" t="e">
        <f t="shared" si="274"/>
        <v>#VALUE!</v>
      </c>
      <c r="L1045" s="28" t="e">
        <f>INDEX('Peak Models'!$P$34:$P$64, MATCH(TRUNC(B1045, 0), 'Peak Models'!$O$34:$O$64, 0))</f>
        <v>#N/A</v>
      </c>
      <c r="M1045" s="28">
        <f>'Peak Models'!$P$15*INDEX('Peak Models'!$Q$34:$Q$64, MATCH(TRUNC(B1045, 0),'Peak Models'!$O$34:$O$64, 0))/'Profit per cycles Model'!$E$78</f>
        <v>9.3952706765044951</v>
      </c>
      <c r="N1045" s="28" t="e">
        <f t="shared" si="275"/>
        <v>#N/A</v>
      </c>
      <c r="O1045" s="71" t="e">
        <f>AVERAGE($N$10:N1045)</f>
        <v>#N/A</v>
      </c>
      <c r="P1045" s="28" t="e">
        <f t="shared" si="276"/>
        <v>#N/A</v>
      </c>
      <c r="R1045" s="28" t="e">
        <f t="shared" si="277"/>
        <v>#VALUE!</v>
      </c>
      <c r="S1045" s="25"/>
      <c r="T1045" s="25">
        <f t="shared" si="278"/>
        <v>15</v>
      </c>
      <c r="U1045" s="33">
        <f>IF(PaybackCustom&gt;0, IF(PaybackCustom&lt;&gt;"Default", PaybackCustom, IF(PaybackStatus&lt;&gt;"",INDEX('Arbitrage Payback Engine'!$Y$2:$Y$6,MATCH(PaybackStatus,'Arbitrage Payback Engine'!$X$2:$X$6,FALSE)),-1)))</f>
        <v>25</v>
      </c>
      <c r="V1045" s="32">
        <f t="shared" si="287"/>
        <v>15</v>
      </c>
      <c r="X1045" s="29">
        <f t="shared" si="288"/>
        <v>1036</v>
      </c>
      <c r="Z1045" s="30">
        <f t="shared" si="279"/>
        <v>28.379674017257909</v>
      </c>
      <c r="AA1045" s="28" t="e">
        <f t="shared" si="280"/>
        <v>#N/A</v>
      </c>
      <c r="AB1045" s="28" t="e">
        <f t="shared" si="281"/>
        <v>#VALUE!</v>
      </c>
      <c r="AC1045" s="29">
        <f t="shared" si="282"/>
        <v>982.92220113851988</v>
      </c>
      <c r="AD1045" s="28" t="e">
        <f t="shared" si="283"/>
        <v>#VALUE!</v>
      </c>
      <c r="AE1045" s="28" t="e">
        <f t="shared" si="284"/>
        <v>#N/A</v>
      </c>
      <c r="AF1045" s="28" t="e">
        <f t="shared" si="285"/>
        <v>#VALUE!</v>
      </c>
      <c r="AH1045" s="31" t="e">
        <f t="shared" si="286"/>
        <v>#N/A</v>
      </c>
      <c r="AI1045" s="25"/>
      <c r="AJ1045" s="31"/>
    </row>
    <row r="1046" spans="2:36" x14ac:dyDescent="0.25">
      <c r="B1046" s="33">
        <f>'Arbitrage Payback Engine'!E1046</f>
        <v>28.407067524996574</v>
      </c>
      <c r="C1046" s="33">
        <f t="shared" si="272"/>
        <v>1000</v>
      </c>
      <c r="D1046" s="33">
        <f>'Battery Pricing Model'!$C$17</f>
        <v>1000</v>
      </c>
      <c r="E1046" s="33">
        <f t="shared" si="273"/>
        <v>999</v>
      </c>
      <c r="F1046" s="33" t="str">
        <f>'Peak Models'!$B$4</f>
        <v>Default</v>
      </c>
      <c r="G1046" s="33" t="e">
        <f>'Peak Models'!$Q$7</f>
        <v>#VALUE!</v>
      </c>
      <c r="H1046" s="33">
        <f>'Peak Models'!$P$16</f>
        <v>1.5</v>
      </c>
      <c r="I1046" s="33">
        <v>12</v>
      </c>
      <c r="J1046" s="33" t="e">
        <f>'Peak Models'!$P$13</f>
        <v>#N/A</v>
      </c>
      <c r="K1046" s="28" t="e">
        <f t="shared" si="274"/>
        <v>#VALUE!</v>
      </c>
      <c r="L1046" s="28" t="e">
        <f>INDEX('Peak Models'!$P$34:$P$64, MATCH(TRUNC(B1046, 0), 'Peak Models'!$O$34:$O$64, 0))</f>
        <v>#N/A</v>
      </c>
      <c r="M1046" s="28">
        <f>'Peak Models'!$P$15*INDEX('Peak Models'!$Q$34:$Q$64, MATCH(TRUNC(B1046, 0),'Peak Models'!$O$34:$O$64, 0))/'Profit per cycles Model'!$E$78</f>
        <v>9.3952706765044951</v>
      </c>
      <c r="N1046" s="28" t="e">
        <f t="shared" si="275"/>
        <v>#N/A</v>
      </c>
      <c r="O1046" s="71" t="e">
        <f>AVERAGE($N$10:N1046)</f>
        <v>#N/A</v>
      </c>
      <c r="P1046" s="28" t="e">
        <f t="shared" si="276"/>
        <v>#N/A</v>
      </c>
      <c r="R1046" s="28" t="e">
        <f t="shared" si="277"/>
        <v>#VALUE!</v>
      </c>
      <c r="S1046" s="25"/>
      <c r="T1046" s="25">
        <f t="shared" si="278"/>
        <v>15</v>
      </c>
      <c r="U1046" s="33">
        <f>IF(PaybackCustom&gt;0, IF(PaybackCustom&lt;&gt;"Default", PaybackCustom, IF(PaybackStatus&lt;&gt;"",INDEX('Arbitrage Payback Engine'!$Y$2:$Y$6,MATCH(PaybackStatus,'Arbitrage Payback Engine'!$X$2:$X$6,FALSE)),-1)))</f>
        <v>25</v>
      </c>
      <c r="V1046" s="32">
        <f t="shared" si="287"/>
        <v>15</v>
      </c>
      <c r="X1046" s="29">
        <f t="shared" si="288"/>
        <v>1037</v>
      </c>
      <c r="Z1046" s="30">
        <f t="shared" si="279"/>
        <v>28.407067524996574</v>
      </c>
      <c r="AA1046" s="28" t="e">
        <f t="shared" si="280"/>
        <v>#N/A</v>
      </c>
      <c r="AB1046" s="28" t="e">
        <f t="shared" si="281"/>
        <v>#VALUE!</v>
      </c>
      <c r="AC1046" s="29">
        <f t="shared" si="282"/>
        <v>983.87096774193549</v>
      </c>
      <c r="AD1046" s="28" t="e">
        <f t="shared" si="283"/>
        <v>#VALUE!</v>
      </c>
      <c r="AE1046" s="28" t="e">
        <f t="shared" si="284"/>
        <v>#N/A</v>
      </c>
      <c r="AF1046" s="28" t="e">
        <f t="shared" si="285"/>
        <v>#VALUE!</v>
      </c>
      <c r="AH1046" s="31" t="e">
        <f t="shared" si="286"/>
        <v>#N/A</v>
      </c>
      <c r="AI1046" s="25"/>
      <c r="AJ1046" s="31"/>
    </row>
    <row r="1047" spans="2:36" x14ac:dyDescent="0.25">
      <c r="B1047" s="33">
        <f>'Arbitrage Payback Engine'!E1047</f>
        <v>28.434461032735239</v>
      </c>
      <c r="C1047" s="33">
        <f t="shared" si="272"/>
        <v>1000</v>
      </c>
      <c r="D1047" s="33">
        <f>'Battery Pricing Model'!$C$17</f>
        <v>1000</v>
      </c>
      <c r="E1047" s="33">
        <f t="shared" si="273"/>
        <v>999</v>
      </c>
      <c r="F1047" s="33" t="str">
        <f>'Peak Models'!$B$4</f>
        <v>Default</v>
      </c>
      <c r="G1047" s="33" t="e">
        <f>'Peak Models'!$Q$7</f>
        <v>#VALUE!</v>
      </c>
      <c r="H1047" s="33">
        <f>'Peak Models'!$P$16</f>
        <v>1.5</v>
      </c>
      <c r="I1047" s="33">
        <v>12</v>
      </c>
      <c r="J1047" s="33" t="e">
        <f>'Peak Models'!$P$13</f>
        <v>#N/A</v>
      </c>
      <c r="K1047" s="28" t="e">
        <f t="shared" si="274"/>
        <v>#VALUE!</v>
      </c>
      <c r="L1047" s="28" t="e">
        <f>INDEX('Peak Models'!$P$34:$P$64, MATCH(TRUNC(B1047, 0), 'Peak Models'!$O$34:$O$64, 0))</f>
        <v>#N/A</v>
      </c>
      <c r="M1047" s="28">
        <f>'Peak Models'!$P$15*INDEX('Peak Models'!$Q$34:$Q$64, MATCH(TRUNC(B1047, 0),'Peak Models'!$O$34:$O$64, 0))/'Profit per cycles Model'!$E$78</f>
        <v>9.3952706765044951</v>
      </c>
      <c r="N1047" s="28" t="e">
        <f t="shared" si="275"/>
        <v>#N/A</v>
      </c>
      <c r="O1047" s="71" t="e">
        <f>AVERAGE($N$10:N1047)</f>
        <v>#N/A</v>
      </c>
      <c r="P1047" s="28" t="e">
        <f t="shared" si="276"/>
        <v>#N/A</v>
      </c>
      <c r="R1047" s="28" t="e">
        <f t="shared" si="277"/>
        <v>#VALUE!</v>
      </c>
      <c r="S1047" s="25"/>
      <c r="T1047" s="25">
        <f t="shared" si="278"/>
        <v>15</v>
      </c>
      <c r="U1047" s="33">
        <f>IF(PaybackCustom&gt;0, IF(PaybackCustom&lt;&gt;"Default", PaybackCustom, IF(PaybackStatus&lt;&gt;"",INDEX('Arbitrage Payback Engine'!$Y$2:$Y$6,MATCH(PaybackStatus,'Arbitrage Payback Engine'!$X$2:$X$6,FALSE)),-1)))</f>
        <v>25</v>
      </c>
      <c r="V1047" s="32">
        <f t="shared" si="287"/>
        <v>15</v>
      </c>
      <c r="X1047" s="29">
        <f t="shared" si="288"/>
        <v>1038</v>
      </c>
      <c r="Z1047" s="30">
        <f t="shared" si="279"/>
        <v>28.434461032735239</v>
      </c>
      <c r="AA1047" s="28" t="e">
        <f t="shared" si="280"/>
        <v>#N/A</v>
      </c>
      <c r="AB1047" s="28" t="e">
        <f t="shared" si="281"/>
        <v>#VALUE!</v>
      </c>
      <c r="AC1047" s="29">
        <f t="shared" si="282"/>
        <v>984.81973434535098</v>
      </c>
      <c r="AD1047" s="28" t="e">
        <f t="shared" si="283"/>
        <v>#VALUE!</v>
      </c>
      <c r="AE1047" s="28" t="e">
        <f t="shared" si="284"/>
        <v>#N/A</v>
      </c>
      <c r="AF1047" s="28" t="e">
        <f t="shared" si="285"/>
        <v>#VALUE!</v>
      </c>
      <c r="AH1047" s="31" t="e">
        <f t="shared" si="286"/>
        <v>#N/A</v>
      </c>
      <c r="AI1047" s="25"/>
      <c r="AJ1047" s="31"/>
    </row>
    <row r="1048" spans="2:36" x14ac:dyDescent="0.25">
      <c r="B1048" s="33">
        <f>'Arbitrage Payback Engine'!E1048</f>
        <v>28.461854540473908</v>
      </c>
      <c r="C1048" s="33">
        <f t="shared" si="272"/>
        <v>1000</v>
      </c>
      <c r="D1048" s="33">
        <f>'Battery Pricing Model'!$C$17</f>
        <v>1000</v>
      </c>
      <c r="E1048" s="33">
        <f t="shared" si="273"/>
        <v>999</v>
      </c>
      <c r="F1048" s="33" t="str">
        <f>'Peak Models'!$B$4</f>
        <v>Default</v>
      </c>
      <c r="G1048" s="33" t="e">
        <f>'Peak Models'!$Q$7</f>
        <v>#VALUE!</v>
      </c>
      <c r="H1048" s="33">
        <f>'Peak Models'!$P$16</f>
        <v>1.5</v>
      </c>
      <c r="I1048" s="33">
        <v>12</v>
      </c>
      <c r="J1048" s="33" t="e">
        <f>'Peak Models'!$P$13</f>
        <v>#N/A</v>
      </c>
      <c r="K1048" s="28" t="e">
        <f t="shared" si="274"/>
        <v>#VALUE!</v>
      </c>
      <c r="L1048" s="28" t="e">
        <f>INDEX('Peak Models'!$P$34:$P$64, MATCH(TRUNC(B1048, 0), 'Peak Models'!$O$34:$O$64, 0))</f>
        <v>#N/A</v>
      </c>
      <c r="M1048" s="28">
        <f>'Peak Models'!$P$15*INDEX('Peak Models'!$Q$34:$Q$64, MATCH(TRUNC(B1048, 0),'Peak Models'!$O$34:$O$64, 0))/'Profit per cycles Model'!$E$78</f>
        <v>9.3952706765044951</v>
      </c>
      <c r="N1048" s="28" t="e">
        <f t="shared" si="275"/>
        <v>#N/A</v>
      </c>
      <c r="O1048" s="71" t="e">
        <f>AVERAGE($N$10:N1048)</f>
        <v>#N/A</v>
      </c>
      <c r="P1048" s="28" t="e">
        <f t="shared" si="276"/>
        <v>#N/A</v>
      </c>
      <c r="R1048" s="28" t="e">
        <f t="shared" si="277"/>
        <v>#VALUE!</v>
      </c>
      <c r="S1048" s="25"/>
      <c r="T1048" s="25">
        <f t="shared" si="278"/>
        <v>15</v>
      </c>
      <c r="U1048" s="33">
        <f>IF(PaybackCustom&gt;0, IF(PaybackCustom&lt;&gt;"Default", PaybackCustom, IF(PaybackStatus&lt;&gt;"",INDEX('Arbitrage Payback Engine'!$Y$2:$Y$6,MATCH(PaybackStatus,'Arbitrage Payback Engine'!$X$2:$X$6,FALSE)),-1)))</f>
        <v>25</v>
      </c>
      <c r="V1048" s="32">
        <f t="shared" si="287"/>
        <v>15</v>
      </c>
      <c r="X1048" s="29">
        <f t="shared" si="288"/>
        <v>1039</v>
      </c>
      <c r="Z1048" s="30">
        <f t="shared" si="279"/>
        <v>28.461854540473908</v>
      </c>
      <c r="AA1048" s="28" t="e">
        <f t="shared" si="280"/>
        <v>#N/A</v>
      </c>
      <c r="AB1048" s="28" t="e">
        <f t="shared" si="281"/>
        <v>#VALUE!</v>
      </c>
      <c r="AC1048" s="29">
        <f t="shared" si="282"/>
        <v>985.7685009487667</v>
      </c>
      <c r="AD1048" s="28" t="e">
        <f t="shared" si="283"/>
        <v>#VALUE!</v>
      </c>
      <c r="AE1048" s="28" t="e">
        <f t="shared" si="284"/>
        <v>#N/A</v>
      </c>
      <c r="AF1048" s="28" t="e">
        <f t="shared" si="285"/>
        <v>#VALUE!</v>
      </c>
      <c r="AH1048" s="31" t="e">
        <f t="shared" si="286"/>
        <v>#N/A</v>
      </c>
      <c r="AI1048" s="25"/>
      <c r="AJ1048" s="31"/>
    </row>
    <row r="1049" spans="2:36" x14ac:dyDescent="0.25">
      <c r="B1049" s="33">
        <f>'Arbitrage Payback Engine'!E1049</f>
        <v>28.489248048212573</v>
      </c>
      <c r="C1049" s="33">
        <f t="shared" si="272"/>
        <v>1000</v>
      </c>
      <c r="D1049" s="33">
        <f>'Battery Pricing Model'!$C$17</f>
        <v>1000</v>
      </c>
      <c r="E1049" s="33">
        <f t="shared" si="273"/>
        <v>999</v>
      </c>
      <c r="F1049" s="33" t="str">
        <f>'Peak Models'!$B$4</f>
        <v>Default</v>
      </c>
      <c r="G1049" s="33" t="e">
        <f>'Peak Models'!$Q$7</f>
        <v>#VALUE!</v>
      </c>
      <c r="H1049" s="33">
        <f>'Peak Models'!$P$16</f>
        <v>1.5</v>
      </c>
      <c r="I1049" s="33">
        <v>12</v>
      </c>
      <c r="J1049" s="33" t="e">
        <f>'Peak Models'!$P$13</f>
        <v>#N/A</v>
      </c>
      <c r="K1049" s="28" t="e">
        <f t="shared" si="274"/>
        <v>#VALUE!</v>
      </c>
      <c r="L1049" s="28" t="e">
        <f>INDEX('Peak Models'!$P$34:$P$64, MATCH(TRUNC(B1049, 0), 'Peak Models'!$O$34:$O$64, 0))</f>
        <v>#N/A</v>
      </c>
      <c r="M1049" s="28">
        <f>'Peak Models'!$P$15*INDEX('Peak Models'!$Q$34:$Q$64, MATCH(TRUNC(B1049, 0),'Peak Models'!$O$34:$O$64, 0))/'Profit per cycles Model'!$E$78</f>
        <v>9.3952706765044951</v>
      </c>
      <c r="N1049" s="28" t="e">
        <f t="shared" si="275"/>
        <v>#N/A</v>
      </c>
      <c r="O1049" s="71" t="e">
        <f>AVERAGE($N$10:N1049)</f>
        <v>#N/A</v>
      </c>
      <c r="P1049" s="28" t="e">
        <f t="shared" si="276"/>
        <v>#N/A</v>
      </c>
      <c r="R1049" s="28" t="e">
        <f t="shared" si="277"/>
        <v>#VALUE!</v>
      </c>
      <c r="S1049" s="25"/>
      <c r="T1049" s="25">
        <f t="shared" si="278"/>
        <v>15</v>
      </c>
      <c r="U1049" s="33">
        <f>IF(PaybackCustom&gt;0, IF(PaybackCustom&lt;&gt;"Default", PaybackCustom, IF(PaybackStatus&lt;&gt;"",INDEX('Arbitrage Payback Engine'!$Y$2:$Y$6,MATCH(PaybackStatus,'Arbitrage Payback Engine'!$X$2:$X$6,FALSE)),-1)))</f>
        <v>25</v>
      </c>
      <c r="V1049" s="32">
        <f t="shared" si="287"/>
        <v>15</v>
      </c>
      <c r="X1049" s="29">
        <f t="shared" si="288"/>
        <v>1040</v>
      </c>
      <c r="Z1049" s="30">
        <f t="shared" si="279"/>
        <v>28.489248048212573</v>
      </c>
      <c r="AA1049" s="28" t="e">
        <f t="shared" si="280"/>
        <v>#N/A</v>
      </c>
      <c r="AB1049" s="28" t="e">
        <f t="shared" si="281"/>
        <v>#VALUE!</v>
      </c>
      <c r="AC1049" s="29">
        <f t="shared" si="282"/>
        <v>986.71726755218219</v>
      </c>
      <c r="AD1049" s="28" t="e">
        <f t="shared" si="283"/>
        <v>#VALUE!</v>
      </c>
      <c r="AE1049" s="28" t="e">
        <f t="shared" si="284"/>
        <v>#N/A</v>
      </c>
      <c r="AF1049" s="28" t="e">
        <f t="shared" si="285"/>
        <v>#VALUE!</v>
      </c>
      <c r="AH1049" s="31" t="e">
        <f t="shared" si="286"/>
        <v>#N/A</v>
      </c>
      <c r="AI1049" s="25"/>
      <c r="AJ1049" s="31"/>
    </row>
    <row r="1050" spans="2:36" x14ac:dyDescent="0.25">
      <c r="B1050" s="33">
        <f>'Arbitrage Payback Engine'!E1050</f>
        <v>28.516641555951239</v>
      </c>
      <c r="C1050" s="33">
        <f t="shared" si="272"/>
        <v>1000</v>
      </c>
      <c r="D1050" s="33">
        <f>'Battery Pricing Model'!$C$17</f>
        <v>1000</v>
      </c>
      <c r="E1050" s="33">
        <f t="shared" si="273"/>
        <v>999</v>
      </c>
      <c r="F1050" s="33" t="str">
        <f>'Peak Models'!$B$4</f>
        <v>Default</v>
      </c>
      <c r="G1050" s="33" t="e">
        <f>'Peak Models'!$Q$7</f>
        <v>#VALUE!</v>
      </c>
      <c r="H1050" s="33">
        <f>'Peak Models'!$P$16</f>
        <v>1.5</v>
      </c>
      <c r="I1050" s="33">
        <v>12</v>
      </c>
      <c r="J1050" s="33" t="e">
        <f>'Peak Models'!$P$13</f>
        <v>#N/A</v>
      </c>
      <c r="K1050" s="28" t="e">
        <f t="shared" si="274"/>
        <v>#VALUE!</v>
      </c>
      <c r="L1050" s="28" t="e">
        <f>INDEX('Peak Models'!$P$34:$P$64, MATCH(TRUNC(B1050, 0), 'Peak Models'!$O$34:$O$64, 0))</f>
        <v>#N/A</v>
      </c>
      <c r="M1050" s="28">
        <f>'Peak Models'!$P$15*INDEX('Peak Models'!$Q$34:$Q$64, MATCH(TRUNC(B1050, 0),'Peak Models'!$O$34:$O$64, 0))/'Profit per cycles Model'!$E$78</f>
        <v>9.3952706765044951</v>
      </c>
      <c r="N1050" s="28" t="e">
        <f t="shared" si="275"/>
        <v>#N/A</v>
      </c>
      <c r="O1050" s="71" t="e">
        <f>AVERAGE($N$10:N1050)</f>
        <v>#N/A</v>
      </c>
      <c r="P1050" s="28" t="e">
        <f t="shared" si="276"/>
        <v>#N/A</v>
      </c>
      <c r="R1050" s="28" t="e">
        <f t="shared" si="277"/>
        <v>#VALUE!</v>
      </c>
      <c r="S1050" s="25"/>
      <c r="T1050" s="25">
        <f t="shared" si="278"/>
        <v>15</v>
      </c>
      <c r="U1050" s="33">
        <f>IF(PaybackCustom&gt;0, IF(PaybackCustom&lt;&gt;"Default", PaybackCustom, IF(PaybackStatus&lt;&gt;"",INDEX('Arbitrage Payback Engine'!$Y$2:$Y$6,MATCH(PaybackStatus,'Arbitrage Payback Engine'!$X$2:$X$6,FALSE)),-1)))</f>
        <v>25</v>
      </c>
      <c r="V1050" s="32">
        <f t="shared" si="287"/>
        <v>15</v>
      </c>
      <c r="X1050" s="29">
        <f t="shared" si="288"/>
        <v>1041</v>
      </c>
      <c r="Z1050" s="30">
        <f t="shared" si="279"/>
        <v>28.516641555951239</v>
      </c>
      <c r="AA1050" s="28" t="e">
        <f t="shared" si="280"/>
        <v>#N/A</v>
      </c>
      <c r="AB1050" s="28" t="e">
        <f t="shared" si="281"/>
        <v>#VALUE!</v>
      </c>
      <c r="AC1050" s="29">
        <f t="shared" si="282"/>
        <v>987.6660341555978</v>
      </c>
      <c r="AD1050" s="28" t="e">
        <f t="shared" si="283"/>
        <v>#VALUE!</v>
      </c>
      <c r="AE1050" s="28" t="e">
        <f t="shared" si="284"/>
        <v>#N/A</v>
      </c>
      <c r="AF1050" s="28" t="e">
        <f t="shared" si="285"/>
        <v>#VALUE!</v>
      </c>
      <c r="AH1050" s="31" t="e">
        <f t="shared" si="286"/>
        <v>#N/A</v>
      </c>
      <c r="AI1050" s="25"/>
      <c r="AJ1050" s="31"/>
    </row>
    <row r="1051" spans="2:36" x14ac:dyDescent="0.25">
      <c r="B1051" s="33">
        <f>'Arbitrage Payback Engine'!E1051</f>
        <v>28.544035063689904</v>
      </c>
      <c r="C1051" s="33">
        <f t="shared" si="272"/>
        <v>1000</v>
      </c>
      <c r="D1051" s="33">
        <f>'Battery Pricing Model'!$C$17</f>
        <v>1000</v>
      </c>
      <c r="E1051" s="33">
        <f t="shared" si="273"/>
        <v>999</v>
      </c>
      <c r="F1051" s="33" t="str">
        <f>'Peak Models'!$B$4</f>
        <v>Default</v>
      </c>
      <c r="G1051" s="33" t="e">
        <f>'Peak Models'!$Q$7</f>
        <v>#VALUE!</v>
      </c>
      <c r="H1051" s="33">
        <f>'Peak Models'!$P$16</f>
        <v>1.5</v>
      </c>
      <c r="I1051" s="33">
        <v>12</v>
      </c>
      <c r="J1051" s="33" t="e">
        <f>'Peak Models'!$P$13</f>
        <v>#N/A</v>
      </c>
      <c r="K1051" s="28" t="e">
        <f t="shared" si="274"/>
        <v>#VALUE!</v>
      </c>
      <c r="L1051" s="28" t="e">
        <f>INDEX('Peak Models'!$P$34:$P$64, MATCH(TRUNC(B1051, 0), 'Peak Models'!$O$34:$O$64, 0))</f>
        <v>#N/A</v>
      </c>
      <c r="M1051" s="28">
        <f>'Peak Models'!$P$15*INDEX('Peak Models'!$Q$34:$Q$64, MATCH(TRUNC(B1051, 0),'Peak Models'!$O$34:$O$64, 0))/'Profit per cycles Model'!$E$78</f>
        <v>9.3952706765044951</v>
      </c>
      <c r="N1051" s="28" t="e">
        <f t="shared" si="275"/>
        <v>#N/A</v>
      </c>
      <c r="O1051" s="71" t="e">
        <f>AVERAGE($N$10:N1051)</f>
        <v>#N/A</v>
      </c>
      <c r="P1051" s="28" t="e">
        <f t="shared" si="276"/>
        <v>#N/A</v>
      </c>
      <c r="R1051" s="28" t="e">
        <f t="shared" si="277"/>
        <v>#VALUE!</v>
      </c>
      <c r="S1051" s="25"/>
      <c r="T1051" s="25">
        <f t="shared" si="278"/>
        <v>15</v>
      </c>
      <c r="U1051" s="33">
        <f>IF(PaybackCustom&gt;0, IF(PaybackCustom&lt;&gt;"Default", PaybackCustom, IF(PaybackStatus&lt;&gt;"",INDEX('Arbitrage Payback Engine'!$Y$2:$Y$6,MATCH(PaybackStatus,'Arbitrage Payback Engine'!$X$2:$X$6,FALSE)),-1)))</f>
        <v>25</v>
      </c>
      <c r="V1051" s="32">
        <f t="shared" si="287"/>
        <v>15</v>
      </c>
      <c r="X1051" s="29">
        <f t="shared" si="288"/>
        <v>1042</v>
      </c>
      <c r="Z1051" s="30">
        <f t="shared" si="279"/>
        <v>28.544035063689904</v>
      </c>
      <c r="AA1051" s="28" t="e">
        <f t="shared" si="280"/>
        <v>#N/A</v>
      </c>
      <c r="AB1051" s="28" t="e">
        <f t="shared" si="281"/>
        <v>#VALUE!</v>
      </c>
      <c r="AC1051" s="29">
        <f t="shared" si="282"/>
        <v>988.61480075901329</v>
      </c>
      <c r="AD1051" s="28" t="e">
        <f t="shared" si="283"/>
        <v>#VALUE!</v>
      </c>
      <c r="AE1051" s="28" t="e">
        <f t="shared" si="284"/>
        <v>#N/A</v>
      </c>
      <c r="AF1051" s="28" t="e">
        <f t="shared" si="285"/>
        <v>#VALUE!</v>
      </c>
      <c r="AH1051" s="31" t="e">
        <f t="shared" si="286"/>
        <v>#N/A</v>
      </c>
      <c r="AI1051" s="25"/>
      <c r="AJ1051" s="31"/>
    </row>
    <row r="1052" spans="2:36" x14ac:dyDescent="0.25">
      <c r="B1052" s="33">
        <f>'Arbitrage Payback Engine'!E1052</f>
        <v>28.571428571428569</v>
      </c>
      <c r="C1052" s="33">
        <f t="shared" si="272"/>
        <v>1000</v>
      </c>
      <c r="D1052" s="33">
        <f>'Battery Pricing Model'!$C$17</f>
        <v>1000</v>
      </c>
      <c r="E1052" s="33">
        <f t="shared" si="273"/>
        <v>999</v>
      </c>
      <c r="F1052" s="33" t="str">
        <f>'Peak Models'!$B$4</f>
        <v>Default</v>
      </c>
      <c r="G1052" s="33" t="e">
        <f>'Peak Models'!$Q$7</f>
        <v>#VALUE!</v>
      </c>
      <c r="H1052" s="33">
        <f>'Peak Models'!$P$16</f>
        <v>1.5</v>
      </c>
      <c r="I1052" s="33">
        <v>12</v>
      </c>
      <c r="J1052" s="33" t="e">
        <f>'Peak Models'!$P$13</f>
        <v>#N/A</v>
      </c>
      <c r="K1052" s="28" t="e">
        <f t="shared" si="274"/>
        <v>#VALUE!</v>
      </c>
      <c r="L1052" s="28" t="e">
        <f>INDEX('Peak Models'!$P$34:$P$64, MATCH(TRUNC(B1052, 0), 'Peak Models'!$O$34:$O$64, 0))</f>
        <v>#N/A</v>
      </c>
      <c r="M1052" s="28">
        <f>'Peak Models'!$P$15*INDEX('Peak Models'!$Q$34:$Q$64, MATCH(TRUNC(B1052, 0),'Peak Models'!$O$34:$O$64, 0))/'Profit per cycles Model'!$E$78</f>
        <v>9.3952706765044951</v>
      </c>
      <c r="N1052" s="28" t="e">
        <f t="shared" si="275"/>
        <v>#N/A</v>
      </c>
      <c r="O1052" s="71" t="e">
        <f>AVERAGE($N$10:N1052)</f>
        <v>#N/A</v>
      </c>
      <c r="P1052" s="28" t="e">
        <f t="shared" si="276"/>
        <v>#N/A</v>
      </c>
      <c r="R1052" s="28" t="e">
        <f t="shared" si="277"/>
        <v>#VALUE!</v>
      </c>
      <c r="S1052" s="25"/>
      <c r="T1052" s="25">
        <f t="shared" si="278"/>
        <v>15</v>
      </c>
      <c r="U1052" s="33">
        <f>IF(PaybackCustom&gt;0, IF(PaybackCustom&lt;&gt;"Default", PaybackCustom, IF(PaybackStatus&lt;&gt;"",INDEX('Arbitrage Payback Engine'!$Y$2:$Y$6,MATCH(PaybackStatus,'Arbitrage Payback Engine'!$X$2:$X$6,FALSE)),-1)))</f>
        <v>25</v>
      </c>
      <c r="V1052" s="32">
        <f t="shared" si="287"/>
        <v>15</v>
      </c>
      <c r="X1052" s="29">
        <f t="shared" si="288"/>
        <v>1043</v>
      </c>
      <c r="Z1052" s="30">
        <f t="shared" si="279"/>
        <v>28.571428571428569</v>
      </c>
      <c r="AA1052" s="28" t="e">
        <f t="shared" si="280"/>
        <v>#N/A</v>
      </c>
      <c r="AB1052" s="28" t="e">
        <f t="shared" si="281"/>
        <v>#VALUE!</v>
      </c>
      <c r="AC1052" s="29">
        <f t="shared" si="282"/>
        <v>989.56356736242878</v>
      </c>
      <c r="AD1052" s="28" t="e">
        <f t="shared" si="283"/>
        <v>#VALUE!</v>
      </c>
      <c r="AE1052" s="28" t="e">
        <f t="shared" si="284"/>
        <v>#N/A</v>
      </c>
      <c r="AF1052" s="28" t="e">
        <f t="shared" si="285"/>
        <v>#VALUE!</v>
      </c>
      <c r="AH1052" s="31" t="e">
        <f t="shared" si="286"/>
        <v>#N/A</v>
      </c>
      <c r="AI1052" s="25"/>
      <c r="AJ1052" s="31"/>
    </row>
    <row r="1053" spans="2:36" x14ac:dyDescent="0.25">
      <c r="B1053" s="33">
        <f>'Arbitrage Payback Engine'!E1053</f>
        <v>28.598822079167235</v>
      </c>
      <c r="C1053" s="33">
        <f t="shared" si="272"/>
        <v>1000</v>
      </c>
      <c r="D1053" s="33">
        <f>'Battery Pricing Model'!$C$17</f>
        <v>1000</v>
      </c>
      <c r="E1053" s="33">
        <f t="shared" si="273"/>
        <v>999</v>
      </c>
      <c r="F1053" s="33" t="str">
        <f>'Peak Models'!$B$4</f>
        <v>Default</v>
      </c>
      <c r="G1053" s="33" t="e">
        <f>'Peak Models'!$Q$7</f>
        <v>#VALUE!</v>
      </c>
      <c r="H1053" s="33">
        <f>'Peak Models'!$P$16</f>
        <v>1.5</v>
      </c>
      <c r="I1053" s="33">
        <v>12</v>
      </c>
      <c r="J1053" s="33" t="e">
        <f>'Peak Models'!$P$13</f>
        <v>#N/A</v>
      </c>
      <c r="K1053" s="28" t="e">
        <f t="shared" si="274"/>
        <v>#VALUE!</v>
      </c>
      <c r="L1053" s="28" t="e">
        <f>INDEX('Peak Models'!$P$34:$P$64, MATCH(TRUNC(B1053, 0), 'Peak Models'!$O$34:$O$64, 0))</f>
        <v>#N/A</v>
      </c>
      <c r="M1053" s="28">
        <f>'Peak Models'!$P$15*INDEX('Peak Models'!$Q$34:$Q$64, MATCH(TRUNC(B1053, 0),'Peak Models'!$O$34:$O$64, 0))/'Profit per cycles Model'!$E$78</f>
        <v>9.3952706765044951</v>
      </c>
      <c r="N1053" s="28" t="e">
        <f t="shared" si="275"/>
        <v>#N/A</v>
      </c>
      <c r="O1053" s="71" t="e">
        <f>AVERAGE($N$10:N1053)</f>
        <v>#N/A</v>
      </c>
      <c r="P1053" s="28" t="e">
        <f t="shared" si="276"/>
        <v>#N/A</v>
      </c>
      <c r="R1053" s="28" t="e">
        <f t="shared" si="277"/>
        <v>#VALUE!</v>
      </c>
      <c r="S1053" s="25"/>
      <c r="T1053" s="25">
        <f t="shared" si="278"/>
        <v>15</v>
      </c>
      <c r="U1053" s="33">
        <f>IF(PaybackCustom&gt;0, IF(PaybackCustom&lt;&gt;"Default", PaybackCustom, IF(PaybackStatus&lt;&gt;"",INDEX('Arbitrage Payback Engine'!$Y$2:$Y$6,MATCH(PaybackStatus,'Arbitrage Payback Engine'!$X$2:$X$6,FALSE)),-1)))</f>
        <v>25</v>
      </c>
      <c r="V1053" s="32">
        <f t="shared" si="287"/>
        <v>15</v>
      </c>
      <c r="X1053" s="29">
        <f t="shared" si="288"/>
        <v>1044</v>
      </c>
      <c r="Z1053" s="30">
        <f t="shared" si="279"/>
        <v>28.598822079167235</v>
      </c>
      <c r="AA1053" s="28" t="e">
        <f t="shared" si="280"/>
        <v>#N/A</v>
      </c>
      <c r="AB1053" s="28" t="e">
        <f t="shared" si="281"/>
        <v>#VALUE!</v>
      </c>
      <c r="AC1053" s="29">
        <f t="shared" si="282"/>
        <v>990.51233396584439</v>
      </c>
      <c r="AD1053" s="28" t="e">
        <f t="shared" si="283"/>
        <v>#VALUE!</v>
      </c>
      <c r="AE1053" s="28" t="e">
        <f t="shared" si="284"/>
        <v>#N/A</v>
      </c>
      <c r="AF1053" s="28" t="e">
        <f t="shared" si="285"/>
        <v>#VALUE!</v>
      </c>
      <c r="AH1053" s="31" t="e">
        <f t="shared" si="286"/>
        <v>#N/A</v>
      </c>
      <c r="AI1053" s="25"/>
      <c r="AJ1053" s="31"/>
    </row>
    <row r="1054" spans="2:36" x14ac:dyDescent="0.25">
      <c r="B1054" s="33">
        <f>'Arbitrage Payback Engine'!E1054</f>
        <v>28.626215586905904</v>
      </c>
      <c r="C1054" s="33">
        <f t="shared" si="272"/>
        <v>1000</v>
      </c>
      <c r="D1054" s="33">
        <f>'Battery Pricing Model'!$C$17</f>
        <v>1000</v>
      </c>
      <c r="E1054" s="33">
        <f t="shared" si="273"/>
        <v>999</v>
      </c>
      <c r="F1054" s="33" t="str">
        <f>'Peak Models'!$B$4</f>
        <v>Default</v>
      </c>
      <c r="G1054" s="33" t="e">
        <f>'Peak Models'!$Q$7</f>
        <v>#VALUE!</v>
      </c>
      <c r="H1054" s="33">
        <f>'Peak Models'!$P$16</f>
        <v>1.5</v>
      </c>
      <c r="I1054" s="33">
        <v>12</v>
      </c>
      <c r="J1054" s="33" t="e">
        <f>'Peak Models'!$P$13</f>
        <v>#N/A</v>
      </c>
      <c r="K1054" s="28" t="e">
        <f t="shared" si="274"/>
        <v>#VALUE!</v>
      </c>
      <c r="L1054" s="28" t="e">
        <f>INDEX('Peak Models'!$P$34:$P$64, MATCH(TRUNC(B1054, 0), 'Peak Models'!$O$34:$O$64, 0))</f>
        <v>#N/A</v>
      </c>
      <c r="M1054" s="28">
        <f>'Peak Models'!$P$15*INDEX('Peak Models'!$Q$34:$Q$64, MATCH(TRUNC(B1054, 0),'Peak Models'!$O$34:$O$64, 0))/'Profit per cycles Model'!$E$78</f>
        <v>9.3952706765044951</v>
      </c>
      <c r="N1054" s="28" t="e">
        <f t="shared" si="275"/>
        <v>#N/A</v>
      </c>
      <c r="O1054" s="71" t="e">
        <f>AVERAGE($N$10:N1054)</f>
        <v>#N/A</v>
      </c>
      <c r="P1054" s="28" t="e">
        <f t="shared" si="276"/>
        <v>#N/A</v>
      </c>
      <c r="R1054" s="28" t="e">
        <f t="shared" si="277"/>
        <v>#VALUE!</v>
      </c>
      <c r="S1054" s="25"/>
      <c r="T1054" s="25">
        <f t="shared" si="278"/>
        <v>15</v>
      </c>
      <c r="U1054" s="33">
        <f>IF(PaybackCustom&gt;0, IF(PaybackCustom&lt;&gt;"Default", PaybackCustom, IF(PaybackStatus&lt;&gt;"",INDEX('Arbitrage Payback Engine'!$Y$2:$Y$6,MATCH(PaybackStatus,'Arbitrage Payback Engine'!$X$2:$X$6,FALSE)),-1)))</f>
        <v>25</v>
      </c>
      <c r="V1054" s="32">
        <f t="shared" si="287"/>
        <v>15</v>
      </c>
      <c r="X1054" s="29">
        <f t="shared" si="288"/>
        <v>1045</v>
      </c>
      <c r="Z1054" s="30">
        <f t="shared" si="279"/>
        <v>28.626215586905904</v>
      </c>
      <c r="AA1054" s="28" t="e">
        <f t="shared" si="280"/>
        <v>#N/A</v>
      </c>
      <c r="AB1054" s="28" t="e">
        <f t="shared" si="281"/>
        <v>#VALUE!</v>
      </c>
      <c r="AC1054" s="29">
        <f t="shared" si="282"/>
        <v>991.46110056926</v>
      </c>
      <c r="AD1054" s="28" t="e">
        <f t="shared" si="283"/>
        <v>#VALUE!</v>
      </c>
      <c r="AE1054" s="28" t="e">
        <f t="shared" si="284"/>
        <v>#N/A</v>
      </c>
      <c r="AF1054" s="28" t="e">
        <f t="shared" si="285"/>
        <v>#VALUE!</v>
      </c>
      <c r="AH1054" s="31" t="e">
        <f t="shared" si="286"/>
        <v>#N/A</v>
      </c>
      <c r="AI1054" s="25"/>
      <c r="AJ1054" s="31"/>
    </row>
    <row r="1055" spans="2:36" x14ac:dyDescent="0.25">
      <c r="B1055" s="33">
        <f>'Arbitrage Payback Engine'!E1055</f>
        <v>28.653609094644569</v>
      </c>
      <c r="C1055" s="33">
        <f t="shared" si="272"/>
        <v>1000</v>
      </c>
      <c r="D1055" s="33">
        <f>'Battery Pricing Model'!$C$17</f>
        <v>1000</v>
      </c>
      <c r="E1055" s="33">
        <f t="shared" si="273"/>
        <v>999</v>
      </c>
      <c r="F1055" s="33" t="str">
        <f>'Peak Models'!$B$4</f>
        <v>Default</v>
      </c>
      <c r="G1055" s="33" t="e">
        <f>'Peak Models'!$Q$7</f>
        <v>#VALUE!</v>
      </c>
      <c r="H1055" s="33">
        <f>'Peak Models'!$P$16</f>
        <v>1.5</v>
      </c>
      <c r="I1055" s="33">
        <v>12</v>
      </c>
      <c r="J1055" s="33" t="e">
        <f>'Peak Models'!$P$13</f>
        <v>#N/A</v>
      </c>
      <c r="K1055" s="28" t="e">
        <f t="shared" si="274"/>
        <v>#VALUE!</v>
      </c>
      <c r="L1055" s="28" t="e">
        <f>INDEX('Peak Models'!$P$34:$P$64, MATCH(TRUNC(B1055, 0), 'Peak Models'!$O$34:$O$64, 0))</f>
        <v>#N/A</v>
      </c>
      <c r="M1055" s="28">
        <f>'Peak Models'!$P$15*INDEX('Peak Models'!$Q$34:$Q$64, MATCH(TRUNC(B1055, 0),'Peak Models'!$O$34:$O$64, 0))/'Profit per cycles Model'!$E$78</f>
        <v>9.3952706765044951</v>
      </c>
      <c r="N1055" s="28" t="e">
        <f t="shared" si="275"/>
        <v>#N/A</v>
      </c>
      <c r="O1055" s="71" t="e">
        <f>AVERAGE($N$10:N1055)</f>
        <v>#N/A</v>
      </c>
      <c r="P1055" s="28" t="e">
        <f t="shared" si="276"/>
        <v>#N/A</v>
      </c>
      <c r="R1055" s="28" t="e">
        <f t="shared" si="277"/>
        <v>#VALUE!</v>
      </c>
      <c r="S1055" s="25"/>
      <c r="T1055" s="25">
        <f t="shared" si="278"/>
        <v>15</v>
      </c>
      <c r="U1055" s="33">
        <f>IF(PaybackCustom&gt;0, IF(PaybackCustom&lt;&gt;"Default", PaybackCustom, IF(PaybackStatus&lt;&gt;"",INDEX('Arbitrage Payback Engine'!$Y$2:$Y$6,MATCH(PaybackStatus,'Arbitrage Payback Engine'!$X$2:$X$6,FALSE)),-1)))</f>
        <v>25</v>
      </c>
      <c r="V1055" s="32">
        <f t="shared" si="287"/>
        <v>15</v>
      </c>
      <c r="X1055" s="29">
        <f t="shared" si="288"/>
        <v>1046</v>
      </c>
      <c r="Z1055" s="30">
        <f t="shared" si="279"/>
        <v>28.653609094644569</v>
      </c>
      <c r="AA1055" s="28" t="e">
        <f t="shared" si="280"/>
        <v>#N/A</v>
      </c>
      <c r="AB1055" s="28" t="e">
        <f t="shared" si="281"/>
        <v>#VALUE!</v>
      </c>
      <c r="AC1055" s="29">
        <f t="shared" si="282"/>
        <v>992.4098671726756</v>
      </c>
      <c r="AD1055" s="28" t="e">
        <f t="shared" si="283"/>
        <v>#VALUE!</v>
      </c>
      <c r="AE1055" s="28" t="e">
        <f t="shared" si="284"/>
        <v>#N/A</v>
      </c>
      <c r="AF1055" s="28" t="e">
        <f t="shared" si="285"/>
        <v>#VALUE!</v>
      </c>
      <c r="AH1055" s="31" t="e">
        <f t="shared" si="286"/>
        <v>#N/A</v>
      </c>
      <c r="AI1055" s="25"/>
      <c r="AJ1055" s="31"/>
    </row>
    <row r="1056" spans="2:36" x14ac:dyDescent="0.25">
      <c r="B1056" s="33">
        <f>'Arbitrage Payback Engine'!E1056</f>
        <v>28.681002602383234</v>
      </c>
      <c r="C1056" s="33">
        <f t="shared" si="272"/>
        <v>1000</v>
      </c>
      <c r="D1056" s="33">
        <f>'Battery Pricing Model'!$C$17</f>
        <v>1000</v>
      </c>
      <c r="E1056" s="33">
        <f t="shared" si="273"/>
        <v>999</v>
      </c>
      <c r="F1056" s="33" t="str">
        <f>'Peak Models'!$B$4</f>
        <v>Default</v>
      </c>
      <c r="G1056" s="33" t="e">
        <f>'Peak Models'!$Q$7</f>
        <v>#VALUE!</v>
      </c>
      <c r="H1056" s="33">
        <f>'Peak Models'!$P$16</f>
        <v>1.5</v>
      </c>
      <c r="I1056" s="33">
        <v>12</v>
      </c>
      <c r="J1056" s="33" t="e">
        <f>'Peak Models'!$P$13</f>
        <v>#N/A</v>
      </c>
      <c r="K1056" s="28" t="e">
        <f t="shared" si="274"/>
        <v>#VALUE!</v>
      </c>
      <c r="L1056" s="28" t="e">
        <f>INDEX('Peak Models'!$P$34:$P$64, MATCH(TRUNC(B1056, 0), 'Peak Models'!$O$34:$O$64, 0))</f>
        <v>#N/A</v>
      </c>
      <c r="M1056" s="28">
        <f>'Peak Models'!$P$15*INDEX('Peak Models'!$Q$34:$Q$64, MATCH(TRUNC(B1056, 0),'Peak Models'!$O$34:$O$64, 0))/'Profit per cycles Model'!$E$78</f>
        <v>9.3952706765044951</v>
      </c>
      <c r="N1056" s="28" t="e">
        <f t="shared" si="275"/>
        <v>#N/A</v>
      </c>
      <c r="O1056" s="71" t="e">
        <f>AVERAGE($N$10:N1056)</f>
        <v>#N/A</v>
      </c>
      <c r="P1056" s="28" t="e">
        <f t="shared" si="276"/>
        <v>#N/A</v>
      </c>
      <c r="R1056" s="28" t="e">
        <f t="shared" si="277"/>
        <v>#VALUE!</v>
      </c>
      <c r="S1056" s="25"/>
      <c r="T1056" s="25">
        <f t="shared" si="278"/>
        <v>15</v>
      </c>
      <c r="U1056" s="33">
        <f>IF(PaybackCustom&gt;0, IF(PaybackCustom&lt;&gt;"Default", PaybackCustom, IF(PaybackStatus&lt;&gt;"",INDEX('Arbitrage Payback Engine'!$Y$2:$Y$6,MATCH(PaybackStatus,'Arbitrage Payback Engine'!$X$2:$X$6,FALSE)),-1)))</f>
        <v>25</v>
      </c>
      <c r="V1056" s="32">
        <f t="shared" si="287"/>
        <v>15</v>
      </c>
      <c r="X1056" s="29">
        <f t="shared" si="288"/>
        <v>1047</v>
      </c>
      <c r="Z1056" s="30">
        <f t="shared" si="279"/>
        <v>28.681002602383234</v>
      </c>
      <c r="AA1056" s="28" t="e">
        <f t="shared" si="280"/>
        <v>#N/A</v>
      </c>
      <c r="AB1056" s="28" t="e">
        <f t="shared" si="281"/>
        <v>#VALUE!</v>
      </c>
      <c r="AC1056" s="29">
        <f t="shared" si="282"/>
        <v>993.35863377609121</v>
      </c>
      <c r="AD1056" s="28" t="e">
        <f t="shared" si="283"/>
        <v>#VALUE!</v>
      </c>
      <c r="AE1056" s="28" t="e">
        <f t="shared" si="284"/>
        <v>#N/A</v>
      </c>
      <c r="AF1056" s="28" t="e">
        <f t="shared" si="285"/>
        <v>#VALUE!</v>
      </c>
      <c r="AH1056" s="31" t="e">
        <f t="shared" si="286"/>
        <v>#N/A</v>
      </c>
      <c r="AI1056" s="25"/>
      <c r="AJ1056" s="31"/>
    </row>
    <row r="1057" spans="2:36" x14ac:dyDescent="0.25">
      <c r="B1057" s="33">
        <f>'Arbitrage Payback Engine'!E1057</f>
        <v>28.7083961101219</v>
      </c>
      <c r="C1057" s="33">
        <f t="shared" si="272"/>
        <v>1000</v>
      </c>
      <c r="D1057" s="33">
        <f>'Battery Pricing Model'!$C$17</f>
        <v>1000</v>
      </c>
      <c r="E1057" s="33">
        <f t="shared" si="273"/>
        <v>999</v>
      </c>
      <c r="F1057" s="33" t="str">
        <f>'Peak Models'!$B$4</f>
        <v>Default</v>
      </c>
      <c r="G1057" s="33" t="e">
        <f>'Peak Models'!$Q$7</f>
        <v>#VALUE!</v>
      </c>
      <c r="H1057" s="33">
        <f>'Peak Models'!$P$16</f>
        <v>1.5</v>
      </c>
      <c r="I1057" s="33">
        <v>12</v>
      </c>
      <c r="J1057" s="33" t="e">
        <f>'Peak Models'!$P$13</f>
        <v>#N/A</v>
      </c>
      <c r="K1057" s="28" t="e">
        <f t="shared" si="274"/>
        <v>#VALUE!</v>
      </c>
      <c r="L1057" s="28" t="e">
        <f>INDEX('Peak Models'!$P$34:$P$64, MATCH(TRUNC(B1057, 0), 'Peak Models'!$O$34:$O$64, 0))</f>
        <v>#N/A</v>
      </c>
      <c r="M1057" s="28">
        <f>'Peak Models'!$P$15*INDEX('Peak Models'!$Q$34:$Q$64, MATCH(TRUNC(B1057, 0),'Peak Models'!$O$34:$O$64, 0))/'Profit per cycles Model'!$E$78</f>
        <v>9.3952706765044951</v>
      </c>
      <c r="N1057" s="28" t="e">
        <f t="shared" si="275"/>
        <v>#N/A</v>
      </c>
      <c r="O1057" s="71" t="e">
        <f>AVERAGE($N$10:N1057)</f>
        <v>#N/A</v>
      </c>
      <c r="P1057" s="28" t="e">
        <f t="shared" si="276"/>
        <v>#N/A</v>
      </c>
      <c r="R1057" s="28" t="e">
        <f t="shared" si="277"/>
        <v>#VALUE!</v>
      </c>
      <c r="S1057" s="25"/>
      <c r="T1057" s="25">
        <f t="shared" si="278"/>
        <v>15</v>
      </c>
      <c r="U1057" s="33">
        <f>IF(PaybackCustom&gt;0, IF(PaybackCustom&lt;&gt;"Default", PaybackCustom, IF(PaybackStatus&lt;&gt;"",INDEX('Arbitrage Payback Engine'!$Y$2:$Y$6,MATCH(PaybackStatus,'Arbitrage Payback Engine'!$X$2:$X$6,FALSE)),-1)))</f>
        <v>25</v>
      </c>
      <c r="V1057" s="32">
        <f t="shared" si="287"/>
        <v>15</v>
      </c>
      <c r="X1057" s="29">
        <f t="shared" si="288"/>
        <v>1048</v>
      </c>
      <c r="Z1057" s="30">
        <f t="shared" si="279"/>
        <v>28.7083961101219</v>
      </c>
      <c r="AA1057" s="28" t="e">
        <f t="shared" si="280"/>
        <v>#N/A</v>
      </c>
      <c r="AB1057" s="28" t="e">
        <f t="shared" si="281"/>
        <v>#VALUE!</v>
      </c>
      <c r="AC1057" s="29">
        <f t="shared" si="282"/>
        <v>994.30740037950659</v>
      </c>
      <c r="AD1057" s="28" t="e">
        <f t="shared" si="283"/>
        <v>#VALUE!</v>
      </c>
      <c r="AE1057" s="28" t="e">
        <f t="shared" si="284"/>
        <v>#N/A</v>
      </c>
      <c r="AF1057" s="28" t="e">
        <f t="shared" si="285"/>
        <v>#VALUE!</v>
      </c>
      <c r="AH1057" s="31" t="e">
        <f t="shared" si="286"/>
        <v>#N/A</v>
      </c>
      <c r="AI1057" s="25"/>
      <c r="AJ1057" s="31"/>
    </row>
    <row r="1058" spans="2:36" x14ac:dyDescent="0.25">
      <c r="B1058" s="33">
        <f>'Arbitrage Payback Engine'!E1058</f>
        <v>28.735789617860565</v>
      </c>
      <c r="C1058" s="33">
        <f t="shared" si="272"/>
        <v>1000</v>
      </c>
      <c r="D1058" s="33">
        <f>'Battery Pricing Model'!$C$17</f>
        <v>1000</v>
      </c>
      <c r="E1058" s="33">
        <f t="shared" si="273"/>
        <v>999</v>
      </c>
      <c r="F1058" s="33" t="str">
        <f>'Peak Models'!$B$4</f>
        <v>Default</v>
      </c>
      <c r="G1058" s="33" t="e">
        <f>'Peak Models'!$Q$7</f>
        <v>#VALUE!</v>
      </c>
      <c r="H1058" s="33">
        <f>'Peak Models'!$P$16</f>
        <v>1.5</v>
      </c>
      <c r="I1058" s="33">
        <v>12</v>
      </c>
      <c r="J1058" s="33" t="e">
        <f>'Peak Models'!$P$13</f>
        <v>#N/A</v>
      </c>
      <c r="K1058" s="28" t="e">
        <f t="shared" si="274"/>
        <v>#VALUE!</v>
      </c>
      <c r="L1058" s="28" t="e">
        <f>INDEX('Peak Models'!$P$34:$P$64, MATCH(TRUNC(B1058, 0), 'Peak Models'!$O$34:$O$64, 0))</f>
        <v>#N/A</v>
      </c>
      <c r="M1058" s="28">
        <f>'Peak Models'!$P$15*INDEX('Peak Models'!$Q$34:$Q$64, MATCH(TRUNC(B1058, 0),'Peak Models'!$O$34:$O$64, 0))/'Profit per cycles Model'!$E$78</f>
        <v>9.3952706765044951</v>
      </c>
      <c r="N1058" s="28" t="e">
        <f t="shared" si="275"/>
        <v>#N/A</v>
      </c>
      <c r="O1058" s="71" t="e">
        <f>AVERAGE($N$10:N1058)</f>
        <v>#N/A</v>
      </c>
      <c r="P1058" s="28" t="e">
        <f t="shared" si="276"/>
        <v>#N/A</v>
      </c>
      <c r="R1058" s="28" t="e">
        <f t="shared" si="277"/>
        <v>#VALUE!</v>
      </c>
      <c r="S1058" s="25"/>
      <c r="T1058" s="25">
        <f t="shared" si="278"/>
        <v>15</v>
      </c>
      <c r="U1058" s="33">
        <f>IF(PaybackCustom&gt;0, IF(PaybackCustom&lt;&gt;"Default", PaybackCustom, IF(PaybackStatus&lt;&gt;"",INDEX('Arbitrage Payback Engine'!$Y$2:$Y$6,MATCH(PaybackStatus,'Arbitrage Payback Engine'!$X$2:$X$6,FALSE)),-1)))</f>
        <v>25</v>
      </c>
      <c r="V1058" s="32">
        <f t="shared" si="287"/>
        <v>15</v>
      </c>
      <c r="X1058" s="29">
        <f t="shared" si="288"/>
        <v>1049</v>
      </c>
      <c r="Z1058" s="30">
        <f t="shared" si="279"/>
        <v>28.735789617860565</v>
      </c>
      <c r="AA1058" s="28" t="e">
        <f t="shared" si="280"/>
        <v>#N/A</v>
      </c>
      <c r="AB1058" s="28" t="e">
        <f t="shared" si="281"/>
        <v>#VALUE!</v>
      </c>
      <c r="AC1058" s="29">
        <f t="shared" si="282"/>
        <v>995.2561669829222</v>
      </c>
      <c r="AD1058" s="28" t="e">
        <f t="shared" si="283"/>
        <v>#VALUE!</v>
      </c>
      <c r="AE1058" s="28" t="e">
        <f t="shared" si="284"/>
        <v>#N/A</v>
      </c>
      <c r="AF1058" s="28" t="e">
        <f t="shared" si="285"/>
        <v>#VALUE!</v>
      </c>
      <c r="AH1058" s="31" t="e">
        <f t="shared" si="286"/>
        <v>#N/A</v>
      </c>
      <c r="AI1058" s="25"/>
      <c r="AJ1058" s="31"/>
    </row>
    <row r="1059" spans="2:36" x14ac:dyDescent="0.25">
      <c r="B1059" s="33">
        <f>'Arbitrage Payback Engine'!E1059</f>
        <v>28.763183125599234</v>
      </c>
      <c r="C1059" s="33">
        <f t="shared" si="272"/>
        <v>1000</v>
      </c>
      <c r="D1059" s="33">
        <f>'Battery Pricing Model'!$C$17</f>
        <v>1000</v>
      </c>
      <c r="E1059" s="33">
        <f t="shared" si="273"/>
        <v>999</v>
      </c>
      <c r="F1059" s="33" t="str">
        <f>'Peak Models'!$B$4</f>
        <v>Default</v>
      </c>
      <c r="G1059" s="33" t="e">
        <f>'Peak Models'!$Q$7</f>
        <v>#VALUE!</v>
      </c>
      <c r="H1059" s="33">
        <f>'Peak Models'!$P$16</f>
        <v>1.5</v>
      </c>
      <c r="I1059" s="33">
        <v>12</v>
      </c>
      <c r="J1059" s="33" t="e">
        <f>'Peak Models'!$P$13</f>
        <v>#N/A</v>
      </c>
      <c r="K1059" s="28" t="e">
        <f t="shared" si="274"/>
        <v>#VALUE!</v>
      </c>
      <c r="L1059" s="28" t="e">
        <f>INDEX('Peak Models'!$P$34:$P$64, MATCH(TRUNC(B1059, 0), 'Peak Models'!$O$34:$O$64, 0))</f>
        <v>#N/A</v>
      </c>
      <c r="M1059" s="28">
        <f>'Peak Models'!$P$15*INDEX('Peak Models'!$Q$34:$Q$64, MATCH(TRUNC(B1059, 0),'Peak Models'!$O$34:$O$64, 0))/'Profit per cycles Model'!$E$78</f>
        <v>9.3952706765044951</v>
      </c>
      <c r="N1059" s="28" t="e">
        <f t="shared" si="275"/>
        <v>#N/A</v>
      </c>
      <c r="O1059" s="71" t="e">
        <f>AVERAGE($N$10:N1059)</f>
        <v>#N/A</v>
      </c>
      <c r="P1059" s="28" t="e">
        <f t="shared" si="276"/>
        <v>#N/A</v>
      </c>
      <c r="R1059" s="28" t="e">
        <f t="shared" si="277"/>
        <v>#VALUE!</v>
      </c>
      <c r="S1059" s="25"/>
      <c r="T1059" s="25">
        <f t="shared" si="278"/>
        <v>15</v>
      </c>
      <c r="U1059" s="33">
        <f>IF(PaybackCustom&gt;0, IF(PaybackCustom&lt;&gt;"Default", PaybackCustom, IF(PaybackStatus&lt;&gt;"",INDEX('Arbitrage Payback Engine'!$Y$2:$Y$6,MATCH(PaybackStatus,'Arbitrage Payback Engine'!$X$2:$X$6,FALSE)),-1)))</f>
        <v>25</v>
      </c>
      <c r="V1059" s="32">
        <f t="shared" si="287"/>
        <v>15</v>
      </c>
      <c r="X1059" s="29">
        <f t="shared" si="288"/>
        <v>1050</v>
      </c>
      <c r="Z1059" s="30">
        <f t="shared" si="279"/>
        <v>28.763183125599234</v>
      </c>
      <c r="AA1059" s="28" t="e">
        <f t="shared" si="280"/>
        <v>#N/A</v>
      </c>
      <c r="AB1059" s="28" t="e">
        <f t="shared" si="281"/>
        <v>#VALUE!</v>
      </c>
      <c r="AC1059" s="29">
        <f t="shared" si="282"/>
        <v>996.2049335863378</v>
      </c>
      <c r="AD1059" s="28" t="e">
        <f t="shared" si="283"/>
        <v>#VALUE!</v>
      </c>
      <c r="AE1059" s="28" t="e">
        <f t="shared" si="284"/>
        <v>#N/A</v>
      </c>
      <c r="AF1059" s="28" t="e">
        <f t="shared" si="285"/>
        <v>#VALUE!</v>
      </c>
      <c r="AH1059" s="31" t="e">
        <f t="shared" si="286"/>
        <v>#N/A</v>
      </c>
      <c r="AI1059" s="25"/>
      <c r="AJ1059" s="31"/>
    </row>
    <row r="1060" spans="2:36" x14ac:dyDescent="0.25">
      <c r="B1060" s="33">
        <f>'Arbitrage Payback Engine'!E1060</f>
        <v>28.790576633337899</v>
      </c>
      <c r="C1060" s="33">
        <f t="shared" si="272"/>
        <v>1000</v>
      </c>
      <c r="D1060" s="33">
        <f>'Battery Pricing Model'!$C$17</f>
        <v>1000</v>
      </c>
      <c r="E1060" s="33">
        <f t="shared" si="273"/>
        <v>999</v>
      </c>
      <c r="F1060" s="33" t="str">
        <f>'Peak Models'!$B$4</f>
        <v>Default</v>
      </c>
      <c r="G1060" s="33" t="e">
        <f>'Peak Models'!$Q$7</f>
        <v>#VALUE!</v>
      </c>
      <c r="H1060" s="33">
        <f>'Peak Models'!$P$16</f>
        <v>1.5</v>
      </c>
      <c r="I1060" s="33">
        <v>12</v>
      </c>
      <c r="J1060" s="33" t="e">
        <f>'Peak Models'!$P$13</f>
        <v>#N/A</v>
      </c>
      <c r="K1060" s="28" t="e">
        <f t="shared" si="274"/>
        <v>#VALUE!</v>
      </c>
      <c r="L1060" s="28" t="e">
        <f>INDEX('Peak Models'!$P$34:$P$64, MATCH(TRUNC(B1060, 0), 'Peak Models'!$O$34:$O$64, 0))</f>
        <v>#N/A</v>
      </c>
      <c r="M1060" s="28">
        <f>'Peak Models'!$P$15*INDEX('Peak Models'!$Q$34:$Q$64, MATCH(TRUNC(B1060, 0),'Peak Models'!$O$34:$O$64, 0))/'Profit per cycles Model'!$E$78</f>
        <v>9.3952706765044951</v>
      </c>
      <c r="N1060" s="28" t="e">
        <f t="shared" si="275"/>
        <v>#N/A</v>
      </c>
      <c r="O1060" s="71" t="e">
        <f>AVERAGE($N$10:N1060)</f>
        <v>#N/A</v>
      </c>
      <c r="P1060" s="28" t="e">
        <f t="shared" si="276"/>
        <v>#N/A</v>
      </c>
      <c r="R1060" s="28" t="e">
        <f t="shared" si="277"/>
        <v>#VALUE!</v>
      </c>
      <c r="S1060" s="25"/>
      <c r="T1060" s="25">
        <f t="shared" si="278"/>
        <v>15</v>
      </c>
      <c r="U1060" s="33">
        <f>IF(PaybackCustom&gt;0, IF(PaybackCustom&lt;&gt;"Default", PaybackCustom, IF(PaybackStatus&lt;&gt;"",INDEX('Arbitrage Payback Engine'!$Y$2:$Y$6,MATCH(PaybackStatus,'Arbitrage Payback Engine'!$X$2:$X$6,FALSE)),-1)))</f>
        <v>25</v>
      </c>
      <c r="V1060" s="32">
        <f t="shared" si="287"/>
        <v>15</v>
      </c>
      <c r="X1060" s="29">
        <f t="shared" si="288"/>
        <v>1051</v>
      </c>
      <c r="Z1060" s="30">
        <f t="shared" si="279"/>
        <v>28.790576633337899</v>
      </c>
      <c r="AA1060" s="28" t="e">
        <f t="shared" si="280"/>
        <v>#N/A</v>
      </c>
      <c r="AB1060" s="28" t="e">
        <f t="shared" si="281"/>
        <v>#VALUE!</v>
      </c>
      <c r="AC1060" s="29">
        <f t="shared" si="282"/>
        <v>997.15370018975341</v>
      </c>
      <c r="AD1060" s="28" t="e">
        <f t="shared" si="283"/>
        <v>#VALUE!</v>
      </c>
      <c r="AE1060" s="28" t="e">
        <f t="shared" si="284"/>
        <v>#N/A</v>
      </c>
      <c r="AF1060" s="28" t="e">
        <f t="shared" si="285"/>
        <v>#VALUE!</v>
      </c>
      <c r="AH1060" s="31" t="e">
        <f t="shared" si="286"/>
        <v>#N/A</v>
      </c>
      <c r="AI1060" s="25"/>
      <c r="AJ1060" s="31"/>
    </row>
    <row r="1061" spans="2:36" x14ac:dyDescent="0.25">
      <c r="B1061" s="33">
        <f>'Arbitrage Payback Engine'!E1061</f>
        <v>28.817970141076565</v>
      </c>
      <c r="C1061" s="33">
        <f t="shared" si="272"/>
        <v>1000</v>
      </c>
      <c r="D1061" s="33">
        <f>'Battery Pricing Model'!$C$17</f>
        <v>1000</v>
      </c>
      <c r="E1061" s="33">
        <f t="shared" si="273"/>
        <v>999</v>
      </c>
      <c r="F1061" s="33" t="str">
        <f>'Peak Models'!$B$4</f>
        <v>Default</v>
      </c>
      <c r="G1061" s="33" t="e">
        <f>'Peak Models'!$Q$7</f>
        <v>#VALUE!</v>
      </c>
      <c r="H1061" s="33">
        <f>'Peak Models'!$P$16</f>
        <v>1.5</v>
      </c>
      <c r="I1061" s="33">
        <v>12</v>
      </c>
      <c r="J1061" s="33" t="e">
        <f>'Peak Models'!$P$13</f>
        <v>#N/A</v>
      </c>
      <c r="K1061" s="28" t="e">
        <f t="shared" si="274"/>
        <v>#VALUE!</v>
      </c>
      <c r="L1061" s="28" t="e">
        <f>INDEX('Peak Models'!$P$34:$P$64, MATCH(TRUNC(B1061, 0), 'Peak Models'!$O$34:$O$64, 0))</f>
        <v>#N/A</v>
      </c>
      <c r="M1061" s="28">
        <f>'Peak Models'!$P$15*INDEX('Peak Models'!$Q$34:$Q$64, MATCH(TRUNC(B1061, 0),'Peak Models'!$O$34:$O$64, 0))/'Profit per cycles Model'!$E$78</f>
        <v>9.3952706765044951</v>
      </c>
      <c r="N1061" s="28" t="e">
        <f t="shared" si="275"/>
        <v>#N/A</v>
      </c>
      <c r="O1061" s="71" t="e">
        <f>AVERAGE($N$10:N1061)</f>
        <v>#N/A</v>
      </c>
      <c r="P1061" s="28" t="e">
        <f t="shared" si="276"/>
        <v>#N/A</v>
      </c>
      <c r="R1061" s="28" t="e">
        <f t="shared" si="277"/>
        <v>#VALUE!</v>
      </c>
      <c r="S1061" s="25"/>
      <c r="T1061" s="25">
        <f t="shared" si="278"/>
        <v>15</v>
      </c>
      <c r="U1061" s="33">
        <f>IF(PaybackCustom&gt;0, IF(PaybackCustom&lt;&gt;"Default", PaybackCustom, IF(PaybackStatus&lt;&gt;"",INDEX('Arbitrage Payback Engine'!$Y$2:$Y$6,MATCH(PaybackStatus,'Arbitrage Payback Engine'!$X$2:$X$6,FALSE)),-1)))</f>
        <v>25</v>
      </c>
      <c r="V1061" s="32">
        <f t="shared" si="287"/>
        <v>15</v>
      </c>
      <c r="X1061" s="29">
        <f t="shared" si="288"/>
        <v>1052</v>
      </c>
      <c r="Z1061" s="30">
        <f t="shared" si="279"/>
        <v>28.817970141076565</v>
      </c>
      <c r="AA1061" s="28" t="e">
        <f t="shared" si="280"/>
        <v>#N/A</v>
      </c>
      <c r="AB1061" s="28" t="e">
        <f t="shared" si="281"/>
        <v>#VALUE!</v>
      </c>
      <c r="AC1061" s="29">
        <f t="shared" si="282"/>
        <v>998.1024667931689</v>
      </c>
      <c r="AD1061" s="28" t="e">
        <f t="shared" si="283"/>
        <v>#VALUE!</v>
      </c>
      <c r="AE1061" s="28" t="e">
        <f t="shared" si="284"/>
        <v>#N/A</v>
      </c>
      <c r="AF1061" s="28" t="e">
        <f t="shared" si="285"/>
        <v>#VALUE!</v>
      </c>
      <c r="AH1061" s="31" t="e">
        <f t="shared" si="286"/>
        <v>#N/A</v>
      </c>
      <c r="AI1061" s="25"/>
      <c r="AJ1061" s="31"/>
    </row>
    <row r="1062" spans="2:36" x14ac:dyDescent="0.25">
      <c r="B1062" s="33">
        <f>'Arbitrage Payback Engine'!E1062</f>
        <v>28.84536364881523</v>
      </c>
      <c r="C1062" s="33">
        <f t="shared" si="272"/>
        <v>1000</v>
      </c>
      <c r="D1062" s="33">
        <f>'Battery Pricing Model'!$C$17</f>
        <v>1000</v>
      </c>
      <c r="E1062" s="33">
        <f t="shared" si="273"/>
        <v>999</v>
      </c>
      <c r="F1062" s="33" t="str">
        <f>'Peak Models'!$B$4</f>
        <v>Default</v>
      </c>
      <c r="G1062" s="33" t="e">
        <f>'Peak Models'!$Q$7</f>
        <v>#VALUE!</v>
      </c>
      <c r="H1062" s="33">
        <f>'Peak Models'!$P$16</f>
        <v>1.5</v>
      </c>
      <c r="I1062" s="33">
        <v>12</v>
      </c>
      <c r="J1062" s="33" t="e">
        <f>'Peak Models'!$P$13</f>
        <v>#N/A</v>
      </c>
      <c r="K1062" s="28" t="e">
        <f t="shared" si="274"/>
        <v>#VALUE!</v>
      </c>
      <c r="L1062" s="28" t="e">
        <f>INDEX('Peak Models'!$P$34:$P$64, MATCH(TRUNC(B1062, 0), 'Peak Models'!$O$34:$O$64, 0))</f>
        <v>#N/A</v>
      </c>
      <c r="M1062" s="28">
        <f>'Peak Models'!$P$15*INDEX('Peak Models'!$Q$34:$Q$64, MATCH(TRUNC(B1062, 0),'Peak Models'!$O$34:$O$64, 0))/'Profit per cycles Model'!$E$78</f>
        <v>9.3952706765044951</v>
      </c>
      <c r="N1062" s="28" t="e">
        <f t="shared" si="275"/>
        <v>#N/A</v>
      </c>
      <c r="O1062" s="71" t="e">
        <f>AVERAGE($N$10:N1062)</f>
        <v>#N/A</v>
      </c>
      <c r="P1062" s="28" t="e">
        <f t="shared" si="276"/>
        <v>#N/A</v>
      </c>
      <c r="R1062" s="28" t="e">
        <f t="shared" si="277"/>
        <v>#VALUE!</v>
      </c>
      <c r="S1062" s="25"/>
      <c r="T1062" s="25">
        <f t="shared" si="278"/>
        <v>15</v>
      </c>
      <c r="U1062" s="33">
        <f>IF(PaybackCustom&gt;0, IF(PaybackCustom&lt;&gt;"Default", PaybackCustom, IF(PaybackStatus&lt;&gt;"",INDEX('Arbitrage Payback Engine'!$Y$2:$Y$6,MATCH(PaybackStatus,'Arbitrage Payback Engine'!$X$2:$X$6,FALSE)),-1)))</f>
        <v>25</v>
      </c>
      <c r="V1062" s="32">
        <f t="shared" si="287"/>
        <v>15</v>
      </c>
      <c r="X1062" s="29">
        <f t="shared" si="288"/>
        <v>1053</v>
      </c>
      <c r="Z1062" s="30">
        <f t="shared" si="279"/>
        <v>28.84536364881523</v>
      </c>
      <c r="AA1062" s="28" t="e">
        <f t="shared" si="280"/>
        <v>#N/A</v>
      </c>
      <c r="AB1062" s="28" t="e">
        <f t="shared" si="281"/>
        <v>#VALUE!</v>
      </c>
      <c r="AC1062" s="29">
        <f t="shared" si="282"/>
        <v>999.05123339658451</v>
      </c>
      <c r="AD1062" s="28" t="e">
        <f t="shared" si="283"/>
        <v>#VALUE!</v>
      </c>
      <c r="AE1062" s="28" t="e">
        <f t="shared" si="284"/>
        <v>#N/A</v>
      </c>
      <c r="AF1062" s="28" t="e">
        <f t="shared" si="285"/>
        <v>#VALUE!</v>
      </c>
      <c r="AH1062" s="31" t="e">
        <f t="shared" si="286"/>
        <v>#N/A</v>
      </c>
      <c r="AI1062" s="25"/>
      <c r="AJ1062" s="31"/>
    </row>
    <row r="1063" spans="2:36" x14ac:dyDescent="0.25">
      <c r="B1063" s="33">
        <f>'Arbitrage Payback Engine'!E1063</f>
        <v>28.872757156553895</v>
      </c>
      <c r="C1063" s="33">
        <f t="shared" si="272"/>
        <v>1000</v>
      </c>
      <c r="D1063" s="33">
        <f>'Battery Pricing Model'!$C$17</f>
        <v>1000</v>
      </c>
      <c r="E1063" s="33">
        <f t="shared" si="273"/>
        <v>999</v>
      </c>
      <c r="F1063" s="33" t="str">
        <f>'Peak Models'!$B$4</f>
        <v>Default</v>
      </c>
      <c r="G1063" s="33" t="e">
        <f>'Peak Models'!$Q$7</f>
        <v>#VALUE!</v>
      </c>
      <c r="H1063" s="33">
        <f>'Peak Models'!$P$16</f>
        <v>1.5</v>
      </c>
      <c r="I1063" s="33">
        <v>12</v>
      </c>
      <c r="J1063" s="33" t="e">
        <f>'Peak Models'!$P$13</f>
        <v>#N/A</v>
      </c>
      <c r="K1063" s="28" t="e">
        <f t="shared" si="274"/>
        <v>#VALUE!</v>
      </c>
      <c r="L1063" s="28" t="e">
        <f>INDEX('Peak Models'!$P$34:$P$64, MATCH(TRUNC(B1063, 0), 'Peak Models'!$O$34:$O$64, 0))</f>
        <v>#N/A</v>
      </c>
      <c r="M1063" s="28">
        <f>'Peak Models'!$P$15*INDEX('Peak Models'!$Q$34:$Q$64, MATCH(TRUNC(B1063, 0),'Peak Models'!$O$34:$O$64, 0))/'Profit per cycles Model'!$E$78</f>
        <v>9.3952706765044951</v>
      </c>
      <c r="N1063" s="28" t="e">
        <f t="shared" si="275"/>
        <v>#N/A</v>
      </c>
      <c r="O1063" s="71" t="e">
        <f>AVERAGE($N$10:N1063)</f>
        <v>#N/A</v>
      </c>
      <c r="P1063" s="28" t="e">
        <f t="shared" si="276"/>
        <v>#N/A</v>
      </c>
      <c r="R1063" s="28" t="e">
        <f t="shared" si="277"/>
        <v>#VALUE!</v>
      </c>
      <c r="S1063" s="25"/>
      <c r="T1063" s="25">
        <f t="shared" si="278"/>
        <v>15</v>
      </c>
      <c r="U1063" s="33">
        <f>IF(PaybackCustom&gt;0, IF(PaybackCustom&lt;&gt;"Default", PaybackCustom, IF(PaybackStatus&lt;&gt;"",INDEX('Arbitrage Payback Engine'!$Y$2:$Y$6,MATCH(PaybackStatus,'Arbitrage Payback Engine'!$X$2:$X$6,FALSE)),-1)))</f>
        <v>25</v>
      </c>
      <c r="V1063" s="32">
        <f t="shared" si="287"/>
        <v>15</v>
      </c>
      <c r="X1063" s="29">
        <f t="shared" si="288"/>
        <v>1054</v>
      </c>
      <c r="Z1063" s="30">
        <f t="shared" si="279"/>
        <v>28.872757156553895</v>
      </c>
      <c r="AA1063" s="28" t="e">
        <f t="shared" si="280"/>
        <v>#N/A</v>
      </c>
      <c r="AB1063" s="28" t="e">
        <f t="shared" si="281"/>
        <v>#VALUE!</v>
      </c>
      <c r="AC1063" s="29">
        <f t="shared" si="282"/>
        <v>1000</v>
      </c>
      <c r="AD1063" s="28" t="e">
        <f t="shared" si="283"/>
        <v>#VALUE!</v>
      </c>
      <c r="AE1063" s="28" t="e">
        <f t="shared" si="284"/>
        <v>#N/A</v>
      </c>
      <c r="AF1063" s="28" t="e">
        <f t="shared" si="285"/>
        <v>#VALUE!</v>
      </c>
      <c r="AH1063" s="31" t="e">
        <f t="shared" si="286"/>
        <v>#N/A</v>
      </c>
      <c r="AI1063" s="25"/>
      <c r="AJ1063" s="31"/>
    </row>
    <row r="1064" spans="2:36" x14ac:dyDescent="0.25">
      <c r="Z1064" s="30">
        <f t="shared" si="279"/>
        <v>0</v>
      </c>
      <c r="AA1064" s="25"/>
      <c r="AB1064" s="25"/>
      <c r="AC1064" s="29">
        <f t="shared" si="282"/>
        <v>0</v>
      </c>
      <c r="AD1064" s="28">
        <v>0</v>
      </c>
      <c r="AE1064" s="28">
        <f t="shared" si="284"/>
        <v>0</v>
      </c>
      <c r="AF1064" s="28">
        <f t="shared" si="285"/>
        <v>0</v>
      </c>
      <c r="AH1064" s="27"/>
      <c r="AJ1064" s="26"/>
    </row>
    <row r="1065" spans="2:36" x14ac:dyDescent="0.25">
      <c r="Z1065" s="30">
        <f t="shared" si="279"/>
        <v>0</v>
      </c>
      <c r="AA1065" s="25"/>
      <c r="AB1065" s="25"/>
      <c r="AC1065" s="29">
        <f t="shared" si="282"/>
        <v>0</v>
      </c>
      <c r="AD1065" s="28">
        <v>0</v>
      </c>
      <c r="AE1065" s="28">
        <f t="shared" si="284"/>
        <v>0</v>
      </c>
      <c r="AF1065" s="28">
        <f t="shared" si="285"/>
        <v>0</v>
      </c>
      <c r="AH1065" s="27"/>
      <c r="AJ1065" s="26"/>
    </row>
  </sheetData>
  <mergeCells count="5">
    <mergeCell ref="R8:V8"/>
    <mergeCell ref="Z6:AB6"/>
    <mergeCell ref="AC6:AF6"/>
    <mergeCell ref="AH6:AJ6"/>
    <mergeCell ref="Z7:AB8"/>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Q2167"/>
  <sheetViews>
    <sheetView workbookViewId="0">
      <selection activeCell="Q10" sqref="Q10"/>
    </sheetView>
  </sheetViews>
  <sheetFormatPr defaultRowHeight="15" x14ac:dyDescent="0.25"/>
  <cols>
    <col min="1" max="1" width="22.140625" customWidth="1"/>
    <col min="2" max="3" width="12.42578125" bestFit="1" customWidth="1"/>
    <col min="4" max="4" width="12.85546875" customWidth="1"/>
    <col min="5" max="5" width="11.85546875" customWidth="1"/>
    <col min="6" max="6" width="16.42578125" customWidth="1"/>
    <col min="7" max="7" width="11.85546875" bestFit="1" customWidth="1"/>
    <col min="8" max="8" width="11.140625" customWidth="1"/>
    <col min="12" max="12" width="25.42578125" customWidth="1"/>
    <col min="15" max="15" width="23" customWidth="1"/>
    <col min="16" max="16" width="23.85546875" customWidth="1"/>
    <col min="17" max="17" width="20.85546875" customWidth="1"/>
    <col min="18" max="18" width="14.42578125" bestFit="1" customWidth="1"/>
    <col min="19" max="19" width="20.140625" customWidth="1"/>
  </cols>
  <sheetData>
    <row r="1" spans="1:17" ht="15.75" thickBot="1" x14ac:dyDescent="0.3"/>
    <row r="2" spans="1:17" ht="16.5" thickTop="1" thickBot="1" x14ac:dyDescent="0.3">
      <c r="A2" s="87" t="s">
        <v>185</v>
      </c>
      <c r="B2" s="8" t="str">
        <f>PeakLength</f>
        <v>Default</v>
      </c>
      <c r="D2" s="25" t="s">
        <v>184</v>
      </c>
      <c r="G2" s="25" t="s">
        <v>183</v>
      </c>
      <c r="H2" s="25" t="s">
        <v>182</v>
      </c>
      <c r="I2" s="25" t="s">
        <v>181</v>
      </c>
      <c r="L2" s="83" t="s">
        <v>180</v>
      </c>
      <c r="O2" s="83" t="s">
        <v>13</v>
      </c>
      <c r="P2" s="83" t="s">
        <v>179</v>
      </c>
    </row>
    <row r="3" spans="1:17" ht="16.5" thickTop="1" thickBot="1" x14ac:dyDescent="0.3">
      <c r="A3" s="87" t="s">
        <v>178</v>
      </c>
      <c r="B3" s="8" t="str">
        <f>PeakLengthCustom</f>
        <v>Default</v>
      </c>
      <c r="D3" s="25">
        <v>0.5</v>
      </c>
      <c r="G3" s="25">
        <v>-5</v>
      </c>
      <c r="H3" s="25">
        <v>5</v>
      </c>
      <c r="I3" s="25">
        <v>1000</v>
      </c>
      <c r="L3" s="8" t="s">
        <v>7</v>
      </c>
      <c r="O3" s="8" t="s">
        <v>167</v>
      </c>
      <c r="P3" s="8" t="e">
        <f>0.25 + B4/2</f>
        <v>#VALUE!</v>
      </c>
    </row>
    <row r="4" spans="1:17" ht="16.5" thickTop="1" thickBot="1" x14ac:dyDescent="0.3">
      <c r="A4" s="87" t="s">
        <v>166</v>
      </c>
      <c r="B4" s="8" t="str">
        <f>IF(B3&lt;&gt;"Default", B3, B2)</f>
        <v>Default</v>
      </c>
      <c r="L4" s="8">
        <v>0.5</v>
      </c>
      <c r="O4" s="8" t="s">
        <v>7</v>
      </c>
      <c r="P4" s="8" t="e">
        <f>0.125 + 3*B4/4</f>
        <v>#VALUE!</v>
      </c>
    </row>
    <row r="5" spans="1:17" ht="16.5" thickTop="1" thickBot="1" x14ac:dyDescent="0.3">
      <c r="A5" s="87" t="s">
        <v>177</v>
      </c>
      <c r="B5" s="14">
        <v>3</v>
      </c>
      <c r="L5" s="8">
        <f t="shared" ref="L5:L13" si="0">L4+0.5</f>
        <v>1</v>
      </c>
      <c r="O5" s="8" t="s">
        <v>176</v>
      </c>
      <c r="P5" s="8" t="str">
        <f>B4</f>
        <v>Default</v>
      </c>
    </row>
    <row r="6" spans="1:17" ht="16.5" thickTop="1" thickBot="1" x14ac:dyDescent="0.3">
      <c r="A6" s="87" t="s">
        <v>175</v>
      </c>
      <c r="B6" s="14">
        <v>0.36051465785923631</v>
      </c>
      <c r="L6" s="8">
        <f t="shared" si="0"/>
        <v>1.5</v>
      </c>
      <c r="O6" s="45"/>
      <c r="P6" s="45"/>
    </row>
    <row r="7" spans="1:17" ht="15.75" thickTop="1" x14ac:dyDescent="0.25">
      <c r="A7" s="89" t="s">
        <v>174</v>
      </c>
      <c r="B7" s="88">
        <v>0.1</v>
      </c>
      <c r="L7" s="8">
        <f t="shared" si="0"/>
        <v>2</v>
      </c>
      <c r="O7" s="8" t="s">
        <v>173</v>
      </c>
      <c r="P7" s="8" t="str">
        <f>PeakShape</f>
        <v>Default</v>
      </c>
      <c r="Q7" s="8" t="e">
        <f>VLOOKUP(P7, $O$3:$P$5, 2, FALSE)</f>
        <v>#VALUE!</v>
      </c>
    </row>
    <row r="8" spans="1:17" ht="15.75" thickBot="1" x14ac:dyDescent="0.3">
      <c r="L8" s="8">
        <f t="shared" si="0"/>
        <v>2.5</v>
      </c>
    </row>
    <row r="9" spans="1:17" ht="16.5" thickTop="1" thickBot="1" x14ac:dyDescent="0.3">
      <c r="A9" s="87" t="s">
        <v>172</v>
      </c>
      <c r="B9" s="14">
        <f ca="1">SUMIF(F14:F2014,"&gt;0")/250</f>
        <v>0.18996016741170979</v>
      </c>
      <c r="L9" s="8">
        <f t="shared" si="0"/>
        <v>3</v>
      </c>
      <c r="O9" s="84" t="s">
        <v>171</v>
      </c>
      <c r="P9" s="84" t="str">
        <f>NetworkLocQuery</f>
        <v>Default</v>
      </c>
      <c r="Q9" s="8" t="s">
        <v>170</v>
      </c>
    </row>
    <row r="10" spans="1:17" ht="16.5" thickTop="1" thickBot="1" x14ac:dyDescent="0.3">
      <c r="L10" s="8">
        <f t="shared" si="0"/>
        <v>3.5</v>
      </c>
      <c r="O10" s="82" t="s">
        <v>169</v>
      </c>
      <c r="P10" s="84" t="e">
        <f>INDEX('Tariff Model '!$C$14:$C$18,  MATCH(P9, LocationOptions, FALSE))</f>
        <v>#N/A</v>
      </c>
      <c r="Q10" s="25" t="e">
        <f>"$"&amp;ROUND(IF(Advanced!B41=1,'Peak Models'!P10,'Peak Models'!P11), 2)&amp;" per kVA per Month"</f>
        <v>#N/A</v>
      </c>
    </row>
    <row r="11" spans="1:17" ht="15.75" thickTop="1" x14ac:dyDescent="0.25">
      <c r="I11" s="85" t="s">
        <v>97</v>
      </c>
      <c r="J11" s="85"/>
      <c r="L11" s="8">
        <f t="shared" si="0"/>
        <v>4</v>
      </c>
      <c r="O11" s="84" t="s">
        <v>99</v>
      </c>
      <c r="P11" s="84" t="str">
        <f>'Input Sheet'!J61</f>
        <v>$11.33</v>
      </c>
    </row>
    <row r="12" spans="1:17" ht="15.75" thickBot="1" x14ac:dyDescent="0.3">
      <c r="I12" s="25">
        <v>0</v>
      </c>
      <c r="J12" s="25">
        <v>0</v>
      </c>
      <c r="L12" s="8">
        <f t="shared" si="0"/>
        <v>4.5</v>
      </c>
    </row>
    <row r="13" spans="1:17" ht="15.75" thickTop="1" x14ac:dyDescent="0.25">
      <c r="A13" s="85" t="s">
        <v>68</v>
      </c>
      <c r="B13" s="85" t="s">
        <v>168</v>
      </c>
      <c r="C13" s="85" t="s">
        <v>167</v>
      </c>
      <c r="D13" s="85" t="s">
        <v>166</v>
      </c>
      <c r="E13" s="86" t="s">
        <v>165</v>
      </c>
      <c r="F13" s="85" t="s">
        <v>164</v>
      </c>
      <c r="G13" s="85"/>
      <c r="H13" s="85" t="s">
        <v>163</v>
      </c>
      <c r="I13" s="25">
        <f>I14</f>
        <v>-500</v>
      </c>
      <c r="J13" s="25">
        <v>0</v>
      </c>
      <c r="L13" s="8">
        <f t="shared" si="0"/>
        <v>5</v>
      </c>
      <c r="O13" s="84" t="s">
        <v>162</v>
      </c>
      <c r="P13" s="84" t="e">
        <f>IF(NetworkLocation="Custom Capacity Charges",'Peak Models'!$P$11, 'Peak Models'!$P$10)</f>
        <v>#N/A</v>
      </c>
    </row>
    <row r="14" spans="1:17" ht="15.75" thickBot="1" x14ac:dyDescent="0.3">
      <c r="A14" s="25">
        <v>-10</v>
      </c>
      <c r="B14" s="25">
        <f t="shared" ref="B14:B77" ca="1" si="1">(RAND()-0.5-$B$7)/$B$5</f>
        <v>-0.17746571699015481</v>
      </c>
      <c r="C14" s="25" t="e">
        <f t="shared" ref="C14:C77" si="2">IF(ABS(A14)&lt;=($D$3/2),1,IF(ABS(A14)&lt;=($B$4/2),IF(A14&gt;0,A14*(4/(1-2*$B$4))+(2*$B$4/(2*$B$4-1)),(-A14*(4/(1-2*$B$4))+(2*$B$4/(2*$B$4-1)))),0))</f>
        <v>#VALUE!</v>
      </c>
      <c r="D14" s="74" t="e">
        <f t="shared" ref="D14:D77" si="3">IF(ABS(A14)&lt;=($D$3/4+$B$4/4),1,IF(ABS(A14)&lt;=($B$4/2),(IF(A14&gt;0,A14*(8/(1-2*$B$4))+(4*$B$4)/(2*$B$4-1),(-A14*(8/(1-2*$B$4))+(4*$B$4)/(2*$B$4-1)))),0))</f>
        <v>#VALUE!</v>
      </c>
      <c r="E14" s="25" t="e">
        <f t="shared" ref="E14:E77" si="4">IF(ABS(A14)&lt;($B$4/2), 1, 0)</f>
        <v>#VALUE!</v>
      </c>
      <c r="F14" s="25" t="e">
        <f t="shared" ref="F14:F77" ca="1" si="5">C14+B14</f>
        <v>#VALUE!</v>
      </c>
      <c r="G14" s="25"/>
      <c r="H14" s="25" t="e">
        <f t="shared" ref="H14:H28" si="6">IF(PeakShape=$O$3,C14,IF(PeakShape=O4,D14,E14))</f>
        <v>#VALUE!</v>
      </c>
      <c r="I14" s="25">
        <f t="shared" ref="I14:I77" si="7">$I$3*(A14-$G$3)/($H$3-$G$3)</f>
        <v>-500</v>
      </c>
      <c r="J14" s="25" t="e">
        <f t="shared" ref="J14:J77" si="8">H14</f>
        <v>#VALUE!</v>
      </c>
    </row>
    <row r="15" spans="1:17" ht="16.5" thickTop="1" thickBot="1" x14ac:dyDescent="0.3">
      <c r="A15" s="25">
        <f t="shared" ref="A15:A78" si="9">A14+0.01</f>
        <v>-9.99</v>
      </c>
      <c r="B15" s="25">
        <f t="shared" ca="1" si="1"/>
        <v>0.1118021715814369</v>
      </c>
      <c r="C15" s="25" t="e">
        <f t="shared" si="2"/>
        <v>#VALUE!</v>
      </c>
      <c r="D15" s="74" t="e">
        <f t="shared" si="3"/>
        <v>#VALUE!</v>
      </c>
      <c r="E15" s="25" t="e">
        <f t="shared" si="4"/>
        <v>#VALUE!</v>
      </c>
      <c r="F15" s="25" t="e">
        <f t="shared" ca="1" si="5"/>
        <v>#VALUE!</v>
      </c>
      <c r="G15" s="25"/>
      <c r="H15" s="25" t="e">
        <f t="shared" si="6"/>
        <v>#VALUE!</v>
      </c>
      <c r="I15" s="25">
        <f t="shared" si="7"/>
        <v>-499</v>
      </c>
      <c r="J15" s="25" t="e">
        <f t="shared" si="8"/>
        <v>#VALUE!</v>
      </c>
      <c r="L15" s="83" t="s">
        <v>161</v>
      </c>
      <c r="O15" s="82" t="s">
        <v>160</v>
      </c>
      <c r="P15" s="8">
        <f>VLOOKUP(EventsPerYear, $L$16:$M$22, 2, FALSE)</f>
        <v>40</v>
      </c>
    </row>
    <row r="16" spans="1:17" ht="15.75" thickTop="1" x14ac:dyDescent="0.25">
      <c r="A16" s="25">
        <f t="shared" si="9"/>
        <v>-9.98</v>
      </c>
      <c r="B16" s="25">
        <f t="shared" ca="1" si="1"/>
        <v>5.8453283301936283E-2</v>
      </c>
      <c r="C16" s="25" t="e">
        <f t="shared" si="2"/>
        <v>#VALUE!</v>
      </c>
      <c r="D16" s="74" t="e">
        <f t="shared" si="3"/>
        <v>#VALUE!</v>
      </c>
      <c r="E16" s="25" t="e">
        <f t="shared" si="4"/>
        <v>#VALUE!</v>
      </c>
      <c r="F16" s="25" t="e">
        <f t="shared" ca="1" si="5"/>
        <v>#VALUE!</v>
      </c>
      <c r="G16" s="25"/>
      <c r="H16" s="25" t="e">
        <f t="shared" si="6"/>
        <v>#VALUE!</v>
      </c>
      <c r="I16" s="25">
        <f t="shared" si="7"/>
        <v>-498</v>
      </c>
      <c r="J16" s="25" t="e">
        <f t="shared" si="8"/>
        <v>#VALUE!</v>
      </c>
      <c r="L16" s="8" t="s">
        <v>7</v>
      </c>
      <c r="M16" s="8">
        <v>40</v>
      </c>
      <c r="O16" s="82" t="s">
        <v>159</v>
      </c>
      <c r="P16" s="8">
        <f>VLOOKUP(BatteryFactor,  $L$25:$M$29, 2, FALSE)</f>
        <v>1.5</v>
      </c>
    </row>
    <row r="17" spans="1:17" x14ac:dyDescent="0.25">
      <c r="A17" s="25">
        <f t="shared" si="9"/>
        <v>-9.9700000000000006</v>
      </c>
      <c r="B17" s="25">
        <f t="shared" ca="1" si="1"/>
        <v>1.6916692907241359E-2</v>
      </c>
      <c r="C17" s="25" t="e">
        <f t="shared" si="2"/>
        <v>#VALUE!</v>
      </c>
      <c r="D17" s="74" t="e">
        <f t="shared" si="3"/>
        <v>#VALUE!</v>
      </c>
      <c r="E17" s="25" t="e">
        <f t="shared" si="4"/>
        <v>#VALUE!</v>
      </c>
      <c r="F17" s="25" t="e">
        <f t="shared" ca="1" si="5"/>
        <v>#VALUE!</v>
      </c>
      <c r="G17" s="25"/>
      <c r="H17" s="25" t="e">
        <f t="shared" si="6"/>
        <v>#VALUE!</v>
      </c>
      <c r="I17" s="25">
        <f t="shared" si="7"/>
        <v>-497.00000000000011</v>
      </c>
      <c r="J17" s="25" t="e">
        <f t="shared" si="8"/>
        <v>#VALUE!</v>
      </c>
      <c r="L17" s="8">
        <v>10</v>
      </c>
      <c r="M17" s="8">
        <v>10</v>
      </c>
    </row>
    <row r="18" spans="1:17" x14ac:dyDescent="0.25">
      <c r="A18" s="25">
        <f t="shared" si="9"/>
        <v>-9.9600000000000009</v>
      </c>
      <c r="B18" s="25">
        <f t="shared" ca="1" si="1"/>
        <v>-0.15910202908326829</v>
      </c>
      <c r="C18" s="25" t="e">
        <f t="shared" si="2"/>
        <v>#VALUE!</v>
      </c>
      <c r="D18" s="74" t="e">
        <f t="shared" si="3"/>
        <v>#VALUE!</v>
      </c>
      <c r="E18" s="25" t="e">
        <f t="shared" si="4"/>
        <v>#VALUE!</v>
      </c>
      <c r="F18" s="25" t="e">
        <f t="shared" ca="1" si="5"/>
        <v>#VALUE!</v>
      </c>
      <c r="G18" s="25"/>
      <c r="H18" s="25" t="e">
        <f t="shared" si="6"/>
        <v>#VALUE!</v>
      </c>
      <c r="I18" s="25">
        <f t="shared" si="7"/>
        <v>-496.00000000000011</v>
      </c>
      <c r="J18" s="25" t="e">
        <f t="shared" si="8"/>
        <v>#VALUE!</v>
      </c>
      <c r="L18" s="8">
        <f>20</f>
        <v>20</v>
      </c>
      <c r="M18" s="8">
        <v>20</v>
      </c>
      <c r="O18" s="80" t="s">
        <v>158</v>
      </c>
      <c r="P18" s="81" t="e">
        <f>12*P13</f>
        <v>#N/A</v>
      </c>
    </row>
    <row r="19" spans="1:17" x14ac:dyDescent="0.25">
      <c r="A19" s="25">
        <f t="shared" si="9"/>
        <v>-9.9500000000000011</v>
      </c>
      <c r="B19" s="25">
        <f t="shared" ca="1" si="1"/>
        <v>-7.3037484431644636E-2</v>
      </c>
      <c r="C19" s="25" t="e">
        <f t="shared" si="2"/>
        <v>#VALUE!</v>
      </c>
      <c r="D19" s="74" t="e">
        <f t="shared" si="3"/>
        <v>#VALUE!</v>
      </c>
      <c r="E19" s="25" t="e">
        <f t="shared" si="4"/>
        <v>#VALUE!</v>
      </c>
      <c r="F19" s="25" t="e">
        <f t="shared" ca="1" si="5"/>
        <v>#VALUE!</v>
      </c>
      <c r="G19" s="25"/>
      <c r="H19" s="25" t="e">
        <f t="shared" si="6"/>
        <v>#VALUE!</v>
      </c>
      <c r="I19" s="25">
        <f t="shared" si="7"/>
        <v>-495.00000000000011</v>
      </c>
      <c r="J19" s="25" t="e">
        <f t="shared" si="8"/>
        <v>#VALUE!</v>
      </c>
      <c r="L19" s="8">
        <v>40</v>
      </c>
      <c r="M19" s="8">
        <v>40</v>
      </c>
      <c r="O19" s="80" t="s">
        <v>157</v>
      </c>
      <c r="P19" s="81">
        <f>'Profit per cycles Model'!$E$29</f>
        <v>0.1</v>
      </c>
    </row>
    <row r="20" spans="1:17" x14ac:dyDescent="0.25">
      <c r="A20" s="25">
        <f t="shared" si="9"/>
        <v>-9.9400000000000013</v>
      </c>
      <c r="B20" s="25">
        <f t="shared" ca="1" si="1"/>
        <v>9.0597576339125241E-2</v>
      </c>
      <c r="C20" s="25" t="e">
        <f t="shared" si="2"/>
        <v>#VALUE!</v>
      </c>
      <c r="D20" s="74" t="e">
        <f t="shared" si="3"/>
        <v>#VALUE!</v>
      </c>
      <c r="E20" s="25" t="e">
        <f t="shared" si="4"/>
        <v>#VALUE!</v>
      </c>
      <c r="F20" s="25" t="e">
        <f t="shared" ca="1" si="5"/>
        <v>#VALUE!</v>
      </c>
      <c r="G20" s="25"/>
      <c r="H20" s="25" t="e">
        <f t="shared" si="6"/>
        <v>#VALUE!</v>
      </c>
      <c r="I20" s="25">
        <f t="shared" si="7"/>
        <v>-494.00000000000011</v>
      </c>
      <c r="J20" s="25" t="e">
        <f t="shared" si="8"/>
        <v>#VALUE!</v>
      </c>
      <c r="L20" s="8">
        <v>80</v>
      </c>
      <c r="M20" s="8">
        <v>80</v>
      </c>
    </row>
    <row r="21" spans="1:17" x14ac:dyDescent="0.25">
      <c r="A21" s="25">
        <f t="shared" si="9"/>
        <v>-9.9300000000000015</v>
      </c>
      <c r="B21" s="25">
        <f t="shared" ca="1" si="1"/>
        <v>-0.18488847683342949</v>
      </c>
      <c r="C21" s="25" t="e">
        <f t="shared" si="2"/>
        <v>#VALUE!</v>
      </c>
      <c r="D21" s="74" t="e">
        <f t="shared" si="3"/>
        <v>#VALUE!</v>
      </c>
      <c r="E21" s="25" t="e">
        <f t="shared" si="4"/>
        <v>#VALUE!</v>
      </c>
      <c r="F21" s="25" t="e">
        <f t="shared" ca="1" si="5"/>
        <v>#VALUE!</v>
      </c>
      <c r="G21" s="25"/>
      <c r="H21" s="25" t="e">
        <f t="shared" si="6"/>
        <v>#VALUE!</v>
      </c>
      <c r="I21" s="25">
        <f t="shared" si="7"/>
        <v>-493.00000000000017</v>
      </c>
      <c r="J21" s="25" t="e">
        <f t="shared" si="8"/>
        <v>#VALUE!</v>
      </c>
      <c r="L21" s="8">
        <v>160</v>
      </c>
      <c r="M21" s="8">
        <v>160</v>
      </c>
      <c r="O21" s="80" t="s">
        <v>156</v>
      </c>
      <c r="P21" s="43">
        <f>VLOOKUP(InflationIndex, $P$23:$Q$29, 2, FALSE)</f>
        <v>2.5000000000000001E-2</v>
      </c>
    </row>
    <row r="22" spans="1:17" x14ac:dyDescent="0.25">
      <c r="A22" s="25">
        <f t="shared" si="9"/>
        <v>-9.9200000000000017</v>
      </c>
      <c r="B22" s="25">
        <f t="shared" ca="1" si="1"/>
        <v>-0.10759149288227214</v>
      </c>
      <c r="C22" s="25" t="e">
        <f t="shared" si="2"/>
        <v>#VALUE!</v>
      </c>
      <c r="D22" s="74" t="e">
        <f t="shared" si="3"/>
        <v>#VALUE!</v>
      </c>
      <c r="E22" s="25" t="e">
        <f t="shared" si="4"/>
        <v>#VALUE!</v>
      </c>
      <c r="F22" s="25" t="e">
        <f t="shared" ca="1" si="5"/>
        <v>#VALUE!</v>
      </c>
      <c r="G22" s="25"/>
      <c r="H22" s="25" t="e">
        <f t="shared" si="6"/>
        <v>#VALUE!</v>
      </c>
      <c r="I22" s="25">
        <f t="shared" si="7"/>
        <v>-492.00000000000017</v>
      </c>
      <c r="J22" s="25" t="e">
        <f t="shared" si="8"/>
        <v>#VALUE!</v>
      </c>
      <c r="L22" s="8">
        <v>320</v>
      </c>
      <c r="M22" s="8">
        <v>320</v>
      </c>
    </row>
    <row r="23" spans="1:17" ht="15.75" thickBot="1" x14ac:dyDescent="0.3">
      <c r="A23" s="25">
        <f t="shared" si="9"/>
        <v>-9.9100000000000019</v>
      </c>
      <c r="B23" s="25">
        <f t="shared" ca="1" si="1"/>
        <v>-1.2411350819183329E-2</v>
      </c>
      <c r="C23" s="25" t="e">
        <f t="shared" si="2"/>
        <v>#VALUE!</v>
      </c>
      <c r="D23" s="74" t="e">
        <f t="shared" si="3"/>
        <v>#VALUE!</v>
      </c>
      <c r="E23" s="25" t="e">
        <f t="shared" si="4"/>
        <v>#VALUE!</v>
      </c>
      <c r="F23" s="25" t="e">
        <f t="shared" ca="1" si="5"/>
        <v>#VALUE!</v>
      </c>
      <c r="G23" s="25"/>
      <c r="H23" s="25" t="e">
        <f t="shared" si="6"/>
        <v>#VALUE!</v>
      </c>
      <c r="I23" s="25">
        <f t="shared" si="7"/>
        <v>-491.00000000000017</v>
      </c>
      <c r="J23" s="25" t="e">
        <f t="shared" si="8"/>
        <v>#VALUE!</v>
      </c>
      <c r="O23" s="79" t="s">
        <v>155</v>
      </c>
      <c r="P23" s="25" t="s">
        <v>7</v>
      </c>
      <c r="Q23" s="138">
        <v>2.5000000000000001E-2</v>
      </c>
    </row>
    <row r="24" spans="1:17" ht="15.75" thickTop="1" x14ac:dyDescent="0.25">
      <c r="A24" s="25">
        <f t="shared" si="9"/>
        <v>-9.9000000000000021</v>
      </c>
      <c r="B24" s="25">
        <f t="shared" ca="1" si="1"/>
        <v>-6.6643352492472593E-2</v>
      </c>
      <c r="C24" s="25" t="e">
        <f t="shared" si="2"/>
        <v>#VALUE!</v>
      </c>
      <c r="D24" s="74" t="e">
        <f t="shared" si="3"/>
        <v>#VALUE!</v>
      </c>
      <c r="E24" s="25" t="e">
        <f t="shared" si="4"/>
        <v>#VALUE!</v>
      </c>
      <c r="F24" s="25" t="e">
        <f t="shared" ca="1" si="5"/>
        <v>#VALUE!</v>
      </c>
      <c r="G24" s="25"/>
      <c r="H24" s="25" t="e">
        <f t="shared" si="6"/>
        <v>#VALUE!</v>
      </c>
      <c r="I24" s="25">
        <f t="shared" si="7"/>
        <v>-490.00000000000017</v>
      </c>
      <c r="J24" s="25" t="e">
        <f t="shared" si="8"/>
        <v>#VALUE!</v>
      </c>
      <c r="L24" s="24" t="s">
        <v>154</v>
      </c>
      <c r="P24" s="25" t="str">
        <f t="shared" ref="P24:P29" si="10">RIGHT(Q24, 1)&amp;"% p.a"</f>
        <v>0% p.a</v>
      </c>
      <c r="Q24" s="78">
        <v>0</v>
      </c>
    </row>
    <row r="25" spans="1:17" x14ac:dyDescent="0.25">
      <c r="A25" s="25">
        <f t="shared" si="9"/>
        <v>-9.8900000000000023</v>
      </c>
      <c r="B25" s="25">
        <f t="shared" ca="1" si="1"/>
        <v>0.1033552230565646</v>
      </c>
      <c r="C25" s="25" t="e">
        <f t="shared" si="2"/>
        <v>#VALUE!</v>
      </c>
      <c r="D25" s="74" t="e">
        <f t="shared" si="3"/>
        <v>#VALUE!</v>
      </c>
      <c r="E25" s="25" t="e">
        <f t="shared" si="4"/>
        <v>#VALUE!</v>
      </c>
      <c r="F25" s="25" t="e">
        <f t="shared" ca="1" si="5"/>
        <v>#VALUE!</v>
      </c>
      <c r="G25" s="25"/>
      <c r="H25" s="25" t="e">
        <f t="shared" si="6"/>
        <v>#VALUE!</v>
      </c>
      <c r="I25" s="25">
        <f t="shared" si="7"/>
        <v>-489.00000000000028</v>
      </c>
      <c r="J25" s="25" t="e">
        <f t="shared" si="8"/>
        <v>#VALUE!</v>
      </c>
      <c r="L25" s="8" t="s">
        <v>153</v>
      </c>
      <c r="M25" s="25">
        <v>1</v>
      </c>
      <c r="P25" s="25" t="str">
        <f t="shared" si="10"/>
        <v>1% p.a</v>
      </c>
      <c r="Q25" s="78">
        <v>0.01</v>
      </c>
    </row>
    <row r="26" spans="1:17" x14ac:dyDescent="0.25">
      <c r="A26" s="25">
        <f t="shared" si="9"/>
        <v>-9.8800000000000026</v>
      </c>
      <c r="B26" s="25">
        <f t="shared" ca="1" si="1"/>
        <v>-0.16342581587675875</v>
      </c>
      <c r="C26" s="25" t="e">
        <f t="shared" si="2"/>
        <v>#VALUE!</v>
      </c>
      <c r="D26" s="74" t="e">
        <f t="shared" si="3"/>
        <v>#VALUE!</v>
      </c>
      <c r="E26" s="25" t="e">
        <f t="shared" si="4"/>
        <v>#VALUE!</v>
      </c>
      <c r="F26" s="25" t="e">
        <f t="shared" ca="1" si="5"/>
        <v>#VALUE!</v>
      </c>
      <c r="G26" s="25"/>
      <c r="H26" s="25" t="e">
        <f t="shared" si="6"/>
        <v>#VALUE!</v>
      </c>
      <c r="I26" s="25">
        <f t="shared" si="7"/>
        <v>-488.00000000000028</v>
      </c>
      <c r="J26" s="25" t="e">
        <f t="shared" si="8"/>
        <v>#VALUE!</v>
      </c>
      <c r="L26" s="8" t="s">
        <v>152</v>
      </c>
      <c r="M26" s="25">
        <v>1.25</v>
      </c>
      <c r="P26" s="25" t="str">
        <f t="shared" si="10"/>
        <v>2% p.a</v>
      </c>
      <c r="Q26" s="78">
        <v>0.02</v>
      </c>
    </row>
    <row r="27" spans="1:17" x14ac:dyDescent="0.25">
      <c r="A27" s="25">
        <f t="shared" si="9"/>
        <v>-9.8700000000000028</v>
      </c>
      <c r="B27" s="25">
        <f t="shared" ca="1" si="1"/>
        <v>-0.14857974392999207</v>
      </c>
      <c r="C27" s="25" t="e">
        <f t="shared" si="2"/>
        <v>#VALUE!</v>
      </c>
      <c r="D27" s="74" t="e">
        <f t="shared" si="3"/>
        <v>#VALUE!</v>
      </c>
      <c r="E27" s="25" t="e">
        <f t="shared" si="4"/>
        <v>#VALUE!</v>
      </c>
      <c r="F27" s="25" t="e">
        <f t="shared" ca="1" si="5"/>
        <v>#VALUE!</v>
      </c>
      <c r="G27" s="25"/>
      <c r="H27" s="25" t="e">
        <f t="shared" si="6"/>
        <v>#VALUE!</v>
      </c>
      <c r="I27" s="25">
        <f t="shared" si="7"/>
        <v>-487.00000000000028</v>
      </c>
      <c r="J27" s="25" t="e">
        <f t="shared" si="8"/>
        <v>#VALUE!</v>
      </c>
      <c r="L27" s="8" t="s">
        <v>7</v>
      </c>
      <c r="M27" s="25">
        <v>1.5</v>
      </c>
      <c r="P27" s="25" t="str">
        <f t="shared" si="10"/>
        <v>3% p.a</v>
      </c>
      <c r="Q27" s="78">
        <v>0.03</v>
      </c>
    </row>
    <row r="28" spans="1:17" x14ac:dyDescent="0.25">
      <c r="A28" s="25">
        <f t="shared" si="9"/>
        <v>-9.860000000000003</v>
      </c>
      <c r="B28" s="25">
        <f t="shared" ca="1" si="1"/>
        <v>-8.8297315768038939E-2</v>
      </c>
      <c r="C28" s="25" t="e">
        <f t="shared" si="2"/>
        <v>#VALUE!</v>
      </c>
      <c r="D28" s="74" t="e">
        <f t="shared" si="3"/>
        <v>#VALUE!</v>
      </c>
      <c r="E28" s="25" t="e">
        <f t="shared" si="4"/>
        <v>#VALUE!</v>
      </c>
      <c r="F28" s="25" t="e">
        <f t="shared" ca="1" si="5"/>
        <v>#VALUE!</v>
      </c>
      <c r="G28" s="25"/>
      <c r="H28" s="25" t="e">
        <f t="shared" si="6"/>
        <v>#VALUE!</v>
      </c>
      <c r="I28" s="25">
        <f t="shared" si="7"/>
        <v>-486.00000000000028</v>
      </c>
      <c r="J28" s="25" t="e">
        <f t="shared" si="8"/>
        <v>#VALUE!</v>
      </c>
      <c r="L28" s="8" t="s">
        <v>151</v>
      </c>
      <c r="M28" s="25">
        <v>1.75</v>
      </c>
      <c r="P28" s="25" t="str">
        <f t="shared" si="10"/>
        <v>4% p.a</v>
      </c>
      <c r="Q28" s="78">
        <v>0.04</v>
      </c>
    </row>
    <row r="29" spans="1:17" x14ac:dyDescent="0.25">
      <c r="A29" s="25">
        <f t="shared" si="9"/>
        <v>-9.8500000000000032</v>
      </c>
      <c r="B29" s="25">
        <f t="shared" ca="1" si="1"/>
        <v>9.353693309915101E-2</v>
      </c>
      <c r="C29" s="25" t="e">
        <f t="shared" si="2"/>
        <v>#VALUE!</v>
      </c>
      <c r="D29" s="74" t="e">
        <f t="shared" si="3"/>
        <v>#VALUE!</v>
      </c>
      <c r="E29" s="25" t="e">
        <f t="shared" si="4"/>
        <v>#VALUE!</v>
      </c>
      <c r="F29" s="25" t="e">
        <f t="shared" ca="1" si="5"/>
        <v>#VALUE!</v>
      </c>
      <c r="G29" s="25"/>
      <c r="H29" s="25" t="e">
        <f>IF(PeakShape=$O$3,C29,IF(PeakShape=O20,D29,E29))</f>
        <v>#VALUE!</v>
      </c>
      <c r="I29" s="25">
        <f t="shared" si="7"/>
        <v>-485.00000000000034</v>
      </c>
      <c r="J29" s="25" t="e">
        <f t="shared" si="8"/>
        <v>#VALUE!</v>
      </c>
      <c r="L29" s="8" t="s">
        <v>150</v>
      </c>
      <c r="M29" s="25">
        <v>2</v>
      </c>
      <c r="P29" s="25" t="str">
        <f t="shared" si="10"/>
        <v>5% p.a</v>
      </c>
      <c r="Q29" s="77">
        <v>0.05</v>
      </c>
    </row>
    <row r="30" spans="1:17" x14ac:dyDescent="0.25">
      <c r="A30" s="25">
        <f t="shared" si="9"/>
        <v>-9.8400000000000034</v>
      </c>
      <c r="B30" s="25">
        <f t="shared" ca="1" si="1"/>
        <v>-7.7556955144302761E-2</v>
      </c>
      <c r="C30" s="25" t="e">
        <f t="shared" si="2"/>
        <v>#VALUE!</v>
      </c>
      <c r="D30" s="74" t="e">
        <f t="shared" si="3"/>
        <v>#VALUE!</v>
      </c>
      <c r="E30" s="25" t="e">
        <f t="shared" si="4"/>
        <v>#VALUE!</v>
      </c>
      <c r="F30" s="25" t="e">
        <f t="shared" ca="1" si="5"/>
        <v>#VALUE!</v>
      </c>
      <c r="G30" s="25"/>
      <c r="H30" s="25" t="e">
        <f t="shared" ref="H30:H93" si="11">IF(PeakShape=$O$3,C30,IF(PeakShape=O32,D30,E30))</f>
        <v>#VALUE!</v>
      </c>
      <c r="I30" s="25">
        <f t="shared" si="7"/>
        <v>-484.00000000000034</v>
      </c>
      <c r="J30" s="25" t="e">
        <f t="shared" si="8"/>
        <v>#VALUE!</v>
      </c>
    </row>
    <row r="31" spans="1:17" x14ac:dyDescent="0.25">
      <c r="A31" s="25">
        <f t="shared" si="9"/>
        <v>-9.8300000000000036</v>
      </c>
      <c r="B31" s="25">
        <f t="shared" ca="1" si="1"/>
        <v>-0.14928903526419515</v>
      </c>
      <c r="C31" s="25" t="e">
        <f t="shared" si="2"/>
        <v>#VALUE!</v>
      </c>
      <c r="D31" s="74" t="e">
        <f t="shared" si="3"/>
        <v>#VALUE!</v>
      </c>
      <c r="E31" s="25" t="e">
        <f t="shared" si="4"/>
        <v>#VALUE!</v>
      </c>
      <c r="F31" s="25" t="e">
        <f t="shared" ca="1" si="5"/>
        <v>#VALUE!</v>
      </c>
      <c r="G31" s="25"/>
      <c r="H31" s="25" t="e">
        <f t="shared" si="11"/>
        <v>#VALUE!</v>
      </c>
      <c r="I31" s="25">
        <f t="shared" si="7"/>
        <v>-483.00000000000034</v>
      </c>
      <c r="J31" s="25" t="e">
        <f t="shared" si="8"/>
        <v>#VALUE!</v>
      </c>
    </row>
    <row r="32" spans="1:17" x14ac:dyDescent="0.25">
      <c r="A32" s="25">
        <f t="shared" si="9"/>
        <v>-9.8200000000000038</v>
      </c>
      <c r="B32" s="25">
        <f t="shared" ca="1" si="1"/>
        <v>-5.1792621650806087E-2</v>
      </c>
      <c r="C32" s="25" t="e">
        <f t="shared" si="2"/>
        <v>#VALUE!</v>
      </c>
      <c r="D32" s="74" t="e">
        <f t="shared" si="3"/>
        <v>#VALUE!</v>
      </c>
      <c r="E32" s="25" t="e">
        <f t="shared" si="4"/>
        <v>#VALUE!</v>
      </c>
      <c r="F32" s="25" t="e">
        <f t="shared" ca="1" si="5"/>
        <v>#VALUE!</v>
      </c>
      <c r="G32" s="25"/>
      <c r="H32" s="25" t="e">
        <f t="shared" si="11"/>
        <v>#VALUE!</v>
      </c>
      <c r="I32" s="25">
        <f t="shared" si="7"/>
        <v>-482.00000000000034</v>
      </c>
      <c r="J32" s="25" t="e">
        <f t="shared" si="8"/>
        <v>#VALUE!</v>
      </c>
      <c r="O32" s="8" t="s">
        <v>149</v>
      </c>
      <c r="P32" s="43">
        <f>P21</f>
        <v>2.5000000000000001E-2</v>
      </c>
    </row>
    <row r="33" spans="1:17" x14ac:dyDescent="0.25">
      <c r="A33" s="25">
        <f t="shared" si="9"/>
        <v>-9.8100000000000041</v>
      </c>
      <c r="B33" s="25">
        <f t="shared" ca="1" si="1"/>
        <v>0.12708579253799304</v>
      </c>
      <c r="C33" s="25" t="e">
        <f t="shared" si="2"/>
        <v>#VALUE!</v>
      </c>
      <c r="D33" s="74" t="e">
        <f t="shared" si="3"/>
        <v>#VALUE!</v>
      </c>
      <c r="E33" s="25" t="e">
        <f t="shared" si="4"/>
        <v>#VALUE!</v>
      </c>
      <c r="F33" s="25" t="e">
        <f t="shared" ca="1" si="5"/>
        <v>#VALUE!</v>
      </c>
      <c r="G33" s="25"/>
      <c r="H33" s="25" t="e">
        <f t="shared" si="11"/>
        <v>#VALUE!</v>
      </c>
      <c r="I33" s="25">
        <f t="shared" si="7"/>
        <v>-481.00000000000034</v>
      </c>
      <c r="J33" s="25" t="e">
        <f t="shared" si="8"/>
        <v>#VALUE!</v>
      </c>
    </row>
    <row r="34" spans="1:17" x14ac:dyDescent="0.25">
      <c r="A34" s="25">
        <f t="shared" si="9"/>
        <v>-9.8000000000000043</v>
      </c>
      <c r="B34" s="25">
        <f t="shared" ca="1" si="1"/>
        <v>4.9206313138986296E-2</v>
      </c>
      <c r="C34" s="25" t="e">
        <f t="shared" si="2"/>
        <v>#VALUE!</v>
      </c>
      <c r="D34" s="74" t="e">
        <f t="shared" si="3"/>
        <v>#VALUE!</v>
      </c>
      <c r="E34" s="25" t="e">
        <f t="shared" si="4"/>
        <v>#VALUE!</v>
      </c>
      <c r="F34" s="25" t="e">
        <f t="shared" ca="1" si="5"/>
        <v>#VALUE!</v>
      </c>
      <c r="G34" s="25"/>
      <c r="H34" s="25" t="e">
        <f t="shared" si="11"/>
        <v>#VALUE!</v>
      </c>
      <c r="I34" s="25">
        <f t="shared" si="7"/>
        <v>-480.00000000000045</v>
      </c>
      <c r="J34" s="25" t="e">
        <f t="shared" si="8"/>
        <v>#VALUE!</v>
      </c>
      <c r="O34" s="76">
        <v>0</v>
      </c>
      <c r="P34" s="75" t="e">
        <f>P$18*(1+P$32)^$O34</f>
        <v>#N/A</v>
      </c>
      <c r="Q34" s="75">
        <f t="shared" ref="Q34:Q64" si="12">P$19*(1+P$32)^$O34</f>
        <v>0.1</v>
      </c>
    </row>
    <row r="35" spans="1:17" x14ac:dyDescent="0.25">
      <c r="A35" s="25">
        <f t="shared" si="9"/>
        <v>-9.7900000000000045</v>
      </c>
      <c r="B35" s="25">
        <f t="shared" ca="1" si="1"/>
        <v>6.9755420387588212E-3</v>
      </c>
      <c r="C35" s="25" t="e">
        <f t="shared" si="2"/>
        <v>#VALUE!</v>
      </c>
      <c r="D35" s="74" t="e">
        <f t="shared" si="3"/>
        <v>#VALUE!</v>
      </c>
      <c r="E35" s="25" t="e">
        <f t="shared" si="4"/>
        <v>#VALUE!</v>
      </c>
      <c r="F35" s="25" t="e">
        <f t="shared" ca="1" si="5"/>
        <v>#VALUE!</v>
      </c>
      <c r="G35" s="25"/>
      <c r="H35" s="25" t="e">
        <f t="shared" si="11"/>
        <v>#VALUE!</v>
      </c>
      <c r="I35" s="25">
        <f t="shared" si="7"/>
        <v>-479.00000000000045</v>
      </c>
      <c r="J35" s="25" t="e">
        <f t="shared" si="8"/>
        <v>#VALUE!</v>
      </c>
      <c r="O35" s="76">
        <v>1</v>
      </c>
      <c r="P35" s="75" t="e">
        <f t="shared" ref="P35:P64" si="13">P$18*(1+P$32)^$O35</f>
        <v>#N/A</v>
      </c>
      <c r="Q35" s="75">
        <f t="shared" si="12"/>
        <v>0.10249999999999999</v>
      </c>
    </row>
    <row r="36" spans="1:17" x14ac:dyDescent="0.25">
      <c r="A36" s="25">
        <f t="shared" si="9"/>
        <v>-9.7800000000000047</v>
      </c>
      <c r="B36" s="25">
        <f t="shared" ca="1" si="1"/>
        <v>-3.1911438596806028E-3</v>
      </c>
      <c r="C36" s="25" t="e">
        <f t="shared" si="2"/>
        <v>#VALUE!</v>
      </c>
      <c r="D36" s="74" t="e">
        <f t="shared" si="3"/>
        <v>#VALUE!</v>
      </c>
      <c r="E36" s="25" t="e">
        <f t="shared" si="4"/>
        <v>#VALUE!</v>
      </c>
      <c r="F36" s="25" t="e">
        <f t="shared" ca="1" si="5"/>
        <v>#VALUE!</v>
      </c>
      <c r="G36" s="25"/>
      <c r="H36" s="25" t="e">
        <f t="shared" si="11"/>
        <v>#VALUE!</v>
      </c>
      <c r="I36" s="25">
        <f t="shared" si="7"/>
        <v>-478.00000000000045</v>
      </c>
      <c r="J36" s="25" t="e">
        <f t="shared" si="8"/>
        <v>#VALUE!</v>
      </c>
      <c r="O36" s="76">
        <f t="shared" ref="O36:O64" si="14">O35+1</f>
        <v>2</v>
      </c>
      <c r="P36" s="75" t="e">
        <f t="shared" si="13"/>
        <v>#N/A</v>
      </c>
      <c r="Q36" s="75">
        <f t="shared" si="12"/>
        <v>0.1050625</v>
      </c>
    </row>
    <row r="37" spans="1:17" x14ac:dyDescent="0.25">
      <c r="A37" s="25">
        <f t="shared" si="9"/>
        <v>-9.7700000000000049</v>
      </c>
      <c r="B37" s="25">
        <f t="shared" ca="1" si="1"/>
        <v>5.8896281963750546E-2</v>
      </c>
      <c r="C37" s="25" t="e">
        <f t="shared" si="2"/>
        <v>#VALUE!</v>
      </c>
      <c r="D37" s="74" t="e">
        <f t="shared" si="3"/>
        <v>#VALUE!</v>
      </c>
      <c r="E37" s="25" t="e">
        <f t="shared" si="4"/>
        <v>#VALUE!</v>
      </c>
      <c r="F37" s="25" t="e">
        <f t="shared" ca="1" si="5"/>
        <v>#VALUE!</v>
      </c>
      <c r="G37" s="25"/>
      <c r="H37" s="25" t="e">
        <f t="shared" si="11"/>
        <v>#VALUE!</v>
      </c>
      <c r="I37" s="25">
        <f t="shared" si="7"/>
        <v>-477.00000000000045</v>
      </c>
      <c r="J37" s="25" t="e">
        <f t="shared" si="8"/>
        <v>#VALUE!</v>
      </c>
      <c r="O37" s="76">
        <f t="shared" si="14"/>
        <v>3</v>
      </c>
      <c r="P37" s="75" t="e">
        <f t="shared" si="13"/>
        <v>#N/A</v>
      </c>
      <c r="Q37" s="75">
        <f t="shared" si="12"/>
        <v>0.10768906249999999</v>
      </c>
    </row>
    <row r="38" spans="1:17" x14ac:dyDescent="0.25">
      <c r="A38" s="25">
        <f t="shared" si="9"/>
        <v>-9.7600000000000051</v>
      </c>
      <c r="B38" s="25">
        <f t="shared" ca="1" si="1"/>
        <v>-2.6229536702922506E-2</v>
      </c>
      <c r="C38" s="25" t="e">
        <f t="shared" si="2"/>
        <v>#VALUE!</v>
      </c>
      <c r="D38" s="74" t="e">
        <f t="shared" si="3"/>
        <v>#VALUE!</v>
      </c>
      <c r="E38" s="25" t="e">
        <f t="shared" si="4"/>
        <v>#VALUE!</v>
      </c>
      <c r="F38" s="25" t="e">
        <f t="shared" ca="1" si="5"/>
        <v>#VALUE!</v>
      </c>
      <c r="G38" s="25"/>
      <c r="H38" s="25" t="e">
        <f t="shared" si="11"/>
        <v>#VALUE!</v>
      </c>
      <c r="I38" s="25">
        <f t="shared" si="7"/>
        <v>-476.00000000000057</v>
      </c>
      <c r="J38" s="25" t="e">
        <f t="shared" si="8"/>
        <v>#VALUE!</v>
      </c>
      <c r="O38" s="76">
        <f t="shared" si="14"/>
        <v>4</v>
      </c>
      <c r="P38" s="75" t="e">
        <f t="shared" si="13"/>
        <v>#N/A</v>
      </c>
      <c r="Q38" s="75">
        <f t="shared" si="12"/>
        <v>0.11038128906249998</v>
      </c>
    </row>
    <row r="39" spans="1:17" x14ac:dyDescent="0.25">
      <c r="A39" s="25">
        <f t="shared" si="9"/>
        <v>-9.7500000000000053</v>
      </c>
      <c r="B39" s="25">
        <f t="shared" ca="1" si="1"/>
        <v>-0.12732402542851917</v>
      </c>
      <c r="C39" s="25" t="e">
        <f t="shared" si="2"/>
        <v>#VALUE!</v>
      </c>
      <c r="D39" s="74" t="e">
        <f t="shared" si="3"/>
        <v>#VALUE!</v>
      </c>
      <c r="E39" s="25" t="e">
        <f t="shared" si="4"/>
        <v>#VALUE!</v>
      </c>
      <c r="F39" s="25" t="e">
        <f t="shared" ca="1" si="5"/>
        <v>#VALUE!</v>
      </c>
      <c r="G39" s="25"/>
      <c r="H39" s="25" t="e">
        <f t="shared" si="11"/>
        <v>#VALUE!</v>
      </c>
      <c r="I39" s="25">
        <f t="shared" si="7"/>
        <v>-475.00000000000057</v>
      </c>
      <c r="J39" s="25" t="e">
        <f t="shared" si="8"/>
        <v>#VALUE!</v>
      </c>
      <c r="O39" s="76">
        <f t="shared" si="14"/>
        <v>5</v>
      </c>
      <c r="P39" s="75" t="e">
        <f t="shared" si="13"/>
        <v>#N/A</v>
      </c>
      <c r="Q39" s="75">
        <f t="shared" si="12"/>
        <v>0.11314082128906247</v>
      </c>
    </row>
    <row r="40" spans="1:17" x14ac:dyDescent="0.25">
      <c r="A40" s="25">
        <f t="shared" si="9"/>
        <v>-9.7400000000000055</v>
      </c>
      <c r="B40" s="25">
        <f t="shared" ca="1" si="1"/>
        <v>-1.2451768216678269E-2</v>
      </c>
      <c r="C40" s="25" t="e">
        <f t="shared" si="2"/>
        <v>#VALUE!</v>
      </c>
      <c r="D40" s="74" t="e">
        <f t="shared" si="3"/>
        <v>#VALUE!</v>
      </c>
      <c r="E40" s="25" t="e">
        <f t="shared" si="4"/>
        <v>#VALUE!</v>
      </c>
      <c r="F40" s="25" t="e">
        <f t="shared" ca="1" si="5"/>
        <v>#VALUE!</v>
      </c>
      <c r="G40" s="25"/>
      <c r="H40" s="25" t="e">
        <f t="shared" si="11"/>
        <v>#VALUE!</v>
      </c>
      <c r="I40" s="25">
        <f t="shared" si="7"/>
        <v>-474.00000000000057</v>
      </c>
      <c r="J40" s="25" t="e">
        <f t="shared" si="8"/>
        <v>#VALUE!</v>
      </c>
      <c r="O40" s="76">
        <f t="shared" si="14"/>
        <v>6</v>
      </c>
      <c r="P40" s="75" t="e">
        <f t="shared" si="13"/>
        <v>#N/A</v>
      </c>
      <c r="Q40" s="75">
        <f t="shared" si="12"/>
        <v>0.11596934182128903</v>
      </c>
    </row>
    <row r="41" spans="1:17" x14ac:dyDescent="0.25">
      <c r="A41" s="25">
        <f t="shared" si="9"/>
        <v>-9.7300000000000058</v>
      </c>
      <c r="B41" s="25">
        <f t="shared" ca="1" si="1"/>
        <v>7.252849374914401E-2</v>
      </c>
      <c r="C41" s="25" t="e">
        <f t="shared" si="2"/>
        <v>#VALUE!</v>
      </c>
      <c r="D41" s="74" t="e">
        <f t="shared" si="3"/>
        <v>#VALUE!</v>
      </c>
      <c r="E41" s="25" t="e">
        <f t="shared" si="4"/>
        <v>#VALUE!</v>
      </c>
      <c r="F41" s="25" t="e">
        <f t="shared" ca="1" si="5"/>
        <v>#VALUE!</v>
      </c>
      <c r="G41" s="25"/>
      <c r="H41" s="25" t="e">
        <f t="shared" si="11"/>
        <v>#VALUE!</v>
      </c>
      <c r="I41" s="25">
        <f t="shared" si="7"/>
        <v>-473.00000000000057</v>
      </c>
      <c r="J41" s="25" t="e">
        <f t="shared" si="8"/>
        <v>#VALUE!</v>
      </c>
      <c r="O41" s="76">
        <f t="shared" si="14"/>
        <v>7</v>
      </c>
      <c r="P41" s="75" t="e">
        <f t="shared" si="13"/>
        <v>#N/A</v>
      </c>
      <c r="Q41" s="75">
        <f t="shared" si="12"/>
        <v>0.11886857536682126</v>
      </c>
    </row>
    <row r="42" spans="1:17" x14ac:dyDescent="0.25">
      <c r="A42" s="25">
        <f t="shared" si="9"/>
        <v>-9.720000000000006</v>
      </c>
      <c r="B42" s="25">
        <f t="shared" ca="1" si="1"/>
        <v>-0.1432757667650659</v>
      </c>
      <c r="C42" s="25" t="e">
        <f t="shared" si="2"/>
        <v>#VALUE!</v>
      </c>
      <c r="D42" s="74" t="e">
        <f t="shared" si="3"/>
        <v>#VALUE!</v>
      </c>
      <c r="E42" s="25" t="e">
        <f t="shared" si="4"/>
        <v>#VALUE!</v>
      </c>
      <c r="F42" s="25" t="e">
        <f t="shared" ca="1" si="5"/>
        <v>#VALUE!</v>
      </c>
      <c r="G42" s="25"/>
      <c r="H42" s="25" t="e">
        <f t="shared" si="11"/>
        <v>#VALUE!</v>
      </c>
      <c r="I42" s="25">
        <f t="shared" si="7"/>
        <v>-472.00000000000063</v>
      </c>
      <c r="J42" s="25" t="e">
        <f t="shared" si="8"/>
        <v>#VALUE!</v>
      </c>
      <c r="O42" s="76">
        <f t="shared" si="14"/>
        <v>8</v>
      </c>
      <c r="P42" s="75" t="e">
        <f t="shared" si="13"/>
        <v>#N/A</v>
      </c>
      <c r="Q42" s="75">
        <f t="shared" si="12"/>
        <v>0.12184028975099177</v>
      </c>
    </row>
    <row r="43" spans="1:17" x14ac:dyDescent="0.25">
      <c r="A43" s="25">
        <f t="shared" si="9"/>
        <v>-9.7100000000000062</v>
      </c>
      <c r="B43" s="25">
        <f t="shared" ca="1" si="1"/>
        <v>-0.13125189470646514</v>
      </c>
      <c r="C43" s="25" t="e">
        <f t="shared" si="2"/>
        <v>#VALUE!</v>
      </c>
      <c r="D43" s="74" t="e">
        <f t="shared" si="3"/>
        <v>#VALUE!</v>
      </c>
      <c r="E43" s="25" t="e">
        <f t="shared" si="4"/>
        <v>#VALUE!</v>
      </c>
      <c r="F43" s="25" t="e">
        <f t="shared" ca="1" si="5"/>
        <v>#VALUE!</v>
      </c>
      <c r="G43" s="25"/>
      <c r="H43" s="25" t="e">
        <f t="shared" si="11"/>
        <v>#VALUE!</v>
      </c>
      <c r="I43" s="25">
        <f t="shared" si="7"/>
        <v>-471.00000000000063</v>
      </c>
      <c r="J43" s="25" t="e">
        <f t="shared" si="8"/>
        <v>#VALUE!</v>
      </c>
      <c r="O43" s="76">
        <f t="shared" si="14"/>
        <v>9</v>
      </c>
      <c r="P43" s="75" t="e">
        <f t="shared" si="13"/>
        <v>#N/A</v>
      </c>
      <c r="Q43" s="75">
        <f t="shared" si="12"/>
        <v>0.12488629699476655</v>
      </c>
    </row>
    <row r="44" spans="1:17" x14ac:dyDescent="0.25">
      <c r="A44" s="25">
        <f t="shared" si="9"/>
        <v>-9.7000000000000064</v>
      </c>
      <c r="B44" s="25">
        <f t="shared" ca="1" si="1"/>
        <v>-1.5906412666366249E-2</v>
      </c>
      <c r="C44" s="25" t="e">
        <f t="shared" si="2"/>
        <v>#VALUE!</v>
      </c>
      <c r="D44" s="74" t="e">
        <f t="shared" si="3"/>
        <v>#VALUE!</v>
      </c>
      <c r="E44" s="25" t="e">
        <f t="shared" si="4"/>
        <v>#VALUE!</v>
      </c>
      <c r="F44" s="25" t="e">
        <f t="shared" ca="1" si="5"/>
        <v>#VALUE!</v>
      </c>
      <c r="G44" s="25"/>
      <c r="H44" s="25" t="e">
        <f t="shared" si="11"/>
        <v>#VALUE!</v>
      </c>
      <c r="I44" s="25">
        <f t="shared" si="7"/>
        <v>-470.00000000000063</v>
      </c>
      <c r="J44" s="25" t="e">
        <f t="shared" si="8"/>
        <v>#VALUE!</v>
      </c>
      <c r="O44" s="76">
        <f t="shared" si="14"/>
        <v>10</v>
      </c>
      <c r="P44" s="75" t="e">
        <f t="shared" si="13"/>
        <v>#N/A</v>
      </c>
      <c r="Q44" s="75">
        <f t="shared" si="12"/>
        <v>0.12800845441963571</v>
      </c>
    </row>
    <row r="45" spans="1:17" x14ac:dyDescent="0.25">
      <c r="A45" s="25">
        <f t="shared" si="9"/>
        <v>-9.6900000000000066</v>
      </c>
      <c r="B45" s="25">
        <f t="shared" ca="1" si="1"/>
        <v>-6.5172018467194309E-2</v>
      </c>
      <c r="C45" s="25" t="e">
        <f t="shared" si="2"/>
        <v>#VALUE!</v>
      </c>
      <c r="D45" s="74" t="e">
        <f t="shared" si="3"/>
        <v>#VALUE!</v>
      </c>
      <c r="E45" s="25" t="e">
        <f t="shared" si="4"/>
        <v>#VALUE!</v>
      </c>
      <c r="F45" s="25" t="e">
        <f t="shared" ca="1" si="5"/>
        <v>#VALUE!</v>
      </c>
      <c r="G45" s="25"/>
      <c r="H45" s="25" t="e">
        <f t="shared" si="11"/>
        <v>#VALUE!</v>
      </c>
      <c r="I45" s="25">
        <f t="shared" si="7"/>
        <v>-469.00000000000063</v>
      </c>
      <c r="J45" s="25" t="e">
        <f t="shared" si="8"/>
        <v>#VALUE!</v>
      </c>
      <c r="O45" s="76">
        <f t="shared" si="14"/>
        <v>11</v>
      </c>
      <c r="P45" s="75" t="e">
        <f t="shared" si="13"/>
        <v>#N/A</v>
      </c>
      <c r="Q45" s="75">
        <f t="shared" si="12"/>
        <v>0.1312086657801266</v>
      </c>
    </row>
    <row r="46" spans="1:17" x14ac:dyDescent="0.25">
      <c r="A46" s="25">
        <f t="shared" si="9"/>
        <v>-9.6800000000000068</v>
      </c>
      <c r="B46" s="25">
        <f t="shared" ca="1" si="1"/>
        <v>-5.5419492307865997E-2</v>
      </c>
      <c r="C46" s="25" t="e">
        <f t="shared" si="2"/>
        <v>#VALUE!</v>
      </c>
      <c r="D46" s="74" t="e">
        <f t="shared" si="3"/>
        <v>#VALUE!</v>
      </c>
      <c r="E46" s="25" t="e">
        <f t="shared" si="4"/>
        <v>#VALUE!</v>
      </c>
      <c r="F46" s="25" t="e">
        <f t="shared" ca="1" si="5"/>
        <v>#VALUE!</v>
      </c>
      <c r="G46" s="25"/>
      <c r="H46" s="25" t="e">
        <f t="shared" si="11"/>
        <v>#VALUE!</v>
      </c>
      <c r="I46" s="25">
        <f t="shared" si="7"/>
        <v>-468.00000000000074</v>
      </c>
      <c r="J46" s="25" t="e">
        <f t="shared" si="8"/>
        <v>#VALUE!</v>
      </c>
      <c r="O46" s="76">
        <f t="shared" si="14"/>
        <v>12</v>
      </c>
      <c r="P46" s="75" t="e">
        <f t="shared" si="13"/>
        <v>#N/A</v>
      </c>
      <c r="Q46" s="75">
        <f t="shared" si="12"/>
        <v>0.13448888242462975</v>
      </c>
    </row>
    <row r="47" spans="1:17" x14ac:dyDescent="0.25">
      <c r="A47" s="25">
        <f t="shared" si="9"/>
        <v>-9.670000000000007</v>
      </c>
      <c r="B47" s="25">
        <f t="shared" ca="1" si="1"/>
        <v>-0.1538945778484134</v>
      </c>
      <c r="C47" s="25" t="e">
        <f t="shared" si="2"/>
        <v>#VALUE!</v>
      </c>
      <c r="D47" s="74" t="e">
        <f t="shared" si="3"/>
        <v>#VALUE!</v>
      </c>
      <c r="E47" s="25" t="e">
        <f t="shared" si="4"/>
        <v>#VALUE!</v>
      </c>
      <c r="F47" s="25" t="e">
        <f t="shared" ca="1" si="5"/>
        <v>#VALUE!</v>
      </c>
      <c r="G47" s="25"/>
      <c r="H47" s="25" t="e">
        <f t="shared" si="11"/>
        <v>#VALUE!</v>
      </c>
      <c r="I47" s="25">
        <f t="shared" si="7"/>
        <v>-467.00000000000074</v>
      </c>
      <c r="J47" s="25" t="e">
        <f t="shared" si="8"/>
        <v>#VALUE!</v>
      </c>
      <c r="O47" s="76">
        <f t="shared" si="14"/>
        <v>13</v>
      </c>
      <c r="P47" s="75" t="e">
        <f t="shared" si="13"/>
        <v>#N/A</v>
      </c>
      <c r="Q47" s="75">
        <f t="shared" si="12"/>
        <v>0.13785110448524548</v>
      </c>
    </row>
    <row r="48" spans="1:17" x14ac:dyDescent="0.25">
      <c r="A48" s="25">
        <f t="shared" si="9"/>
        <v>-9.6600000000000072</v>
      </c>
      <c r="B48" s="25">
        <f t="shared" ca="1" si="1"/>
        <v>8.120953865445044E-3</v>
      </c>
      <c r="C48" s="25" t="e">
        <f t="shared" si="2"/>
        <v>#VALUE!</v>
      </c>
      <c r="D48" s="74" t="e">
        <f t="shared" si="3"/>
        <v>#VALUE!</v>
      </c>
      <c r="E48" s="25" t="e">
        <f t="shared" si="4"/>
        <v>#VALUE!</v>
      </c>
      <c r="F48" s="25" t="e">
        <f t="shared" ca="1" si="5"/>
        <v>#VALUE!</v>
      </c>
      <c r="G48" s="25"/>
      <c r="H48" s="25" t="e">
        <f t="shared" si="11"/>
        <v>#VALUE!</v>
      </c>
      <c r="I48" s="25">
        <f t="shared" si="7"/>
        <v>-466.00000000000074</v>
      </c>
      <c r="J48" s="25" t="e">
        <f t="shared" si="8"/>
        <v>#VALUE!</v>
      </c>
      <c r="O48" s="76">
        <f t="shared" si="14"/>
        <v>14</v>
      </c>
      <c r="P48" s="75" t="e">
        <f t="shared" si="13"/>
        <v>#N/A</v>
      </c>
      <c r="Q48" s="75">
        <f t="shared" si="12"/>
        <v>0.14129738209737661</v>
      </c>
    </row>
    <row r="49" spans="1:17" x14ac:dyDescent="0.25">
      <c r="A49" s="25">
        <f t="shared" si="9"/>
        <v>-9.6500000000000075</v>
      </c>
      <c r="B49" s="25">
        <f t="shared" ca="1" si="1"/>
        <v>-0.18940559519750355</v>
      </c>
      <c r="C49" s="25" t="e">
        <f t="shared" si="2"/>
        <v>#VALUE!</v>
      </c>
      <c r="D49" s="74" t="e">
        <f t="shared" si="3"/>
        <v>#VALUE!</v>
      </c>
      <c r="E49" s="25" t="e">
        <f t="shared" si="4"/>
        <v>#VALUE!</v>
      </c>
      <c r="F49" s="25" t="e">
        <f t="shared" ca="1" si="5"/>
        <v>#VALUE!</v>
      </c>
      <c r="G49" s="25"/>
      <c r="H49" s="25" t="e">
        <f t="shared" si="11"/>
        <v>#VALUE!</v>
      </c>
      <c r="I49" s="25">
        <f t="shared" si="7"/>
        <v>-465.00000000000074</v>
      </c>
      <c r="J49" s="25" t="e">
        <f t="shared" si="8"/>
        <v>#VALUE!</v>
      </c>
      <c r="O49" s="76">
        <f t="shared" si="14"/>
        <v>15</v>
      </c>
      <c r="P49" s="75" t="e">
        <f t="shared" si="13"/>
        <v>#N/A</v>
      </c>
      <c r="Q49" s="75">
        <f t="shared" si="12"/>
        <v>0.14482981664981107</v>
      </c>
    </row>
    <row r="50" spans="1:17" x14ac:dyDescent="0.25">
      <c r="A50" s="25">
        <f t="shared" si="9"/>
        <v>-9.6400000000000077</v>
      </c>
      <c r="B50" s="25">
        <f t="shared" ca="1" si="1"/>
        <v>-0.19131929887714616</v>
      </c>
      <c r="C50" s="25" t="e">
        <f t="shared" si="2"/>
        <v>#VALUE!</v>
      </c>
      <c r="D50" s="74" t="e">
        <f t="shared" si="3"/>
        <v>#VALUE!</v>
      </c>
      <c r="E50" s="25" t="e">
        <f t="shared" si="4"/>
        <v>#VALUE!</v>
      </c>
      <c r="F50" s="25" t="e">
        <f t="shared" ca="1" si="5"/>
        <v>#VALUE!</v>
      </c>
      <c r="G50" s="25"/>
      <c r="H50" s="25" t="e">
        <f t="shared" si="11"/>
        <v>#VALUE!</v>
      </c>
      <c r="I50" s="25">
        <f t="shared" si="7"/>
        <v>-464.00000000000074</v>
      </c>
      <c r="J50" s="25" t="e">
        <f t="shared" si="8"/>
        <v>#VALUE!</v>
      </c>
      <c r="O50" s="76">
        <f t="shared" si="14"/>
        <v>16</v>
      </c>
      <c r="P50" s="75" t="e">
        <f t="shared" si="13"/>
        <v>#N/A</v>
      </c>
      <c r="Q50" s="75">
        <f t="shared" si="12"/>
        <v>0.14845056206605631</v>
      </c>
    </row>
    <row r="51" spans="1:17" x14ac:dyDescent="0.25">
      <c r="A51" s="25">
        <f t="shared" si="9"/>
        <v>-9.6300000000000079</v>
      </c>
      <c r="B51" s="25">
        <f t="shared" ca="1" si="1"/>
        <v>7.788006221978401E-2</v>
      </c>
      <c r="C51" s="25" t="e">
        <f t="shared" si="2"/>
        <v>#VALUE!</v>
      </c>
      <c r="D51" s="74" t="e">
        <f t="shared" si="3"/>
        <v>#VALUE!</v>
      </c>
      <c r="E51" s="25" t="e">
        <f t="shared" si="4"/>
        <v>#VALUE!</v>
      </c>
      <c r="F51" s="25" t="e">
        <f t="shared" ca="1" si="5"/>
        <v>#VALUE!</v>
      </c>
      <c r="G51" s="25"/>
      <c r="H51" s="25" t="e">
        <f t="shared" si="11"/>
        <v>#VALUE!</v>
      </c>
      <c r="I51" s="25">
        <f t="shared" si="7"/>
        <v>-463.0000000000008</v>
      </c>
      <c r="J51" s="25" t="e">
        <f t="shared" si="8"/>
        <v>#VALUE!</v>
      </c>
      <c r="O51" s="76">
        <f t="shared" si="14"/>
        <v>17</v>
      </c>
      <c r="P51" s="75" t="e">
        <f t="shared" si="13"/>
        <v>#N/A</v>
      </c>
      <c r="Q51" s="75">
        <f t="shared" si="12"/>
        <v>0.1521618261177077</v>
      </c>
    </row>
    <row r="52" spans="1:17" x14ac:dyDescent="0.25">
      <c r="A52" s="25">
        <f t="shared" si="9"/>
        <v>-9.6200000000000081</v>
      </c>
      <c r="B52" s="25">
        <f t="shared" ca="1" si="1"/>
        <v>-1.0747295577548915E-2</v>
      </c>
      <c r="C52" s="25" t="e">
        <f t="shared" si="2"/>
        <v>#VALUE!</v>
      </c>
      <c r="D52" s="74" t="e">
        <f t="shared" si="3"/>
        <v>#VALUE!</v>
      </c>
      <c r="E52" s="25" t="e">
        <f t="shared" si="4"/>
        <v>#VALUE!</v>
      </c>
      <c r="F52" s="25" t="e">
        <f t="shared" ca="1" si="5"/>
        <v>#VALUE!</v>
      </c>
      <c r="G52" s="25"/>
      <c r="H52" s="25" t="e">
        <f t="shared" si="11"/>
        <v>#VALUE!</v>
      </c>
      <c r="I52" s="25">
        <f t="shared" si="7"/>
        <v>-462.0000000000008</v>
      </c>
      <c r="J52" s="25" t="e">
        <f t="shared" si="8"/>
        <v>#VALUE!</v>
      </c>
      <c r="O52" s="76">
        <f t="shared" si="14"/>
        <v>18</v>
      </c>
      <c r="P52" s="75" t="e">
        <f t="shared" si="13"/>
        <v>#N/A</v>
      </c>
      <c r="Q52" s="75">
        <f t="shared" si="12"/>
        <v>0.15596587177065041</v>
      </c>
    </row>
    <row r="53" spans="1:17" x14ac:dyDescent="0.25">
      <c r="A53" s="25">
        <f t="shared" si="9"/>
        <v>-9.6100000000000083</v>
      </c>
      <c r="B53" s="25">
        <f t="shared" ca="1" si="1"/>
        <v>-7.7424399061888E-2</v>
      </c>
      <c r="C53" s="25" t="e">
        <f t="shared" si="2"/>
        <v>#VALUE!</v>
      </c>
      <c r="D53" s="74" t="e">
        <f t="shared" si="3"/>
        <v>#VALUE!</v>
      </c>
      <c r="E53" s="25" t="e">
        <f t="shared" si="4"/>
        <v>#VALUE!</v>
      </c>
      <c r="F53" s="25" t="e">
        <f t="shared" ca="1" si="5"/>
        <v>#VALUE!</v>
      </c>
      <c r="G53" s="25"/>
      <c r="H53" s="25" t="e">
        <f t="shared" si="11"/>
        <v>#VALUE!</v>
      </c>
      <c r="I53" s="25">
        <f t="shared" si="7"/>
        <v>-461.0000000000008</v>
      </c>
      <c r="J53" s="25" t="e">
        <f t="shared" si="8"/>
        <v>#VALUE!</v>
      </c>
      <c r="O53" s="76">
        <f t="shared" si="14"/>
        <v>19</v>
      </c>
      <c r="P53" s="75" t="e">
        <f t="shared" si="13"/>
        <v>#N/A</v>
      </c>
      <c r="Q53" s="75">
        <f t="shared" si="12"/>
        <v>0.15986501856491667</v>
      </c>
    </row>
    <row r="54" spans="1:17" x14ac:dyDescent="0.25">
      <c r="A54" s="25">
        <f t="shared" si="9"/>
        <v>-9.6000000000000085</v>
      </c>
      <c r="B54" s="25">
        <f t="shared" ca="1" si="1"/>
        <v>-2.8397710643078066E-2</v>
      </c>
      <c r="C54" s="25" t="e">
        <f t="shared" si="2"/>
        <v>#VALUE!</v>
      </c>
      <c r="D54" s="74" t="e">
        <f t="shared" si="3"/>
        <v>#VALUE!</v>
      </c>
      <c r="E54" s="25" t="e">
        <f t="shared" si="4"/>
        <v>#VALUE!</v>
      </c>
      <c r="F54" s="25" t="e">
        <f t="shared" ca="1" si="5"/>
        <v>#VALUE!</v>
      </c>
      <c r="G54" s="25"/>
      <c r="H54" s="25" t="e">
        <f t="shared" si="11"/>
        <v>#VALUE!</v>
      </c>
      <c r="I54" s="25">
        <f t="shared" si="7"/>
        <v>-460.0000000000008</v>
      </c>
      <c r="J54" s="25" t="e">
        <f t="shared" si="8"/>
        <v>#VALUE!</v>
      </c>
      <c r="O54" s="76">
        <f t="shared" si="14"/>
        <v>20</v>
      </c>
      <c r="P54" s="75" t="e">
        <f t="shared" si="13"/>
        <v>#N/A</v>
      </c>
      <c r="Q54" s="75">
        <f t="shared" si="12"/>
        <v>0.16386164402903958</v>
      </c>
    </row>
    <row r="55" spans="1:17" x14ac:dyDescent="0.25">
      <c r="A55" s="25">
        <f t="shared" si="9"/>
        <v>-9.5900000000000087</v>
      </c>
      <c r="B55" s="25">
        <f t="shared" ca="1" si="1"/>
        <v>0.11137819471895349</v>
      </c>
      <c r="C55" s="25" t="e">
        <f t="shared" si="2"/>
        <v>#VALUE!</v>
      </c>
      <c r="D55" s="74" t="e">
        <f t="shared" si="3"/>
        <v>#VALUE!</v>
      </c>
      <c r="E55" s="25" t="e">
        <f t="shared" si="4"/>
        <v>#VALUE!</v>
      </c>
      <c r="F55" s="25" t="e">
        <f t="shared" ca="1" si="5"/>
        <v>#VALUE!</v>
      </c>
      <c r="G55" s="25"/>
      <c r="H55" s="25" t="e">
        <f t="shared" si="11"/>
        <v>#VALUE!</v>
      </c>
      <c r="I55" s="25">
        <f t="shared" si="7"/>
        <v>-459.00000000000091</v>
      </c>
      <c r="J55" s="25" t="e">
        <f t="shared" si="8"/>
        <v>#VALUE!</v>
      </c>
      <c r="O55" s="76">
        <f t="shared" si="14"/>
        <v>21</v>
      </c>
      <c r="P55" s="75" t="e">
        <f t="shared" si="13"/>
        <v>#N/A</v>
      </c>
      <c r="Q55" s="75">
        <f t="shared" si="12"/>
        <v>0.16795818512976554</v>
      </c>
    </row>
    <row r="56" spans="1:17" x14ac:dyDescent="0.25">
      <c r="A56" s="25">
        <f t="shared" si="9"/>
        <v>-9.580000000000009</v>
      </c>
      <c r="B56" s="25">
        <f t="shared" ca="1" si="1"/>
        <v>-0.13231761132653283</v>
      </c>
      <c r="C56" s="25" t="e">
        <f t="shared" si="2"/>
        <v>#VALUE!</v>
      </c>
      <c r="D56" s="74" t="e">
        <f t="shared" si="3"/>
        <v>#VALUE!</v>
      </c>
      <c r="E56" s="25" t="e">
        <f t="shared" si="4"/>
        <v>#VALUE!</v>
      </c>
      <c r="F56" s="25" t="e">
        <f t="shared" ca="1" si="5"/>
        <v>#VALUE!</v>
      </c>
      <c r="G56" s="25"/>
      <c r="H56" s="25" t="e">
        <f t="shared" si="11"/>
        <v>#VALUE!</v>
      </c>
      <c r="I56" s="25">
        <f t="shared" si="7"/>
        <v>-458.00000000000091</v>
      </c>
      <c r="J56" s="25" t="e">
        <f t="shared" si="8"/>
        <v>#VALUE!</v>
      </c>
      <c r="O56" s="76">
        <f t="shared" si="14"/>
        <v>22</v>
      </c>
      <c r="P56" s="75" t="e">
        <f t="shared" si="13"/>
        <v>#N/A</v>
      </c>
      <c r="Q56" s="75">
        <f t="shared" si="12"/>
        <v>0.17215713975800967</v>
      </c>
    </row>
    <row r="57" spans="1:17" x14ac:dyDescent="0.25">
      <c r="A57" s="25">
        <f t="shared" si="9"/>
        <v>-9.5700000000000092</v>
      </c>
      <c r="B57" s="25">
        <f t="shared" ca="1" si="1"/>
        <v>-9.6145387544752745E-3</v>
      </c>
      <c r="C57" s="25" t="e">
        <f t="shared" si="2"/>
        <v>#VALUE!</v>
      </c>
      <c r="D57" s="74" t="e">
        <f t="shared" si="3"/>
        <v>#VALUE!</v>
      </c>
      <c r="E57" s="25" t="e">
        <f t="shared" si="4"/>
        <v>#VALUE!</v>
      </c>
      <c r="F57" s="25" t="e">
        <f t="shared" ca="1" si="5"/>
        <v>#VALUE!</v>
      </c>
      <c r="G57" s="25"/>
      <c r="H57" s="25" t="e">
        <f t="shared" si="11"/>
        <v>#VALUE!</v>
      </c>
      <c r="I57" s="25">
        <f t="shared" si="7"/>
        <v>-457.00000000000091</v>
      </c>
      <c r="J57" s="25" t="e">
        <f t="shared" si="8"/>
        <v>#VALUE!</v>
      </c>
      <c r="O57" s="76">
        <f t="shared" si="14"/>
        <v>23</v>
      </c>
      <c r="P57" s="75" t="e">
        <f t="shared" si="13"/>
        <v>#N/A</v>
      </c>
      <c r="Q57" s="75">
        <f t="shared" si="12"/>
        <v>0.17646106825195992</v>
      </c>
    </row>
    <row r="58" spans="1:17" x14ac:dyDescent="0.25">
      <c r="A58" s="25">
        <f t="shared" si="9"/>
        <v>-9.5600000000000094</v>
      </c>
      <c r="B58" s="25">
        <f t="shared" ca="1" si="1"/>
        <v>0.11979665008999389</v>
      </c>
      <c r="C58" s="25" t="e">
        <f t="shared" si="2"/>
        <v>#VALUE!</v>
      </c>
      <c r="D58" s="74" t="e">
        <f t="shared" si="3"/>
        <v>#VALUE!</v>
      </c>
      <c r="E58" s="25" t="e">
        <f t="shared" si="4"/>
        <v>#VALUE!</v>
      </c>
      <c r="F58" s="25" t="e">
        <f t="shared" ca="1" si="5"/>
        <v>#VALUE!</v>
      </c>
      <c r="G58" s="25"/>
      <c r="H58" s="25" t="e">
        <f t="shared" si="11"/>
        <v>#VALUE!</v>
      </c>
      <c r="I58" s="25">
        <f t="shared" si="7"/>
        <v>-456.00000000000091</v>
      </c>
      <c r="J58" s="25" t="e">
        <f t="shared" si="8"/>
        <v>#VALUE!</v>
      </c>
      <c r="O58" s="76">
        <f t="shared" si="14"/>
        <v>24</v>
      </c>
      <c r="P58" s="75" t="e">
        <f t="shared" si="13"/>
        <v>#N/A</v>
      </c>
      <c r="Q58" s="75">
        <f t="shared" si="12"/>
        <v>0.18087259495825891</v>
      </c>
    </row>
    <row r="59" spans="1:17" x14ac:dyDescent="0.25">
      <c r="A59" s="25">
        <f t="shared" si="9"/>
        <v>-9.5500000000000096</v>
      </c>
      <c r="B59" s="25">
        <f t="shared" ca="1" si="1"/>
        <v>6.7983117766811285E-4</v>
      </c>
      <c r="C59" s="25" t="e">
        <f t="shared" si="2"/>
        <v>#VALUE!</v>
      </c>
      <c r="D59" s="74" t="e">
        <f t="shared" si="3"/>
        <v>#VALUE!</v>
      </c>
      <c r="E59" s="25" t="e">
        <f t="shared" si="4"/>
        <v>#VALUE!</v>
      </c>
      <c r="F59" s="25" t="e">
        <f t="shared" ca="1" si="5"/>
        <v>#VALUE!</v>
      </c>
      <c r="G59" s="25"/>
      <c r="H59" s="25" t="e">
        <f t="shared" si="11"/>
        <v>#VALUE!</v>
      </c>
      <c r="I59" s="25">
        <f t="shared" si="7"/>
        <v>-455.00000000000102</v>
      </c>
      <c r="J59" s="25" t="e">
        <f t="shared" si="8"/>
        <v>#VALUE!</v>
      </c>
      <c r="O59" s="76">
        <f t="shared" si="14"/>
        <v>25</v>
      </c>
      <c r="P59" s="75" t="e">
        <f t="shared" si="13"/>
        <v>#N/A</v>
      </c>
      <c r="Q59" s="75">
        <f t="shared" si="12"/>
        <v>0.18539440983221533</v>
      </c>
    </row>
    <row r="60" spans="1:17" x14ac:dyDescent="0.25">
      <c r="A60" s="25">
        <f t="shared" si="9"/>
        <v>-9.5400000000000098</v>
      </c>
      <c r="B60" s="25">
        <f t="shared" ca="1" si="1"/>
        <v>-0.14771173837558657</v>
      </c>
      <c r="C60" s="25" t="e">
        <f t="shared" si="2"/>
        <v>#VALUE!</v>
      </c>
      <c r="D60" s="74" t="e">
        <f t="shared" si="3"/>
        <v>#VALUE!</v>
      </c>
      <c r="E60" s="25" t="e">
        <f t="shared" si="4"/>
        <v>#VALUE!</v>
      </c>
      <c r="F60" s="25" t="e">
        <f t="shared" ca="1" si="5"/>
        <v>#VALUE!</v>
      </c>
      <c r="G60" s="25"/>
      <c r="H60" s="25" t="e">
        <f t="shared" si="11"/>
        <v>#VALUE!</v>
      </c>
      <c r="I60" s="25">
        <f t="shared" si="7"/>
        <v>-454.00000000000102</v>
      </c>
      <c r="J60" s="25" t="e">
        <f t="shared" si="8"/>
        <v>#VALUE!</v>
      </c>
      <c r="O60" s="76">
        <f t="shared" si="14"/>
        <v>26</v>
      </c>
      <c r="P60" s="75" t="e">
        <f t="shared" si="13"/>
        <v>#N/A</v>
      </c>
      <c r="Q60" s="75">
        <f t="shared" si="12"/>
        <v>0.19002927007802073</v>
      </c>
    </row>
    <row r="61" spans="1:17" x14ac:dyDescent="0.25">
      <c r="A61" s="25">
        <f t="shared" si="9"/>
        <v>-9.53000000000001</v>
      </c>
      <c r="B61" s="25">
        <f t="shared" ca="1" si="1"/>
        <v>2.7557442049010294E-2</v>
      </c>
      <c r="C61" s="25" t="e">
        <f t="shared" si="2"/>
        <v>#VALUE!</v>
      </c>
      <c r="D61" s="74" t="e">
        <f t="shared" si="3"/>
        <v>#VALUE!</v>
      </c>
      <c r="E61" s="25" t="e">
        <f t="shared" si="4"/>
        <v>#VALUE!</v>
      </c>
      <c r="F61" s="25" t="e">
        <f t="shared" ca="1" si="5"/>
        <v>#VALUE!</v>
      </c>
      <c r="G61" s="25"/>
      <c r="H61" s="25" t="e">
        <f t="shared" si="11"/>
        <v>#VALUE!</v>
      </c>
      <c r="I61" s="25">
        <f t="shared" si="7"/>
        <v>-453.00000000000102</v>
      </c>
      <c r="J61" s="25" t="e">
        <f t="shared" si="8"/>
        <v>#VALUE!</v>
      </c>
      <c r="O61" s="76">
        <f t="shared" si="14"/>
        <v>27</v>
      </c>
      <c r="P61" s="75" t="e">
        <f t="shared" si="13"/>
        <v>#N/A</v>
      </c>
      <c r="Q61" s="75">
        <f t="shared" si="12"/>
        <v>0.19478000182997124</v>
      </c>
    </row>
    <row r="62" spans="1:17" x14ac:dyDescent="0.25">
      <c r="A62" s="25">
        <f t="shared" si="9"/>
        <v>-9.5200000000000102</v>
      </c>
      <c r="B62" s="25">
        <f t="shared" ca="1" si="1"/>
        <v>-7.8529911813613879E-2</v>
      </c>
      <c r="C62" s="25" t="e">
        <f t="shared" si="2"/>
        <v>#VALUE!</v>
      </c>
      <c r="D62" s="74" t="e">
        <f t="shared" si="3"/>
        <v>#VALUE!</v>
      </c>
      <c r="E62" s="25" t="e">
        <f t="shared" si="4"/>
        <v>#VALUE!</v>
      </c>
      <c r="F62" s="25" t="e">
        <f t="shared" ca="1" si="5"/>
        <v>#VALUE!</v>
      </c>
      <c r="G62" s="25"/>
      <c r="H62" s="25" t="e">
        <f t="shared" si="11"/>
        <v>#VALUE!</v>
      </c>
      <c r="I62" s="25">
        <f t="shared" si="7"/>
        <v>-452.00000000000102</v>
      </c>
      <c r="J62" s="25" t="e">
        <f t="shared" si="8"/>
        <v>#VALUE!</v>
      </c>
      <c r="O62" s="76">
        <f t="shared" si="14"/>
        <v>28</v>
      </c>
      <c r="P62" s="75" t="e">
        <f t="shared" si="13"/>
        <v>#N/A</v>
      </c>
      <c r="Q62" s="75">
        <f t="shared" si="12"/>
        <v>0.1996495018757205</v>
      </c>
    </row>
    <row r="63" spans="1:17" x14ac:dyDescent="0.25">
      <c r="A63" s="25">
        <f t="shared" si="9"/>
        <v>-9.5100000000000104</v>
      </c>
      <c r="B63" s="25">
        <f t="shared" ca="1" si="1"/>
        <v>-0.14620960353037685</v>
      </c>
      <c r="C63" s="25" t="e">
        <f t="shared" si="2"/>
        <v>#VALUE!</v>
      </c>
      <c r="D63" s="74" t="e">
        <f t="shared" si="3"/>
        <v>#VALUE!</v>
      </c>
      <c r="E63" s="25" t="e">
        <f t="shared" si="4"/>
        <v>#VALUE!</v>
      </c>
      <c r="F63" s="25" t="e">
        <f t="shared" ca="1" si="5"/>
        <v>#VALUE!</v>
      </c>
      <c r="G63" s="25"/>
      <c r="H63" s="25" t="e">
        <f t="shared" si="11"/>
        <v>#VALUE!</v>
      </c>
      <c r="I63" s="25">
        <f t="shared" si="7"/>
        <v>-451.00000000000102</v>
      </c>
      <c r="J63" s="25" t="e">
        <f t="shared" si="8"/>
        <v>#VALUE!</v>
      </c>
      <c r="O63" s="76">
        <f t="shared" si="14"/>
        <v>29</v>
      </c>
      <c r="P63" s="75" t="e">
        <f t="shared" si="13"/>
        <v>#N/A</v>
      </c>
      <c r="Q63" s="75">
        <f t="shared" si="12"/>
        <v>0.20464073942261352</v>
      </c>
    </row>
    <row r="64" spans="1:17" x14ac:dyDescent="0.25">
      <c r="A64" s="25">
        <f t="shared" si="9"/>
        <v>-9.5000000000000107</v>
      </c>
      <c r="B64" s="25">
        <f t="shared" ca="1" si="1"/>
        <v>-6.9175622355184457E-2</v>
      </c>
      <c r="C64" s="25" t="e">
        <f t="shared" si="2"/>
        <v>#VALUE!</v>
      </c>
      <c r="D64" s="74" t="e">
        <f t="shared" si="3"/>
        <v>#VALUE!</v>
      </c>
      <c r="E64" s="25" t="e">
        <f t="shared" si="4"/>
        <v>#VALUE!</v>
      </c>
      <c r="F64" s="25" t="e">
        <f t="shared" ca="1" si="5"/>
        <v>#VALUE!</v>
      </c>
      <c r="G64" s="25"/>
      <c r="H64" s="25" t="e">
        <f t="shared" si="11"/>
        <v>#VALUE!</v>
      </c>
      <c r="I64" s="25">
        <f t="shared" si="7"/>
        <v>-450.00000000000108</v>
      </c>
      <c r="J64" s="25" t="e">
        <f t="shared" si="8"/>
        <v>#VALUE!</v>
      </c>
      <c r="O64" s="76">
        <f t="shared" si="14"/>
        <v>30</v>
      </c>
      <c r="P64" s="75" t="e">
        <f t="shared" si="13"/>
        <v>#N/A</v>
      </c>
      <c r="Q64" s="75">
        <f t="shared" si="12"/>
        <v>0.20975675790817883</v>
      </c>
    </row>
    <row r="65" spans="1:10" x14ac:dyDescent="0.25">
      <c r="A65" s="25">
        <f t="shared" si="9"/>
        <v>-9.4900000000000109</v>
      </c>
      <c r="B65" s="25">
        <f t="shared" ca="1" si="1"/>
        <v>-0.11592615570748692</v>
      </c>
      <c r="C65" s="25" t="e">
        <f t="shared" si="2"/>
        <v>#VALUE!</v>
      </c>
      <c r="D65" s="74" t="e">
        <f t="shared" si="3"/>
        <v>#VALUE!</v>
      </c>
      <c r="E65" s="25" t="e">
        <f t="shared" si="4"/>
        <v>#VALUE!</v>
      </c>
      <c r="F65" s="25" t="e">
        <f t="shared" ca="1" si="5"/>
        <v>#VALUE!</v>
      </c>
      <c r="G65" s="25"/>
      <c r="H65" s="25" t="e">
        <f t="shared" si="11"/>
        <v>#VALUE!</v>
      </c>
      <c r="I65" s="25">
        <f t="shared" si="7"/>
        <v>-449.00000000000108</v>
      </c>
      <c r="J65" s="25" t="e">
        <f t="shared" si="8"/>
        <v>#VALUE!</v>
      </c>
    </row>
    <row r="66" spans="1:10" x14ac:dyDescent="0.25">
      <c r="A66" s="25">
        <f t="shared" si="9"/>
        <v>-9.4800000000000111</v>
      </c>
      <c r="B66" s="25">
        <f t="shared" ca="1" si="1"/>
        <v>8.8599237153045809E-2</v>
      </c>
      <c r="C66" s="25" t="e">
        <f t="shared" si="2"/>
        <v>#VALUE!</v>
      </c>
      <c r="D66" s="74" t="e">
        <f t="shared" si="3"/>
        <v>#VALUE!</v>
      </c>
      <c r="E66" s="25" t="e">
        <f t="shared" si="4"/>
        <v>#VALUE!</v>
      </c>
      <c r="F66" s="25" t="e">
        <f t="shared" ca="1" si="5"/>
        <v>#VALUE!</v>
      </c>
      <c r="G66" s="25"/>
      <c r="H66" s="25" t="e">
        <f t="shared" si="11"/>
        <v>#VALUE!</v>
      </c>
      <c r="I66" s="25">
        <f t="shared" si="7"/>
        <v>-448.00000000000108</v>
      </c>
      <c r="J66" s="25" t="e">
        <f t="shared" si="8"/>
        <v>#VALUE!</v>
      </c>
    </row>
    <row r="67" spans="1:10" x14ac:dyDescent="0.25">
      <c r="A67" s="25">
        <f t="shared" si="9"/>
        <v>-9.4700000000000113</v>
      </c>
      <c r="B67" s="25">
        <f t="shared" ca="1" si="1"/>
        <v>-0.14961167035023792</v>
      </c>
      <c r="C67" s="25" t="e">
        <f t="shared" si="2"/>
        <v>#VALUE!</v>
      </c>
      <c r="D67" s="74" t="e">
        <f t="shared" si="3"/>
        <v>#VALUE!</v>
      </c>
      <c r="E67" s="25" t="e">
        <f t="shared" si="4"/>
        <v>#VALUE!</v>
      </c>
      <c r="F67" s="25" t="e">
        <f t="shared" ca="1" si="5"/>
        <v>#VALUE!</v>
      </c>
      <c r="G67" s="25"/>
      <c r="H67" s="25" t="e">
        <f t="shared" si="11"/>
        <v>#VALUE!</v>
      </c>
      <c r="I67" s="25">
        <f t="shared" si="7"/>
        <v>-447.00000000000108</v>
      </c>
      <c r="J67" s="25" t="e">
        <f t="shared" si="8"/>
        <v>#VALUE!</v>
      </c>
    </row>
    <row r="68" spans="1:10" x14ac:dyDescent="0.25">
      <c r="A68" s="25">
        <f t="shared" si="9"/>
        <v>-9.4600000000000115</v>
      </c>
      <c r="B68" s="25">
        <f t="shared" ca="1" si="1"/>
        <v>3.8828049834880668E-2</v>
      </c>
      <c r="C68" s="25" t="e">
        <f t="shared" si="2"/>
        <v>#VALUE!</v>
      </c>
      <c r="D68" s="74" t="e">
        <f t="shared" si="3"/>
        <v>#VALUE!</v>
      </c>
      <c r="E68" s="25" t="e">
        <f t="shared" si="4"/>
        <v>#VALUE!</v>
      </c>
      <c r="F68" s="25" t="e">
        <f t="shared" ca="1" si="5"/>
        <v>#VALUE!</v>
      </c>
      <c r="G68" s="25"/>
      <c r="H68" s="25" t="e">
        <f t="shared" si="11"/>
        <v>#VALUE!</v>
      </c>
      <c r="I68" s="25">
        <f t="shared" si="7"/>
        <v>-446.00000000000119</v>
      </c>
      <c r="J68" s="25" t="e">
        <f t="shared" si="8"/>
        <v>#VALUE!</v>
      </c>
    </row>
    <row r="69" spans="1:10" x14ac:dyDescent="0.25">
      <c r="A69" s="25">
        <f t="shared" si="9"/>
        <v>-9.4500000000000117</v>
      </c>
      <c r="B69" s="25">
        <f t="shared" ca="1" si="1"/>
        <v>-9.6486773465092157E-2</v>
      </c>
      <c r="C69" s="25" t="e">
        <f t="shared" si="2"/>
        <v>#VALUE!</v>
      </c>
      <c r="D69" s="74" t="e">
        <f t="shared" si="3"/>
        <v>#VALUE!</v>
      </c>
      <c r="E69" s="25" t="e">
        <f t="shared" si="4"/>
        <v>#VALUE!</v>
      </c>
      <c r="F69" s="25" t="e">
        <f t="shared" ca="1" si="5"/>
        <v>#VALUE!</v>
      </c>
      <c r="G69" s="25"/>
      <c r="H69" s="25" t="e">
        <f t="shared" si="11"/>
        <v>#VALUE!</v>
      </c>
      <c r="I69" s="25">
        <f t="shared" si="7"/>
        <v>-445.00000000000119</v>
      </c>
      <c r="J69" s="25" t="e">
        <f t="shared" si="8"/>
        <v>#VALUE!</v>
      </c>
    </row>
    <row r="70" spans="1:10" x14ac:dyDescent="0.25">
      <c r="A70" s="25">
        <f t="shared" si="9"/>
        <v>-9.4400000000000119</v>
      </c>
      <c r="B70" s="25">
        <f t="shared" ca="1" si="1"/>
        <v>8.6176743299490099E-2</v>
      </c>
      <c r="C70" s="25" t="e">
        <f t="shared" si="2"/>
        <v>#VALUE!</v>
      </c>
      <c r="D70" s="74" t="e">
        <f t="shared" si="3"/>
        <v>#VALUE!</v>
      </c>
      <c r="E70" s="25" t="e">
        <f t="shared" si="4"/>
        <v>#VALUE!</v>
      </c>
      <c r="F70" s="25" t="e">
        <f t="shared" ca="1" si="5"/>
        <v>#VALUE!</v>
      </c>
      <c r="G70" s="25"/>
      <c r="H70" s="25" t="e">
        <f t="shared" si="11"/>
        <v>#VALUE!</v>
      </c>
      <c r="I70" s="25">
        <f t="shared" si="7"/>
        <v>-444.00000000000119</v>
      </c>
      <c r="J70" s="25" t="e">
        <f t="shared" si="8"/>
        <v>#VALUE!</v>
      </c>
    </row>
    <row r="71" spans="1:10" x14ac:dyDescent="0.25">
      <c r="A71" s="25">
        <f t="shared" si="9"/>
        <v>-9.4300000000000122</v>
      </c>
      <c r="B71" s="25">
        <f t="shared" ca="1" si="1"/>
        <v>-2.8237109527500442E-2</v>
      </c>
      <c r="C71" s="25" t="e">
        <f t="shared" si="2"/>
        <v>#VALUE!</v>
      </c>
      <c r="D71" s="74" t="e">
        <f t="shared" si="3"/>
        <v>#VALUE!</v>
      </c>
      <c r="E71" s="25" t="e">
        <f t="shared" si="4"/>
        <v>#VALUE!</v>
      </c>
      <c r="F71" s="25" t="e">
        <f t="shared" ca="1" si="5"/>
        <v>#VALUE!</v>
      </c>
      <c r="G71" s="25"/>
      <c r="H71" s="25" t="e">
        <f t="shared" si="11"/>
        <v>#VALUE!</v>
      </c>
      <c r="I71" s="25">
        <f t="shared" si="7"/>
        <v>-443.00000000000119</v>
      </c>
      <c r="J71" s="25" t="e">
        <f t="shared" si="8"/>
        <v>#VALUE!</v>
      </c>
    </row>
    <row r="72" spans="1:10" x14ac:dyDescent="0.25">
      <c r="A72" s="25">
        <f t="shared" si="9"/>
        <v>-9.4200000000000124</v>
      </c>
      <c r="B72" s="25">
        <f t="shared" ca="1" si="1"/>
        <v>8.2254337383091097E-2</v>
      </c>
      <c r="C72" s="25" t="e">
        <f t="shared" si="2"/>
        <v>#VALUE!</v>
      </c>
      <c r="D72" s="74" t="e">
        <f t="shared" si="3"/>
        <v>#VALUE!</v>
      </c>
      <c r="E72" s="25" t="e">
        <f t="shared" si="4"/>
        <v>#VALUE!</v>
      </c>
      <c r="F72" s="25" t="e">
        <f t="shared" ca="1" si="5"/>
        <v>#VALUE!</v>
      </c>
      <c r="G72" s="25"/>
      <c r="H72" s="25" t="e">
        <f t="shared" si="11"/>
        <v>#VALUE!</v>
      </c>
      <c r="I72" s="25">
        <f t="shared" si="7"/>
        <v>-442.00000000000125</v>
      </c>
      <c r="J72" s="25" t="e">
        <f t="shared" si="8"/>
        <v>#VALUE!</v>
      </c>
    </row>
    <row r="73" spans="1:10" x14ac:dyDescent="0.25">
      <c r="A73" s="25">
        <f t="shared" si="9"/>
        <v>-9.4100000000000126</v>
      </c>
      <c r="B73" s="25">
        <f t="shared" ca="1" si="1"/>
        <v>-0.11002953911420781</v>
      </c>
      <c r="C73" s="25" t="e">
        <f t="shared" si="2"/>
        <v>#VALUE!</v>
      </c>
      <c r="D73" s="74" t="e">
        <f t="shared" si="3"/>
        <v>#VALUE!</v>
      </c>
      <c r="E73" s="25" t="e">
        <f t="shared" si="4"/>
        <v>#VALUE!</v>
      </c>
      <c r="F73" s="25" t="e">
        <f t="shared" ca="1" si="5"/>
        <v>#VALUE!</v>
      </c>
      <c r="G73" s="25"/>
      <c r="H73" s="25" t="e">
        <f t="shared" si="11"/>
        <v>#VALUE!</v>
      </c>
      <c r="I73" s="25">
        <f t="shared" si="7"/>
        <v>-441.00000000000125</v>
      </c>
      <c r="J73" s="25" t="e">
        <f t="shared" si="8"/>
        <v>#VALUE!</v>
      </c>
    </row>
    <row r="74" spans="1:10" x14ac:dyDescent="0.25">
      <c r="A74" s="25">
        <f t="shared" si="9"/>
        <v>-9.4000000000000128</v>
      </c>
      <c r="B74" s="25">
        <f t="shared" ca="1" si="1"/>
        <v>3.3812270343013445E-4</v>
      </c>
      <c r="C74" s="25" t="e">
        <f t="shared" si="2"/>
        <v>#VALUE!</v>
      </c>
      <c r="D74" s="74" t="e">
        <f t="shared" si="3"/>
        <v>#VALUE!</v>
      </c>
      <c r="E74" s="25" t="e">
        <f t="shared" si="4"/>
        <v>#VALUE!</v>
      </c>
      <c r="F74" s="25" t="e">
        <f t="shared" ca="1" si="5"/>
        <v>#VALUE!</v>
      </c>
      <c r="G74" s="25"/>
      <c r="H74" s="25" t="e">
        <f t="shared" si="11"/>
        <v>#VALUE!</v>
      </c>
      <c r="I74" s="25">
        <f t="shared" si="7"/>
        <v>-440.00000000000125</v>
      </c>
      <c r="J74" s="25" t="e">
        <f t="shared" si="8"/>
        <v>#VALUE!</v>
      </c>
    </row>
    <row r="75" spans="1:10" x14ac:dyDescent="0.25">
      <c r="A75" s="25">
        <f t="shared" si="9"/>
        <v>-9.390000000000013</v>
      </c>
      <c r="B75" s="25">
        <f t="shared" ca="1" si="1"/>
        <v>-0.19290312386310229</v>
      </c>
      <c r="C75" s="25" t="e">
        <f t="shared" si="2"/>
        <v>#VALUE!</v>
      </c>
      <c r="D75" s="74" t="e">
        <f t="shared" si="3"/>
        <v>#VALUE!</v>
      </c>
      <c r="E75" s="25" t="e">
        <f t="shared" si="4"/>
        <v>#VALUE!</v>
      </c>
      <c r="F75" s="25" t="e">
        <f t="shared" ca="1" si="5"/>
        <v>#VALUE!</v>
      </c>
      <c r="G75" s="25"/>
      <c r="H75" s="25" t="e">
        <f t="shared" si="11"/>
        <v>#VALUE!</v>
      </c>
      <c r="I75" s="25">
        <f t="shared" si="7"/>
        <v>-439.00000000000125</v>
      </c>
      <c r="J75" s="25" t="e">
        <f t="shared" si="8"/>
        <v>#VALUE!</v>
      </c>
    </row>
    <row r="76" spans="1:10" x14ac:dyDescent="0.25">
      <c r="A76" s="25">
        <f t="shared" si="9"/>
        <v>-9.3800000000000132</v>
      </c>
      <c r="B76" s="25">
        <f t="shared" ca="1" si="1"/>
        <v>8.1372183134663531E-2</v>
      </c>
      <c r="C76" s="25" t="e">
        <f t="shared" si="2"/>
        <v>#VALUE!</v>
      </c>
      <c r="D76" s="74" t="e">
        <f t="shared" si="3"/>
        <v>#VALUE!</v>
      </c>
      <c r="E76" s="25" t="e">
        <f t="shared" si="4"/>
        <v>#VALUE!</v>
      </c>
      <c r="F76" s="25" t="e">
        <f t="shared" ca="1" si="5"/>
        <v>#VALUE!</v>
      </c>
      <c r="G76" s="25"/>
      <c r="H76" s="25" t="e">
        <f t="shared" si="11"/>
        <v>#VALUE!</v>
      </c>
      <c r="I76" s="25">
        <f t="shared" si="7"/>
        <v>-438.00000000000136</v>
      </c>
      <c r="J76" s="25" t="e">
        <f t="shared" si="8"/>
        <v>#VALUE!</v>
      </c>
    </row>
    <row r="77" spans="1:10" x14ac:dyDescent="0.25">
      <c r="A77" s="25">
        <f t="shared" si="9"/>
        <v>-9.3700000000000134</v>
      </c>
      <c r="B77" s="25">
        <f t="shared" ca="1" si="1"/>
        <v>-2.6509915788585164E-2</v>
      </c>
      <c r="C77" s="25" t="e">
        <f t="shared" si="2"/>
        <v>#VALUE!</v>
      </c>
      <c r="D77" s="74" t="e">
        <f t="shared" si="3"/>
        <v>#VALUE!</v>
      </c>
      <c r="E77" s="25" t="e">
        <f t="shared" si="4"/>
        <v>#VALUE!</v>
      </c>
      <c r="F77" s="25" t="e">
        <f t="shared" ca="1" si="5"/>
        <v>#VALUE!</v>
      </c>
      <c r="G77" s="25"/>
      <c r="H77" s="25" t="e">
        <f t="shared" si="11"/>
        <v>#VALUE!</v>
      </c>
      <c r="I77" s="25">
        <f t="shared" si="7"/>
        <v>-437.00000000000136</v>
      </c>
      <c r="J77" s="25" t="e">
        <f t="shared" si="8"/>
        <v>#VALUE!</v>
      </c>
    </row>
    <row r="78" spans="1:10" x14ac:dyDescent="0.25">
      <c r="A78" s="25">
        <f t="shared" si="9"/>
        <v>-9.3600000000000136</v>
      </c>
      <c r="B78" s="25">
        <f t="shared" ref="B78:B141" ca="1" si="15">(RAND()-0.5-$B$7)/$B$5</f>
        <v>-0.19226470165466544</v>
      </c>
      <c r="C78" s="25" t="e">
        <f t="shared" ref="C78:C141" si="16">IF(ABS(A78)&lt;=($D$3/2),1,IF(ABS(A78)&lt;=($B$4/2),IF(A78&gt;0,A78*(4/(1-2*$B$4))+(2*$B$4/(2*$B$4-1)),(-A78*(4/(1-2*$B$4))+(2*$B$4/(2*$B$4-1)))),0))</f>
        <v>#VALUE!</v>
      </c>
      <c r="D78" s="74" t="e">
        <f t="shared" ref="D78:D141" si="17">IF(ABS(A78)&lt;=($D$3/4+$B$4/4),1,IF(ABS(A78)&lt;=($B$4/2),(IF(A78&gt;0,A78*(8/(1-2*$B$4))+(4*$B$4)/(2*$B$4-1),(-A78*(8/(1-2*$B$4))+(4*$B$4)/(2*$B$4-1)))),0))</f>
        <v>#VALUE!</v>
      </c>
      <c r="E78" s="25" t="e">
        <f t="shared" ref="E78:E141" si="18">IF(ABS(A78)&lt;($B$4/2), 1, 0)</f>
        <v>#VALUE!</v>
      </c>
      <c r="F78" s="25" t="e">
        <f t="shared" ref="F78:F141" ca="1" si="19">C78+B78</f>
        <v>#VALUE!</v>
      </c>
      <c r="G78" s="25"/>
      <c r="H78" s="25" t="e">
        <f t="shared" si="11"/>
        <v>#VALUE!</v>
      </c>
      <c r="I78" s="25">
        <f t="shared" ref="I78:I141" si="20">$I$3*(A78-$G$3)/($H$3-$G$3)</f>
        <v>-436.00000000000136</v>
      </c>
      <c r="J78" s="25" t="e">
        <f t="shared" ref="J78:J141" si="21">H78</f>
        <v>#VALUE!</v>
      </c>
    </row>
    <row r="79" spans="1:10" x14ac:dyDescent="0.25">
      <c r="A79" s="25">
        <f t="shared" ref="A79:A142" si="22">A78+0.01</f>
        <v>-9.3500000000000139</v>
      </c>
      <c r="B79" s="25">
        <f t="shared" ca="1" si="15"/>
        <v>-0.19634962893179997</v>
      </c>
      <c r="C79" s="25" t="e">
        <f t="shared" si="16"/>
        <v>#VALUE!</v>
      </c>
      <c r="D79" s="74" t="e">
        <f t="shared" si="17"/>
        <v>#VALUE!</v>
      </c>
      <c r="E79" s="25" t="e">
        <f t="shared" si="18"/>
        <v>#VALUE!</v>
      </c>
      <c r="F79" s="25" t="e">
        <f t="shared" ca="1" si="19"/>
        <v>#VALUE!</v>
      </c>
      <c r="G79" s="25"/>
      <c r="H79" s="25" t="e">
        <f t="shared" si="11"/>
        <v>#VALUE!</v>
      </c>
      <c r="I79" s="25">
        <f t="shared" si="20"/>
        <v>-435.00000000000136</v>
      </c>
      <c r="J79" s="25" t="e">
        <f t="shared" si="21"/>
        <v>#VALUE!</v>
      </c>
    </row>
    <row r="80" spans="1:10" x14ac:dyDescent="0.25">
      <c r="A80" s="25">
        <f t="shared" si="22"/>
        <v>-9.3400000000000141</v>
      </c>
      <c r="B80" s="25">
        <f t="shared" ca="1" si="15"/>
        <v>-7.6153669423483575E-2</v>
      </c>
      <c r="C80" s="25" t="e">
        <f t="shared" si="16"/>
        <v>#VALUE!</v>
      </c>
      <c r="D80" s="74" t="e">
        <f t="shared" si="17"/>
        <v>#VALUE!</v>
      </c>
      <c r="E80" s="25" t="e">
        <f t="shared" si="18"/>
        <v>#VALUE!</v>
      </c>
      <c r="F80" s="25" t="e">
        <f t="shared" ca="1" si="19"/>
        <v>#VALUE!</v>
      </c>
      <c r="G80" s="25"/>
      <c r="H80" s="25" t="e">
        <f t="shared" si="11"/>
        <v>#VALUE!</v>
      </c>
      <c r="I80" s="25">
        <f t="shared" si="20"/>
        <v>-434.00000000000136</v>
      </c>
      <c r="J80" s="25" t="e">
        <f t="shared" si="21"/>
        <v>#VALUE!</v>
      </c>
    </row>
    <row r="81" spans="1:10" x14ac:dyDescent="0.25">
      <c r="A81" s="25">
        <f t="shared" si="22"/>
        <v>-9.3300000000000143</v>
      </c>
      <c r="B81" s="25">
        <f t="shared" ca="1" si="15"/>
        <v>-0.16274355391629583</v>
      </c>
      <c r="C81" s="25" t="e">
        <f t="shared" si="16"/>
        <v>#VALUE!</v>
      </c>
      <c r="D81" s="74" t="e">
        <f t="shared" si="17"/>
        <v>#VALUE!</v>
      </c>
      <c r="E81" s="25" t="e">
        <f t="shared" si="18"/>
        <v>#VALUE!</v>
      </c>
      <c r="F81" s="25" t="e">
        <f t="shared" ca="1" si="19"/>
        <v>#VALUE!</v>
      </c>
      <c r="G81" s="25"/>
      <c r="H81" s="25" t="e">
        <f t="shared" si="11"/>
        <v>#VALUE!</v>
      </c>
      <c r="I81" s="25">
        <f t="shared" si="20"/>
        <v>-433.00000000000148</v>
      </c>
      <c r="J81" s="25" t="e">
        <f t="shared" si="21"/>
        <v>#VALUE!</v>
      </c>
    </row>
    <row r="82" spans="1:10" x14ac:dyDescent="0.25">
      <c r="A82" s="25">
        <f t="shared" si="22"/>
        <v>-9.3200000000000145</v>
      </c>
      <c r="B82" s="25">
        <f t="shared" ca="1" si="15"/>
        <v>-2.9287436032342157E-2</v>
      </c>
      <c r="C82" s="25" t="e">
        <f t="shared" si="16"/>
        <v>#VALUE!</v>
      </c>
      <c r="D82" s="74" t="e">
        <f t="shared" si="17"/>
        <v>#VALUE!</v>
      </c>
      <c r="E82" s="25" t="e">
        <f t="shared" si="18"/>
        <v>#VALUE!</v>
      </c>
      <c r="F82" s="25" t="e">
        <f t="shared" ca="1" si="19"/>
        <v>#VALUE!</v>
      </c>
      <c r="G82" s="25"/>
      <c r="H82" s="25" t="e">
        <f t="shared" si="11"/>
        <v>#VALUE!</v>
      </c>
      <c r="I82" s="25">
        <f t="shared" si="20"/>
        <v>-432.00000000000148</v>
      </c>
      <c r="J82" s="25" t="e">
        <f t="shared" si="21"/>
        <v>#VALUE!</v>
      </c>
    </row>
    <row r="83" spans="1:10" x14ac:dyDescent="0.25">
      <c r="A83" s="25">
        <f t="shared" si="22"/>
        <v>-9.3100000000000147</v>
      </c>
      <c r="B83" s="25">
        <f t="shared" ca="1" si="15"/>
        <v>-0.10983924500661491</v>
      </c>
      <c r="C83" s="25" t="e">
        <f t="shared" si="16"/>
        <v>#VALUE!</v>
      </c>
      <c r="D83" s="74" t="e">
        <f t="shared" si="17"/>
        <v>#VALUE!</v>
      </c>
      <c r="E83" s="25" t="e">
        <f t="shared" si="18"/>
        <v>#VALUE!</v>
      </c>
      <c r="F83" s="25" t="e">
        <f t="shared" ca="1" si="19"/>
        <v>#VALUE!</v>
      </c>
      <c r="G83" s="25"/>
      <c r="H83" s="25" t="e">
        <f t="shared" si="11"/>
        <v>#VALUE!</v>
      </c>
      <c r="I83" s="25">
        <f t="shared" si="20"/>
        <v>-431.00000000000148</v>
      </c>
      <c r="J83" s="25" t="e">
        <f t="shared" si="21"/>
        <v>#VALUE!</v>
      </c>
    </row>
    <row r="84" spans="1:10" x14ac:dyDescent="0.25">
      <c r="A84" s="25">
        <f t="shared" si="22"/>
        <v>-9.3000000000000149</v>
      </c>
      <c r="B84" s="25">
        <f t="shared" ca="1" si="15"/>
        <v>-0.17150051583649586</v>
      </c>
      <c r="C84" s="25" t="e">
        <f t="shared" si="16"/>
        <v>#VALUE!</v>
      </c>
      <c r="D84" s="74" t="e">
        <f t="shared" si="17"/>
        <v>#VALUE!</v>
      </c>
      <c r="E84" s="25" t="e">
        <f t="shared" si="18"/>
        <v>#VALUE!</v>
      </c>
      <c r="F84" s="25" t="e">
        <f t="shared" ca="1" si="19"/>
        <v>#VALUE!</v>
      </c>
      <c r="G84" s="25"/>
      <c r="H84" s="25" t="e">
        <f t="shared" si="11"/>
        <v>#VALUE!</v>
      </c>
      <c r="I84" s="25">
        <f t="shared" si="20"/>
        <v>-430.00000000000148</v>
      </c>
      <c r="J84" s="25" t="e">
        <f t="shared" si="21"/>
        <v>#VALUE!</v>
      </c>
    </row>
    <row r="85" spans="1:10" x14ac:dyDescent="0.25">
      <c r="A85" s="25">
        <f t="shared" si="22"/>
        <v>-9.2900000000000151</v>
      </c>
      <c r="B85" s="25">
        <f t="shared" ca="1" si="15"/>
        <v>8.3134870314519896E-2</v>
      </c>
      <c r="C85" s="25" t="e">
        <f t="shared" si="16"/>
        <v>#VALUE!</v>
      </c>
      <c r="D85" s="74" t="e">
        <f t="shared" si="17"/>
        <v>#VALUE!</v>
      </c>
      <c r="E85" s="25" t="e">
        <f t="shared" si="18"/>
        <v>#VALUE!</v>
      </c>
      <c r="F85" s="25" t="e">
        <f t="shared" ca="1" si="19"/>
        <v>#VALUE!</v>
      </c>
      <c r="G85" s="25"/>
      <c r="H85" s="25" t="e">
        <f t="shared" si="11"/>
        <v>#VALUE!</v>
      </c>
      <c r="I85" s="25">
        <f t="shared" si="20"/>
        <v>-429.00000000000153</v>
      </c>
      <c r="J85" s="25" t="e">
        <f t="shared" si="21"/>
        <v>#VALUE!</v>
      </c>
    </row>
    <row r="86" spans="1:10" x14ac:dyDescent="0.25">
      <c r="A86" s="25">
        <f t="shared" si="22"/>
        <v>-9.2800000000000153</v>
      </c>
      <c r="B86" s="25">
        <f t="shared" ca="1" si="15"/>
        <v>8.9319912658478631E-3</v>
      </c>
      <c r="C86" s="25" t="e">
        <f t="shared" si="16"/>
        <v>#VALUE!</v>
      </c>
      <c r="D86" s="74" t="e">
        <f t="shared" si="17"/>
        <v>#VALUE!</v>
      </c>
      <c r="E86" s="25" t="e">
        <f t="shared" si="18"/>
        <v>#VALUE!</v>
      </c>
      <c r="F86" s="25" t="e">
        <f t="shared" ca="1" si="19"/>
        <v>#VALUE!</v>
      </c>
      <c r="G86" s="25"/>
      <c r="H86" s="25" t="e">
        <f t="shared" si="11"/>
        <v>#VALUE!</v>
      </c>
      <c r="I86" s="25">
        <f t="shared" si="20"/>
        <v>-428.00000000000153</v>
      </c>
      <c r="J86" s="25" t="e">
        <f t="shared" si="21"/>
        <v>#VALUE!</v>
      </c>
    </row>
    <row r="87" spans="1:10" x14ac:dyDescent="0.25">
      <c r="A87" s="25">
        <f t="shared" si="22"/>
        <v>-9.2700000000000156</v>
      </c>
      <c r="B87" s="25">
        <f t="shared" ca="1" si="15"/>
        <v>1.3881735359885711E-2</v>
      </c>
      <c r="C87" s="25" t="e">
        <f t="shared" si="16"/>
        <v>#VALUE!</v>
      </c>
      <c r="D87" s="74" t="e">
        <f t="shared" si="17"/>
        <v>#VALUE!</v>
      </c>
      <c r="E87" s="25" t="e">
        <f t="shared" si="18"/>
        <v>#VALUE!</v>
      </c>
      <c r="F87" s="25" t="e">
        <f t="shared" ca="1" si="19"/>
        <v>#VALUE!</v>
      </c>
      <c r="G87" s="25"/>
      <c r="H87" s="25" t="e">
        <f t="shared" si="11"/>
        <v>#VALUE!</v>
      </c>
      <c r="I87" s="25">
        <f t="shared" si="20"/>
        <v>-427.00000000000153</v>
      </c>
      <c r="J87" s="25" t="e">
        <f t="shared" si="21"/>
        <v>#VALUE!</v>
      </c>
    </row>
    <row r="88" spans="1:10" x14ac:dyDescent="0.25">
      <c r="A88" s="25">
        <f t="shared" si="22"/>
        <v>-9.2600000000000158</v>
      </c>
      <c r="B88" s="25">
        <f t="shared" ca="1" si="15"/>
        <v>-0.10273856705383762</v>
      </c>
      <c r="C88" s="25" t="e">
        <f t="shared" si="16"/>
        <v>#VALUE!</v>
      </c>
      <c r="D88" s="74" t="e">
        <f t="shared" si="17"/>
        <v>#VALUE!</v>
      </c>
      <c r="E88" s="25" t="e">
        <f t="shared" si="18"/>
        <v>#VALUE!</v>
      </c>
      <c r="F88" s="25" t="e">
        <f t="shared" ca="1" si="19"/>
        <v>#VALUE!</v>
      </c>
      <c r="G88" s="25"/>
      <c r="H88" s="25" t="e">
        <f t="shared" si="11"/>
        <v>#VALUE!</v>
      </c>
      <c r="I88" s="25">
        <f t="shared" si="20"/>
        <v>-426.00000000000153</v>
      </c>
      <c r="J88" s="25" t="e">
        <f t="shared" si="21"/>
        <v>#VALUE!</v>
      </c>
    </row>
    <row r="89" spans="1:10" x14ac:dyDescent="0.25">
      <c r="A89" s="25">
        <f t="shared" si="22"/>
        <v>-9.250000000000016</v>
      </c>
      <c r="B89" s="25">
        <f t="shared" ca="1" si="15"/>
        <v>8.9783065239319518E-2</v>
      </c>
      <c r="C89" s="25" t="e">
        <f t="shared" si="16"/>
        <v>#VALUE!</v>
      </c>
      <c r="D89" s="74" t="e">
        <f t="shared" si="17"/>
        <v>#VALUE!</v>
      </c>
      <c r="E89" s="25" t="e">
        <f t="shared" si="18"/>
        <v>#VALUE!</v>
      </c>
      <c r="F89" s="25" t="e">
        <f t="shared" ca="1" si="19"/>
        <v>#VALUE!</v>
      </c>
      <c r="G89" s="25"/>
      <c r="H89" s="25" t="e">
        <f t="shared" si="11"/>
        <v>#VALUE!</v>
      </c>
      <c r="I89" s="25">
        <f t="shared" si="20"/>
        <v>-425.00000000000165</v>
      </c>
      <c r="J89" s="25" t="e">
        <f t="shared" si="21"/>
        <v>#VALUE!</v>
      </c>
    </row>
    <row r="90" spans="1:10" x14ac:dyDescent="0.25">
      <c r="A90" s="25">
        <f t="shared" si="22"/>
        <v>-9.2400000000000162</v>
      </c>
      <c r="B90" s="25">
        <f t="shared" ca="1" si="15"/>
        <v>0.11481423530709678</v>
      </c>
      <c r="C90" s="25" t="e">
        <f t="shared" si="16"/>
        <v>#VALUE!</v>
      </c>
      <c r="D90" s="74" t="e">
        <f t="shared" si="17"/>
        <v>#VALUE!</v>
      </c>
      <c r="E90" s="25" t="e">
        <f t="shared" si="18"/>
        <v>#VALUE!</v>
      </c>
      <c r="F90" s="25" t="e">
        <f t="shared" ca="1" si="19"/>
        <v>#VALUE!</v>
      </c>
      <c r="G90" s="25"/>
      <c r="H90" s="25" t="e">
        <f t="shared" si="11"/>
        <v>#VALUE!</v>
      </c>
      <c r="I90" s="25">
        <f t="shared" si="20"/>
        <v>-424.00000000000165</v>
      </c>
      <c r="J90" s="25" t="e">
        <f t="shared" si="21"/>
        <v>#VALUE!</v>
      </c>
    </row>
    <row r="91" spans="1:10" x14ac:dyDescent="0.25">
      <c r="A91" s="25">
        <f t="shared" si="22"/>
        <v>-9.2300000000000164</v>
      </c>
      <c r="B91" s="25">
        <f t="shared" ca="1" si="15"/>
        <v>-1.4029696638399008E-2</v>
      </c>
      <c r="C91" s="25" t="e">
        <f t="shared" si="16"/>
        <v>#VALUE!</v>
      </c>
      <c r="D91" s="74" t="e">
        <f t="shared" si="17"/>
        <v>#VALUE!</v>
      </c>
      <c r="E91" s="25" t="e">
        <f t="shared" si="18"/>
        <v>#VALUE!</v>
      </c>
      <c r="F91" s="25" t="e">
        <f t="shared" ca="1" si="19"/>
        <v>#VALUE!</v>
      </c>
      <c r="G91" s="25"/>
      <c r="H91" s="25" t="e">
        <f t="shared" si="11"/>
        <v>#VALUE!</v>
      </c>
      <c r="I91" s="25">
        <f t="shared" si="20"/>
        <v>-423.00000000000165</v>
      </c>
      <c r="J91" s="25" t="e">
        <f t="shared" si="21"/>
        <v>#VALUE!</v>
      </c>
    </row>
    <row r="92" spans="1:10" x14ac:dyDescent="0.25">
      <c r="A92" s="25">
        <f t="shared" si="22"/>
        <v>-9.2200000000000166</v>
      </c>
      <c r="B92" s="25">
        <f t="shared" ca="1" si="15"/>
        <v>-0.17639121932114873</v>
      </c>
      <c r="C92" s="25" t="e">
        <f t="shared" si="16"/>
        <v>#VALUE!</v>
      </c>
      <c r="D92" s="74" t="e">
        <f t="shared" si="17"/>
        <v>#VALUE!</v>
      </c>
      <c r="E92" s="25" t="e">
        <f t="shared" si="18"/>
        <v>#VALUE!</v>
      </c>
      <c r="F92" s="25" t="e">
        <f t="shared" ca="1" si="19"/>
        <v>#VALUE!</v>
      </c>
      <c r="G92" s="25"/>
      <c r="H92" s="25" t="e">
        <f t="shared" si="11"/>
        <v>#VALUE!</v>
      </c>
      <c r="I92" s="25">
        <f t="shared" si="20"/>
        <v>-422.00000000000165</v>
      </c>
      <c r="J92" s="25" t="e">
        <f t="shared" si="21"/>
        <v>#VALUE!</v>
      </c>
    </row>
    <row r="93" spans="1:10" x14ac:dyDescent="0.25">
      <c r="A93" s="25">
        <f t="shared" si="22"/>
        <v>-9.2100000000000168</v>
      </c>
      <c r="B93" s="25">
        <f t="shared" ca="1" si="15"/>
        <v>-5.766012713654927E-2</v>
      </c>
      <c r="C93" s="25" t="e">
        <f t="shared" si="16"/>
        <v>#VALUE!</v>
      </c>
      <c r="D93" s="74" t="e">
        <f t="shared" si="17"/>
        <v>#VALUE!</v>
      </c>
      <c r="E93" s="25" t="e">
        <f t="shared" si="18"/>
        <v>#VALUE!</v>
      </c>
      <c r="F93" s="25" t="e">
        <f t="shared" ca="1" si="19"/>
        <v>#VALUE!</v>
      </c>
      <c r="G93" s="25"/>
      <c r="H93" s="25" t="e">
        <f t="shared" si="11"/>
        <v>#VALUE!</v>
      </c>
      <c r="I93" s="25">
        <f t="shared" si="20"/>
        <v>-421.00000000000171</v>
      </c>
      <c r="J93" s="25" t="e">
        <f t="shared" si="21"/>
        <v>#VALUE!</v>
      </c>
    </row>
    <row r="94" spans="1:10" x14ac:dyDescent="0.25">
      <c r="A94" s="25">
        <f t="shared" si="22"/>
        <v>-9.2000000000000171</v>
      </c>
      <c r="B94" s="25">
        <f t="shared" ca="1" si="15"/>
        <v>-7.0796950196909764E-2</v>
      </c>
      <c r="C94" s="25" t="e">
        <f t="shared" si="16"/>
        <v>#VALUE!</v>
      </c>
      <c r="D94" s="74" t="e">
        <f t="shared" si="17"/>
        <v>#VALUE!</v>
      </c>
      <c r="E94" s="25" t="e">
        <f t="shared" si="18"/>
        <v>#VALUE!</v>
      </c>
      <c r="F94" s="25" t="e">
        <f t="shared" ca="1" si="19"/>
        <v>#VALUE!</v>
      </c>
      <c r="G94" s="25"/>
      <c r="H94" s="25" t="e">
        <f t="shared" ref="H94:H157" si="23">IF(PeakShape=$O$3,C94,IF(PeakShape=O96,D94,E94))</f>
        <v>#VALUE!</v>
      </c>
      <c r="I94" s="25">
        <f t="shared" si="20"/>
        <v>-420.00000000000171</v>
      </c>
      <c r="J94" s="25" t="e">
        <f t="shared" si="21"/>
        <v>#VALUE!</v>
      </c>
    </row>
    <row r="95" spans="1:10" x14ac:dyDescent="0.25">
      <c r="A95" s="25">
        <f t="shared" si="22"/>
        <v>-9.1900000000000173</v>
      </c>
      <c r="B95" s="25">
        <f t="shared" ca="1" si="15"/>
        <v>2.2226640607873261E-2</v>
      </c>
      <c r="C95" s="25" t="e">
        <f t="shared" si="16"/>
        <v>#VALUE!</v>
      </c>
      <c r="D95" s="74" t="e">
        <f t="shared" si="17"/>
        <v>#VALUE!</v>
      </c>
      <c r="E95" s="25" t="e">
        <f t="shared" si="18"/>
        <v>#VALUE!</v>
      </c>
      <c r="F95" s="25" t="e">
        <f t="shared" ca="1" si="19"/>
        <v>#VALUE!</v>
      </c>
      <c r="G95" s="25"/>
      <c r="H95" s="25" t="e">
        <f t="shared" si="23"/>
        <v>#VALUE!</v>
      </c>
      <c r="I95" s="25">
        <f t="shared" si="20"/>
        <v>-419.00000000000171</v>
      </c>
      <c r="J95" s="25" t="e">
        <f t="shared" si="21"/>
        <v>#VALUE!</v>
      </c>
    </row>
    <row r="96" spans="1:10" x14ac:dyDescent="0.25">
      <c r="A96" s="25">
        <f t="shared" si="22"/>
        <v>-9.1800000000000175</v>
      </c>
      <c r="B96" s="25">
        <f t="shared" ca="1" si="15"/>
        <v>-5.4268816817776448E-2</v>
      </c>
      <c r="C96" s="25" t="e">
        <f t="shared" si="16"/>
        <v>#VALUE!</v>
      </c>
      <c r="D96" s="74" t="e">
        <f t="shared" si="17"/>
        <v>#VALUE!</v>
      </c>
      <c r="E96" s="25" t="e">
        <f t="shared" si="18"/>
        <v>#VALUE!</v>
      </c>
      <c r="F96" s="25" t="e">
        <f t="shared" ca="1" si="19"/>
        <v>#VALUE!</v>
      </c>
      <c r="G96" s="25"/>
      <c r="H96" s="25" t="e">
        <f t="shared" si="23"/>
        <v>#VALUE!</v>
      </c>
      <c r="I96" s="25">
        <f t="shared" si="20"/>
        <v>-418.00000000000171</v>
      </c>
      <c r="J96" s="25" t="e">
        <f t="shared" si="21"/>
        <v>#VALUE!</v>
      </c>
    </row>
    <row r="97" spans="1:10" x14ac:dyDescent="0.25">
      <c r="A97" s="25">
        <f t="shared" si="22"/>
        <v>-9.1700000000000177</v>
      </c>
      <c r="B97" s="25">
        <f t="shared" ca="1" si="15"/>
        <v>7.285285449558053E-2</v>
      </c>
      <c r="C97" s="25" t="e">
        <f t="shared" si="16"/>
        <v>#VALUE!</v>
      </c>
      <c r="D97" s="74" t="e">
        <f t="shared" si="17"/>
        <v>#VALUE!</v>
      </c>
      <c r="E97" s="25" t="e">
        <f t="shared" si="18"/>
        <v>#VALUE!</v>
      </c>
      <c r="F97" s="25" t="e">
        <f t="shared" ca="1" si="19"/>
        <v>#VALUE!</v>
      </c>
      <c r="G97" s="25"/>
      <c r="H97" s="25" t="e">
        <f t="shared" si="23"/>
        <v>#VALUE!</v>
      </c>
      <c r="I97" s="25">
        <f t="shared" si="20"/>
        <v>-417.00000000000171</v>
      </c>
      <c r="J97" s="25" t="e">
        <f t="shared" si="21"/>
        <v>#VALUE!</v>
      </c>
    </row>
    <row r="98" spans="1:10" x14ac:dyDescent="0.25">
      <c r="A98" s="25">
        <f t="shared" si="22"/>
        <v>-9.1600000000000179</v>
      </c>
      <c r="B98" s="25">
        <f t="shared" ca="1" si="15"/>
        <v>3.1490895434755056E-2</v>
      </c>
      <c r="C98" s="25" t="e">
        <f t="shared" si="16"/>
        <v>#VALUE!</v>
      </c>
      <c r="D98" s="74" t="e">
        <f t="shared" si="17"/>
        <v>#VALUE!</v>
      </c>
      <c r="E98" s="25" t="e">
        <f t="shared" si="18"/>
        <v>#VALUE!</v>
      </c>
      <c r="F98" s="25" t="e">
        <f t="shared" ca="1" si="19"/>
        <v>#VALUE!</v>
      </c>
      <c r="G98" s="25"/>
      <c r="H98" s="25" t="e">
        <f t="shared" si="23"/>
        <v>#VALUE!</v>
      </c>
      <c r="I98" s="25">
        <f t="shared" si="20"/>
        <v>-416.00000000000182</v>
      </c>
      <c r="J98" s="25" t="e">
        <f t="shared" si="21"/>
        <v>#VALUE!</v>
      </c>
    </row>
    <row r="99" spans="1:10" x14ac:dyDescent="0.25">
      <c r="A99" s="25">
        <f t="shared" si="22"/>
        <v>-9.1500000000000181</v>
      </c>
      <c r="B99" s="25">
        <f t="shared" ca="1" si="15"/>
        <v>4.3783633542534887E-2</v>
      </c>
      <c r="C99" s="25" t="e">
        <f t="shared" si="16"/>
        <v>#VALUE!</v>
      </c>
      <c r="D99" s="74" t="e">
        <f t="shared" si="17"/>
        <v>#VALUE!</v>
      </c>
      <c r="E99" s="25" t="e">
        <f t="shared" si="18"/>
        <v>#VALUE!</v>
      </c>
      <c r="F99" s="25" t="e">
        <f t="shared" ca="1" si="19"/>
        <v>#VALUE!</v>
      </c>
      <c r="G99" s="25"/>
      <c r="H99" s="25" t="e">
        <f t="shared" si="23"/>
        <v>#VALUE!</v>
      </c>
      <c r="I99" s="25">
        <f t="shared" si="20"/>
        <v>-415.00000000000182</v>
      </c>
      <c r="J99" s="25" t="e">
        <f t="shared" si="21"/>
        <v>#VALUE!</v>
      </c>
    </row>
    <row r="100" spans="1:10" x14ac:dyDescent="0.25">
      <c r="A100" s="25">
        <f t="shared" si="22"/>
        <v>-9.1400000000000183</v>
      </c>
      <c r="B100" s="25">
        <f t="shared" ca="1" si="15"/>
        <v>0.10671327078825299</v>
      </c>
      <c r="C100" s="25" t="e">
        <f t="shared" si="16"/>
        <v>#VALUE!</v>
      </c>
      <c r="D100" s="74" t="e">
        <f t="shared" si="17"/>
        <v>#VALUE!</v>
      </c>
      <c r="E100" s="25" t="e">
        <f t="shared" si="18"/>
        <v>#VALUE!</v>
      </c>
      <c r="F100" s="25" t="e">
        <f t="shared" ca="1" si="19"/>
        <v>#VALUE!</v>
      </c>
      <c r="G100" s="25"/>
      <c r="H100" s="25" t="e">
        <f t="shared" si="23"/>
        <v>#VALUE!</v>
      </c>
      <c r="I100" s="25">
        <f t="shared" si="20"/>
        <v>-414.00000000000182</v>
      </c>
      <c r="J100" s="25" t="e">
        <f t="shared" si="21"/>
        <v>#VALUE!</v>
      </c>
    </row>
    <row r="101" spans="1:10" x14ac:dyDescent="0.25">
      <c r="A101" s="25">
        <f t="shared" si="22"/>
        <v>-9.1300000000000185</v>
      </c>
      <c r="B101" s="25">
        <f t="shared" ca="1" si="15"/>
        <v>-0.15730159545940137</v>
      </c>
      <c r="C101" s="25" t="e">
        <f t="shared" si="16"/>
        <v>#VALUE!</v>
      </c>
      <c r="D101" s="74" t="e">
        <f t="shared" si="17"/>
        <v>#VALUE!</v>
      </c>
      <c r="E101" s="25" t="e">
        <f t="shared" si="18"/>
        <v>#VALUE!</v>
      </c>
      <c r="F101" s="25" t="e">
        <f t="shared" ca="1" si="19"/>
        <v>#VALUE!</v>
      </c>
      <c r="G101" s="25"/>
      <c r="H101" s="25" t="e">
        <f t="shared" si="23"/>
        <v>#VALUE!</v>
      </c>
      <c r="I101" s="25">
        <f t="shared" si="20"/>
        <v>-413.00000000000182</v>
      </c>
      <c r="J101" s="25" t="e">
        <f t="shared" si="21"/>
        <v>#VALUE!</v>
      </c>
    </row>
    <row r="102" spans="1:10" x14ac:dyDescent="0.25">
      <c r="A102" s="25">
        <f t="shared" si="22"/>
        <v>-9.1200000000000188</v>
      </c>
      <c r="B102" s="25">
        <f t="shared" ca="1" si="15"/>
        <v>-6.3289337647625912E-2</v>
      </c>
      <c r="C102" s="25" t="e">
        <f t="shared" si="16"/>
        <v>#VALUE!</v>
      </c>
      <c r="D102" s="74" t="e">
        <f t="shared" si="17"/>
        <v>#VALUE!</v>
      </c>
      <c r="E102" s="25" t="e">
        <f t="shared" si="18"/>
        <v>#VALUE!</v>
      </c>
      <c r="F102" s="25" t="e">
        <f t="shared" ca="1" si="19"/>
        <v>#VALUE!</v>
      </c>
      <c r="G102" s="25"/>
      <c r="H102" s="25" t="e">
        <f t="shared" si="23"/>
        <v>#VALUE!</v>
      </c>
      <c r="I102" s="25">
        <f t="shared" si="20"/>
        <v>-412.00000000000193</v>
      </c>
      <c r="J102" s="25" t="e">
        <f t="shared" si="21"/>
        <v>#VALUE!</v>
      </c>
    </row>
    <row r="103" spans="1:10" x14ac:dyDescent="0.25">
      <c r="A103" s="25">
        <f t="shared" si="22"/>
        <v>-9.110000000000019</v>
      </c>
      <c r="B103" s="25">
        <f t="shared" ca="1" si="15"/>
        <v>3.155008759351402E-3</v>
      </c>
      <c r="C103" s="25" t="e">
        <f t="shared" si="16"/>
        <v>#VALUE!</v>
      </c>
      <c r="D103" s="74" t="e">
        <f t="shared" si="17"/>
        <v>#VALUE!</v>
      </c>
      <c r="E103" s="25" t="e">
        <f t="shared" si="18"/>
        <v>#VALUE!</v>
      </c>
      <c r="F103" s="25" t="e">
        <f t="shared" ca="1" si="19"/>
        <v>#VALUE!</v>
      </c>
      <c r="G103" s="25"/>
      <c r="H103" s="25" t="e">
        <f t="shared" si="23"/>
        <v>#VALUE!</v>
      </c>
      <c r="I103" s="25">
        <f t="shared" si="20"/>
        <v>-411.00000000000193</v>
      </c>
      <c r="J103" s="25" t="e">
        <f t="shared" si="21"/>
        <v>#VALUE!</v>
      </c>
    </row>
    <row r="104" spans="1:10" x14ac:dyDescent="0.25">
      <c r="A104" s="25">
        <f t="shared" si="22"/>
        <v>-9.1000000000000192</v>
      </c>
      <c r="B104" s="25">
        <f t="shared" ca="1" si="15"/>
        <v>2.9496474776395821E-2</v>
      </c>
      <c r="C104" s="25" t="e">
        <f t="shared" si="16"/>
        <v>#VALUE!</v>
      </c>
      <c r="D104" s="74" t="e">
        <f t="shared" si="17"/>
        <v>#VALUE!</v>
      </c>
      <c r="E104" s="25" t="e">
        <f t="shared" si="18"/>
        <v>#VALUE!</v>
      </c>
      <c r="F104" s="25" t="e">
        <f t="shared" ca="1" si="19"/>
        <v>#VALUE!</v>
      </c>
      <c r="G104" s="25"/>
      <c r="H104" s="25" t="e">
        <f t="shared" si="23"/>
        <v>#VALUE!</v>
      </c>
      <c r="I104" s="25">
        <f t="shared" si="20"/>
        <v>-410.00000000000193</v>
      </c>
      <c r="J104" s="25" t="e">
        <f t="shared" si="21"/>
        <v>#VALUE!</v>
      </c>
    </row>
    <row r="105" spans="1:10" x14ac:dyDescent="0.25">
      <c r="A105" s="25">
        <f t="shared" si="22"/>
        <v>-9.0900000000000194</v>
      </c>
      <c r="B105" s="25">
        <f t="shared" ca="1" si="15"/>
        <v>-0.15478924291159959</v>
      </c>
      <c r="C105" s="25" t="e">
        <f t="shared" si="16"/>
        <v>#VALUE!</v>
      </c>
      <c r="D105" s="74" t="e">
        <f t="shared" si="17"/>
        <v>#VALUE!</v>
      </c>
      <c r="E105" s="25" t="e">
        <f t="shared" si="18"/>
        <v>#VALUE!</v>
      </c>
      <c r="F105" s="25" t="e">
        <f t="shared" ca="1" si="19"/>
        <v>#VALUE!</v>
      </c>
      <c r="G105" s="25"/>
      <c r="H105" s="25" t="e">
        <f t="shared" si="23"/>
        <v>#VALUE!</v>
      </c>
      <c r="I105" s="25">
        <f t="shared" si="20"/>
        <v>-409.00000000000193</v>
      </c>
      <c r="J105" s="25" t="e">
        <f t="shared" si="21"/>
        <v>#VALUE!</v>
      </c>
    </row>
    <row r="106" spans="1:10" x14ac:dyDescent="0.25">
      <c r="A106" s="25">
        <f t="shared" si="22"/>
        <v>-9.0800000000000196</v>
      </c>
      <c r="B106" s="25">
        <f t="shared" ca="1" si="15"/>
        <v>0.13160157687044152</v>
      </c>
      <c r="C106" s="25" t="e">
        <f t="shared" si="16"/>
        <v>#VALUE!</v>
      </c>
      <c r="D106" s="74" t="e">
        <f t="shared" si="17"/>
        <v>#VALUE!</v>
      </c>
      <c r="E106" s="25" t="e">
        <f t="shared" si="18"/>
        <v>#VALUE!</v>
      </c>
      <c r="F106" s="25" t="e">
        <f t="shared" ca="1" si="19"/>
        <v>#VALUE!</v>
      </c>
      <c r="G106" s="25"/>
      <c r="H106" s="25" t="e">
        <f t="shared" si="23"/>
        <v>#VALUE!</v>
      </c>
      <c r="I106" s="25">
        <f t="shared" si="20"/>
        <v>-408.00000000000193</v>
      </c>
      <c r="J106" s="25" t="e">
        <f t="shared" si="21"/>
        <v>#VALUE!</v>
      </c>
    </row>
    <row r="107" spans="1:10" x14ac:dyDescent="0.25">
      <c r="A107" s="25">
        <f t="shared" si="22"/>
        <v>-9.0700000000000198</v>
      </c>
      <c r="B107" s="25">
        <f t="shared" ca="1" si="15"/>
        <v>5.0475936682074757E-2</v>
      </c>
      <c r="C107" s="25" t="e">
        <f t="shared" si="16"/>
        <v>#VALUE!</v>
      </c>
      <c r="D107" s="74" t="e">
        <f t="shared" si="17"/>
        <v>#VALUE!</v>
      </c>
      <c r="E107" s="25" t="e">
        <f t="shared" si="18"/>
        <v>#VALUE!</v>
      </c>
      <c r="F107" s="25" t="e">
        <f t="shared" ca="1" si="19"/>
        <v>#VALUE!</v>
      </c>
      <c r="G107" s="25"/>
      <c r="H107" s="25" t="e">
        <f t="shared" si="23"/>
        <v>#VALUE!</v>
      </c>
      <c r="I107" s="25">
        <f t="shared" si="20"/>
        <v>-407.00000000000199</v>
      </c>
      <c r="J107" s="25" t="e">
        <f t="shared" si="21"/>
        <v>#VALUE!</v>
      </c>
    </row>
    <row r="108" spans="1:10" x14ac:dyDescent="0.25">
      <c r="A108" s="25">
        <f t="shared" si="22"/>
        <v>-9.06000000000002</v>
      </c>
      <c r="B108" s="25">
        <f t="shared" ca="1" si="15"/>
        <v>-5.9126787910117357E-2</v>
      </c>
      <c r="C108" s="25" t="e">
        <f t="shared" si="16"/>
        <v>#VALUE!</v>
      </c>
      <c r="D108" s="74" t="e">
        <f t="shared" si="17"/>
        <v>#VALUE!</v>
      </c>
      <c r="E108" s="25" t="e">
        <f t="shared" si="18"/>
        <v>#VALUE!</v>
      </c>
      <c r="F108" s="25" t="e">
        <f t="shared" ca="1" si="19"/>
        <v>#VALUE!</v>
      </c>
      <c r="G108" s="25"/>
      <c r="H108" s="25" t="e">
        <f t="shared" si="23"/>
        <v>#VALUE!</v>
      </c>
      <c r="I108" s="25">
        <f t="shared" si="20"/>
        <v>-406.00000000000199</v>
      </c>
      <c r="J108" s="25" t="e">
        <f t="shared" si="21"/>
        <v>#VALUE!</v>
      </c>
    </row>
    <row r="109" spans="1:10" x14ac:dyDescent="0.25">
      <c r="A109" s="25">
        <f t="shared" si="22"/>
        <v>-9.0500000000000203</v>
      </c>
      <c r="B109" s="25">
        <f t="shared" ca="1" si="15"/>
        <v>8.3263576364559375E-2</v>
      </c>
      <c r="C109" s="25" t="e">
        <f t="shared" si="16"/>
        <v>#VALUE!</v>
      </c>
      <c r="D109" s="74" t="e">
        <f t="shared" si="17"/>
        <v>#VALUE!</v>
      </c>
      <c r="E109" s="25" t="e">
        <f t="shared" si="18"/>
        <v>#VALUE!</v>
      </c>
      <c r="F109" s="25" t="e">
        <f t="shared" ca="1" si="19"/>
        <v>#VALUE!</v>
      </c>
      <c r="G109" s="25"/>
      <c r="H109" s="25" t="e">
        <f t="shared" si="23"/>
        <v>#VALUE!</v>
      </c>
      <c r="I109" s="25">
        <f t="shared" si="20"/>
        <v>-405.00000000000205</v>
      </c>
      <c r="J109" s="25" t="e">
        <f t="shared" si="21"/>
        <v>#VALUE!</v>
      </c>
    </row>
    <row r="110" spans="1:10" x14ac:dyDescent="0.25">
      <c r="A110" s="25">
        <f t="shared" si="22"/>
        <v>-9.0400000000000205</v>
      </c>
      <c r="B110" s="25">
        <f t="shared" ca="1" si="15"/>
        <v>-4.4296389255874841E-2</v>
      </c>
      <c r="C110" s="25" t="e">
        <f t="shared" si="16"/>
        <v>#VALUE!</v>
      </c>
      <c r="D110" s="74" t="e">
        <f t="shared" si="17"/>
        <v>#VALUE!</v>
      </c>
      <c r="E110" s="25" t="e">
        <f t="shared" si="18"/>
        <v>#VALUE!</v>
      </c>
      <c r="F110" s="25" t="e">
        <f t="shared" ca="1" si="19"/>
        <v>#VALUE!</v>
      </c>
      <c r="G110" s="25"/>
      <c r="H110" s="25" t="e">
        <f t="shared" si="23"/>
        <v>#VALUE!</v>
      </c>
      <c r="I110" s="25">
        <f t="shared" si="20"/>
        <v>-404.00000000000205</v>
      </c>
      <c r="J110" s="25" t="e">
        <f t="shared" si="21"/>
        <v>#VALUE!</v>
      </c>
    </row>
    <row r="111" spans="1:10" x14ac:dyDescent="0.25">
      <c r="A111" s="25">
        <f t="shared" si="22"/>
        <v>-9.0300000000000207</v>
      </c>
      <c r="B111" s="25">
        <f t="shared" ca="1" si="15"/>
        <v>-0.10416980458972847</v>
      </c>
      <c r="C111" s="25" t="e">
        <f t="shared" si="16"/>
        <v>#VALUE!</v>
      </c>
      <c r="D111" s="74" t="e">
        <f t="shared" si="17"/>
        <v>#VALUE!</v>
      </c>
      <c r="E111" s="25" t="e">
        <f t="shared" si="18"/>
        <v>#VALUE!</v>
      </c>
      <c r="F111" s="25" t="e">
        <f t="shared" ca="1" si="19"/>
        <v>#VALUE!</v>
      </c>
      <c r="G111" s="25"/>
      <c r="H111" s="25" t="e">
        <f t="shared" si="23"/>
        <v>#VALUE!</v>
      </c>
      <c r="I111" s="25">
        <f t="shared" si="20"/>
        <v>-403.00000000000205</v>
      </c>
      <c r="J111" s="25" t="e">
        <f t="shared" si="21"/>
        <v>#VALUE!</v>
      </c>
    </row>
    <row r="112" spans="1:10" x14ac:dyDescent="0.25">
      <c r="A112" s="25">
        <f t="shared" si="22"/>
        <v>-9.0200000000000209</v>
      </c>
      <c r="B112" s="25">
        <f t="shared" ca="1" si="15"/>
        <v>-0.12587802094873077</v>
      </c>
      <c r="C112" s="25" t="e">
        <f t="shared" si="16"/>
        <v>#VALUE!</v>
      </c>
      <c r="D112" s="74" t="e">
        <f t="shared" si="17"/>
        <v>#VALUE!</v>
      </c>
      <c r="E112" s="25" t="e">
        <f t="shared" si="18"/>
        <v>#VALUE!</v>
      </c>
      <c r="F112" s="25" t="e">
        <f t="shared" ca="1" si="19"/>
        <v>#VALUE!</v>
      </c>
      <c r="G112" s="25"/>
      <c r="H112" s="25" t="e">
        <f t="shared" si="23"/>
        <v>#VALUE!</v>
      </c>
      <c r="I112" s="25">
        <f t="shared" si="20"/>
        <v>-402.0000000000021</v>
      </c>
      <c r="J112" s="25" t="e">
        <f t="shared" si="21"/>
        <v>#VALUE!</v>
      </c>
    </row>
    <row r="113" spans="1:10" x14ac:dyDescent="0.25">
      <c r="A113" s="25">
        <f t="shared" si="22"/>
        <v>-9.0100000000000211</v>
      </c>
      <c r="B113" s="25">
        <f t="shared" ca="1" si="15"/>
        <v>-0.15046566722207769</v>
      </c>
      <c r="C113" s="25" t="e">
        <f t="shared" si="16"/>
        <v>#VALUE!</v>
      </c>
      <c r="D113" s="74" t="e">
        <f t="shared" si="17"/>
        <v>#VALUE!</v>
      </c>
      <c r="E113" s="25" t="e">
        <f t="shared" si="18"/>
        <v>#VALUE!</v>
      </c>
      <c r="F113" s="25" t="e">
        <f t="shared" ca="1" si="19"/>
        <v>#VALUE!</v>
      </c>
      <c r="G113" s="25"/>
      <c r="H113" s="25" t="e">
        <f t="shared" si="23"/>
        <v>#VALUE!</v>
      </c>
      <c r="I113" s="25">
        <f t="shared" si="20"/>
        <v>-401.0000000000021</v>
      </c>
      <c r="J113" s="25" t="e">
        <f t="shared" si="21"/>
        <v>#VALUE!</v>
      </c>
    </row>
    <row r="114" spans="1:10" x14ac:dyDescent="0.25">
      <c r="A114" s="25">
        <f t="shared" si="22"/>
        <v>-9.0000000000000213</v>
      </c>
      <c r="B114" s="25">
        <f t="shared" ca="1" si="15"/>
        <v>5.0744199576288569E-2</v>
      </c>
      <c r="C114" s="25" t="e">
        <f t="shared" si="16"/>
        <v>#VALUE!</v>
      </c>
      <c r="D114" s="74" t="e">
        <f t="shared" si="17"/>
        <v>#VALUE!</v>
      </c>
      <c r="E114" s="25" t="e">
        <f t="shared" si="18"/>
        <v>#VALUE!</v>
      </c>
      <c r="F114" s="25" t="e">
        <f t="shared" ca="1" si="19"/>
        <v>#VALUE!</v>
      </c>
      <c r="G114" s="25"/>
      <c r="H114" s="25" t="e">
        <f t="shared" si="23"/>
        <v>#VALUE!</v>
      </c>
      <c r="I114" s="25">
        <f t="shared" si="20"/>
        <v>-400.00000000000216</v>
      </c>
      <c r="J114" s="25" t="e">
        <f t="shared" si="21"/>
        <v>#VALUE!</v>
      </c>
    </row>
    <row r="115" spans="1:10" x14ac:dyDescent="0.25">
      <c r="A115" s="25">
        <f t="shared" si="22"/>
        <v>-8.9900000000000215</v>
      </c>
      <c r="B115" s="25">
        <f t="shared" ca="1" si="15"/>
        <v>-9.819186036738721E-2</v>
      </c>
      <c r="C115" s="25" t="e">
        <f t="shared" si="16"/>
        <v>#VALUE!</v>
      </c>
      <c r="D115" s="74" t="e">
        <f t="shared" si="17"/>
        <v>#VALUE!</v>
      </c>
      <c r="E115" s="25" t="e">
        <f t="shared" si="18"/>
        <v>#VALUE!</v>
      </c>
      <c r="F115" s="25" t="e">
        <f t="shared" ca="1" si="19"/>
        <v>#VALUE!</v>
      </c>
      <c r="G115" s="25"/>
      <c r="H115" s="25" t="e">
        <f t="shared" si="23"/>
        <v>#VALUE!</v>
      </c>
      <c r="I115" s="25">
        <f t="shared" si="20"/>
        <v>-399.00000000000216</v>
      </c>
      <c r="J115" s="25" t="e">
        <f t="shared" si="21"/>
        <v>#VALUE!</v>
      </c>
    </row>
    <row r="116" spans="1:10" x14ac:dyDescent="0.25">
      <c r="A116" s="25">
        <f t="shared" si="22"/>
        <v>-8.9800000000000217</v>
      </c>
      <c r="B116" s="25">
        <f t="shared" ca="1" si="15"/>
        <v>-3.8661419575649475E-2</v>
      </c>
      <c r="C116" s="25" t="e">
        <f t="shared" si="16"/>
        <v>#VALUE!</v>
      </c>
      <c r="D116" s="74" t="e">
        <f t="shared" si="17"/>
        <v>#VALUE!</v>
      </c>
      <c r="E116" s="25" t="e">
        <f t="shared" si="18"/>
        <v>#VALUE!</v>
      </c>
      <c r="F116" s="25" t="e">
        <f t="shared" ca="1" si="19"/>
        <v>#VALUE!</v>
      </c>
      <c r="G116" s="25"/>
      <c r="H116" s="25" t="e">
        <f t="shared" si="23"/>
        <v>#VALUE!</v>
      </c>
      <c r="I116" s="25">
        <f t="shared" si="20"/>
        <v>-398.00000000000216</v>
      </c>
      <c r="J116" s="25" t="e">
        <f t="shared" si="21"/>
        <v>#VALUE!</v>
      </c>
    </row>
    <row r="117" spans="1:10" x14ac:dyDescent="0.25">
      <c r="A117" s="25">
        <f t="shared" si="22"/>
        <v>-8.970000000000022</v>
      </c>
      <c r="B117" s="25">
        <f t="shared" ca="1" si="15"/>
        <v>-0.14331216986339437</v>
      </c>
      <c r="C117" s="25" t="e">
        <f t="shared" si="16"/>
        <v>#VALUE!</v>
      </c>
      <c r="D117" s="74" t="e">
        <f t="shared" si="17"/>
        <v>#VALUE!</v>
      </c>
      <c r="E117" s="25" t="e">
        <f t="shared" si="18"/>
        <v>#VALUE!</v>
      </c>
      <c r="F117" s="25" t="e">
        <f t="shared" ca="1" si="19"/>
        <v>#VALUE!</v>
      </c>
      <c r="G117" s="25"/>
      <c r="H117" s="25" t="e">
        <f t="shared" si="23"/>
        <v>#VALUE!</v>
      </c>
      <c r="I117" s="25">
        <f t="shared" si="20"/>
        <v>-397.00000000000216</v>
      </c>
      <c r="J117" s="25" t="e">
        <f t="shared" si="21"/>
        <v>#VALUE!</v>
      </c>
    </row>
    <row r="118" spans="1:10" x14ac:dyDescent="0.25">
      <c r="A118" s="25">
        <f t="shared" si="22"/>
        <v>-8.9600000000000222</v>
      </c>
      <c r="B118" s="25">
        <f t="shared" ca="1" si="15"/>
        <v>-2.6234341057033789E-2</v>
      </c>
      <c r="C118" s="25" t="e">
        <f t="shared" si="16"/>
        <v>#VALUE!</v>
      </c>
      <c r="D118" s="74" t="e">
        <f t="shared" si="17"/>
        <v>#VALUE!</v>
      </c>
      <c r="E118" s="25" t="e">
        <f t="shared" si="18"/>
        <v>#VALUE!</v>
      </c>
      <c r="F118" s="25" t="e">
        <f t="shared" ca="1" si="19"/>
        <v>#VALUE!</v>
      </c>
      <c r="G118" s="25"/>
      <c r="H118" s="25" t="e">
        <f t="shared" si="23"/>
        <v>#VALUE!</v>
      </c>
      <c r="I118" s="25">
        <f t="shared" si="20"/>
        <v>-396.00000000000222</v>
      </c>
      <c r="J118" s="25" t="e">
        <f t="shared" si="21"/>
        <v>#VALUE!</v>
      </c>
    </row>
    <row r="119" spans="1:10" x14ac:dyDescent="0.25">
      <c r="A119" s="25">
        <f t="shared" si="22"/>
        <v>-8.9500000000000224</v>
      </c>
      <c r="B119" s="25">
        <f t="shared" ca="1" si="15"/>
        <v>-0.11812224098543216</v>
      </c>
      <c r="C119" s="25" t="e">
        <f t="shared" si="16"/>
        <v>#VALUE!</v>
      </c>
      <c r="D119" s="74" t="e">
        <f t="shared" si="17"/>
        <v>#VALUE!</v>
      </c>
      <c r="E119" s="25" t="e">
        <f t="shared" si="18"/>
        <v>#VALUE!</v>
      </c>
      <c r="F119" s="25" t="e">
        <f t="shared" ca="1" si="19"/>
        <v>#VALUE!</v>
      </c>
      <c r="G119" s="25"/>
      <c r="H119" s="25" t="e">
        <f t="shared" si="23"/>
        <v>#VALUE!</v>
      </c>
      <c r="I119" s="25">
        <f t="shared" si="20"/>
        <v>-395.00000000000222</v>
      </c>
      <c r="J119" s="25" t="e">
        <f t="shared" si="21"/>
        <v>#VALUE!</v>
      </c>
    </row>
    <row r="120" spans="1:10" x14ac:dyDescent="0.25">
      <c r="A120" s="25">
        <f t="shared" si="22"/>
        <v>-8.9400000000000226</v>
      </c>
      <c r="B120" s="25">
        <f t="shared" ca="1" si="15"/>
        <v>8.8028868007151331E-2</v>
      </c>
      <c r="C120" s="25" t="e">
        <f t="shared" si="16"/>
        <v>#VALUE!</v>
      </c>
      <c r="D120" s="74" t="e">
        <f t="shared" si="17"/>
        <v>#VALUE!</v>
      </c>
      <c r="E120" s="25" t="e">
        <f t="shared" si="18"/>
        <v>#VALUE!</v>
      </c>
      <c r="F120" s="25" t="e">
        <f t="shared" ca="1" si="19"/>
        <v>#VALUE!</v>
      </c>
      <c r="G120" s="25"/>
      <c r="H120" s="25" t="e">
        <f t="shared" si="23"/>
        <v>#VALUE!</v>
      </c>
      <c r="I120" s="25">
        <f t="shared" si="20"/>
        <v>-394.00000000000227</v>
      </c>
      <c r="J120" s="25" t="e">
        <f t="shared" si="21"/>
        <v>#VALUE!</v>
      </c>
    </row>
    <row r="121" spans="1:10" x14ac:dyDescent="0.25">
      <c r="A121" s="25">
        <f t="shared" si="22"/>
        <v>-8.9300000000000228</v>
      </c>
      <c r="B121" s="25">
        <f t="shared" ca="1" si="15"/>
        <v>-0.14944074044637182</v>
      </c>
      <c r="C121" s="25" t="e">
        <f t="shared" si="16"/>
        <v>#VALUE!</v>
      </c>
      <c r="D121" s="74" t="e">
        <f t="shared" si="17"/>
        <v>#VALUE!</v>
      </c>
      <c r="E121" s="25" t="e">
        <f t="shared" si="18"/>
        <v>#VALUE!</v>
      </c>
      <c r="F121" s="25" t="e">
        <f t="shared" ca="1" si="19"/>
        <v>#VALUE!</v>
      </c>
      <c r="G121" s="25"/>
      <c r="H121" s="25" t="e">
        <f t="shared" si="23"/>
        <v>#VALUE!</v>
      </c>
      <c r="I121" s="25">
        <f t="shared" si="20"/>
        <v>-393.00000000000227</v>
      </c>
      <c r="J121" s="25" t="e">
        <f t="shared" si="21"/>
        <v>#VALUE!</v>
      </c>
    </row>
    <row r="122" spans="1:10" x14ac:dyDescent="0.25">
      <c r="A122" s="25">
        <f t="shared" si="22"/>
        <v>-8.920000000000023</v>
      </c>
      <c r="B122" s="25">
        <f t="shared" ca="1" si="15"/>
        <v>4.9065706422839868E-2</v>
      </c>
      <c r="C122" s="25" t="e">
        <f t="shared" si="16"/>
        <v>#VALUE!</v>
      </c>
      <c r="D122" s="74" t="e">
        <f t="shared" si="17"/>
        <v>#VALUE!</v>
      </c>
      <c r="E122" s="25" t="e">
        <f t="shared" si="18"/>
        <v>#VALUE!</v>
      </c>
      <c r="F122" s="25" t="e">
        <f t="shared" ca="1" si="19"/>
        <v>#VALUE!</v>
      </c>
      <c r="G122" s="25"/>
      <c r="H122" s="25" t="e">
        <f t="shared" si="23"/>
        <v>#VALUE!</v>
      </c>
      <c r="I122" s="25">
        <f t="shared" si="20"/>
        <v>-392.00000000000233</v>
      </c>
      <c r="J122" s="25" t="e">
        <f t="shared" si="21"/>
        <v>#VALUE!</v>
      </c>
    </row>
    <row r="123" spans="1:10" x14ac:dyDescent="0.25">
      <c r="A123" s="25">
        <f t="shared" si="22"/>
        <v>-8.9100000000000232</v>
      </c>
      <c r="B123" s="25">
        <f t="shared" ca="1" si="15"/>
        <v>8.7711164365199823E-3</v>
      </c>
      <c r="C123" s="25" t="e">
        <f t="shared" si="16"/>
        <v>#VALUE!</v>
      </c>
      <c r="D123" s="74" t="e">
        <f t="shared" si="17"/>
        <v>#VALUE!</v>
      </c>
      <c r="E123" s="25" t="e">
        <f t="shared" si="18"/>
        <v>#VALUE!</v>
      </c>
      <c r="F123" s="25" t="e">
        <f t="shared" ca="1" si="19"/>
        <v>#VALUE!</v>
      </c>
      <c r="G123" s="25"/>
      <c r="H123" s="25" t="e">
        <f t="shared" si="23"/>
        <v>#VALUE!</v>
      </c>
      <c r="I123" s="25">
        <f t="shared" si="20"/>
        <v>-391.00000000000233</v>
      </c>
      <c r="J123" s="25" t="e">
        <f t="shared" si="21"/>
        <v>#VALUE!</v>
      </c>
    </row>
    <row r="124" spans="1:10" x14ac:dyDescent="0.25">
      <c r="A124" s="25">
        <f t="shared" si="22"/>
        <v>-8.9000000000000234</v>
      </c>
      <c r="B124" s="25">
        <f t="shared" ca="1" si="15"/>
        <v>-6.8191971952092853E-2</v>
      </c>
      <c r="C124" s="25" t="e">
        <f t="shared" si="16"/>
        <v>#VALUE!</v>
      </c>
      <c r="D124" s="74" t="e">
        <f t="shared" si="17"/>
        <v>#VALUE!</v>
      </c>
      <c r="E124" s="25" t="e">
        <f t="shared" si="18"/>
        <v>#VALUE!</v>
      </c>
      <c r="F124" s="25" t="e">
        <f t="shared" ca="1" si="19"/>
        <v>#VALUE!</v>
      </c>
      <c r="G124" s="25"/>
      <c r="H124" s="25" t="e">
        <f t="shared" si="23"/>
        <v>#VALUE!</v>
      </c>
      <c r="I124" s="25">
        <f t="shared" si="20"/>
        <v>-390.00000000000239</v>
      </c>
      <c r="J124" s="25" t="e">
        <f t="shared" si="21"/>
        <v>#VALUE!</v>
      </c>
    </row>
    <row r="125" spans="1:10" x14ac:dyDescent="0.25">
      <c r="A125" s="25">
        <f t="shared" si="22"/>
        <v>-8.8900000000000237</v>
      </c>
      <c r="B125" s="25">
        <f t="shared" ca="1" si="15"/>
        <v>1.5176770455696051E-2</v>
      </c>
      <c r="C125" s="25" t="e">
        <f t="shared" si="16"/>
        <v>#VALUE!</v>
      </c>
      <c r="D125" s="74" t="e">
        <f t="shared" si="17"/>
        <v>#VALUE!</v>
      </c>
      <c r="E125" s="25" t="e">
        <f t="shared" si="18"/>
        <v>#VALUE!</v>
      </c>
      <c r="F125" s="25" t="e">
        <f t="shared" ca="1" si="19"/>
        <v>#VALUE!</v>
      </c>
      <c r="G125" s="25"/>
      <c r="H125" s="25" t="e">
        <f t="shared" si="23"/>
        <v>#VALUE!</v>
      </c>
      <c r="I125" s="25">
        <f t="shared" si="20"/>
        <v>-389.00000000000239</v>
      </c>
      <c r="J125" s="25" t="e">
        <f t="shared" si="21"/>
        <v>#VALUE!</v>
      </c>
    </row>
    <row r="126" spans="1:10" x14ac:dyDescent="0.25">
      <c r="A126" s="25">
        <f t="shared" si="22"/>
        <v>-8.8800000000000239</v>
      </c>
      <c r="B126" s="25">
        <f t="shared" ca="1" si="15"/>
        <v>-0.10622749715447677</v>
      </c>
      <c r="C126" s="25" t="e">
        <f t="shared" si="16"/>
        <v>#VALUE!</v>
      </c>
      <c r="D126" s="74" t="e">
        <f t="shared" si="17"/>
        <v>#VALUE!</v>
      </c>
      <c r="E126" s="25" t="e">
        <f t="shared" si="18"/>
        <v>#VALUE!</v>
      </c>
      <c r="F126" s="25" t="e">
        <f t="shared" ca="1" si="19"/>
        <v>#VALUE!</v>
      </c>
      <c r="G126" s="25"/>
      <c r="H126" s="25" t="e">
        <f t="shared" si="23"/>
        <v>#VALUE!</v>
      </c>
      <c r="I126" s="25">
        <f t="shared" si="20"/>
        <v>-388.00000000000239</v>
      </c>
      <c r="J126" s="25" t="e">
        <f t="shared" si="21"/>
        <v>#VALUE!</v>
      </c>
    </row>
    <row r="127" spans="1:10" x14ac:dyDescent="0.25">
      <c r="A127" s="25">
        <f t="shared" si="22"/>
        <v>-8.8700000000000241</v>
      </c>
      <c r="B127" s="25">
        <f t="shared" ca="1" si="15"/>
        <v>-7.4436681473776037E-2</v>
      </c>
      <c r="C127" s="25" t="e">
        <f t="shared" si="16"/>
        <v>#VALUE!</v>
      </c>
      <c r="D127" s="74" t="e">
        <f t="shared" si="17"/>
        <v>#VALUE!</v>
      </c>
      <c r="E127" s="25" t="e">
        <f t="shared" si="18"/>
        <v>#VALUE!</v>
      </c>
      <c r="F127" s="25" t="e">
        <f t="shared" ca="1" si="19"/>
        <v>#VALUE!</v>
      </c>
      <c r="G127" s="25"/>
      <c r="H127" s="25" t="e">
        <f t="shared" si="23"/>
        <v>#VALUE!</v>
      </c>
      <c r="I127" s="25">
        <f t="shared" si="20"/>
        <v>-387.00000000000239</v>
      </c>
      <c r="J127" s="25" t="e">
        <f t="shared" si="21"/>
        <v>#VALUE!</v>
      </c>
    </row>
    <row r="128" spans="1:10" x14ac:dyDescent="0.25">
      <c r="A128" s="25">
        <f t="shared" si="22"/>
        <v>-8.8600000000000243</v>
      </c>
      <c r="B128" s="25">
        <f t="shared" ca="1" si="15"/>
        <v>-0.17078976753153108</v>
      </c>
      <c r="C128" s="25" t="e">
        <f t="shared" si="16"/>
        <v>#VALUE!</v>
      </c>
      <c r="D128" s="74" t="e">
        <f t="shared" si="17"/>
        <v>#VALUE!</v>
      </c>
      <c r="E128" s="25" t="e">
        <f t="shared" si="18"/>
        <v>#VALUE!</v>
      </c>
      <c r="F128" s="25" t="e">
        <f t="shared" ca="1" si="19"/>
        <v>#VALUE!</v>
      </c>
      <c r="G128" s="25"/>
      <c r="H128" s="25" t="e">
        <f t="shared" si="23"/>
        <v>#VALUE!</v>
      </c>
      <c r="I128" s="25">
        <f t="shared" si="20"/>
        <v>-386.00000000000239</v>
      </c>
      <c r="J128" s="25" t="e">
        <f t="shared" si="21"/>
        <v>#VALUE!</v>
      </c>
    </row>
    <row r="129" spans="1:10" x14ac:dyDescent="0.25">
      <c r="A129" s="25">
        <f t="shared" si="22"/>
        <v>-8.8500000000000245</v>
      </c>
      <c r="B129" s="25">
        <f t="shared" ca="1" si="15"/>
        <v>4.197658991207856E-2</v>
      </c>
      <c r="C129" s="25" t="e">
        <f t="shared" si="16"/>
        <v>#VALUE!</v>
      </c>
      <c r="D129" s="74" t="e">
        <f t="shared" si="17"/>
        <v>#VALUE!</v>
      </c>
      <c r="E129" s="25" t="e">
        <f t="shared" si="18"/>
        <v>#VALUE!</v>
      </c>
      <c r="F129" s="25" t="e">
        <f t="shared" ca="1" si="19"/>
        <v>#VALUE!</v>
      </c>
      <c r="G129" s="25"/>
      <c r="H129" s="25" t="e">
        <f t="shared" si="23"/>
        <v>#VALUE!</v>
      </c>
      <c r="I129" s="25">
        <f t="shared" si="20"/>
        <v>-385.00000000000244</v>
      </c>
      <c r="J129" s="25" t="e">
        <f t="shared" si="21"/>
        <v>#VALUE!</v>
      </c>
    </row>
    <row r="130" spans="1:10" x14ac:dyDescent="0.25">
      <c r="A130" s="25">
        <f t="shared" si="22"/>
        <v>-8.8400000000000247</v>
      </c>
      <c r="B130" s="25">
        <f t="shared" ca="1" si="15"/>
        <v>-0.13607585615176518</v>
      </c>
      <c r="C130" s="25" t="e">
        <f t="shared" si="16"/>
        <v>#VALUE!</v>
      </c>
      <c r="D130" s="74" t="e">
        <f t="shared" si="17"/>
        <v>#VALUE!</v>
      </c>
      <c r="E130" s="25" t="e">
        <f t="shared" si="18"/>
        <v>#VALUE!</v>
      </c>
      <c r="F130" s="25" t="e">
        <f t="shared" ca="1" si="19"/>
        <v>#VALUE!</v>
      </c>
      <c r="G130" s="25"/>
      <c r="H130" s="25" t="e">
        <f t="shared" si="23"/>
        <v>#VALUE!</v>
      </c>
      <c r="I130" s="25">
        <f t="shared" si="20"/>
        <v>-384.00000000000244</v>
      </c>
      <c r="J130" s="25" t="e">
        <f t="shared" si="21"/>
        <v>#VALUE!</v>
      </c>
    </row>
    <row r="131" spans="1:10" x14ac:dyDescent="0.25">
      <c r="A131" s="25">
        <f t="shared" si="22"/>
        <v>-8.8300000000000249</v>
      </c>
      <c r="B131" s="25">
        <f t="shared" ca="1" si="15"/>
        <v>-7.2168983551444535E-2</v>
      </c>
      <c r="C131" s="25" t="e">
        <f t="shared" si="16"/>
        <v>#VALUE!</v>
      </c>
      <c r="D131" s="74" t="e">
        <f t="shared" si="17"/>
        <v>#VALUE!</v>
      </c>
      <c r="E131" s="25" t="e">
        <f t="shared" si="18"/>
        <v>#VALUE!</v>
      </c>
      <c r="F131" s="25" t="e">
        <f t="shared" ca="1" si="19"/>
        <v>#VALUE!</v>
      </c>
      <c r="G131" s="25"/>
      <c r="H131" s="25" t="e">
        <f t="shared" si="23"/>
        <v>#VALUE!</v>
      </c>
      <c r="I131" s="25">
        <f t="shared" si="20"/>
        <v>-383.0000000000025</v>
      </c>
      <c r="J131" s="25" t="e">
        <f t="shared" si="21"/>
        <v>#VALUE!</v>
      </c>
    </row>
    <row r="132" spans="1:10" x14ac:dyDescent="0.25">
      <c r="A132" s="25">
        <f t="shared" si="22"/>
        <v>-8.8200000000000252</v>
      </c>
      <c r="B132" s="25">
        <f t="shared" ca="1" si="15"/>
        <v>1.4914983643771815E-2</v>
      </c>
      <c r="C132" s="25" t="e">
        <f t="shared" si="16"/>
        <v>#VALUE!</v>
      </c>
      <c r="D132" s="74" t="e">
        <f t="shared" si="17"/>
        <v>#VALUE!</v>
      </c>
      <c r="E132" s="25" t="e">
        <f t="shared" si="18"/>
        <v>#VALUE!</v>
      </c>
      <c r="F132" s="25" t="e">
        <f t="shared" ca="1" si="19"/>
        <v>#VALUE!</v>
      </c>
      <c r="G132" s="25"/>
      <c r="H132" s="25" t="e">
        <f t="shared" si="23"/>
        <v>#VALUE!</v>
      </c>
      <c r="I132" s="25">
        <f t="shared" si="20"/>
        <v>-382.0000000000025</v>
      </c>
      <c r="J132" s="25" t="e">
        <f t="shared" si="21"/>
        <v>#VALUE!</v>
      </c>
    </row>
    <row r="133" spans="1:10" x14ac:dyDescent="0.25">
      <c r="A133" s="25">
        <f t="shared" si="22"/>
        <v>-8.8100000000000254</v>
      </c>
      <c r="B133" s="25">
        <f t="shared" ca="1" si="15"/>
        <v>7.3367310511322351E-2</v>
      </c>
      <c r="C133" s="25" t="e">
        <f t="shared" si="16"/>
        <v>#VALUE!</v>
      </c>
      <c r="D133" s="74" t="e">
        <f t="shared" si="17"/>
        <v>#VALUE!</v>
      </c>
      <c r="E133" s="25" t="e">
        <f t="shared" si="18"/>
        <v>#VALUE!</v>
      </c>
      <c r="F133" s="25" t="e">
        <f t="shared" ca="1" si="19"/>
        <v>#VALUE!</v>
      </c>
      <c r="G133" s="25"/>
      <c r="H133" s="25" t="e">
        <f t="shared" si="23"/>
        <v>#VALUE!</v>
      </c>
      <c r="I133" s="25">
        <f t="shared" si="20"/>
        <v>-381.00000000000256</v>
      </c>
      <c r="J133" s="25" t="e">
        <f t="shared" si="21"/>
        <v>#VALUE!</v>
      </c>
    </row>
    <row r="134" spans="1:10" x14ac:dyDescent="0.25">
      <c r="A134" s="25">
        <f t="shared" si="22"/>
        <v>-8.8000000000000256</v>
      </c>
      <c r="B134" s="25">
        <f t="shared" ca="1" si="15"/>
        <v>-9.9770526499631654E-2</v>
      </c>
      <c r="C134" s="25" t="e">
        <f t="shared" si="16"/>
        <v>#VALUE!</v>
      </c>
      <c r="D134" s="74" t="e">
        <f t="shared" si="17"/>
        <v>#VALUE!</v>
      </c>
      <c r="E134" s="25" t="e">
        <f t="shared" si="18"/>
        <v>#VALUE!</v>
      </c>
      <c r="F134" s="25" t="e">
        <f t="shared" ca="1" si="19"/>
        <v>#VALUE!</v>
      </c>
      <c r="G134" s="25"/>
      <c r="H134" s="25" t="e">
        <f t="shared" si="23"/>
        <v>#VALUE!</v>
      </c>
      <c r="I134" s="25">
        <f t="shared" si="20"/>
        <v>-380.00000000000256</v>
      </c>
      <c r="J134" s="25" t="e">
        <f t="shared" si="21"/>
        <v>#VALUE!</v>
      </c>
    </row>
    <row r="135" spans="1:10" x14ac:dyDescent="0.25">
      <c r="A135" s="25">
        <f t="shared" si="22"/>
        <v>-8.7900000000000258</v>
      </c>
      <c r="B135" s="25">
        <f t="shared" ca="1" si="15"/>
        <v>-4.8957897424651738E-2</v>
      </c>
      <c r="C135" s="25" t="e">
        <f t="shared" si="16"/>
        <v>#VALUE!</v>
      </c>
      <c r="D135" s="74" t="e">
        <f t="shared" si="17"/>
        <v>#VALUE!</v>
      </c>
      <c r="E135" s="25" t="e">
        <f t="shared" si="18"/>
        <v>#VALUE!</v>
      </c>
      <c r="F135" s="25" t="e">
        <f t="shared" ca="1" si="19"/>
        <v>#VALUE!</v>
      </c>
      <c r="G135" s="25"/>
      <c r="H135" s="25" t="e">
        <f t="shared" si="23"/>
        <v>#VALUE!</v>
      </c>
      <c r="I135" s="25">
        <f t="shared" si="20"/>
        <v>-379.00000000000261</v>
      </c>
      <c r="J135" s="25" t="e">
        <f t="shared" si="21"/>
        <v>#VALUE!</v>
      </c>
    </row>
    <row r="136" spans="1:10" x14ac:dyDescent="0.25">
      <c r="A136" s="25">
        <f t="shared" si="22"/>
        <v>-8.780000000000026</v>
      </c>
      <c r="B136" s="25">
        <f t="shared" ca="1" si="15"/>
        <v>-0.13301828435203877</v>
      </c>
      <c r="C136" s="25" t="e">
        <f t="shared" si="16"/>
        <v>#VALUE!</v>
      </c>
      <c r="D136" s="74" t="e">
        <f t="shared" si="17"/>
        <v>#VALUE!</v>
      </c>
      <c r="E136" s="25" t="e">
        <f t="shared" si="18"/>
        <v>#VALUE!</v>
      </c>
      <c r="F136" s="25" t="e">
        <f t="shared" ca="1" si="19"/>
        <v>#VALUE!</v>
      </c>
      <c r="G136" s="25"/>
      <c r="H136" s="25" t="e">
        <f t="shared" si="23"/>
        <v>#VALUE!</v>
      </c>
      <c r="I136" s="25">
        <f t="shared" si="20"/>
        <v>-378.00000000000261</v>
      </c>
      <c r="J136" s="25" t="e">
        <f t="shared" si="21"/>
        <v>#VALUE!</v>
      </c>
    </row>
    <row r="137" spans="1:10" x14ac:dyDescent="0.25">
      <c r="A137" s="25">
        <f t="shared" si="22"/>
        <v>-8.7700000000000262</v>
      </c>
      <c r="B137" s="25">
        <f t="shared" ca="1" si="15"/>
        <v>-7.2608075023693278E-2</v>
      </c>
      <c r="C137" s="25" t="e">
        <f t="shared" si="16"/>
        <v>#VALUE!</v>
      </c>
      <c r="D137" s="74" t="e">
        <f t="shared" si="17"/>
        <v>#VALUE!</v>
      </c>
      <c r="E137" s="25" t="e">
        <f t="shared" si="18"/>
        <v>#VALUE!</v>
      </c>
      <c r="F137" s="25" t="e">
        <f t="shared" ca="1" si="19"/>
        <v>#VALUE!</v>
      </c>
      <c r="G137" s="25"/>
      <c r="H137" s="25" t="e">
        <f t="shared" si="23"/>
        <v>#VALUE!</v>
      </c>
      <c r="I137" s="25">
        <f t="shared" si="20"/>
        <v>-377.00000000000261</v>
      </c>
      <c r="J137" s="25" t="e">
        <f t="shared" si="21"/>
        <v>#VALUE!</v>
      </c>
    </row>
    <row r="138" spans="1:10" x14ac:dyDescent="0.25">
      <c r="A138" s="25">
        <f t="shared" si="22"/>
        <v>-8.7600000000000264</v>
      </c>
      <c r="B138" s="25">
        <f t="shared" ca="1" si="15"/>
        <v>-0.17188907189909439</v>
      </c>
      <c r="C138" s="25" t="e">
        <f t="shared" si="16"/>
        <v>#VALUE!</v>
      </c>
      <c r="D138" s="74" t="e">
        <f t="shared" si="17"/>
        <v>#VALUE!</v>
      </c>
      <c r="E138" s="25" t="e">
        <f t="shared" si="18"/>
        <v>#VALUE!</v>
      </c>
      <c r="F138" s="25" t="e">
        <f t="shared" ca="1" si="19"/>
        <v>#VALUE!</v>
      </c>
      <c r="G138" s="25"/>
      <c r="H138" s="25" t="e">
        <f t="shared" si="23"/>
        <v>#VALUE!</v>
      </c>
      <c r="I138" s="25">
        <f t="shared" si="20"/>
        <v>-376.00000000000261</v>
      </c>
      <c r="J138" s="25" t="e">
        <f t="shared" si="21"/>
        <v>#VALUE!</v>
      </c>
    </row>
    <row r="139" spans="1:10" x14ac:dyDescent="0.25">
      <c r="A139" s="25">
        <f t="shared" si="22"/>
        <v>-8.7500000000000266</v>
      </c>
      <c r="B139" s="25">
        <f t="shared" ca="1" si="15"/>
        <v>-4.9484889585710928E-2</v>
      </c>
      <c r="C139" s="25" t="e">
        <f t="shared" si="16"/>
        <v>#VALUE!</v>
      </c>
      <c r="D139" s="74" t="e">
        <f t="shared" si="17"/>
        <v>#VALUE!</v>
      </c>
      <c r="E139" s="25" t="e">
        <f t="shared" si="18"/>
        <v>#VALUE!</v>
      </c>
      <c r="F139" s="25" t="e">
        <f t="shared" ca="1" si="19"/>
        <v>#VALUE!</v>
      </c>
      <c r="G139" s="25"/>
      <c r="H139" s="25" t="e">
        <f t="shared" si="23"/>
        <v>#VALUE!</v>
      </c>
      <c r="I139" s="25">
        <f t="shared" si="20"/>
        <v>-375.00000000000267</v>
      </c>
      <c r="J139" s="25" t="e">
        <f t="shared" si="21"/>
        <v>#VALUE!</v>
      </c>
    </row>
    <row r="140" spans="1:10" x14ac:dyDescent="0.25">
      <c r="A140" s="25">
        <f t="shared" si="22"/>
        <v>-8.7400000000000269</v>
      </c>
      <c r="B140" s="25">
        <f t="shared" ca="1" si="15"/>
        <v>8.6688221353164827E-2</v>
      </c>
      <c r="C140" s="25" t="e">
        <f t="shared" si="16"/>
        <v>#VALUE!</v>
      </c>
      <c r="D140" s="74" t="e">
        <f t="shared" si="17"/>
        <v>#VALUE!</v>
      </c>
      <c r="E140" s="25" t="e">
        <f t="shared" si="18"/>
        <v>#VALUE!</v>
      </c>
      <c r="F140" s="25" t="e">
        <f t="shared" ca="1" si="19"/>
        <v>#VALUE!</v>
      </c>
      <c r="G140" s="25"/>
      <c r="H140" s="25" t="e">
        <f t="shared" si="23"/>
        <v>#VALUE!</v>
      </c>
      <c r="I140" s="25">
        <f t="shared" si="20"/>
        <v>-374.00000000000267</v>
      </c>
      <c r="J140" s="25" t="e">
        <f t="shared" si="21"/>
        <v>#VALUE!</v>
      </c>
    </row>
    <row r="141" spans="1:10" x14ac:dyDescent="0.25">
      <c r="A141" s="25">
        <f t="shared" si="22"/>
        <v>-8.7300000000000271</v>
      </c>
      <c r="B141" s="25">
        <f t="shared" ca="1" si="15"/>
        <v>-0.10296343088759778</v>
      </c>
      <c r="C141" s="25" t="e">
        <f t="shared" si="16"/>
        <v>#VALUE!</v>
      </c>
      <c r="D141" s="74" t="e">
        <f t="shared" si="17"/>
        <v>#VALUE!</v>
      </c>
      <c r="E141" s="25" t="e">
        <f t="shared" si="18"/>
        <v>#VALUE!</v>
      </c>
      <c r="F141" s="25" t="e">
        <f t="shared" ca="1" si="19"/>
        <v>#VALUE!</v>
      </c>
      <c r="G141" s="25"/>
      <c r="H141" s="25" t="e">
        <f t="shared" si="23"/>
        <v>#VALUE!</v>
      </c>
      <c r="I141" s="25">
        <f t="shared" si="20"/>
        <v>-373.00000000000273</v>
      </c>
      <c r="J141" s="25" t="e">
        <f t="shared" si="21"/>
        <v>#VALUE!</v>
      </c>
    </row>
    <row r="142" spans="1:10" x14ac:dyDescent="0.25">
      <c r="A142" s="25">
        <f t="shared" si="22"/>
        <v>-8.7200000000000273</v>
      </c>
      <c r="B142" s="25">
        <f t="shared" ref="B142:B205" ca="1" si="24">(RAND()-0.5-$B$7)/$B$5</f>
        <v>-0.15264956396729076</v>
      </c>
      <c r="C142" s="25" t="e">
        <f t="shared" ref="C142:C205" si="25">IF(ABS(A142)&lt;=($D$3/2),1,IF(ABS(A142)&lt;=($B$4/2),IF(A142&gt;0,A142*(4/(1-2*$B$4))+(2*$B$4/(2*$B$4-1)),(-A142*(4/(1-2*$B$4))+(2*$B$4/(2*$B$4-1)))),0))</f>
        <v>#VALUE!</v>
      </c>
      <c r="D142" s="74" t="e">
        <f t="shared" ref="D142:D205" si="26">IF(ABS(A142)&lt;=($D$3/4+$B$4/4),1,IF(ABS(A142)&lt;=($B$4/2),(IF(A142&gt;0,A142*(8/(1-2*$B$4))+(4*$B$4)/(2*$B$4-1),(-A142*(8/(1-2*$B$4))+(4*$B$4)/(2*$B$4-1)))),0))</f>
        <v>#VALUE!</v>
      </c>
      <c r="E142" s="25" t="e">
        <f t="shared" ref="E142:E205" si="27">IF(ABS(A142)&lt;($B$4/2), 1, 0)</f>
        <v>#VALUE!</v>
      </c>
      <c r="F142" s="25" t="e">
        <f t="shared" ref="F142:F205" ca="1" si="28">C142+B142</f>
        <v>#VALUE!</v>
      </c>
      <c r="G142" s="25"/>
      <c r="H142" s="25" t="e">
        <f t="shared" si="23"/>
        <v>#VALUE!</v>
      </c>
      <c r="I142" s="25">
        <f t="shared" ref="I142:I205" si="29">$I$3*(A142-$G$3)/($H$3-$G$3)</f>
        <v>-372.00000000000273</v>
      </c>
      <c r="J142" s="25" t="e">
        <f t="shared" ref="J142:J205" si="30">H142</f>
        <v>#VALUE!</v>
      </c>
    </row>
    <row r="143" spans="1:10" x14ac:dyDescent="0.25">
      <c r="A143" s="25">
        <f t="shared" ref="A143:A206" si="31">A142+0.01</f>
        <v>-8.7100000000000275</v>
      </c>
      <c r="B143" s="25">
        <f t="shared" ca="1" si="24"/>
        <v>0.13190335727681715</v>
      </c>
      <c r="C143" s="25" t="e">
        <f t="shared" si="25"/>
        <v>#VALUE!</v>
      </c>
      <c r="D143" s="74" t="e">
        <f t="shared" si="26"/>
        <v>#VALUE!</v>
      </c>
      <c r="E143" s="25" t="e">
        <f t="shared" si="27"/>
        <v>#VALUE!</v>
      </c>
      <c r="F143" s="25" t="e">
        <f t="shared" ca="1" si="28"/>
        <v>#VALUE!</v>
      </c>
      <c r="G143" s="25"/>
      <c r="H143" s="25" t="e">
        <f t="shared" si="23"/>
        <v>#VALUE!</v>
      </c>
      <c r="I143" s="25">
        <f t="shared" si="29"/>
        <v>-371.00000000000273</v>
      </c>
      <c r="J143" s="25" t="e">
        <f t="shared" si="30"/>
        <v>#VALUE!</v>
      </c>
    </row>
    <row r="144" spans="1:10" x14ac:dyDescent="0.25">
      <c r="A144" s="25">
        <f t="shared" si="31"/>
        <v>-8.7000000000000277</v>
      </c>
      <c r="B144" s="25">
        <f t="shared" ca="1" si="24"/>
        <v>6.7264416616461972E-2</v>
      </c>
      <c r="C144" s="25" t="e">
        <f t="shared" si="25"/>
        <v>#VALUE!</v>
      </c>
      <c r="D144" s="74" t="e">
        <f t="shared" si="26"/>
        <v>#VALUE!</v>
      </c>
      <c r="E144" s="25" t="e">
        <f t="shared" si="27"/>
        <v>#VALUE!</v>
      </c>
      <c r="F144" s="25" t="e">
        <f t="shared" ca="1" si="28"/>
        <v>#VALUE!</v>
      </c>
      <c r="G144" s="25"/>
      <c r="H144" s="25" t="e">
        <f t="shared" si="23"/>
        <v>#VALUE!</v>
      </c>
      <c r="I144" s="25">
        <f t="shared" si="29"/>
        <v>-370.00000000000279</v>
      </c>
      <c r="J144" s="25" t="e">
        <f t="shared" si="30"/>
        <v>#VALUE!</v>
      </c>
    </row>
    <row r="145" spans="1:10" x14ac:dyDescent="0.25">
      <c r="A145" s="25">
        <f t="shared" si="31"/>
        <v>-8.6900000000000279</v>
      </c>
      <c r="B145" s="25">
        <f t="shared" ca="1" si="24"/>
        <v>-8.9321141656053538E-2</v>
      </c>
      <c r="C145" s="25" t="e">
        <f t="shared" si="25"/>
        <v>#VALUE!</v>
      </c>
      <c r="D145" s="74" t="e">
        <f t="shared" si="26"/>
        <v>#VALUE!</v>
      </c>
      <c r="E145" s="25" t="e">
        <f t="shared" si="27"/>
        <v>#VALUE!</v>
      </c>
      <c r="F145" s="25" t="e">
        <f t="shared" ca="1" si="28"/>
        <v>#VALUE!</v>
      </c>
      <c r="G145" s="25"/>
      <c r="H145" s="25" t="e">
        <f t="shared" si="23"/>
        <v>#VALUE!</v>
      </c>
      <c r="I145" s="25">
        <f t="shared" si="29"/>
        <v>-369.00000000000279</v>
      </c>
      <c r="J145" s="25" t="e">
        <f t="shared" si="30"/>
        <v>#VALUE!</v>
      </c>
    </row>
    <row r="146" spans="1:10" x14ac:dyDescent="0.25">
      <c r="A146" s="25">
        <f t="shared" si="31"/>
        <v>-8.6800000000000281</v>
      </c>
      <c r="B146" s="25">
        <f t="shared" ca="1" si="24"/>
        <v>-0.11396468309184545</v>
      </c>
      <c r="C146" s="25" t="e">
        <f t="shared" si="25"/>
        <v>#VALUE!</v>
      </c>
      <c r="D146" s="74" t="e">
        <f t="shared" si="26"/>
        <v>#VALUE!</v>
      </c>
      <c r="E146" s="25" t="e">
        <f t="shared" si="27"/>
        <v>#VALUE!</v>
      </c>
      <c r="F146" s="25" t="e">
        <f t="shared" ca="1" si="28"/>
        <v>#VALUE!</v>
      </c>
      <c r="G146" s="25"/>
      <c r="H146" s="25" t="e">
        <f t="shared" si="23"/>
        <v>#VALUE!</v>
      </c>
      <c r="I146" s="25">
        <f t="shared" si="29"/>
        <v>-368.00000000000284</v>
      </c>
      <c r="J146" s="25" t="e">
        <f t="shared" si="30"/>
        <v>#VALUE!</v>
      </c>
    </row>
    <row r="147" spans="1:10" x14ac:dyDescent="0.25">
      <c r="A147" s="25">
        <f t="shared" si="31"/>
        <v>-8.6700000000000284</v>
      </c>
      <c r="B147" s="25">
        <f t="shared" ca="1" si="24"/>
        <v>-3.661357872359744E-3</v>
      </c>
      <c r="C147" s="25" t="e">
        <f t="shared" si="25"/>
        <v>#VALUE!</v>
      </c>
      <c r="D147" s="74" t="e">
        <f t="shared" si="26"/>
        <v>#VALUE!</v>
      </c>
      <c r="E147" s="25" t="e">
        <f t="shared" si="27"/>
        <v>#VALUE!</v>
      </c>
      <c r="F147" s="25" t="e">
        <f t="shared" ca="1" si="28"/>
        <v>#VALUE!</v>
      </c>
      <c r="G147" s="25"/>
      <c r="H147" s="25" t="e">
        <f t="shared" si="23"/>
        <v>#VALUE!</v>
      </c>
      <c r="I147" s="25">
        <f t="shared" si="29"/>
        <v>-367.00000000000284</v>
      </c>
      <c r="J147" s="25" t="e">
        <f t="shared" si="30"/>
        <v>#VALUE!</v>
      </c>
    </row>
    <row r="148" spans="1:10" x14ac:dyDescent="0.25">
      <c r="A148" s="25">
        <f t="shared" si="31"/>
        <v>-8.6600000000000286</v>
      </c>
      <c r="B148" s="25">
        <f t="shared" ca="1" si="24"/>
        <v>-0.1316196996408496</v>
      </c>
      <c r="C148" s="25" t="e">
        <f t="shared" si="25"/>
        <v>#VALUE!</v>
      </c>
      <c r="D148" s="74" t="e">
        <f t="shared" si="26"/>
        <v>#VALUE!</v>
      </c>
      <c r="E148" s="25" t="e">
        <f t="shared" si="27"/>
        <v>#VALUE!</v>
      </c>
      <c r="F148" s="25" t="e">
        <f t="shared" ca="1" si="28"/>
        <v>#VALUE!</v>
      </c>
      <c r="G148" s="25"/>
      <c r="H148" s="25" t="e">
        <f t="shared" si="23"/>
        <v>#VALUE!</v>
      </c>
      <c r="I148" s="25">
        <f t="shared" si="29"/>
        <v>-366.00000000000284</v>
      </c>
      <c r="J148" s="25" t="e">
        <f t="shared" si="30"/>
        <v>#VALUE!</v>
      </c>
    </row>
    <row r="149" spans="1:10" x14ac:dyDescent="0.25">
      <c r="A149" s="25">
        <f t="shared" si="31"/>
        <v>-8.6500000000000288</v>
      </c>
      <c r="B149" s="25">
        <f t="shared" ca="1" si="24"/>
        <v>-9.4490892885608191E-2</v>
      </c>
      <c r="C149" s="25" t="e">
        <f t="shared" si="25"/>
        <v>#VALUE!</v>
      </c>
      <c r="D149" s="74" t="e">
        <f t="shared" si="26"/>
        <v>#VALUE!</v>
      </c>
      <c r="E149" s="25" t="e">
        <f t="shared" si="27"/>
        <v>#VALUE!</v>
      </c>
      <c r="F149" s="25" t="e">
        <f t="shared" ca="1" si="28"/>
        <v>#VALUE!</v>
      </c>
      <c r="G149" s="25"/>
      <c r="H149" s="25" t="e">
        <f t="shared" si="23"/>
        <v>#VALUE!</v>
      </c>
      <c r="I149" s="25">
        <f t="shared" si="29"/>
        <v>-365.00000000000284</v>
      </c>
      <c r="J149" s="25" t="e">
        <f t="shared" si="30"/>
        <v>#VALUE!</v>
      </c>
    </row>
    <row r="150" spans="1:10" x14ac:dyDescent="0.25">
      <c r="A150" s="25">
        <f t="shared" si="31"/>
        <v>-8.640000000000029</v>
      </c>
      <c r="B150" s="25">
        <f t="shared" ca="1" si="24"/>
        <v>-0.17470030439835826</v>
      </c>
      <c r="C150" s="25" t="e">
        <f t="shared" si="25"/>
        <v>#VALUE!</v>
      </c>
      <c r="D150" s="74" t="e">
        <f t="shared" si="26"/>
        <v>#VALUE!</v>
      </c>
      <c r="E150" s="25" t="e">
        <f t="shared" si="27"/>
        <v>#VALUE!</v>
      </c>
      <c r="F150" s="25" t="e">
        <f t="shared" ca="1" si="28"/>
        <v>#VALUE!</v>
      </c>
      <c r="G150" s="25"/>
      <c r="H150" s="25" t="e">
        <f t="shared" si="23"/>
        <v>#VALUE!</v>
      </c>
      <c r="I150" s="25">
        <f t="shared" si="29"/>
        <v>-364.0000000000029</v>
      </c>
      <c r="J150" s="25" t="e">
        <f t="shared" si="30"/>
        <v>#VALUE!</v>
      </c>
    </row>
    <row r="151" spans="1:10" x14ac:dyDescent="0.25">
      <c r="A151" s="25">
        <f t="shared" si="31"/>
        <v>-8.6300000000000292</v>
      </c>
      <c r="B151" s="25">
        <f t="shared" ca="1" si="24"/>
        <v>-1.0457660399636564E-3</v>
      </c>
      <c r="C151" s="25" t="e">
        <f t="shared" si="25"/>
        <v>#VALUE!</v>
      </c>
      <c r="D151" s="74" t="e">
        <f t="shared" si="26"/>
        <v>#VALUE!</v>
      </c>
      <c r="E151" s="25" t="e">
        <f t="shared" si="27"/>
        <v>#VALUE!</v>
      </c>
      <c r="F151" s="25" t="e">
        <f t="shared" ca="1" si="28"/>
        <v>#VALUE!</v>
      </c>
      <c r="G151" s="25"/>
      <c r="H151" s="25" t="e">
        <f t="shared" si="23"/>
        <v>#VALUE!</v>
      </c>
      <c r="I151" s="25">
        <f t="shared" si="29"/>
        <v>-363.0000000000029</v>
      </c>
      <c r="J151" s="25" t="e">
        <f t="shared" si="30"/>
        <v>#VALUE!</v>
      </c>
    </row>
    <row r="152" spans="1:10" x14ac:dyDescent="0.25">
      <c r="A152" s="25">
        <f t="shared" si="31"/>
        <v>-8.6200000000000294</v>
      </c>
      <c r="B152" s="25">
        <f t="shared" ca="1" si="24"/>
        <v>0.12875701592300168</v>
      </c>
      <c r="C152" s="25" t="e">
        <f t="shared" si="25"/>
        <v>#VALUE!</v>
      </c>
      <c r="D152" s="74" t="e">
        <f t="shared" si="26"/>
        <v>#VALUE!</v>
      </c>
      <c r="E152" s="25" t="e">
        <f t="shared" si="27"/>
        <v>#VALUE!</v>
      </c>
      <c r="F152" s="25" t="e">
        <f t="shared" ca="1" si="28"/>
        <v>#VALUE!</v>
      </c>
      <c r="G152" s="25"/>
      <c r="H152" s="25" t="e">
        <f t="shared" si="23"/>
        <v>#VALUE!</v>
      </c>
      <c r="I152" s="25">
        <f t="shared" si="29"/>
        <v>-362.00000000000296</v>
      </c>
      <c r="J152" s="25" t="e">
        <f t="shared" si="30"/>
        <v>#VALUE!</v>
      </c>
    </row>
    <row r="153" spans="1:10" x14ac:dyDescent="0.25">
      <c r="A153" s="25">
        <f t="shared" si="31"/>
        <v>-8.6100000000000296</v>
      </c>
      <c r="B153" s="25">
        <f t="shared" ca="1" si="24"/>
        <v>2.6860301198630421E-3</v>
      </c>
      <c r="C153" s="25" t="e">
        <f t="shared" si="25"/>
        <v>#VALUE!</v>
      </c>
      <c r="D153" s="74" t="e">
        <f t="shared" si="26"/>
        <v>#VALUE!</v>
      </c>
      <c r="E153" s="25" t="e">
        <f t="shared" si="27"/>
        <v>#VALUE!</v>
      </c>
      <c r="F153" s="25" t="e">
        <f t="shared" ca="1" si="28"/>
        <v>#VALUE!</v>
      </c>
      <c r="G153" s="25"/>
      <c r="H153" s="25" t="e">
        <f t="shared" si="23"/>
        <v>#VALUE!</v>
      </c>
      <c r="I153" s="25">
        <f t="shared" si="29"/>
        <v>-361.00000000000296</v>
      </c>
      <c r="J153" s="25" t="e">
        <f t="shared" si="30"/>
        <v>#VALUE!</v>
      </c>
    </row>
    <row r="154" spans="1:10" x14ac:dyDescent="0.25">
      <c r="A154" s="25">
        <f t="shared" si="31"/>
        <v>-8.6000000000000298</v>
      </c>
      <c r="B154" s="25">
        <f t="shared" ca="1" si="24"/>
        <v>6.4581698025801118E-2</v>
      </c>
      <c r="C154" s="25" t="e">
        <f t="shared" si="25"/>
        <v>#VALUE!</v>
      </c>
      <c r="D154" s="74" t="e">
        <f t="shared" si="26"/>
        <v>#VALUE!</v>
      </c>
      <c r="E154" s="25" t="e">
        <f t="shared" si="27"/>
        <v>#VALUE!</v>
      </c>
      <c r="F154" s="25" t="e">
        <f t="shared" ca="1" si="28"/>
        <v>#VALUE!</v>
      </c>
      <c r="G154" s="25"/>
      <c r="H154" s="25" t="e">
        <f t="shared" si="23"/>
        <v>#VALUE!</v>
      </c>
      <c r="I154" s="25">
        <f t="shared" si="29"/>
        <v>-360.00000000000301</v>
      </c>
      <c r="J154" s="25" t="e">
        <f t="shared" si="30"/>
        <v>#VALUE!</v>
      </c>
    </row>
    <row r="155" spans="1:10" x14ac:dyDescent="0.25">
      <c r="A155" s="25">
        <f t="shared" si="31"/>
        <v>-8.5900000000000301</v>
      </c>
      <c r="B155" s="25">
        <f t="shared" ca="1" si="24"/>
        <v>-0.19144320139514348</v>
      </c>
      <c r="C155" s="25" t="e">
        <f t="shared" si="25"/>
        <v>#VALUE!</v>
      </c>
      <c r="D155" s="74" t="e">
        <f t="shared" si="26"/>
        <v>#VALUE!</v>
      </c>
      <c r="E155" s="25" t="e">
        <f t="shared" si="27"/>
        <v>#VALUE!</v>
      </c>
      <c r="F155" s="25" t="e">
        <f t="shared" ca="1" si="28"/>
        <v>#VALUE!</v>
      </c>
      <c r="G155" s="25"/>
      <c r="H155" s="25" t="e">
        <f t="shared" si="23"/>
        <v>#VALUE!</v>
      </c>
      <c r="I155" s="25">
        <f t="shared" si="29"/>
        <v>-359.00000000000301</v>
      </c>
      <c r="J155" s="25" t="e">
        <f t="shared" si="30"/>
        <v>#VALUE!</v>
      </c>
    </row>
    <row r="156" spans="1:10" x14ac:dyDescent="0.25">
      <c r="A156" s="25">
        <f t="shared" si="31"/>
        <v>-8.5800000000000303</v>
      </c>
      <c r="B156" s="25">
        <f t="shared" ca="1" si="24"/>
        <v>-0.16938115972254764</v>
      </c>
      <c r="C156" s="25" t="e">
        <f t="shared" si="25"/>
        <v>#VALUE!</v>
      </c>
      <c r="D156" s="74" t="e">
        <f t="shared" si="26"/>
        <v>#VALUE!</v>
      </c>
      <c r="E156" s="25" t="e">
        <f t="shared" si="27"/>
        <v>#VALUE!</v>
      </c>
      <c r="F156" s="25" t="e">
        <f t="shared" ca="1" si="28"/>
        <v>#VALUE!</v>
      </c>
      <c r="G156" s="25"/>
      <c r="H156" s="25" t="e">
        <f t="shared" si="23"/>
        <v>#VALUE!</v>
      </c>
      <c r="I156" s="25">
        <f t="shared" si="29"/>
        <v>-358.00000000000307</v>
      </c>
      <c r="J156" s="25" t="e">
        <f t="shared" si="30"/>
        <v>#VALUE!</v>
      </c>
    </row>
    <row r="157" spans="1:10" x14ac:dyDescent="0.25">
      <c r="A157" s="25">
        <f t="shared" si="31"/>
        <v>-8.5700000000000305</v>
      </c>
      <c r="B157" s="25">
        <f t="shared" ca="1" si="24"/>
        <v>-0.16667597557229052</v>
      </c>
      <c r="C157" s="25" t="e">
        <f t="shared" si="25"/>
        <v>#VALUE!</v>
      </c>
      <c r="D157" s="74" t="e">
        <f t="shared" si="26"/>
        <v>#VALUE!</v>
      </c>
      <c r="E157" s="25" t="e">
        <f t="shared" si="27"/>
        <v>#VALUE!</v>
      </c>
      <c r="F157" s="25" t="e">
        <f t="shared" ca="1" si="28"/>
        <v>#VALUE!</v>
      </c>
      <c r="G157" s="25"/>
      <c r="H157" s="25" t="e">
        <f t="shared" si="23"/>
        <v>#VALUE!</v>
      </c>
      <c r="I157" s="25">
        <f t="shared" si="29"/>
        <v>-357.00000000000307</v>
      </c>
      <c r="J157" s="25" t="e">
        <f t="shared" si="30"/>
        <v>#VALUE!</v>
      </c>
    </row>
    <row r="158" spans="1:10" x14ac:dyDescent="0.25">
      <c r="A158" s="25">
        <f t="shared" si="31"/>
        <v>-8.5600000000000307</v>
      </c>
      <c r="B158" s="25">
        <f t="shared" ca="1" si="24"/>
        <v>-0.18822339533912227</v>
      </c>
      <c r="C158" s="25" t="e">
        <f t="shared" si="25"/>
        <v>#VALUE!</v>
      </c>
      <c r="D158" s="74" t="e">
        <f t="shared" si="26"/>
        <v>#VALUE!</v>
      </c>
      <c r="E158" s="25" t="e">
        <f t="shared" si="27"/>
        <v>#VALUE!</v>
      </c>
      <c r="F158" s="25" t="e">
        <f t="shared" ca="1" si="28"/>
        <v>#VALUE!</v>
      </c>
      <c r="G158" s="25"/>
      <c r="H158" s="25" t="e">
        <f t="shared" ref="H158:H221" si="32">IF(PeakShape=$O$3,C158,IF(PeakShape=O160,D158,E158))</f>
        <v>#VALUE!</v>
      </c>
      <c r="I158" s="25">
        <f t="shared" si="29"/>
        <v>-356.00000000000307</v>
      </c>
      <c r="J158" s="25" t="e">
        <f t="shared" si="30"/>
        <v>#VALUE!</v>
      </c>
    </row>
    <row r="159" spans="1:10" x14ac:dyDescent="0.25">
      <c r="A159" s="25">
        <f t="shared" si="31"/>
        <v>-8.5500000000000309</v>
      </c>
      <c r="B159" s="25">
        <f t="shared" ca="1" si="24"/>
        <v>-0.17690255726847617</v>
      </c>
      <c r="C159" s="25" t="e">
        <f t="shared" si="25"/>
        <v>#VALUE!</v>
      </c>
      <c r="D159" s="74" t="e">
        <f t="shared" si="26"/>
        <v>#VALUE!</v>
      </c>
      <c r="E159" s="25" t="e">
        <f t="shared" si="27"/>
        <v>#VALUE!</v>
      </c>
      <c r="F159" s="25" t="e">
        <f t="shared" ca="1" si="28"/>
        <v>#VALUE!</v>
      </c>
      <c r="G159" s="25"/>
      <c r="H159" s="25" t="e">
        <f t="shared" si="32"/>
        <v>#VALUE!</v>
      </c>
      <c r="I159" s="25">
        <f t="shared" si="29"/>
        <v>-355.00000000000307</v>
      </c>
      <c r="J159" s="25" t="e">
        <f t="shared" si="30"/>
        <v>#VALUE!</v>
      </c>
    </row>
    <row r="160" spans="1:10" x14ac:dyDescent="0.25">
      <c r="A160" s="25">
        <f t="shared" si="31"/>
        <v>-8.5400000000000311</v>
      </c>
      <c r="B160" s="25">
        <f t="shared" ca="1" si="24"/>
        <v>-0.1249950835529634</v>
      </c>
      <c r="C160" s="25" t="e">
        <f t="shared" si="25"/>
        <v>#VALUE!</v>
      </c>
      <c r="D160" s="74" t="e">
        <f t="shared" si="26"/>
        <v>#VALUE!</v>
      </c>
      <c r="E160" s="25" t="e">
        <f t="shared" si="27"/>
        <v>#VALUE!</v>
      </c>
      <c r="F160" s="25" t="e">
        <f t="shared" ca="1" si="28"/>
        <v>#VALUE!</v>
      </c>
      <c r="G160" s="25"/>
      <c r="H160" s="25" t="e">
        <f t="shared" si="32"/>
        <v>#VALUE!</v>
      </c>
      <c r="I160" s="25">
        <f t="shared" si="29"/>
        <v>-354.00000000000307</v>
      </c>
      <c r="J160" s="25" t="e">
        <f t="shared" si="30"/>
        <v>#VALUE!</v>
      </c>
    </row>
    <row r="161" spans="1:10" x14ac:dyDescent="0.25">
      <c r="A161" s="25">
        <f t="shared" si="31"/>
        <v>-8.5300000000000313</v>
      </c>
      <c r="B161" s="25">
        <f t="shared" ca="1" si="24"/>
        <v>1.156282529217618E-2</v>
      </c>
      <c r="C161" s="25" t="e">
        <f t="shared" si="25"/>
        <v>#VALUE!</v>
      </c>
      <c r="D161" s="74" t="e">
        <f t="shared" si="26"/>
        <v>#VALUE!</v>
      </c>
      <c r="E161" s="25" t="e">
        <f t="shared" si="27"/>
        <v>#VALUE!</v>
      </c>
      <c r="F161" s="25" t="e">
        <f t="shared" ca="1" si="28"/>
        <v>#VALUE!</v>
      </c>
      <c r="G161" s="25"/>
      <c r="H161" s="25" t="e">
        <f t="shared" si="32"/>
        <v>#VALUE!</v>
      </c>
      <c r="I161" s="25">
        <f t="shared" si="29"/>
        <v>-353.00000000000313</v>
      </c>
      <c r="J161" s="25" t="e">
        <f t="shared" si="30"/>
        <v>#VALUE!</v>
      </c>
    </row>
    <row r="162" spans="1:10" x14ac:dyDescent="0.25">
      <c r="A162" s="25">
        <f t="shared" si="31"/>
        <v>-8.5200000000000315</v>
      </c>
      <c r="B162" s="25">
        <f t="shared" ca="1" si="24"/>
        <v>-0.17634768350226296</v>
      </c>
      <c r="C162" s="25" t="e">
        <f t="shared" si="25"/>
        <v>#VALUE!</v>
      </c>
      <c r="D162" s="74" t="e">
        <f t="shared" si="26"/>
        <v>#VALUE!</v>
      </c>
      <c r="E162" s="25" t="e">
        <f t="shared" si="27"/>
        <v>#VALUE!</v>
      </c>
      <c r="F162" s="25" t="e">
        <f t="shared" ca="1" si="28"/>
        <v>#VALUE!</v>
      </c>
      <c r="G162" s="25"/>
      <c r="H162" s="25" t="e">
        <f t="shared" si="32"/>
        <v>#VALUE!</v>
      </c>
      <c r="I162" s="25">
        <f t="shared" si="29"/>
        <v>-352.00000000000313</v>
      </c>
      <c r="J162" s="25" t="e">
        <f t="shared" si="30"/>
        <v>#VALUE!</v>
      </c>
    </row>
    <row r="163" spans="1:10" x14ac:dyDescent="0.25">
      <c r="A163" s="25">
        <f t="shared" si="31"/>
        <v>-8.5100000000000318</v>
      </c>
      <c r="B163" s="25">
        <f t="shared" ca="1" si="24"/>
        <v>-7.6840924187680265E-2</v>
      </c>
      <c r="C163" s="25" t="e">
        <f t="shared" si="25"/>
        <v>#VALUE!</v>
      </c>
      <c r="D163" s="74" t="e">
        <f t="shared" si="26"/>
        <v>#VALUE!</v>
      </c>
      <c r="E163" s="25" t="e">
        <f t="shared" si="27"/>
        <v>#VALUE!</v>
      </c>
      <c r="F163" s="25" t="e">
        <f t="shared" ca="1" si="28"/>
        <v>#VALUE!</v>
      </c>
      <c r="G163" s="25"/>
      <c r="H163" s="25" t="e">
        <f t="shared" si="32"/>
        <v>#VALUE!</v>
      </c>
      <c r="I163" s="25">
        <f t="shared" si="29"/>
        <v>-351.00000000000318</v>
      </c>
      <c r="J163" s="25" t="e">
        <f t="shared" si="30"/>
        <v>#VALUE!</v>
      </c>
    </row>
    <row r="164" spans="1:10" x14ac:dyDescent="0.25">
      <c r="A164" s="25">
        <f t="shared" si="31"/>
        <v>-8.500000000000032</v>
      </c>
      <c r="B164" s="25">
        <f t="shared" ca="1" si="24"/>
        <v>-2.82688454220953E-2</v>
      </c>
      <c r="C164" s="25" t="e">
        <f t="shared" si="25"/>
        <v>#VALUE!</v>
      </c>
      <c r="D164" s="74" t="e">
        <f t="shared" si="26"/>
        <v>#VALUE!</v>
      </c>
      <c r="E164" s="25" t="e">
        <f t="shared" si="27"/>
        <v>#VALUE!</v>
      </c>
      <c r="F164" s="25" t="e">
        <f t="shared" ca="1" si="28"/>
        <v>#VALUE!</v>
      </c>
      <c r="G164" s="25"/>
      <c r="H164" s="25" t="e">
        <f t="shared" si="32"/>
        <v>#VALUE!</v>
      </c>
      <c r="I164" s="25">
        <f t="shared" si="29"/>
        <v>-350.00000000000318</v>
      </c>
      <c r="J164" s="25" t="e">
        <f t="shared" si="30"/>
        <v>#VALUE!</v>
      </c>
    </row>
    <row r="165" spans="1:10" x14ac:dyDescent="0.25">
      <c r="A165" s="25">
        <f t="shared" si="31"/>
        <v>-8.4900000000000322</v>
      </c>
      <c r="B165" s="25">
        <f t="shared" ca="1" si="24"/>
        <v>3.2602158964590726E-2</v>
      </c>
      <c r="C165" s="25" t="e">
        <f t="shared" si="25"/>
        <v>#VALUE!</v>
      </c>
      <c r="D165" s="74" t="e">
        <f t="shared" si="26"/>
        <v>#VALUE!</v>
      </c>
      <c r="E165" s="25" t="e">
        <f t="shared" si="27"/>
        <v>#VALUE!</v>
      </c>
      <c r="F165" s="25" t="e">
        <f t="shared" ca="1" si="28"/>
        <v>#VALUE!</v>
      </c>
      <c r="G165" s="25"/>
      <c r="H165" s="25" t="e">
        <f t="shared" si="32"/>
        <v>#VALUE!</v>
      </c>
      <c r="I165" s="25">
        <f t="shared" si="29"/>
        <v>-349.00000000000324</v>
      </c>
      <c r="J165" s="25" t="e">
        <f t="shared" si="30"/>
        <v>#VALUE!</v>
      </c>
    </row>
    <row r="166" spans="1:10" x14ac:dyDescent="0.25">
      <c r="A166" s="25">
        <f t="shared" si="31"/>
        <v>-8.4800000000000324</v>
      </c>
      <c r="B166" s="25">
        <f t="shared" ca="1" si="24"/>
        <v>6.7948758764173708E-2</v>
      </c>
      <c r="C166" s="25" t="e">
        <f t="shared" si="25"/>
        <v>#VALUE!</v>
      </c>
      <c r="D166" s="74" t="e">
        <f t="shared" si="26"/>
        <v>#VALUE!</v>
      </c>
      <c r="E166" s="25" t="e">
        <f t="shared" si="27"/>
        <v>#VALUE!</v>
      </c>
      <c r="F166" s="25" t="e">
        <f t="shared" ca="1" si="28"/>
        <v>#VALUE!</v>
      </c>
      <c r="G166" s="25"/>
      <c r="H166" s="25" t="e">
        <f t="shared" si="32"/>
        <v>#VALUE!</v>
      </c>
      <c r="I166" s="25">
        <f t="shared" si="29"/>
        <v>-348.00000000000324</v>
      </c>
      <c r="J166" s="25" t="e">
        <f t="shared" si="30"/>
        <v>#VALUE!</v>
      </c>
    </row>
    <row r="167" spans="1:10" x14ac:dyDescent="0.25">
      <c r="A167" s="25">
        <f t="shared" si="31"/>
        <v>-8.4700000000000326</v>
      </c>
      <c r="B167" s="25">
        <f t="shared" ca="1" si="24"/>
        <v>-4.0372928880932697E-2</v>
      </c>
      <c r="C167" s="25" t="e">
        <f t="shared" si="25"/>
        <v>#VALUE!</v>
      </c>
      <c r="D167" s="74" t="e">
        <f t="shared" si="26"/>
        <v>#VALUE!</v>
      </c>
      <c r="E167" s="25" t="e">
        <f t="shared" si="27"/>
        <v>#VALUE!</v>
      </c>
      <c r="F167" s="25" t="e">
        <f t="shared" ca="1" si="28"/>
        <v>#VALUE!</v>
      </c>
      <c r="G167" s="25"/>
      <c r="H167" s="25" t="e">
        <f t="shared" si="32"/>
        <v>#VALUE!</v>
      </c>
      <c r="I167" s="25">
        <f t="shared" si="29"/>
        <v>-347.0000000000033</v>
      </c>
      <c r="J167" s="25" t="e">
        <f t="shared" si="30"/>
        <v>#VALUE!</v>
      </c>
    </row>
    <row r="168" spans="1:10" x14ac:dyDescent="0.25">
      <c r="A168" s="25">
        <f t="shared" si="31"/>
        <v>-8.4600000000000328</v>
      </c>
      <c r="B168" s="25">
        <f t="shared" ca="1" si="24"/>
        <v>-0.17445345790389877</v>
      </c>
      <c r="C168" s="25" t="e">
        <f t="shared" si="25"/>
        <v>#VALUE!</v>
      </c>
      <c r="D168" s="74" t="e">
        <f t="shared" si="26"/>
        <v>#VALUE!</v>
      </c>
      <c r="E168" s="25" t="e">
        <f t="shared" si="27"/>
        <v>#VALUE!</v>
      </c>
      <c r="F168" s="25" t="e">
        <f t="shared" ca="1" si="28"/>
        <v>#VALUE!</v>
      </c>
      <c r="G168" s="25"/>
      <c r="H168" s="25" t="e">
        <f t="shared" si="32"/>
        <v>#VALUE!</v>
      </c>
      <c r="I168" s="25">
        <f t="shared" si="29"/>
        <v>-346.0000000000033</v>
      </c>
      <c r="J168" s="25" t="e">
        <f t="shared" si="30"/>
        <v>#VALUE!</v>
      </c>
    </row>
    <row r="169" spans="1:10" x14ac:dyDescent="0.25">
      <c r="A169" s="25">
        <f t="shared" si="31"/>
        <v>-8.450000000000033</v>
      </c>
      <c r="B169" s="25">
        <f t="shared" ca="1" si="24"/>
        <v>-3.5567865892891265E-2</v>
      </c>
      <c r="C169" s="25" t="e">
        <f t="shared" si="25"/>
        <v>#VALUE!</v>
      </c>
      <c r="D169" s="74" t="e">
        <f t="shared" si="26"/>
        <v>#VALUE!</v>
      </c>
      <c r="E169" s="25" t="e">
        <f t="shared" si="27"/>
        <v>#VALUE!</v>
      </c>
      <c r="F169" s="25" t="e">
        <f t="shared" ca="1" si="28"/>
        <v>#VALUE!</v>
      </c>
      <c r="G169" s="25"/>
      <c r="H169" s="25" t="e">
        <f t="shared" si="32"/>
        <v>#VALUE!</v>
      </c>
      <c r="I169" s="25">
        <f t="shared" si="29"/>
        <v>-345.0000000000033</v>
      </c>
      <c r="J169" s="25" t="e">
        <f t="shared" si="30"/>
        <v>#VALUE!</v>
      </c>
    </row>
    <row r="170" spans="1:10" x14ac:dyDescent="0.25">
      <c r="A170" s="25">
        <f t="shared" si="31"/>
        <v>-8.4400000000000333</v>
      </c>
      <c r="B170" s="25">
        <f t="shared" ca="1" si="24"/>
        <v>5.1870152900290616E-2</v>
      </c>
      <c r="C170" s="25" t="e">
        <f t="shared" si="25"/>
        <v>#VALUE!</v>
      </c>
      <c r="D170" s="74" t="e">
        <f t="shared" si="26"/>
        <v>#VALUE!</v>
      </c>
      <c r="E170" s="25" t="e">
        <f t="shared" si="27"/>
        <v>#VALUE!</v>
      </c>
      <c r="F170" s="25" t="e">
        <f t="shared" ca="1" si="28"/>
        <v>#VALUE!</v>
      </c>
      <c r="G170" s="25"/>
      <c r="H170" s="25" t="e">
        <f t="shared" si="32"/>
        <v>#VALUE!</v>
      </c>
      <c r="I170" s="25">
        <f t="shared" si="29"/>
        <v>-344.0000000000033</v>
      </c>
      <c r="J170" s="25" t="e">
        <f t="shared" si="30"/>
        <v>#VALUE!</v>
      </c>
    </row>
    <row r="171" spans="1:10" x14ac:dyDescent="0.25">
      <c r="A171" s="25">
        <f t="shared" si="31"/>
        <v>-8.4300000000000335</v>
      </c>
      <c r="B171" s="25">
        <f t="shared" ca="1" si="24"/>
        <v>0.11150232860638858</v>
      </c>
      <c r="C171" s="25" t="e">
        <f t="shared" si="25"/>
        <v>#VALUE!</v>
      </c>
      <c r="D171" s="74" t="e">
        <f t="shared" si="26"/>
        <v>#VALUE!</v>
      </c>
      <c r="E171" s="25" t="e">
        <f t="shared" si="27"/>
        <v>#VALUE!</v>
      </c>
      <c r="F171" s="25" t="e">
        <f t="shared" ca="1" si="28"/>
        <v>#VALUE!</v>
      </c>
      <c r="G171" s="25"/>
      <c r="H171" s="25" t="e">
        <f t="shared" si="32"/>
        <v>#VALUE!</v>
      </c>
      <c r="I171" s="25">
        <f t="shared" si="29"/>
        <v>-343.00000000000335</v>
      </c>
      <c r="J171" s="25" t="e">
        <f t="shared" si="30"/>
        <v>#VALUE!</v>
      </c>
    </row>
    <row r="172" spans="1:10" x14ac:dyDescent="0.25">
      <c r="A172" s="25">
        <f t="shared" si="31"/>
        <v>-8.4200000000000337</v>
      </c>
      <c r="B172" s="25">
        <f t="shared" ca="1" si="24"/>
        <v>0.11720961433976367</v>
      </c>
      <c r="C172" s="25" t="e">
        <f t="shared" si="25"/>
        <v>#VALUE!</v>
      </c>
      <c r="D172" s="74" t="e">
        <f t="shared" si="26"/>
        <v>#VALUE!</v>
      </c>
      <c r="E172" s="25" t="e">
        <f t="shared" si="27"/>
        <v>#VALUE!</v>
      </c>
      <c r="F172" s="25" t="e">
        <f t="shared" ca="1" si="28"/>
        <v>#VALUE!</v>
      </c>
      <c r="G172" s="25"/>
      <c r="H172" s="25" t="e">
        <f t="shared" si="32"/>
        <v>#VALUE!</v>
      </c>
      <c r="I172" s="25">
        <f t="shared" si="29"/>
        <v>-342.00000000000335</v>
      </c>
      <c r="J172" s="25" t="e">
        <f t="shared" si="30"/>
        <v>#VALUE!</v>
      </c>
    </row>
    <row r="173" spans="1:10" x14ac:dyDescent="0.25">
      <c r="A173" s="25">
        <f t="shared" si="31"/>
        <v>-8.4100000000000339</v>
      </c>
      <c r="B173" s="25">
        <f t="shared" ca="1" si="24"/>
        <v>4.3087847710781106E-2</v>
      </c>
      <c r="C173" s="25" t="e">
        <f t="shared" si="25"/>
        <v>#VALUE!</v>
      </c>
      <c r="D173" s="74" t="e">
        <f t="shared" si="26"/>
        <v>#VALUE!</v>
      </c>
      <c r="E173" s="25" t="e">
        <f t="shared" si="27"/>
        <v>#VALUE!</v>
      </c>
      <c r="F173" s="25" t="e">
        <f t="shared" ca="1" si="28"/>
        <v>#VALUE!</v>
      </c>
      <c r="G173" s="25"/>
      <c r="H173" s="25" t="e">
        <f t="shared" si="32"/>
        <v>#VALUE!</v>
      </c>
      <c r="I173" s="25">
        <f t="shared" si="29"/>
        <v>-341.00000000000341</v>
      </c>
      <c r="J173" s="25" t="e">
        <f t="shared" si="30"/>
        <v>#VALUE!</v>
      </c>
    </row>
    <row r="174" spans="1:10" x14ac:dyDescent="0.25">
      <c r="A174" s="25">
        <f t="shared" si="31"/>
        <v>-8.4000000000000341</v>
      </c>
      <c r="B174" s="25">
        <f t="shared" ca="1" si="24"/>
        <v>-6.489687900217607E-5</v>
      </c>
      <c r="C174" s="25" t="e">
        <f t="shared" si="25"/>
        <v>#VALUE!</v>
      </c>
      <c r="D174" s="74" t="e">
        <f t="shared" si="26"/>
        <v>#VALUE!</v>
      </c>
      <c r="E174" s="25" t="e">
        <f t="shared" si="27"/>
        <v>#VALUE!</v>
      </c>
      <c r="F174" s="25" t="e">
        <f t="shared" ca="1" si="28"/>
        <v>#VALUE!</v>
      </c>
      <c r="G174" s="25"/>
      <c r="H174" s="25" t="e">
        <f t="shared" si="32"/>
        <v>#VALUE!</v>
      </c>
      <c r="I174" s="25">
        <f t="shared" si="29"/>
        <v>-340.00000000000341</v>
      </c>
      <c r="J174" s="25" t="e">
        <f t="shared" si="30"/>
        <v>#VALUE!</v>
      </c>
    </row>
    <row r="175" spans="1:10" x14ac:dyDescent="0.25">
      <c r="A175" s="25">
        <f t="shared" si="31"/>
        <v>-8.3900000000000343</v>
      </c>
      <c r="B175" s="25">
        <f t="shared" ca="1" si="24"/>
        <v>-6.9533880706577997E-2</v>
      </c>
      <c r="C175" s="25" t="e">
        <f t="shared" si="25"/>
        <v>#VALUE!</v>
      </c>
      <c r="D175" s="74" t="e">
        <f t="shared" si="26"/>
        <v>#VALUE!</v>
      </c>
      <c r="E175" s="25" t="e">
        <f t="shared" si="27"/>
        <v>#VALUE!</v>
      </c>
      <c r="F175" s="25" t="e">
        <f t="shared" ca="1" si="28"/>
        <v>#VALUE!</v>
      </c>
      <c r="G175" s="25"/>
      <c r="H175" s="25" t="e">
        <f t="shared" si="32"/>
        <v>#VALUE!</v>
      </c>
      <c r="I175" s="25">
        <f t="shared" si="29"/>
        <v>-339.00000000000341</v>
      </c>
      <c r="J175" s="25" t="e">
        <f t="shared" si="30"/>
        <v>#VALUE!</v>
      </c>
    </row>
    <row r="176" spans="1:10" x14ac:dyDescent="0.25">
      <c r="A176" s="25">
        <f t="shared" si="31"/>
        <v>-8.3800000000000345</v>
      </c>
      <c r="B176" s="25">
        <f t="shared" ca="1" si="24"/>
        <v>-7.6340716231806022E-2</v>
      </c>
      <c r="C176" s="25" t="e">
        <f t="shared" si="25"/>
        <v>#VALUE!</v>
      </c>
      <c r="D176" s="74" t="e">
        <f t="shared" si="26"/>
        <v>#VALUE!</v>
      </c>
      <c r="E176" s="25" t="e">
        <f t="shared" si="27"/>
        <v>#VALUE!</v>
      </c>
      <c r="F176" s="25" t="e">
        <f t="shared" ca="1" si="28"/>
        <v>#VALUE!</v>
      </c>
      <c r="G176" s="25"/>
      <c r="H176" s="25" t="e">
        <f t="shared" si="32"/>
        <v>#VALUE!</v>
      </c>
      <c r="I176" s="25">
        <f t="shared" si="29"/>
        <v>-338.00000000000347</v>
      </c>
      <c r="J176" s="25" t="e">
        <f t="shared" si="30"/>
        <v>#VALUE!</v>
      </c>
    </row>
    <row r="177" spans="1:10" x14ac:dyDescent="0.25">
      <c r="A177" s="25">
        <f t="shared" si="31"/>
        <v>-8.3700000000000347</v>
      </c>
      <c r="B177" s="25">
        <f t="shared" ca="1" si="24"/>
        <v>8.6277615532919946E-2</v>
      </c>
      <c r="C177" s="25" t="e">
        <f t="shared" si="25"/>
        <v>#VALUE!</v>
      </c>
      <c r="D177" s="74" t="e">
        <f t="shared" si="26"/>
        <v>#VALUE!</v>
      </c>
      <c r="E177" s="25" t="e">
        <f t="shared" si="27"/>
        <v>#VALUE!</v>
      </c>
      <c r="F177" s="25" t="e">
        <f t="shared" ca="1" si="28"/>
        <v>#VALUE!</v>
      </c>
      <c r="G177" s="25"/>
      <c r="H177" s="25" t="e">
        <f t="shared" si="32"/>
        <v>#VALUE!</v>
      </c>
      <c r="I177" s="25">
        <f t="shared" si="29"/>
        <v>-337.00000000000347</v>
      </c>
      <c r="J177" s="25" t="e">
        <f t="shared" si="30"/>
        <v>#VALUE!</v>
      </c>
    </row>
    <row r="178" spans="1:10" x14ac:dyDescent="0.25">
      <c r="A178" s="25">
        <f t="shared" si="31"/>
        <v>-8.360000000000035</v>
      </c>
      <c r="B178" s="25">
        <f t="shared" ca="1" si="24"/>
        <v>7.1703867527279336E-2</v>
      </c>
      <c r="C178" s="25" t="e">
        <f t="shared" si="25"/>
        <v>#VALUE!</v>
      </c>
      <c r="D178" s="74" t="e">
        <f t="shared" si="26"/>
        <v>#VALUE!</v>
      </c>
      <c r="E178" s="25" t="e">
        <f t="shared" si="27"/>
        <v>#VALUE!</v>
      </c>
      <c r="F178" s="25" t="e">
        <f t="shared" ca="1" si="28"/>
        <v>#VALUE!</v>
      </c>
      <c r="G178" s="25"/>
      <c r="H178" s="25" t="e">
        <f t="shared" si="32"/>
        <v>#VALUE!</v>
      </c>
      <c r="I178" s="25">
        <f t="shared" si="29"/>
        <v>-336.00000000000352</v>
      </c>
      <c r="J178" s="25" t="e">
        <f t="shared" si="30"/>
        <v>#VALUE!</v>
      </c>
    </row>
    <row r="179" spans="1:10" x14ac:dyDescent="0.25">
      <c r="A179" s="25">
        <f t="shared" si="31"/>
        <v>-8.3500000000000352</v>
      </c>
      <c r="B179" s="25">
        <f t="shared" ca="1" si="24"/>
        <v>-0.11350971354742061</v>
      </c>
      <c r="C179" s="25" t="e">
        <f t="shared" si="25"/>
        <v>#VALUE!</v>
      </c>
      <c r="D179" s="74" t="e">
        <f t="shared" si="26"/>
        <v>#VALUE!</v>
      </c>
      <c r="E179" s="25" t="e">
        <f t="shared" si="27"/>
        <v>#VALUE!</v>
      </c>
      <c r="F179" s="25" t="e">
        <f t="shared" ca="1" si="28"/>
        <v>#VALUE!</v>
      </c>
      <c r="G179" s="25"/>
      <c r="H179" s="25" t="e">
        <f t="shared" si="32"/>
        <v>#VALUE!</v>
      </c>
      <c r="I179" s="25">
        <f t="shared" si="29"/>
        <v>-335.00000000000352</v>
      </c>
      <c r="J179" s="25" t="e">
        <f t="shared" si="30"/>
        <v>#VALUE!</v>
      </c>
    </row>
    <row r="180" spans="1:10" x14ac:dyDescent="0.25">
      <c r="A180" s="25">
        <f t="shared" si="31"/>
        <v>-8.3400000000000354</v>
      </c>
      <c r="B180" s="25">
        <f t="shared" ca="1" si="24"/>
        <v>-8.1806457553775955E-2</v>
      </c>
      <c r="C180" s="25" t="e">
        <f t="shared" si="25"/>
        <v>#VALUE!</v>
      </c>
      <c r="D180" s="74" t="e">
        <f t="shared" si="26"/>
        <v>#VALUE!</v>
      </c>
      <c r="E180" s="25" t="e">
        <f t="shared" si="27"/>
        <v>#VALUE!</v>
      </c>
      <c r="F180" s="25" t="e">
        <f t="shared" ca="1" si="28"/>
        <v>#VALUE!</v>
      </c>
      <c r="G180" s="25"/>
      <c r="H180" s="25" t="e">
        <f t="shared" si="32"/>
        <v>#VALUE!</v>
      </c>
      <c r="I180" s="25">
        <f t="shared" si="29"/>
        <v>-334.00000000000352</v>
      </c>
      <c r="J180" s="25" t="e">
        <f t="shared" si="30"/>
        <v>#VALUE!</v>
      </c>
    </row>
    <row r="181" spans="1:10" x14ac:dyDescent="0.25">
      <c r="A181" s="25">
        <f t="shared" si="31"/>
        <v>-8.3300000000000356</v>
      </c>
      <c r="B181" s="25">
        <f t="shared" ca="1" si="24"/>
        <v>-4.0575654407295277E-2</v>
      </c>
      <c r="C181" s="25" t="e">
        <f t="shared" si="25"/>
        <v>#VALUE!</v>
      </c>
      <c r="D181" s="74" t="e">
        <f t="shared" si="26"/>
        <v>#VALUE!</v>
      </c>
      <c r="E181" s="25" t="e">
        <f t="shared" si="27"/>
        <v>#VALUE!</v>
      </c>
      <c r="F181" s="25" t="e">
        <f t="shared" ca="1" si="28"/>
        <v>#VALUE!</v>
      </c>
      <c r="G181" s="25"/>
      <c r="H181" s="25" t="e">
        <f t="shared" si="32"/>
        <v>#VALUE!</v>
      </c>
      <c r="I181" s="25">
        <f t="shared" si="29"/>
        <v>-333.00000000000352</v>
      </c>
      <c r="J181" s="25" t="e">
        <f t="shared" si="30"/>
        <v>#VALUE!</v>
      </c>
    </row>
    <row r="182" spans="1:10" x14ac:dyDescent="0.25">
      <c r="A182" s="25">
        <f t="shared" si="31"/>
        <v>-8.3200000000000358</v>
      </c>
      <c r="B182" s="25">
        <f t="shared" ca="1" si="24"/>
        <v>-9.963467944010318E-2</v>
      </c>
      <c r="C182" s="25" t="e">
        <f t="shared" si="25"/>
        <v>#VALUE!</v>
      </c>
      <c r="D182" s="74" t="e">
        <f t="shared" si="26"/>
        <v>#VALUE!</v>
      </c>
      <c r="E182" s="25" t="e">
        <f t="shared" si="27"/>
        <v>#VALUE!</v>
      </c>
      <c r="F182" s="25" t="e">
        <f t="shared" ca="1" si="28"/>
        <v>#VALUE!</v>
      </c>
      <c r="G182" s="25"/>
      <c r="H182" s="25" t="e">
        <f t="shared" si="32"/>
        <v>#VALUE!</v>
      </c>
      <c r="I182" s="25">
        <f t="shared" si="29"/>
        <v>-332.00000000000358</v>
      </c>
      <c r="J182" s="25" t="e">
        <f t="shared" si="30"/>
        <v>#VALUE!</v>
      </c>
    </row>
    <row r="183" spans="1:10" x14ac:dyDescent="0.25">
      <c r="A183" s="25">
        <f t="shared" si="31"/>
        <v>-8.310000000000036</v>
      </c>
      <c r="B183" s="25">
        <f t="shared" ca="1" si="24"/>
        <v>-1.4506067657830699E-2</v>
      </c>
      <c r="C183" s="25" t="e">
        <f t="shared" si="25"/>
        <v>#VALUE!</v>
      </c>
      <c r="D183" s="74" t="e">
        <f t="shared" si="26"/>
        <v>#VALUE!</v>
      </c>
      <c r="E183" s="25" t="e">
        <f t="shared" si="27"/>
        <v>#VALUE!</v>
      </c>
      <c r="F183" s="25" t="e">
        <f t="shared" ca="1" si="28"/>
        <v>#VALUE!</v>
      </c>
      <c r="G183" s="25"/>
      <c r="H183" s="25" t="e">
        <f t="shared" si="32"/>
        <v>#VALUE!</v>
      </c>
      <c r="I183" s="25">
        <f t="shared" si="29"/>
        <v>-331.00000000000358</v>
      </c>
      <c r="J183" s="25" t="e">
        <f t="shared" si="30"/>
        <v>#VALUE!</v>
      </c>
    </row>
    <row r="184" spans="1:10" x14ac:dyDescent="0.25">
      <c r="A184" s="25">
        <f t="shared" si="31"/>
        <v>-8.3000000000000362</v>
      </c>
      <c r="B184" s="25">
        <f t="shared" ca="1" si="24"/>
        <v>-0.17638584888675546</v>
      </c>
      <c r="C184" s="25" t="e">
        <f t="shared" si="25"/>
        <v>#VALUE!</v>
      </c>
      <c r="D184" s="74" t="e">
        <f t="shared" si="26"/>
        <v>#VALUE!</v>
      </c>
      <c r="E184" s="25" t="e">
        <f t="shared" si="27"/>
        <v>#VALUE!</v>
      </c>
      <c r="F184" s="25" t="e">
        <f t="shared" ca="1" si="28"/>
        <v>#VALUE!</v>
      </c>
      <c r="G184" s="25"/>
      <c r="H184" s="25" t="e">
        <f t="shared" si="32"/>
        <v>#VALUE!</v>
      </c>
      <c r="I184" s="25">
        <f t="shared" si="29"/>
        <v>-330.00000000000364</v>
      </c>
      <c r="J184" s="25" t="e">
        <f t="shared" si="30"/>
        <v>#VALUE!</v>
      </c>
    </row>
    <row r="185" spans="1:10" x14ac:dyDescent="0.25">
      <c r="A185" s="25">
        <f t="shared" si="31"/>
        <v>-8.2900000000000365</v>
      </c>
      <c r="B185" s="25">
        <f t="shared" ca="1" si="24"/>
        <v>-0.18136214562365383</v>
      </c>
      <c r="C185" s="25" t="e">
        <f t="shared" si="25"/>
        <v>#VALUE!</v>
      </c>
      <c r="D185" s="74" t="e">
        <f t="shared" si="26"/>
        <v>#VALUE!</v>
      </c>
      <c r="E185" s="25" t="e">
        <f t="shared" si="27"/>
        <v>#VALUE!</v>
      </c>
      <c r="F185" s="25" t="e">
        <f t="shared" ca="1" si="28"/>
        <v>#VALUE!</v>
      </c>
      <c r="G185" s="25"/>
      <c r="H185" s="25" t="e">
        <f t="shared" si="32"/>
        <v>#VALUE!</v>
      </c>
      <c r="I185" s="25">
        <f t="shared" si="29"/>
        <v>-329.00000000000364</v>
      </c>
      <c r="J185" s="25" t="e">
        <f t="shared" si="30"/>
        <v>#VALUE!</v>
      </c>
    </row>
    <row r="186" spans="1:10" x14ac:dyDescent="0.25">
      <c r="A186" s="25">
        <f t="shared" si="31"/>
        <v>-8.2800000000000367</v>
      </c>
      <c r="B186" s="25">
        <f t="shared" ca="1" si="24"/>
        <v>-8.0810395617856939E-2</v>
      </c>
      <c r="C186" s="25" t="e">
        <f t="shared" si="25"/>
        <v>#VALUE!</v>
      </c>
      <c r="D186" s="74" t="e">
        <f t="shared" si="26"/>
        <v>#VALUE!</v>
      </c>
      <c r="E186" s="25" t="e">
        <f t="shared" si="27"/>
        <v>#VALUE!</v>
      </c>
      <c r="F186" s="25" t="e">
        <f t="shared" ca="1" si="28"/>
        <v>#VALUE!</v>
      </c>
      <c r="G186" s="25"/>
      <c r="H186" s="25" t="e">
        <f t="shared" si="32"/>
        <v>#VALUE!</v>
      </c>
      <c r="I186" s="25">
        <f t="shared" si="29"/>
        <v>-328.00000000000369</v>
      </c>
      <c r="J186" s="25" t="e">
        <f t="shared" si="30"/>
        <v>#VALUE!</v>
      </c>
    </row>
    <row r="187" spans="1:10" x14ac:dyDescent="0.25">
      <c r="A187" s="25">
        <f t="shared" si="31"/>
        <v>-8.2700000000000369</v>
      </c>
      <c r="B187" s="25">
        <f t="shared" ca="1" si="24"/>
        <v>0.12068971401687778</v>
      </c>
      <c r="C187" s="25" t="e">
        <f t="shared" si="25"/>
        <v>#VALUE!</v>
      </c>
      <c r="D187" s="74" t="e">
        <f t="shared" si="26"/>
        <v>#VALUE!</v>
      </c>
      <c r="E187" s="25" t="e">
        <f t="shared" si="27"/>
        <v>#VALUE!</v>
      </c>
      <c r="F187" s="25" t="e">
        <f t="shared" ca="1" si="28"/>
        <v>#VALUE!</v>
      </c>
      <c r="G187" s="25"/>
      <c r="H187" s="25" t="e">
        <f t="shared" si="32"/>
        <v>#VALUE!</v>
      </c>
      <c r="I187" s="25">
        <f t="shared" si="29"/>
        <v>-327.00000000000369</v>
      </c>
      <c r="J187" s="25" t="e">
        <f t="shared" si="30"/>
        <v>#VALUE!</v>
      </c>
    </row>
    <row r="188" spans="1:10" x14ac:dyDescent="0.25">
      <c r="A188" s="25">
        <f t="shared" si="31"/>
        <v>-8.2600000000000371</v>
      </c>
      <c r="B188" s="25">
        <f t="shared" ca="1" si="24"/>
        <v>-6.8102258343771607E-2</v>
      </c>
      <c r="C188" s="25" t="e">
        <f t="shared" si="25"/>
        <v>#VALUE!</v>
      </c>
      <c r="D188" s="74" t="e">
        <f t="shared" si="26"/>
        <v>#VALUE!</v>
      </c>
      <c r="E188" s="25" t="e">
        <f t="shared" si="27"/>
        <v>#VALUE!</v>
      </c>
      <c r="F188" s="25" t="e">
        <f t="shared" ca="1" si="28"/>
        <v>#VALUE!</v>
      </c>
      <c r="G188" s="25"/>
      <c r="H188" s="25" t="e">
        <f t="shared" si="32"/>
        <v>#VALUE!</v>
      </c>
      <c r="I188" s="25">
        <f t="shared" si="29"/>
        <v>-326.00000000000375</v>
      </c>
      <c r="J188" s="25" t="e">
        <f t="shared" si="30"/>
        <v>#VALUE!</v>
      </c>
    </row>
    <row r="189" spans="1:10" x14ac:dyDescent="0.25">
      <c r="A189" s="25">
        <f t="shared" si="31"/>
        <v>-8.2500000000000373</v>
      </c>
      <c r="B189" s="25">
        <f t="shared" ca="1" si="24"/>
        <v>6.7955637870857039E-2</v>
      </c>
      <c r="C189" s="25" t="e">
        <f t="shared" si="25"/>
        <v>#VALUE!</v>
      </c>
      <c r="D189" s="74" t="e">
        <f t="shared" si="26"/>
        <v>#VALUE!</v>
      </c>
      <c r="E189" s="25" t="e">
        <f t="shared" si="27"/>
        <v>#VALUE!</v>
      </c>
      <c r="F189" s="25" t="e">
        <f t="shared" ca="1" si="28"/>
        <v>#VALUE!</v>
      </c>
      <c r="G189" s="25"/>
      <c r="H189" s="25" t="e">
        <f t="shared" si="32"/>
        <v>#VALUE!</v>
      </c>
      <c r="I189" s="25">
        <f t="shared" si="29"/>
        <v>-325.00000000000375</v>
      </c>
      <c r="J189" s="25" t="e">
        <f t="shared" si="30"/>
        <v>#VALUE!</v>
      </c>
    </row>
    <row r="190" spans="1:10" x14ac:dyDescent="0.25">
      <c r="A190" s="25">
        <f t="shared" si="31"/>
        <v>-8.2400000000000375</v>
      </c>
      <c r="B190" s="25">
        <f t="shared" ca="1" si="24"/>
        <v>1.1891295526553611E-2</v>
      </c>
      <c r="C190" s="25" t="e">
        <f t="shared" si="25"/>
        <v>#VALUE!</v>
      </c>
      <c r="D190" s="74" t="e">
        <f t="shared" si="26"/>
        <v>#VALUE!</v>
      </c>
      <c r="E190" s="25" t="e">
        <f t="shared" si="27"/>
        <v>#VALUE!</v>
      </c>
      <c r="F190" s="25" t="e">
        <f t="shared" ca="1" si="28"/>
        <v>#VALUE!</v>
      </c>
      <c r="G190" s="25"/>
      <c r="H190" s="25" t="e">
        <f t="shared" si="32"/>
        <v>#VALUE!</v>
      </c>
      <c r="I190" s="25">
        <f t="shared" si="29"/>
        <v>-324.00000000000375</v>
      </c>
      <c r="J190" s="25" t="e">
        <f t="shared" si="30"/>
        <v>#VALUE!</v>
      </c>
    </row>
    <row r="191" spans="1:10" x14ac:dyDescent="0.25">
      <c r="A191" s="25">
        <f t="shared" si="31"/>
        <v>-8.2300000000000377</v>
      </c>
      <c r="B191" s="25">
        <f t="shared" ca="1" si="24"/>
        <v>0.12279387906482168</v>
      </c>
      <c r="C191" s="25" t="e">
        <f t="shared" si="25"/>
        <v>#VALUE!</v>
      </c>
      <c r="D191" s="74" t="e">
        <f t="shared" si="26"/>
        <v>#VALUE!</v>
      </c>
      <c r="E191" s="25" t="e">
        <f t="shared" si="27"/>
        <v>#VALUE!</v>
      </c>
      <c r="F191" s="25" t="e">
        <f t="shared" ca="1" si="28"/>
        <v>#VALUE!</v>
      </c>
      <c r="G191" s="25"/>
      <c r="H191" s="25" t="e">
        <f t="shared" si="32"/>
        <v>#VALUE!</v>
      </c>
      <c r="I191" s="25">
        <f t="shared" si="29"/>
        <v>-323.00000000000375</v>
      </c>
      <c r="J191" s="25" t="e">
        <f t="shared" si="30"/>
        <v>#VALUE!</v>
      </c>
    </row>
    <row r="192" spans="1:10" x14ac:dyDescent="0.25">
      <c r="A192" s="25">
        <f t="shared" si="31"/>
        <v>-8.2200000000000379</v>
      </c>
      <c r="B192" s="25">
        <f t="shared" ca="1" si="24"/>
        <v>-0.12619475359356558</v>
      </c>
      <c r="C192" s="25" t="e">
        <f t="shared" si="25"/>
        <v>#VALUE!</v>
      </c>
      <c r="D192" s="74" t="e">
        <f t="shared" si="26"/>
        <v>#VALUE!</v>
      </c>
      <c r="E192" s="25" t="e">
        <f t="shared" si="27"/>
        <v>#VALUE!</v>
      </c>
      <c r="F192" s="25" t="e">
        <f t="shared" ca="1" si="28"/>
        <v>#VALUE!</v>
      </c>
      <c r="G192" s="25"/>
      <c r="H192" s="25" t="e">
        <f t="shared" si="32"/>
        <v>#VALUE!</v>
      </c>
      <c r="I192" s="25">
        <f t="shared" si="29"/>
        <v>-322.00000000000375</v>
      </c>
      <c r="J192" s="25" t="e">
        <f t="shared" si="30"/>
        <v>#VALUE!</v>
      </c>
    </row>
    <row r="193" spans="1:10" x14ac:dyDescent="0.25">
      <c r="A193" s="25">
        <f t="shared" si="31"/>
        <v>-8.2100000000000382</v>
      </c>
      <c r="B193" s="25">
        <f t="shared" ca="1" si="24"/>
        <v>0.10164560448810937</v>
      </c>
      <c r="C193" s="25" t="e">
        <f t="shared" si="25"/>
        <v>#VALUE!</v>
      </c>
      <c r="D193" s="74" t="e">
        <f t="shared" si="26"/>
        <v>#VALUE!</v>
      </c>
      <c r="E193" s="25" t="e">
        <f t="shared" si="27"/>
        <v>#VALUE!</v>
      </c>
      <c r="F193" s="25" t="e">
        <f t="shared" ca="1" si="28"/>
        <v>#VALUE!</v>
      </c>
      <c r="G193" s="25"/>
      <c r="H193" s="25" t="e">
        <f t="shared" si="32"/>
        <v>#VALUE!</v>
      </c>
      <c r="I193" s="25">
        <f t="shared" si="29"/>
        <v>-321.00000000000381</v>
      </c>
      <c r="J193" s="25" t="e">
        <f t="shared" si="30"/>
        <v>#VALUE!</v>
      </c>
    </row>
    <row r="194" spans="1:10" x14ac:dyDescent="0.25">
      <c r="A194" s="25">
        <f t="shared" si="31"/>
        <v>-8.2000000000000384</v>
      </c>
      <c r="B194" s="25">
        <f t="shared" ca="1" si="24"/>
        <v>-7.3629825201240368E-2</v>
      </c>
      <c r="C194" s="25" t="e">
        <f t="shared" si="25"/>
        <v>#VALUE!</v>
      </c>
      <c r="D194" s="74" t="e">
        <f t="shared" si="26"/>
        <v>#VALUE!</v>
      </c>
      <c r="E194" s="25" t="e">
        <f t="shared" si="27"/>
        <v>#VALUE!</v>
      </c>
      <c r="F194" s="25" t="e">
        <f t="shared" ca="1" si="28"/>
        <v>#VALUE!</v>
      </c>
      <c r="G194" s="25"/>
      <c r="H194" s="25" t="e">
        <f t="shared" si="32"/>
        <v>#VALUE!</v>
      </c>
      <c r="I194" s="25">
        <f t="shared" si="29"/>
        <v>-320.00000000000381</v>
      </c>
      <c r="J194" s="25" t="e">
        <f t="shared" si="30"/>
        <v>#VALUE!</v>
      </c>
    </row>
    <row r="195" spans="1:10" x14ac:dyDescent="0.25">
      <c r="A195" s="25">
        <f t="shared" si="31"/>
        <v>-8.1900000000000386</v>
      </c>
      <c r="B195" s="25">
        <f t="shared" ca="1" si="24"/>
        <v>6.8337238750768872E-2</v>
      </c>
      <c r="C195" s="25" t="e">
        <f t="shared" si="25"/>
        <v>#VALUE!</v>
      </c>
      <c r="D195" s="74" t="e">
        <f t="shared" si="26"/>
        <v>#VALUE!</v>
      </c>
      <c r="E195" s="25" t="e">
        <f t="shared" si="27"/>
        <v>#VALUE!</v>
      </c>
      <c r="F195" s="25" t="e">
        <f t="shared" ca="1" si="28"/>
        <v>#VALUE!</v>
      </c>
      <c r="G195" s="25"/>
      <c r="H195" s="25" t="e">
        <f t="shared" si="32"/>
        <v>#VALUE!</v>
      </c>
      <c r="I195" s="25">
        <f t="shared" si="29"/>
        <v>-319.00000000000387</v>
      </c>
      <c r="J195" s="25" t="e">
        <f t="shared" si="30"/>
        <v>#VALUE!</v>
      </c>
    </row>
    <row r="196" spans="1:10" x14ac:dyDescent="0.25">
      <c r="A196" s="25">
        <f t="shared" si="31"/>
        <v>-8.1800000000000388</v>
      </c>
      <c r="B196" s="25">
        <f t="shared" ca="1" si="24"/>
        <v>3.7239744904488219E-2</v>
      </c>
      <c r="C196" s="25" t="e">
        <f t="shared" si="25"/>
        <v>#VALUE!</v>
      </c>
      <c r="D196" s="74" t="e">
        <f t="shared" si="26"/>
        <v>#VALUE!</v>
      </c>
      <c r="E196" s="25" t="e">
        <f t="shared" si="27"/>
        <v>#VALUE!</v>
      </c>
      <c r="F196" s="25" t="e">
        <f t="shared" ca="1" si="28"/>
        <v>#VALUE!</v>
      </c>
      <c r="G196" s="25"/>
      <c r="H196" s="25" t="e">
        <f t="shared" si="32"/>
        <v>#VALUE!</v>
      </c>
      <c r="I196" s="25">
        <f t="shared" si="29"/>
        <v>-318.00000000000387</v>
      </c>
      <c r="J196" s="25" t="e">
        <f t="shared" si="30"/>
        <v>#VALUE!</v>
      </c>
    </row>
    <row r="197" spans="1:10" x14ac:dyDescent="0.25">
      <c r="A197" s="25">
        <f t="shared" si="31"/>
        <v>-8.170000000000039</v>
      </c>
      <c r="B197" s="25">
        <f t="shared" ca="1" si="24"/>
        <v>2.8896735336099294E-2</v>
      </c>
      <c r="C197" s="25" t="e">
        <f t="shared" si="25"/>
        <v>#VALUE!</v>
      </c>
      <c r="D197" s="74" t="e">
        <f t="shared" si="26"/>
        <v>#VALUE!</v>
      </c>
      <c r="E197" s="25" t="e">
        <f t="shared" si="27"/>
        <v>#VALUE!</v>
      </c>
      <c r="F197" s="25" t="e">
        <f t="shared" ca="1" si="28"/>
        <v>#VALUE!</v>
      </c>
      <c r="G197" s="25"/>
      <c r="H197" s="25" t="e">
        <f t="shared" si="32"/>
        <v>#VALUE!</v>
      </c>
      <c r="I197" s="25">
        <f t="shared" si="29"/>
        <v>-317.00000000000392</v>
      </c>
      <c r="J197" s="25" t="e">
        <f t="shared" si="30"/>
        <v>#VALUE!</v>
      </c>
    </row>
    <row r="198" spans="1:10" x14ac:dyDescent="0.25">
      <c r="A198" s="25">
        <f t="shared" si="31"/>
        <v>-8.1600000000000392</v>
      </c>
      <c r="B198" s="25">
        <f t="shared" ca="1" si="24"/>
        <v>-0.12654668321841567</v>
      </c>
      <c r="C198" s="25" t="e">
        <f t="shared" si="25"/>
        <v>#VALUE!</v>
      </c>
      <c r="D198" s="74" t="e">
        <f t="shared" si="26"/>
        <v>#VALUE!</v>
      </c>
      <c r="E198" s="25" t="e">
        <f t="shared" si="27"/>
        <v>#VALUE!</v>
      </c>
      <c r="F198" s="25" t="e">
        <f t="shared" ca="1" si="28"/>
        <v>#VALUE!</v>
      </c>
      <c r="G198" s="25"/>
      <c r="H198" s="25" t="e">
        <f t="shared" si="32"/>
        <v>#VALUE!</v>
      </c>
      <c r="I198" s="25">
        <f t="shared" si="29"/>
        <v>-316.00000000000392</v>
      </c>
      <c r="J198" s="25" t="e">
        <f t="shared" si="30"/>
        <v>#VALUE!</v>
      </c>
    </row>
    <row r="199" spans="1:10" x14ac:dyDescent="0.25">
      <c r="A199" s="25">
        <f t="shared" si="31"/>
        <v>-8.1500000000000394</v>
      </c>
      <c r="B199" s="25">
        <f t="shared" ca="1" si="24"/>
        <v>-0.19621693714950791</v>
      </c>
      <c r="C199" s="25" t="e">
        <f t="shared" si="25"/>
        <v>#VALUE!</v>
      </c>
      <c r="D199" s="74" t="e">
        <f t="shared" si="26"/>
        <v>#VALUE!</v>
      </c>
      <c r="E199" s="25" t="e">
        <f t="shared" si="27"/>
        <v>#VALUE!</v>
      </c>
      <c r="F199" s="25" t="e">
        <f t="shared" ca="1" si="28"/>
        <v>#VALUE!</v>
      </c>
      <c r="G199" s="25"/>
      <c r="H199" s="25" t="e">
        <f t="shared" si="32"/>
        <v>#VALUE!</v>
      </c>
      <c r="I199" s="25">
        <f t="shared" si="29"/>
        <v>-315.00000000000398</v>
      </c>
      <c r="J199" s="25" t="e">
        <f t="shared" si="30"/>
        <v>#VALUE!</v>
      </c>
    </row>
    <row r="200" spans="1:10" x14ac:dyDescent="0.25">
      <c r="A200" s="25">
        <f t="shared" si="31"/>
        <v>-8.1400000000000396</v>
      </c>
      <c r="B200" s="25">
        <f t="shared" ca="1" si="24"/>
        <v>8.448095933433282E-2</v>
      </c>
      <c r="C200" s="25" t="e">
        <f t="shared" si="25"/>
        <v>#VALUE!</v>
      </c>
      <c r="D200" s="74" t="e">
        <f t="shared" si="26"/>
        <v>#VALUE!</v>
      </c>
      <c r="E200" s="25" t="e">
        <f t="shared" si="27"/>
        <v>#VALUE!</v>
      </c>
      <c r="F200" s="25" t="e">
        <f t="shared" ca="1" si="28"/>
        <v>#VALUE!</v>
      </c>
      <c r="G200" s="25"/>
      <c r="H200" s="25" t="e">
        <f t="shared" si="32"/>
        <v>#VALUE!</v>
      </c>
      <c r="I200" s="25">
        <f t="shared" si="29"/>
        <v>-314.00000000000398</v>
      </c>
      <c r="J200" s="25" t="e">
        <f t="shared" si="30"/>
        <v>#VALUE!</v>
      </c>
    </row>
    <row r="201" spans="1:10" x14ac:dyDescent="0.25">
      <c r="A201" s="25">
        <f t="shared" si="31"/>
        <v>-8.1300000000000399</v>
      </c>
      <c r="B201" s="25">
        <f t="shared" ca="1" si="24"/>
        <v>8.0505076377632143E-2</v>
      </c>
      <c r="C201" s="25" t="e">
        <f t="shared" si="25"/>
        <v>#VALUE!</v>
      </c>
      <c r="D201" s="74" t="e">
        <f t="shared" si="26"/>
        <v>#VALUE!</v>
      </c>
      <c r="E201" s="25" t="e">
        <f t="shared" si="27"/>
        <v>#VALUE!</v>
      </c>
      <c r="F201" s="25" t="e">
        <f t="shared" ca="1" si="28"/>
        <v>#VALUE!</v>
      </c>
      <c r="G201" s="25"/>
      <c r="H201" s="25" t="e">
        <f t="shared" si="32"/>
        <v>#VALUE!</v>
      </c>
      <c r="I201" s="25">
        <f t="shared" si="29"/>
        <v>-313.00000000000398</v>
      </c>
      <c r="J201" s="25" t="e">
        <f t="shared" si="30"/>
        <v>#VALUE!</v>
      </c>
    </row>
    <row r="202" spans="1:10" x14ac:dyDescent="0.25">
      <c r="A202" s="25">
        <f t="shared" si="31"/>
        <v>-8.1200000000000401</v>
      </c>
      <c r="B202" s="25">
        <f t="shared" ca="1" si="24"/>
        <v>0.10849643623691718</v>
      </c>
      <c r="C202" s="25" t="e">
        <f t="shared" si="25"/>
        <v>#VALUE!</v>
      </c>
      <c r="D202" s="74" t="e">
        <f t="shared" si="26"/>
        <v>#VALUE!</v>
      </c>
      <c r="E202" s="25" t="e">
        <f t="shared" si="27"/>
        <v>#VALUE!</v>
      </c>
      <c r="F202" s="25" t="e">
        <f t="shared" ca="1" si="28"/>
        <v>#VALUE!</v>
      </c>
      <c r="G202" s="25"/>
      <c r="H202" s="25" t="e">
        <f t="shared" si="32"/>
        <v>#VALUE!</v>
      </c>
      <c r="I202" s="25">
        <f t="shared" si="29"/>
        <v>-312.00000000000398</v>
      </c>
      <c r="J202" s="25" t="e">
        <f t="shared" si="30"/>
        <v>#VALUE!</v>
      </c>
    </row>
    <row r="203" spans="1:10" x14ac:dyDescent="0.25">
      <c r="A203" s="25">
        <f t="shared" si="31"/>
        <v>-8.1100000000000403</v>
      </c>
      <c r="B203" s="25">
        <f t="shared" ca="1" si="24"/>
        <v>9.460746405931153E-2</v>
      </c>
      <c r="C203" s="25" t="e">
        <f t="shared" si="25"/>
        <v>#VALUE!</v>
      </c>
      <c r="D203" s="74" t="e">
        <f t="shared" si="26"/>
        <v>#VALUE!</v>
      </c>
      <c r="E203" s="25" t="e">
        <f t="shared" si="27"/>
        <v>#VALUE!</v>
      </c>
      <c r="F203" s="25" t="e">
        <f t="shared" ca="1" si="28"/>
        <v>#VALUE!</v>
      </c>
      <c r="G203" s="25"/>
      <c r="H203" s="25" t="e">
        <f t="shared" si="32"/>
        <v>#VALUE!</v>
      </c>
      <c r="I203" s="25">
        <f t="shared" si="29"/>
        <v>-311.00000000000404</v>
      </c>
      <c r="J203" s="25" t="e">
        <f t="shared" si="30"/>
        <v>#VALUE!</v>
      </c>
    </row>
    <row r="204" spans="1:10" x14ac:dyDescent="0.25">
      <c r="A204" s="25">
        <f t="shared" si="31"/>
        <v>-8.1000000000000405</v>
      </c>
      <c r="B204" s="25">
        <f t="shared" ca="1" si="24"/>
        <v>-2.9928615674192183E-2</v>
      </c>
      <c r="C204" s="25" t="e">
        <f t="shared" si="25"/>
        <v>#VALUE!</v>
      </c>
      <c r="D204" s="74" t="e">
        <f t="shared" si="26"/>
        <v>#VALUE!</v>
      </c>
      <c r="E204" s="25" t="e">
        <f t="shared" si="27"/>
        <v>#VALUE!</v>
      </c>
      <c r="F204" s="25" t="e">
        <f t="shared" ca="1" si="28"/>
        <v>#VALUE!</v>
      </c>
      <c r="G204" s="25"/>
      <c r="H204" s="25" t="e">
        <f t="shared" si="32"/>
        <v>#VALUE!</v>
      </c>
      <c r="I204" s="25">
        <f t="shared" si="29"/>
        <v>-310.00000000000404</v>
      </c>
      <c r="J204" s="25" t="e">
        <f t="shared" si="30"/>
        <v>#VALUE!</v>
      </c>
    </row>
    <row r="205" spans="1:10" x14ac:dyDescent="0.25">
      <c r="A205" s="25">
        <f t="shared" si="31"/>
        <v>-8.0900000000000407</v>
      </c>
      <c r="B205" s="25">
        <f t="shared" ca="1" si="24"/>
        <v>-0.17783252129913629</v>
      </c>
      <c r="C205" s="25" t="e">
        <f t="shared" si="25"/>
        <v>#VALUE!</v>
      </c>
      <c r="D205" s="74" t="e">
        <f t="shared" si="26"/>
        <v>#VALUE!</v>
      </c>
      <c r="E205" s="25" t="e">
        <f t="shared" si="27"/>
        <v>#VALUE!</v>
      </c>
      <c r="F205" s="25" t="e">
        <f t="shared" ca="1" si="28"/>
        <v>#VALUE!</v>
      </c>
      <c r="G205" s="25"/>
      <c r="H205" s="25" t="e">
        <f t="shared" si="32"/>
        <v>#VALUE!</v>
      </c>
      <c r="I205" s="25">
        <f t="shared" si="29"/>
        <v>-309.00000000000409</v>
      </c>
      <c r="J205" s="25" t="e">
        <f t="shared" si="30"/>
        <v>#VALUE!</v>
      </c>
    </row>
    <row r="206" spans="1:10" x14ac:dyDescent="0.25">
      <c r="A206" s="25">
        <f t="shared" si="31"/>
        <v>-8.0800000000000409</v>
      </c>
      <c r="B206" s="25">
        <f t="shared" ref="B206:B269" ca="1" si="33">(RAND()-0.5-$B$7)/$B$5</f>
        <v>-0.14467345400647549</v>
      </c>
      <c r="C206" s="25" t="e">
        <f t="shared" ref="C206:C269" si="34">IF(ABS(A206)&lt;=($D$3/2),1,IF(ABS(A206)&lt;=($B$4/2),IF(A206&gt;0,A206*(4/(1-2*$B$4))+(2*$B$4/(2*$B$4-1)),(-A206*(4/(1-2*$B$4))+(2*$B$4/(2*$B$4-1)))),0))</f>
        <v>#VALUE!</v>
      </c>
      <c r="D206" s="74" t="e">
        <f t="shared" ref="D206:D269" si="35">IF(ABS(A206)&lt;=($D$3/4+$B$4/4),1,IF(ABS(A206)&lt;=($B$4/2),(IF(A206&gt;0,A206*(8/(1-2*$B$4))+(4*$B$4)/(2*$B$4-1),(-A206*(8/(1-2*$B$4))+(4*$B$4)/(2*$B$4-1)))),0))</f>
        <v>#VALUE!</v>
      </c>
      <c r="E206" s="25" t="e">
        <f t="shared" ref="E206:E269" si="36">IF(ABS(A206)&lt;($B$4/2), 1, 0)</f>
        <v>#VALUE!</v>
      </c>
      <c r="F206" s="25" t="e">
        <f t="shared" ref="F206:F269" ca="1" si="37">C206+B206</f>
        <v>#VALUE!</v>
      </c>
      <c r="G206" s="25"/>
      <c r="H206" s="25" t="e">
        <f t="shared" si="32"/>
        <v>#VALUE!</v>
      </c>
      <c r="I206" s="25">
        <f t="shared" ref="I206:I269" si="38">$I$3*(A206-$G$3)/($H$3-$G$3)</f>
        <v>-308.00000000000409</v>
      </c>
      <c r="J206" s="25" t="e">
        <f t="shared" ref="J206:J269" si="39">H206</f>
        <v>#VALUE!</v>
      </c>
    </row>
    <row r="207" spans="1:10" x14ac:dyDescent="0.25">
      <c r="A207" s="25">
        <f t="shared" ref="A207:A270" si="40">A206+0.01</f>
        <v>-8.0700000000000411</v>
      </c>
      <c r="B207" s="25">
        <f t="shared" ca="1" si="33"/>
        <v>0.10532606970854559</v>
      </c>
      <c r="C207" s="25" t="e">
        <f t="shared" si="34"/>
        <v>#VALUE!</v>
      </c>
      <c r="D207" s="74" t="e">
        <f t="shared" si="35"/>
        <v>#VALUE!</v>
      </c>
      <c r="E207" s="25" t="e">
        <f t="shared" si="36"/>
        <v>#VALUE!</v>
      </c>
      <c r="F207" s="25" t="e">
        <f t="shared" ca="1" si="37"/>
        <v>#VALUE!</v>
      </c>
      <c r="G207" s="25"/>
      <c r="H207" s="25" t="e">
        <f t="shared" si="32"/>
        <v>#VALUE!</v>
      </c>
      <c r="I207" s="25">
        <f t="shared" si="38"/>
        <v>-307.00000000000409</v>
      </c>
      <c r="J207" s="25" t="e">
        <f t="shared" si="39"/>
        <v>#VALUE!</v>
      </c>
    </row>
    <row r="208" spans="1:10" x14ac:dyDescent="0.25">
      <c r="A208" s="25">
        <f t="shared" si="40"/>
        <v>-8.0600000000000414</v>
      </c>
      <c r="B208" s="25">
        <f t="shared" ca="1" si="33"/>
        <v>-0.18971774284141027</v>
      </c>
      <c r="C208" s="25" t="e">
        <f t="shared" si="34"/>
        <v>#VALUE!</v>
      </c>
      <c r="D208" s="74" t="e">
        <f t="shared" si="35"/>
        <v>#VALUE!</v>
      </c>
      <c r="E208" s="25" t="e">
        <f t="shared" si="36"/>
        <v>#VALUE!</v>
      </c>
      <c r="F208" s="25" t="e">
        <f t="shared" ca="1" si="37"/>
        <v>#VALUE!</v>
      </c>
      <c r="G208" s="25"/>
      <c r="H208" s="25" t="e">
        <f t="shared" si="32"/>
        <v>#VALUE!</v>
      </c>
      <c r="I208" s="25">
        <f t="shared" si="38"/>
        <v>-306.00000000000415</v>
      </c>
      <c r="J208" s="25" t="e">
        <f t="shared" si="39"/>
        <v>#VALUE!</v>
      </c>
    </row>
    <row r="209" spans="1:10" x14ac:dyDescent="0.25">
      <c r="A209" s="25">
        <f t="shared" si="40"/>
        <v>-8.0500000000000416</v>
      </c>
      <c r="B209" s="25">
        <f t="shared" ca="1" si="33"/>
        <v>-2.1461056469434156E-4</v>
      </c>
      <c r="C209" s="25" t="e">
        <f t="shared" si="34"/>
        <v>#VALUE!</v>
      </c>
      <c r="D209" s="74" t="e">
        <f t="shared" si="35"/>
        <v>#VALUE!</v>
      </c>
      <c r="E209" s="25" t="e">
        <f t="shared" si="36"/>
        <v>#VALUE!</v>
      </c>
      <c r="F209" s="25" t="e">
        <f t="shared" ca="1" si="37"/>
        <v>#VALUE!</v>
      </c>
      <c r="G209" s="25"/>
      <c r="H209" s="25" t="e">
        <f t="shared" si="32"/>
        <v>#VALUE!</v>
      </c>
      <c r="I209" s="25">
        <f t="shared" si="38"/>
        <v>-305.00000000000415</v>
      </c>
      <c r="J209" s="25" t="e">
        <f t="shared" si="39"/>
        <v>#VALUE!</v>
      </c>
    </row>
    <row r="210" spans="1:10" x14ac:dyDescent="0.25">
      <c r="A210" s="25">
        <f t="shared" si="40"/>
        <v>-8.0400000000000418</v>
      </c>
      <c r="B210" s="25">
        <f t="shared" ca="1" si="33"/>
        <v>-9.604249516445662E-2</v>
      </c>
      <c r="C210" s="25" t="e">
        <f t="shared" si="34"/>
        <v>#VALUE!</v>
      </c>
      <c r="D210" s="74" t="e">
        <f t="shared" si="35"/>
        <v>#VALUE!</v>
      </c>
      <c r="E210" s="25" t="e">
        <f t="shared" si="36"/>
        <v>#VALUE!</v>
      </c>
      <c r="F210" s="25" t="e">
        <f t="shared" ca="1" si="37"/>
        <v>#VALUE!</v>
      </c>
      <c r="G210" s="25"/>
      <c r="H210" s="25" t="e">
        <f t="shared" si="32"/>
        <v>#VALUE!</v>
      </c>
      <c r="I210" s="25">
        <f t="shared" si="38"/>
        <v>-304.00000000000421</v>
      </c>
      <c r="J210" s="25" t="e">
        <f t="shared" si="39"/>
        <v>#VALUE!</v>
      </c>
    </row>
    <row r="211" spans="1:10" x14ac:dyDescent="0.25">
      <c r="A211" s="25">
        <f t="shared" si="40"/>
        <v>-8.030000000000042</v>
      </c>
      <c r="B211" s="25">
        <f t="shared" ca="1" si="33"/>
        <v>-0.15938632041174053</v>
      </c>
      <c r="C211" s="25" t="e">
        <f t="shared" si="34"/>
        <v>#VALUE!</v>
      </c>
      <c r="D211" s="74" t="e">
        <f t="shared" si="35"/>
        <v>#VALUE!</v>
      </c>
      <c r="E211" s="25" t="e">
        <f t="shared" si="36"/>
        <v>#VALUE!</v>
      </c>
      <c r="F211" s="25" t="e">
        <f t="shared" ca="1" si="37"/>
        <v>#VALUE!</v>
      </c>
      <c r="G211" s="25"/>
      <c r="H211" s="25" t="e">
        <f t="shared" si="32"/>
        <v>#VALUE!</v>
      </c>
      <c r="I211" s="25">
        <f t="shared" si="38"/>
        <v>-303.00000000000421</v>
      </c>
      <c r="J211" s="25" t="e">
        <f t="shared" si="39"/>
        <v>#VALUE!</v>
      </c>
    </row>
    <row r="212" spans="1:10" x14ac:dyDescent="0.25">
      <c r="A212" s="25">
        <f t="shared" si="40"/>
        <v>-8.0200000000000422</v>
      </c>
      <c r="B212" s="25">
        <f t="shared" ca="1" si="33"/>
        <v>-0.10433649937260969</v>
      </c>
      <c r="C212" s="25" t="e">
        <f t="shared" si="34"/>
        <v>#VALUE!</v>
      </c>
      <c r="D212" s="74" t="e">
        <f t="shared" si="35"/>
        <v>#VALUE!</v>
      </c>
      <c r="E212" s="25" t="e">
        <f t="shared" si="36"/>
        <v>#VALUE!</v>
      </c>
      <c r="F212" s="25" t="e">
        <f t="shared" ca="1" si="37"/>
        <v>#VALUE!</v>
      </c>
      <c r="G212" s="25"/>
      <c r="H212" s="25" t="e">
        <f t="shared" si="32"/>
        <v>#VALUE!</v>
      </c>
      <c r="I212" s="25">
        <f t="shared" si="38"/>
        <v>-302.00000000000421</v>
      </c>
      <c r="J212" s="25" t="e">
        <f t="shared" si="39"/>
        <v>#VALUE!</v>
      </c>
    </row>
    <row r="213" spans="1:10" x14ac:dyDescent="0.25">
      <c r="A213" s="25">
        <f t="shared" si="40"/>
        <v>-8.0100000000000424</v>
      </c>
      <c r="B213" s="25">
        <f t="shared" ca="1" si="33"/>
        <v>-7.5058835075779012E-2</v>
      </c>
      <c r="C213" s="25" t="e">
        <f t="shared" si="34"/>
        <v>#VALUE!</v>
      </c>
      <c r="D213" s="74" t="e">
        <f t="shared" si="35"/>
        <v>#VALUE!</v>
      </c>
      <c r="E213" s="25" t="e">
        <f t="shared" si="36"/>
        <v>#VALUE!</v>
      </c>
      <c r="F213" s="25" t="e">
        <f t="shared" ca="1" si="37"/>
        <v>#VALUE!</v>
      </c>
      <c r="G213" s="25"/>
      <c r="H213" s="25" t="e">
        <f t="shared" si="32"/>
        <v>#VALUE!</v>
      </c>
      <c r="I213" s="25">
        <f t="shared" si="38"/>
        <v>-301.00000000000421</v>
      </c>
      <c r="J213" s="25" t="e">
        <f t="shared" si="39"/>
        <v>#VALUE!</v>
      </c>
    </row>
    <row r="214" spans="1:10" x14ac:dyDescent="0.25">
      <c r="A214" s="25">
        <f t="shared" si="40"/>
        <v>-8.0000000000000426</v>
      </c>
      <c r="B214" s="25">
        <f t="shared" ca="1" si="33"/>
        <v>-0.12260416403429486</v>
      </c>
      <c r="C214" s="25" t="e">
        <f t="shared" si="34"/>
        <v>#VALUE!</v>
      </c>
      <c r="D214" s="74" t="e">
        <f t="shared" si="35"/>
        <v>#VALUE!</v>
      </c>
      <c r="E214" s="25" t="e">
        <f t="shared" si="36"/>
        <v>#VALUE!</v>
      </c>
      <c r="F214" s="25" t="e">
        <f t="shared" ca="1" si="37"/>
        <v>#VALUE!</v>
      </c>
      <c r="G214" s="25"/>
      <c r="H214" s="25" t="e">
        <f t="shared" si="32"/>
        <v>#VALUE!</v>
      </c>
      <c r="I214" s="25">
        <f t="shared" si="38"/>
        <v>-300.00000000000426</v>
      </c>
      <c r="J214" s="25" t="e">
        <f t="shared" si="39"/>
        <v>#VALUE!</v>
      </c>
    </row>
    <row r="215" spans="1:10" x14ac:dyDescent="0.25">
      <c r="A215" s="25">
        <f t="shared" si="40"/>
        <v>-7.9900000000000428</v>
      </c>
      <c r="B215" s="25">
        <f t="shared" ca="1" si="33"/>
        <v>-0.14986191094479748</v>
      </c>
      <c r="C215" s="25" t="e">
        <f t="shared" si="34"/>
        <v>#VALUE!</v>
      </c>
      <c r="D215" s="74" t="e">
        <f t="shared" si="35"/>
        <v>#VALUE!</v>
      </c>
      <c r="E215" s="25" t="e">
        <f t="shared" si="36"/>
        <v>#VALUE!</v>
      </c>
      <c r="F215" s="25" t="e">
        <f t="shared" ca="1" si="37"/>
        <v>#VALUE!</v>
      </c>
      <c r="G215" s="25"/>
      <c r="H215" s="25" t="e">
        <f t="shared" si="32"/>
        <v>#VALUE!</v>
      </c>
      <c r="I215" s="25">
        <f t="shared" si="38"/>
        <v>-299.00000000000426</v>
      </c>
      <c r="J215" s="25" t="e">
        <f t="shared" si="39"/>
        <v>#VALUE!</v>
      </c>
    </row>
    <row r="216" spans="1:10" x14ac:dyDescent="0.25">
      <c r="A216" s="25">
        <f t="shared" si="40"/>
        <v>-7.9800000000000431</v>
      </c>
      <c r="B216" s="25">
        <f t="shared" ca="1" si="33"/>
        <v>4.4206140175961757E-2</v>
      </c>
      <c r="C216" s="25" t="e">
        <f t="shared" si="34"/>
        <v>#VALUE!</v>
      </c>
      <c r="D216" s="74" t="e">
        <f t="shared" si="35"/>
        <v>#VALUE!</v>
      </c>
      <c r="E216" s="25" t="e">
        <f t="shared" si="36"/>
        <v>#VALUE!</v>
      </c>
      <c r="F216" s="25" t="e">
        <f t="shared" ca="1" si="37"/>
        <v>#VALUE!</v>
      </c>
      <c r="G216" s="25"/>
      <c r="H216" s="25" t="e">
        <f t="shared" si="32"/>
        <v>#VALUE!</v>
      </c>
      <c r="I216" s="25">
        <f t="shared" si="38"/>
        <v>-298.00000000000432</v>
      </c>
      <c r="J216" s="25" t="e">
        <f t="shared" si="39"/>
        <v>#VALUE!</v>
      </c>
    </row>
    <row r="217" spans="1:10" x14ac:dyDescent="0.25">
      <c r="A217" s="25">
        <f t="shared" si="40"/>
        <v>-7.9700000000000433</v>
      </c>
      <c r="B217" s="25">
        <f t="shared" ca="1" si="33"/>
        <v>6.7322151825054813E-2</v>
      </c>
      <c r="C217" s="25" t="e">
        <f t="shared" si="34"/>
        <v>#VALUE!</v>
      </c>
      <c r="D217" s="74" t="e">
        <f t="shared" si="35"/>
        <v>#VALUE!</v>
      </c>
      <c r="E217" s="25" t="e">
        <f t="shared" si="36"/>
        <v>#VALUE!</v>
      </c>
      <c r="F217" s="25" t="e">
        <f t="shared" ca="1" si="37"/>
        <v>#VALUE!</v>
      </c>
      <c r="G217" s="25"/>
      <c r="H217" s="25" t="e">
        <f t="shared" si="32"/>
        <v>#VALUE!</v>
      </c>
      <c r="I217" s="25">
        <f t="shared" si="38"/>
        <v>-297.00000000000432</v>
      </c>
      <c r="J217" s="25" t="e">
        <f t="shared" si="39"/>
        <v>#VALUE!</v>
      </c>
    </row>
    <row r="218" spans="1:10" x14ac:dyDescent="0.25">
      <c r="A218" s="25">
        <f t="shared" si="40"/>
        <v>-7.9600000000000435</v>
      </c>
      <c r="B218" s="25">
        <f t="shared" ca="1" si="33"/>
        <v>-4.3344112964952601E-2</v>
      </c>
      <c r="C218" s="25" t="e">
        <f t="shared" si="34"/>
        <v>#VALUE!</v>
      </c>
      <c r="D218" s="74" t="e">
        <f t="shared" si="35"/>
        <v>#VALUE!</v>
      </c>
      <c r="E218" s="25" t="e">
        <f t="shared" si="36"/>
        <v>#VALUE!</v>
      </c>
      <c r="F218" s="25" t="e">
        <f t="shared" ca="1" si="37"/>
        <v>#VALUE!</v>
      </c>
      <c r="G218" s="25"/>
      <c r="H218" s="25" t="e">
        <f t="shared" si="32"/>
        <v>#VALUE!</v>
      </c>
      <c r="I218" s="25">
        <f t="shared" si="38"/>
        <v>-296.00000000000438</v>
      </c>
      <c r="J218" s="25" t="e">
        <f t="shared" si="39"/>
        <v>#VALUE!</v>
      </c>
    </row>
    <row r="219" spans="1:10" x14ac:dyDescent="0.25">
      <c r="A219" s="25">
        <f t="shared" si="40"/>
        <v>-7.9500000000000437</v>
      </c>
      <c r="B219" s="25">
        <f t="shared" ca="1" si="33"/>
        <v>-0.14000392991148933</v>
      </c>
      <c r="C219" s="25" t="e">
        <f t="shared" si="34"/>
        <v>#VALUE!</v>
      </c>
      <c r="D219" s="74" t="e">
        <f t="shared" si="35"/>
        <v>#VALUE!</v>
      </c>
      <c r="E219" s="25" t="e">
        <f t="shared" si="36"/>
        <v>#VALUE!</v>
      </c>
      <c r="F219" s="25" t="e">
        <f t="shared" ca="1" si="37"/>
        <v>#VALUE!</v>
      </c>
      <c r="G219" s="25"/>
      <c r="H219" s="25" t="e">
        <f t="shared" si="32"/>
        <v>#VALUE!</v>
      </c>
      <c r="I219" s="25">
        <f t="shared" si="38"/>
        <v>-295.00000000000438</v>
      </c>
      <c r="J219" s="25" t="e">
        <f t="shared" si="39"/>
        <v>#VALUE!</v>
      </c>
    </row>
    <row r="220" spans="1:10" x14ac:dyDescent="0.25">
      <c r="A220" s="25">
        <f t="shared" si="40"/>
        <v>-7.9400000000000439</v>
      </c>
      <c r="B220" s="25">
        <f t="shared" ca="1" si="33"/>
        <v>-3.5015302456980452E-2</v>
      </c>
      <c r="C220" s="25" t="e">
        <f t="shared" si="34"/>
        <v>#VALUE!</v>
      </c>
      <c r="D220" s="74" t="e">
        <f t="shared" si="35"/>
        <v>#VALUE!</v>
      </c>
      <c r="E220" s="25" t="e">
        <f t="shared" si="36"/>
        <v>#VALUE!</v>
      </c>
      <c r="F220" s="25" t="e">
        <f t="shared" ca="1" si="37"/>
        <v>#VALUE!</v>
      </c>
      <c r="G220" s="25"/>
      <c r="H220" s="25" t="e">
        <f t="shared" si="32"/>
        <v>#VALUE!</v>
      </c>
      <c r="I220" s="25">
        <f t="shared" si="38"/>
        <v>-294.00000000000443</v>
      </c>
      <c r="J220" s="25" t="e">
        <f t="shared" si="39"/>
        <v>#VALUE!</v>
      </c>
    </row>
    <row r="221" spans="1:10" x14ac:dyDescent="0.25">
      <c r="A221" s="25">
        <f t="shared" si="40"/>
        <v>-7.9300000000000441</v>
      </c>
      <c r="B221" s="25">
        <f t="shared" ca="1" si="33"/>
        <v>-8.0627261674910133E-3</v>
      </c>
      <c r="C221" s="25" t="e">
        <f t="shared" si="34"/>
        <v>#VALUE!</v>
      </c>
      <c r="D221" s="74" t="e">
        <f t="shared" si="35"/>
        <v>#VALUE!</v>
      </c>
      <c r="E221" s="25" t="e">
        <f t="shared" si="36"/>
        <v>#VALUE!</v>
      </c>
      <c r="F221" s="25" t="e">
        <f t="shared" ca="1" si="37"/>
        <v>#VALUE!</v>
      </c>
      <c r="G221" s="25"/>
      <c r="H221" s="25" t="e">
        <f t="shared" si="32"/>
        <v>#VALUE!</v>
      </c>
      <c r="I221" s="25">
        <f t="shared" si="38"/>
        <v>-293.00000000000443</v>
      </c>
      <c r="J221" s="25" t="e">
        <f t="shared" si="39"/>
        <v>#VALUE!</v>
      </c>
    </row>
    <row r="222" spans="1:10" x14ac:dyDescent="0.25">
      <c r="A222" s="25">
        <f t="shared" si="40"/>
        <v>-7.9200000000000443</v>
      </c>
      <c r="B222" s="25">
        <f t="shared" ca="1" si="33"/>
        <v>-8.9636331304002795E-2</v>
      </c>
      <c r="C222" s="25" t="e">
        <f t="shared" si="34"/>
        <v>#VALUE!</v>
      </c>
      <c r="D222" s="74" t="e">
        <f t="shared" si="35"/>
        <v>#VALUE!</v>
      </c>
      <c r="E222" s="25" t="e">
        <f t="shared" si="36"/>
        <v>#VALUE!</v>
      </c>
      <c r="F222" s="25" t="e">
        <f t="shared" ca="1" si="37"/>
        <v>#VALUE!</v>
      </c>
      <c r="G222" s="25"/>
      <c r="H222" s="25" t="e">
        <f t="shared" ref="H222:H285" si="41">IF(PeakShape=$O$3,C222,IF(PeakShape=O224,D222,E222))</f>
        <v>#VALUE!</v>
      </c>
      <c r="I222" s="25">
        <f t="shared" si="38"/>
        <v>-292.00000000000443</v>
      </c>
      <c r="J222" s="25" t="e">
        <f t="shared" si="39"/>
        <v>#VALUE!</v>
      </c>
    </row>
    <row r="223" spans="1:10" x14ac:dyDescent="0.25">
      <c r="A223" s="25">
        <f t="shared" si="40"/>
        <v>-7.9100000000000446</v>
      </c>
      <c r="B223" s="25">
        <f t="shared" ca="1" si="33"/>
        <v>5.8636757304335069E-2</v>
      </c>
      <c r="C223" s="25" t="e">
        <f t="shared" si="34"/>
        <v>#VALUE!</v>
      </c>
      <c r="D223" s="74" t="e">
        <f t="shared" si="35"/>
        <v>#VALUE!</v>
      </c>
      <c r="E223" s="25" t="e">
        <f t="shared" si="36"/>
        <v>#VALUE!</v>
      </c>
      <c r="F223" s="25" t="e">
        <f t="shared" ca="1" si="37"/>
        <v>#VALUE!</v>
      </c>
      <c r="G223" s="25"/>
      <c r="H223" s="25" t="e">
        <f t="shared" si="41"/>
        <v>#VALUE!</v>
      </c>
      <c r="I223" s="25">
        <f t="shared" si="38"/>
        <v>-291.00000000000443</v>
      </c>
      <c r="J223" s="25" t="e">
        <f t="shared" si="39"/>
        <v>#VALUE!</v>
      </c>
    </row>
    <row r="224" spans="1:10" x14ac:dyDescent="0.25">
      <c r="A224" s="25">
        <f t="shared" si="40"/>
        <v>-7.9000000000000448</v>
      </c>
      <c r="B224" s="25">
        <f t="shared" ca="1" si="33"/>
        <v>0.10360200529723995</v>
      </c>
      <c r="C224" s="25" t="e">
        <f t="shared" si="34"/>
        <v>#VALUE!</v>
      </c>
      <c r="D224" s="74" t="e">
        <f t="shared" si="35"/>
        <v>#VALUE!</v>
      </c>
      <c r="E224" s="25" t="e">
        <f t="shared" si="36"/>
        <v>#VALUE!</v>
      </c>
      <c r="F224" s="25" t="e">
        <f t="shared" ca="1" si="37"/>
        <v>#VALUE!</v>
      </c>
      <c r="G224" s="25"/>
      <c r="H224" s="25" t="e">
        <f t="shared" si="41"/>
        <v>#VALUE!</v>
      </c>
      <c r="I224" s="25">
        <f t="shared" si="38"/>
        <v>-290.00000000000443</v>
      </c>
      <c r="J224" s="25" t="e">
        <f t="shared" si="39"/>
        <v>#VALUE!</v>
      </c>
    </row>
    <row r="225" spans="1:10" x14ac:dyDescent="0.25">
      <c r="A225" s="25">
        <f t="shared" si="40"/>
        <v>-7.890000000000045</v>
      </c>
      <c r="B225" s="25">
        <f t="shared" ca="1" si="33"/>
        <v>3.6401002562296052E-2</v>
      </c>
      <c r="C225" s="25" t="e">
        <f t="shared" si="34"/>
        <v>#VALUE!</v>
      </c>
      <c r="D225" s="74" t="e">
        <f t="shared" si="35"/>
        <v>#VALUE!</v>
      </c>
      <c r="E225" s="25" t="e">
        <f t="shared" si="36"/>
        <v>#VALUE!</v>
      </c>
      <c r="F225" s="25" t="e">
        <f t="shared" ca="1" si="37"/>
        <v>#VALUE!</v>
      </c>
      <c r="G225" s="25"/>
      <c r="H225" s="25" t="e">
        <f t="shared" si="41"/>
        <v>#VALUE!</v>
      </c>
      <c r="I225" s="25">
        <f t="shared" si="38"/>
        <v>-289.00000000000449</v>
      </c>
      <c r="J225" s="25" t="e">
        <f t="shared" si="39"/>
        <v>#VALUE!</v>
      </c>
    </row>
    <row r="226" spans="1:10" x14ac:dyDescent="0.25">
      <c r="A226" s="25">
        <f t="shared" si="40"/>
        <v>-7.8800000000000452</v>
      </c>
      <c r="B226" s="25">
        <f t="shared" ca="1" si="33"/>
        <v>-0.10991673925874153</v>
      </c>
      <c r="C226" s="25" t="e">
        <f t="shared" si="34"/>
        <v>#VALUE!</v>
      </c>
      <c r="D226" s="74" t="e">
        <f t="shared" si="35"/>
        <v>#VALUE!</v>
      </c>
      <c r="E226" s="25" t="e">
        <f t="shared" si="36"/>
        <v>#VALUE!</v>
      </c>
      <c r="F226" s="25" t="e">
        <f t="shared" ca="1" si="37"/>
        <v>#VALUE!</v>
      </c>
      <c r="G226" s="25"/>
      <c r="H226" s="25" t="e">
        <f t="shared" si="41"/>
        <v>#VALUE!</v>
      </c>
      <c r="I226" s="25">
        <f t="shared" si="38"/>
        <v>-288.00000000000449</v>
      </c>
      <c r="J226" s="25" t="e">
        <f t="shared" si="39"/>
        <v>#VALUE!</v>
      </c>
    </row>
    <row r="227" spans="1:10" x14ac:dyDescent="0.25">
      <c r="A227" s="25">
        <f t="shared" si="40"/>
        <v>-7.8700000000000454</v>
      </c>
      <c r="B227" s="25">
        <f t="shared" ca="1" si="33"/>
        <v>9.5953588907059809E-2</v>
      </c>
      <c r="C227" s="25" t="e">
        <f t="shared" si="34"/>
        <v>#VALUE!</v>
      </c>
      <c r="D227" s="74" t="e">
        <f t="shared" si="35"/>
        <v>#VALUE!</v>
      </c>
      <c r="E227" s="25" t="e">
        <f t="shared" si="36"/>
        <v>#VALUE!</v>
      </c>
      <c r="F227" s="25" t="e">
        <f t="shared" ca="1" si="37"/>
        <v>#VALUE!</v>
      </c>
      <c r="G227" s="25"/>
      <c r="H227" s="25" t="e">
        <f t="shared" si="41"/>
        <v>#VALUE!</v>
      </c>
      <c r="I227" s="25">
        <f t="shared" si="38"/>
        <v>-287.00000000000455</v>
      </c>
      <c r="J227" s="25" t="e">
        <f t="shared" si="39"/>
        <v>#VALUE!</v>
      </c>
    </row>
    <row r="228" spans="1:10" x14ac:dyDescent="0.25">
      <c r="A228" s="25">
        <f t="shared" si="40"/>
        <v>-7.8600000000000456</v>
      </c>
      <c r="B228" s="25">
        <f t="shared" ca="1" si="33"/>
        <v>-0.18223485269920647</v>
      </c>
      <c r="C228" s="25" t="e">
        <f t="shared" si="34"/>
        <v>#VALUE!</v>
      </c>
      <c r="D228" s="74" t="e">
        <f t="shared" si="35"/>
        <v>#VALUE!</v>
      </c>
      <c r="E228" s="25" t="e">
        <f t="shared" si="36"/>
        <v>#VALUE!</v>
      </c>
      <c r="F228" s="25" t="e">
        <f t="shared" ca="1" si="37"/>
        <v>#VALUE!</v>
      </c>
      <c r="G228" s="25"/>
      <c r="H228" s="25" t="e">
        <f t="shared" si="41"/>
        <v>#VALUE!</v>
      </c>
      <c r="I228" s="25">
        <f t="shared" si="38"/>
        <v>-286.00000000000455</v>
      </c>
      <c r="J228" s="25" t="e">
        <f t="shared" si="39"/>
        <v>#VALUE!</v>
      </c>
    </row>
    <row r="229" spans="1:10" x14ac:dyDescent="0.25">
      <c r="A229" s="25">
        <f t="shared" si="40"/>
        <v>-7.8500000000000458</v>
      </c>
      <c r="B229" s="25">
        <f t="shared" ca="1" si="33"/>
        <v>-5.2216024214387029E-2</v>
      </c>
      <c r="C229" s="25" t="e">
        <f t="shared" si="34"/>
        <v>#VALUE!</v>
      </c>
      <c r="D229" s="74" t="e">
        <f t="shared" si="35"/>
        <v>#VALUE!</v>
      </c>
      <c r="E229" s="25" t="e">
        <f t="shared" si="36"/>
        <v>#VALUE!</v>
      </c>
      <c r="F229" s="25" t="e">
        <f t="shared" ca="1" si="37"/>
        <v>#VALUE!</v>
      </c>
      <c r="G229" s="25"/>
      <c r="H229" s="25" t="e">
        <f t="shared" si="41"/>
        <v>#VALUE!</v>
      </c>
      <c r="I229" s="25">
        <f t="shared" si="38"/>
        <v>-285.0000000000046</v>
      </c>
      <c r="J229" s="25" t="e">
        <f t="shared" si="39"/>
        <v>#VALUE!</v>
      </c>
    </row>
    <row r="230" spans="1:10" x14ac:dyDescent="0.25">
      <c r="A230" s="25">
        <f t="shared" si="40"/>
        <v>-7.840000000000046</v>
      </c>
      <c r="B230" s="25">
        <f t="shared" ca="1" si="33"/>
        <v>-1.6925382859587307E-2</v>
      </c>
      <c r="C230" s="25" t="e">
        <f t="shared" si="34"/>
        <v>#VALUE!</v>
      </c>
      <c r="D230" s="74" t="e">
        <f t="shared" si="35"/>
        <v>#VALUE!</v>
      </c>
      <c r="E230" s="25" t="e">
        <f t="shared" si="36"/>
        <v>#VALUE!</v>
      </c>
      <c r="F230" s="25" t="e">
        <f t="shared" ca="1" si="37"/>
        <v>#VALUE!</v>
      </c>
      <c r="G230" s="25"/>
      <c r="H230" s="25" t="e">
        <f t="shared" si="41"/>
        <v>#VALUE!</v>
      </c>
      <c r="I230" s="25">
        <f t="shared" si="38"/>
        <v>-284.0000000000046</v>
      </c>
      <c r="J230" s="25" t="e">
        <f t="shared" si="39"/>
        <v>#VALUE!</v>
      </c>
    </row>
    <row r="231" spans="1:10" x14ac:dyDescent="0.25">
      <c r="A231" s="25">
        <f t="shared" si="40"/>
        <v>-7.8300000000000463</v>
      </c>
      <c r="B231" s="25">
        <f t="shared" ca="1" si="33"/>
        <v>0.10184810474469146</v>
      </c>
      <c r="C231" s="25" t="e">
        <f t="shared" si="34"/>
        <v>#VALUE!</v>
      </c>
      <c r="D231" s="74" t="e">
        <f t="shared" si="35"/>
        <v>#VALUE!</v>
      </c>
      <c r="E231" s="25" t="e">
        <f t="shared" si="36"/>
        <v>#VALUE!</v>
      </c>
      <c r="F231" s="25" t="e">
        <f t="shared" ca="1" si="37"/>
        <v>#VALUE!</v>
      </c>
      <c r="G231" s="25"/>
      <c r="H231" s="25" t="e">
        <f t="shared" si="41"/>
        <v>#VALUE!</v>
      </c>
      <c r="I231" s="25">
        <f t="shared" si="38"/>
        <v>-283.00000000000466</v>
      </c>
      <c r="J231" s="25" t="e">
        <f t="shared" si="39"/>
        <v>#VALUE!</v>
      </c>
    </row>
    <row r="232" spans="1:10" x14ac:dyDescent="0.25">
      <c r="A232" s="25">
        <f t="shared" si="40"/>
        <v>-7.8200000000000465</v>
      </c>
      <c r="B232" s="25">
        <f t="shared" ca="1" si="33"/>
        <v>-9.0420193744023325E-2</v>
      </c>
      <c r="C232" s="25" t="e">
        <f t="shared" si="34"/>
        <v>#VALUE!</v>
      </c>
      <c r="D232" s="74" t="e">
        <f t="shared" si="35"/>
        <v>#VALUE!</v>
      </c>
      <c r="E232" s="25" t="e">
        <f t="shared" si="36"/>
        <v>#VALUE!</v>
      </c>
      <c r="F232" s="25" t="e">
        <f t="shared" ca="1" si="37"/>
        <v>#VALUE!</v>
      </c>
      <c r="G232" s="25"/>
      <c r="H232" s="25" t="e">
        <f t="shared" si="41"/>
        <v>#VALUE!</v>
      </c>
      <c r="I232" s="25">
        <f t="shared" si="38"/>
        <v>-282.00000000000466</v>
      </c>
      <c r="J232" s="25" t="e">
        <f t="shared" si="39"/>
        <v>#VALUE!</v>
      </c>
    </row>
    <row r="233" spans="1:10" x14ac:dyDescent="0.25">
      <c r="A233" s="25">
        <f t="shared" si="40"/>
        <v>-7.8100000000000467</v>
      </c>
      <c r="B233" s="25">
        <f t="shared" ca="1" si="33"/>
        <v>4.1313542954033472E-2</v>
      </c>
      <c r="C233" s="25" t="e">
        <f t="shared" si="34"/>
        <v>#VALUE!</v>
      </c>
      <c r="D233" s="74" t="e">
        <f t="shared" si="35"/>
        <v>#VALUE!</v>
      </c>
      <c r="E233" s="25" t="e">
        <f t="shared" si="36"/>
        <v>#VALUE!</v>
      </c>
      <c r="F233" s="25" t="e">
        <f t="shared" ca="1" si="37"/>
        <v>#VALUE!</v>
      </c>
      <c r="G233" s="25"/>
      <c r="H233" s="25" t="e">
        <f t="shared" si="41"/>
        <v>#VALUE!</v>
      </c>
      <c r="I233" s="25">
        <f t="shared" si="38"/>
        <v>-281.00000000000466</v>
      </c>
      <c r="J233" s="25" t="e">
        <f t="shared" si="39"/>
        <v>#VALUE!</v>
      </c>
    </row>
    <row r="234" spans="1:10" x14ac:dyDescent="0.25">
      <c r="A234" s="25">
        <f t="shared" si="40"/>
        <v>-7.8000000000000469</v>
      </c>
      <c r="B234" s="25">
        <f t="shared" ca="1" si="33"/>
        <v>0.10012210554666805</v>
      </c>
      <c r="C234" s="25" t="e">
        <f t="shared" si="34"/>
        <v>#VALUE!</v>
      </c>
      <c r="D234" s="74" t="e">
        <f t="shared" si="35"/>
        <v>#VALUE!</v>
      </c>
      <c r="E234" s="25" t="e">
        <f t="shared" si="36"/>
        <v>#VALUE!</v>
      </c>
      <c r="F234" s="25" t="e">
        <f t="shared" ca="1" si="37"/>
        <v>#VALUE!</v>
      </c>
      <c r="G234" s="25"/>
      <c r="H234" s="25" t="e">
        <f t="shared" si="41"/>
        <v>#VALUE!</v>
      </c>
      <c r="I234" s="25">
        <f t="shared" si="38"/>
        <v>-280.00000000000466</v>
      </c>
      <c r="J234" s="25" t="e">
        <f t="shared" si="39"/>
        <v>#VALUE!</v>
      </c>
    </row>
    <row r="235" spans="1:10" x14ac:dyDescent="0.25">
      <c r="A235" s="25">
        <f t="shared" si="40"/>
        <v>-7.7900000000000471</v>
      </c>
      <c r="B235" s="25">
        <f t="shared" ca="1" si="33"/>
        <v>-6.0123555987353465E-2</v>
      </c>
      <c r="C235" s="25" t="e">
        <f t="shared" si="34"/>
        <v>#VALUE!</v>
      </c>
      <c r="D235" s="74" t="e">
        <f t="shared" si="35"/>
        <v>#VALUE!</v>
      </c>
      <c r="E235" s="25" t="e">
        <f t="shared" si="36"/>
        <v>#VALUE!</v>
      </c>
      <c r="F235" s="25" t="e">
        <f t="shared" ca="1" si="37"/>
        <v>#VALUE!</v>
      </c>
      <c r="G235" s="25"/>
      <c r="H235" s="25" t="e">
        <f t="shared" si="41"/>
        <v>#VALUE!</v>
      </c>
      <c r="I235" s="25">
        <f t="shared" si="38"/>
        <v>-279.00000000000472</v>
      </c>
      <c r="J235" s="25" t="e">
        <f t="shared" si="39"/>
        <v>#VALUE!</v>
      </c>
    </row>
    <row r="236" spans="1:10" x14ac:dyDescent="0.25">
      <c r="A236" s="25">
        <f t="shared" si="40"/>
        <v>-7.7800000000000473</v>
      </c>
      <c r="B236" s="25">
        <f t="shared" ca="1" si="33"/>
        <v>8.614398207530001E-2</v>
      </c>
      <c r="C236" s="25" t="e">
        <f t="shared" si="34"/>
        <v>#VALUE!</v>
      </c>
      <c r="D236" s="74" t="e">
        <f t="shared" si="35"/>
        <v>#VALUE!</v>
      </c>
      <c r="E236" s="25" t="e">
        <f t="shared" si="36"/>
        <v>#VALUE!</v>
      </c>
      <c r="F236" s="25" t="e">
        <f t="shared" ca="1" si="37"/>
        <v>#VALUE!</v>
      </c>
      <c r="G236" s="25"/>
      <c r="H236" s="25" t="e">
        <f t="shared" si="41"/>
        <v>#VALUE!</v>
      </c>
      <c r="I236" s="25">
        <f t="shared" si="38"/>
        <v>-278.00000000000472</v>
      </c>
      <c r="J236" s="25" t="e">
        <f t="shared" si="39"/>
        <v>#VALUE!</v>
      </c>
    </row>
    <row r="237" spans="1:10" x14ac:dyDescent="0.25">
      <c r="A237" s="25">
        <f t="shared" si="40"/>
        <v>-7.7700000000000475</v>
      </c>
      <c r="B237" s="25">
        <f t="shared" ca="1" si="33"/>
        <v>7.6373507410339686E-2</v>
      </c>
      <c r="C237" s="25" t="e">
        <f t="shared" si="34"/>
        <v>#VALUE!</v>
      </c>
      <c r="D237" s="74" t="e">
        <f t="shared" si="35"/>
        <v>#VALUE!</v>
      </c>
      <c r="E237" s="25" t="e">
        <f t="shared" si="36"/>
        <v>#VALUE!</v>
      </c>
      <c r="F237" s="25" t="e">
        <f t="shared" ca="1" si="37"/>
        <v>#VALUE!</v>
      </c>
      <c r="G237" s="25"/>
      <c r="H237" s="25" t="e">
        <f t="shared" si="41"/>
        <v>#VALUE!</v>
      </c>
      <c r="I237" s="25">
        <f t="shared" si="38"/>
        <v>-277.00000000000477</v>
      </c>
      <c r="J237" s="25" t="e">
        <f t="shared" si="39"/>
        <v>#VALUE!</v>
      </c>
    </row>
    <row r="238" spans="1:10" x14ac:dyDescent="0.25">
      <c r="A238" s="25">
        <f t="shared" si="40"/>
        <v>-7.7600000000000477</v>
      </c>
      <c r="B238" s="25">
        <f t="shared" ca="1" si="33"/>
        <v>-0.1364311116319874</v>
      </c>
      <c r="C238" s="25" t="e">
        <f t="shared" si="34"/>
        <v>#VALUE!</v>
      </c>
      <c r="D238" s="74" t="e">
        <f t="shared" si="35"/>
        <v>#VALUE!</v>
      </c>
      <c r="E238" s="25" t="e">
        <f t="shared" si="36"/>
        <v>#VALUE!</v>
      </c>
      <c r="F238" s="25" t="e">
        <f t="shared" ca="1" si="37"/>
        <v>#VALUE!</v>
      </c>
      <c r="G238" s="25"/>
      <c r="H238" s="25" t="e">
        <f t="shared" si="41"/>
        <v>#VALUE!</v>
      </c>
      <c r="I238" s="25">
        <f t="shared" si="38"/>
        <v>-276.00000000000477</v>
      </c>
      <c r="J238" s="25" t="e">
        <f t="shared" si="39"/>
        <v>#VALUE!</v>
      </c>
    </row>
    <row r="239" spans="1:10" x14ac:dyDescent="0.25">
      <c r="A239" s="25">
        <f t="shared" si="40"/>
        <v>-7.750000000000048</v>
      </c>
      <c r="B239" s="25">
        <f t="shared" ca="1" si="33"/>
        <v>9.776931958997255E-2</v>
      </c>
      <c r="C239" s="25" t="e">
        <f t="shared" si="34"/>
        <v>#VALUE!</v>
      </c>
      <c r="D239" s="74" t="e">
        <f t="shared" si="35"/>
        <v>#VALUE!</v>
      </c>
      <c r="E239" s="25" t="e">
        <f t="shared" si="36"/>
        <v>#VALUE!</v>
      </c>
      <c r="F239" s="25" t="e">
        <f t="shared" ca="1" si="37"/>
        <v>#VALUE!</v>
      </c>
      <c r="G239" s="25"/>
      <c r="H239" s="25" t="e">
        <f t="shared" si="41"/>
        <v>#VALUE!</v>
      </c>
      <c r="I239" s="25">
        <f t="shared" si="38"/>
        <v>-275.00000000000477</v>
      </c>
      <c r="J239" s="25" t="e">
        <f t="shared" si="39"/>
        <v>#VALUE!</v>
      </c>
    </row>
    <row r="240" spans="1:10" x14ac:dyDescent="0.25">
      <c r="A240" s="25">
        <f t="shared" si="40"/>
        <v>-7.7400000000000482</v>
      </c>
      <c r="B240" s="25">
        <f t="shared" ca="1" si="33"/>
        <v>-2.2827938608240256E-2</v>
      </c>
      <c r="C240" s="25" t="e">
        <f t="shared" si="34"/>
        <v>#VALUE!</v>
      </c>
      <c r="D240" s="74" t="e">
        <f t="shared" si="35"/>
        <v>#VALUE!</v>
      </c>
      <c r="E240" s="25" t="e">
        <f t="shared" si="36"/>
        <v>#VALUE!</v>
      </c>
      <c r="F240" s="25" t="e">
        <f t="shared" ca="1" si="37"/>
        <v>#VALUE!</v>
      </c>
      <c r="G240" s="25"/>
      <c r="H240" s="25" t="e">
        <f t="shared" si="41"/>
        <v>#VALUE!</v>
      </c>
      <c r="I240" s="25">
        <f t="shared" si="38"/>
        <v>-274.00000000000483</v>
      </c>
      <c r="J240" s="25" t="e">
        <f t="shared" si="39"/>
        <v>#VALUE!</v>
      </c>
    </row>
    <row r="241" spans="1:10" x14ac:dyDescent="0.25">
      <c r="A241" s="25">
        <f t="shared" si="40"/>
        <v>-7.7300000000000484</v>
      </c>
      <c r="B241" s="25">
        <f t="shared" ca="1" si="33"/>
        <v>-0.11109824326682542</v>
      </c>
      <c r="C241" s="25" t="e">
        <f t="shared" si="34"/>
        <v>#VALUE!</v>
      </c>
      <c r="D241" s="74" t="e">
        <f t="shared" si="35"/>
        <v>#VALUE!</v>
      </c>
      <c r="E241" s="25" t="e">
        <f t="shared" si="36"/>
        <v>#VALUE!</v>
      </c>
      <c r="F241" s="25" t="e">
        <f t="shared" ca="1" si="37"/>
        <v>#VALUE!</v>
      </c>
      <c r="G241" s="25"/>
      <c r="H241" s="25" t="e">
        <f t="shared" si="41"/>
        <v>#VALUE!</v>
      </c>
      <c r="I241" s="25">
        <f t="shared" si="38"/>
        <v>-273.00000000000483</v>
      </c>
      <c r="J241" s="25" t="e">
        <f t="shared" si="39"/>
        <v>#VALUE!</v>
      </c>
    </row>
    <row r="242" spans="1:10" x14ac:dyDescent="0.25">
      <c r="A242" s="25">
        <f t="shared" si="40"/>
        <v>-7.7200000000000486</v>
      </c>
      <c r="B242" s="25">
        <f t="shared" ca="1" si="33"/>
        <v>6.7157448475697141E-3</v>
      </c>
      <c r="C242" s="25" t="e">
        <f t="shared" si="34"/>
        <v>#VALUE!</v>
      </c>
      <c r="D242" s="74" t="e">
        <f t="shared" si="35"/>
        <v>#VALUE!</v>
      </c>
      <c r="E242" s="25" t="e">
        <f t="shared" si="36"/>
        <v>#VALUE!</v>
      </c>
      <c r="F242" s="25" t="e">
        <f t="shared" ca="1" si="37"/>
        <v>#VALUE!</v>
      </c>
      <c r="G242" s="25"/>
      <c r="H242" s="25" t="e">
        <f t="shared" si="41"/>
        <v>#VALUE!</v>
      </c>
      <c r="I242" s="25">
        <f t="shared" si="38"/>
        <v>-272.00000000000489</v>
      </c>
      <c r="J242" s="25" t="e">
        <f t="shared" si="39"/>
        <v>#VALUE!</v>
      </c>
    </row>
    <row r="243" spans="1:10" x14ac:dyDescent="0.25">
      <c r="A243" s="25">
        <f t="shared" si="40"/>
        <v>-7.7100000000000488</v>
      </c>
      <c r="B243" s="25">
        <f t="shared" ca="1" si="33"/>
        <v>-6.7042742115613245E-3</v>
      </c>
      <c r="C243" s="25" t="e">
        <f t="shared" si="34"/>
        <v>#VALUE!</v>
      </c>
      <c r="D243" s="74" t="e">
        <f t="shared" si="35"/>
        <v>#VALUE!</v>
      </c>
      <c r="E243" s="25" t="e">
        <f t="shared" si="36"/>
        <v>#VALUE!</v>
      </c>
      <c r="F243" s="25" t="e">
        <f t="shared" ca="1" si="37"/>
        <v>#VALUE!</v>
      </c>
      <c r="G243" s="25"/>
      <c r="H243" s="25" t="e">
        <f t="shared" si="41"/>
        <v>#VALUE!</v>
      </c>
      <c r="I243" s="25">
        <f t="shared" si="38"/>
        <v>-271.00000000000489</v>
      </c>
      <c r="J243" s="25" t="e">
        <f t="shared" si="39"/>
        <v>#VALUE!</v>
      </c>
    </row>
    <row r="244" spans="1:10" x14ac:dyDescent="0.25">
      <c r="A244" s="25">
        <f t="shared" si="40"/>
        <v>-7.700000000000049</v>
      </c>
      <c r="B244" s="25">
        <f t="shared" ca="1" si="33"/>
        <v>1.8554892540910944E-2</v>
      </c>
      <c r="C244" s="25" t="e">
        <f t="shared" si="34"/>
        <v>#VALUE!</v>
      </c>
      <c r="D244" s="74" t="e">
        <f t="shared" si="35"/>
        <v>#VALUE!</v>
      </c>
      <c r="E244" s="25" t="e">
        <f t="shared" si="36"/>
        <v>#VALUE!</v>
      </c>
      <c r="F244" s="25" t="e">
        <f t="shared" ca="1" si="37"/>
        <v>#VALUE!</v>
      </c>
      <c r="G244" s="25"/>
      <c r="H244" s="25" t="e">
        <f t="shared" si="41"/>
        <v>#VALUE!</v>
      </c>
      <c r="I244" s="25">
        <f t="shared" si="38"/>
        <v>-270.00000000000489</v>
      </c>
      <c r="J244" s="25" t="e">
        <f t="shared" si="39"/>
        <v>#VALUE!</v>
      </c>
    </row>
    <row r="245" spans="1:10" x14ac:dyDescent="0.25">
      <c r="A245" s="25">
        <f t="shared" si="40"/>
        <v>-7.6900000000000492</v>
      </c>
      <c r="B245" s="25">
        <f t="shared" ca="1" si="33"/>
        <v>0.12426026933438965</v>
      </c>
      <c r="C245" s="25" t="e">
        <f t="shared" si="34"/>
        <v>#VALUE!</v>
      </c>
      <c r="D245" s="74" t="e">
        <f t="shared" si="35"/>
        <v>#VALUE!</v>
      </c>
      <c r="E245" s="25" t="e">
        <f t="shared" si="36"/>
        <v>#VALUE!</v>
      </c>
      <c r="F245" s="25" t="e">
        <f t="shared" ca="1" si="37"/>
        <v>#VALUE!</v>
      </c>
      <c r="G245" s="25"/>
      <c r="H245" s="25" t="e">
        <f t="shared" si="41"/>
        <v>#VALUE!</v>
      </c>
      <c r="I245" s="25">
        <f t="shared" si="38"/>
        <v>-269.00000000000489</v>
      </c>
      <c r="J245" s="25" t="e">
        <f t="shared" si="39"/>
        <v>#VALUE!</v>
      </c>
    </row>
    <row r="246" spans="1:10" x14ac:dyDescent="0.25">
      <c r="A246" s="25">
        <f t="shared" si="40"/>
        <v>-7.6800000000000495</v>
      </c>
      <c r="B246" s="25">
        <f t="shared" ca="1" si="33"/>
        <v>6.2532761435246137E-2</v>
      </c>
      <c r="C246" s="25" t="e">
        <f t="shared" si="34"/>
        <v>#VALUE!</v>
      </c>
      <c r="D246" s="74" t="e">
        <f t="shared" si="35"/>
        <v>#VALUE!</v>
      </c>
      <c r="E246" s="25" t="e">
        <f t="shared" si="36"/>
        <v>#VALUE!</v>
      </c>
      <c r="F246" s="25" t="e">
        <f t="shared" ca="1" si="37"/>
        <v>#VALUE!</v>
      </c>
      <c r="G246" s="25"/>
      <c r="H246" s="25" t="e">
        <f t="shared" si="41"/>
        <v>#VALUE!</v>
      </c>
      <c r="I246" s="25">
        <f t="shared" si="38"/>
        <v>-268.00000000000495</v>
      </c>
      <c r="J246" s="25" t="e">
        <f t="shared" si="39"/>
        <v>#VALUE!</v>
      </c>
    </row>
    <row r="247" spans="1:10" x14ac:dyDescent="0.25">
      <c r="A247" s="25">
        <f t="shared" si="40"/>
        <v>-7.6700000000000497</v>
      </c>
      <c r="B247" s="25">
        <f t="shared" ca="1" si="33"/>
        <v>0.10903707934094664</v>
      </c>
      <c r="C247" s="25" t="e">
        <f t="shared" si="34"/>
        <v>#VALUE!</v>
      </c>
      <c r="D247" s="74" t="e">
        <f t="shared" si="35"/>
        <v>#VALUE!</v>
      </c>
      <c r="E247" s="25" t="e">
        <f t="shared" si="36"/>
        <v>#VALUE!</v>
      </c>
      <c r="F247" s="25" t="e">
        <f t="shared" ca="1" si="37"/>
        <v>#VALUE!</v>
      </c>
      <c r="G247" s="25"/>
      <c r="H247" s="25" t="e">
        <f t="shared" si="41"/>
        <v>#VALUE!</v>
      </c>
      <c r="I247" s="25">
        <f t="shared" si="38"/>
        <v>-267.00000000000495</v>
      </c>
      <c r="J247" s="25" t="e">
        <f t="shared" si="39"/>
        <v>#VALUE!</v>
      </c>
    </row>
    <row r="248" spans="1:10" x14ac:dyDescent="0.25">
      <c r="A248" s="25">
        <f t="shared" si="40"/>
        <v>-7.6600000000000499</v>
      </c>
      <c r="B248" s="25">
        <f t="shared" ca="1" si="33"/>
        <v>-0.17938642431590146</v>
      </c>
      <c r="C248" s="25" t="e">
        <f t="shared" si="34"/>
        <v>#VALUE!</v>
      </c>
      <c r="D248" s="74" t="e">
        <f t="shared" si="35"/>
        <v>#VALUE!</v>
      </c>
      <c r="E248" s="25" t="e">
        <f t="shared" si="36"/>
        <v>#VALUE!</v>
      </c>
      <c r="F248" s="25" t="e">
        <f t="shared" ca="1" si="37"/>
        <v>#VALUE!</v>
      </c>
      <c r="G248" s="25"/>
      <c r="H248" s="25" t="e">
        <f t="shared" si="41"/>
        <v>#VALUE!</v>
      </c>
      <c r="I248" s="25">
        <f t="shared" si="38"/>
        <v>-266.000000000005</v>
      </c>
      <c r="J248" s="25" t="e">
        <f t="shared" si="39"/>
        <v>#VALUE!</v>
      </c>
    </row>
    <row r="249" spans="1:10" x14ac:dyDescent="0.25">
      <c r="A249" s="25">
        <f t="shared" si="40"/>
        <v>-7.6500000000000501</v>
      </c>
      <c r="B249" s="25">
        <f t="shared" ca="1" si="33"/>
        <v>7.8797592456759755E-2</v>
      </c>
      <c r="C249" s="25" t="e">
        <f t="shared" si="34"/>
        <v>#VALUE!</v>
      </c>
      <c r="D249" s="74" t="e">
        <f t="shared" si="35"/>
        <v>#VALUE!</v>
      </c>
      <c r="E249" s="25" t="e">
        <f t="shared" si="36"/>
        <v>#VALUE!</v>
      </c>
      <c r="F249" s="25" t="e">
        <f t="shared" ca="1" si="37"/>
        <v>#VALUE!</v>
      </c>
      <c r="G249" s="25"/>
      <c r="H249" s="25" t="e">
        <f t="shared" si="41"/>
        <v>#VALUE!</v>
      </c>
      <c r="I249" s="25">
        <f t="shared" si="38"/>
        <v>-265.000000000005</v>
      </c>
      <c r="J249" s="25" t="e">
        <f t="shared" si="39"/>
        <v>#VALUE!</v>
      </c>
    </row>
    <row r="250" spans="1:10" x14ac:dyDescent="0.25">
      <c r="A250" s="25">
        <f t="shared" si="40"/>
        <v>-7.6400000000000503</v>
      </c>
      <c r="B250" s="25">
        <f t="shared" ca="1" si="33"/>
        <v>-0.18068322080635943</v>
      </c>
      <c r="C250" s="25" t="e">
        <f t="shared" si="34"/>
        <v>#VALUE!</v>
      </c>
      <c r="D250" s="74" t="e">
        <f t="shared" si="35"/>
        <v>#VALUE!</v>
      </c>
      <c r="E250" s="25" t="e">
        <f t="shared" si="36"/>
        <v>#VALUE!</v>
      </c>
      <c r="F250" s="25" t="e">
        <f t="shared" ca="1" si="37"/>
        <v>#VALUE!</v>
      </c>
      <c r="G250" s="25"/>
      <c r="H250" s="25" t="e">
        <f t="shared" si="41"/>
        <v>#VALUE!</v>
      </c>
      <c r="I250" s="25">
        <f t="shared" si="38"/>
        <v>-264.00000000000506</v>
      </c>
      <c r="J250" s="25" t="e">
        <f t="shared" si="39"/>
        <v>#VALUE!</v>
      </c>
    </row>
    <row r="251" spans="1:10" x14ac:dyDescent="0.25">
      <c r="A251" s="25">
        <f t="shared" si="40"/>
        <v>-7.6300000000000505</v>
      </c>
      <c r="B251" s="25">
        <f t="shared" ca="1" si="33"/>
        <v>-0.15206822014697141</v>
      </c>
      <c r="C251" s="25" t="e">
        <f t="shared" si="34"/>
        <v>#VALUE!</v>
      </c>
      <c r="D251" s="74" t="e">
        <f t="shared" si="35"/>
        <v>#VALUE!</v>
      </c>
      <c r="E251" s="25" t="e">
        <f t="shared" si="36"/>
        <v>#VALUE!</v>
      </c>
      <c r="F251" s="25" t="e">
        <f t="shared" ca="1" si="37"/>
        <v>#VALUE!</v>
      </c>
      <c r="G251" s="25"/>
      <c r="H251" s="25" t="e">
        <f t="shared" si="41"/>
        <v>#VALUE!</v>
      </c>
      <c r="I251" s="25">
        <f t="shared" si="38"/>
        <v>-263.00000000000506</v>
      </c>
      <c r="J251" s="25" t="e">
        <f t="shared" si="39"/>
        <v>#VALUE!</v>
      </c>
    </row>
    <row r="252" spans="1:10" x14ac:dyDescent="0.25">
      <c r="A252" s="25">
        <f t="shared" si="40"/>
        <v>-7.6200000000000507</v>
      </c>
      <c r="B252" s="25">
        <f t="shared" ca="1" si="33"/>
        <v>-7.0333777730338193E-2</v>
      </c>
      <c r="C252" s="25" t="e">
        <f t="shared" si="34"/>
        <v>#VALUE!</v>
      </c>
      <c r="D252" s="74" t="e">
        <f t="shared" si="35"/>
        <v>#VALUE!</v>
      </c>
      <c r="E252" s="25" t="e">
        <f t="shared" si="36"/>
        <v>#VALUE!</v>
      </c>
      <c r="F252" s="25" t="e">
        <f t="shared" ca="1" si="37"/>
        <v>#VALUE!</v>
      </c>
      <c r="G252" s="25"/>
      <c r="H252" s="25" t="e">
        <f t="shared" si="41"/>
        <v>#VALUE!</v>
      </c>
      <c r="I252" s="25">
        <f t="shared" si="38"/>
        <v>-262.00000000000512</v>
      </c>
      <c r="J252" s="25" t="e">
        <f t="shared" si="39"/>
        <v>#VALUE!</v>
      </c>
    </row>
    <row r="253" spans="1:10" x14ac:dyDescent="0.25">
      <c r="A253" s="25">
        <f t="shared" si="40"/>
        <v>-7.6100000000000509</v>
      </c>
      <c r="B253" s="25">
        <f t="shared" ca="1" si="33"/>
        <v>8.5440553799916108E-2</v>
      </c>
      <c r="C253" s="25" t="e">
        <f t="shared" si="34"/>
        <v>#VALUE!</v>
      </c>
      <c r="D253" s="74" t="e">
        <f t="shared" si="35"/>
        <v>#VALUE!</v>
      </c>
      <c r="E253" s="25" t="e">
        <f t="shared" si="36"/>
        <v>#VALUE!</v>
      </c>
      <c r="F253" s="25" t="e">
        <f t="shared" ca="1" si="37"/>
        <v>#VALUE!</v>
      </c>
      <c r="G253" s="25"/>
      <c r="H253" s="25" t="e">
        <f t="shared" si="41"/>
        <v>#VALUE!</v>
      </c>
      <c r="I253" s="25">
        <f t="shared" si="38"/>
        <v>-261.00000000000512</v>
      </c>
      <c r="J253" s="25" t="e">
        <f t="shared" si="39"/>
        <v>#VALUE!</v>
      </c>
    </row>
    <row r="254" spans="1:10" x14ac:dyDescent="0.25">
      <c r="A254" s="25">
        <f t="shared" si="40"/>
        <v>-7.6000000000000512</v>
      </c>
      <c r="B254" s="25">
        <f t="shared" ca="1" si="33"/>
        <v>1.5490323725672633E-2</v>
      </c>
      <c r="C254" s="25" t="e">
        <f t="shared" si="34"/>
        <v>#VALUE!</v>
      </c>
      <c r="D254" s="74" t="e">
        <f t="shared" si="35"/>
        <v>#VALUE!</v>
      </c>
      <c r="E254" s="25" t="e">
        <f t="shared" si="36"/>
        <v>#VALUE!</v>
      </c>
      <c r="F254" s="25" t="e">
        <f t="shared" ca="1" si="37"/>
        <v>#VALUE!</v>
      </c>
      <c r="G254" s="25"/>
      <c r="H254" s="25" t="e">
        <f t="shared" si="41"/>
        <v>#VALUE!</v>
      </c>
      <c r="I254" s="25">
        <f t="shared" si="38"/>
        <v>-260.00000000000512</v>
      </c>
      <c r="J254" s="25" t="e">
        <f t="shared" si="39"/>
        <v>#VALUE!</v>
      </c>
    </row>
    <row r="255" spans="1:10" x14ac:dyDescent="0.25">
      <c r="A255" s="25">
        <f t="shared" si="40"/>
        <v>-7.5900000000000514</v>
      </c>
      <c r="B255" s="25">
        <f t="shared" ca="1" si="33"/>
        <v>-0.18788487671006035</v>
      </c>
      <c r="C255" s="25" t="e">
        <f t="shared" si="34"/>
        <v>#VALUE!</v>
      </c>
      <c r="D255" s="74" t="e">
        <f t="shared" si="35"/>
        <v>#VALUE!</v>
      </c>
      <c r="E255" s="25" t="e">
        <f t="shared" si="36"/>
        <v>#VALUE!</v>
      </c>
      <c r="F255" s="25" t="e">
        <f t="shared" ca="1" si="37"/>
        <v>#VALUE!</v>
      </c>
      <c r="G255" s="25"/>
      <c r="H255" s="25" t="e">
        <f t="shared" si="41"/>
        <v>#VALUE!</v>
      </c>
      <c r="I255" s="25">
        <f t="shared" si="38"/>
        <v>-259.00000000000512</v>
      </c>
      <c r="J255" s="25" t="e">
        <f t="shared" si="39"/>
        <v>#VALUE!</v>
      </c>
    </row>
    <row r="256" spans="1:10" x14ac:dyDescent="0.25">
      <c r="A256" s="25">
        <f t="shared" si="40"/>
        <v>-7.5800000000000516</v>
      </c>
      <c r="B256" s="25">
        <f t="shared" ca="1" si="33"/>
        <v>0.11469182720704807</v>
      </c>
      <c r="C256" s="25" t="e">
        <f t="shared" si="34"/>
        <v>#VALUE!</v>
      </c>
      <c r="D256" s="74" t="e">
        <f t="shared" si="35"/>
        <v>#VALUE!</v>
      </c>
      <c r="E256" s="25" t="e">
        <f t="shared" si="36"/>
        <v>#VALUE!</v>
      </c>
      <c r="F256" s="25" t="e">
        <f t="shared" ca="1" si="37"/>
        <v>#VALUE!</v>
      </c>
      <c r="G256" s="25"/>
      <c r="H256" s="25" t="e">
        <f t="shared" si="41"/>
        <v>#VALUE!</v>
      </c>
      <c r="I256" s="25">
        <f t="shared" si="38"/>
        <v>-258.00000000000512</v>
      </c>
      <c r="J256" s="25" t="e">
        <f t="shared" si="39"/>
        <v>#VALUE!</v>
      </c>
    </row>
    <row r="257" spans="1:10" x14ac:dyDescent="0.25">
      <c r="A257" s="25">
        <f t="shared" si="40"/>
        <v>-7.5700000000000518</v>
      </c>
      <c r="B257" s="25">
        <f t="shared" ca="1" si="33"/>
        <v>-0.13821185169356723</v>
      </c>
      <c r="C257" s="25" t="e">
        <f t="shared" si="34"/>
        <v>#VALUE!</v>
      </c>
      <c r="D257" s="74" t="e">
        <f t="shared" si="35"/>
        <v>#VALUE!</v>
      </c>
      <c r="E257" s="25" t="e">
        <f t="shared" si="36"/>
        <v>#VALUE!</v>
      </c>
      <c r="F257" s="25" t="e">
        <f t="shared" ca="1" si="37"/>
        <v>#VALUE!</v>
      </c>
      <c r="G257" s="25"/>
      <c r="H257" s="25" t="e">
        <f t="shared" si="41"/>
        <v>#VALUE!</v>
      </c>
      <c r="I257" s="25">
        <f t="shared" si="38"/>
        <v>-257.00000000000517</v>
      </c>
      <c r="J257" s="25" t="e">
        <f t="shared" si="39"/>
        <v>#VALUE!</v>
      </c>
    </row>
    <row r="258" spans="1:10" x14ac:dyDescent="0.25">
      <c r="A258" s="25">
        <f t="shared" si="40"/>
        <v>-7.560000000000052</v>
      </c>
      <c r="B258" s="25">
        <f t="shared" ca="1" si="33"/>
        <v>5.6151164356588172E-2</v>
      </c>
      <c r="C258" s="25" t="e">
        <f t="shared" si="34"/>
        <v>#VALUE!</v>
      </c>
      <c r="D258" s="74" t="e">
        <f t="shared" si="35"/>
        <v>#VALUE!</v>
      </c>
      <c r="E258" s="25" t="e">
        <f t="shared" si="36"/>
        <v>#VALUE!</v>
      </c>
      <c r="F258" s="25" t="e">
        <f t="shared" ca="1" si="37"/>
        <v>#VALUE!</v>
      </c>
      <c r="G258" s="25"/>
      <c r="H258" s="25" t="e">
        <f t="shared" si="41"/>
        <v>#VALUE!</v>
      </c>
      <c r="I258" s="25">
        <f t="shared" si="38"/>
        <v>-256.00000000000517</v>
      </c>
      <c r="J258" s="25" t="e">
        <f t="shared" si="39"/>
        <v>#VALUE!</v>
      </c>
    </row>
    <row r="259" spans="1:10" x14ac:dyDescent="0.25">
      <c r="A259" s="25">
        <f t="shared" si="40"/>
        <v>-7.5500000000000522</v>
      </c>
      <c r="B259" s="25">
        <f t="shared" ca="1" si="33"/>
        <v>8.33064427318089E-2</v>
      </c>
      <c r="C259" s="25" t="e">
        <f t="shared" si="34"/>
        <v>#VALUE!</v>
      </c>
      <c r="D259" s="74" t="e">
        <f t="shared" si="35"/>
        <v>#VALUE!</v>
      </c>
      <c r="E259" s="25" t="e">
        <f t="shared" si="36"/>
        <v>#VALUE!</v>
      </c>
      <c r="F259" s="25" t="e">
        <f t="shared" ca="1" si="37"/>
        <v>#VALUE!</v>
      </c>
      <c r="G259" s="25"/>
      <c r="H259" s="25" t="e">
        <f t="shared" si="41"/>
        <v>#VALUE!</v>
      </c>
      <c r="I259" s="25">
        <f t="shared" si="38"/>
        <v>-255.00000000000523</v>
      </c>
      <c r="J259" s="25" t="e">
        <f t="shared" si="39"/>
        <v>#VALUE!</v>
      </c>
    </row>
    <row r="260" spans="1:10" x14ac:dyDescent="0.25">
      <c r="A260" s="25">
        <f t="shared" si="40"/>
        <v>-7.5400000000000524</v>
      </c>
      <c r="B260" s="25">
        <f t="shared" ca="1" si="33"/>
        <v>6.6745565874771276E-2</v>
      </c>
      <c r="C260" s="25" t="e">
        <f t="shared" si="34"/>
        <v>#VALUE!</v>
      </c>
      <c r="D260" s="74" t="e">
        <f t="shared" si="35"/>
        <v>#VALUE!</v>
      </c>
      <c r="E260" s="25" t="e">
        <f t="shared" si="36"/>
        <v>#VALUE!</v>
      </c>
      <c r="F260" s="25" t="e">
        <f t="shared" ca="1" si="37"/>
        <v>#VALUE!</v>
      </c>
      <c r="G260" s="25"/>
      <c r="H260" s="25" t="e">
        <f t="shared" si="41"/>
        <v>#VALUE!</v>
      </c>
      <c r="I260" s="25">
        <f t="shared" si="38"/>
        <v>-254.00000000000523</v>
      </c>
      <c r="J260" s="25" t="e">
        <f t="shared" si="39"/>
        <v>#VALUE!</v>
      </c>
    </row>
    <row r="261" spans="1:10" x14ac:dyDescent="0.25">
      <c r="A261" s="25">
        <f t="shared" si="40"/>
        <v>-7.5300000000000527</v>
      </c>
      <c r="B261" s="25">
        <f t="shared" ca="1" si="33"/>
        <v>0.12671705622294602</v>
      </c>
      <c r="C261" s="25" t="e">
        <f t="shared" si="34"/>
        <v>#VALUE!</v>
      </c>
      <c r="D261" s="74" t="e">
        <f t="shared" si="35"/>
        <v>#VALUE!</v>
      </c>
      <c r="E261" s="25" t="e">
        <f t="shared" si="36"/>
        <v>#VALUE!</v>
      </c>
      <c r="F261" s="25" t="e">
        <f t="shared" ca="1" si="37"/>
        <v>#VALUE!</v>
      </c>
      <c r="G261" s="25"/>
      <c r="H261" s="25" t="e">
        <f t="shared" si="41"/>
        <v>#VALUE!</v>
      </c>
      <c r="I261" s="25">
        <f t="shared" si="38"/>
        <v>-253.00000000000529</v>
      </c>
      <c r="J261" s="25" t="e">
        <f t="shared" si="39"/>
        <v>#VALUE!</v>
      </c>
    </row>
    <row r="262" spans="1:10" x14ac:dyDescent="0.25">
      <c r="A262" s="25">
        <f t="shared" si="40"/>
        <v>-7.5200000000000529</v>
      </c>
      <c r="B262" s="25">
        <f t="shared" ca="1" si="33"/>
        <v>6.5508198503575948E-2</v>
      </c>
      <c r="C262" s="25" t="e">
        <f t="shared" si="34"/>
        <v>#VALUE!</v>
      </c>
      <c r="D262" s="74" t="e">
        <f t="shared" si="35"/>
        <v>#VALUE!</v>
      </c>
      <c r="E262" s="25" t="e">
        <f t="shared" si="36"/>
        <v>#VALUE!</v>
      </c>
      <c r="F262" s="25" t="e">
        <f t="shared" ca="1" si="37"/>
        <v>#VALUE!</v>
      </c>
      <c r="G262" s="25"/>
      <c r="H262" s="25" t="e">
        <f t="shared" si="41"/>
        <v>#VALUE!</v>
      </c>
      <c r="I262" s="25">
        <f t="shared" si="38"/>
        <v>-252.00000000000529</v>
      </c>
      <c r="J262" s="25" t="e">
        <f t="shared" si="39"/>
        <v>#VALUE!</v>
      </c>
    </row>
    <row r="263" spans="1:10" x14ac:dyDescent="0.25">
      <c r="A263" s="25">
        <f t="shared" si="40"/>
        <v>-7.5100000000000531</v>
      </c>
      <c r="B263" s="25">
        <f t="shared" ca="1" si="33"/>
        <v>-3.8100420303255425E-3</v>
      </c>
      <c r="C263" s="25" t="e">
        <f t="shared" si="34"/>
        <v>#VALUE!</v>
      </c>
      <c r="D263" s="74" t="e">
        <f t="shared" si="35"/>
        <v>#VALUE!</v>
      </c>
      <c r="E263" s="25" t="e">
        <f t="shared" si="36"/>
        <v>#VALUE!</v>
      </c>
      <c r="F263" s="25" t="e">
        <f t="shared" ca="1" si="37"/>
        <v>#VALUE!</v>
      </c>
      <c r="G263" s="25"/>
      <c r="H263" s="25" t="e">
        <f t="shared" si="41"/>
        <v>#VALUE!</v>
      </c>
      <c r="I263" s="25">
        <f t="shared" si="38"/>
        <v>-251.00000000000531</v>
      </c>
      <c r="J263" s="25" t="e">
        <f t="shared" si="39"/>
        <v>#VALUE!</v>
      </c>
    </row>
    <row r="264" spans="1:10" x14ac:dyDescent="0.25">
      <c r="A264" s="25">
        <f t="shared" si="40"/>
        <v>-7.5000000000000533</v>
      </c>
      <c r="B264" s="25">
        <f t="shared" ca="1" si="33"/>
        <v>-0.11484329281754291</v>
      </c>
      <c r="C264" s="25" t="e">
        <f t="shared" si="34"/>
        <v>#VALUE!</v>
      </c>
      <c r="D264" s="74" t="e">
        <f t="shared" si="35"/>
        <v>#VALUE!</v>
      </c>
      <c r="E264" s="25" t="e">
        <f t="shared" si="36"/>
        <v>#VALUE!</v>
      </c>
      <c r="F264" s="25" t="e">
        <f t="shared" ca="1" si="37"/>
        <v>#VALUE!</v>
      </c>
      <c r="G264" s="25"/>
      <c r="H264" s="25" t="e">
        <f t="shared" si="41"/>
        <v>#VALUE!</v>
      </c>
      <c r="I264" s="25">
        <f t="shared" si="38"/>
        <v>-250.00000000000531</v>
      </c>
      <c r="J264" s="25" t="e">
        <f t="shared" si="39"/>
        <v>#VALUE!</v>
      </c>
    </row>
    <row r="265" spans="1:10" x14ac:dyDescent="0.25">
      <c r="A265" s="25">
        <f t="shared" si="40"/>
        <v>-7.4900000000000535</v>
      </c>
      <c r="B265" s="25">
        <f t="shared" ca="1" si="33"/>
        <v>-0.13704423532189158</v>
      </c>
      <c r="C265" s="25" t="e">
        <f t="shared" si="34"/>
        <v>#VALUE!</v>
      </c>
      <c r="D265" s="74" t="e">
        <f t="shared" si="35"/>
        <v>#VALUE!</v>
      </c>
      <c r="E265" s="25" t="e">
        <f t="shared" si="36"/>
        <v>#VALUE!</v>
      </c>
      <c r="F265" s="25" t="e">
        <f t="shared" ca="1" si="37"/>
        <v>#VALUE!</v>
      </c>
      <c r="G265" s="25"/>
      <c r="H265" s="25" t="e">
        <f t="shared" si="41"/>
        <v>#VALUE!</v>
      </c>
      <c r="I265" s="25">
        <f t="shared" si="38"/>
        <v>-249.00000000000537</v>
      </c>
      <c r="J265" s="25" t="e">
        <f t="shared" si="39"/>
        <v>#VALUE!</v>
      </c>
    </row>
    <row r="266" spans="1:10" x14ac:dyDescent="0.25">
      <c r="A266" s="25">
        <f t="shared" si="40"/>
        <v>-7.4800000000000537</v>
      </c>
      <c r="B266" s="25">
        <f t="shared" ca="1" si="33"/>
        <v>-0.1214131783026365</v>
      </c>
      <c r="C266" s="25" t="e">
        <f t="shared" si="34"/>
        <v>#VALUE!</v>
      </c>
      <c r="D266" s="74" t="e">
        <f t="shared" si="35"/>
        <v>#VALUE!</v>
      </c>
      <c r="E266" s="25" t="e">
        <f t="shared" si="36"/>
        <v>#VALUE!</v>
      </c>
      <c r="F266" s="25" t="e">
        <f t="shared" ca="1" si="37"/>
        <v>#VALUE!</v>
      </c>
      <c r="G266" s="25"/>
      <c r="H266" s="25" t="e">
        <f t="shared" si="41"/>
        <v>#VALUE!</v>
      </c>
      <c r="I266" s="25">
        <f t="shared" si="38"/>
        <v>-248.00000000000537</v>
      </c>
      <c r="J266" s="25" t="e">
        <f t="shared" si="39"/>
        <v>#VALUE!</v>
      </c>
    </row>
    <row r="267" spans="1:10" x14ac:dyDescent="0.25">
      <c r="A267" s="25">
        <f t="shared" si="40"/>
        <v>-7.4700000000000539</v>
      </c>
      <c r="B267" s="25">
        <f t="shared" ca="1" si="33"/>
        <v>-6.4890579909192531E-2</v>
      </c>
      <c r="C267" s="25" t="e">
        <f t="shared" si="34"/>
        <v>#VALUE!</v>
      </c>
      <c r="D267" s="74" t="e">
        <f t="shared" si="35"/>
        <v>#VALUE!</v>
      </c>
      <c r="E267" s="25" t="e">
        <f t="shared" si="36"/>
        <v>#VALUE!</v>
      </c>
      <c r="F267" s="25" t="e">
        <f t="shared" ca="1" si="37"/>
        <v>#VALUE!</v>
      </c>
      <c r="G267" s="25"/>
      <c r="H267" s="25" t="e">
        <f t="shared" si="41"/>
        <v>#VALUE!</v>
      </c>
      <c r="I267" s="25">
        <f t="shared" si="38"/>
        <v>-247.0000000000054</v>
      </c>
      <c r="J267" s="25" t="e">
        <f t="shared" si="39"/>
        <v>#VALUE!</v>
      </c>
    </row>
    <row r="268" spans="1:10" x14ac:dyDescent="0.25">
      <c r="A268" s="25">
        <f t="shared" si="40"/>
        <v>-7.4600000000000541</v>
      </c>
      <c r="B268" s="25">
        <f t="shared" ca="1" si="33"/>
        <v>-0.11473872368378986</v>
      </c>
      <c r="C268" s="25" t="e">
        <f t="shared" si="34"/>
        <v>#VALUE!</v>
      </c>
      <c r="D268" s="74" t="e">
        <f t="shared" si="35"/>
        <v>#VALUE!</v>
      </c>
      <c r="E268" s="25" t="e">
        <f t="shared" si="36"/>
        <v>#VALUE!</v>
      </c>
      <c r="F268" s="25" t="e">
        <f t="shared" ca="1" si="37"/>
        <v>#VALUE!</v>
      </c>
      <c r="G268" s="25"/>
      <c r="H268" s="25" t="e">
        <f t="shared" si="41"/>
        <v>#VALUE!</v>
      </c>
      <c r="I268" s="25">
        <f t="shared" si="38"/>
        <v>-246.0000000000054</v>
      </c>
      <c r="J268" s="25" t="e">
        <f t="shared" si="39"/>
        <v>#VALUE!</v>
      </c>
    </row>
    <row r="269" spans="1:10" x14ac:dyDescent="0.25">
      <c r="A269" s="25">
        <f t="shared" si="40"/>
        <v>-7.4500000000000544</v>
      </c>
      <c r="B269" s="25">
        <f t="shared" ca="1" si="33"/>
        <v>-2.3030751997398579E-2</v>
      </c>
      <c r="C269" s="25" t="e">
        <f t="shared" si="34"/>
        <v>#VALUE!</v>
      </c>
      <c r="D269" s="74" t="e">
        <f t="shared" si="35"/>
        <v>#VALUE!</v>
      </c>
      <c r="E269" s="25" t="e">
        <f t="shared" si="36"/>
        <v>#VALUE!</v>
      </c>
      <c r="F269" s="25" t="e">
        <f t="shared" ca="1" si="37"/>
        <v>#VALUE!</v>
      </c>
      <c r="G269" s="25"/>
      <c r="H269" s="25" t="e">
        <f t="shared" si="41"/>
        <v>#VALUE!</v>
      </c>
      <c r="I269" s="25">
        <f t="shared" si="38"/>
        <v>-245.00000000000546</v>
      </c>
      <c r="J269" s="25" t="e">
        <f t="shared" si="39"/>
        <v>#VALUE!</v>
      </c>
    </row>
    <row r="270" spans="1:10" x14ac:dyDescent="0.25">
      <c r="A270" s="25">
        <f t="shared" si="40"/>
        <v>-7.4400000000000546</v>
      </c>
      <c r="B270" s="25">
        <f t="shared" ref="B270:B333" ca="1" si="42">(RAND()-0.5-$B$7)/$B$5</f>
        <v>0.12898927529516788</v>
      </c>
      <c r="C270" s="25" t="e">
        <f t="shared" ref="C270:C333" si="43">IF(ABS(A270)&lt;=($D$3/2),1,IF(ABS(A270)&lt;=($B$4/2),IF(A270&gt;0,A270*(4/(1-2*$B$4))+(2*$B$4/(2*$B$4-1)),(-A270*(4/(1-2*$B$4))+(2*$B$4/(2*$B$4-1)))),0))</f>
        <v>#VALUE!</v>
      </c>
      <c r="D270" s="74" t="e">
        <f t="shared" ref="D270:D333" si="44">IF(ABS(A270)&lt;=($D$3/4+$B$4/4),1,IF(ABS(A270)&lt;=($B$4/2),(IF(A270&gt;0,A270*(8/(1-2*$B$4))+(4*$B$4)/(2*$B$4-1),(-A270*(8/(1-2*$B$4))+(4*$B$4)/(2*$B$4-1)))),0))</f>
        <v>#VALUE!</v>
      </c>
      <c r="E270" s="25" t="e">
        <f t="shared" ref="E270:E333" si="45">IF(ABS(A270)&lt;($B$4/2), 1, 0)</f>
        <v>#VALUE!</v>
      </c>
      <c r="F270" s="25" t="e">
        <f t="shared" ref="F270:F333" ca="1" si="46">C270+B270</f>
        <v>#VALUE!</v>
      </c>
      <c r="G270" s="25"/>
      <c r="H270" s="25" t="e">
        <f t="shared" si="41"/>
        <v>#VALUE!</v>
      </c>
      <c r="I270" s="25">
        <f t="shared" ref="I270:I333" si="47">$I$3*(A270-$G$3)/($H$3-$G$3)</f>
        <v>-244.00000000000546</v>
      </c>
      <c r="J270" s="25" t="e">
        <f t="shared" ref="J270:J333" si="48">H270</f>
        <v>#VALUE!</v>
      </c>
    </row>
    <row r="271" spans="1:10" x14ac:dyDescent="0.25">
      <c r="A271" s="25">
        <f t="shared" ref="A271:A334" si="49">A270+0.01</f>
        <v>-7.4300000000000548</v>
      </c>
      <c r="B271" s="25">
        <f t="shared" ca="1" si="42"/>
        <v>-2.7891222072373573E-2</v>
      </c>
      <c r="C271" s="25" t="e">
        <f t="shared" si="43"/>
        <v>#VALUE!</v>
      </c>
      <c r="D271" s="74" t="e">
        <f t="shared" si="44"/>
        <v>#VALUE!</v>
      </c>
      <c r="E271" s="25" t="e">
        <f t="shared" si="45"/>
        <v>#VALUE!</v>
      </c>
      <c r="F271" s="25" t="e">
        <f t="shared" ca="1" si="46"/>
        <v>#VALUE!</v>
      </c>
      <c r="G271" s="25"/>
      <c r="H271" s="25" t="e">
        <f t="shared" si="41"/>
        <v>#VALUE!</v>
      </c>
      <c r="I271" s="25">
        <f t="shared" si="47"/>
        <v>-243.00000000000546</v>
      </c>
      <c r="J271" s="25" t="e">
        <f t="shared" si="48"/>
        <v>#VALUE!</v>
      </c>
    </row>
    <row r="272" spans="1:10" x14ac:dyDescent="0.25">
      <c r="A272" s="25">
        <f t="shared" si="49"/>
        <v>-7.420000000000055</v>
      </c>
      <c r="B272" s="25">
        <f t="shared" ca="1" si="42"/>
        <v>6.6115231068777772E-2</v>
      </c>
      <c r="C272" s="25" t="e">
        <f t="shared" si="43"/>
        <v>#VALUE!</v>
      </c>
      <c r="D272" s="74" t="e">
        <f t="shared" si="44"/>
        <v>#VALUE!</v>
      </c>
      <c r="E272" s="25" t="e">
        <f t="shared" si="45"/>
        <v>#VALUE!</v>
      </c>
      <c r="F272" s="25" t="e">
        <f t="shared" ca="1" si="46"/>
        <v>#VALUE!</v>
      </c>
      <c r="G272" s="25"/>
      <c r="H272" s="25" t="e">
        <f t="shared" si="41"/>
        <v>#VALUE!</v>
      </c>
      <c r="I272" s="25">
        <f t="shared" si="47"/>
        <v>-242.00000000000551</v>
      </c>
      <c r="J272" s="25" t="e">
        <f t="shared" si="48"/>
        <v>#VALUE!</v>
      </c>
    </row>
    <row r="273" spans="1:10" x14ac:dyDescent="0.25">
      <c r="A273" s="25">
        <f t="shared" si="49"/>
        <v>-7.4100000000000552</v>
      </c>
      <c r="B273" s="25">
        <f t="shared" ca="1" si="42"/>
        <v>5.7254103939595924E-4</v>
      </c>
      <c r="C273" s="25" t="e">
        <f t="shared" si="43"/>
        <v>#VALUE!</v>
      </c>
      <c r="D273" s="74" t="e">
        <f t="shared" si="44"/>
        <v>#VALUE!</v>
      </c>
      <c r="E273" s="25" t="e">
        <f t="shared" si="45"/>
        <v>#VALUE!</v>
      </c>
      <c r="F273" s="25" t="e">
        <f t="shared" ca="1" si="46"/>
        <v>#VALUE!</v>
      </c>
      <c r="G273" s="25"/>
      <c r="H273" s="25" t="e">
        <f t="shared" si="41"/>
        <v>#VALUE!</v>
      </c>
      <c r="I273" s="25">
        <f t="shared" si="47"/>
        <v>-241.00000000000551</v>
      </c>
      <c r="J273" s="25" t="e">
        <f t="shared" si="48"/>
        <v>#VALUE!</v>
      </c>
    </row>
    <row r="274" spans="1:10" x14ac:dyDescent="0.25">
      <c r="A274" s="25">
        <f t="shared" si="49"/>
        <v>-7.4000000000000554</v>
      </c>
      <c r="B274" s="25">
        <f t="shared" ca="1" si="42"/>
        <v>3.0287926324118909E-2</v>
      </c>
      <c r="C274" s="25" t="e">
        <f t="shared" si="43"/>
        <v>#VALUE!</v>
      </c>
      <c r="D274" s="74" t="e">
        <f t="shared" si="44"/>
        <v>#VALUE!</v>
      </c>
      <c r="E274" s="25" t="e">
        <f t="shared" si="45"/>
        <v>#VALUE!</v>
      </c>
      <c r="F274" s="25" t="e">
        <f t="shared" ca="1" si="46"/>
        <v>#VALUE!</v>
      </c>
      <c r="G274" s="25"/>
      <c r="H274" s="25" t="e">
        <f t="shared" si="41"/>
        <v>#VALUE!</v>
      </c>
      <c r="I274" s="25">
        <f t="shared" si="47"/>
        <v>-240.00000000000554</v>
      </c>
      <c r="J274" s="25" t="e">
        <f t="shared" si="48"/>
        <v>#VALUE!</v>
      </c>
    </row>
    <row r="275" spans="1:10" x14ac:dyDescent="0.25">
      <c r="A275" s="25">
        <f t="shared" si="49"/>
        <v>-7.3900000000000556</v>
      </c>
      <c r="B275" s="25">
        <f t="shared" ca="1" si="42"/>
        <v>7.0186805138556005E-2</v>
      </c>
      <c r="C275" s="25" t="e">
        <f t="shared" si="43"/>
        <v>#VALUE!</v>
      </c>
      <c r="D275" s="74" t="e">
        <f t="shared" si="44"/>
        <v>#VALUE!</v>
      </c>
      <c r="E275" s="25" t="e">
        <f t="shared" si="45"/>
        <v>#VALUE!</v>
      </c>
      <c r="F275" s="25" t="e">
        <f t="shared" ca="1" si="46"/>
        <v>#VALUE!</v>
      </c>
      <c r="G275" s="25"/>
      <c r="H275" s="25" t="e">
        <f t="shared" si="41"/>
        <v>#VALUE!</v>
      </c>
      <c r="I275" s="25">
        <f t="shared" si="47"/>
        <v>-239.00000000000554</v>
      </c>
      <c r="J275" s="25" t="e">
        <f t="shared" si="48"/>
        <v>#VALUE!</v>
      </c>
    </row>
    <row r="276" spans="1:10" x14ac:dyDescent="0.25">
      <c r="A276" s="25">
        <f t="shared" si="49"/>
        <v>-7.3800000000000558</v>
      </c>
      <c r="B276" s="25">
        <f t="shared" ca="1" si="42"/>
        <v>-7.4659031969066883E-2</v>
      </c>
      <c r="C276" s="25" t="e">
        <f t="shared" si="43"/>
        <v>#VALUE!</v>
      </c>
      <c r="D276" s="74" t="e">
        <f t="shared" si="44"/>
        <v>#VALUE!</v>
      </c>
      <c r="E276" s="25" t="e">
        <f t="shared" si="45"/>
        <v>#VALUE!</v>
      </c>
      <c r="F276" s="25" t="e">
        <f t="shared" ca="1" si="46"/>
        <v>#VALUE!</v>
      </c>
      <c r="G276" s="25"/>
      <c r="H276" s="25" t="e">
        <f t="shared" si="41"/>
        <v>#VALUE!</v>
      </c>
      <c r="I276" s="25">
        <f t="shared" si="47"/>
        <v>-238.0000000000056</v>
      </c>
      <c r="J276" s="25" t="e">
        <f t="shared" si="48"/>
        <v>#VALUE!</v>
      </c>
    </row>
    <row r="277" spans="1:10" x14ac:dyDescent="0.25">
      <c r="A277" s="25">
        <f t="shared" si="49"/>
        <v>-7.3700000000000561</v>
      </c>
      <c r="B277" s="25">
        <f t="shared" ca="1" si="42"/>
        <v>4.5018511401747015E-2</v>
      </c>
      <c r="C277" s="25" t="e">
        <f t="shared" si="43"/>
        <v>#VALUE!</v>
      </c>
      <c r="D277" s="74" t="e">
        <f t="shared" si="44"/>
        <v>#VALUE!</v>
      </c>
      <c r="E277" s="25" t="e">
        <f t="shared" si="45"/>
        <v>#VALUE!</v>
      </c>
      <c r="F277" s="25" t="e">
        <f t="shared" ca="1" si="46"/>
        <v>#VALUE!</v>
      </c>
      <c r="G277" s="25"/>
      <c r="H277" s="25" t="e">
        <f t="shared" si="41"/>
        <v>#VALUE!</v>
      </c>
      <c r="I277" s="25">
        <f t="shared" si="47"/>
        <v>-237.0000000000056</v>
      </c>
      <c r="J277" s="25" t="e">
        <f t="shared" si="48"/>
        <v>#VALUE!</v>
      </c>
    </row>
    <row r="278" spans="1:10" x14ac:dyDescent="0.25">
      <c r="A278" s="25">
        <f t="shared" si="49"/>
        <v>-7.3600000000000563</v>
      </c>
      <c r="B278" s="25">
        <f t="shared" ca="1" si="42"/>
        <v>-0.18787999070817107</v>
      </c>
      <c r="C278" s="25" t="e">
        <f t="shared" si="43"/>
        <v>#VALUE!</v>
      </c>
      <c r="D278" s="74" t="e">
        <f t="shared" si="44"/>
        <v>#VALUE!</v>
      </c>
      <c r="E278" s="25" t="e">
        <f t="shared" si="45"/>
        <v>#VALUE!</v>
      </c>
      <c r="F278" s="25" t="e">
        <f t="shared" ca="1" si="46"/>
        <v>#VALUE!</v>
      </c>
      <c r="G278" s="25"/>
      <c r="H278" s="25" t="e">
        <f t="shared" si="41"/>
        <v>#VALUE!</v>
      </c>
      <c r="I278" s="25">
        <f t="shared" si="47"/>
        <v>-236.00000000000563</v>
      </c>
      <c r="J278" s="25" t="e">
        <f t="shared" si="48"/>
        <v>#VALUE!</v>
      </c>
    </row>
    <row r="279" spans="1:10" x14ac:dyDescent="0.25">
      <c r="A279" s="25">
        <f t="shared" si="49"/>
        <v>-7.3500000000000565</v>
      </c>
      <c r="B279" s="25">
        <f t="shared" ca="1" si="42"/>
        <v>0.10249250811142896</v>
      </c>
      <c r="C279" s="25" t="e">
        <f t="shared" si="43"/>
        <v>#VALUE!</v>
      </c>
      <c r="D279" s="74" t="e">
        <f t="shared" si="44"/>
        <v>#VALUE!</v>
      </c>
      <c r="E279" s="25" t="e">
        <f t="shared" si="45"/>
        <v>#VALUE!</v>
      </c>
      <c r="F279" s="25" t="e">
        <f t="shared" ca="1" si="46"/>
        <v>#VALUE!</v>
      </c>
      <c r="G279" s="25"/>
      <c r="H279" s="25" t="e">
        <f t="shared" si="41"/>
        <v>#VALUE!</v>
      </c>
      <c r="I279" s="25">
        <f t="shared" si="47"/>
        <v>-235.00000000000563</v>
      </c>
      <c r="J279" s="25" t="e">
        <f t="shared" si="48"/>
        <v>#VALUE!</v>
      </c>
    </row>
    <row r="280" spans="1:10" x14ac:dyDescent="0.25">
      <c r="A280" s="25">
        <f t="shared" si="49"/>
        <v>-7.3400000000000567</v>
      </c>
      <c r="B280" s="25">
        <f t="shared" ca="1" si="42"/>
        <v>9.7688658667206704E-2</v>
      </c>
      <c r="C280" s="25" t="e">
        <f t="shared" si="43"/>
        <v>#VALUE!</v>
      </c>
      <c r="D280" s="74" t="e">
        <f t="shared" si="44"/>
        <v>#VALUE!</v>
      </c>
      <c r="E280" s="25" t="e">
        <f t="shared" si="45"/>
        <v>#VALUE!</v>
      </c>
      <c r="F280" s="25" t="e">
        <f t="shared" ca="1" si="46"/>
        <v>#VALUE!</v>
      </c>
      <c r="G280" s="25"/>
      <c r="H280" s="25" t="e">
        <f t="shared" si="41"/>
        <v>#VALUE!</v>
      </c>
      <c r="I280" s="25">
        <f t="shared" si="47"/>
        <v>-234.00000000000568</v>
      </c>
      <c r="J280" s="25" t="e">
        <f t="shared" si="48"/>
        <v>#VALUE!</v>
      </c>
    </row>
    <row r="281" spans="1:10" x14ac:dyDescent="0.25">
      <c r="A281" s="25">
        <f t="shared" si="49"/>
        <v>-7.3300000000000569</v>
      </c>
      <c r="B281" s="25">
        <f t="shared" ca="1" si="42"/>
        <v>2.3410773891269065E-2</v>
      </c>
      <c r="C281" s="25" t="e">
        <f t="shared" si="43"/>
        <v>#VALUE!</v>
      </c>
      <c r="D281" s="74" t="e">
        <f t="shared" si="44"/>
        <v>#VALUE!</v>
      </c>
      <c r="E281" s="25" t="e">
        <f t="shared" si="45"/>
        <v>#VALUE!</v>
      </c>
      <c r="F281" s="25" t="e">
        <f t="shared" ca="1" si="46"/>
        <v>#VALUE!</v>
      </c>
      <c r="G281" s="25"/>
      <c r="H281" s="25" t="e">
        <f t="shared" si="41"/>
        <v>#VALUE!</v>
      </c>
      <c r="I281" s="25">
        <f t="shared" si="47"/>
        <v>-233.00000000000568</v>
      </c>
      <c r="J281" s="25" t="e">
        <f t="shared" si="48"/>
        <v>#VALUE!</v>
      </c>
    </row>
    <row r="282" spans="1:10" x14ac:dyDescent="0.25">
      <c r="A282" s="25">
        <f t="shared" si="49"/>
        <v>-7.3200000000000571</v>
      </c>
      <c r="B282" s="25">
        <f t="shared" ca="1" si="42"/>
        <v>4.918482477598491E-2</v>
      </c>
      <c r="C282" s="25" t="e">
        <f t="shared" si="43"/>
        <v>#VALUE!</v>
      </c>
      <c r="D282" s="74" t="e">
        <f t="shared" si="44"/>
        <v>#VALUE!</v>
      </c>
      <c r="E282" s="25" t="e">
        <f t="shared" si="45"/>
        <v>#VALUE!</v>
      </c>
      <c r="F282" s="25" t="e">
        <f t="shared" ca="1" si="46"/>
        <v>#VALUE!</v>
      </c>
      <c r="G282" s="25"/>
      <c r="H282" s="25" t="e">
        <f t="shared" si="41"/>
        <v>#VALUE!</v>
      </c>
      <c r="I282" s="25">
        <f t="shared" si="47"/>
        <v>-232.00000000000574</v>
      </c>
      <c r="J282" s="25" t="e">
        <f t="shared" si="48"/>
        <v>#VALUE!</v>
      </c>
    </row>
    <row r="283" spans="1:10" x14ac:dyDescent="0.25">
      <c r="A283" s="25">
        <f t="shared" si="49"/>
        <v>-7.3100000000000573</v>
      </c>
      <c r="B283" s="25">
        <f t="shared" ca="1" si="42"/>
        <v>-3.4000527395798182E-2</v>
      </c>
      <c r="C283" s="25" t="e">
        <f t="shared" si="43"/>
        <v>#VALUE!</v>
      </c>
      <c r="D283" s="74" t="e">
        <f t="shared" si="44"/>
        <v>#VALUE!</v>
      </c>
      <c r="E283" s="25" t="e">
        <f t="shared" si="45"/>
        <v>#VALUE!</v>
      </c>
      <c r="F283" s="25" t="e">
        <f t="shared" ca="1" si="46"/>
        <v>#VALUE!</v>
      </c>
      <c r="G283" s="25"/>
      <c r="H283" s="25" t="e">
        <f t="shared" si="41"/>
        <v>#VALUE!</v>
      </c>
      <c r="I283" s="25">
        <f t="shared" si="47"/>
        <v>-231.00000000000574</v>
      </c>
      <c r="J283" s="25" t="e">
        <f t="shared" si="48"/>
        <v>#VALUE!</v>
      </c>
    </row>
    <row r="284" spans="1:10" x14ac:dyDescent="0.25">
      <c r="A284" s="25">
        <f t="shared" si="49"/>
        <v>-7.3000000000000576</v>
      </c>
      <c r="B284" s="25">
        <f t="shared" ca="1" si="42"/>
        <v>-5.4721031723499895E-2</v>
      </c>
      <c r="C284" s="25" t="e">
        <f t="shared" si="43"/>
        <v>#VALUE!</v>
      </c>
      <c r="D284" s="74" t="e">
        <f t="shared" si="44"/>
        <v>#VALUE!</v>
      </c>
      <c r="E284" s="25" t="e">
        <f t="shared" si="45"/>
        <v>#VALUE!</v>
      </c>
      <c r="F284" s="25" t="e">
        <f t="shared" ca="1" si="46"/>
        <v>#VALUE!</v>
      </c>
      <c r="G284" s="25"/>
      <c r="H284" s="25" t="e">
        <f t="shared" si="41"/>
        <v>#VALUE!</v>
      </c>
      <c r="I284" s="25">
        <f t="shared" si="47"/>
        <v>-230.00000000000577</v>
      </c>
      <c r="J284" s="25" t="e">
        <f t="shared" si="48"/>
        <v>#VALUE!</v>
      </c>
    </row>
    <row r="285" spans="1:10" x14ac:dyDescent="0.25">
      <c r="A285" s="25">
        <f t="shared" si="49"/>
        <v>-7.2900000000000578</v>
      </c>
      <c r="B285" s="25">
        <f t="shared" ca="1" si="42"/>
        <v>7.1507227800124515E-2</v>
      </c>
      <c r="C285" s="25" t="e">
        <f t="shared" si="43"/>
        <v>#VALUE!</v>
      </c>
      <c r="D285" s="74" t="e">
        <f t="shared" si="44"/>
        <v>#VALUE!</v>
      </c>
      <c r="E285" s="25" t="e">
        <f t="shared" si="45"/>
        <v>#VALUE!</v>
      </c>
      <c r="F285" s="25" t="e">
        <f t="shared" ca="1" si="46"/>
        <v>#VALUE!</v>
      </c>
      <c r="G285" s="25"/>
      <c r="H285" s="25" t="e">
        <f t="shared" si="41"/>
        <v>#VALUE!</v>
      </c>
      <c r="I285" s="25">
        <f t="shared" si="47"/>
        <v>-229.00000000000577</v>
      </c>
      <c r="J285" s="25" t="e">
        <f t="shared" si="48"/>
        <v>#VALUE!</v>
      </c>
    </row>
    <row r="286" spans="1:10" x14ac:dyDescent="0.25">
      <c r="A286" s="25">
        <f t="shared" si="49"/>
        <v>-7.280000000000058</v>
      </c>
      <c r="B286" s="25">
        <f t="shared" ca="1" si="42"/>
        <v>-0.13677240766466756</v>
      </c>
      <c r="C286" s="25" t="e">
        <f t="shared" si="43"/>
        <v>#VALUE!</v>
      </c>
      <c r="D286" s="74" t="e">
        <f t="shared" si="44"/>
        <v>#VALUE!</v>
      </c>
      <c r="E286" s="25" t="e">
        <f t="shared" si="45"/>
        <v>#VALUE!</v>
      </c>
      <c r="F286" s="25" t="e">
        <f t="shared" ca="1" si="46"/>
        <v>#VALUE!</v>
      </c>
      <c r="G286" s="25"/>
      <c r="H286" s="25" t="e">
        <f t="shared" ref="H286:H349" si="50">IF(PeakShape=$O$3,C286,IF(PeakShape=O288,D286,E286))</f>
        <v>#VALUE!</v>
      </c>
      <c r="I286" s="25">
        <f t="shared" si="47"/>
        <v>-228.00000000000583</v>
      </c>
      <c r="J286" s="25" t="e">
        <f t="shared" si="48"/>
        <v>#VALUE!</v>
      </c>
    </row>
    <row r="287" spans="1:10" x14ac:dyDescent="0.25">
      <c r="A287" s="25">
        <f t="shared" si="49"/>
        <v>-7.2700000000000582</v>
      </c>
      <c r="B287" s="25">
        <f t="shared" ca="1" si="42"/>
        <v>-2.017805222040156E-2</v>
      </c>
      <c r="C287" s="25" t="e">
        <f t="shared" si="43"/>
        <v>#VALUE!</v>
      </c>
      <c r="D287" s="74" t="e">
        <f t="shared" si="44"/>
        <v>#VALUE!</v>
      </c>
      <c r="E287" s="25" t="e">
        <f t="shared" si="45"/>
        <v>#VALUE!</v>
      </c>
      <c r="F287" s="25" t="e">
        <f t="shared" ca="1" si="46"/>
        <v>#VALUE!</v>
      </c>
      <c r="G287" s="25"/>
      <c r="H287" s="25" t="e">
        <f t="shared" si="50"/>
        <v>#VALUE!</v>
      </c>
      <c r="I287" s="25">
        <f t="shared" si="47"/>
        <v>-227.00000000000583</v>
      </c>
      <c r="J287" s="25" t="e">
        <f t="shared" si="48"/>
        <v>#VALUE!</v>
      </c>
    </row>
    <row r="288" spans="1:10" x14ac:dyDescent="0.25">
      <c r="A288" s="25">
        <f t="shared" si="49"/>
        <v>-7.2600000000000584</v>
      </c>
      <c r="B288" s="25">
        <f t="shared" ca="1" si="42"/>
        <v>5.6246926346625266E-2</v>
      </c>
      <c r="C288" s="25" t="e">
        <f t="shared" si="43"/>
        <v>#VALUE!</v>
      </c>
      <c r="D288" s="74" t="e">
        <f t="shared" si="44"/>
        <v>#VALUE!</v>
      </c>
      <c r="E288" s="25" t="e">
        <f t="shared" si="45"/>
        <v>#VALUE!</v>
      </c>
      <c r="F288" s="25" t="e">
        <f t="shared" ca="1" si="46"/>
        <v>#VALUE!</v>
      </c>
      <c r="G288" s="25"/>
      <c r="H288" s="25" t="e">
        <f t="shared" si="50"/>
        <v>#VALUE!</v>
      </c>
      <c r="I288" s="25">
        <f t="shared" si="47"/>
        <v>-226.00000000000583</v>
      </c>
      <c r="J288" s="25" t="e">
        <f t="shared" si="48"/>
        <v>#VALUE!</v>
      </c>
    </row>
    <row r="289" spans="1:10" x14ac:dyDescent="0.25">
      <c r="A289" s="25">
        <f t="shared" si="49"/>
        <v>-7.2500000000000586</v>
      </c>
      <c r="B289" s="25">
        <f t="shared" ca="1" si="42"/>
        <v>7.7980676773698562E-2</v>
      </c>
      <c r="C289" s="25" t="e">
        <f t="shared" si="43"/>
        <v>#VALUE!</v>
      </c>
      <c r="D289" s="74" t="e">
        <f t="shared" si="44"/>
        <v>#VALUE!</v>
      </c>
      <c r="E289" s="25" t="e">
        <f t="shared" si="45"/>
        <v>#VALUE!</v>
      </c>
      <c r="F289" s="25" t="e">
        <f t="shared" ca="1" si="46"/>
        <v>#VALUE!</v>
      </c>
      <c r="G289" s="25"/>
      <c r="H289" s="25" t="e">
        <f t="shared" si="50"/>
        <v>#VALUE!</v>
      </c>
      <c r="I289" s="25">
        <f t="shared" si="47"/>
        <v>-225.00000000000585</v>
      </c>
      <c r="J289" s="25" t="e">
        <f t="shared" si="48"/>
        <v>#VALUE!</v>
      </c>
    </row>
    <row r="290" spans="1:10" x14ac:dyDescent="0.25">
      <c r="A290" s="25">
        <f t="shared" si="49"/>
        <v>-7.2400000000000588</v>
      </c>
      <c r="B290" s="25">
        <f t="shared" ca="1" si="42"/>
        <v>0.1009352333443944</v>
      </c>
      <c r="C290" s="25" t="e">
        <f t="shared" si="43"/>
        <v>#VALUE!</v>
      </c>
      <c r="D290" s="74" t="e">
        <f t="shared" si="44"/>
        <v>#VALUE!</v>
      </c>
      <c r="E290" s="25" t="e">
        <f t="shared" si="45"/>
        <v>#VALUE!</v>
      </c>
      <c r="F290" s="25" t="e">
        <f t="shared" ca="1" si="46"/>
        <v>#VALUE!</v>
      </c>
      <c r="G290" s="25"/>
      <c r="H290" s="25" t="e">
        <f t="shared" si="50"/>
        <v>#VALUE!</v>
      </c>
      <c r="I290" s="25">
        <f t="shared" si="47"/>
        <v>-224.00000000000585</v>
      </c>
      <c r="J290" s="25" t="e">
        <f t="shared" si="48"/>
        <v>#VALUE!</v>
      </c>
    </row>
    <row r="291" spans="1:10" x14ac:dyDescent="0.25">
      <c r="A291" s="25">
        <f t="shared" si="49"/>
        <v>-7.230000000000059</v>
      </c>
      <c r="B291" s="25">
        <f t="shared" ca="1" si="42"/>
        <v>-4.7939722253711918E-3</v>
      </c>
      <c r="C291" s="25" t="e">
        <f t="shared" si="43"/>
        <v>#VALUE!</v>
      </c>
      <c r="D291" s="74" t="e">
        <f t="shared" si="44"/>
        <v>#VALUE!</v>
      </c>
      <c r="E291" s="25" t="e">
        <f t="shared" si="45"/>
        <v>#VALUE!</v>
      </c>
      <c r="F291" s="25" t="e">
        <f t="shared" ca="1" si="46"/>
        <v>#VALUE!</v>
      </c>
      <c r="G291" s="25"/>
      <c r="H291" s="25" t="e">
        <f t="shared" si="50"/>
        <v>#VALUE!</v>
      </c>
      <c r="I291" s="25">
        <f t="shared" si="47"/>
        <v>-223.00000000000591</v>
      </c>
      <c r="J291" s="25" t="e">
        <f t="shared" si="48"/>
        <v>#VALUE!</v>
      </c>
    </row>
    <row r="292" spans="1:10" x14ac:dyDescent="0.25">
      <c r="A292" s="25">
        <f t="shared" si="49"/>
        <v>-7.2200000000000593</v>
      </c>
      <c r="B292" s="25">
        <f t="shared" ca="1" si="42"/>
        <v>-1.5976978131958725E-2</v>
      </c>
      <c r="C292" s="25" t="e">
        <f t="shared" si="43"/>
        <v>#VALUE!</v>
      </c>
      <c r="D292" s="74" t="e">
        <f t="shared" si="44"/>
        <v>#VALUE!</v>
      </c>
      <c r="E292" s="25" t="e">
        <f t="shared" si="45"/>
        <v>#VALUE!</v>
      </c>
      <c r="F292" s="25" t="e">
        <f t="shared" ca="1" si="46"/>
        <v>#VALUE!</v>
      </c>
      <c r="G292" s="25"/>
      <c r="H292" s="25" t="e">
        <f t="shared" si="50"/>
        <v>#VALUE!</v>
      </c>
      <c r="I292" s="25">
        <f t="shared" si="47"/>
        <v>-222.00000000000591</v>
      </c>
      <c r="J292" s="25" t="e">
        <f t="shared" si="48"/>
        <v>#VALUE!</v>
      </c>
    </row>
    <row r="293" spans="1:10" x14ac:dyDescent="0.25">
      <c r="A293" s="25">
        <f t="shared" si="49"/>
        <v>-7.2100000000000595</v>
      </c>
      <c r="B293" s="25">
        <f t="shared" ca="1" si="42"/>
        <v>-0.1228557333672808</v>
      </c>
      <c r="C293" s="25" t="e">
        <f t="shared" si="43"/>
        <v>#VALUE!</v>
      </c>
      <c r="D293" s="74" t="e">
        <f t="shared" si="44"/>
        <v>#VALUE!</v>
      </c>
      <c r="E293" s="25" t="e">
        <f t="shared" si="45"/>
        <v>#VALUE!</v>
      </c>
      <c r="F293" s="25" t="e">
        <f t="shared" ca="1" si="46"/>
        <v>#VALUE!</v>
      </c>
      <c r="G293" s="25"/>
      <c r="H293" s="25" t="e">
        <f t="shared" si="50"/>
        <v>#VALUE!</v>
      </c>
      <c r="I293" s="25">
        <f t="shared" si="47"/>
        <v>-221.00000000000597</v>
      </c>
      <c r="J293" s="25" t="e">
        <f t="shared" si="48"/>
        <v>#VALUE!</v>
      </c>
    </row>
    <row r="294" spans="1:10" x14ac:dyDescent="0.25">
      <c r="A294" s="25">
        <f t="shared" si="49"/>
        <v>-7.2000000000000597</v>
      </c>
      <c r="B294" s="25">
        <f t="shared" ca="1" si="42"/>
        <v>-0.14477335886713039</v>
      </c>
      <c r="C294" s="25" t="e">
        <f t="shared" si="43"/>
        <v>#VALUE!</v>
      </c>
      <c r="D294" s="74" t="e">
        <f t="shared" si="44"/>
        <v>#VALUE!</v>
      </c>
      <c r="E294" s="25" t="e">
        <f t="shared" si="45"/>
        <v>#VALUE!</v>
      </c>
      <c r="F294" s="25" t="e">
        <f t="shared" ca="1" si="46"/>
        <v>#VALUE!</v>
      </c>
      <c r="G294" s="25"/>
      <c r="H294" s="25" t="e">
        <f t="shared" si="50"/>
        <v>#VALUE!</v>
      </c>
      <c r="I294" s="25">
        <f t="shared" si="47"/>
        <v>-220.00000000000597</v>
      </c>
      <c r="J294" s="25" t="e">
        <f t="shared" si="48"/>
        <v>#VALUE!</v>
      </c>
    </row>
    <row r="295" spans="1:10" x14ac:dyDescent="0.25">
      <c r="A295" s="25">
        <f t="shared" si="49"/>
        <v>-7.1900000000000599</v>
      </c>
      <c r="B295" s="25">
        <f t="shared" ca="1" si="42"/>
        <v>-1.2717688671778453E-3</v>
      </c>
      <c r="C295" s="25" t="e">
        <f t="shared" si="43"/>
        <v>#VALUE!</v>
      </c>
      <c r="D295" s="74" t="e">
        <f t="shared" si="44"/>
        <v>#VALUE!</v>
      </c>
      <c r="E295" s="25" t="e">
        <f t="shared" si="45"/>
        <v>#VALUE!</v>
      </c>
      <c r="F295" s="25" t="e">
        <f t="shared" ca="1" si="46"/>
        <v>#VALUE!</v>
      </c>
      <c r="G295" s="25"/>
      <c r="H295" s="25" t="e">
        <f t="shared" si="50"/>
        <v>#VALUE!</v>
      </c>
      <c r="I295" s="25">
        <f t="shared" si="47"/>
        <v>-219.000000000006</v>
      </c>
      <c r="J295" s="25" t="e">
        <f t="shared" si="48"/>
        <v>#VALUE!</v>
      </c>
    </row>
    <row r="296" spans="1:10" x14ac:dyDescent="0.25">
      <c r="A296" s="25">
        <f t="shared" si="49"/>
        <v>-7.1800000000000601</v>
      </c>
      <c r="B296" s="25">
        <f t="shared" ca="1" si="42"/>
        <v>-4.3550782462401976E-3</v>
      </c>
      <c r="C296" s="25" t="e">
        <f t="shared" si="43"/>
        <v>#VALUE!</v>
      </c>
      <c r="D296" s="74" t="e">
        <f t="shared" si="44"/>
        <v>#VALUE!</v>
      </c>
      <c r="E296" s="25" t="e">
        <f t="shared" si="45"/>
        <v>#VALUE!</v>
      </c>
      <c r="F296" s="25" t="e">
        <f t="shared" ca="1" si="46"/>
        <v>#VALUE!</v>
      </c>
      <c r="G296" s="25"/>
      <c r="H296" s="25" t="e">
        <f t="shared" si="50"/>
        <v>#VALUE!</v>
      </c>
      <c r="I296" s="25">
        <f t="shared" si="47"/>
        <v>-218.000000000006</v>
      </c>
      <c r="J296" s="25" t="e">
        <f t="shared" si="48"/>
        <v>#VALUE!</v>
      </c>
    </row>
    <row r="297" spans="1:10" x14ac:dyDescent="0.25">
      <c r="A297" s="25">
        <f t="shared" si="49"/>
        <v>-7.1700000000000603</v>
      </c>
      <c r="B297" s="25">
        <f t="shared" ca="1" si="42"/>
        <v>-0.18790211788014277</v>
      </c>
      <c r="C297" s="25" t="e">
        <f t="shared" si="43"/>
        <v>#VALUE!</v>
      </c>
      <c r="D297" s="74" t="e">
        <f t="shared" si="44"/>
        <v>#VALUE!</v>
      </c>
      <c r="E297" s="25" t="e">
        <f t="shared" si="45"/>
        <v>#VALUE!</v>
      </c>
      <c r="F297" s="25" t="e">
        <f t="shared" ca="1" si="46"/>
        <v>#VALUE!</v>
      </c>
      <c r="G297" s="25"/>
      <c r="H297" s="25" t="e">
        <f t="shared" si="50"/>
        <v>#VALUE!</v>
      </c>
      <c r="I297" s="25">
        <f t="shared" si="47"/>
        <v>-217.00000000000605</v>
      </c>
      <c r="J297" s="25" t="e">
        <f t="shared" si="48"/>
        <v>#VALUE!</v>
      </c>
    </row>
    <row r="298" spans="1:10" x14ac:dyDescent="0.25">
      <c r="A298" s="25">
        <f t="shared" si="49"/>
        <v>-7.1600000000000605</v>
      </c>
      <c r="B298" s="25">
        <f t="shared" ca="1" si="42"/>
        <v>-1.5058921900997566E-2</v>
      </c>
      <c r="C298" s="25" t="e">
        <f t="shared" si="43"/>
        <v>#VALUE!</v>
      </c>
      <c r="D298" s="74" t="e">
        <f t="shared" si="44"/>
        <v>#VALUE!</v>
      </c>
      <c r="E298" s="25" t="e">
        <f t="shared" si="45"/>
        <v>#VALUE!</v>
      </c>
      <c r="F298" s="25" t="e">
        <f t="shared" ca="1" si="46"/>
        <v>#VALUE!</v>
      </c>
      <c r="G298" s="25"/>
      <c r="H298" s="25" t="e">
        <f t="shared" si="50"/>
        <v>#VALUE!</v>
      </c>
      <c r="I298" s="25">
        <f t="shared" si="47"/>
        <v>-216.00000000000605</v>
      </c>
      <c r="J298" s="25" t="e">
        <f t="shared" si="48"/>
        <v>#VALUE!</v>
      </c>
    </row>
    <row r="299" spans="1:10" x14ac:dyDescent="0.25">
      <c r="A299" s="25">
        <f t="shared" si="49"/>
        <v>-7.1500000000000608</v>
      </c>
      <c r="B299" s="25">
        <f t="shared" ca="1" si="42"/>
        <v>2.8126614746407569E-2</v>
      </c>
      <c r="C299" s="25" t="e">
        <f t="shared" si="43"/>
        <v>#VALUE!</v>
      </c>
      <c r="D299" s="74" t="e">
        <f t="shared" si="44"/>
        <v>#VALUE!</v>
      </c>
      <c r="E299" s="25" t="e">
        <f t="shared" si="45"/>
        <v>#VALUE!</v>
      </c>
      <c r="F299" s="25" t="e">
        <f t="shared" ca="1" si="46"/>
        <v>#VALUE!</v>
      </c>
      <c r="G299" s="25"/>
      <c r="H299" s="25" t="e">
        <f t="shared" si="50"/>
        <v>#VALUE!</v>
      </c>
      <c r="I299" s="25">
        <f t="shared" si="47"/>
        <v>-215.00000000000608</v>
      </c>
      <c r="J299" s="25" t="e">
        <f t="shared" si="48"/>
        <v>#VALUE!</v>
      </c>
    </row>
    <row r="300" spans="1:10" x14ac:dyDescent="0.25">
      <c r="A300" s="25">
        <f t="shared" si="49"/>
        <v>-7.140000000000061</v>
      </c>
      <c r="B300" s="25">
        <f t="shared" ca="1" si="42"/>
        <v>-0.15233877916765412</v>
      </c>
      <c r="C300" s="25" t="e">
        <f t="shared" si="43"/>
        <v>#VALUE!</v>
      </c>
      <c r="D300" s="74" t="e">
        <f t="shared" si="44"/>
        <v>#VALUE!</v>
      </c>
      <c r="E300" s="25" t="e">
        <f t="shared" si="45"/>
        <v>#VALUE!</v>
      </c>
      <c r="F300" s="25" t="e">
        <f t="shared" ca="1" si="46"/>
        <v>#VALUE!</v>
      </c>
      <c r="G300" s="25"/>
      <c r="H300" s="25" t="e">
        <f t="shared" si="50"/>
        <v>#VALUE!</v>
      </c>
      <c r="I300" s="25">
        <f t="shared" si="47"/>
        <v>-214.00000000000608</v>
      </c>
      <c r="J300" s="25" t="e">
        <f t="shared" si="48"/>
        <v>#VALUE!</v>
      </c>
    </row>
    <row r="301" spans="1:10" x14ac:dyDescent="0.25">
      <c r="A301" s="25">
        <f t="shared" si="49"/>
        <v>-7.1300000000000612</v>
      </c>
      <c r="B301" s="25">
        <f t="shared" ca="1" si="42"/>
        <v>-3.9993741746163262E-2</v>
      </c>
      <c r="C301" s="25" t="e">
        <f t="shared" si="43"/>
        <v>#VALUE!</v>
      </c>
      <c r="D301" s="74" t="e">
        <f t="shared" si="44"/>
        <v>#VALUE!</v>
      </c>
      <c r="E301" s="25" t="e">
        <f t="shared" si="45"/>
        <v>#VALUE!</v>
      </c>
      <c r="F301" s="25" t="e">
        <f t="shared" ca="1" si="46"/>
        <v>#VALUE!</v>
      </c>
      <c r="G301" s="25"/>
      <c r="H301" s="25" t="e">
        <f t="shared" si="50"/>
        <v>#VALUE!</v>
      </c>
      <c r="I301" s="25">
        <f t="shared" si="47"/>
        <v>-213.00000000000614</v>
      </c>
      <c r="J301" s="25" t="e">
        <f t="shared" si="48"/>
        <v>#VALUE!</v>
      </c>
    </row>
    <row r="302" spans="1:10" x14ac:dyDescent="0.25">
      <c r="A302" s="25">
        <f t="shared" si="49"/>
        <v>-7.1200000000000614</v>
      </c>
      <c r="B302" s="25">
        <f t="shared" ca="1" si="42"/>
        <v>-4.2763954415639967E-2</v>
      </c>
      <c r="C302" s="25" t="e">
        <f t="shared" si="43"/>
        <v>#VALUE!</v>
      </c>
      <c r="D302" s="74" t="e">
        <f t="shared" si="44"/>
        <v>#VALUE!</v>
      </c>
      <c r="E302" s="25" t="e">
        <f t="shared" si="45"/>
        <v>#VALUE!</v>
      </c>
      <c r="F302" s="25" t="e">
        <f t="shared" ca="1" si="46"/>
        <v>#VALUE!</v>
      </c>
      <c r="G302" s="25"/>
      <c r="H302" s="25" t="e">
        <f t="shared" si="50"/>
        <v>#VALUE!</v>
      </c>
      <c r="I302" s="25">
        <f t="shared" si="47"/>
        <v>-212.00000000000614</v>
      </c>
      <c r="J302" s="25" t="e">
        <f t="shared" si="48"/>
        <v>#VALUE!</v>
      </c>
    </row>
    <row r="303" spans="1:10" x14ac:dyDescent="0.25">
      <c r="A303" s="25">
        <f t="shared" si="49"/>
        <v>-7.1100000000000616</v>
      </c>
      <c r="B303" s="25">
        <f t="shared" ca="1" si="42"/>
        <v>-0.1953429729593793</v>
      </c>
      <c r="C303" s="25" t="e">
        <f t="shared" si="43"/>
        <v>#VALUE!</v>
      </c>
      <c r="D303" s="74" t="e">
        <f t="shared" si="44"/>
        <v>#VALUE!</v>
      </c>
      <c r="E303" s="25" t="e">
        <f t="shared" si="45"/>
        <v>#VALUE!</v>
      </c>
      <c r="F303" s="25" t="e">
        <f t="shared" ca="1" si="46"/>
        <v>#VALUE!</v>
      </c>
      <c r="G303" s="25"/>
      <c r="H303" s="25" t="e">
        <f t="shared" si="50"/>
        <v>#VALUE!</v>
      </c>
      <c r="I303" s="25">
        <f t="shared" si="47"/>
        <v>-211.00000000000614</v>
      </c>
      <c r="J303" s="25" t="e">
        <f t="shared" si="48"/>
        <v>#VALUE!</v>
      </c>
    </row>
    <row r="304" spans="1:10" x14ac:dyDescent="0.25">
      <c r="A304" s="25">
        <f t="shared" si="49"/>
        <v>-7.1000000000000618</v>
      </c>
      <c r="B304" s="25">
        <f t="shared" ca="1" si="42"/>
        <v>0.11126564697032186</v>
      </c>
      <c r="C304" s="25" t="e">
        <f t="shared" si="43"/>
        <v>#VALUE!</v>
      </c>
      <c r="D304" s="74" t="e">
        <f t="shared" si="44"/>
        <v>#VALUE!</v>
      </c>
      <c r="E304" s="25" t="e">
        <f t="shared" si="45"/>
        <v>#VALUE!</v>
      </c>
      <c r="F304" s="25" t="e">
        <f t="shared" ca="1" si="46"/>
        <v>#VALUE!</v>
      </c>
      <c r="G304" s="25"/>
      <c r="H304" s="25" t="e">
        <f t="shared" si="50"/>
        <v>#VALUE!</v>
      </c>
      <c r="I304" s="25">
        <f t="shared" si="47"/>
        <v>-210.0000000000062</v>
      </c>
      <c r="J304" s="25" t="e">
        <f t="shared" si="48"/>
        <v>#VALUE!</v>
      </c>
    </row>
    <row r="305" spans="1:10" x14ac:dyDescent="0.25">
      <c r="A305" s="25">
        <f t="shared" si="49"/>
        <v>-7.090000000000062</v>
      </c>
      <c r="B305" s="25">
        <f t="shared" ca="1" si="42"/>
        <v>5.0135306487945126E-2</v>
      </c>
      <c r="C305" s="25" t="e">
        <f t="shared" si="43"/>
        <v>#VALUE!</v>
      </c>
      <c r="D305" s="74" t="e">
        <f t="shared" si="44"/>
        <v>#VALUE!</v>
      </c>
      <c r="E305" s="25" t="e">
        <f t="shared" si="45"/>
        <v>#VALUE!</v>
      </c>
      <c r="F305" s="25" t="e">
        <f t="shared" ca="1" si="46"/>
        <v>#VALUE!</v>
      </c>
      <c r="G305" s="25"/>
      <c r="H305" s="25" t="e">
        <f t="shared" si="50"/>
        <v>#VALUE!</v>
      </c>
      <c r="I305" s="25">
        <f t="shared" si="47"/>
        <v>-209.0000000000062</v>
      </c>
      <c r="J305" s="25" t="e">
        <f t="shared" si="48"/>
        <v>#VALUE!</v>
      </c>
    </row>
    <row r="306" spans="1:10" x14ac:dyDescent="0.25">
      <c r="A306" s="25">
        <f t="shared" si="49"/>
        <v>-7.0800000000000622</v>
      </c>
      <c r="B306" s="25">
        <f t="shared" ca="1" si="42"/>
        <v>2.9124692667397284E-2</v>
      </c>
      <c r="C306" s="25" t="e">
        <f t="shared" si="43"/>
        <v>#VALUE!</v>
      </c>
      <c r="D306" s="74" t="e">
        <f t="shared" si="44"/>
        <v>#VALUE!</v>
      </c>
      <c r="E306" s="25" t="e">
        <f t="shared" si="45"/>
        <v>#VALUE!</v>
      </c>
      <c r="F306" s="25" t="e">
        <f t="shared" ca="1" si="46"/>
        <v>#VALUE!</v>
      </c>
      <c r="G306" s="25"/>
      <c r="H306" s="25" t="e">
        <f t="shared" si="50"/>
        <v>#VALUE!</v>
      </c>
      <c r="I306" s="25">
        <f t="shared" si="47"/>
        <v>-208.00000000000622</v>
      </c>
      <c r="J306" s="25" t="e">
        <f t="shared" si="48"/>
        <v>#VALUE!</v>
      </c>
    </row>
    <row r="307" spans="1:10" x14ac:dyDescent="0.25">
      <c r="A307" s="25">
        <f t="shared" si="49"/>
        <v>-7.0700000000000625</v>
      </c>
      <c r="B307" s="25">
        <f t="shared" ca="1" si="42"/>
        <v>-6.069426199464531E-2</v>
      </c>
      <c r="C307" s="25" t="e">
        <f t="shared" si="43"/>
        <v>#VALUE!</v>
      </c>
      <c r="D307" s="74" t="e">
        <f t="shared" si="44"/>
        <v>#VALUE!</v>
      </c>
      <c r="E307" s="25" t="e">
        <f t="shared" si="45"/>
        <v>#VALUE!</v>
      </c>
      <c r="F307" s="25" t="e">
        <f t="shared" ca="1" si="46"/>
        <v>#VALUE!</v>
      </c>
      <c r="G307" s="25"/>
      <c r="H307" s="25" t="e">
        <f t="shared" si="50"/>
        <v>#VALUE!</v>
      </c>
      <c r="I307" s="25">
        <f t="shared" si="47"/>
        <v>-207.00000000000622</v>
      </c>
      <c r="J307" s="25" t="e">
        <f t="shared" si="48"/>
        <v>#VALUE!</v>
      </c>
    </row>
    <row r="308" spans="1:10" x14ac:dyDescent="0.25">
      <c r="A308" s="25">
        <f t="shared" si="49"/>
        <v>-7.0600000000000627</v>
      </c>
      <c r="B308" s="25">
        <f t="shared" ca="1" si="42"/>
        <v>2.9982347718402014E-2</v>
      </c>
      <c r="C308" s="25" t="e">
        <f t="shared" si="43"/>
        <v>#VALUE!</v>
      </c>
      <c r="D308" s="74" t="e">
        <f t="shared" si="44"/>
        <v>#VALUE!</v>
      </c>
      <c r="E308" s="25" t="e">
        <f t="shared" si="45"/>
        <v>#VALUE!</v>
      </c>
      <c r="F308" s="25" t="e">
        <f t="shared" ca="1" si="46"/>
        <v>#VALUE!</v>
      </c>
      <c r="G308" s="25"/>
      <c r="H308" s="25" t="e">
        <f t="shared" si="50"/>
        <v>#VALUE!</v>
      </c>
      <c r="I308" s="25">
        <f t="shared" si="47"/>
        <v>-206.00000000000628</v>
      </c>
      <c r="J308" s="25" t="e">
        <f t="shared" si="48"/>
        <v>#VALUE!</v>
      </c>
    </row>
    <row r="309" spans="1:10" x14ac:dyDescent="0.25">
      <c r="A309" s="25">
        <f t="shared" si="49"/>
        <v>-7.0500000000000629</v>
      </c>
      <c r="B309" s="25">
        <f t="shared" ca="1" si="42"/>
        <v>-7.6817352083940665E-2</v>
      </c>
      <c r="C309" s="25" t="e">
        <f t="shared" si="43"/>
        <v>#VALUE!</v>
      </c>
      <c r="D309" s="74" t="e">
        <f t="shared" si="44"/>
        <v>#VALUE!</v>
      </c>
      <c r="E309" s="25" t="e">
        <f t="shared" si="45"/>
        <v>#VALUE!</v>
      </c>
      <c r="F309" s="25" t="e">
        <f t="shared" ca="1" si="46"/>
        <v>#VALUE!</v>
      </c>
      <c r="G309" s="25"/>
      <c r="H309" s="25" t="e">
        <f t="shared" si="50"/>
        <v>#VALUE!</v>
      </c>
      <c r="I309" s="25">
        <f t="shared" si="47"/>
        <v>-205.00000000000628</v>
      </c>
      <c r="J309" s="25" t="e">
        <f t="shared" si="48"/>
        <v>#VALUE!</v>
      </c>
    </row>
    <row r="310" spans="1:10" x14ac:dyDescent="0.25">
      <c r="A310" s="25">
        <f t="shared" si="49"/>
        <v>-7.0400000000000631</v>
      </c>
      <c r="B310" s="25">
        <f t="shared" ca="1" si="42"/>
        <v>3.4156580110890462E-2</v>
      </c>
      <c r="C310" s="25" t="e">
        <f t="shared" si="43"/>
        <v>#VALUE!</v>
      </c>
      <c r="D310" s="74" t="e">
        <f t="shared" si="44"/>
        <v>#VALUE!</v>
      </c>
      <c r="E310" s="25" t="e">
        <f t="shared" si="45"/>
        <v>#VALUE!</v>
      </c>
      <c r="F310" s="25" t="e">
        <f t="shared" ca="1" si="46"/>
        <v>#VALUE!</v>
      </c>
      <c r="G310" s="25"/>
      <c r="H310" s="25" t="e">
        <f t="shared" si="50"/>
        <v>#VALUE!</v>
      </c>
      <c r="I310" s="25">
        <f t="shared" si="47"/>
        <v>-204.00000000000631</v>
      </c>
      <c r="J310" s="25" t="e">
        <f t="shared" si="48"/>
        <v>#VALUE!</v>
      </c>
    </row>
    <row r="311" spans="1:10" x14ac:dyDescent="0.25">
      <c r="A311" s="25">
        <f t="shared" si="49"/>
        <v>-7.0300000000000633</v>
      </c>
      <c r="B311" s="25">
        <f t="shared" ca="1" si="42"/>
        <v>-7.7569592836104401E-2</v>
      </c>
      <c r="C311" s="25" t="e">
        <f t="shared" si="43"/>
        <v>#VALUE!</v>
      </c>
      <c r="D311" s="74" t="e">
        <f t="shared" si="44"/>
        <v>#VALUE!</v>
      </c>
      <c r="E311" s="25" t="e">
        <f t="shared" si="45"/>
        <v>#VALUE!</v>
      </c>
      <c r="F311" s="25" t="e">
        <f t="shared" ca="1" si="46"/>
        <v>#VALUE!</v>
      </c>
      <c r="G311" s="25"/>
      <c r="H311" s="25" t="e">
        <f t="shared" si="50"/>
        <v>#VALUE!</v>
      </c>
      <c r="I311" s="25">
        <f t="shared" si="47"/>
        <v>-203.00000000000631</v>
      </c>
      <c r="J311" s="25" t="e">
        <f t="shared" si="48"/>
        <v>#VALUE!</v>
      </c>
    </row>
    <row r="312" spans="1:10" x14ac:dyDescent="0.25">
      <c r="A312" s="25">
        <f t="shared" si="49"/>
        <v>-7.0200000000000635</v>
      </c>
      <c r="B312" s="25">
        <f t="shared" ca="1" si="42"/>
        <v>-0.11217466695172355</v>
      </c>
      <c r="C312" s="25" t="e">
        <f t="shared" si="43"/>
        <v>#VALUE!</v>
      </c>
      <c r="D312" s="74" t="e">
        <f t="shared" si="44"/>
        <v>#VALUE!</v>
      </c>
      <c r="E312" s="25" t="e">
        <f t="shared" si="45"/>
        <v>#VALUE!</v>
      </c>
      <c r="F312" s="25" t="e">
        <f t="shared" ca="1" si="46"/>
        <v>#VALUE!</v>
      </c>
      <c r="G312" s="25"/>
      <c r="H312" s="25" t="e">
        <f t="shared" si="50"/>
        <v>#VALUE!</v>
      </c>
      <c r="I312" s="25">
        <f t="shared" si="47"/>
        <v>-202.00000000000634</v>
      </c>
      <c r="J312" s="25" t="e">
        <f t="shared" si="48"/>
        <v>#VALUE!</v>
      </c>
    </row>
    <row r="313" spans="1:10" x14ac:dyDescent="0.25">
      <c r="A313" s="25">
        <f t="shared" si="49"/>
        <v>-7.0100000000000637</v>
      </c>
      <c r="B313" s="25">
        <f t="shared" ca="1" si="42"/>
        <v>1.9280292032246599E-2</v>
      </c>
      <c r="C313" s="25" t="e">
        <f t="shared" si="43"/>
        <v>#VALUE!</v>
      </c>
      <c r="D313" s="74" t="e">
        <f t="shared" si="44"/>
        <v>#VALUE!</v>
      </c>
      <c r="E313" s="25" t="e">
        <f t="shared" si="45"/>
        <v>#VALUE!</v>
      </c>
      <c r="F313" s="25" t="e">
        <f t="shared" ca="1" si="46"/>
        <v>#VALUE!</v>
      </c>
      <c r="G313" s="25"/>
      <c r="H313" s="25" t="e">
        <f t="shared" si="50"/>
        <v>#VALUE!</v>
      </c>
      <c r="I313" s="25">
        <f t="shared" si="47"/>
        <v>-201.00000000000637</v>
      </c>
      <c r="J313" s="25" t="e">
        <f t="shared" si="48"/>
        <v>#VALUE!</v>
      </c>
    </row>
    <row r="314" spans="1:10" x14ac:dyDescent="0.25">
      <c r="A314" s="25">
        <f t="shared" si="49"/>
        <v>-7.0000000000000639</v>
      </c>
      <c r="B314" s="25">
        <f t="shared" ca="1" si="42"/>
        <v>-8.7594654956977755E-2</v>
      </c>
      <c r="C314" s="25" t="e">
        <f t="shared" si="43"/>
        <v>#VALUE!</v>
      </c>
      <c r="D314" s="74" t="e">
        <f t="shared" si="44"/>
        <v>#VALUE!</v>
      </c>
      <c r="E314" s="25" t="e">
        <f t="shared" si="45"/>
        <v>#VALUE!</v>
      </c>
      <c r="F314" s="25" t="e">
        <f t="shared" ca="1" si="46"/>
        <v>#VALUE!</v>
      </c>
      <c r="G314" s="25"/>
      <c r="H314" s="25" t="e">
        <f t="shared" si="50"/>
        <v>#VALUE!</v>
      </c>
      <c r="I314" s="25">
        <f t="shared" si="47"/>
        <v>-200.00000000000639</v>
      </c>
      <c r="J314" s="25" t="e">
        <f t="shared" si="48"/>
        <v>#VALUE!</v>
      </c>
    </row>
    <row r="315" spans="1:10" x14ac:dyDescent="0.25">
      <c r="A315" s="25">
        <f t="shared" si="49"/>
        <v>-6.9900000000000642</v>
      </c>
      <c r="B315" s="25">
        <f t="shared" ca="1" si="42"/>
        <v>-0.16698693613017654</v>
      </c>
      <c r="C315" s="25" t="e">
        <f t="shared" si="43"/>
        <v>#VALUE!</v>
      </c>
      <c r="D315" s="74" t="e">
        <f t="shared" si="44"/>
        <v>#VALUE!</v>
      </c>
      <c r="E315" s="25" t="e">
        <f t="shared" si="45"/>
        <v>#VALUE!</v>
      </c>
      <c r="F315" s="25" t="e">
        <f t="shared" ca="1" si="46"/>
        <v>#VALUE!</v>
      </c>
      <c r="G315" s="25"/>
      <c r="H315" s="25" t="e">
        <f t="shared" si="50"/>
        <v>#VALUE!</v>
      </c>
      <c r="I315" s="25">
        <f t="shared" si="47"/>
        <v>-199.00000000000642</v>
      </c>
      <c r="J315" s="25" t="e">
        <f t="shared" si="48"/>
        <v>#VALUE!</v>
      </c>
    </row>
    <row r="316" spans="1:10" x14ac:dyDescent="0.25">
      <c r="A316" s="25">
        <f t="shared" si="49"/>
        <v>-6.9800000000000644</v>
      </c>
      <c r="B316" s="25">
        <f t="shared" ca="1" si="42"/>
        <v>2.1084136334511217E-2</v>
      </c>
      <c r="C316" s="25" t="e">
        <f t="shared" si="43"/>
        <v>#VALUE!</v>
      </c>
      <c r="D316" s="74" t="e">
        <f t="shared" si="44"/>
        <v>#VALUE!</v>
      </c>
      <c r="E316" s="25" t="e">
        <f t="shared" si="45"/>
        <v>#VALUE!</v>
      </c>
      <c r="F316" s="25" t="e">
        <f t="shared" ca="1" si="46"/>
        <v>#VALUE!</v>
      </c>
      <c r="G316" s="25"/>
      <c r="H316" s="25" t="e">
        <f t="shared" si="50"/>
        <v>#VALUE!</v>
      </c>
      <c r="I316" s="25">
        <f t="shared" si="47"/>
        <v>-198.00000000000642</v>
      </c>
      <c r="J316" s="25" t="e">
        <f t="shared" si="48"/>
        <v>#VALUE!</v>
      </c>
    </row>
    <row r="317" spans="1:10" x14ac:dyDescent="0.25">
      <c r="A317" s="25">
        <f t="shared" si="49"/>
        <v>-6.9700000000000646</v>
      </c>
      <c r="B317" s="25">
        <f t="shared" ca="1" si="42"/>
        <v>0.10361925901161322</v>
      </c>
      <c r="C317" s="25" t="e">
        <f t="shared" si="43"/>
        <v>#VALUE!</v>
      </c>
      <c r="D317" s="74" t="e">
        <f t="shared" si="44"/>
        <v>#VALUE!</v>
      </c>
      <c r="E317" s="25" t="e">
        <f t="shared" si="45"/>
        <v>#VALUE!</v>
      </c>
      <c r="F317" s="25" t="e">
        <f t="shared" ca="1" si="46"/>
        <v>#VALUE!</v>
      </c>
      <c r="G317" s="25"/>
      <c r="H317" s="25" t="e">
        <f t="shared" si="50"/>
        <v>#VALUE!</v>
      </c>
      <c r="I317" s="25">
        <f t="shared" si="47"/>
        <v>-197.00000000000645</v>
      </c>
      <c r="J317" s="25" t="e">
        <f t="shared" si="48"/>
        <v>#VALUE!</v>
      </c>
    </row>
    <row r="318" spans="1:10" x14ac:dyDescent="0.25">
      <c r="A318" s="25">
        <f t="shared" si="49"/>
        <v>-6.9600000000000648</v>
      </c>
      <c r="B318" s="25">
        <f t="shared" ca="1" si="42"/>
        <v>5.3863898914641856E-2</v>
      </c>
      <c r="C318" s="25" t="e">
        <f t="shared" si="43"/>
        <v>#VALUE!</v>
      </c>
      <c r="D318" s="74" t="e">
        <f t="shared" si="44"/>
        <v>#VALUE!</v>
      </c>
      <c r="E318" s="25" t="e">
        <f t="shared" si="45"/>
        <v>#VALUE!</v>
      </c>
      <c r="F318" s="25" t="e">
        <f t="shared" ca="1" si="46"/>
        <v>#VALUE!</v>
      </c>
      <c r="G318" s="25"/>
      <c r="H318" s="25" t="e">
        <f t="shared" si="50"/>
        <v>#VALUE!</v>
      </c>
      <c r="I318" s="25">
        <f t="shared" si="47"/>
        <v>-196.00000000000648</v>
      </c>
      <c r="J318" s="25" t="e">
        <f t="shared" si="48"/>
        <v>#VALUE!</v>
      </c>
    </row>
    <row r="319" spans="1:10" x14ac:dyDescent="0.25">
      <c r="A319" s="25">
        <f t="shared" si="49"/>
        <v>-6.950000000000065</v>
      </c>
      <c r="B319" s="25">
        <f t="shared" ca="1" si="42"/>
        <v>-0.12465324492697542</v>
      </c>
      <c r="C319" s="25" t="e">
        <f t="shared" si="43"/>
        <v>#VALUE!</v>
      </c>
      <c r="D319" s="74" t="e">
        <f t="shared" si="44"/>
        <v>#VALUE!</v>
      </c>
      <c r="E319" s="25" t="e">
        <f t="shared" si="45"/>
        <v>#VALUE!</v>
      </c>
      <c r="F319" s="25" t="e">
        <f t="shared" ca="1" si="46"/>
        <v>#VALUE!</v>
      </c>
      <c r="G319" s="25"/>
      <c r="H319" s="25" t="e">
        <f t="shared" si="50"/>
        <v>#VALUE!</v>
      </c>
      <c r="I319" s="25">
        <f t="shared" si="47"/>
        <v>-195.00000000000651</v>
      </c>
      <c r="J319" s="25" t="e">
        <f t="shared" si="48"/>
        <v>#VALUE!</v>
      </c>
    </row>
    <row r="320" spans="1:10" x14ac:dyDescent="0.25">
      <c r="A320" s="25">
        <f t="shared" si="49"/>
        <v>-6.9400000000000652</v>
      </c>
      <c r="B320" s="25">
        <f t="shared" ca="1" si="42"/>
        <v>6.6344143783347284E-2</v>
      </c>
      <c r="C320" s="25" t="e">
        <f t="shared" si="43"/>
        <v>#VALUE!</v>
      </c>
      <c r="D320" s="74" t="e">
        <f t="shared" si="44"/>
        <v>#VALUE!</v>
      </c>
      <c r="E320" s="25" t="e">
        <f t="shared" si="45"/>
        <v>#VALUE!</v>
      </c>
      <c r="F320" s="25" t="e">
        <f t="shared" ca="1" si="46"/>
        <v>#VALUE!</v>
      </c>
      <c r="G320" s="25"/>
      <c r="H320" s="25" t="e">
        <f t="shared" si="50"/>
        <v>#VALUE!</v>
      </c>
      <c r="I320" s="25">
        <f t="shared" si="47"/>
        <v>-194.00000000000654</v>
      </c>
      <c r="J320" s="25" t="e">
        <f t="shared" si="48"/>
        <v>#VALUE!</v>
      </c>
    </row>
    <row r="321" spans="1:10" x14ac:dyDescent="0.25">
      <c r="A321" s="25">
        <f t="shared" si="49"/>
        <v>-6.9300000000000654</v>
      </c>
      <c r="B321" s="25">
        <f t="shared" ca="1" si="42"/>
        <v>0.1076294388793206</v>
      </c>
      <c r="C321" s="25" t="e">
        <f t="shared" si="43"/>
        <v>#VALUE!</v>
      </c>
      <c r="D321" s="74" t="e">
        <f t="shared" si="44"/>
        <v>#VALUE!</v>
      </c>
      <c r="E321" s="25" t="e">
        <f t="shared" si="45"/>
        <v>#VALUE!</v>
      </c>
      <c r="F321" s="25" t="e">
        <f t="shared" ca="1" si="46"/>
        <v>#VALUE!</v>
      </c>
      <c r="G321" s="25"/>
      <c r="H321" s="25" t="e">
        <f t="shared" si="50"/>
        <v>#VALUE!</v>
      </c>
      <c r="I321" s="25">
        <f t="shared" si="47"/>
        <v>-193.00000000000654</v>
      </c>
      <c r="J321" s="25" t="e">
        <f t="shared" si="48"/>
        <v>#VALUE!</v>
      </c>
    </row>
    <row r="322" spans="1:10" x14ac:dyDescent="0.25">
      <c r="A322" s="25">
        <f t="shared" si="49"/>
        <v>-6.9200000000000657</v>
      </c>
      <c r="B322" s="25">
        <f t="shared" ca="1" si="42"/>
        <v>-6.4277054798955374E-2</v>
      </c>
      <c r="C322" s="25" t="e">
        <f t="shared" si="43"/>
        <v>#VALUE!</v>
      </c>
      <c r="D322" s="74" t="e">
        <f t="shared" si="44"/>
        <v>#VALUE!</v>
      </c>
      <c r="E322" s="25" t="e">
        <f t="shared" si="45"/>
        <v>#VALUE!</v>
      </c>
      <c r="F322" s="25" t="e">
        <f t="shared" ca="1" si="46"/>
        <v>#VALUE!</v>
      </c>
      <c r="G322" s="25"/>
      <c r="H322" s="25" t="e">
        <f t="shared" si="50"/>
        <v>#VALUE!</v>
      </c>
      <c r="I322" s="25">
        <f t="shared" si="47"/>
        <v>-192.00000000000657</v>
      </c>
      <c r="J322" s="25" t="e">
        <f t="shared" si="48"/>
        <v>#VALUE!</v>
      </c>
    </row>
    <row r="323" spans="1:10" x14ac:dyDescent="0.25">
      <c r="A323" s="25">
        <f t="shared" si="49"/>
        <v>-6.9100000000000659</v>
      </c>
      <c r="B323" s="25">
        <f t="shared" ca="1" si="42"/>
        <v>-0.1647684680880849</v>
      </c>
      <c r="C323" s="25" t="e">
        <f t="shared" si="43"/>
        <v>#VALUE!</v>
      </c>
      <c r="D323" s="74" t="e">
        <f t="shared" si="44"/>
        <v>#VALUE!</v>
      </c>
      <c r="E323" s="25" t="e">
        <f t="shared" si="45"/>
        <v>#VALUE!</v>
      </c>
      <c r="F323" s="25" t="e">
        <f t="shared" ca="1" si="46"/>
        <v>#VALUE!</v>
      </c>
      <c r="G323" s="25"/>
      <c r="H323" s="25" t="e">
        <f t="shared" si="50"/>
        <v>#VALUE!</v>
      </c>
      <c r="I323" s="25">
        <f t="shared" si="47"/>
        <v>-191.00000000000659</v>
      </c>
      <c r="J323" s="25" t="e">
        <f t="shared" si="48"/>
        <v>#VALUE!</v>
      </c>
    </row>
    <row r="324" spans="1:10" x14ac:dyDescent="0.25">
      <c r="A324" s="25">
        <f t="shared" si="49"/>
        <v>-6.9000000000000661</v>
      </c>
      <c r="B324" s="25">
        <f t="shared" ca="1" si="42"/>
        <v>0.13016617182107501</v>
      </c>
      <c r="C324" s="25" t="e">
        <f t="shared" si="43"/>
        <v>#VALUE!</v>
      </c>
      <c r="D324" s="74" t="e">
        <f t="shared" si="44"/>
        <v>#VALUE!</v>
      </c>
      <c r="E324" s="25" t="e">
        <f t="shared" si="45"/>
        <v>#VALUE!</v>
      </c>
      <c r="F324" s="25" t="e">
        <f t="shared" ca="1" si="46"/>
        <v>#VALUE!</v>
      </c>
      <c r="G324" s="25"/>
      <c r="H324" s="25" t="e">
        <f t="shared" si="50"/>
        <v>#VALUE!</v>
      </c>
      <c r="I324" s="25">
        <f t="shared" si="47"/>
        <v>-190.00000000000662</v>
      </c>
      <c r="J324" s="25" t="e">
        <f t="shared" si="48"/>
        <v>#VALUE!</v>
      </c>
    </row>
    <row r="325" spans="1:10" x14ac:dyDescent="0.25">
      <c r="A325" s="25">
        <f t="shared" si="49"/>
        <v>-6.8900000000000663</v>
      </c>
      <c r="B325" s="25">
        <f t="shared" ca="1" si="42"/>
        <v>2.0670789324506195E-2</v>
      </c>
      <c r="C325" s="25" t="e">
        <f t="shared" si="43"/>
        <v>#VALUE!</v>
      </c>
      <c r="D325" s="74" t="e">
        <f t="shared" si="44"/>
        <v>#VALUE!</v>
      </c>
      <c r="E325" s="25" t="e">
        <f t="shared" si="45"/>
        <v>#VALUE!</v>
      </c>
      <c r="F325" s="25" t="e">
        <f t="shared" ca="1" si="46"/>
        <v>#VALUE!</v>
      </c>
      <c r="G325" s="25"/>
      <c r="H325" s="25" t="e">
        <f t="shared" si="50"/>
        <v>#VALUE!</v>
      </c>
      <c r="I325" s="25">
        <f t="shared" si="47"/>
        <v>-189.00000000000665</v>
      </c>
      <c r="J325" s="25" t="e">
        <f t="shared" si="48"/>
        <v>#VALUE!</v>
      </c>
    </row>
    <row r="326" spans="1:10" x14ac:dyDescent="0.25">
      <c r="A326" s="25">
        <f t="shared" si="49"/>
        <v>-6.8800000000000665</v>
      </c>
      <c r="B326" s="25">
        <f t="shared" ca="1" si="42"/>
        <v>-2.6943322218622259E-3</v>
      </c>
      <c r="C326" s="25" t="e">
        <f t="shared" si="43"/>
        <v>#VALUE!</v>
      </c>
      <c r="D326" s="74" t="e">
        <f t="shared" si="44"/>
        <v>#VALUE!</v>
      </c>
      <c r="E326" s="25" t="e">
        <f t="shared" si="45"/>
        <v>#VALUE!</v>
      </c>
      <c r="F326" s="25" t="e">
        <f t="shared" ca="1" si="46"/>
        <v>#VALUE!</v>
      </c>
      <c r="G326" s="25"/>
      <c r="H326" s="25" t="e">
        <f t="shared" si="50"/>
        <v>#VALUE!</v>
      </c>
      <c r="I326" s="25">
        <f t="shared" si="47"/>
        <v>-188.00000000000665</v>
      </c>
      <c r="J326" s="25" t="e">
        <f t="shared" si="48"/>
        <v>#VALUE!</v>
      </c>
    </row>
    <row r="327" spans="1:10" x14ac:dyDescent="0.25">
      <c r="A327" s="25">
        <f t="shared" si="49"/>
        <v>-6.8700000000000667</v>
      </c>
      <c r="B327" s="25">
        <f t="shared" ca="1" si="42"/>
        <v>-0.17597395986240494</v>
      </c>
      <c r="C327" s="25" t="e">
        <f t="shared" si="43"/>
        <v>#VALUE!</v>
      </c>
      <c r="D327" s="74" t="e">
        <f t="shared" si="44"/>
        <v>#VALUE!</v>
      </c>
      <c r="E327" s="25" t="e">
        <f t="shared" si="45"/>
        <v>#VALUE!</v>
      </c>
      <c r="F327" s="25" t="e">
        <f t="shared" ca="1" si="46"/>
        <v>#VALUE!</v>
      </c>
      <c r="G327" s="25"/>
      <c r="H327" s="25" t="e">
        <f t="shared" si="50"/>
        <v>#VALUE!</v>
      </c>
      <c r="I327" s="25">
        <f t="shared" si="47"/>
        <v>-187.00000000000665</v>
      </c>
      <c r="J327" s="25" t="e">
        <f t="shared" si="48"/>
        <v>#VALUE!</v>
      </c>
    </row>
    <row r="328" spans="1:10" x14ac:dyDescent="0.25">
      <c r="A328" s="25">
        <f t="shared" si="49"/>
        <v>-6.8600000000000669</v>
      </c>
      <c r="B328" s="25">
        <f t="shared" ca="1" si="42"/>
        <v>-4.3309450732188996E-2</v>
      </c>
      <c r="C328" s="25" t="e">
        <f t="shared" si="43"/>
        <v>#VALUE!</v>
      </c>
      <c r="D328" s="74" t="e">
        <f t="shared" si="44"/>
        <v>#VALUE!</v>
      </c>
      <c r="E328" s="25" t="e">
        <f t="shared" si="45"/>
        <v>#VALUE!</v>
      </c>
      <c r="F328" s="25" t="e">
        <f t="shared" ca="1" si="46"/>
        <v>#VALUE!</v>
      </c>
      <c r="G328" s="25"/>
      <c r="H328" s="25" t="e">
        <f t="shared" si="50"/>
        <v>#VALUE!</v>
      </c>
      <c r="I328" s="25">
        <f t="shared" si="47"/>
        <v>-186.00000000000668</v>
      </c>
      <c r="J328" s="25" t="e">
        <f t="shared" si="48"/>
        <v>#VALUE!</v>
      </c>
    </row>
    <row r="329" spans="1:10" x14ac:dyDescent="0.25">
      <c r="A329" s="25">
        <f t="shared" si="49"/>
        <v>-6.8500000000000671</v>
      </c>
      <c r="B329" s="25">
        <f t="shared" ca="1" si="42"/>
        <v>-3.9145030916340378E-3</v>
      </c>
      <c r="C329" s="25" t="e">
        <f t="shared" si="43"/>
        <v>#VALUE!</v>
      </c>
      <c r="D329" s="74" t="e">
        <f t="shared" si="44"/>
        <v>#VALUE!</v>
      </c>
      <c r="E329" s="25" t="e">
        <f t="shared" si="45"/>
        <v>#VALUE!</v>
      </c>
      <c r="F329" s="25" t="e">
        <f t="shared" ca="1" si="46"/>
        <v>#VALUE!</v>
      </c>
      <c r="G329" s="25"/>
      <c r="H329" s="25" t="e">
        <f t="shared" si="50"/>
        <v>#VALUE!</v>
      </c>
      <c r="I329" s="25">
        <f t="shared" si="47"/>
        <v>-185.00000000000671</v>
      </c>
      <c r="J329" s="25" t="e">
        <f t="shared" si="48"/>
        <v>#VALUE!</v>
      </c>
    </row>
    <row r="330" spans="1:10" x14ac:dyDescent="0.25">
      <c r="A330" s="25">
        <f t="shared" si="49"/>
        <v>-6.8400000000000674</v>
      </c>
      <c r="B330" s="25">
        <f t="shared" ca="1" si="42"/>
        <v>-6.2885730852442395E-2</v>
      </c>
      <c r="C330" s="25" t="e">
        <f t="shared" si="43"/>
        <v>#VALUE!</v>
      </c>
      <c r="D330" s="74" t="e">
        <f t="shared" si="44"/>
        <v>#VALUE!</v>
      </c>
      <c r="E330" s="25" t="e">
        <f t="shared" si="45"/>
        <v>#VALUE!</v>
      </c>
      <c r="F330" s="25" t="e">
        <f t="shared" ca="1" si="46"/>
        <v>#VALUE!</v>
      </c>
      <c r="G330" s="25"/>
      <c r="H330" s="25" t="e">
        <f t="shared" si="50"/>
        <v>#VALUE!</v>
      </c>
      <c r="I330" s="25">
        <f t="shared" si="47"/>
        <v>-184.00000000000674</v>
      </c>
      <c r="J330" s="25" t="e">
        <f t="shared" si="48"/>
        <v>#VALUE!</v>
      </c>
    </row>
    <row r="331" spans="1:10" x14ac:dyDescent="0.25">
      <c r="A331" s="25">
        <f t="shared" si="49"/>
        <v>-6.8300000000000676</v>
      </c>
      <c r="B331" s="25">
        <f t="shared" ca="1" si="42"/>
        <v>1.3186499973496033E-2</v>
      </c>
      <c r="C331" s="25" t="e">
        <f t="shared" si="43"/>
        <v>#VALUE!</v>
      </c>
      <c r="D331" s="74" t="e">
        <f t="shared" si="44"/>
        <v>#VALUE!</v>
      </c>
      <c r="E331" s="25" t="e">
        <f t="shared" si="45"/>
        <v>#VALUE!</v>
      </c>
      <c r="F331" s="25" t="e">
        <f t="shared" ca="1" si="46"/>
        <v>#VALUE!</v>
      </c>
      <c r="G331" s="25"/>
      <c r="H331" s="25" t="e">
        <f t="shared" si="50"/>
        <v>#VALUE!</v>
      </c>
      <c r="I331" s="25">
        <f t="shared" si="47"/>
        <v>-183.00000000000676</v>
      </c>
      <c r="J331" s="25" t="e">
        <f t="shared" si="48"/>
        <v>#VALUE!</v>
      </c>
    </row>
    <row r="332" spans="1:10" x14ac:dyDescent="0.25">
      <c r="A332" s="25">
        <f t="shared" si="49"/>
        <v>-6.8200000000000678</v>
      </c>
      <c r="B332" s="25">
        <f t="shared" ca="1" si="42"/>
        <v>3.7934259790880193E-2</v>
      </c>
      <c r="C332" s="25" t="e">
        <f t="shared" si="43"/>
        <v>#VALUE!</v>
      </c>
      <c r="D332" s="74" t="e">
        <f t="shared" si="44"/>
        <v>#VALUE!</v>
      </c>
      <c r="E332" s="25" t="e">
        <f t="shared" si="45"/>
        <v>#VALUE!</v>
      </c>
      <c r="F332" s="25" t="e">
        <f t="shared" ca="1" si="46"/>
        <v>#VALUE!</v>
      </c>
      <c r="G332" s="25"/>
      <c r="H332" s="25" t="e">
        <f t="shared" si="50"/>
        <v>#VALUE!</v>
      </c>
      <c r="I332" s="25">
        <f t="shared" si="47"/>
        <v>-182.00000000000676</v>
      </c>
      <c r="J332" s="25" t="e">
        <f t="shared" si="48"/>
        <v>#VALUE!</v>
      </c>
    </row>
    <row r="333" spans="1:10" x14ac:dyDescent="0.25">
      <c r="A333" s="25">
        <f t="shared" si="49"/>
        <v>-6.810000000000068</v>
      </c>
      <c r="B333" s="25">
        <f t="shared" ca="1" si="42"/>
        <v>-3.0274466486458568E-2</v>
      </c>
      <c r="C333" s="25" t="e">
        <f t="shared" si="43"/>
        <v>#VALUE!</v>
      </c>
      <c r="D333" s="74" t="e">
        <f t="shared" si="44"/>
        <v>#VALUE!</v>
      </c>
      <c r="E333" s="25" t="e">
        <f t="shared" si="45"/>
        <v>#VALUE!</v>
      </c>
      <c r="F333" s="25" t="e">
        <f t="shared" ca="1" si="46"/>
        <v>#VALUE!</v>
      </c>
      <c r="G333" s="25"/>
      <c r="H333" s="25" t="e">
        <f t="shared" si="50"/>
        <v>#VALUE!</v>
      </c>
      <c r="I333" s="25">
        <f t="shared" si="47"/>
        <v>-181.00000000000679</v>
      </c>
      <c r="J333" s="25" t="e">
        <f t="shared" si="48"/>
        <v>#VALUE!</v>
      </c>
    </row>
    <row r="334" spans="1:10" x14ac:dyDescent="0.25">
      <c r="A334" s="25">
        <f t="shared" si="49"/>
        <v>-6.8000000000000682</v>
      </c>
      <c r="B334" s="25">
        <f t="shared" ref="B334:B397" ca="1" si="51">(RAND()-0.5-$B$7)/$B$5</f>
        <v>-0.14926103836508633</v>
      </c>
      <c r="C334" s="25" t="e">
        <f t="shared" ref="C334:C397" si="52">IF(ABS(A334)&lt;=($D$3/2),1,IF(ABS(A334)&lt;=($B$4/2),IF(A334&gt;0,A334*(4/(1-2*$B$4))+(2*$B$4/(2*$B$4-1)),(-A334*(4/(1-2*$B$4))+(2*$B$4/(2*$B$4-1)))),0))</f>
        <v>#VALUE!</v>
      </c>
      <c r="D334" s="74" t="e">
        <f t="shared" ref="D334:D397" si="53">IF(ABS(A334)&lt;=($D$3/4+$B$4/4),1,IF(ABS(A334)&lt;=($B$4/2),(IF(A334&gt;0,A334*(8/(1-2*$B$4))+(4*$B$4)/(2*$B$4-1),(-A334*(8/(1-2*$B$4))+(4*$B$4)/(2*$B$4-1)))),0))</f>
        <v>#VALUE!</v>
      </c>
      <c r="E334" s="25" t="e">
        <f t="shared" ref="E334:E397" si="54">IF(ABS(A334)&lt;($B$4/2), 1, 0)</f>
        <v>#VALUE!</v>
      </c>
      <c r="F334" s="25" t="e">
        <f t="shared" ref="F334:F397" ca="1" si="55">C334+B334</f>
        <v>#VALUE!</v>
      </c>
      <c r="G334" s="25"/>
      <c r="H334" s="25" t="e">
        <f t="shared" si="50"/>
        <v>#VALUE!</v>
      </c>
      <c r="I334" s="25">
        <f t="shared" ref="I334:I397" si="56">$I$3*(A334-$G$3)/($H$3-$G$3)</f>
        <v>-180.00000000000682</v>
      </c>
      <c r="J334" s="25" t="e">
        <f t="shared" ref="J334:J397" si="57">H334</f>
        <v>#VALUE!</v>
      </c>
    </row>
    <row r="335" spans="1:10" x14ac:dyDescent="0.25">
      <c r="A335" s="25">
        <f t="shared" ref="A335:A398" si="58">A334+0.01</f>
        <v>-6.7900000000000684</v>
      </c>
      <c r="B335" s="25">
        <f t="shared" ca="1" si="51"/>
        <v>9.7116134224818282E-2</v>
      </c>
      <c r="C335" s="25" t="e">
        <f t="shared" si="52"/>
        <v>#VALUE!</v>
      </c>
      <c r="D335" s="74" t="e">
        <f t="shared" si="53"/>
        <v>#VALUE!</v>
      </c>
      <c r="E335" s="25" t="e">
        <f t="shared" si="54"/>
        <v>#VALUE!</v>
      </c>
      <c r="F335" s="25" t="e">
        <f t="shared" ca="1" si="55"/>
        <v>#VALUE!</v>
      </c>
      <c r="G335" s="25"/>
      <c r="H335" s="25" t="e">
        <f t="shared" si="50"/>
        <v>#VALUE!</v>
      </c>
      <c r="I335" s="25">
        <f t="shared" si="56"/>
        <v>-179.00000000000685</v>
      </c>
      <c r="J335" s="25" t="e">
        <f t="shared" si="57"/>
        <v>#VALUE!</v>
      </c>
    </row>
    <row r="336" spans="1:10" x14ac:dyDescent="0.25">
      <c r="A336" s="25">
        <f t="shared" si="58"/>
        <v>-6.7800000000000686</v>
      </c>
      <c r="B336" s="25">
        <f t="shared" ca="1" si="51"/>
        <v>1.3525150743275602E-2</v>
      </c>
      <c r="C336" s="25" t="e">
        <f t="shared" si="52"/>
        <v>#VALUE!</v>
      </c>
      <c r="D336" s="74" t="e">
        <f t="shared" si="53"/>
        <v>#VALUE!</v>
      </c>
      <c r="E336" s="25" t="e">
        <f t="shared" si="54"/>
        <v>#VALUE!</v>
      </c>
      <c r="F336" s="25" t="e">
        <f t="shared" ca="1" si="55"/>
        <v>#VALUE!</v>
      </c>
      <c r="G336" s="25"/>
      <c r="H336" s="25" t="e">
        <f t="shared" si="50"/>
        <v>#VALUE!</v>
      </c>
      <c r="I336" s="25">
        <f t="shared" si="56"/>
        <v>-178.00000000000688</v>
      </c>
      <c r="J336" s="25" t="e">
        <f t="shared" si="57"/>
        <v>#VALUE!</v>
      </c>
    </row>
    <row r="337" spans="1:10" x14ac:dyDescent="0.25">
      <c r="A337" s="25">
        <f t="shared" si="58"/>
        <v>-6.7700000000000689</v>
      </c>
      <c r="B337" s="25">
        <f t="shared" ca="1" si="51"/>
        <v>1.2515939465516315E-2</v>
      </c>
      <c r="C337" s="25" t="e">
        <f t="shared" si="52"/>
        <v>#VALUE!</v>
      </c>
      <c r="D337" s="74" t="e">
        <f t="shared" si="53"/>
        <v>#VALUE!</v>
      </c>
      <c r="E337" s="25" t="e">
        <f t="shared" si="54"/>
        <v>#VALUE!</v>
      </c>
      <c r="F337" s="25" t="e">
        <f t="shared" ca="1" si="55"/>
        <v>#VALUE!</v>
      </c>
      <c r="G337" s="25"/>
      <c r="H337" s="25" t="e">
        <f t="shared" si="50"/>
        <v>#VALUE!</v>
      </c>
      <c r="I337" s="25">
        <f t="shared" si="56"/>
        <v>-177.00000000000688</v>
      </c>
      <c r="J337" s="25" t="e">
        <f t="shared" si="57"/>
        <v>#VALUE!</v>
      </c>
    </row>
    <row r="338" spans="1:10" x14ac:dyDescent="0.25">
      <c r="A338" s="25">
        <f t="shared" si="58"/>
        <v>-6.7600000000000691</v>
      </c>
      <c r="B338" s="25">
        <f t="shared" ca="1" si="51"/>
        <v>7.6533945324983463E-2</v>
      </c>
      <c r="C338" s="25" t="e">
        <f t="shared" si="52"/>
        <v>#VALUE!</v>
      </c>
      <c r="D338" s="74" t="e">
        <f t="shared" si="53"/>
        <v>#VALUE!</v>
      </c>
      <c r="E338" s="25" t="e">
        <f t="shared" si="54"/>
        <v>#VALUE!</v>
      </c>
      <c r="F338" s="25" t="e">
        <f t="shared" ca="1" si="55"/>
        <v>#VALUE!</v>
      </c>
      <c r="G338" s="25"/>
      <c r="H338" s="25" t="e">
        <f t="shared" si="50"/>
        <v>#VALUE!</v>
      </c>
      <c r="I338" s="25">
        <f t="shared" si="56"/>
        <v>-176.00000000000691</v>
      </c>
      <c r="J338" s="25" t="e">
        <f t="shared" si="57"/>
        <v>#VALUE!</v>
      </c>
    </row>
    <row r="339" spans="1:10" x14ac:dyDescent="0.25">
      <c r="A339" s="25">
        <f t="shared" si="58"/>
        <v>-6.7500000000000693</v>
      </c>
      <c r="B339" s="25">
        <f t="shared" ca="1" si="51"/>
        <v>-0.15124812579983027</v>
      </c>
      <c r="C339" s="25" t="e">
        <f t="shared" si="52"/>
        <v>#VALUE!</v>
      </c>
      <c r="D339" s="74" t="e">
        <f t="shared" si="53"/>
        <v>#VALUE!</v>
      </c>
      <c r="E339" s="25" t="e">
        <f t="shared" si="54"/>
        <v>#VALUE!</v>
      </c>
      <c r="F339" s="25" t="e">
        <f t="shared" ca="1" si="55"/>
        <v>#VALUE!</v>
      </c>
      <c r="G339" s="25"/>
      <c r="H339" s="25" t="e">
        <f t="shared" si="50"/>
        <v>#VALUE!</v>
      </c>
      <c r="I339" s="25">
        <f t="shared" si="56"/>
        <v>-175.00000000000693</v>
      </c>
      <c r="J339" s="25" t="e">
        <f t="shared" si="57"/>
        <v>#VALUE!</v>
      </c>
    </row>
    <row r="340" spans="1:10" x14ac:dyDescent="0.25">
      <c r="A340" s="25">
        <f t="shared" si="58"/>
        <v>-6.7400000000000695</v>
      </c>
      <c r="B340" s="25">
        <f t="shared" ca="1" si="51"/>
        <v>7.7159599236205439E-2</v>
      </c>
      <c r="C340" s="25" t="e">
        <f t="shared" si="52"/>
        <v>#VALUE!</v>
      </c>
      <c r="D340" s="74" t="e">
        <f t="shared" si="53"/>
        <v>#VALUE!</v>
      </c>
      <c r="E340" s="25" t="e">
        <f t="shared" si="54"/>
        <v>#VALUE!</v>
      </c>
      <c r="F340" s="25" t="e">
        <f t="shared" ca="1" si="55"/>
        <v>#VALUE!</v>
      </c>
      <c r="G340" s="25"/>
      <c r="H340" s="25" t="e">
        <f t="shared" si="50"/>
        <v>#VALUE!</v>
      </c>
      <c r="I340" s="25">
        <f t="shared" si="56"/>
        <v>-174.00000000000696</v>
      </c>
      <c r="J340" s="25" t="e">
        <f t="shared" si="57"/>
        <v>#VALUE!</v>
      </c>
    </row>
    <row r="341" spans="1:10" x14ac:dyDescent="0.25">
      <c r="A341" s="25">
        <f t="shared" si="58"/>
        <v>-6.7300000000000697</v>
      </c>
      <c r="B341" s="25">
        <f t="shared" ca="1" si="51"/>
        <v>-4.9598282075520833E-2</v>
      </c>
      <c r="C341" s="25" t="e">
        <f t="shared" si="52"/>
        <v>#VALUE!</v>
      </c>
      <c r="D341" s="74" t="e">
        <f t="shared" si="53"/>
        <v>#VALUE!</v>
      </c>
      <c r="E341" s="25" t="e">
        <f t="shared" si="54"/>
        <v>#VALUE!</v>
      </c>
      <c r="F341" s="25" t="e">
        <f t="shared" ca="1" si="55"/>
        <v>#VALUE!</v>
      </c>
      <c r="G341" s="25"/>
      <c r="H341" s="25" t="e">
        <f t="shared" si="50"/>
        <v>#VALUE!</v>
      </c>
      <c r="I341" s="25">
        <f t="shared" si="56"/>
        <v>-173.00000000000699</v>
      </c>
      <c r="J341" s="25" t="e">
        <f t="shared" si="57"/>
        <v>#VALUE!</v>
      </c>
    </row>
    <row r="342" spans="1:10" x14ac:dyDescent="0.25">
      <c r="A342" s="25">
        <f t="shared" si="58"/>
        <v>-6.7200000000000699</v>
      </c>
      <c r="B342" s="25">
        <f t="shared" ca="1" si="51"/>
        <v>5.7308034435204554E-2</v>
      </c>
      <c r="C342" s="25" t="e">
        <f t="shared" si="52"/>
        <v>#VALUE!</v>
      </c>
      <c r="D342" s="74" t="e">
        <f t="shared" si="53"/>
        <v>#VALUE!</v>
      </c>
      <c r="E342" s="25" t="e">
        <f t="shared" si="54"/>
        <v>#VALUE!</v>
      </c>
      <c r="F342" s="25" t="e">
        <f t="shared" ca="1" si="55"/>
        <v>#VALUE!</v>
      </c>
      <c r="G342" s="25"/>
      <c r="H342" s="25" t="e">
        <f t="shared" si="50"/>
        <v>#VALUE!</v>
      </c>
      <c r="I342" s="25">
        <f t="shared" si="56"/>
        <v>-172.00000000000699</v>
      </c>
      <c r="J342" s="25" t="e">
        <f t="shared" si="57"/>
        <v>#VALUE!</v>
      </c>
    </row>
    <row r="343" spans="1:10" x14ac:dyDescent="0.25">
      <c r="A343" s="25">
        <f t="shared" si="58"/>
        <v>-6.7100000000000701</v>
      </c>
      <c r="B343" s="25">
        <f t="shared" ca="1" si="51"/>
        <v>-9.6605783295345415E-2</v>
      </c>
      <c r="C343" s="25" t="e">
        <f t="shared" si="52"/>
        <v>#VALUE!</v>
      </c>
      <c r="D343" s="74" t="e">
        <f t="shared" si="53"/>
        <v>#VALUE!</v>
      </c>
      <c r="E343" s="25" t="e">
        <f t="shared" si="54"/>
        <v>#VALUE!</v>
      </c>
      <c r="F343" s="25" t="e">
        <f t="shared" ca="1" si="55"/>
        <v>#VALUE!</v>
      </c>
      <c r="G343" s="25"/>
      <c r="H343" s="25" t="e">
        <f t="shared" si="50"/>
        <v>#VALUE!</v>
      </c>
      <c r="I343" s="25">
        <f t="shared" si="56"/>
        <v>-171.00000000000699</v>
      </c>
      <c r="J343" s="25" t="e">
        <f t="shared" si="57"/>
        <v>#VALUE!</v>
      </c>
    </row>
    <row r="344" spans="1:10" x14ac:dyDescent="0.25">
      <c r="A344" s="25">
        <f t="shared" si="58"/>
        <v>-6.7000000000000703</v>
      </c>
      <c r="B344" s="25">
        <f t="shared" ca="1" si="51"/>
        <v>0.11184754217837967</v>
      </c>
      <c r="C344" s="25" t="e">
        <f t="shared" si="52"/>
        <v>#VALUE!</v>
      </c>
      <c r="D344" s="74" t="e">
        <f t="shared" si="53"/>
        <v>#VALUE!</v>
      </c>
      <c r="E344" s="25" t="e">
        <f t="shared" si="54"/>
        <v>#VALUE!</v>
      </c>
      <c r="F344" s="25" t="e">
        <f t="shared" ca="1" si="55"/>
        <v>#VALUE!</v>
      </c>
      <c r="G344" s="25"/>
      <c r="H344" s="25" t="e">
        <f t="shared" si="50"/>
        <v>#VALUE!</v>
      </c>
      <c r="I344" s="25">
        <f t="shared" si="56"/>
        <v>-170.00000000000702</v>
      </c>
      <c r="J344" s="25" t="e">
        <f t="shared" si="57"/>
        <v>#VALUE!</v>
      </c>
    </row>
    <row r="345" spans="1:10" x14ac:dyDescent="0.25">
      <c r="A345" s="25">
        <f t="shared" si="58"/>
        <v>-6.6900000000000706</v>
      </c>
      <c r="B345" s="25">
        <f t="shared" ca="1" si="51"/>
        <v>9.491474921569798E-2</v>
      </c>
      <c r="C345" s="25" t="e">
        <f t="shared" si="52"/>
        <v>#VALUE!</v>
      </c>
      <c r="D345" s="74" t="e">
        <f t="shared" si="53"/>
        <v>#VALUE!</v>
      </c>
      <c r="E345" s="25" t="e">
        <f t="shared" si="54"/>
        <v>#VALUE!</v>
      </c>
      <c r="F345" s="25" t="e">
        <f t="shared" ca="1" si="55"/>
        <v>#VALUE!</v>
      </c>
      <c r="G345" s="25"/>
      <c r="H345" s="25" t="e">
        <f t="shared" si="50"/>
        <v>#VALUE!</v>
      </c>
      <c r="I345" s="25">
        <f t="shared" si="56"/>
        <v>-169.00000000000705</v>
      </c>
      <c r="J345" s="25" t="e">
        <f t="shared" si="57"/>
        <v>#VALUE!</v>
      </c>
    </row>
    <row r="346" spans="1:10" x14ac:dyDescent="0.25">
      <c r="A346" s="25">
        <f t="shared" si="58"/>
        <v>-6.6800000000000708</v>
      </c>
      <c r="B346" s="25">
        <f t="shared" ca="1" si="51"/>
        <v>0.11440232729845749</v>
      </c>
      <c r="C346" s="25" t="e">
        <f t="shared" si="52"/>
        <v>#VALUE!</v>
      </c>
      <c r="D346" s="74" t="e">
        <f t="shared" si="53"/>
        <v>#VALUE!</v>
      </c>
      <c r="E346" s="25" t="e">
        <f t="shared" si="54"/>
        <v>#VALUE!</v>
      </c>
      <c r="F346" s="25" t="e">
        <f t="shared" ca="1" si="55"/>
        <v>#VALUE!</v>
      </c>
      <c r="G346" s="25"/>
      <c r="H346" s="25" t="e">
        <f t="shared" si="50"/>
        <v>#VALUE!</v>
      </c>
      <c r="I346" s="25">
        <f t="shared" si="56"/>
        <v>-168.00000000000708</v>
      </c>
      <c r="J346" s="25" t="e">
        <f t="shared" si="57"/>
        <v>#VALUE!</v>
      </c>
    </row>
    <row r="347" spans="1:10" x14ac:dyDescent="0.25">
      <c r="A347" s="25">
        <f t="shared" si="58"/>
        <v>-6.670000000000071</v>
      </c>
      <c r="B347" s="25">
        <f t="shared" ca="1" si="51"/>
        <v>-0.1479840904038964</v>
      </c>
      <c r="C347" s="25" t="e">
        <f t="shared" si="52"/>
        <v>#VALUE!</v>
      </c>
      <c r="D347" s="74" t="e">
        <f t="shared" si="53"/>
        <v>#VALUE!</v>
      </c>
      <c r="E347" s="25" t="e">
        <f t="shared" si="54"/>
        <v>#VALUE!</v>
      </c>
      <c r="F347" s="25" t="e">
        <f t="shared" ca="1" si="55"/>
        <v>#VALUE!</v>
      </c>
      <c r="G347" s="25"/>
      <c r="H347" s="25" t="e">
        <f t="shared" si="50"/>
        <v>#VALUE!</v>
      </c>
      <c r="I347" s="25">
        <f t="shared" si="56"/>
        <v>-167.00000000000711</v>
      </c>
      <c r="J347" s="25" t="e">
        <f t="shared" si="57"/>
        <v>#VALUE!</v>
      </c>
    </row>
    <row r="348" spans="1:10" x14ac:dyDescent="0.25">
      <c r="A348" s="25">
        <f t="shared" si="58"/>
        <v>-6.6600000000000712</v>
      </c>
      <c r="B348" s="25">
        <f t="shared" ca="1" si="51"/>
        <v>-0.12254398123287502</v>
      </c>
      <c r="C348" s="25" t="e">
        <f t="shared" si="52"/>
        <v>#VALUE!</v>
      </c>
      <c r="D348" s="74" t="e">
        <f t="shared" si="53"/>
        <v>#VALUE!</v>
      </c>
      <c r="E348" s="25" t="e">
        <f t="shared" si="54"/>
        <v>#VALUE!</v>
      </c>
      <c r="F348" s="25" t="e">
        <f t="shared" ca="1" si="55"/>
        <v>#VALUE!</v>
      </c>
      <c r="G348" s="25"/>
      <c r="H348" s="25" t="e">
        <f t="shared" si="50"/>
        <v>#VALUE!</v>
      </c>
      <c r="I348" s="25">
        <f t="shared" si="56"/>
        <v>-166.00000000000711</v>
      </c>
      <c r="J348" s="25" t="e">
        <f t="shared" si="57"/>
        <v>#VALUE!</v>
      </c>
    </row>
    <row r="349" spans="1:10" x14ac:dyDescent="0.25">
      <c r="A349" s="25">
        <f t="shared" si="58"/>
        <v>-6.6500000000000714</v>
      </c>
      <c r="B349" s="25">
        <f t="shared" ca="1" si="51"/>
        <v>-4.9612622736141983E-2</v>
      </c>
      <c r="C349" s="25" t="e">
        <f t="shared" si="52"/>
        <v>#VALUE!</v>
      </c>
      <c r="D349" s="74" t="e">
        <f t="shared" si="53"/>
        <v>#VALUE!</v>
      </c>
      <c r="E349" s="25" t="e">
        <f t="shared" si="54"/>
        <v>#VALUE!</v>
      </c>
      <c r="F349" s="25" t="e">
        <f t="shared" ca="1" si="55"/>
        <v>#VALUE!</v>
      </c>
      <c r="G349" s="25"/>
      <c r="H349" s="25" t="e">
        <f t="shared" si="50"/>
        <v>#VALUE!</v>
      </c>
      <c r="I349" s="25">
        <f t="shared" si="56"/>
        <v>-165.00000000000713</v>
      </c>
      <c r="J349" s="25" t="e">
        <f t="shared" si="57"/>
        <v>#VALUE!</v>
      </c>
    </row>
    <row r="350" spans="1:10" x14ac:dyDescent="0.25">
      <c r="A350" s="25">
        <f t="shared" si="58"/>
        <v>-6.6400000000000716</v>
      </c>
      <c r="B350" s="25">
        <f t="shared" ca="1" si="51"/>
        <v>-0.16989389736585228</v>
      </c>
      <c r="C350" s="25" t="e">
        <f t="shared" si="52"/>
        <v>#VALUE!</v>
      </c>
      <c r="D350" s="74" t="e">
        <f t="shared" si="53"/>
        <v>#VALUE!</v>
      </c>
      <c r="E350" s="25" t="e">
        <f t="shared" si="54"/>
        <v>#VALUE!</v>
      </c>
      <c r="F350" s="25" t="e">
        <f t="shared" ca="1" si="55"/>
        <v>#VALUE!</v>
      </c>
      <c r="G350" s="25"/>
      <c r="H350" s="25" t="e">
        <f t="shared" ref="H350:H413" si="59">IF(PeakShape=$O$3,C350,IF(PeakShape=O352,D350,E350))</f>
        <v>#VALUE!</v>
      </c>
      <c r="I350" s="25">
        <f t="shared" si="56"/>
        <v>-164.00000000000716</v>
      </c>
      <c r="J350" s="25" t="e">
        <f t="shared" si="57"/>
        <v>#VALUE!</v>
      </c>
    </row>
    <row r="351" spans="1:10" x14ac:dyDescent="0.25">
      <c r="A351" s="25">
        <f t="shared" si="58"/>
        <v>-6.6300000000000718</v>
      </c>
      <c r="B351" s="25">
        <f t="shared" ca="1" si="51"/>
        <v>3.2911677210048902E-2</v>
      </c>
      <c r="C351" s="25" t="e">
        <f t="shared" si="52"/>
        <v>#VALUE!</v>
      </c>
      <c r="D351" s="74" t="e">
        <f t="shared" si="53"/>
        <v>#VALUE!</v>
      </c>
      <c r="E351" s="25" t="e">
        <f t="shared" si="54"/>
        <v>#VALUE!</v>
      </c>
      <c r="F351" s="25" t="e">
        <f t="shared" ca="1" si="55"/>
        <v>#VALUE!</v>
      </c>
      <c r="G351" s="25"/>
      <c r="H351" s="25" t="e">
        <f t="shared" si="59"/>
        <v>#VALUE!</v>
      </c>
      <c r="I351" s="25">
        <f t="shared" si="56"/>
        <v>-163.00000000000719</v>
      </c>
      <c r="J351" s="25" t="e">
        <f t="shared" si="57"/>
        <v>#VALUE!</v>
      </c>
    </row>
    <row r="352" spans="1:10" x14ac:dyDescent="0.25">
      <c r="A352" s="25">
        <f t="shared" si="58"/>
        <v>-6.620000000000072</v>
      </c>
      <c r="B352" s="25">
        <f t="shared" ca="1" si="51"/>
        <v>0.11614558753179405</v>
      </c>
      <c r="C352" s="25" t="e">
        <f t="shared" si="52"/>
        <v>#VALUE!</v>
      </c>
      <c r="D352" s="74" t="e">
        <f t="shared" si="53"/>
        <v>#VALUE!</v>
      </c>
      <c r="E352" s="25" t="e">
        <f t="shared" si="54"/>
        <v>#VALUE!</v>
      </c>
      <c r="F352" s="25" t="e">
        <f t="shared" ca="1" si="55"/>
        <v>#VALUE!</v>
      </c>
      <c r="G352" s="25"/>
      <c r="H352" s="25" t="e">
        <f t="shared" si="59"/>
        <v>#VALUE!</v>
      </c>
      <c r="I352" s="25">
        <f t="shared" si="56"/>
        <v>-162.00000000000722</v>
      </c>
      <c r="J352" s="25" t="e">
        <f t="shared" si="57"/>
        <v>#VALUE!</v>
      </c>
    </row>
    <row r="353" spans="1:10" x14ac:dyDescent="0.25">
      <c r="A353" s="25">
        <f t="shared" si="58"/>
        <v>-6.6100000000000723</v>
      </c>
      <c r="B353" s="25">
        <f t="shared" ca="1" si="51"/>
        <v>-0.13287146673366468</v>
      </c>
      <c r="C353" s="25" t="e">
        <f t="shared" si="52"/>
        <v>#VALUE!</v>
      </c>
      <c r="D353" s="74" t="e">
        <f t="shared" si="53"/>
        <v>#VALUE!</v>
      </c>
      <c r="E353" s="25" t="e">
        <f t="shared" si="54"/>
        <v>#VALUE!</v>
      </c>
      <c r="F353" s="25" t="e">
        <f t="shared" ca="1" si="55"/>
        <v>#VALUE!</v>
      </c>
      <c r="G353" s="25"/>
      <c r="H353" s="25" t="e">
        <f t="shared" si="59"/>
        <v>#VALUE!</v>
      </c>
      <c r="I353" s="25">
        <f t="shared" si="56"/>
        <v>-161.00000000000722</v>
      </c>
      <c r="J353" s="25" t="e">
        <f t="shared" si="57"/>
        <v>#VALUE!</v>
      </c>
    </row>
    <row r="354" spans="1:10" x14ac:dyDescent="0.25">
      <c r="A354" s="25">
        <f t="shared" si="58"/>
        <v>-6.6000000000000725</v>
      </c>
      <c r="B354" s="25">
        <f t="shared" ca="1" si="51"/>
        <v>-7.8474244773410112E-2</v>
      </c>
      <c r="C354" s="25" t="e">
        <f t="shared" si="52"/>
        <v>#VALUE!</v>
      </c>
      <c r="D354" s="74" t="e">
        <f t="shared" si="53"/>
        <v>#VALUE!</v>
      </c>
      <c r="E354" s="25" t="e">
        <f t="shared" si="54"/>
        <v>#VALUE!</v>
      </c>
      <c r="F354" s="25" t="e">
        <f t="shared" ca="1" si="55"/>
        <v>#VALUE!</v>
      </c>
      <c r="G354" s="25"/>
      <c r="H354" s="25" t="e">
        <f t="shared" si="59"/>
        <v>#VALUE!</v>
      </c>
      <c r="I354" s="25">
        <f t="shared" si="56"/>
        <v>-160.00000000000725</v>
      </c>
      <c r="J354" s="25" t="e">
        <f t="shared" si="57"/>
        <v>#VALUE!</v>
      </c>
    </row>
    <row r="355" spans="1:10" x14ac:dyDescent="0.25">
      <c r="A355" s="25">
        <f t="shared" si="58"/>
        <v>-6.5900000000000727</v>
      </c>
      <c r="B355" s="25">
        <f t="shared" ca="1" si="51"/>
        <v>-0.13563135698584469</v>
      </c>
      <c r="C355" s="25" t="e">
        <f t="shared" si="52"/>
        <v>#VALUE!</v>
      </c>
      <c r="D355" s="74" t="e">
        <f t="shared" si="53"/>
        <v>#VALUE!</v>
      </c>
      <c r="E355" s="25" t="e">
        <f t="shared" si="54"/>
        <v>#VALUE!</v>
      </c>
      <c r="F355" s="25" t="e">
        <f t="shared" ca="1" si="55"/>
        <v>#VALUE!</v>
      </c>
      <c r="G355" s="25"/>
      <c r="H355" s="25" t="e">
        <f t="shared" si="59"/>
        <v>#VALUE!</v>
      </c>
      <c r="I355" s="25">
        <f t="shared" si="56"/>
        <v>-159.00000000000728</v>
      </c>
      <c r="J355" s="25" t="e">
        <f t="shared" si="57"/>
        <v>#VALUE!</v>
      </c>
    </row>
    <row r="356" spans="1:10" x14ac:dyDescent="0.25">
      <c r="A356" s="25">
        <f t="shared" si="58"/>
        <v>-6.5800000000000729</v>
      </c>
      <c r="B356" s="25">
        <f t="shared" ca="1" si="51"/>
        <v>-0.16243533599846208</v>
      </c>
      <c r="C356" s="25" t="e">
        <f t="shared" si="52"/>
        <v>#VALUE!</v>
      </c>
      <c r="D356" s="74" t="e">
        <f t="shared" si="53"/>
        <v>#VALUE!</v>
      </c>
      <c r="E356" s="25" t="e">
        <f t="shared" si="54"/>
        <v>#VALUE!</v>
      </c>
      <c r="F356" s="25" t="e">
        <f t="shared" ca="1" si="55"/>
        <v>#VALUE!</v>
      </c>
      <c r="G356" s="25"/>
      <c r="H356" s="25" t="e">
        <f t="shared" si="59"/>
        <v>#VALUE!</v>
      </c>
      <c r="I356" s="25">
        <f t="shared" si="56"/>
        <v>-158.0000000000073</v>
      </c>
      <c r="J356" s="25" t="e">
        <f t="shared" si="57"/>
        <v>#VALUE!</v>
      </c>
    </row>
    <row r="357" spans="1:10" x14ac:dyDescent="0.25">
      <c r="A357" s="25">
        <f t="shared" si="58"/>
        <v>-6.5700000000000731</v>
      </c>
      <c r="B357" s="25">
        <f t="shared" ca="1" si="51"/>
        <v>-0.17031450546892543</v>
      </c>
      <c r="C357" s="25" t="e">
        <f t="shared" si="52"/>
        <v>#VALUE!</v>
      </c>
      <c r="D357" s="74" t="e">
        <f t="shared" si="53"/>
        <v>#VALUE!</v>
      </c>
      <c r="E357" s="25" t="e">
        <f t="shared" si="54"/>
        <v>#VALUE!</v>
      </c>
      <c r="F357" s="25" t="e">
        <f t="shared" ca="1" si="55"/>
        <v>#VALUE!</v>
      </c>
      <c r="G357" s="25"/>
      <c r="H357" s="25" t="e">
        <f t="shared" si="59"/>
        <v>#VALUE!</v>
      </c>
      <c r="I357" s="25">
        <f t="shared" si="56"/>
        <v>-157.00000000000733</v>
      </c>
      <c r="J357" s="25" t="e">
        <f t="shared" si="57"/>
        <v>#VALUE!</v>
      </c>
    </row>
    <row r="358" spans="1:10" x14ac:dyDescent="0.25">
      <c r="A358" s="25">
        <f t="shared" si="58"/>
        <v>-6.5600000000000733</v>
      </c>
      <c r="B358" s="25">
        <f t="shared" ca="1" si="51"/>
        <v>-0.17065430986557695</v>
      </c>
      <c r="C358" s="25" t="e">
        <f t="shared" si="52"/>
        <v>#VALUE!</v>
      </c>
      <c r="D358" s="74" t="e">
        <f t="shared" si="53"/>
        <v>#VALUE!</v>
      </c>
      <c r="E358" s="25" t="e">
        <f t="shared" si="54"/>
        <v>#VALUE!</v>
      </c>
      <c r="F358" s="25" t="e">
        <f t="shared" ca="1" si="55"/>
        <v>#VALUE!</v>
      </c>
      <c r="G358" s="25"/>
      <c r="H358" s="25" t="e">
        <f t="shared" si="59"/>
        <v>#VALUE!</v>
      </c>
      <c r="I358" s="25">
        <f t="shared" si="56"/>
        <v>-156.00000000000733</v>
      </c>
      <c r="J358" s="25" t="e">
        <f t="shared" si="57"/>
        <v>#VALUE!</v>
      </c>
    </row>
    <row r="359" spans="1:10" x14ac:dyDescent="0.25">
      <c r="A359" s="25">
        <f t="shared" si="58"/>
        <v>-6.5500000000000735</v>
      </c>
      <c r="B359" s="25">
        <f t="shared" ca="1" si="51"/>
        <v>-0.11238909039530953</v>
      </c>
      <c r="C359" s="25" t="e">
        <f t="shared" si="52"/>
        <v>#VALUE!</v>
      </c>
      <c r="D359" s="74" t="e">
        <f t="shared" si="53"/>
        <v>#VALUE!</v>
      </c>
      <c r="E359" s="25" t="e">
        <f t="shared" si="54"/>
        <v>#VALUE!</v>
      </c>
      <c r="F359" s="25" t="e">
        <f t="shared" ca="1" si="55"/>
        <v>#VALUE!</v>
      </c>
      <c r="G359" s="25"/>
      <c r="H359" s="25" t="e">
        <f t="shared" si="59"/>
        <v>#VALUE!</v>
      </c>
      <c r="I359" s="25">
        <f t="shared" si="56"/>
        <v>-155.00000000000733</v>
      </c>
      <c r="J359" s="25" t="e">
        <f t="shared" si="57"/>
        <v>#VALUE!</v>
      </c>
    </row>
    <row r="360" spans="1:10" x14ac:dyDescent="0.25">
      <c r="A360" s="25">
        <f t="shared" si="58"/>
        <v>-6.5400000000000738</v>
      </c>
      <c r="B360" s="25">
        <f t="shared" ca="1" si="51"/>
        <v>-0.1662336221845078</v>
      </c>
      <c r="C360" s="25" t="e">
        <f t="shared" si="52"/>
        <v>#VALUE!</v>
      </c>
      <c r="D360" s="74" t="e">
        <f t="shared" si="53"/>
        <v>#VALUE!</v>
      </c>
      <c r="E360" s="25" t="e">
        <f t="shared" si="54"/>
        <v>#VALUE!</v>
      </c>
      <c r="F360" s="25" t="e">
        <f t="shared" ca="1" si="55"/>
        <v>#VALUE!</v>
      </c>
      <c r="G360" s="25"/>
      <c r="H360" s="25" t="e">
        <f t="shared" si="59"/>
        <v>#VALUE!</v>
      </c>
      <c r="I360" s="25">
        <f t="shared" si="56"/>
        <v>-154.00000000000736</v>
      </c>
      <c r="J360" s="25" t="e">
        <f t="shared" si="57"/>
        <v>#VALUE!</v>
      </c>
    </row>
    <row r="361" spans="1:10" x14ac:dyDescent="0.25">
      <c r="A361" s="25">
        <f t="shared" si="58"/>
        <v>-6.530000000000074</v>
      </c>
      <c r="B361" s="25">
        <f t="shared" ca="1" si="51"/>
        <v>0.12617668556203421</v>
      </c>
      <c r="C361" s="25" t="e">
        <f t="shared" si="52"/>
        <v>#VALUE!</v>
      </c>
      <c r="D361" s="74" t="e">
        <f t="shared" si="53"/>
        <v>#VALUE!</v>
      </c>
      <c r="E361" s="25" t="e">
        <f t="shared" si="54"/>
        <v>#VALUE!</v>
      </c>
      <c r="F361" s="25" t="e">
        <f t="shared" ca="1" si="55"/>
        <v>#VALUE!</v>
      </c>
      <c r="G361" s="25"/>
      <c r="H361" s="25" t="e">
        <f t="shared" si="59"/>
        <v>#VALUE!</v>
      </c>
      <c r="I361" s="25">
        <f t="shared" si="56"/>
        <v>-153.00000000000739</v>
      </c>
      <c r="J361" s="25" t="e">
        <f t="shared" si="57"/>
        <v>#VALUE!</v>
      </c>
    </row>
    <row r="362" spans="1:10" x14ac:dyDescent="0.25">
      <c r="A362" s="25">
        <f t="shared" si="58"/>
        <v>-6.5200000000000742</v>
      </c>
      <c r="B362" s="25">
        <f t="shared" ca="1" si="51"/>
        <v>8.896424423431748E-2</v>
      </c>
      <c r="C362" s="25" t="e">
        <f t="shared" si="52"/>
        <v>#VALUE!</v>
      </c>
      <c r="D362" s="74" t="e">
        <f t="shared" si="53"/>
        <v>#VALUE!</v>
      </c>
      <c r="E362" s="25" t="e">
        <f t="shared" si="54"/>
        <v>#VALUE!</v>
      </c>
      <c r="F362" s="25" t="e">
        <f t="shared" ca="1" si="55"/>
        <v>#VALUE!</v>
      </c>
      <c r="G362" s="25"/>
      <c r="H362" s="25" t="e">
        <f t="shared" si="59"/>
        <v>#VALUE!</v>
      </c>
      <c r="I362" s="25">
        <f t="shared" si="56"/>
        <v>-152.00000000000742</v>
      </c>
      <c r="J362" s="25" t="e">
        <f t="shared" si="57"/>
        <v>#VALUE!</v>
      </c>
    </row>
    <row r="363" spans="1:10" x14ac:dyDescent="0.25">
      <c r="A363" s="25">
        <f t="shared" si="58"/>
        <v>-6.5100000000000744</v>
      </c>
      <c r="B363" s="25">
        <f t="shared" ca="1" si="51"/>
        <v>5.6810429734532382E-2</v>
      </c>
      <c r="C363" s="25" t="e">
        <f t="shared" si="52"/>
        <v>#VALUE!</v>
      </c>
      <c r="D363" s="74" t="e">
        <f t="shared" si="53"/>
        <v>#VALUE!</v>
      </c>
      <c r="E363" s="25" t="e">
        <f t="shared" si="54"/>
        <v>#VALUE!</v>
      </c>
      <c r="F363" s="25" t="e">
        <f t="shared" ca="1" si="55"/>
        <v>#VALUE!</v>
      </c>
      <c r="G363" s="25"/>
      <c r="H363" s="25" t="e">
        <f t="shared" si="59"/>
        <v>#VALUE!</v>
      </c>
      <c r="I363" s="25">
        <f t="shared" si="56"/>
        <v>-151.00000000000745</v>
      </c>
      <c r="J363" s="25" t="e">
        <f t="shared" si="57"/>
        <v>#VALUE!</v>
      </c>
    </row>
    <row r="364" spans="1:10" x14ac:dyDescent="0.25">
      <c r="A364" s="25">
        <f t="shared" si="58"/>
        <v>-6.5000000000000746</v>
      </c>
      <c r="B364" s="25">
        <f t="shared" ca="1" si="51"/>
        <v>-7.1402131908638061E-2</v>
      </c>
      <c r="C364" s="25" t="e">
        <f t="shared" si="52"/>
        <v>#VALUE!</v>
      </c>
      <c r="D364" s="74" t="e">
        <f t="shared" si="53"/>
        <v>#VALUE!</v>
      </c>
      <c r="E364" s="25" t="e">
        <f t="shared" si="54"/>
        <v>#VALUE!</v>
      </c>
      <c r="F364" s="25" t="e">
        <f t="shared" ca="1" si="55"/>
        <v>#VALUE!</v>
      </c>
      <c r="G364" s="25"/>
      <c r="H364" s="25" t="e">
        <f t="shared" si="59"/>
        <v>#VALUE!</v>
      </c>
      <c r="I364" s="25">
        <f t="shared" si="56"/>
        <v>-150.00000000000745</v>
      </c>
      <c r="J364" s="25" t="e">
        <f t="shared" si="57"/>
        <v>#VALUE!</v>
      </c>
    </row>
    <row r="365" spans="1:10" x14ac:dyDescent="0.25">
      <c r="A365" s="25">
        <f t="shared" si="58"/>
        <v>-6.4900000000000748</v>
      </c>
      <c r="B365" s="25">
        <f t="shared" ca="1" si="51"/>
        <v>4.9332510300521465E-2</v>
      </c>
      <c r="C365" s="25" t="e">
        <f t="shared" si="52"/>
        <v>#VALUE!</v>
      </c>
      <c r="D365" s="74" t="e">
        <f t="shared" si="53"/>
        <v>#VALUE!</v>
      </c>
      <c r="E365" s="25" t="e">
        <f t="shared" si="54"/>
        <v>#VALUE!</v>
      </c>
      <c r="F365" s="25" t="e">
        <f t="shared" ca="1" si="55"/>
        <v>#VALUE!</v>
      </c>
      <c r="G365" s="25"/>
      <c r="H365" s="25" t="e">
        <f t="shared" si="59"/>
        <v>#VALUE!</v>
      </c>
      <c r="I365" s="25">
        <f t="shared" si="56"/>
        <v>-149.00000000000747</v>
      </c>
      <c r="J365" s="25" t="e">
        <f t="shared" si="57"/>
        <v>#VALUE!</v>
      </c>
    </row>
    <row r="366" spans="1:10" x14ac:dyDescent="0.25">
      <c r="A366" s="25">
        <f t="shared" si="58"/>
        <v>-6.480000000000075</v>
      </c>
      <c r="B366" s="25">
        <f t="shared" ca="1" si="51"/>
        <v>2.19495846757914E-2</v>
      </c>
      <c r="C366" s="25" t="e">
        <f t="shared" si="52"/>
        <v>#VALUE!</v>
      </c>
      <c r="D366" s="74" t="e">
        <f t="shared" si="53"/>
        <v>#VALUE!</v>
      </c>
      <c r="E366" s="25" t="e">
        <f t="shared" si="54"/>
        <v>#VALUE!</v>
      </c>
      <c r="F366" s="25" t="e">
        <f t="shared" ca="1" si="55"/>
        <v>#VALUE!</v>
      </c>
      <c r="G366" s="25"/>
      <c r="H366" s="25" t="e">
        <f t="shared" si="59"/>
        <v>#VALUE!</v>
      </c>
      <c r="I366" s="25">
        <f t="shared" si="56"/>
        <v>-148.0000000000075</v>
      </c>
      <c r="J366" s="25" t="e">
        <f t="shared" si="57"/>
        <v>#VALUE!</v>
      </c>
    </row>
    <row r="367" spans="1:10" x14ac:dyDescent="0.25">
      <c r="A367" s="25">
        <f t="shared" si="58"/>
        <v>-6.4700000000000752</v>
      </c>
      <c r="B367" s="25">
        <f t="shared" ca="1" si="51"/>
        <v>9.7710879040755108E-2</v>
      </c>
      <c r="C367" s="25" t="e">
        <f t="shared" si="52"/>
        <v>#VALUE!</v>
      </c>
      <c r="D367" s="74" t="e">
        <f t="shared" si="53"/>
        <v>#VALUE!</v>
      </c>
      <c r="E367" s="25" t="e">
        <f t="shared" si="54"/>
        <v>#VALUE!</v>
      </c>
      <c r="F367" s="25" t="e">
        <f t="shared" ca="1" si="55"/>
        <v>#VALUE!</v>
      </c>
      <c r="G367" s="25"/>
      <c r="H367" s="25" t="e">
        <f t="shared" si="59"/>
        <v>#VALUE!</v>
      </c>
      <c r="I367" s="25">
        <f t="shared" si="56"/>
        <v>-147.00000000000753</v>
      </c>
      <c r="J367" s="25" t="e">
        <f t="shared" si="57"/>
        <v>#VALUE!</v>
      </c>
    </row>
    <row r="368" spans="1:10" x14ac:dyDescent="0.25">
      <c r="A368" s="25">
        <f t="shared" si="58"/>
        <v>-6.4600000000000755</v>
      </c>
      <c r="B368" s="25">
        <f t="shared" ca="1" si="51"/>
        <v>-1.3289066453300793E-2</v>
      </c>
      <c r="C368" s="25" t="e">
        <f t="shared" si="52"/>
        <v>#VALUE!</v>
      </c>
      <c r="D368" s="74" t="e">
        <f t="shared" si="53"/>
        <v>#VALUE!</v>
      </c>
      <c r="E368" s="25" t="e">
        <f t="shared" si="54"/>
        <v>#VALUE!</v>
      </c>
      <c r="F368" s="25" t="e">
        <f t="shared" ca="1" si="55"/>
        <v>#VALUE!</v>
      </c>
      <c r="G368" s="25"/>
      <c r="H368" s="25" t="e">
        <f t="shared" si="59"/>
        <v>#VALUE!</v>
      </c>
      <c r="I368" s="25">
        <f t="shared" si="56"/>
        <v>-146.00000000000756</v>
      </c>
      <c r="J368" s="25" t="e">
        <f t="shared" si="57"/>
        <v>#VALUE!</v>
      </c>
    </row>
    <row r="369" spans="1:10" x14ac:dyDescent="0.25">
      <c r="A369" s="25">
        <f t="shared" si="58"/>
        <v>-6.4500000000000757</v>
      </c>
      <c r="B369" s="25">
        <f t="shared" ca="1" si="51"/>
        <v>-0.11643515054798388</v>
      </c>
      <c r="C369" s="25" t="e">
        <f t="shared" si="52"/>
        <v>#VALUE!</v>
      </c>
      <c r="D369" s="74" t="e">
        <f t="shared" si="53"/>
        <v>#VALUE!</v>
      </c>
      <c r="E369" s="25" t="e">
        <f t="shared" si="54"/>
        <v>#VALUE!</v>
      </c>
      <c r="F369" s="25" t="e">
        <f t="shared" ca="1" si="55"/>
        <v>#VALUE!</v>
      </c>
      <c r="G369" s="25"/>
      <c r="H369" s="25" t="e">
        <f t="shared" si="59"/>
        <v>#VALUE!</v>
      </c>
      <c r="I369" s="25">
        <f t="shared" si="56"/>
        <v>-145.00000000000756</v>
      </c>
      <c r="J369" s="25" t="e">
        <f t="shared" si="57"/>
        <v>#VALUE!</v>
      </c>
    </row>
    <row r="370" spans="1:10" x14ac:dyDescent="0.25">
      <c r="A370" s="25">
        <f t="shared" si="58"/>
        <v>-6.4400000000000759</v>
      </c>
      <c r="B370" s="25">
        <f t="shared" ca="1" si="51"/>
        <v>7.2933183100995488E-2</v>
      </c>
      <c r="C370" s="25" t="e">
        <f t="shared" si="52"/>
        <v>#VALUE!</v>
      </c>
      <c r="D370" s="74" t="e">
        <f t="shared" si="53"/>
        <v>#VALUE!</v>
      </c>
      <c r="E370" s="25" t="e">
        <f t="shared" si="54"/>
        <v>#VALUE!</v>
      </c>
      <c r="F370" s="25" t="e">
        <f t="shared" ca="1" si="55"/>
        <v>#VALUE!</v>
      </c>
      <c r="G370" s="25"/>
      <c r="H370" s="25" t="e">
        <f t="shared" si="59"/>
        <v>#VALUE!</v>
      </c>
      <c r="I370" s="25">
        <f t="shared" si="56"/>
        <v>-144.00000000000759</v>
      </c>
      <c r="J370" s="25" t="e">
        <f t="shared" si="57"/>
        <v>#VALUE!</v>
      </c>
    </row>
    <row r="371" spans="1:10" x14ac:dyDescent="0.25">
      <c r="A371" s="25">
        <f t="shared" si="58"/>
        <v>-6.4300000000000761</v>
      </c>
      <c r="B371" s="25">
        <f t="shared" ca="1" si="51"/>
        <v>-0.18084451851125397</v>
      </c>
      <c r="C371" s="25" t="e">
        <f t="shared" si="52"/>
        <v>#VALUE!</v>
      </c>
      <c r="D371" s="74" t="e">
        <f t="shared" si="53"/>
        <v>#VALUE!</v>
      </c>
      <c r="E371" s="25" t="e">
        <f t="shared" si="54"/>
        <v>#VALUE!</v>
      </c>
      <c r="F371" s="25" t="e">
        <f t="shared" ca="1" si="55"/>
        <v>#VALUE!</v>
      </c>
      <c r="G371" s="25"/>
      <c r="H371" s="25" t="e">
        <f t="shared" si="59"/>
        <v>#VALUE!</v>
      </c>
      <c r="I371" s="25">
        <f t="shared" si="56"/>
        <v>-143.00000000000762</v>
      </c>
      <c r="J371" s="25" t="e">
        <f t="shared" si="57"/>
        <v>#VALUE!</v>
      </c>
    </row>
    <row r="372" spans="1:10" x14ac:dyDescent="0.25">
      <c r="A372" s="25">
        <f t="shared" si="58"/>
        <v>-6.4200000000000763</v>
      </c>
      <c r="B372" s="25">
        <f t="shared" ca="1" si="51"/>
        <v>-5.9144168570026696E-2</v>
      </c>
      <c r="C372" s="25" t="e">
        <f t="shared" si="52"/>
        <v>#VALUE!</v>
      </c>
      <c r="D372" s="74" t="e">
        <f t="shared" si="53"/>
        <v>#VALUE!</v>
      </c>
      <c r="E372" s="25" t="e">
        <f t="shared" si="54"/>
        <v>#VALUE!</v>
      </c>
      <c r="F372" s="25" t="e">
        <f t="shared" ca="1" si="55"/>
        <v>#VALUE!</v>
      </c>
      <c r="G372" s="25"/>
      <c r="H372" s="25" t="e">
        <f t="shared" si="59"/>
        <v>#VALUE!</v>
      </c>
      <c r="I372" s="25">
        <f t="shared" si="56"/>
        <v>-142.00000000000765</v>
      </c>
      <c r="J372" s="25" t="e">
        <f t="shared" si="57"/>
        <v>#VALUE!</v>
      </c>
    </row>
    <row r="373" spans="1:10" x14ac:dyDescent="0.25">
      <c r="A373" s="25">
        <f t="shared" si="58"/>
        <v>-6.4100000000000765</v>
      </c>
      <c r="B373" s="25">
        <f t="shared" ca="1" si="51"/>
        <v>-0.13702170217092557</v>
      </c>
      <c r="C373" s="25" t="e">
        <f t="shared" si="52"/>
        <v>#VALUE!</v>
      </c>
      <c r="D373" s="74" t="e">
        <f t="shared" si="53"/>
        <v>#VALUE!</v>
      </c>
      <c r="E373" s="25" t="e">
        <f t="shared" si="54"/>
        <v>#VALUE!</v>
      </c>
      <c r="F373" s="25" t="e">
        <f t="shared" ca="1" si="55"/>
        <v>#VALUE!</v>
      </c>
      <c r="G373" s="25"/>
      <c r="H373" s="25" t="e">
        <f t="shared" si="59"/>
        <v>#VALUE!</v>
      </c>
      <c r="I373" s="25">
        <f t="shared" si="56"/>
        <v>-141.00000000000767</v>
      </c>
      <c r="J373" s="25" t="e">
        <f t="shared" si="57"/>
        <v>#VALUE!</v>
      </c>
    </row>
    <row r="374" spans="1:10" x14ac:dyDescent="0.25">
      <c r="A374" s="25">
        <f t="shared" si="58"/>
        <v>-6.4000000000000767</v>
      </c>
      <c r="B374" s="25">
        <f t="shared" ca="1" si="51"/>
        <v>-0.12843491637186447</v>
      </c>
      <c r="C374" s="25" t="e">
        <f t="shared" si="52"/>
        <v>#VALUE!</v>
      </c>
      <c r="D374" s="74" t="e">
        <f t="shared" si="53"/>
        <v>#VALUE!</v>
      </c>
      <c r="E374" s="25" t="e">
        <f t="shared" si="54"/>
        <v>#VALUE!</v>
      </c>
      <c r="F374" s="25" t="e">
        <f t="shared" ca="1" si="55"/>
        <v>#VALUE!</v>
      </c>
      <c r="G374" s="25"/>
      <c r="H374" s="25" t="e">
        <f t="shared" si="59"/>
        <v>#VALUE!</v>
      </c>
      <c r="I374" s="25">
        <f t="shared" si="56"/>
        <v>-140.00000000000767</v>
      </c>
      <c r="J374" s="25" t="e">
        <f t="shared" si="57"/>
        <v>#VALUE!</v>
      </c>
    </row>
    <row r="375" spans="1:10" x14ac:dyDescent="0.25">
      <c r="A375" s="25">
        <f t="shared" si="58"/>
        <v>-6.390000000000077</v>
      </c>
      <c r="B375" s="25">
        <f t="shared" ca="1" si="51"/>
        <v>-8.4044070995743805E-2</v>
      </c>
      <c r="C375" s="25" t="e">
        <f t="shared" si="52"/>
        <v>#VALUE!</v>
      </c>
      <c r="D375" s="74" t="e">
        <f t="shared" si="53"/>
        <v>#VALUE!</v>
      </c>
      <c r="E375" s="25" t="e">
        <f t="shared" si="54"/>
        <v>#VALUE!</v>
      </c>
      <c r="F375" s="25" t="e">
        <f t="shared" ca="1" si="55"/>
        <v>#VALUE!</v>
      </c>
      <c r="G375" s="25"/>
      <c r="H375" s="25" t="e">
        <f t="shared" si="59"/>
        <v>#VALUE!</v>
      </c>
      <c r="I375" s="25">
        <f t="shared" si="56"/>
        <v>-139.00000000000767</v>
      </c>
      <c r="J375" s="25" t="e">
        <f t="shared" si="57"/>
        <v>#VALUE!</v>
      </c>
    </row>
    <row r="376" spans="1:10" x14ac:dyDescent="0.25">
      <c r="A376" s="25">
        <f t="shared" si="58"/>
        <v>-6.3800000000000772</v>
      </c>
      <c r="B376" s="25">
        <f t="shared" ca="1" si="51"/>
        <v>-3.7182426803177078E-2</v>
      </c>
      <c r="C376" s="25" t="e">
        <f t="shared" si="52"/>
        <v>#VALUE!</v>
      </c>
      <c r="D376" s="74" t="e">
        <f t="shared" si="53"/>
        <v>#VALUE!</v>
      </c>
      <c r="E376" s="25" t="e">
        <f t="shared" si="54"/>
        <v>#VALUE!</v>
      </c>
      <c r="F376" s="25" t="e">
        <f t="shared" ca="1" si="55"/>
        <v>#VALUE!</v>
      </c>
      <c r="G376" s="25"/>
      <c r="H376" s="25" t="e">
        <f t="shared" si="59"/>
        <v>#VALUE!</v>
      </c>
      <c r="I376" s="25">
        <f t="shared" si="56"/>
        <v>-138.0000000000077</v>
      </c>
      <c r="J376" s="25" t="e">
        <f t="shared" si="57"/>
        <v>#VALUE!</v>
      </c>
    </row>
    <row r="377" spans="1:10" x14ac:dyDescent="0.25">
      <c r="A377" s="25">
        <f t="shared" si="58"/>
        <v>-6.3700000000000774</v>
      </c>
      <c r="B377" s="25">
        <f t="shared" ca="1" si="51"/>
        <v>-7.8557493151077781E-2</v>
      </c>
      <c r="C377" s="25" t="e">
        <f t="shared" si="52"/>
        <v>#VALUE!</v>
      </c>
      <c r="D377" s="74" t="e">
        <f t="shared" si="53"/>
        <v>#VALUE!</v>
      </c>
      <c r="E377" s="25" t="e">
        <f t="shared" si="54"/>
        <v>#VALUE!</v>
      </c>
      <c r="F377" s="25" t="e">
        <f t="shared" ca="1" si="55"/>
        <v>#VALUE!</v>
      </c>
      <c r="G377" s="25"/>
      <c r="H377" s="25" t="e">
        <f t="shared" si="59"/>
        <v>#VALUE!</v>
      </c>
      <c r="I377" s="25">
        <f t="shared" si="56"/>
        <v>-137.00000000000773</v>
      </c>
      <c r="J377" s="25" t="e">
        <f t="shared" si="57"/>
        <v>#VALUE!</v>
      </c>
    </row>
    <row r="378" spans="1:10" x14ac:dyDescent="0.25">
      <c r="A378" s="25">
        <f t="shared" si="58"/>
        <v>-6.3600000000000776</v>
      </c>
      <c r="B378" s="25">
        <f t="shared" ca="1" si="51"/>
        <v>0.1295281918501551</v>
      </c>
      <c r="C378" s="25" t="e">
        <f t="shared" si="52"/>
        <v>#VALUE!</v>
      </c>
      <c r="D378" s="74" t="e">
        <f t="shared" si="53"/>
        <v>#VALUE!</v>
      </c>
      <c r="E378" s="25" t="e">
        <f t="shared" si="54"/>
        <v>#VALUE!</v>
      </c>
      <c r="F378" s="25" t="e">
        <f t="shared" ca="1" si="55"/>
        <v>#VALUE!</v>
      </c>
      <c r="G378" s="25"/>
      <c r="H378" s="25" t="e">
        <f t="shared" si="59"/>
        <v>#VALUE!</v>
      </c>
      <c r="I378" s="25">
        <f t="shared" si="56"/>
        <v>-136.00000000000776</v>
      </c>
      <c r="J378" s="25" t="e">
        <f t="shared" si="57"/>
        <v>#VALUE!</v>
      </c>
    </row>
    <row r="379" spans="1:10" x14ac:dyDescent="0.25">
      <c r="A379" s="25">
        <f t="shared" si="58"/>
        <v>-6.3500000000000778</v>
      </c>
      <c r="B379" s="25">
        <f t="shared" ca="1" si="51"/>
        <v>-0.14244314764903557</v>
      </c>
      <c r="C379" s="25" t="e">
        <f t="shared" si="52"/>
        <v>#VALUE!</v>
      </c>
      <c r="D379" s="74" t="e">
        <f t="shared" si="53"/>
        <v>#VALUE!</v>
      </c>
      <c r="E379" s="25" t="e">
        <f t="shared" si="54"/>
        <v>#VALUE!</v>
      </c>
      <c r="F379" s="25" t="e">
        <f t="shared" ca="1" si="55"/>
        <v>#VALUE!</v>
      </c>
      <c r="G379" s="25"/>
      <c r="H379" s="25" t="e">
        <f t="shared" si="59"/>
        <v>#VALUE!</v>
      </c>
      <c r="I379" s="25">
        <f t="shared" si="56"/>
        <v>-135.00000000000779</v>
      </c>
      <c r="J379" s="25" t="e">
        <f t="shared" si="57"/>
        <v>#VALUE!</v>
      </c>
    </row>
    <row r="380" spans="1:10" x14ac:dyDescent="0.25">
      <c r="A380" s="25">
        <f t="shared" si="58"/>
        <v>-6.340000000000078</v>
      </c>
      <c r="B380" s="25">
        <f t="shared" ca="1" si="51"/>
        <v>-0.14908395745255776</v>
      </c>
      <c r="C380" s="25" t="e">
        <f t="shared" si="52"/>
        <v>#VALUE!</v>
      </c>
      <c r="D380" s="74" t="e">
        <f t="shared" si="53"/>
        <v>#VALUE!</v>
      </c>
      <c r="E380" s="25" t="e">
        <f t="shared" si="54"/>
        <v>#VALUE!</v>
      </c>
      <c r="F380" s="25" t="e">
        <f t="shared" ca="1" si="55"/>
        <v>#VALUE!</v>
      </c>
      <c r="G380" s="25"/>
      <c r="H380" s="25" t="e">
        <f t="shared" si="59"/>
        <v>#VALUE!</v>
      </c>
      <c r="I380" s="25">
        <f t="shared" si="56"/>
        <v>-134.00000000000779</v>
      </c>
      <c r="J380" s="25" t="e">
        <f t="shared" si="57"/>
        <v>#VALUE!</v>
      </c>
    </row>
    <row r="381" spans="1:10" x14ac:dyDescent="0.25">
      <c r="A381" s="25">
        <f t="shared" si="58"/>
        <v>-6.3300000000000782</v>
      </c>
      <c r="B381" s="25">
        <f t="shared" ca="1" si="51"/>
        <v>-3.9040284675680777E-2</v>
      </c>
      <c r="C381" s="25" t="e">
        <f t="shared" si="52"/>
        <v>#VALUE!</v>
      </c>
      <c r="D381" s="74" t="e">
        <f t="shared" si="53"/>
        <v>#VALUE!</v>
      </c>
      <c r="E381" s="25" t="e">
        <f t="shared" si="54"/>
        <v>#VALUE!</v>
      </c>
      <c r="F381" s="25" t="e">
        <f t="shared" ca="1" si="55"/>
        <v>#VALUE!</v>
      </c>
      <c r="G381" s="25"/>
      <c r="H381" s="25" t="e">
        <f t="shared" si="59"/>
        <v>#VALUE!</v>
      </c>
      <c r="I381" s="25">
        <f t="shared" si="56"/>
        <v>-133.00000000000782</v>
      </c>
      <c r="J381" s="25" t="e">
        <f t="shared" si="57"/>
        <v>#VALUE!</v>
      </c>
    </row>
    <row r="382" spans="1:10" x14ac:dyDescent="0.25">
      <c r="A382" s="25">
        <f t="shared" si="58"/>
        <v>-6.3200000000000784</v>
      </c>
      <c r="B382" s="25">
        <f t="shared" ca="1" si="51"/>
        <v>0.13155265571207686</v>
      </c>
      <c r="C382" s="25" t="e">
        <f t="shared" si="52"/>
        <v>#VALUE!</v>
      </c>
      <c r="D382" s="74" t="e">
        <f t="shared" si="53"/>
        <v>#VALUE!</v>
      </c>
      <c r="E382" s="25" t="e">
        <f t="shared" si="54"/>
        <v>#VALUE!</v>
      </c>
      <c r="F382" s="25" t="e">
        <f t="shared" ca="1" si="55"/>
        <v>#VALUE!</v>
      </c>
      <c r="G382" s="25"/>
      <c r="H382" s="25" t="e">
        <f t="shared" si="59"/>
        <v>#VALUE!</v>
      </c>
      <c r="I382" s="25">
        <f t="shared" si="56"/>
        <v>-132.00000000000784</v>
      </c>
      <c r="J382" s="25" t="e">
        <f t="shared" si="57"/>
        <v>#VALUE!</v>
      </c>
    </row>
    <row r="383" spans="1:10" x14ac:dyDescent="0.25">
      <c r="A383" s="25">
        <f t="shared" si="58"/>
        <v>-6.3100000000000787</v>
      </c>
      <c r="B383" s="25">
        <f t="shared" ca="1" si="51"/>
        <v>-0.17680560431834624</v>
      </c>
      <c r="C383" s="25" t="e">
        <f t="shared" si="52"/>
        <v>#VALUE!</v>
      </c>
      <c r="D383" s="74" t="e">
        <f t="shared" si="53"/>
        <v>#VALUE!</v>
      </c>
      <c r="E383" s="25" t="e">
        <f t="shared" si="54"/>
        <v>#VALUE!</v>
      </c>
      <c r="F383" s="25" t="e">
        <f t="shared" ca="1" si="55"/>
        <v>#VALUE!</v>
      </c>
      <c r="G383" s="25"/>
      <c r="H383" s="25" t="e">
        <f t="shared" si="59"/>
        <v>#VALUE!</v>
      </c>
      <c r="I383" s="25">
        <f t="shared" si="56"/>
        <v>-131.00000000000787</v>
      </c>
      <c r="J383" s="25" t="e">
        <f t="shared" si="57"/>
        <v>#VALUE!</v>
      </c>
    </row>
    <row r="384" spans="1:10" x14ac:dyDescent="0.25">
      <c r="A384" s="25">
        <f t="shared" si="58"/>
        <v>-6.3000000000000789</v>
      </c>
      <c r="B384" s="25">
        <f t="shared" ca="1" si="51"/>
        <v>-0.19544858507458859</v>
      </c>
      <c r="C384" s="25" t="e">
        <f t="shared" si="52"/>
        <v>#VALUE!</v>
      </c>
      <c r="D384" s="74" t="e">
        <f t="shared" si="53"/>
        <v>#VALUE!</v>
      </c>
      <c r="E384" s="25" t="e">
        <f t="shared" si="54"/>
        <v>#VALUE!</v>
      </c>
      <c r="F384" s="25" t="e">
        <f t="shared" ca="1" si="55"/>
        <v>#VALUE!</v>
      </c>
      <c r="G384" s="25"/>
      <c r="H384" s="25" t="e">
        <f t="shared" si="59"/>
        <v>#VALUE!</v>
      </c>
      <c r="I384" s="25">
        <f t="shared" si="56"/>
        <v>-130.0000000000079</v>
      </c>
      <c r="J384" s="25" t="e">
        <f t="shared" si="57"/>
        <v>#VALUE!</v>
      </c>
    </row>
    <row r="385" spans="1:10" x14ac:dyDescent="0.25">
      <c r="A385" s="25">
        <f t="shared" si="58"/>
        <v>-6.2900000000000791</v>
      </c>
      <c r="B385" s="25">
        <f t="shared" ca="1" si="51"/>
        <v>9.8041992156262012E-2</v>
      </c>
      <c r="C385" s="25" t="e">
        <f t="shared" si="52"/>
        <v>#VALUE!</v>
      </c>
      <c r="D385" s="74" t="e">
        <f t="shared" si="53"/>
        <v>#VALUE!</v>
      </c>
      <c r="E385" s="25" t="e">
        <f t="shared" si="54"/>
        <v>#VALUE!</v>
      </c>
      <c r="F385" s="25" t="e">
        <f t="shared" ca="1" si="55"/>
        <v>#VALUE!</v>
      </c>
      <c r="G385" s="25"/>
      <c r="H385" s="25" t="e">
        <f t="shared" si="59"/>
        <v>#VALUE!</v>
      </c>
      <c r="I385" s="25">
        <f t="shared" si="56"/>
        <v>-129.0000000000079</v>
      </c>
      <c r="J385" s="25" t="e">
        <f t="shared" si="57"/>
        <v>#VALUE!</v>
      </c>
    </row>
    <row r="386" spans="1:10" x14ac:dyDescent="0.25">
      <c r="A386" s="25">
        <f t="shared" si="58"/>
        <v>-6.2800000000000793</v>
      </c>
      <c r="B386" s="25">
        <f t="shared" ca="1" si="51"/>
        <v>-0.11972212858382587</v>
      </c>
      <c r="C386" s="25" t="e">
        <f t="shared" si="52"/>
        <v>#VALUE!</v>
      </c>
      <c r="D386" s="74" t="e">
        <f t="shared" si="53"/>
        <v>#VALUE!</v>
      </c>
      <c r="E386" s="25" t="e">
        <f t="shared" si="54"/>
        <v>#VALUE!</v>
      </c>
      <c r="F386" s="25" t="e">
        <f t="shared" ca="1" si="55"/>
        <v>#VALUE!</v>
      </c>
      <c r="G386" s="25"/>
      <c r="H386" s="25" t="e">
        <f t="shared" si="59"/>
        <v>#VALUE!</v>
      </c>
      <c r="I386" s="25">
        <f t="shared" si="56"/>
        <v>-128.00000000000793</v>
      </c>
      <c r="J386" s="25" t="e">
        <f t="shared" si="57"/>
        <v>#VALUE!</v>
      </c>
    </row>
    <row r="387" spans="1:10" x14ac:dyDescent="0.25">
      <c r="A387" s="25">
        <f t="shared" si="58"/>
        <v>-6.2700000000000795</v>
      </c>
      <c r="B387" s="25">
        <f t="shared" ca="1" si="51"/>
        <v>7.4577236844259416E-3</v>
      </c>
      <c r="C387" s="25" t="e">
        <f t="shared" si="52"/>
        <v>#VALUE!</v>
      </c>
      <c r="D387" s="74" t="e">
        <f t="shared" si="53"/>
        <v>#VALUE!</v>
      </c>
      <c r="E387" s="25" t="e">
        <f t="shared" si="54"/>
        <v>#VALUE!</v>
      </c>
      <c r="F387" s="25" t="e">
        <f t="shared" ca="1" si="55"/>
        <v>#VALUE!</v>
      </c>
      <c r="G387" s="25"/>
      <c r="H387" s="25" t="e">
        <f t="shared" si="59"/>
        <v>#VALUE!</v>
      </c>
      <c r="I387" s="25">
        <f t="shared" si="56"/>
        <v>-127.00000000000796</v>
      </c>
      <c r="J387" s="25" t="e">
        <f t="shared" si="57"/>
        <v>#VALUE!</v>
      </c>
    </row>
    <row r="388" spans="1:10" x14ac:dyDescent="0.25">
      <c r="A388" s="25">
        <f t="shared" si="58"/>
        <v>-6.2600000000000797</v>
      </c>
      <c r="B388" s="25">
        <f t="shared" ca="1" si="51"/>
        <v>7.732679620528167E-2</v>
      </c>
      <c r="C388" s="25" t="e">
        <f t="shared" si="52"/>
        <v>#VALUE!</v>
      </c>
      <c r="D388" s="74" t="e">
        <f t="shared" si="53"/>
        <v>#VALUE!</v>
      </c>
      <c r="E388" s="25" t="e">
        <f t="shared" si="54"/>
        <v>#VALUE!</v>
      </c>
      <c r="F388" s="25" t="e">
        <f t="shared" ca="1" si="55"/>
        <v>#VALUE!</v>
      </c>
      <c r="G388" s="25"/>
      <c r="H388" s="25" t="e">
        <f t="shared" si="59"/>
        <v>#VALUE!</v>
      </c>
      <c r="I388" s="25">
        <f t="shared" si="56"/>
        <v>-126.00000000000799</v>
      </c>
      <c r="J388" s="25" t="e">
        <f t="shared" si="57"/>
        <v>#VALUE!</v>
      </c>
    </row>
    <row r="389" spans="1:10" x14ac:dyDescent="0.25">
      <c r="A389" s="25">
        <f t="shared" si="58"/>
        <v>-6.2500000000000799</v>
      </c>
      <c r="B389" s="25">
        <f t="shared" ca="1" si="51"/>
        <v>4.7103232339939877E-2</v>
      </c>
      <c r="C389" s="25" t="e">
        <f t="shared" si="52"/>
        <v>#VALUE!</v>
      </c>
      <c r="D389" s="74" t="e">
        <f t="shared" si="53"/>
        <v>#VALUE!</v>
      </c>
      <c r="E389" s="25" t="e">
        <f t="shared" si="54"/>
        <v>#VALUE!</v>
      </c>
      <c r="F389" s="25" t="e">
        <f t="shared" ca="1" si="55"/>
        <v>#VALUE!</v>
      </c>
      <c r="G389" s="25"/>
      <c r="H389" s="25" t="e">
        <f t="shared" si="59"/>
        <v>#VALUE!</v>
      </c>
      <c r="I389" s="25">
        <f t="shared" si="56"/>
        <v>-125.000000000008</v>
      </c>
      <c r="J389" s="25" t="e">
        <f t="shared" si="57"/>
        <v>#VALUE!</v>
      </c>
    </row>
    <row r="390" spans="1:10" x14ac:dyDescent="0.25">
      <c r="A390" s="25">
        <f t="shared" si="58"/>
        <v>-6.2400000000000801</v>
      </c>
      <c r="B390" s="25">
        <f t="shared" ca="1" si="51"/>
        <v>-7.3821278950660194E-2</v>
      </c>
      <c r="C390" s="25" t="e">
        <f t="shared" si="52"/>
        <v>#VALUE!</v>
      </c>
      <c r="D390" s="74" t="e">
        <f t="shared" si="53"/>
        <v>#VALUE!</v>
      </c>
      <c r="E390" s="25" t="e">
        <f t="shared" si="54"/>
        <v>#VALUE!</v>
      </c>
      <c r="F390" s="25" t="e">
        <f t="shared" ca="1" si="55"/>
        <v>#VALUE!</v>
      </c>
      <c r="G390" s="25"/>
      <c r="H390" s="25" t="e">
        <f t="shared" si="59"/>
        <v>#VALUE!</v>
      </c>
      <c r="I390" s="25">
        <f t="shared" si="56"/>
        <v>-124.000000000008</v>
      </c>
      <c r="J390" s="25" t="e">
        <f t="shared" si="57"/>
        <v>#VALUE!</v>
      </c>
    </row>
    <row r="391" spans="1:10" x14ac:dyDescent="0.25">
      <c r="A391" s="25">
        <f t="shared" si="58"/>
        <v>-6.2300000000000804</v>
      </c>
      <c r="B391" s="25">
        <f t="shared" ca="1" si="51"/>
        <v>4.1677098425211008E-2</v>
      </c>
      <c r="C391" s="25" t="e">
        <f t="shared" si="52"/>
        <v>#VALUE!</v>
      </c>
      <c r="D391" s="74" t="e">
        <f t="shared" si="53"/>
        <v>#VALUE!</v>
      </c>
      <c r="E391" s="25" t="e">
        <f t="shared" si="54"/>
        <v>#VALUE!</v>
      </c>
      <c r="F391" s="25" t="e">
        <f t="shared" ca="1" si="55"/>
        <v>#VALUE!</v>
      </c>
      <c r="G391" s="25"/>
      <c r="H391" s="25" t="e">
        <f t="shared" si="59"/>
        <v>#VALUE!</v>
      </c>
      <c r="I391" s="25">
        <f t="shared" si="56"/>
        <v>-123.00000000000803</v>
      </c>
      <c r="J391" s="25" t="e">
        <f t="shared" si="57"/>
        <v>#VALUE!</v>
      </c>
    </row>
    <row r="392" spans="1:10" x14ac:dyDescent="0.25">
      <c r="A392" s="25">
        <f t="shared" si="58"/>
        <v>-6.2200000000000806</v>
      </c>
      <c r="B392" s="25">
        <f t="shared" ca="1" si="51"/>
        <v>0.1149746208761863</v>
      </c>
      <c r="C392" s="25" t="e">
        <f t="shared" si="52"/>
        <v>#VALUE!</v>
      </c>
      <c r="D392" s="74" t="e">
        <f t="shared" si="53"/>
        <v>#VALUE!</v>
      </c>
      <c r="E392" s="25" t="e">
        <f t="shared" si="54"/>
        <v>#VALUE!</v>
      </c>
      <c r="F392" s="25" t="e">
        <f t="shared" ca="1" si="55"/>
        <v>#VALUE!</v>
      </c>
      <c r="G392" s="25"/>
      <c r="H392" s="25" t="e">
        <f t="shared" si="59"/>
        <v>#VALUE!</v>
      </c>
      <c r="I392" s="25">
        <f t="shared" si="56"/>
        <v>-122.00000000000804</v>
      </c>
      <c r="J392" s="25" t="e">
        <f t="shared" si="57"/>
        <v>#VALUE!</v>
      </c>
    </row>
    <row r="393" spans="1:10" x14ac:dyDescent="0.25">
      <c r="A393" s="25">
        <f t="shared" si="58"/>
        <v>-6.2100000000000808</v>
      </c>
      <c r="B393" s="25">
        <f t="shared" ca="1" si="51"/>
        <v>7.5309454926356087E-2</v>
      </c>
      <c r="C393" s="25" t="e">
        <f t="shared" si="52"/>
        <v>#VALUE!</v>
      </c>
      <c r="D393" s="74" t="e">
        <f t="shared" si="53"/>
        <v>#VALUE!</v>
      </c>
      <c r="E393" s="25" t="e">
        <f t="shared" si="54"/>
        <v>#VALUE!</v>
      </c>
      <c r="F393" s="25" t="e">
        <f t="shared" ca="1" si="55"/>
        <v>#VALUE!</v>
      </c>
      <c r="G393" s="25"/>
      <c r="H393" s="25" t="e">
        <f t="shared" si="59"/>
        <v>#VALUE!</v>
      </c>
      <c r="I393" s="25">
        <f t="shared" si="56"/>
        <v>-121.00000000000807</v>
      </c>
      <c r="J393" s="25" t="e">
        <f t="shared" si="57"/>
        <v>#VALUE!</v>
      </c>
    </row>
    <row r="394" spans="1:10" x14ac:dyDescent="0.25">
      <c r="A394" s="25">
        <f t="shared" si="58"/>
        <v>-6.200000000000081</v>
      </c>
      <c r="B394" s="25">
        <f t="shared" ca="1" si="51"/>
        <v>1.684972562374094E-2</v>
      </c>
      <c r="C394" s="25" t="e">
        <f t="shared" si="52"/>
        <v>#VALUE!</v>
      </c>
      <c r="D394" s="74" t="e">
        <f t="shared" si="53"/>
        <v>#VALUE!</v>
      </c>
      <c r="E394" s="25" t="e">
        <f t="shared" si="54"/>
        <v>#VALUE!</v>
      </c>
      <c r="F394" s="25" t="e">
        <f t="shared" ca="1" si="55"/>
        <v>#VALUE!</v>
      </c>
      <c r="G394" s="25"/>
      <c r="H394" s="25" t="e">
        <f t="shared" si="59"/>
        <v>#VALUE!</v>
      </c>
      <c r="I394" s="25">
        <f t="shared" si="56"/>
        <v>-120.0000000000081</v>
      </c>
      <c r="J394" s="25" t="e">
        <f t="shared" si="57"/>
        <v>#VALUE!</v>
      </c>
    </row>
    <row r="395" spans="1:10" x14ac:dyDescent="0.25">
      <c r="A395" s="25">
        <f t="shared" si="58"/>
        <v>-6.1900000000000812</v>
      </c>
      <c r="B395" s="25">
        <f t="shared" ca="1" si="51"/>
        <v>-9.1510129776795957E-2</v>
      </c>
      <c r="C395" s="25" t="e">
        <f t="shared" si="52"/>
        <v>#VALUE!</v>
      </c>
      <c r="D395" s="74" t="e">
        <f t="shared" si="53"/>
        <v>#VALUE!</v>
      </c>
      <c r="E395" s="25" t="e">
        <f t="shared" si="54"/>
        <v>#VALUE!</v>
      </c>
      <c r="F395" s="25" t="e">
        <f t="shared" ca="1" si="55"/>
        <v>#VALUE!</v>
      </c>
      <c r="G395" s="25"/>
      <c r="H395" s="25" t="e">
        <f t="shared" si="59"/>
        <v>#VALUE!</v>
      </c>
      <c r="I395" s="25">
        <f t="shared" si="56"/>
        <v>-119.00000000000811</v>
      </c>
      <c r="J395" s="25" t="e">
        <f t="shared" si="57"/>
        <v>#VALUE!</v>
      </c>
    </row>
    <row r="396" spans="1:10" x14ac:dyDescent="0.25">
      <c r="A396" s="25">
        <f t="shared" si="58"/>
        <v>-6.1800000000000814</v>
      </c>
      <c r="B396" s="25">
        <f t="shared" ca="1" si="51"/>
        <v>-9.5632115964837228E-2</v>
      </c>
      <c r="C396" s="25" t="e">
        <f t="shared" si="52"/>
        <v>#VALUE!</v>
      </c>
      <c r="D396" s="74" t="e">
        <f t="shared" si="53"/>
        <v>#VALUE!</v>
      </c>
      <c r="E396" s="25" t="e">
        <f t="shared" si="54"/>
        <v>#VALUE!</v>
      </c>
      <c r="F396" s="25" t="e">
        <f t="shared" ca="1" si="55"/>
        <v>#VALUE!</v>
      </c>
      <c r="G396" s="25"/>
      <c r="H396" s="25" t="e">
        <f t="shared" si="59"/>
        <v>#VALUE!</v>
      </c>
      <c r="I396" s="25">
        <f t="shared" si="56"/>
        <v>-118.00000000000814</v>
      </c>
      <c r="J396" s="25" t="e">
        <f t="shared" si="57"/>
        <v>#VALUE!</v>
      </c>
    </row>
    <row r="397" spans="1:10" x14ac:dyDescent="0.25">
      <c r="A397" s="25">
        <f t="shared" si="58"/>
        <v>-6.1700000000000816</v>
      </c>
      <c r="B397" s="25">
        <f t="shared" ca="1" si="51"/>
        <v>-0.12569860573325553</v>
      </c>
      <c r="C397" s="25" t="e">
        <f t="shared" si="52"/>
        <v>#VALUE!</v>
      </c>
      <c r="D397" s="74" t="e">
        <f t="shared" si="53"/>
        <v>#VALUE!</v>
      </c>
      <c r="E397" s="25" t="e">
        <f t="shared" si="54"/>
        <v>#VALUE!</v>
      </c>
      <c r="F397" s="25" t="e">
        <f t="shared" ca="1" si="55"/>
        <v>#VALUE!</v>
      </c>
      <c r="G397" s="25"/>
      <c r="H397" s="25" t="e">
        <f t="shared" si="59"/>
        <v>#VALUE!</v>
      </c>
      <c r="I397" s="25">
        <f t="shared" si="56"/>
        <v>-117.00000000000816</v>
      </c>
      <c r="J397" s="25" t="e">
        <f t="shared" si="57"/>
        <v>#VALUE!</v>
      </c>
    </row>
    <row r="398" spans="1:10" x14ac:dyDescent="0.25">
      <c r="A398" s="25">
        <f t="shared" si="58"/>
        <v>-6.1600000000000819</v>
      </c>
      <c r="B398" s="25">
        <f t="shared" ref="B398:B461" ca="1" si="60">(RAND()-0.5-$B$7)/$B$5</f>
        <v>-5.672468537232242E-2</v>
      </c>
      <c r="C398" s="25" t="e">
        <f t="shared" ref="C398:C461" si="61">IF(ABS(A398)&lt;=($D$3/2),1,IF(ABS(A398)&lt;=($B$4/2),IF(A398&gt;0,A398*(4/(1-2*$B$4))+(2*$B$4/(2*$B$4-1)),(-A398*(4/(1-2*$B$4))+(2*$B$4/(2*$B$4-1)))),0))</f>
        <v>#VALUE!</v>
      </c>
      <c r="D398" s="74" t="e">
        <f t="shared" ref="D398:D461" si="62">IF(ABS(A398)&lt;=($D$3/4+$B$4/4),1,IF(ABS(A398)&lt;=($B$4/2),(IF(A398&gt;0,A398*(8/(1-2*$B$4))+(4*$B$4)/(2*$B$4-1),(-A398*(8/(1-2*$B$4))+(4*$B$4)/(2*$B$4-1)))),0))</f>
        <v>#VALUE!</v>
      </c>
      <c r="E398" s="25" t="e">
        <f t="shared" ref="E398:E461" si="63">IF(ABS(A398)&lt;($B$4/2), 1, 0)</f>
        <v>#VALUE!</v>
      </c>
      <c r="F398" s="25" t="e">
        <f t="shared" ref="F398:F461" ca="1" si="64">C398+B398</f>
        <v>#VALUE!</v>
      </c>
      <c r="G398" s="25"/>
      <c r="H398" s="25" t="e">
        <f t="shared" si="59"/>
        <v>#VALUE!</v>
      </c>
      <c r="I398" s="25">
        <f t="shared" ref="I398:I461" si="65">$I$3*(A398-$G$3)/($H$3-$G$3)</f>
        <v>-116.00000000000819</v>
      </c>
      <c r="J398" s="25" t="e">
        <f t="shared" ref="J398:J461" si="66">H398</f>
        <v>#VALUE!</v>
      </c>
    </row>
    <row r="399" spans="1:10" x14ac:dyDescent="0.25">
      <c r="A399" s="25">
        <f t="shared" ref="A399:A462" si="67">A398+0.01</f>
        <v>-6.1500000000000821</v>
      </c>
      <c r="B399" s="25">
        <f t="shared" ca="1" si="60"/>
        <v>5.0713874408746411E-2</v>
      </c>
      <c r="C399" s="25" t="e">
        <f t="shared" si="61"/>
        <v>#VALUE!</v>
      </c>
      <c r="D399" s="74" t="e">
        <f t="shared" si="62"/>
        <v>#VALUE!</v>
      </c>
      <c r="E399" s="25" t="e">
        <f t="shared" si="63"/>
        <v>#VALUE!</v>
      </c>
      <c r="F399" s="25" t="e">
        <f t="shared" ca="1" si="64"/>
        <v>#VALUE!</v>
      </c>
      <c r="G399" s="25"/>
      <c r="H399" s="25" t="e">
        <f t="shared" si="59"/>
        <v>#VALUE!</v>
      </c>
      <c r="I399" s="25">
        <f t="shared" si="65"/>
        <v>-115.00000000000821</v>
      </c>
      <c r="J399" s="25" t="e">
        <f t="shared" si="66"/>
        <v>#VALUE!</v>
      </c>
    </row>
    <row r="400" spans="1:10" x14ac:dyDescent="0.25">
      <c r="A400" s="25">
        <f t="shared" si="67"/>
        <v>-6.1400000000000823</v>
      </c>
      <c r="B400" s="25">
        <f t="shared" ca="1" si="60"/>
        <v>0.13222855598022484</v>
      </c>
      <c r="C400" s="25" t="e">
        <f t="shared" si="61"/>
        <v>#VALUE!</v>
      </c>
      <c r="D400" s="74" t="e">
        <f t="shared" si="62"/>
        <v>#VALUE!</v>
      </c>
      <c r="E400" s="25" t="e">
        <f t="shared" si="63"/>
        <v>#VALUE!</v>
      </c>
      <c r="F400" s="25" t="e">
        <f t="shared" ca="1" si="64"/>
        <v>#VALUE!</v>
      </c>
      <c r="G400" s="25"/>
      <c r="H400" s="25" t="e">
        <f t="shared" si="59"/>
        <v>#VALUE!</v>
      </c>
      <c r="I400" s="25">
        <f t="shared" si="65"/>
        <v>-114.00000000000823</v>
      </c>
      <c r="J400" s="25" t="e">
        <f t="shared" si="66"/>
        <v>#VALUE!</v>
      </c>
    </row>
    <row r="401" spans="1:10" x14ac:dyDescent="0.25">
      <c r="A401" s="25">
        <f t="shared" si="67"/>
        <v>-6.1300000000000825</v>
      </c>
      <c r="B401" s="25">
        <f t="shared" ca="1" si="60"/>
        <v>-5.9124469829208721E-2</v>
      </c>
      <c r="C401" s="25" t="e">
        <f t="shared" si="61"/>
        <v>#VALUE!</v>
      </c>
      <c r="D401" s="74" t="e">
        <f t="shared" si="62"/>
        <v>#VALUE!</v>
      </c>
      <c r="E401" s="25" t="e">
        <f t="shared" si="63"/>
        <v>#VALUE!</v>
      </c>
      <c r="F401" s="25" t="e">
        <f t="shared" ca="1" si="64"/>
        <v>#VALUE!</v>
      </c>
      <c r="G401" s="25"/>
      <c r="H401" s="25" t="e">
        <f t="shared" si="59"/>
        <v>#VALUE!</v>
      </c>
      <c r="I401" s="25">
        <f t="shared" si="65"/>
        <v>-113.00000000000826</v>
      </c>
      <c r="J401" s="25" t="e">
        <f t="shared" si="66"/>
        <v>#VALUE!</v>
      </c>
    </row>
    <row r="402" spans="1:10" x14ac:dyDescent="0.25">
      <c r="A402" s="25">
        <f t="shared" si="67"/>
        <v>-6.1200000000000827</v>
      </c>
      <c r="B402" s="25">
        <f t="shared" ca="1" si="60"/>
        <v>8.2393990957754223E-2</v>
      </c>
      <c r="C402" s="25" t="e">
        <f t="shared" si="61"/>
        <v>#VALUE!</v>
      </c>
      <c r="D402" s="74" t="e">
        <f t="shared" si="62"/>
        <v>#VALUE!</v>
      </c>
      <c r="E402" s="25" t="e">
        <f t="shared" si="63"/>
        <v>#VALUE!</v>
      </c>
      <c r="F402" s="25" t="e">
        <f t="shared" ca="1" si="64"/>
        <v>#VALUE!</v>
      </c>
      <c r="G402" s="25"/>
      <c r="H402" s="25" t="e">
        <f t="shared" si="59"/>
        <v>#VALUE!</v>
      </c>
      <c r="I402" s="25">
        <f t="shared" si="65"/>
        <v>-112.00000000000827</v>
      </c>
      <c r="J402" s="25" t="e">
        <f t="shared" si="66"/>
        <v>#VALUE!</v>
      </c>
    </row>
    <row r="403" spans="1:10" x14ac:dyDescent="0.25">
      <c r="A403" s="25">
        <f t="shared" si="67"/>
        <v>-6.1100000000000829</v>
      </c>
      <c r="B403" s="25">
        <f t="shared" ca="1" si="60"/>
        <v>-8.6171564682688453E-2</v>
      </c>
      <c r="C403" s="25" t="e">
        <f t="shared" si="61"/>
        <v>#VALUE!</v>
      </c>
      <c r="D403" s="74" t="e">
        <f t="shared" si="62"/>
        <v>#VALUE!</v>
      </c>
      <c r="E403" s="25" t="e">
        <f t="shared" si="63"/>
        <v>#VALUE!</v>
      </c>
      <c r="F403" s="25" t="e">
        <f t="shared" ca="1" si="64"/>
        <v>#VALUE!</v>
      </c>
      <c r="G403" s="25"/>
      <c r="H403" s="25" t="e">
        <f t="shared" si="59"/>
        <v>#VALUE!</v>
      </c>
      <c r="I403" s="25">
        <f t="shared" si="65"/>
        <v>-111.0000000000083</v>
      </c>
      <c r="J403" s="25" t="e">
        <f t="shared" si="66"/>
        <v>#VALUE!</v>
      </c>
    </row>
    <row r="404" spans="1:10" x14ac:dyDescent="0.25">
      <c r="A404" s="25">
        <f t="shared" si="67"/>
        <v>-6.1000000000000831</v>
      </c>
      <c r="B404" s="25">
        <f t="shared" ca="1" si="60"/>
        <v>6.3638282671327193E-2</v>
      </c>
      <c r="C404" s="25" t="e">
        <f t="shared" si="61"/>
        <v>#VALUE!</v>
      </c>
      <c r="D404" s="74" t="e">
        <f t="shared" si="62"/>
        <v>#VALUE!</v>
      </c>
      <c r="E404" s="25" t="e">
        <f t="shared" si="63"/>
        <v>#VALUE!</v>
      </c>
      <c r="F404" s="25" t="e">
        <f t="shared" ca="1" si="64"/>
        <v>#VALUE!</v>
      </c>
      <c r="G404" s="25"/>
      <c r="H404" s="25" t="e">
        <f t="shared" si="59"/>
        <v>#VALUE!</v>
      </c>
      <c r="I404" s="25">
        <f t="shared" si="65"/>
        <v>-110.00000000000833</v>
      </c>
      <c r="J404" s="25" t="e">
        <f t="shared" si="66"/>
        <v>#VALUE!</v>
      </c>
    </row>
    <row r="405" spans="1:10" x14ac:dyDescent="0.25">
      <c r="A405" s="25">
        <f t="shared" si="67"/>
        <v>-6.0900000000000833</v>
      </c>
      <c r="B405" s="25">
        <f t="shared" ca="1" si="60"/>
        <v>3.6136953363847986E-2</v>
      </c>
      <c r="C405" s="25" t="e">
        <f t="shared" si="61"/>
        <v>#VALUE!</v>
      </c>
      <c r="D405" s="74" t="e">
        <f t="shared" si="62"/>
        <v>#VALUE!</v>
      </c>
      <c r="E405" s="25" t="e">
        <f t="shared" si="63"/>
        <v>#VALUE!</v>
      </c>
      <c r="F405" s="25" t="e">
        <f t="shared" ca="1" si="64"/>
        <v>#VALUE!</v>
      </c>
      <c r="G405" s="25"/>
      <c r="H405" s="25" t="e">
        <f t="shared" si="59"/>
        <v>#VALUE!</v>
      </c>
      <c r="I405" s="25">
        <f t="shared" si="65"/>
        <v>-109.00000000000834</v>
      </c>
      <c r="J405" s="25" t="e">
        <f t="shared" si="66"/>
        <v>#VALUE!</v>
      </c>
    </row>
    <row r="406" spans="1:10" x14ac:dyDescent="0.25">
      <c r="A406" s="25">
        <f t="shared" si="67"/>
        <v>-6.0800000000000836</v>
      </c>
      <c r="B406" s="25">
        <f t="shared" ca="1" si="60"/>
        <v>-0.15232678135902297</v>
      </c>
      <c r="C406" s="25" t="e">
        <f t="shared" si="61"/>
        <v>#VALUE!</v>
      </c>
      <c r="D406" s="74" t="e">
        <f t="shared" si="62"/>
        <v>#VALUE!</v>
      </c>
      <c r="E406" s="25" t="e">
        <f t="shared" si="63"/>
        <v>#VALUE!</v>
      </c>
      <c r="F406" s="25" t="e">
        <f t="shared" ca="1" si="64"/>
        <v>#VALUE!</v>
      </c>
      <c r="G406" s="25"/>
      <c r="H406" s="25" t="e">
        <f t="shared" si="59"/>
        <v>#VALUE!</v>
      </c>
      <c r="I406" s="25">
        <f t="shared" si="65"/>
        <v>-108.00000000000837</v>
      </c>
      <c r="J406" s="25" t="e">
        <f t="shared" si="66"/>
        <v>#VALUE!</v>
      </c>
    </row>
    <row r="407" spans="1:10" x14ac:dyDescent="0.25">
      <c r="A407" s="25">
        <f t="shared" si="67"/>
        <v>-6.0700000000000838</v>
      </c>
      <c r="B407" s="25">
        <f t="shared" ca="1" si="60"/>
        <v>0.12716022575170313</v>
      </c>
      <c r="C407" s="25" t="e">
        <f t="shared" si="61"/>
        <v>#VALUE!</v>
      </c>
      <c r="D407" s="74" t="e">
        <f t="shared" si="62"/>
        <v>#VALUE!</v>
      </c>
      <c r="E407" s="25" t="e">
        <f t="shared" si="63"/>
        <v>#VALUE!</v>
      </c>
      <c r="F407" s="25" t="e">
        <f t="shared" ca="1" si="64"/>
        <v>#VALUE!</v>
      </c>
      <c r="G407" s="25"/>
      <c r="H407" s="25" t="e">
        <f t="shared" si="59"/>
        <v>#VALUE!</v>
      </c>
      <c r="I407" s="25">
        <f t="shared" si="65"/>
        <v>-107.00000000000837</v>
      </c>
      <c r="J407" s="25" t="e">
        <f t="shared" si="66"/>
        <v>#VALUE!</v>
      </c>
    </row>
    <row r="408" spans="1:10" x14ac:dyDescent="0.25">
      <c r="A408" s="25">
        <f t="shared" si="67"/>
        <v>-6.060000000000084</v>
      </c>
      <c r="B408" s="25">
        <f t="shared" ca="1" si="60"/>
        <v>7.6391196212763163E-2</v>
      </c>
      <c r="C408" s="25" t="e">
        <f t="shared" si="61"/>
        <v>#VALUE!</v>
      </c>
      <c r="D408" s="74" t="e">
        <f t="shared" si="62"/>
        <v>#VALUE!</v>
      </c>
      <c r="E408" s="25" t="e">
        <f t="shared" si="63"/>
        <v>#VALUE!</v>
      </c>
      <c r="F408" s="25" t="e">
        <f t="shared" ca="1" si="64"/>
        <v>#VALUE!</v>
      </c>
      <c r="G408" s="25"/>
      <c r="H408" s="25" t="e">
        <f t="shared" si="59"/>
        <v>#VALUE!</v>
      </c>
      <c r="I408" s="25">
        <f t="shared" si="65"/>
        <v>-106.00000000000838</v>
      </c>
      <c r="J408" s="25" t="e">
        <f t="shared" si="66"/>
        <v>#VALUE!</v>
      </c>
    </row>
    <row r="409" spans="1:10" x14ac:dyDescent="0.25">
      <c r="A409" s="25">
        <f t="shared" si="67"/>
        <v>-6.0500000000000842</v>
      </c>
      <c r="B409" s="25">
        <f t="shared" ca="1" si="60"/>
        <v>-6.5371191420137337E-2</v>
      </c>
      <c r="C409" s="25" t="e">
        <f t="shared" si="61"/>
        <v>#VALUE!</v>
      </c>
      <c r="D409" s="74" t="e">
        <f t="shared" si="62"/>
        <v>#VALUE!</v>
      </c>
      <c r="E409" s="25" t="e">
        <f t="shared" si="63"/>
        <v>#VALUE!</v>
      </c>
      <c r="F409" s="25" t="e">
        <f t="shared" ca="1" si="64"/>
        <v>#VALUE!</v>
      </c>
      <c r="G409" s="25"/>
      <c r="H409" s="25" t="e">
        <f t="shared" si="59"/>
        <v>#VALUE!</v>
      </c>
      <c r="I409" s="25">
        <f t="shared" si="65"/>
        <v>-105.00000000000841</v>
      </c>
      <c r="J409" s="25" t="e">
        <f t="shared" si="66"/>
        <v>#VALUE!</v>
      </c>
    </row>
    <row r="410" spans="1:10" x14ac:dyDescent="0.25">
      <c r="A410" s="25">
        <f t="shared" si="67"/>
        <v>-6.0400000000000844</v>
      </c>
      <c r="B410" s="25">
        <f t="shared" ca="1" si="60"/>
        <v>-0.1486563014697562</v>
      </c>
      <c r="C410" s="25" t="e">
        <f t="shared" si="61"/>
        <v>#VALUE!</v>
      </c>
      <c r="D410" s="74" t="e">
        <f t="shared" si="62"/>
        <v>#VALUE!</v>
      </c>
      <c r="E410" s="25" t="e">
        <f t="shared" si="63"/>
        <v>#VALUE!</v>
      </c>
      <c r="F410" s="25" t="e">
        <f t="shared" ca="1" si="64"/>
        <v>#VALUE!</v>
      </c>
      <c r="G410" s="25"/>
      <c r="H410" s="25" t="e">
        <f t="shared" si="59"/>
        <v>#VALUE!</v>
      </c>
      <c r="I410" s="25">
        <f t="shared" si="65"/>
        <v>-104.00000000000844</v>
      </c>
      <c r="J410" s="25" t="e">
        <f t="shared" si="66"/>
        <v>#VALUE!</v>
      </c>
    </row>
    <row r="411" spans="1:10" x14ac:dyDescent="0.25">
      <c r="A411" s="25">
        <f t="shared" si="67"/>
        <v>-6.0300000000000846</v>
      </c>
      <c r="B411" s="25">
        <f t="shared" ca="1" si="60"/>
        <v>-9.5294357367491853E-2</v>
      </c>
      <c r="C411" s="25" t="e">
        <f t="shared" si="61"/>
        <v>#VALUE!</v>
      </c>
      <c r="D411" s="74" t="e">
        <f t="shared" si="62"/>
        <v>#VALUE!</v>
      </c>
      <c r="E411" s="25" t="e">
        <f t="shared" si="63"/>
        <v>#VALUE!</v>
      </c>
      <c r="F411" s="25" t="e">
        <f t="shared" ca="1" si="64"/>
        <v>#VALUE!</v>
      </c>
      <c r="G411" s="25"/>
      <c r="H411" s="25" t="e">
        <f t="shared" si="59"/>
        <v>#VALUE!</v>
      </c>
      <c r="I411" s="25">
        <f t="shared" si="65"/>
        <v>-103.00000000000846</v>
      </c>
      <c r="J411" s="25" t="e">
        <f t="shared" si="66"/>
        <v>#VALUE!</v>
      </c>
    </row>
    <row r="412" spans="1:10" x14ac:dyDescent="0.25">
      <c r="A412" s="25">
        <f t="shared" si="67"/>
        <v>-6.0200000000000848</v>
      </c>
      <c r="B412" s="25">
        <f t="shared" ca="1" si="60"/>
        <v>9.6268498500670915E-2</v>
      </c>
      <c r="C412" s="25" t="e">
        <f t="shared" si="61"/>
        <v>#VALUE!</v>
      </c>
      <c r="D412" s="74" t="e">
        <f t="shared" si="62"/>
        <v>#VALUE!</v>
      </c>
      <c r="E412" s="25" t="e">
        <f t="shared" si="63"/>
        <v>#VALUE!</v>
      </c>
      <c r="F412" s="25" t="e">
        <f t="shared" ca="1" si="64"/>
        <v>#VALUE!</v>
      </c>
      <c r="G412" s="25"/>
      <c r="H412" s="25" t="e">
        <f t="shared" si="59"/>
        <v>#VALUE!</v>
      </c>
      <c r="I412" s="25">
        <f t="shared" si="65"/>
        <v>-102.00000000000848</v>
      </c>
      <c r="J412" s="25" t="e">
        <f t="shared" si="66"/>
        <v>#VALUE!</v>
      </c>
    </row>
    <row r="413" spans="1:10" x14ac:dyDescent="0.25">
      <c r="A413" s="25">
        <f t="shared" si="67"/>
        <v>-6.0100000000000851</v>
      </c>
      <c r="B413" s="25">
        <f t="shared" ca="1" si="60"/>
        <v>-9.8484152649887344E-2</v>
      </c>
      <c r="C413" s="25" t="e">
        <f t="shared" si="61"/>
        <v>#VALUE!</v>
      </c>
      <c r="D413" s="74" t="e">
        <f t="shared" si="62"/>
        <v>#VALUE!</v>
      </c>
      <c r="E413" s="25" t="e">
        <f t="shared" si="63"/>
        <v>#VALUE!</v>
      </c>
      <c r="F413" s="25" t="e">
        <f t="shared" ca="1" si="64"/>
        <v>#VALUE!</v>
      </c>
      <c r="G413" s="25"/>
      <c r="H413" s="25" t="e">
        <f t="shared" si="59"/>
        <v>#VALUE!</v>
      </c>
      <c r="I413" s="25">
        <f t="shared" si="65"/>
        <v>-101.0000000000085</v>
      </c>
      <c r="J413" s="25" t="e">
        <f t="shared" si="66"/>
        <v>#VALUE!</v>
      </c>
    </row>
    <row r="414" spans="1:10" x14ac:dyDescent="0.25">
      <c r="A414" s="25">
        <f t="shared" si="67"/>
        <v>-6.0000000000000853</v>
      </c>
      <c r="B414" s="25">
        <f t="shared" ca="1" si="60"/>
        <v>1.7662774664356201E-2</v>
      </c>
      <c r="C414" s="25" t="e">
        <f t="shared" si="61"/>
        <v>#VALUE!</v>
      </c>
      <c r="D414" s="74" t="e">
        <f t="shared" si="62"/>
        <v>#VALUE!</v>
      </c>
      <c r="E414" s="25" t="e">
        <f t="shared" si="63"/>
        <v>#VALUE!</v>
      </c>
      <c r="F414" s="25" t="e">
        <f t="shared" ca="1" si="64"/>
        <v>#VALUE!</v>
      </c>
      <c r="G414" s="25"/>
      <c r="H414" s="25" t="e">
        <f t="shared" ref="H414:H477" si="68">IF(PeakShape=$O$3,C414,IF(PeakShape=O416,D414,E414))</f>
        <v>#VALUE!</v>
      </c>
      <c r="I414" s="25">
        <f t="shared" si="65"/>
        <v>-100.00000000000853</v>
      </c>
      <c r="J414" s="25" t="e">
        <f t="shared" si="66"/>
        <v>#VALUE!</v>
      </c>
    </row>
    <row r="415" spans="1:10" x14ac:dyDescent="0.25">
      <c r="A415" s="25">
        <f t="shared" si="67"/>
        <v>-5.9900000000000855</v>
      </c>
      <c r="B415" s="25">
        <f t="shared" ca="1" si="60"/>
        <v>-0.15761786557184534</v>
      </c>
      <c r="C415" s="25" t="e">
        <f t="shared" si="61"/>
        <v>#VALUE!</v>
      </c>
      <c r="D415" s="74" t="e">
        <f t="shared" si="62"/>
        <v>#VALUE!</v>
      </c>
      <c r="E415" s="25" t="e">
        <f t="shared" si="63"/>
        <v>#VALUE!</v>
      </c>
      <c r="F415" s="25" t="e">
        <f t="shared" ca="1" si="64"/>
        <v>#VALUE!</v>
      </c>
      <c r="G415" s="25"/>
      <c r="H415" s="25" t="e">
        <f t="shared" si="68"/>
        <v>#VALUE!</v>
      </c>
      <c r="I415" s="25">
        <f t="shared" si="65"/>
        <v>-99.000000000008555</v>
      </c>
      <c r="J415" s="25" t="e">
        <f t="shared" si="66"/>
        <v>#VALUE!</v>
      </c>
    </row>
    <row r="416" spans="1:10" x14ac:dyDescent="0.25">
      <c r="A416" s="25">
        <f t="shared" si="67"/>
        <v>-5.9800000000000857</v>
      </c>
      <c r="B416" s="25">
        <f t="shared" ca="1" si="60"/>
        <v>-0.10710449752057512</v>
      </c>
      <c r="C416" s="25" t="e">
        <f t="shared" si="61"/>
        <v>#VALUE!</v>
      </c>
      <c r="D416" s="74" t="e">
        <f t="shared" si="62"/>
        <v>#VALUE!</v>
      </c>
      <c r="E416" s="25" t="e">
        <f t="shared" si="63"/>
        <v>#VALUE!</v>
      </c>
      <c r="F416" s="25" t="e">
        <f t="shared" ca="1" si="64"/>
        <v>#VALUE!</v>
      </c>
      <c r="G416" s="25"/>
      <c r="H416" s="25" t="e">
        <f t="shared" si="68"/>
        <v>#VALUE!</v>
      </c>
      <c r="I416" s="25">
        <f t="shared" si="65"/>
        <v>-98.000000000008569</v>
      </c>
      <c r="J416" s="25" t="e">
        <f t="shared" si="66"/>
        <v>#VALUE!</v>
      </c>
    </row>
    <row r="417" spans="1:10" x14ac:dyDescent="0.25">
      <c r="A417" s="25">
        <f t="shared" si="67"/>
        <v>-5.9700000000000859</v>
      </c>
      <c r="B417" s="25">
        <f t="shared" ca="1" si="60"/>
        <v>8.6455815532678115E-2</v>
      </c>
      <c r="C417" s="25" t="e">
        <f t="shared" si="61"/>
        <v>#VALUE!</v>
      </c>
      <c r="D417" s="74" t="e">
        <f t="shared" si="62"/>
        <v>#VALUE!</v>
      </c>
      <c r="E417" s="25" t="e">
        <f t="shared" si="63"/>
        <v>#VALUE!</v>
      </c>
      <c r="F417" s="25" t="e">
        <f t="shared" ca="1" si="64"/>
        <v>#VALUE!</v>
      </c>
      <c r="G417" s="25"/>
      <c r="H417" s="25" t="e">
        <f t="shared" si="68"/>
        <v>#VALUE!</v>
      </c>
      <c r="I417" s="25">
        <f t="shared" si="65"/>
        <v>-97.000000000008598</v>
      </c>
      <c r="J417" s="25" t="e">
        <f t="shared" si="66"/>
        <v>#VALUE!</v>
      </c>
    </row>
    <row r="418" spans="1:10" x14ac:dyDescent="0.25">
      <c r="A418" s="25">
        <f t="shared" si="67"/>
        <v>-5.9600000000000861</v>
      </c>
      <c r="B418" s="25">
        <f t="shared" ca="1" si="60"/>
        <v>-7.8229021736853102E-2</v>
      </c>
      <c r="C418" s="25" t="e">
        <f t="shared" si="61"/>
        <v>#VALUE!</v>
      </c>
      <c r="D418" s="74" t="e">
        <f t="shared" si="62"/>
        <v>#VALUE!</v>
      </c>
      <c r="E418" s="25" t="e">
        <f t="shared" si="63"/>
        <v>#VALUE!</v>
      </c>
      <c r="F418" s="25" t="e">
        <f t="shared" ca="1" si="64"/>
        <v>#VALUE!</v>
      </c>
      <c r="G418" s="25"/>
      <c r="H418" s="25" t="e">
        <f t="shared" si="68"/>
        <v>#VALUE!</v>
      </c>
      <c r="I418" s="25">
        <f t="shared" si="65"/>
        <v>-96.000000000008612</v>
      </c>
      <c r="J418" s="25" t="e">
        <f t="shared" si="66"/>
        <v>#VALUE!</v>
      </c>
    </row>
    <row r="419" spans="1:10" x14ac:dyDescent="0.25">
      <c r="A419" s="25">
        <f t="shared" si="67"/>
        <v>-5.9500000000000863</v>
      </c>
      <c r="B419" s="25">
        <f t="shared" ca="1" si="60"/>
        <v>5.7880606492648506E-2</v>
      </c>
      <c r="C419" s="25" t="e">
        <f t="shared" si="61"/>
        <v>#VALUE!</v>
      </c>
      <c r="D419" s="74" t="e">
        <f t="shared" si="62"/>
        <v>#VALUE!</v>
      </c>
      <c r="E419" s="25" t="e">
        <f t="shared" si="63"/>
        <v>#VALUE!</v>
      </c>
      <c r="F419" s="25" t="e">
        <f t="shared" ca="1" si="64"/>
        <v>#VALUE!</v>
      </c>
      <c r="G419" s="25"/>
      <c r="H419" s="25" t="e">
        <f t="shared" si="68"/>
        <v>#VALUE!</v>
      </c>
      <c r="I419" s="25">
        <f t="shared" si="65"/>
        <v>-95.000000000008626</v>
      </c>
      <c r="J419" s="25" t="e">
        <f t="shared" si="66"/>
        <v>#VALUE!</v>
      </c>
    </row>
    <row r="420" spans="1:10" x14ac:dyDescent="0.25">
      <c r="A420" s="25">
        <f t="shared" si="67"/>
        <v>-5.9400000000000865</v>
      </c>
      <c r="B420" s="25">
        <f t="shared" ca="1" si="60"/>
        <v>2.4944658381234081E-2</v>
      </c>
      <c r="C420" s="25" t="e">
        <f t="shared" si="61"/>
        <v>#VALUE!</v>
      </c>
      <c r="D420" s="74" t="e">
        <f t="shared" si="62"/>
        <v>#VALUE!</v>
      </c>
      <c r="E420" s="25" t="e">
        <f t="shared" si="63"/>
        <v>#VALUE!</v>
      </c>
      <c r="F420" s="25" t="e">
        <f t="shared" ca="1" si="64"/>
        <v>#VALUE!</v>
      </c>
      <c r="G420" s="25"/>
      <c r="H420" s="25" t="e">
        <f t="shared" si="68"/>
        <v>#VALUE!</v>
      </c>
      <c r="I420" s="25">
        <f t="shared" si="65"/>
        <v>-94.000000000008654</v>
      </c>
      <c r="J420" s="25" t="e">
        <f t="shared" si="66"/>
        <v>#VALUE!</v>
      </c>
    </row>
    <row r="421" spans="1:10" x14ac:dyDescent="0.25">
      <c r="A421" s="25">
        <f t="shared" si="67"/>
        <v>-5.9300000000000868</v>
      </c>
      <c r="B421" s="25">
        <f t="shared" ca="1" si="60"/>
        <v>-0.1921975022083291</v>
      </c>
      <c r="C421" s="25" t="e">
        <f t="shared" si="61"/>
        <v>#VALUE!</v>
      </c>
      <c r="D421" s="74" t="e">
        <f t="shared" si="62"/>
        <v>#VALUE!</v>
      </c>
      <c r="E421" s="25" t="e">
        <f t="shared" si="63"/>
        <v>#VALUE!</v>
      </c>
      <c r="F421" s="25" t="e">
        <f t="shared" ca="1" si="64"/>
        <v>#VALUE!</v>
      </c>
      <c r="G421" s="25"/>
      <c r="H421" s="25" t="e">
        <f t="shared" si="68"/>
        <v>#VALUE!</v>
      </c>
      <c r="I421" s="25">
        <f t="shared" si="65"/>
        <v>-93.000000000008669</v>
      </c>
      <c r="J421" s="25" t="e">
        <f t="shared" si="66"/>
        <v>#VALUE!</v>
      </c>
    </row>
    <row r="422" spans="1:10" x14ac:dyDescent="0.25">
      <c r="A422" s="25">
        <f t="shared" si="67"/>
        <v>-5.920000000000087</v>
      </c>
      <c r="B422" s="25">
        <f t="shared" ca="1" si="60"/>
        <v>-9.3980473336014489E-2</v>
      </c>
      <c r="C422" s="25" t="e">
        <f t="shared" si="61"/>
        <v>#VALUE!</v>
      </c>
      <c r="D422" s="74" t="e">
        <f t="shared" si="62"/>
        <v>#VALUE!</v>
      </c>
      <c r="E422" s="25" t="e">
        <f t="shared" si="63"/>
        <v>#VALUE!</v>
      </c>
      <c r="F422" s="25" t="e">
        <f t="shared" ca="1" si="64"/>
        <v>#VALUE!</v>
      </c>
      <c r="G422" s="25"/>
      <c r="H422" s="25" t="e">
        <f t="shared" si="68"/>
        <v>#VALUE!</v>
      </c>
      <c r="I422" s="25">
        <f t="shared" si="65"/>
        <v>-92.000000000008697</v>
      </c>
      <c r="J422" s="25" t="e">
        <f t="shared" si="66"/>
        <v>#VALUE!</v>
      </c>
    </row>
    <row r="423" spans="1:10" x14ac:dyDescent="0.25">
      <c r="A423" s="25">
        <f t="shared" si="67"/>
        <v>-5.9100000000000872</v>
      </c>
      <c r="B423" s="25">
        <f t="shared" ca="1" si="60"/>
        <v>-8.0061028732888798E-2</v>
      </c>
      <c r="C423" s="25" t="e">
        <f t="shared" si="61"/>
        <v>#VALUE!</v>
      </c>
      <c r="D423" s="74" t="e">
        <f t="shared" si="62"/>
        <v>#VALUE!</v>
      </c>
      <c r="E423" s="25" t="e">
        <f t="shared" si="63"/>
        <v>#VALUE!</v>
      </c>
      <c r="F423" s="25" t="e">
        <f t="shared" ca="1" si="64"/>
        <v>#VALUE!</v>
      </c>
      <c r="G423" s="25"/>
      <c r="H423" s="25" t="e">
        <f t="shared" si="68"/>
        <v>#VALUE!</v>
      </c>
      <c r="I423" s="25">
        <f t="shared" si="65"/>
        <v>-91.000000000008725</v>
      </c>
      <c r="J423" s="25" t="e">
        <f t="shared" si="66"/>
        <v>#VALUE!</v>
      </c>
    </row>
    <row r="424" spans="1:10" x14ac:dyDescent="0.25">
      <c r="A424" s="25">
        <f t="shared" si="67"/>
        <v>-5.9000000000000874</v>
      </c>
      <c r="B424" s="25">
        <f t="shared" ca="1" si="60"/>
        <v>7.1784246226432119E-2</v>
      </c>
      <c r="C424" s="25" t="e">
        <f t="shared" si="61"/>
        <v>#VALUE!</v>
      </c>
      <c r="D424" s="74" t="e">
        <f t="shared" si="62"/>
        <v>#VALUE!</v>
      </c>
      <c r="E424" s="25" t="e">
        <f t="shared" si="63"/>
        <v>#VALUE!</v>
      </c>
      <c r="F424" s="25" t="e">
        <f t="shared" ca="1" si="64"/>
        <v>#VALUE!</v>
      </c>
      <c r="G424" s="25"/>
      <c r="H424" s="25" t="e">
        <f t="shared" si="68"/>
        <v>#VALUE!</v>
      </c>
      <c r="I424" s="25">
        <f t="shared" si="65"/>
        <v>-90.00000000000874</v>
      </c>
      <c r="J424" s="25" t="e">
        <f t="shared" si="66"/>
        <v>#VALUE!</v>
      </c>
    </row>
    <row r="425" spans="1:10" x14ac:dyDescent="0.25">
      <c r="A425" s="25">
        <f t="shared" si="67"/>
        <v>-5.8900000000000876</v>
      </c>
      <c r="B425" s="25">
        <f t="shared" ca="1" si="60"/>
        <v>8.5037802402302853E-2</v>
      </c>
      <c r="C425" s="25" t="e">
        <f t="shared" si="61"/>
        <v>#VALUE!</v>
      </c>
      <c r="D425" s="74" t="e">
        <f t="shared" si="62"/>
        <v>#VALUE!</v>
      </c>
      <c r="E425" s="25" t="e">
        <f t="shared" si="63"/>
        <v>#VALUE!</v>
      </c>
      <c r="F425" s="25" t="e">
        <f t="shared" ca="1" si="64"/>
        <v>#VALUE!</v>
      </c>
      <c r="G425" s="25"/>
      <c r="H425" s="25" t="e">
        <f t="shared" si="68"/>
        <v>#VALUE!</v>
      </c>
      <c r="I425" s="25">
        <f t="shared" si="65"/>
        <v>-89.000000000008768</v>
      </c>
      <c r="J425" s="25" t="e">
        <f t="shared" si="66"/>
        <v>#VALUE!</v>
      </c>
    </row>
    <row r="426" spans="1:10" x14ac:dyDescent="0.25">
      <c r="A426" s="25">
        <f t="shared" si="67"/>
        <v>-5.8800000000000878</v>
      </c>
      <c r="B426" s="25">
        <f t="shared" ca="1" si="60"/>
        <v>-3.9931178215873601E-2</v>
      </c>
      <c r="C426" s="25" t="e">
        <f t="shared" si="61"/>
        <v>#VALUE!</v>
      </c>
      <c r="D426" s="74" t="e">
        <f t="shared" si="62"/>
        <v>#VALUE!</v>
      </c>
      <c r="E426" s="25" t="e">
        <f t="shared" si="63"/>
        <v>#VALUE!</v>
      </c>
      <c r="F426" s="25" t="e">
        <f t="shared" ca="1" si="64"/>
        <v>#VALUE!</v>
      </c>
      <c r="G426" s="25"/>
      <c r="H426" s="25" t="e">
        <f t="shared" si="68"/>
        <v>#VALUE!</v>
      </c>
      <c r="I426" s="25">
        <f t="shared" si="65"/>
        <v>-88.000000000008782</v>
      </c>
      <c r="J426" s="25" t="e">
        <f t="shared" si="66"/>
        <v>#VALUE!</v>
      </c>
    </row>
    <row r="427" spans="1:10" x14ac:dyDescent="0.25">
      <c r="A427" s="25">
        <f t="shared" si="67"/>
        <v>-5.870000000000088</v>
      </c>
      <c r="B427" s="25">
        <f t="shared" ca="1" si="60"/>
        <v>-0.14742453818217741</v>
      </c>
      <c r="C427" s="25" t="e">
        <f t="shared" si="61"/>
        <v>#VALUE!</v>
      </c>
      <c r="D427" s="74" t="e">
        <f t="shared" si="62"/>
        <v>#VALUE!</v>
      </c>
      <c r="E427" s="25" t="e">
        <f t="shared" si="63"/>
        <v>#VALUE!</v>
      </c>
      <c r="F427" s="25" t="e">
        <f t="shared" ca="1" si="64"/>
        <v>#VALUE!</v>
      </c>
      <c r="G427" s="25"/>
      <c r="H427" s="25" t="e">
        <f t="shared" si="68"/>
        <v>#VALUE!</v>
      </c>
      <c r="I427" s="25">
        <f t="shared" si="65"/>
        <v>-87.000000000008797</v>
      </c>
      <c r="J427" s="25" t="e">
        <f t="shared" si="66"/>
        <v>#VALUE!</v>
      </c>
    </row>
    <row r="428" spans="1:10" x14ac:dyDescent="0.25">
      <c r="A428" s="25">
        <f t="shared" si="67"/>
        <v>-5.8600000000000882</v>
      </c>
      <c r="B428" s="25">
        <f t="shared" ca="1" si="60"/>
        <v>-0.18055938057861576</v>
      </c>
      <c r="C428" s="25" t="e">
        <f t="shared" si="61"/>
        <v>#VALUE!</v>
      </c>
      <c r="D428" s="74" t="e">
        <f t="shared" si="62"/>
        <v>#VALUE!</v>
      </c>
      <c r="E428" s="25" t="e">
        <f t="shared" si="63"/>
        <v>#VALUE!</v>
      </c>
      <c r="F428" s="25" t="e">
        <f t="shared" ca="1" si="64"/>
        <v>#VALUE!</v>
      </c>
      <c r="G428" s="25"/>
      <c r="H428" s="25" t="e">
        <f t="shared" si="68"/>
        <v>#VALUE!</v>
      </c>
      <c r="I428" s="25">
        <f t="shared" si="65"/>
        <v>-86.000000000008825</v>
      </c>
      <c r="J428" s="25" t="e">
        <f t="shared" si="66"/>
        <v>#VALUE!</v>
      </c>
    </row>
    <row r="429" spans="1:10" x14ac:dyDescent="0.25">
      <c r="A429" s="25">
        <f t="shared" si="67"/>
        <v>-5.8500000000000885</v>
      </c>
      <c r="B429" s="25">
        <f t="shared" ca="1" si="60"/>
        <v>0.10543238253938587</v>
      </c>
      <c r="C429" s="25" t="e">
        <f t="shared" si="61"/>
        <v>#VALUE!</v>
      </c>
      <c r="D429" s="74" t="e">
        <f t="shared" si="62"/>
        <v>#VALUE!</v>
      </c>
      <c r="E429" s="25" t="e">
        <f t="shared" si="63"/>
        <v>#VALUE!</v>
      </c>
      <c r="F429" s="25" t="e">
        <f t="shared" ca="1" si="64"/>
        <v>#VALUE!</v>
      </c>
      <c r="G429" s="25"/>
      <c r="H429" s="25" t="e">
        <f t="shared" si="68"/>
        <v>#VALUE!</v>
      </c>
      <c r="I429" s="25">
        <f t="shared" si="65"/>
        <v>-85.000000000008839</v>
      </c>
      <c r="J429" s="25" t="e">
        <f t="shared" si="66"/>
        <v>#VALUE!</v>
      </c>
    </row>
    <row r="430" spans="1:10" x14ac:dyDescent="0.25">
      <c r="A430" s="25">
        <f t="shared" si="67"/>
        <v>-5.8400000000000887</v>
      </c>
      <c r="B430" s="25">
        <f t="shared" ca="1" si="60"/>
        <v>0.11060566655895621</v>
      </c>
      <c r="C430" s="25" t="e">
        <f t="shared" si="61"/>
        <v>#VALUE!</v>
      </c>
      <c r="D430" s="74" t="e">
        <f t="shared" si="62"/>
        <v>#VALUE!</v>
      </c>
      <c r="E430" s="25" t="e">
        <f t="shared" si="63"/>
        <v>#VALUE!</v>
      </c>
      <c r="F430" s="25" t="e">
        <f t="shared" ca="1" si="64"/>
        <v>#VALUE!</v>
      </c>
      <c r="G430" s="25"/>
      <c r="H430" s="25" t="e">
        <f t="shared" si="68"/>
        <v>#VALUE!</v>
      </c>
      <c r="I430" s="25">
        <f t="shared" si="65"/>
        <v>-84.000000000008868</v>
      </c>
      <c r="J430" s="25" t="e">
        <f t="shared" si="66"/>
        <v>#VALUE!</v>
      </c>
    </row>
    <row r="431" spans="1:10" x14ac:dyDescent="0.25">
      <c r="A431" s="25">
        <f t="shared" si="67"/>
        <v>-5.8300000000000889</v>
      </c>
      <c r="B431" s="25">
        <f t="shared" ca="1" si="60"/>
        <v>6.7780128548384139E-2</v>
      </c>
      <c r="C431" s="25" t="e">
        <f t="shared" si="61"/>
        <v>#VALUE!</v>
      </c>
      <c r="D431" s="74" t="e">
        <f t="shared" si="62"/>
        <v>#VALUE!</v>
      </c>
      <c r="E431" s="25" t="e">
        <f t="shared" si="63"/>
        <v>#VALUE!</v>
      </c>
      <c r="F431" s="25" t="e">
        <f t="shared" ca="1" si="64"/>
        <v>#VALUE!</v>
      </c>
      <c r="G431" s="25"/>
      <c r="H431" s="25" t="e">
        <f t="shared" si="68"/>
        <v>#VALUE!</v>
      </c>
      <c r="I431" s="25">
        <f t="shared" si="65"/>
        <v>-83.000000000008896</v>
      </c>
      <c r="J431" s="25" t="e">
        <f t="shared" si="66"/>
        <v>#VALUE!</v>
      </c>
    </row>
    <row r="432" spans="1:10" x14ac:dyDescent="0.25">
      <c r="A432" s="25">
        <f t="shared" si="67"/>
        <v>-5.8200000000000891</v>
      </c>
      <c r="B432" s="25">
        <f t="shared" ca="1" si="60"/>
        <v>8.3344435231453559E-2</v>
      </c>
      <c r="C432" s="25" t="e">
        <f t="shared" si="61"/>
        <v>#VALUE!</v>
      </c>
      <c r="D432" s="74" t="e">
        <f t="shared" si="62"/>
        <v>#VALUE!</v>
      </c>
      <c r="E432" s="25" t="e">
        <f t="shared" si="63"/>
        <v>#VALUE!</v>
      </c>
      <c r="F432" s="25" t="e">
        <f t="shared" ca="1" si="64"/>
        <v>#VALUE!</v>
      </c>
      <c r="G432" s="25"/>
      <c r="H432" s="25" t="e">
        <f t="shared" si="68"/>
        <v>#VALUE!</v>
      </c>
      <c r="I432" s="25">
        <f t="shared" si="65"/>
        <v>-82.00000000000891</v>
      </c>
      <c r="J432" s="25" t="e">
        <f t="shared" si="66"/>
        <v>#VALUE!</v>
      </c>
    </row>
    <row r="433" spans="1:10" x14ac:dyDescent="0.25">
      <c r="A433" s="25">
        <f t="shared" si="67"/>
        <v>-5.8100000000000893</v>
      </c>
      <c r="B433" s="25">
        <f t="shared" ca="1" si="60"/>
        <v>2.2892662177109901E-2</v>
      </c>
      <c r="C433" s="25" t="e">
        <f t="shared" si="61"/>
        <v>#VALUE!</v>
      </c>
      <c r="D433" s="74" t="e">
        <f t="shared" si="62"/>
        <v>#VALUE!</v>
      </c>
      <c r="E433" s="25" t="e">
        <f t="shared" si="63"/>
        <v>#VALUE!</v>
      </c>
      <c r="F433" s="25" t="e">
        <f t="shared" ca="1" si="64"/>
        <v>#VALUE!</v>
      </c>
      <c r="G433" s="25"/>
      <c r="H433" s="25" t="e">
        <f t="shared" si="68"/>
        <v>#VALUE!</v>
      </c>
      <c r="I433" s="25">
        <f t="shared" si="65"/>
        <v>-81.000000000008939</v>
      </c>
      <c r="J433" s="25" t="e">
        <f t="shared" si="66"/>
        <v>#VALUE!</v>
      </c>
    </row>
    <row r="434" spans="1:10" x14ac:dyDescent="0.25">
      <c r="A434" s="25">
        <f t="shared" si="67"/>
        <v>-5.8000000000000895</v>
      </c>
      <c r="B434" s="25">
        <f t="shared" ca="1" si="60"/>
        <v>0.12545717464351433</v>
      </c>
      <c r="C434" s="25" t="e">
        <f t="shared" si="61"/>
        <v>#VALUE!</v>
      </c>
      <c r="D434" s="74" t="e">
        <f t="shared" si="62"/>
        <v>#VALUE!</v>
      </c>
      <c r="E434" s="25" t="e">
        <f t="shared" si="63"/>
        <v>#VALUE!</v>
      </c>
      <c r="F434" s="25" t="e">
        <f t="shared" ca="1" si="64"/>
        <v>#VALUE!</v>
      </c>
      <c r="G434" s="25"/>
      <c r="H434" s="25" t="e">
        <f t="shared" si="68"/>
        <v>#VALUE!</v>
      </c>
      <c r="I434" s="25">
        <f t="shared" si="65"/>
        <v>-80.000000000008953</v>
      </c>
      <c r="J434" s="25" t="e">
        <f t="shared" si="66"/>
        <v>#VALUE!</v>
      </c>
    </row>
    <row r="435" spans="1:10" x14ac:dyDescent="0.25">
      <c r="A435" s="25">
        <f t="shared" si="67"/>
        <v>-5.7900000000000897</v>
      </c>
      <c r="B435" s="25">
        <f t="shared" ca="1" si="60"/>
        <v>-0.11362280877489291</v>
      </c>
      <c r="C435" s="25" t="e">
        <f t="shared" si="61"/>
        <v>#VALUE!</v>
      </c>
      <c r="D435" s="74" t="e">
        <f t="shared" si="62"/>
        <v>#VALUE!</v>
      </c>
      <c r="E435" s="25" t="e">
        <f t="shared" si="63"/>
        <v>#VALUE!</v>
      </c>
      <c r="F435" s="25" t="e">
        <f t="shared" ca="1" si="64"/>
        <v>#VALUE!</v>
      </c>
      <c r="G435" s="25"/>
      <c r="H435" s="25" t="e">
        <f t="shared" si="68"/>
        <v>#VALUE!</v>
      </c>
      <c r="I435" s="25">
        <f t="shared" si="65"/>
        <v>-79.000000000008967</v>
      </c>
      <c r="J435" s="25" t="e">
        <f t="shared" si="66"/>
        <v>#VALUE!</v>
      </c>
    </row>
    <row r="436" spans="1:10" x14ac:dyDescent="0.25">
      <c r="A436" s="25">
        <f t="shared" si="67"/>
        <v>-5.78000000000009</v>
      </c>
      <c r="B436" s="25">
        <f t="shared" ca="1" si="60"/>
        <v>-0.11747288250991832</v>
      </c>
      <c r="C436" s="25" t="e">
        <f t="shared" si="61"/>
        <v>#VALUE!</v>
      </c>
      <c r="D436" s="74" t="e">
        <f t="shared" si="62"/>
        <v>#VALUE!</v>
      </c>
      <c r="E436" s="25" t="e">
        <f t="shared" si="63"/>
        <v>#VALUE!</v>
      </c>
      <c r="F436" s="25" t="e">
        <f t="shared" ca="1" si="64"/>
        <v>#VALUE!</v>
      </c>
      <c r="G436" s="25"/>
      <c r="H436" s="25" t="e">
        <f t="shared" si="68"/>
        <v>#VALUE!</v>
      </c>
      <c r="I436" s="25">
        <f t="shared" si="65"/>
        <v>-78.000000000008995</v>
      </c>
      <c r="J436" s="25" t="e">
        <f t="shared" si="66"/>
        <v>#VALUE!</v>
      </c>
    </row>
    <row r="437" spans="1:10" x14ac:dyDescent="0.25">
      <c r="A437" s="25">
        <f t="shared" si="67"/>
        <v>-5.7700000000000902</v>
      </c>
      <c r="B437" s="25">
        <f t="shared" ca="1" si="60"/>
        <v>6.8394586734703958E-2</v>
      </c>
      <c r="C437" s="25" t="e">
        <f t="shared" si="61"/>
        <v>#VALUE!</v>
      </c>
      <c r="D437" s="74" t="e">
        <f t="shared" si="62"/>
        <v>#VALUE!</v>
      </c>
      <c r="E437" s="25" t="e">
        <f t="shared" si="63"/>
        <v>#VALUE!</v>
      </c>
      <c r="F437" s="25" t="e">
        <f t="shared" ca="1" si="64"/>
        <v>#VALUE!</v>
      </c>
      <c r="G437" s="25"/>
      <c r="H437" s="25" t="e">
        <f t="shared" si="68"/>
        <v>#VALUE!</v>
      </c>
      <c r="I437" s="25">
        <f t="shared" si="65"/>
        <v>-77.00000000000901</v>
      </c>
      <c r="J437" s="25" t="e">
        <f t="shared" si="66"/>
        <v>#VALUE!</v>
      </c>
    </row>
    <row r="438" spans="1:10" x14ac:dyDescent="0.25">
      <c r="A438" s="25">
        <f t="shared" si="67"/>
        <v>-5.7600000000000904</v>
      </c>
      <c r="B438" s="25">
        <f t="shared" ca="1" si="60"/>
        <v>0.1245457487149545</v>
      </c>
      <c r="C438" s="25" t="e">
        <f t="shared" si="61"/>
        <v>#VALUE!</v>
      </c>
      <c r="D438" s="74" t="e">
        <f t="shared" si="62"/>
        <v>#VALUE!</v>
      </c>
      <c r="E438" s="25" t="e">
        <f t="shared" si="63"/>
        <v>#VALUE!</v>
      </c>
      <c r="F438" s="25" t="e">
        <f t="shared" ca="1" si="64"/>
        <v>#VALUE!</v>
      </c>
      <c r="G438" s="25"/>
      <c r="H438" s="25" t="e">
        <f t="shared" si="68"/>
        <v>#VALUE!</v>
      </c>
      <c r="I438" s="25">
        <f t="shared" si="65"/>
        <v>-76.000000000009038</v>
      </c>
      <c r="J438" s="25" t="e">
        <f t="shared" si="66"/>
        <v>#VALUE!</v>
      </c>
    </row>
    <row r="439" spans="1:10" x14ac:dyDescent="0.25">
      <c r="A439" s="25">
        <f t="shared" si="67"/>
        <v>-5.7500000000000906</v>
      </c>
      <c r="B439" s="25">
        <f t="shared" ca="1" si="60"/>
        <v>-1.2000865496978513E-2</v>
      </c>
      <c r="C439" s="25" t="e">
        <f t="shared" si="61"/>
        <v>#VALUE!</v>
      </c>
      <c r="D439" s="74" t="e">
        <f t="shared" si="62"/>
        <v>#VALUE!</v>
      </c>
      <c r="E439" s="25" t="e">
        <f t="shared" si="63"/>
        <v>#VALUE!</v>
      </c>
      <c r="F439" s="25" t="e">
        <f t="shared" ca="1" si="64"/>
        <v>#VALUE!</v>
      </c>
      <c r="G439" s="25"/>
      <c r="H439" s="25" t="e">
        <f t="shared" si="68"/>
        <v>#VALUE!</v>
      </c>
      <c r="I439" s="25">
        <f t="shared" si="65"/>
        <v>-75.000000000009067</v>
      </c>
      <c r="J439" s="25" t="e">
        <f t="shared" si="66"/>
        <v>#VALUE!</v>
      </c>
    </row>
    <row r="440" spans="1:10" x14ac:dyDescent="0.25">
      <c r="A440" s="25">
        <f t="shared" si="67"/>
        <v>-5.7400000000000908</v>
      </c>
      <c r="B440" s="25">
        <f t="shared" ca="1" si="60"/>
        <v>8.1028521265348569E-2</v>
      </c>
      <c r="C440" s="25" t="e">
        <f t="shared" si="61"/>
        <v>#VALUE!</v>
      </c>
      <c r="D440" s="74" t="e">
        <f t="shared" si="62"/>
        <v>#VALUE!</v>
      </c>
      <c r="E440" s="25" t="e">
        <f t="shared" si="63"/>
        <v>#VALUE!</v>
      </c>
      <c r="F440" s="25" t="e">
        <f t="shared" ca="1" si="64"/>
        <v>#VALUE!</v>
      </c>
      <c r="G440" s="25"/>
      <c r="H440" s="25" t="e">
        <f t="shared" si="68"/>
        <v>#VALUE!</v>
      </c>
      <c r="I440" s="25">
        <f t="shared" si="65"/>
        <v>-74.000000000009081</v>
      </c>
      <c r="J440" s="25" t="e">
        <f t="shared" si="66"/>
        <v>#VALUE!</v>
      </c>
    </row>
    <row r="441" spans="1:10" x14ac:dyDescent="0.25">
      <c r="A441" s="25">
        <f t="shared" si="67"/>
        <v>-5.730000000000091</v>
      </c>
      <c r="B441" s="25">
        <f t="shared" ca="1" si="60"/>
        <v>-7.476659498542905E-2</v>
      </c>
      <c r="C441" s="25" t="e">
        <f t="shared" si="61"/>
        <v>#VALUE!</v>
      </c>
      <c r="D441" s="74" t="e">
        <f t="shared" si="62"/>
        <v>#VALUE!</v>
      </c>
      <c r="E441" s="25" t="e">
        <f t="shared" si="63"/>
        <v>#VALUE!</v>
      </c>
      <c r="F441" s="25" t="e">
        <f t="shared" ca="1" si="64"/>
        <v>#VALUE!</v>
      </c>
      <c r="G441" s="25"/>
      <c r="H441" s="25" t="e">
        <f t="shared" si="68"/>
        <v>#VALUE!</v>
      </c>
      <c r="I441" s="25">
        <f t="shared" si="65"/>
        <v>-73.000000000009109</v>
      </c>
      <c r="J441" s="25" t="e">
        <f t="shared" si="66"/>
        <v>#VALUE!</v>
      </c>
    </row>
    <row r="442" spans="1:10" x14ac:dyDescent="0.25">
      <c r="A442" s="25">
        <f t="shared" si="67"/>
        <v>-5.7200000000000912</v>
      </c>
      <c r="B442" s="25">
        <f t="shared" ca="1" si="60"/>
        <v>-0.14006524322668149</v>
      </c>
      <c r="C442" s="25" t="e">
        <f t="shared" si="61"/>
        <v>#VALUE!</v>
      </c>
      <c r="D442" s="74" t="e">
        <f t="shared" si="62"/>
        <v>#VALUE!</v>
      </c>
      <c r="E442" s="25" t="e">
        <f t="shared" si="63"/>
        <v>#VALUE!</v>
      </c>
      <c r="F442" s="25" t="e">
        <f t="shared" ca="1" si="64"/>
        <v>#VALUE!</v>
      </c>
      <c r="G442" s="25"/>
      <c r="H442" s="25" t="e">
        <f t="shared" si="68"/>
        <v>#VALUE!</v>
      </c>
      <c r="I442" s="25">
        <f t="shared" si="65"/>
        <v>-72.000000000009123</v>
      </c>
      <c r="J442" s="25" t="e">
        <f t="shared" si="66"/>
        <v>#VALUE!</v>
      </c>
    </row>
    <row r="443" spans="1:10" x14ac:dyDescent="0.25">
      <c r="A443" s="25">
        <f t="shared" si="67"/>
        <v>-5.7100000000000914</v>
      </c>
      <c r="B443" s="25">
        <f t="shared" ca="1" si="60"/>
        <v>-0.12060616016059537</v>
      </c>
      <c r="C443" s="25" t="e">
        <f t="shared" si="61"/>
        <v>#VALUE!</v>
      </c>
      <c r="D443" s="74" t="e">
        <f t="shared" si="62"/>
        <v>#VALUE!</v>
      </c>
      <c r="E443" s="25" t="e">
        <f t="shared" si="63"/>
        <v>#VALUE!</v>
      </c>
      <c r="F443" s="25" t="e">
        <f t="shared" ca="1" si="64"/>
        <v>#VALUE!</v>
      </c>
      <c r="G443" s="25"/>
      <c r="H443" s="25" t="e">
        <f t="shared" si="68"/>
        <v>#VALUE!</v>
      </c>
      <c r="I443" s="25">
        <f t="shared" si="65"/>
        <v>-71.000000000009138</v>
      </c>
      <c r="J443" s="25" t="e">
        <f t="shared" si="66"/>
        <v>#VALUE!</v>
      </c>
    </row>
    <row r="444" spans="1:10" x14ac:dyDescent="0.25">
      <c r="A444" s="25">
        <f t="shared" si="67"/>
        <v>-5.7000000000000917</v>
      </c>
      <c r="B444" s="25">
        <f t="shared" ca="1" si="60"/>
        <v>-9.2871975422467501E-2</v>
      </c>
      <c r="C444" s="25" t="e">
        <f t="shared" si="61"/>
        <v>#VALUE!</v>
      </c>
      <c r="D444" s="74" t="e">
        <f t="shared" si="62"/>
        <v>#VALUE!</v>
      </c>
      <c r="E444" s="25" t="e">
        <f t="shared" si="63"/>
        <v>#VALUE!</v>
      </c>
      <c r="F444" s="25" t="e">
        <f t="shared" ca="1" si="64"/>
        <v>#VALUE!</v>
      </c>
      <c r="G444" s="25"/>
      <c r="H444" s="25" t="e">
        <f t="shared" si="68"/>
        <v>#VALUE!</v>
      </c>
      <c r="I444" s="25">
        <f t="shared" si="65"/>
        <v>-70.000000000009166</v>
      </c>
      <c r="J444" s="25" t="e">
        <f t="shared" si="66"/>
        <v>#VALUE!</v>
      </c>
    </row>
    <row r="445" spans="1:10" x14ac:dyDescent="0.25">
      <c r="A445" s="25">
        <f t="shared" si="67"/>
        <v>-5.6900000000000919</v>
      </c>
      <c r="B445" s="25">
        <f t="shared" ca="1" si="60"/>
        <v>7.0886864235367789E-2</v>
      </c>
      <c r="C445" s="25" t="e">
        <f t="shared" si="61"/>
        <v>#VALUE!</v>
      </c>
      <c r="D445" s="74" t="e">
        <f t="shared" si="62"/>
        <v>#VALUE!</v>
      </c>
      <c r="E445" s="25" t="e">
        <f t="shared" si="63"/>
        <v>#VALUE!</v>
      </c>
      <c r="F445" s="25" t="e">
        <f t="shared" ca="1" si="64"/>
        <v>#VALUE!</v>
      </c>
      <c r="G445" s="25"/>
      <c r="H445" s="25" t="e">
        <f t="shared" si="68"/>
        <v>#VALUE!</v>
      </c>
      <c r="I445" s="25">
        <f t="shared" si="65"/>
        <v>-69.00000000000918</v>
      </c>
      <c r="J445" s="25" t="e">
        <f t="shared" si="66"/>
        <v>#VALUE!</v>
      </c>
    </row>
    <row r="446" spans="1:10" x14ac:dyDescent="0.25">
      <c r="A446" s="25">
        <f t="shared" si="67"/>
        <v>-5.6800000000000921</v>
      </c>
      <c r="B446" s="25">
        <f t="shared" ca="1" si="60"/>
        <v>-8.9024735890507276E-3</v>
      </c>
      <c r="C446" s="25" t="e">
        <f t="shared" si="61"/>
        <v>#VALUE!</v>
      </c>
      <c r="D446" s="74" t="e">
        <f t="shared" si="62"/>
        <v>#VALUE!</v>
      </c>
      <c r="E446" s="25" t="e">
        <f t="shared" si="63"/>
        <v>#VALUE!</v>
      </c>
      <c r="F446" s="25" t="e">
        <f t="shared" ca="1" si="64"/>
        <v>#VALUE!</v>
      </c>
      <c r="G446" s="25"/>
      <c r="H446" s="25" t="e">
        <f t="shared" si="68"/>
        <v>#VALUE!</v>
      </c>
      <c r="I446" s="25">
        <f t="shared" si="65"/>
        <v>-68.000000000009209</v>
      </c>
      <c r="J446" s="25" t="e">
        <f t="shared" si="66"/>
        <v>#VALUE!</v>
      </c>
    </row>
    <row r="447" spans="1:10" x14ac:dyDescent="0.25">
      <c r="A447" s="25">
        <f t="shared" si="67"/>
        <v>-5.6700000000000923</v>
      </c>
      <c r="B447" s="25">
        <f t="shared" ca="1" si="60"/>
        <v>-2.3332752559207617E-3</v>
      </c>
      <c r="C447" s="25" t="e">
        <f t="shared" si="61"/>
        <v>#VALUE!</v>
      </c>
      <c r="D447" s="74" t="e">
        <f t="shared" si="62"/>
        <v>#VALUE!</v>
      </c>
      <c r="E447" s="25" t="e">
        <f t="shared" si="63"/>
        <v>#VALUE!</v>
      </c>
      <c r="F447" s="25" t="e">
        <f t="shared" ca="1" si="64"/>
        <v>#VALUE!</v>
      </c>
      <c r="G447" s="25"/>
      <c r="H447" s="25" t="e">
        <f t="shared" si="68"/>
        <v>#VALUE!</v>
      </c>
      <c r="I447" s="25">
        <f t="shared" si="65"/>
        <v>-67.000000000009237</v>
      </c>
      <c r="J447" s="25" t="e">
        <f t="shared" si="66"/>
        <v>#VALUE!</v>
      </c>
    </row>
    <row r="448" spans="1:10" x14ac:dyDescent="0.25">
      <c r="A448" s="25">
        <f t="shared" si="67"/>
        <v>-5.6600000000000925</v>
      </c>
      <c r="B448" s="25">
        <f t="shared" ca="1" si="60"/>
        <v>0.10326369383670513</v>
      </c>
      <c r="C448" s="25" t="e">
        <f t="shared" si="61"/>
        <v>#VALUE!</v>
      </c>
      <c r="D448" s="74" t="e">
        <f t="shared" si="62"/>
        <v>#VALUE!</v>
      </c>
      <c r="E448" s="25" t="e">
        <f t="shared" si="63"/>
        <v>#VALUE!</v>
      </c>
      <c r="F448" s="25" t="e">
        <f t="shared" ca="1" si="64"/>
        <v>#VALUE!</v>
      </c>
      <c r="G448" s="25"/>
      <c r="H448" s="25" t="e">
        <f t="shared" si="68"/>
        <v>#VALUE!</v>
      </c>
      <c r="I448" s="25">
        <f t="shared" si="65"/>
        <v>-66.000000000009251</v>
      </c>
      <c r="J448" s="25" t="e">
        <f t="shared" si="66"/>
        <v>#VALUE!</v>
      </c>
    </row>
    <row r="449" spans="1:10" x14ac:dyDescent="0.25">
      <c r="A449" s="25">
        <f t="shared" si="67"/>
        <v>-5.6500000000000927</v>
      </c>
      <c r="B449" s="25">
        <f t="shared" ca="1" si="60"/>
        <v>-0.13257090061605548</v>
      </c>
      <c r="C449" s="25" t="e">
        <f t="shared" si="61"/>
        <v>#VALUE!</v>
      </c>
      <c r="D449" s="74" t="e">
        <f t="shared" si="62"/>
        <v>#VALUE!</v>
      </c>
      <c r="E449" s="25" t="e">
        <f t="shared" si="63"/>
        <v>#VALUE!</v>
      </c>
      <c r="F449" s="25" t="e">
        <f t="shared" ca="1" si="64"/>
        <v>#VALUE!</v>
      </c>
      <c r="G449" s="25"/>
      <c r="H449" s="25" t="e">
        <f t="shared" si="68"/>
        <v>#VALUE!</v>
      </c>
      <c r="I449" s="25">
        <f t="shared" si="65"/>
        <v>-65.00000000000928</v>
      </c>
      <c r="J449" s="25" t="e">
        <f t="shared" si="66"/>
        <v>#VALUE!</v>
      </c>
    </row>
    <row r="450" spans="1:10" x14ac:dyDescent="0.25">
      <c r="A450" s="25">
        <f t="shared" si="67"/>
        <v>-5.6400000000000929</v>
      </c>
      <c r="B450" s="25">
        <f t="shared" ca="1" si="60"/>
        <v>-0.18846416830363164</v>
      </c>
      <c r="C450" s="25" t="e">
        <f t="shared" si="61"/>
        <v>#VALUE!</v>
      </c>
      <c r="D450" s="74" t="e">
        <f t="shared" si="62"/>
        <v>#VALUE!</v>
      </c>
      <c r="E450" s="25" t="e">
        <f t="shared" si="63"/>
        <v>#VALUE!</v>
      </c>
      <c r="F450" s="25" t="e">
        <f t="shared" ca="1" si="64"/>
        <v>#VALUE!</v>
      </c>
      <c r="G450" s="25"/>
      <c r="H450" s="25" t="e">
        <f t="shared" si="68"/>
        <v>#VALUE!</v>
      </c>
      <c r="I450" s="25">
        <f t="shared" si="65"/>
        <v>-64.000000000009294</v>
      </c>
      <c r="J450" s="25" t="e">
        <f t="shared" si="66"/>
        <v>#VALUE!</v>
      </c>
    </row>
    <row r="451" spans="1:10" x14ac:dyDescent="0.25">
      <c r="A451" s="25">
        <f t="shared" si="67"/>
        <v>-5.6300000000000932</v>
      </c>
      <c r="B451" s="25">
        <f t="shared" ca="1" si="60"/>
        <v>-0.19527604506391716</v>
      </c>
      <c r="C451" s="25" t="e">
        <f t="shared" si="61"/>
        <v>#VALUE!</v>
      </c>
      <c r="D451" s="74" t="e">
        <f t="shared" si="62"/>
        <v>#VALUE!</v>
      </c>
      <c r="E451" s="25" t="e">
        <f t="shared" si="63"/>
        <v>#VALUE!</v>
      </c>
      <c r="F451" s="25" t="e">
        <f t="shared" ca="1" si="64"/>
        <v>#VALUE!</v>
      </c>
      <c r="G451" s="25"/>
      <c r="H451" s="25" t="e">
        <f t="shared" si="68"/>
        <v>#VALUE!</v>
      </c>
      <c r="I451" s="25">
        <f t="shared" si="65"/>
        <v>-63.000000000009308</v>
      </c>
      <c r="J451" s="25" t="e">
        <f t="shared" si="66"/>
        <v>#VALUE!</v>
      </c>
    </row>
    <row r="452" spans="1:10" x14ac:dyDescent="0.25">
      <c r="A452" s="25">
        <f t="shared" si="67"/>
        <v>-5.6200000000000934</v>
      </c>
      <c r="B452" s="25">
        <f t="shared" ca="1" si="60"/>
        <v>-8.8129223005906823E-2</v>
      </c>
      <c r="C452" s="25" t="e">
        <f t="shared" si="61"/>
        <v>#VALUE!</v>
      </c>
      <c r="D452" s="74" t="e">
        <f t="shared" si="62"/>
        <v>#VALUE!</v>
      </c>
      <c r="E452" s="25" t="e">
        <f t="shared" si="63"/>
        <v>#VALUE!</v>
      </c>
      <c r="F452" s="25" t="e">
        <f t="shared" ca="1" si="64"/>
        <v>#VALUE!</v>
      </c>
      <c r="G452" s="25"/>
      <c r="H452" s="25" t="e">
        <f t="shared" si="68"/>
        <v>#VALUE!</v>
      </c>
      <c r="I452" s="25">
        <f t="shared" si="65"/>
        <v>-62.000000000009337</v>
      </c>
      <c r="J452" s="25" t="e">
        <f t="shared" si="66"/>
        <v>#VALUE!</v>
      </c>
    </row>
    <row r="453" spans="1:10" x14ac:dyDescent="0.25">
      <c r="A453" s="25">
        <f t="shared" si="67"/>
        <v>-5.6100000000000936</v>
      </c>
      <c r="B453" s="25">
        <f t="shared" ca="1" si="60"/>
        <v>4.0249471033870693E-2</v>
      </c>
      <c r="C453" s="25" t="e">
        <f t="shared" si="61"/>
        <v>#VALUE!</v>
      </c>
      <c r="D453" s="74" t="e">
        <f t="shared" si="62"/>
        <v>#VALUE!</v>
      </c>
      <c r="E453" s="25" t="e">
        <f t="shared" si="63"/>
        <v>#VALUE!</v>
      </c>
      <c r="F453" s="25" t="e">
        <f t="shared" ca="1" si="64"/>
        <v>#VALUE!</v>
      </c>
      <c r="G453" s="25"/>
      <c r="H453" s="25" t="e">
        <f t="shared" si="68"/>
        <v>#VALUE!</v>
      </c>
      <c r="I453" s="25">
        <f t="shared" si="65"/>
        <v>-61.000000000009358</v>
      </c>
      <c r="J453" s="25" t="e">
        <f t="shared" si="66"/>
        <v>#VALUE!</v>
      </c>
    </row>
    <row r="454" spans="1:10" x14ac:dyDescent="0.25">
      <c r="A454" s="25">
        <f t="shared" si="67"/>
        <v>-5.6000000000000938</v>
      </c>
      <c r="B454" s="25">
        <f t="shared" ca="1" si="60"/>
        <v>0.11979288652185154</v>
      </c>
      <c r="C454" s="25" t="e">
        <f t="shared" si="61"/>
        <v>#VALUE!</v>
      </c>
      <c r="D454" s="74" t="e">
        <f t="shared" si="62"/>
        <v>#VALUE!</v>
      </c>
      <c r="E454" s="25" t="e">
        <f t="shared" si="63"/>
        <v>#VALUE!</v>
      </c>
      <c r="F454" s="25" t="e">
        <f t="shared" ca="1" si="64"/>
        <v>#VALUE!</v>
      </c>
      <c r="G454" s="25"/>
      <c r="H454" s="25" t="e">
        <f t="shared" si="68"/>
        <v>#VALUE!</v>
      </c>
      <c r="I454" s="25">
        <f t="shared" si="65"/>
        <v>-60.000000000009379</v>
      </c>
      <c r="J454" s="25" t="e">
        <f t="shared" si="66"/>
        <v>#VALUE!</v>
      </c>
    </row>
    <row r="455" spans="1:10" x14ac:dyDescent="0.25">
      <c r="A455" s="25">
        <f t="shared" si="67"/>
        <v>-5.590000000000094</v>
      </c>
      <c r="B455" s="25">
        <f t="shared" ca="1" si="60"/>
        <v>-9.7836926139219904E-2</v>
      </c>
      <c r="C455" s="25" t="e">
        <f t="shared" si="61"/>
        <v>#VALUE!</v>
      </c>
      <c r="D455" s="74" t="e">
        <f t="shared" si="62"/>
        <v>#VALUE!</v>
      </c>
      <c r="E455" s="25" t="e">
        <f t="shared" si="63"/>
        <v>#VALUE!</v>
      </c>
      <c r="F455" s="25" t="e">
        <f t="shared" ca="1" si="64"/>
        <v>#VALUE!</v>
      </c>
      <c r="G455" s="25"/>
      <c r="H455" s="25" t="e">
        <f t="shared" si="68"/>
        <v>#VALUE!</v>
      </c>
      <c r="I455" s="25">
        <f t="shared" si="65"/>
        <v>-59.0000000000094</v>
      </c>
      <c r="J455" s="25" t="e">
        <f t="shared" si="66"/>
        <v>#VALUE!</v>
      </c>
    </row>
    <row r="456" spans="1:10" x14ac:dyDescent="0.25">
      <c r="A456" s="25">
        <f t="shared" si="67"/>
        <v>-5.5800000000000942</v>
      </c>
      <c r="B456" s="25">
        <f t="shared" ca="1" si="60"/>
        <v>-0.13866650125422078</v>
      </c>
      <c r="C456" s="25" t="e">
        <f t="shared" si="61"/>
        <v>#VALUE!</v>
      </c>
      <c r="D456" s="74" t="e">
        <f t="shared" si="62"/>
        <v>#VALUE!</v>
      </c>
      <c r="E456" s="25" t="e">
        <f t="shared" si="63"/>
        <v>#VALUE!</v>
      </c>
      <c r="F456" s="25" t="e">
        <f t="shared" ca="1" si="64"/>
        <v>#VALUE!</v>
      </c>
      <c r="G456" s="25"/>
      <c r="H456" s="25" t="e">
        <f t="shared" si="68"/>
        <v>#VALUE!</v>
      </c>
      <c r="I456" s="25">
        <f t="shared" si="65"/>
        <v>-58.000000000009422</v>
      </c>
      <c r="J456" s="25" t="e">
        <f t="shared" si="66"/>
        <v>#VALUE!</v>
      </c>
    </row>
    <row r="457" spans="1:10" x14ac:dyDescent="0.25">
      <c r="A457" s="25">
        <f t="shared" si="67"/>
        <v>-5.5700000000000944</v>
      </c>
      <c r="B457" s="25">
        <f t="shared" ca="1" si="60"/>
        <v>-3.4600445166914302E-2</v>
      </c>
      <c r="C457" s="25" t="e">
        <f t="shared" si="61"/>
        <v>#VALUE!</v>
      </c>
      <c r="D457" s="74" t="e">
        <f t="shared" si="62"/>
        <v>#VALUE!</v>
      </c>
      <c r="E457" s="25" t="e">
        <f t="shared" si="63"/>
        <v>#VALUE!</v>
      </c>
      <c r="F457" s="25" t="e">
        <f t="shared" ca="1" si="64"/>
        <v>#VALUE!</v>
      </c>
      <c r="G457" s="25"/>
      <c r="H457" s="25" t="e">
        <f t="shared" si="68"/>
        <v>#VALUE!</v>
      </c>
      <c r="I457" s="25">
        <f t="shared" si="65"/>
        <v>-57.00000000000945</v>
      </c>
      <c r="J457" s="25" t="e">
        <f t="shared" si="66"/>
        <v>#VALUE!</v>
      </c>
    </row>
    <row r="458" spans="1:10" x14ac:dyDescent="0.25">
      <c r="A458" s="25">
        <f t="shared" si="67"/>
        <v>-5.5600000000000946</v>
      </c>
      <c r="B458" s="25">
        <f t="shared" ca="1" si="60"/>
        <v>-0.17447685630410045</v>
      </c>
      <c r="C458" s="25" t="e">
        <f t="shared" si="61"/>
        <v>#VALUE!</v>
      </c>
      <c r="D458" s="74" t="e">
        <f t="shared" si="62"/>
        <v>#VALUE!</v>
      </c>
      <c r="E458" s="25" t="e">
        <f t="shared" si="63"/>
        <v>#VALUE!</v>
      </c>
      <c r="F458" s="25" t="e">
        <f t="shared" ca="1" si="64"/>
        <v>#VALUE!</v>
      </c>
      <c r="G458" s="25"/>
      <c r="H458" s="25" t="e">
        <f t="shared" si="68"/>
        <v>#VALUE!</v>
      </c>
      <c r="I458" s="25">
        <f t="shared" si="65"/>
        <v>-56.000000000009457</v>
      </c>
      <c r="J458" s="25" t="e">
        <f t="shared" si="66"/>
        <v>#VALUE!</v>
      </c>
    </row>
    <row r="459" spans="1:10" x14ac:dyDescent="0.25">
      <c r="A459" s="25">
        <f t="shared" si="67"/>
        <v>-5.5500000000000949</v>
      </c>
      <c r="B459" s="25">
        <f t="shared" ca="1" si="60"/>
        <v>-9.6037776874956557E-2</v>
      </c>
      <c r="C459" s="25" t="e">
        <f t="shared" si="61"/>
        <v>#VALUE!</v>
      </c>
      <c r="D459" s="74" t="e">
        <f t="shared" si="62"/>
        <v>#VALUE!</v>
      </c>
      <c r="E459" s="25" t="e">
        <f t="shared" si="63"/>
        <v>#VALUE!</v>
      </c>
      <c r="F459" s="25" t="e">
        <f t="shared" ca="1" si="64"/>
        <v>#VALUE!</v>
      </c>
      <c r="G459" s="25"/>
      <c r="H459" s="25" t="e">
        <f t="shared" si="68"/>
        <v>#VALUE!</v>
      </c>
      <c r="I459" s="25">
        <f t="shared" si="65"/>
        <v>-55.000000000009479</v>
      </c>
      <c r="J459" s="25" t="e">
        <f t="shared" si="66"/>
        <v>#VALUE!</v>
      </c>
    </row>
    <row r="460" spans="1:10" x14ac:dyDescent="0.25">
      <c r="A460" s="25">
        <f t="shared" si="67"/>
        <v>-5.5400000000000951</v>
      </c>
      <c r="B460" s="25">
        <f t="shared" ca="1" si="60"/>
        <v>-3.2686614935876185E-2</v>
      </c>
      <c r="C460" s="25" t="e">
        <f t="shared" si="61"/>
        <v>#VALUE!</v>
      </c>
      <c r="D460" s="74" t="e">
        <f t="shared" si="62"/>
        <v>#VALUE!</v>
      </c>
      <c r="E460" s="25" t="e">
        <f t="shared" si="63"/>
        <v>#VALUE!</v>
      </c>
      <c r="F460" s="25" t="e">
        <f t="shared" ca="1" si="64"/>
        <v>#VALUE!</v>
      </c>
      <c r="G460" s="25"/>
      <c r="H460" s="25" t="e">
        <f t="shared" si="68"/>
        <v>#VALUE!</v>
      </c>
      <c r="I460" s="25">
        <f t="shared" si="65"/>
        <v>-54.000000000009507</v>
      </c>
      <c r="J460" s="25" t="e">
        <f t="shared" si="66"/>
        <v>#VALUE!</v>
      </c>
    </row>
    <row r="461" spans="1:10" x14ac:dyDescent="0.25">
      <c r="A461" s="25">
        <f t="shared" si="67"/>
        <v>-5.5300000000000953</v>
      </c>
      <c r="B461" s="25">
        <f t="shared" ca="1" si="60"/>
        <v>-5.338518476665885E-2</v>
      </c>
      <c r="C461" s="25" t="e">
        <f t="shared" si="61"/>
        <v>#VALUE!</v>
      </c>
      <c r="D461" s="74" t="e">
        <f t="shared" si="62"/>
        <v>#VALUE!</v>
      </c>
      <c r="E461" s="25" t="e">
        <f t="shared" si="63"/>
        <v>#VALUE!</v>
      </c>
      <c r="F461" s="25" t="e">
        <f t="shared" ca="1" si="64"/>
        <v>#VALUE!</v>
      </c>
      <c r="G461" s="25"/>
      <c r="H461" s="25" t="e">
        <f t="shared" si="68"/>
        <v>#VALUE!</v>
      </c>
      <c r="I461" s="25">
        <f t="shared" si="65"/>
        <v>-53.000000000009528</v>
      </c>
      <c r="J461" s="25" t="e">
        <f t="shared" si="66"/>
        <v>#VALUE!</v>
      </c>
    </row>
    <row r="462" spans="1:10" x14ac:dyDescent="0.25">
      <c r="A462" s="25">
        <f t="shared" si="67"/>
        <v>-5.5200000000000955</v>
      </c>
      <c r="B462" s="25">
        <f t="shared" ref="B462:B525" ca="1" si="69">(RAND()-0.5-$B$7)/$B$5</f>
        <v>-0.17709355183255818</v>
      </c>
      <c r="C462" s="25" t="e">
        <f t="shared" ref="C462:C525" si="70">IF(ABS(A462)&lt;=($D$3/2),1,IF(ABS(A462)&lt;=($B$4/2),IF(A462&gt;0,A462*(4/(1-2*$B$4))+(2*$B$4/(2*$B$4-1)),(-A462*(4/(1-2*$B$4))+(2*$B$4/(2*$B$4-1)))),0))</f>
        <v>#VALUE!</v>
      </c>
      <c r="D462" s="74" t="e">
        <f t="shared" ref="D462:D525" si="71">IF(ABS(A462)&lt;=($D$3/4+$B$4/4),1,IF(ABS(A462)&lt;=($B$4/2),(IF(A462&gt;0,A462*(8/(1-2*$B$4))+(4*$B$4)/(2*$B$4-1),(-A462*(8/(1-2*$B$4))+(4*$B$4)/(2*$B$4-1)))),0))</f>
        <v>#VALUE!</v>
      </c>
      <c r="E462" s="25" t="e">
        <f t="shared" ref="E462:E525" si="72">IF(ABS(A462)&lt;($B$4/2), 1, 0)</f>
        <v>#VALUE!</v>
      </c>
      <c r="F462" s="25" t="e">
        <f t="shared" ref="F462:F525" ca="1" si="73">C462+B462</f>
        <v>#VALUE!</v>
      </c>
      <c r="G462" s="25"/>
      <c r="H462" s="25" t="e">
        <f t="shared" si="68"/>
        <v>#VALUE!</v>
      </c>
      <c r="I462" s="25">
        <f t="shared" ref="I462:I525" si="74">$I$3*(A462-$G$3)/($H$3-$G$3)</f>
        <v>-52.00000000000955</v>
      </c>
      <c r="J462" s="25" t="e">
        <f t="shared" ref="J462:J525" si="75">H462</f>
        <v>#VALUE!</v>
      </c>
    </row>
    <row r="463" spans="1:10" x14ac:dyDescent="0.25">
      <c r="A463" s="25">
        <f t="shared" ref="A463:A526" si="76">A462+0.01</f>
        <v>-5.5100000000000957</v>
      </c>
      <c r="B463" s="25">
        <f t="shared" ca="1" si="69"/>
        <v>-0.16497118559387891</v>
      </c>
      <c r="C463" s="25" t="e">
        <f t="shared" si="70"/>
        <v>#VALUE!</v>
      </c>
      <c r="D463" s="74" t="e">
        <f t="shared" si="71"/>
        <v>#VALUE!</v>
      </c>
      <c r="E463" s="25" t="e">
        <f t="shared" si="72"/>
        <v>#VALUE!</v>
      </c>
      <c r="F463" s="25" t="e">
        <f t="shared" ca="1" si="73"/>
        <v>#VALUE!</v>
      </c>
      <c r="G463" s="25"/>
      <c r="H463" s="25" t="e">
        <f t="shared" si="68"/>
        <v>#VALUE!</v>
      </c>
      <c r="I463" s="25">
        <f t="shared" si="74"/>
        <v>-51.000000000009571</v>
      </c>
      <c r="J463" s="25" t="e">
        <f t="shared" si="75"/>
        <v>#VALUE!</v>
      </c>
    </row>
    <row r="464" spans="1:10" x14ac:dyDescent="0.25">
      <c r="A464" s="25">
        <f t="shared" si="76"/>
        <v>-5.5000000000000959</v>
      </c>
      <c r="B464" s="25">
        <f t="shared" ca="1" si="69"/>
        <v>0.10833957592044889</v>
      </c>
      <c r="C464" s="25" t="e">
        <f t="shared" si="70"/>
        <v>#VALUE!</v>
      </c>
      <c r="D464" s="74" t="e">
        <f t="shared" si="71"/>
        <v>#VALUE!</v>
      </c>
      <c r="E464" s="25" t="e">
        <f t="shared" si="72"/>
        <v>#VALUE!</v>
      </c>
      <c r="F464" s="25" t="e">
        <f t="shared" ca="1" si="73"/>
        <v>#VALUE!</v>
      </c>
      <c r="G464" s="25"/>
      <c r="H464" s="25" t="e">
        <f t="shared" si="68"/>
        <v>#VALUE!</v>
      </c>
      <c r="I464" s="25">
        <f t="shared" si="74"/>
        <v>-50.000000000009592</v>
      </c>
      <c r="J464" s="25" t="e">
        <f t="shared" si="75"/>
        <v>#VALUE!</v>
      </c>
    </row>
    <row r="465" spans="1:10" x14ac:dyDescent="0.25">
      <c r="A465" s="25">
        <f t="shared" si="76"/>
        <v>-5.4900000000000961</v>
      </c>
      <c r="B465" s="25">
        <f t="shared" ca="1" si="69"/>
        <v>-0.13779471266198262</v>
      </c>
      <c r="C465" s="25" t="e">
        <f t="shared" si="70"/>
        <v>#VALUE!</v>
      </c>
      <c r="D465" s="74" t="e">
        <f t="shared" si="71"/>
        <v>#VALUE!</v>
      </c>
      <c r="E465" s="25" t="e">
        <f t="shared" si="72"/>
        <v>#VALUE!</v>
      </c>
      <c r="F465" s="25" t="e">
        <f t="shared" ca="1" si="73"/>
        <v>#VALUE!</v>
      </c>
      <c r="G465" s="25"/>
      <c r="H465" s="25" t="e">
        <f t="shared" si="68"/>
        <v>#VALUE!</v>
      </c>
      <c r="I465" s="25">
        <f t="shared" si="74"/>
        <v>-49.000000000009614</v>
      </c>
      <c r="J465" s="25" t="e">
        <f t="shared" si="75"/>
        <v>#VALUE!</v>
      </c>
    </row>
    <row r="466" spans="1:10" x14ac:dyDescent="0.25">
      <c r="A466" s="25">
        <f t="shared" si="76"/>
        <v>-5.4800000000000963</v>
      </c>
      <c r="B466" s="25">
        <f t="shared" ca="1" si="69"/>
        <v>6.2374514496839943E-2</v>
      </c>
      <c r="C466" s="25" t="e">
        <f t="shared" si="70"/>
        <v>#VALUE!</v>
      </c>
      <c r="D466" s="74" t="e">
        <f t="shared" si="71"/>
        <v>#VALUE!</v>
      </c>
      <c r="E466" s="25" t="e">
        <f t="shared" si="72"/>
        <v>#VALUE!</v>
      </c>
      <c r="F466" s="25" t="e">
        <f t="shared" ca="1" si="73"/>
        <v>#VALUE!</v>
      </c>
      <c r="G466" s="25"/>
      <c r="H466" s="25" t="e">
        <f t="shared" si="68"/>
        <v>#VALUE!</v>
      </c>
      <c r="I466" s="25">
        <f t="shared" si="74"/>
        <v>-48.000000000009635</v>
      </c>
      <c r="J466" s="25" t="e">
        <f t="shared" si="75"/>
        <v>#VALUE!</v>
      </c>
    </row>
    <row r="467" spans="1:10" x14ac:dyDescent="0.25">
      <c r="A467" s="25">
        <f t="shared" si="76"/>
        <v>-5.4700000000000966</v>
      </c>
      <c r="B467" s="25">
        <f t="shared" ca="1" si="69"/>
        <v>-0.17850313565961654</v>
      </c>
      <c r="C467" s="25" t="e">
        <f t="shared" si="70"/>
        <v>#VALUE!</v>
      </c>
      <c r="D467" s="74" t="e">
        <f t="shared" si="71"/>
        <v>#VALUE!</v>
      </c>
      <c r="E467" s="25" t="e">
        <f t="shared" si="72"/>
        <v>#VALUE!</v>
      </c>
      <c r="F467" s="25" t="e">
        <f t="shared" ca="1" si="73"/>
        <v>#VALUE!</v>
      </c>
      <c r="G467" s="25"/>
      <c r="H467" s="25" t="e">
        <f t="shared" si="68"/>
        <v>#VALUE!</v>
      </c>
      <c r="I467" s="25">
        <f t="shared" si="74"/>
        <v>-47.000000000009656</v>
      </c>
      <c r="J467" s="25" t="e">
        <f t="shared" si="75"/>
        <v>#VALUE!</v>
      </c>
    </row>
    <row r="468" spans="1:10" x14ac:dyDescent="0.25">
      <c r="A468" s="25">
        <f t="shared" si="76"/>
        <v>-5.4600000000000968</v>
      </c>
      <c r="B468" s="25">
        <f t="shared" ca="1" si="69"/>
        <v>-0.18583664008337697</v>
      </c>
      <c r="C468" s="25" t="e">
        <f t="shared" si="70"/>
        <v>#VALUE!</v>
      </c>
      <c r="D468" s="74" t="e">
        <f t="shared" si="71"/>
        <v>#VALUE!</v>
      </c>
      <c r="E468" s="25" t="e">
        <f t="shared" si="72"/>
        <v>#VALUE!</v>
      </c>
      <c r="F468" s="25" t="e">
        <f t="shared" ca="1" si="73"/>
        <v>#VALUE!</v>
      </c>
      <c r="G468" s="25"/>
      <c r="H468" s="25" t="e">
        <f t="shared" si="68"/>
        <v>#VALUE!</v>
      </c>
      <c r="I468" s="25">
        <f t="shared" si="74"/>
        <v>-46.000000000009678</v>
      </c>
      <c r="J468" s="25" t="e">
        <f t="shared" si="75"/>
        <v>#VALUE!</v>
      </c>
    </row>
    <row r="469" spans="1:10" x14ac:dyDescent="0.25">
      <c r="A469" s="25">
        <f t="shared" si="76"/>
        <v>-5.450000000000097</v>
      </c>
      <c r="B469" s="25">
        <f t="shared" ca="1" si="69"/>
        <v>4.8095931713918301E-2</v>
      </c>
      <c r="C469" s="25" t="e">
        <f t="shared" si="70"/>
        <v>#VALUE!</v>
      </c>
      <c r="D469" s="74" t="e">
        <f t="shared" si="71"/>
        <v>#VALUE!</v>
      </c>
      <c r="E469" s="25" t="e">
        <f t="shared" si="72"/>
        <v>#VALUE!</v>
      </c>
      <c r="F469" s="25" t="e">
        <f t="shared" ca="1" si="73"/>
        <v>#VALUE!</v>
      </c>
      <c r="G469" s="25"/>
      <c r="H469" s="25" t="e">
        <f t="shared" si="68"/>
        <v>#VALUE!</v>
      </c>
      <c r="I469" s="25">
        <f t="shared" si="74"/>
        <v>-45.000000000009699</v>
      </c>
      <c r="J469" s="25" t="e">
        <f t="shared" si="75"/>
        <v>#VALUE!</v>
      </c>
    </row>
    <row r="470" spans="1:10" x14ac:dyDescent="0.25">
      <c r="A470" s="25">
        <f t="shared" si="76"/>
        <v>-5.4400000000000972</v>
      </c>
      <c r="B470" s="25">
        <f t="shared" ca="1" si="69"/>
        <v>2.1224147844251817E-2</v>
      </c>
      <c r="C470" s="25" t="e">
        <f t="shared" si="70"/>
        <v>#VALUE!</v>
      </c>
      <c r="D470" s="74" t="e">
        <f t="shared" si="71"/>
        <v>#VALUE!</v>
      </c>
      <c r="E470" s="25" t="e">
        <f t="shared" si="72"/>
        <v>#VALUE!</v>
      </c>
      <c r="F470" s="25" t="e">
        <f t="shared" ca="1" si="73"/>
        <v>#VALUE!</v>
      </c>
      <c r="G470" s="25"/>
      <c r="H470" s="25" t="e">
        <f t="shared" si="68"/>
        <v>#VALUE!</v>
      </c>
      <c r="I470" s="25">
        <f t="shared" si="74"/>
        <v>-44.00000000000972</v>
      </c>
      <c r="J470" s="25" t="e">
        <f t="shared" si="75"/>
        <v>#VALUE!</v>
      </c>
    </row>
    <row r="471" spans="1:10" x14ac:dyDescent="0.25">
      <c r="A471" s="25">
        <f t="shared" si="76"/>
        <v>-5.4300000000000974</v>
      </c>
      <c r="B471" s="25">
        <f t="shared" ca="1" si="69"/>
        <v>-0.11940136531564367</v>
      </c>
      <c r="C471" s="25" t="e">
        <f t="shared" si="70"/>
        <v>#VALUE!</v>
      </c>
      <c r="D471" s="74" t="e">
        <f t="shared" si="71"/>
        <v>#VALUE!</v>
      </c>
      <c r="E471" s="25" t="e">
        <f t="shared" si="72"/>
        <v>#VALUE!</v>
      </c>
      <c r="F471" s="25" t="e">
        <f t="shared" ca="1" si="73"/>
        <v>#VALUE!</v>
      </c>
      <c r="G471" s="25"/>
      <c r="H471" s="25" t="e">
        <f t="shared" si="68"/>
        <v>#VALUE!</v>
      </c>
      <c r="I471" s="25">
        <f t="shared" si="74"/>
        <v>-43.000000000009742</v>
      </c>
      <c r="J471" s="25" t="e">
        <f t="shared" si="75"/>
        <v>#VALUE!</v>
      </c>
    </row>
    <row r="472" spans="1:10" x14ac:dyDescent="0.25">
      <c r="A472" s="25">
        <f t="shared" si="76"/>
        <v>-5.4200000000000976</v>
      </c>
      <c r="B472" s="25">
        <f t="shared" ca="1" si="69"/>
        <v>-0.1813068447515209</v>
      </c>
      <c r="C472" s="25" t="e">
        <f t="shared" si="70"/>
        <v>#VALUE!</v>
      </c>
      <c r="D472" s="74" t="e">
        <f t="shared" si="71"/>
        <v>#VALUE!</v>
      </c>
      <c r="E472" s="25" t="e">
        <f t="shared" si="72"/>
        <v>#VALUE!</v>
      </c>
      <c r="F472" s="25" t="e">
        <f t="shared" ca="1" si="73"/>
        <v>#VALUE!</v>
      </c>
      <c r="G472" s="25"/>
      <c r="H472" s="25" t="e">
        <f t="shared" si="68"/>
        <v>#VALUE!</v>
      </c>
      <c r="I472" s="25">
        <f t="shared" si="74"/>
        <v>-42.000000000009763</v>
      </c>
      <c r="J472" s="25" t="e">
        <f t="shared" si="75"/>
        <v>#VALUE!</v>
      </c>
    </row>
    <row r="473" spans="1:10" x14ac:dyDescent="0.25">
      <c r="A473" s="25">
        <f t="shared" si="76"/>
        <v>-5.4100000000000978</v>
      </c>
      <c r="B473" s="25">
        <f t="shared" ca="1" si="69"/>
        <v>3.789648276986423E-2</v>
      </c>
      <c r="C473" s="25" t="e">
        <f t="shared" si="70"/>
        <v>#VALUE!</v>
      </c>
      <c r="D473" s="74" t="e">
        <f t="shared" si="71"/>
        <v>#VALUE!</v>
      </c>
      <c r="E473" s="25" t="e">
        <f t="shared" si="72"/>
        <v>#VALUE!</v>
      </c>
      <c r="F473" s="25" t="e">
        <f t="shared" ca="1" si="73"/>
        <v>#VALUE!</v>
      </c>
      <c r="G473" s="25"/>
      <c r="H473" s="25" t="e">
        <f t="shared" si="68"/>
        <v>#VALUE!</v>
      </c>
      <c r="I473" s="25">
        <f t="shared" si="74"/>
        <v>-41.000000000009784</v>
      </c>
      <c r="J473" s="25" t="e">
        <f t="shared" si="75"/>
        <v>#VALUE!</v>
      </c>
    </row>
    <row r="474" spans="1:10" x14ac:dyDescent="0.25">
      <c r="A474" s="25">
        <f t="shared" si="76"/>
        <v>-5.4000000000000981</v>
      </c>
      <c r="B474" s="25">
        <f t="shared" ca="1" si="69"/>
        <v>4.1271978538355097E-2</v>
      </c>
      <c r="C474" s="25" t="e">
        <f t="shared" si="70"/>
        <v>#VALUE!</v>
      </c>
      <c r="D474" s="74" t="e">
        <f t="shared" si="71"/>
        <v>#VALUE!</v>
      </c>
      <c r="E474" s="25" t="e">
        <f t="shared" si="72"/>
        <v>#VALUE!</v>
      </c>
      <c r="F474" s="25" t="e">
        <f t="shared" ca="1" si="73"/>
        <v>#VALUE!</v>
      </c>
      <c r="G474" s="25"/>
      <c r="H474" s="25" t="e">
        <f t="shared" si="68"/>
        <v>#VALUE!</v>
      </c>
      <c r="I474" s="25">
        <f t="shared" si="74"/>
        <v>-40.000000000009805</v>
      </c>
      <c r="J474" s="25" t="e">
        <f t="shared" si="75"/>
        <v>#VALUE!</v>
      </c>
    </row>
    <row r="475" spans="1:10" x14ac:dyDescent="0.25">
      <c r="A475" s="25">
        <f t="shared" si="76"/>
        <v>-5.3900000000000983</v>
      </c>
      <c r="B475" s="25">
        <f t="shared" ca="1" si="69"/>
        <v>-0.16830115107755869</v>
      </c>
      <c r="C475" s="25" t="e">
        <f t="shared" si="70"/>
        <v>#VALUE!</v>
      </c>
      <c r="D475" s="74" t="e">
        <f t="shared" si="71"/>
        <v>#VALUE!</v>
      </c>
      <c r="E475" s="25" t="e">
        <f t="shared" si="72"/>
        <v>#VALUE!</v>
      </c>
      <c r="F475" s="25" t="e">
        <f t="shared" ca="1" si="73"/>
        <v>#VALUE!</v>
      </c>
      <c r="G475" s="25"/>
      <c r="H475" s="25" t="e">
        <f t="shared" si="68"/>
        <v>#VALUE!</v>
      </c>
      <c r="I475" s="25">
        <f t="shared" si="74"/>
        <v>-39.000000000009827</v>
      </c>
      <c r="J475" s="25" t="e">
        <f t="shared" si="75"/>
        <v>#VALUE!</v>
      </c>
    </row>
    <row r="476" spans="1:10" x14ac:dyDescent="0.25">
      <c r="A476" s="25">
        <f t="shared" si="76"/>
        <v>-5.3800000000000985</v>
      </c>
      <c r="B476" s="25">
        <f t="shared" ca="1" si="69"/>
        <v>-0.17972560487786407</v>
      </c>
      <c r="C476" s="25" t="e">
        <f t="shared" si="70"/>
        <v>#VALUE!</v>
      </c>
      <c r="D476" s="74" t="e">
        <f t="shared" si="71"/>
        <v>#VALUE!</v>
      </c>
      <c r="E476" s="25" t="e">
        <f t="shared" si="72"/>
        <v>#VALUE!</v>
      </c>
      <c r="F476" s="25" t="e">
        <f t="shared" ca="1" si="73"/>
        <v>#VALUE!</v>
      </c>
      <c r="G476" s="25"/>
      <c r="H476" s="25" t="e">
        <f t="shared" si="68"/>
        <v>#VALUE!</v>
      </c>
      <c r="I476" s="25">
        <f t="shared" si="74"/>
        <v>-38.000000000009848</v>
      </c>
      <c r="J476" s="25" t="e">
        <f t="shared" si="75"/>
        <v>#VALUE!</v>
      </c>
    </row>
    <row r="477" spans="1:10" x14ac:dyDescent="0.25">
      <c r="A477" s="25">
        <f t="shared" si="76"/>
        <v>-5.3700000000000987</v>
      </c>
      <c r="B477" s="25">
        <f t="shared" ca="1" si="69"/>
        <v>-0.12424264903262598</v>
      </c>
      <c r="C477" s="25" t="e">
        <f t="shared" si="70"/>
        <v>#VALUE!</v>
      </c>
      <c r="D477" s="74" t="e">
        <f t="shared" si="71"/>
        <v>#VALUE!</v>
      </c>
      <c r="E477" s="25" t="e">
        <f t="shared" si="72"/>
        <v>#VALUE!</v>
      </c>
      <c r="F477" s="25" t="e">
        <f t="shared" ca="1" si="73"/>
        <v>#VALUE!</v>
      </c>
      <c r="G477" s="25"/>
      <c r="H477" s="25" t="e">
        <f t="shared" si="68"/>
        <v>#VALUE!</v>
      </c>
      <c r="I477" s="25">
        <f t="shared" si="74"/>
        <v>-37.000000000009869</v>
      </c>
      <c r="J477" s="25" t="e">
        <f t="shared" si="75"/>
        <v>#VALUE!</v>
      </c>
    </row>
    <row r="478" spans="1:10" x14ac:dyDescent="0.25">
      <c r="A478" s="25">
        <f t="shared" si="76"/>
        <v>-5.3600000000000989</v>
      </c>
      <c r="B478" s="25">
        <f t="shared" ca="1" si="69"/>
        <v>4.7870288682894807E-2</v>
      </c>
      <c r="C478" s="25" t="e">
        <f t="shared" si="70"/>
        <v>#VALUE!</v>
      </c>
      <c r="D478" s="74" t="e">
        <f t="shared" si="71"/>
        <v>#VALUE!</v>
      </c>
      <c r="E478" s="25" t="e">
        <f t="shared" si="72"/>
        <v>#VALUE!</v>
      </c>
      <c r="F478" s="25" t="e">
        <f t="shared" ca="1" si="73"/>
        <v>#VALUE!</v>
      </c>
      <c r="G478" s="25"/>
      <c r="H478" s="25" t="e">
        <f t="shared" ref="H478:H541" si="77">IF(PeakShape=$O$3,C478,IF(PeakShape=O480,D478,E478))</f>
        <v>#VALUE!</v>
      </c>
      <c r="I478" s="25">
        <f t="shared" si="74"/>
        <v>-36.000000000009891</v>
      </c>
      <c r="J478" s="25" t="e">
        <f t="shared" si="75"/>
        <v>#VALUE!</v>
      </c>
    </row>
    <row r="479" spans="1:10" x14ac:dyDescent="0.25">
      <c r="A479" s="25">
        <f t="shared" si="76"/>
        <v>-5.3500000000000991</v>
      </c>
      <c r="B479" s="25">
        <f t="shared" ca="1" si="69"/>
        <v>0.12035036490999307</v>
      </c>
      <c r="C479" s="25" t="e">
        <f t="shared" si="70"/>
        <v>#VALUE!</v>
      </c>
      <c r="D479" s="74" t="e">
        <f t="shared" si="71"/>
        <v>#VALUE!</v>
      </c>
      <c r="E479" s="25" t="e">
        <f t="shared" si="72"/>
        <v>#VALUE!</v>
      </c>
      <c r="F479" s="25" t="e">
        <f t="shared" ca="1" si="73"/>
        <v>#VALUE!</v>
      </c>
      <c r="G479" s="25"/>
      <c r="H479" s="25" t="e">
        <f t="shared" si="77"/>
        <v>#VALUE!</v>
      </c>
      <c r="I479" s="25">
        <f t="shared" si="74"/>
        <v>-35.000000000009912</v>
      </c>
      <c r="J479" s="25" t="e">
        <f t="shared" si="75"/>
        <v>#VALUE!</v>
      </c>
    </row>
    <row r="480" spans="1:10" x14ac:dyDescent="0.25">
      <c r="A480" s="25">
        <f t="shared" si="76"/>
        <v>-5.3400000000000993</v>
      </c>
      <c r="B480" s="25">
        <f t="shared" ca="1" si="69"/>
        <v>0.11060389439758522</v>
      </c>
      <c r="C480" s="25" t="e">
        <f t="shared" si="70"/>
        <v>#VALUE!</v>
      </c>
      <c r="D480" s="74" t="e">
        <f t="shared" si="71"/>
        <v>#VALUE!</v>
      </c>
      <c r="E480" s="25" t="e">
        <f t="shared" si="72"/>
        <v>#VALUE!</v>
      </c>
      <c r="F480" s="25" t="e">
        <f t="shared" ca="1" si="73"/>
        <v>#VALUE!</v>
      </c>
      <c r="G480" s="25"/>
      <c r="H480" s="25" t="e">
        <f t="shared" si="77"/>
        <v>#VALUE!</v>
      </c>
      <c r="I480" s="25">
        <f t="shared" si="74"/>
        <v>-34.000000000009933</v>
      </c>
      <c r="J480" s="25" t="e">
        <f t="shared" si="75"/>
        <v>#VALUE!</v>
      </c>
    </row>
    <row r="481" spans="1:10" x14ac:dyDescent="0.25">
      <c r="A481" s="25">
        <f t="shared" si="76"/>
        <v>-5.3300000000000995</v>
      </c>
      <c r="B481" s="25">
        <f t="shared" ca="1" si="69"/>
        <v>3.1427308433472627E-2</v>
      </c>
      <c r="C481" s="25" t="e">
        <f t="shared" si="70"/>
        <v>#VALUE!</v>
      </c>
      <c r="D481" s="74" t="e">
        <f t="shared" si="71"/>
        <v>#VALUE!</v>
      </c>
      <c r="E481" s="25" t="e">
        <f t="shared" si="72"/>
        <v>#VALUE!</v>
      </c>
      <c r="F481" s="25" t="e">
        <f t="shared" ca="1" si="73"/>
        <v>#VALUE!</v>
      </c>
      <c r="G481" s="25"/>
      <c r="H481" s="25" t="e">
        <f t="shared" si="77"/>
        <v>#VALUE!</v>
      </c>
      <c r="I481" s="25">
        <f t="shared" si="74"/>
        <v>-33.000000000009955</v>
      </c>
      <c r="J481" s="25" t="e">
        <f t="shared" si="75"/>
        <v>#VALUE!</v>
      </c>
    </row>
    <row r="482" spans="1:10" x14ac:dyDescent="0.25">
      <c r="A482" s="25">
        <f t="shared" si="76"/>
        <v>-5.3200000000000998</v>
      </c>
      <c r="B482" s="25">
        <f t="shared" ca="1" si="69"/>
        <v>8.6698449287817489E-2</v>
      </c>
      <c r="C482" s="25" t="e">
        <f t="shared" si="70"/>
        <v>#VALUE!</v>
      </c>
      <c r="D482" s="74" t="e">
        <f t="shared" si="71"/>
        <v>#VALUE!</v>
      </c>
      <c r="E482" s="25" t="e">
        <f t="shared" si="72"/>
        <v>#VALUE!</v>
      </c>
      <c r="F482" s="25" t="e">
        <f t="shared" ca="1" si="73"/>
        <v>#VALUE!</v>
      </c>
      <c r="G482" s="25"/>
      <c r="H482" s="25" t="e">
        <f t="shared" si="77"/>
        <v>#VALUE!</v>
      </c>
      <c r="I482" s="25">
        <f t="shared" si="74"/>
        <v>-32.000000000009976</v>
      </c>
      <c r="J482" s="25" t="e">
        <f t="shared" si="75"/>
        <v>#VALUE!</v>
      </c>
    </row>
    <row r="483" spans="1:10" x14ac:dyDescent="0.25">
      <c r="A483" s="25">
        <f t="shared" si="76"/>
        <v>-5.3100000000001</v>
      </c>
      <c r="B483" s="25">
        <f t="shared" ca="1" si="69"/>
        <v>-0.1094241047664944</v>
      </c>
      <c r="C483" s="25" t="e">
        <f t="shared" si="70"/>
        <v>#VALUE!</v>
      </c>
      <c r="D483" s="74" t="e">
        <f t="shared" si="71"/>
        <v>#VALUE!</v>
      </c>
      <c r="E483" s="25" t="e">
        <f t="shared" si="72"/>
        <v>#VALUE!</v>
      </c>
      <c r="F483" s="25" t="e">
        <f t="shared" ca="1" si="73"/>
        <v>#VALUE!</v>
      </c>
      <c r="G483" s="25"/>
      <c r="H483" s="25" t="e">
        <f t="shared" si="77"/>
        <v>#VALUE!</v>
      </c>
      <c r="I483" s="25">
        <f t="shared" si="74"/>
        <v>-31.000000000009997</v>
      </c>
      <c r="J483" s="25" t="e">
        <f t="shared" si="75"/>
        <v>#VALUE!</v>
      </c>
    </row>
    <row r="484" spans="1:10" x14ac:dyDescent="0.25">
      <c r="A484" s="25">
        <f t="shared" si="76"/>
        <v>-5.3000000000001002</v>
      </c>
      <c r="B484" s="25">
        <f t="shared" ca="1" si="69"/>
        <v>0.12089034152398241</v>
      </c>
      <c r="C484" s="25" t="e">
        <f t="shared" si="70"/>
        <v>#VALUE!</v>
      </c>
      <c r="D484" s="74" t="e">
        <f t="shared" si="71"/>
        <v>#VALUE!</v>
      </c>
      <c r="E484" s="25" t="e">
        <f t="shared" si="72"/>
        <v>#VALUE!</v>
      </c>
      <c r="F484" s="25" t="e">
        <f t="shared" ca="1" si="73"/>
        <v>#VALUE!</v>
      </c>
      <c r="G484" s="25"/>
      <c r="H484" s="25" t="e">
        <f t="shared" si="77"/>
        <v>#VALUE!</v>
      </c>
      <c r="I484" s="25">
        <f t="shared" si="74"/>
        <v>-30.000000000010015</v>
      </c>
      <c r="J484" s="25" t="e">
        <f t="shared" si="75"/>
        <v>#VALUE!</v>
      </c>
    </row>
    <row r="485" spans="1:10" x14ac:dyDescent="0.25">
      <c r="A485" s="25">
        <f t="shared" si="76"/>
        <v>-5.2900000000001004</v>
      </c>
      <c r="B485" s="25">
        <f t="shared" ca="1" si="69"/>
        <v>-2.9160375892331447E-4</v>
      </c>
      <c r="C485" s="25" t="e">
        <f t="shared" si="70"/>
        <v>#VALUE!</v>
      </c>
      <c r="D485" s="74" t="e">
        <f t="shared" si="71"/>
        <v>#VALUE!</v>
      </c>
      <c r="E485" s="25" t="e">
        <f t="shared" si="72"/>
        <v>#VALUE!</v>
      </c>
      <c r="F485" s="25" t="e">
        <f t="shared" ca="1" si="73"/>
        <v>#VALUE!</v>
      </c>
      <c r="G485" s="25"/>
      <c r="H485" s="25" t="e">
        <f t="shared" si="77"/>
        <v>#VALUE!</v>
      </c>
      <c r="I485" s="25">
        <f t="shared" si="74"/>
        <v>-29.00000000001004</v>
      </c>
      <c r="J485" s="25" t="e">
        <f t="shared" si="75"/>
        <v>#VALUE!</v>
      </c>
    </row>
    <row r="486" spans="1:10" x14ac:dyDescent="0.25">
      <c r="A486" s="25">
        <f t="shared" si="76"/>
        <v>-5.2800000000001006</v>
      </c>
      <c r="B486" s="25">
        <f t="shared" ca="1" si="69"/>
        <v>2.4359236388492533E-2</v>
      </c>
      <c r="C486" s="25" t="e">
        <f t="shared" si="70"/>
        <v>#VALUE!</v>
      </c>
      <c r="D486" s="74" t="e">
        <f t="shared" si="71"/>
        <v>#VALUE!</v>
      </c>
      <c r="E486" s="25" t="e">
        <f t="shared" si="72"/>
        <v>#VALUE!</v>
      </c>
      <c r="F486" s="25" t="e">
        <f t="shared" ca="1" si="73"/>
        <v>#VALUE!</v>
      </c>
      <c r="G486" s="25"/>
      <c r="H486" s="25" t="e">
        <f t="shared" si="77"/>
        <v>#VALUE!</v>
      </c>
      <c r="I486" s="25">
        <f t="shared" si="74"/>
        <v>-28.000000000010061</v>
      </c>
      <c r="J486" s="25" t="e">
        <f t="shared" si="75"/>
        <v>#VALUE!</v>
      </c>
    </row>
    <row r="487" spans="1:10" x14ac:dyDescent="0.25">
      <c r="A487" s="25">
        <f t="shared" si="76"/>
        <v>-5.2700000000001008</v>
      </c>
      <c r="B487" s="25">
        <f t="shared" ca="1" si="69"/>
        <v>-8.3757498802347882E-2</v>
      </c>
      <c r="C487" s="25" t="e">
        <f t="shared" si="70"/>
        <v>#VALUE!</v>
      </c>
      <c r="D487" s="74" t="e">
        <f t="shared" si="71"/>
        <v>#VALUE!</v>
      </c>
      <c r="E487" s="25" t="e">
        <f t="shared" si="72"/>
        <v>#VALUE!</v>
      </c>
      <c r="F487" s="25" t="e">
        <f t="shared" ca="1" si="73"/>
        <v>#VALUE!</v>
      </c>
      <c r="G487" s="25"/>
      <c r="H487" s="25" t="e">
        <f t="shared" si="77"/>
        <v>#VALUE!</v>
      </c>
      <c r="I487" s="25">
        <f t="shared" si="74"/>
        <v>-27.000000000010083</v>
      </c>
      <c r="J487" s="25" t="e">
        <f t="shared" si="75"/>
        <v>#VALUE!</v>
      </c>
    </row>
    <row r="488" spans="1:10" x14ac:dyDescent="0.25">
      <c r="A488" s="25">
        <f t="shared" si="76"/>
        <v>-5.260000000000101</v>
      </c>
      <c r="B488" s="25">
        <f t="shared" ca="1" si="69"/>
        <v>4.4594575225413983E-2</v>
      </c>
      <c r="C488" s="25" t="e">
        <f t="shared" si="70"/>
        <v>#VALUE!</v>
      </c>
      <c r="D488" s="74" t="e">
        <f t="shared" si="71"/>
        <v>#VALUE!</v>
      </c>
      <c r="E488" s="25" t="e">
        <f t="shared" si="72"/>
        <v>#VALUE!</v>
      </c>
      <c r="F488" s="25" t="e">
        <f t="shared" ca="1" si="73"/>
        <v>#VALUE!</v>
      </c>
      <c r="G488" s="25"/>
      <c r="H488" s="25" t="e">
        <f t="shared" si="77"/>
        <v>#VALUE!</v>
      </c>
      <c r="I488" s="25">
        <f t="shared" si="74"/>
        <v>-26.000000000010107</v>
      </c>
      <c r="J488" s="25" t="e">
        <f t="shared" si="75"/>
        <v>#VALUE!</v>
      </c>
    </row>
    <row r="489" spans="1:10" x14ac:dyDescent="0.25">
      <c r="A489" s="25">
        <f t="shared" si="76"/>
        <v>-5.2500000000001013</v>
      </c>
      <c r="B489" s="25">
        <f t="shared" ca="1" si="69"/>
        <v>-0.12861274105752454</v>
      </c>
      <c r="C489" s="25" t="e">
        <f t="shared" si="70"/>
        <v>#VALUE!</v>
      </c>
      <c r="D489" s="74" t="e">
        <f t="shared" si="71"/>
        <v>#VALUE!</v>
      </c>
      <c r="E489" s="25" t="e">
        <f t="shared" si="72"/>
        <v>#VALUE!</v>
      </c>
      <c r="F489" s="25" t="e">
        <f t="shared" ca="1" si="73"/>
        <v>#VALUE!</v>
      </c>
      <c r="G489" s="25"/>
      <c r="H489" s="25" t="e">
        <f t="shared" si="77"/>
        <v>#VALUE!</v>
      </c>
      <c r="I489" s="25">
        <f t="shared" si="74"/>
        <v>-25.000000000010125</v>
      </c>
      <c r="J489" s="25" t="e">
        <f t="shared" si="75"/>
        <v>#VALUE!</v>
      </c>
    </row>
    <row r="490" spans="1:10" x14ac:dyDescent="0.25">
      <c r="A490" s="25">
        <f t="shared" si="76"/>
        <v>-5.2400000000001015</v>
      </c>
      <c r="B490" s="25">
        <f t="shared" ca="1" si="69"/>
        <v>-0.14058460724040292</v>
      </c>
      <c r="C490" s="25" t="e">
        <f t="shared" si="70"/>
        <v>#VALUE!</v>
      </c>
      <c r="D490" s="74" t="e">
        <f t="shared" si="71"/>
        <v>#VALUE!</v>
      </c>
      <c r="E490" s="25" t="e">
        <f t="shared" si="72"/>
        <v>#VALUE!</v>
      </c>
      <c r="F490" s="25" t="e">
        <f t="shared" ca="1" si="73"/>
        <v>#VALUE!</v>
      </c>
      <c r="G490" s="25"/>
      <c r="H490" s="25" t="e">
        <f t="shared" si="77"/>
        <v>#VALUE!</v>
      </c>
      <c r="I490" s="25">
        <f t="shared" si="74"/>
        <v>-24.000000000010147</v>
      </c>
      <c r="J490" s="25" t="e">
        <f t="shared" si="75"/>
        <v>#VALUE!</v>
      </c>
    </row>
    <row r="491" spans="1:10" x14ac:dyDescent="0.25">
      <c r="A491" s="25">
        <f t="shared" si="76"/>
        <v>-5.2300000000001017</v>
      </c>
      <c r="B491" s="25">
        <f t="shared" ca="1" si="69"/>
        <v>-0.12967897294781525</v>
      </c>
      <c r="C491" s="25" t="e">
        <f t="shared" si="70"/>
        <v>#VALUE!</v>
      </c>
      <c r="D491" s="74" t="e">
        <f t="shared" si="71"/>
        <v>#VALUE!</v>
      </c>
      <c r="E491" s="25" t="e">
        <f t="shared" si="72"/>
        <v>#VALUE!</v>
      </c>
      <c r="F491" s="25" t="e">
        <f t="shared" ca="1" si="73"/>
        <v>#VALUE!</v>
      </c>
      <c r="G491" s="25"/>
      <c r="H491" s="25" t="e">
        <f t="shared" si="77"/>
        <v>#VALUE!</v>
      </c>
      <c r="I491" s="25">
        <f t="shared" si="74"/>
        <v>-23.000000000010168</v>
      </c>
      <c r="J491" s="25" t="e">
        <f t="shared" si="75"/>
        <v>#VALUE!</v>
      </c>
    </row>
    <row r="492" spans="1:10" x14ac:dyDescent="0.25">
      <c r="A492" s="25">
        <f t="shared" si="76"/>
        <v>-5.2200000000001019</v>
      </c>
      <c r="B492" s="25">
        <f t="shared" ca="1" si="69"/>
        <v>-0.13210839834774135</v>
      </c>
      <c r="C492" s="25" t="e">
        <f t="shared" si="70"/>
        <v>#VALUE!</v>
      </c>
      <c r="D492" s="74" t="e">
        <f t="shared" si="71"/>
        <v>#VALUE!</v>
      </c>
      <c r="E492" s="25" t="e">
        <f t="shared" si="72"/>
        <v>#VALUE!</v>
      </c>
      <c r="F492" s="25" t="e">
        <f t="shared" ca="1" si="73"/>
        <v>#VALUE!</v>
      </c>
      <c r="G492" s="25"/>
      <c r="H492" s="25" t="e">
        <f t="shared" si="77"/>
        <v>#VALUE!</v>
      </c>
      <c r="I492" s="25">
        <f t="shared" si="74"/>
        <v>-22.000000000010189</v>
      </c>
      <c r="J492" s="25" t="e">
        <f t="shared" si="75"/>
        <v>#VALUE!</v>
      </c>
    </row>
    <row r="493" spans="1:10" x14ac:dyDescent="0.25">
      <c r="A493" s="25">
        <f t="shared" si="76"/>
        <v>-5.2100000000001021</v>
      </c>
      <c r="B493" s="25">
        <f t="shared" ca="1" si="69"/>
        <v>0.11826560165319151</v>
      </c>
      <c r="C493" s="25" t="e">
        <f t="shared" si="70"/>
        <v>#VALUE!</v>
      </c>
      <c r="D493" s="74" t="e">
        <f t="shared" si="71"/>
        <v>#VALUE!</v>
      </c>
      <c r="E493" s="25" t="e">
        <f t="shared" si="72"/>
        <v>#VALUE!</v>
      </c>
      <c r="F493" s="25" t="e">
        <f t="shared" ca="1" si="73"/>
        <v>#VALUE!</v>
      </c>
      <c r="G493" s="25"/>
      <c r="H493" s="25" t="e">
        <f t="shared" si="77"/>
        <v>#VALUE!</v>
      </c>
      <c r="I493" s="25">
        <f t="shared" si="74"/>
        <v>-21.00000000001021</v>
      </c>
      <c r="J493" s="25" t="e">
        <f t="shared" si="75"/>
        <v>#VALUE!</v>
      </c>
    </row>
    <row r="494" spans="1:10" x14ac:dyDescent="0.25">
      <c r="A494" s="25">
        <f t="shared" si="76"/>
        <v>-5.2000000000001023</v>
      </c>
      <c r="B494" s="25">
        <f t="shared" ca="1" si="69"/>
        <v>4.0301348909948249E-2</v>
      </c>
      <c r="C494" s="25" t="e">
        <f t="shared" si="70"/>
        <v>#VALUE!</v>
      </c>
      <c r="D494" s="74" t="e">
        <f t="shared" si="71"/>
        <v>#VALUE!</v>
      </c>
      <c r="E494" s="25" t="e">
        <f t="shared" si="72"/>
        <v>#VALUE!</v>
      </c>
      <c r="F494" s="25" t="e">
        <f t="shared" ca="1" si="73"/>
        <v>#VALUE!</v>
      </c>
      <c r="G494" s="25"/>
      <c r="H494" s="25" t="e">
        <f t="shared" si="77"/>
        <v>#VALUE!</v>
      </c>
      <c r="I494" s="25">
        <f t="shared" si="74"/>
        <v>-20.000000000010232</v>
      </c>
      <c r="J494" s="25" t="e">
        <f t="shared" si="75"/>
        <v>#VALUE!</v>
      </c>
    </row>
    <row r="495" spans="1:10" x14ac:dyDescent="0.25">
      <c r="A495" s="25">
        <f t="shared" si="76"/>
        <v>-5.1900000000001025</v>
      </c>
      <c r="B495" s="25">
        <f t="shared" ca="1" si="69"/>
        <v>0.13014688931213569</v>
      </c>
      <c r="C495" s="25" t="e">
        <f t="shared" si="70"/>
        <v>#VALUE!</v>
      </c>
      <c r="D495" s="74" t="e">
        <f t="shared" si="71"/>
        <v>#VALUE!</v>
      </c>
      <c r="E495" s="25" t="e">
        <f t="shared" si="72"/>
        <v>#VALUE!</v>
      </c>
      <c r="F495" s="25" t="e">
        <f t="shared" ca="1" si="73"/>
        <v>#VALUE!</v>
      </c>
      <c r="G495" s="25"/>
      <c r="H495" s="25" t="e">
        <f t="shared" si="77"/>
        <v>#VALUE!</v>
      </c>
      <c r="I495" s="25">
        <f t="shared" si="74"/>
        <v>-19.000000000010253</v>
      </c>
      <c r="J495" s="25" t="e">
        <f t="shared" si="75"/>
        <v>#VALUE!</v>
      </c>
    </row>
    <row r="496" spans="1:10" x14ac:dyDescent="0.25">
      <c r="A496" s="25">
        <f t="shared" si="76"/>
        <v>-5.1800000000001027</v>
      </c>
      <c r="B496" s="25">
        <f t="shared" ca="1" si="69"/>
        <v>1.3995177987800284E-2</v>
      </c>
      <c r="C496" s="25" t="e">
        <f t="shared" si="70"/>
        <v>#VALUE!</v>
      </c>
      <c r="D496" s="74" t="e">
        <f t="shared" si="71"/>
        <v>#VALUE!</v>
      </c>
      <c r="E496" s="25" t="e">
        <f t="shared" si="72"/>
        <v>#VALUE!</v>
      </c>
      <c r="F496" s="25" t="e">
        <f t="shared" ca="1" si="73"/>
        <v>#VALUE!</v>
      </c>
      <c r="G496" s="25"/>
      <c r="H496" s="25" t="e">
        <f t="shared" si="77"/>
        <v>#VALUE!</v>
      </c>
      <c r="I496" s="25">
        <f t="shared" si="74"/>
        <v>-18.000000000010274</v>
      </c>
      <c r="J496" s="25" t="e">
        <f t="shared" si="75"/>
        <v>#VALUE!</v>
      </c>
    </row>
    <row r="497" spans="1:10" x14ac:dyDescent="0.25">
      <c r="A497" s="25">
        <f t="shared" si="76"/>
        <v>-5.170000000000103</v>
      </c>
      <c r="B497" s="25">
        <f t="shared" ca="1" si="69"/>
        <v>5.430152076604388E-2</v>
      </c>
      <c r="C497" s="25" t="e">
        <f t="shared" si="70"/>
        <v>#VALUE!</v>
      </c>
      <c r="D497" s="74" t="e">
        <f t="shared" si="71"/>
        <v>#VALUE!</v>
      </c>
      <c r="E497" s="25" t="e">
        <f t="shared" si="72"/>
        <v>#VALUE!</v>
      </c>
      <c r="F497" s="25" t="e">
        <f t="shared" ca="1" si="73"/>
        <v>#VALUE!</v>
      </c>
      <c r="G497" s="25"/>
      <c r="H497" s="25" t="e">
        <f t="shared" si="77"/>
        <v>#VALUE!</v>
      </c>
      <c r="I497" s="25">
        <f t="shared" si="74"/>
        <v>-17.000000000010296</v>
      </c>
      <c r="J497" s="25" t="e">
        <f t="shared" si="75"/>
        <v>#VALUE!</v>
      </c>
    </row>
    <row r="498" spans="1:10" x14ac:dyDescent="0.25">
      <c r="A498" s="25">
        <f t="shared" si="76"/>
        <v>-5.1600000000001032</v>
      </c>
      <c r="B498" s="25">
        <f t="shared" ca="1" si="69"/>
        <v>-0.10915656297996516</v>
      </c>
      <c r="C498" s="25" t="e">
        <f t="shared" si="70"/>
        <v>#VALUE!</v>
      </c>
      <c r="D498" s="74" t="e">
        <f t="shared" si="71"/>
        <v>#VALUE!</v>
      </c>
      <c r="E498" s="25" t="e">
        <f t="shared" si="72"/>
        <v>#VALUE!</v>
      </c>
      <c r="F498" s="25" t="e">
        <f t="shared" ca="1" si="73"/>
        <v>#VALUE!</v>
      </c>
      <c r="G498" s="25"/>
      <c r="H498" s="25" t="e">
        <f t="shared" si="77"/>
        <v>#VALUE!</v>
      </c>
      <c r="I498" s="25">
        <f t="shared" si="74"/>
        <v>-16.000000000010317</v>
      </c>
      <c r="J498" s="25" t="e">
        <f t="shared" si="75"/>
        <v>#VALUE!</v>
      </c>
    </row>
    <row r="499" spans="1:10" x14ac:dyDescent="0.25">
      <c r="A499" s="25">
        <f t="shared" si="76"/>
        <v>-5.1500000000001034</v>
      </c>
      <c r="B499" s="25">
        <f t="shared" ca="1" si="69"/>
        <v>-0.17218448809923792</v>
      </c>
      <c r="C499" s="25" t="e">
        <f t="shared" si="70"/>
        <v>#VALUE!</v>
      </c>
      <c r="D499" s="74" t="e">
        <f t="shared" si="71"/>
        <v>#VALUE!</v>
      </c>
      <c r="E499" s="25" t="e">
        <f t="shared" si="72"/>
        <v>#VALUE!</v>
      </c>
      <c r="F499" s="25" t="e">
        <f t="shared" ca="1" si="73"/>
        <v>#VALUE!</v>
      </c>
      <c r="G499" s="25"/>
      <c r="H499" s="25" t="e">
        <f t="shared" si="77"/>
        <v>#VALUE!</v>
      </c>
      <c r="I499" s="25">
        <f t="shared" si="74"/>
        <v>-15.00000000001034</v>
      </c>
      <c r="J499" s="25" t="e">
        <f t="shared" si="75"/>
        <v>#VALUE!</v>
      </c>
    </row>
    <row r="500" spans="1:10" x14ac:dyDescent="0.25">
      <c r="A500" s="25">
        <f t="shared" si="76"/>
        <v>-5.1400000000001036</v>
      </c>
      <c r="B500" s="25">
        <f t="shared" ca="1" si="69"/>
        <v>-8.67009000598159E-2</v>
      </c>
      <c r="C500" s="25" t="e">
        <f t="shared" si="70"/>
        <v>#VALUE!</v>
      </c>
      <c r="D500" s="74" t="e">
        <f t="shared" si="71"/>
        <v>#VALUE!</v>
      </c>
      <c r="E500" s="25" t="e">
        <f t="shared" si="72"/>
        <v>#VALUE!</v>
      </c>
      <c r="F500" s="25" t="e">
        <f t="shared" ca="1" si="73"/>
        <v>#VALUE!</v>
      </c>
      <c r="G500" s="25"/>
      <c r="H500" s="25" t="e">
        <f t="shared" si="77"/>
        <v>#VALUE!</v>
      </c>
      <c r="I500" s="25">
        <f t="shared" si="74"/>
        <v>-14.00000000001036</v>
      </c>
      <c r="J500" s="25" t="e">
        <f t="shared" si="75"/>
        <v>#VALUE!</v>
      </c>
    </row>
    <row r="501" spans="1:10" x14ac:dyDescent="0.25">
      <c r="A501" s="25">
        <f t="shared" si="76"/>
        <v>-5.1300000000001038</v>
      </c>
      <c r="B501" s="25">
        <f t="shared" ca="1" si="69"/>
        <v>3.752238830185816E-2</v>
      </c>
      <c r="C501" s="25" t="e">
        <f t="shared" si="70"/>
        <v>#VALUE!</v>
      </c>
      <c r="D501" s="74" t="e">
        <f t="shared" si="71"/>
        <v>#VALUE!</v>
      </c>
      <c r="E501" s="25" t="e">
        <f t="shared" si="72"/>
        <v>#VALUE!</v>
      </c>
      <c r="F501" s="25" t="e">
        <f t="shared" ca="1" si="73"/>
        <v>#VALUE!</v>
      </c>
      <c r="G501" s="25"/>
      <c r="H501" s="25" t="e">
        <f t="shared" si="77"/>
        <v>#VALUE!</v>
      </c>
      <c r="I501" s="25">
        <f t="shared" si="74"/>
        <v>-13.000000000010379</v>
      </c>
      <c r="J501" s="25" t="e">
        <f t="shared" si="75"/>
        <v>#VALUE!</v>
      </c>
    </row>
    <row r="502" spans="1:10" x14ac:dyDescent="0.25">
      <c r="A502" s="25">
        <f t="shared" si="76"/>
        <v>-5.120000000000104</v>
      </c>
      <c r="B502" s="25">
        <f t="shared" ca="1" si="69"/>
        <v>4.587060925277045E-2</v>
      </c>
      <c r="C502" s="25" t="e">
        <f t="shared" si="70"/>
        <v>#VALUE!</v>
      </c>
      <c r="D502" s="74" t="e">
        <f t="shared" si="71"/>
        <v>#VALUE!</v>
      </c>
      <c r="E502" s="25" t="e">
        <f t="shared" si="72"/>
        <v>#VALUE!</v>
      </c>
      <c r="F502" s="25" t="e">
        <f t="shared" ca="1" si="73"/>
        <v>#VALUE!</v>
      </c>
      <c r="G502" s="25"/>
      <c r="H502" s="25" t="e">
        <f t="shared" si="77"/>
        <v>#VALUE!</v>
      </c>
      <c r="I502" s="25">
        <f t="shared" si="74"/>
        <v>-12.000000000010402</v>
      </c>
      <c r="J502" s="25" t="e">
        <f t="shared" si="75"/>
        <v>#VALUE!</v>
      </c>
    </row>
    <row r="503" spans="1:10" x14ac:dyDescent="0.25">
      <c r="A503" s="25">
        <f t="shared" si="76"/>
        <v>-5.1100000000001042</v>
      </c>
      <c r="B503" s="25">
        <f t="shared" ca="1" si="69"/>
        <v>-4.4565741401898736E-2</v>
      </c>
      <c r="C503" s="25" t="e">
        <f t="shared" si="70"/>
        <v>#VALUE!</v>
      </c>
      <c r="D503" s="74" t="e">
        <f t="shared" si="71"/>
        <v>#VALUE!</v>
      </c>
      <c r="E503" s="25" t="e">
        <f t="shared" si="72"/>
        <v>#VALUE!</v>
      </c>
      <c r="F503" s="25" t="e">
        <f t="shared" ca="1" si="73"/>
        <v>#VALUE!</v>
      </c>
      <c r="G503" s="25"/>
      <c r="H503" s="25" t="e">
        <f t="shared" si="77"/>
        <v>#VALUE!</v>
      </c>
      <c r="I503" s="25">
        <f t="shared" si="74"/>
        <v>-11.000000000010424</v>
      </c>
      <c r="J503" s="25" t="e">
        <f t="shared" si="75"/>
        <v>#VALUE!</v>
      </c>
    </row>
    <row r="504" spans="1:10" x14ac:dyDescent="0.25">
      <c r="A504" s="25">
        <f t="shared" si="76"/>
        <v>-5.1000000000001044</v>
      </c>
      <c r="B504" s="25">
        <f t="shared" ca="1" si="69"/>
        <v>5.1111639511592359E-2</v>
      </c>
      <c r="C504" s="25" t="e">
        <f t="shared" si="70"/>
        <v>#VALUE!</v>
      </c>
      <c r="D504" s="74" t="e">
        <f t="shared" si="71"/>
        <v>#VALUE!</v>
      </c>
      <c r="E504" s="25" t="e">
        <f t="shared" si="72"/>
        <v>#VALUE!</v>
      </c>
      <c r="F504" s="25" t="e">
        <f t="shared" ca="1" si="73"/>
        <v>#VALUE!</v>
      </c>
      <c r="G504" s="25"/>
      <c r="H504" s="25" t="e">
        <f t="shared" si="77"/>
        <v>#VALUE!</v>
      </c>
      <c r="I504" s="25">
        <f t="shared" si="74"/>
        <v>-10.000000000010445</v>
      </c>
      <c r="J504" s="25" t="e">
        <f t="shared" si="75"/>
        <v>#VALUE!</v>
      </c>
    </row>
    <row r="505" spans="1:10" x14ac:dyDescent="0.25">
      <c r="A505" s="25">
        <f t="shared" si="76"/>
        <v>-5.0900000000001047</v>
      </c>
      <c r="B505" s="25">
        <f t="shared" ca="1" si="69"/>
        <v>-0.12185283340493092</v>
      </c>
      <c r="C505" s="25" t="e">
        <f t="shared" si="70"/>
        <v>#VALUE!</v>
      </c>
      <c r="D505" s="74" t="e">
        <f t="shared" si="71"/>
        <v>#VALUE!</v>
      </c>
      <c r="E505" s="25" t="e">
        <f t="shared" si="72"/>
        <v>#VALUE!</v>
      </c>
      <c r="F505" s="25" t="e">
        <f t="shared" ca="1" si="73"/>
        <v>#VALUE!</v>
      </c>
      <c r="G505" s="25"/>
      <c r="H505" s="25" t="e">
        <f t="shared" si="77"/>
        <v>#VALUE!</v>
      </c>
      <c r="I505" s="25">
        <f t="shared" si="74"/>
        <v>-9.0000000000104663</v>
      </c>
      <c r="J505" s="25" t="e">
        <f t="shared" si="75"/>
        <v>#VALUE!</v>
      </c>
    </row>
    <row r="506" spans="1:10" x14ac:dyDescent="0.25">
      <c r="A506" s="25">
        <f t="shared" si="76"/>
        <v>-5.0800000000001049</v>
      </c>
      <c r="B506" s="25">
        <f t="shared" ca="1" si="69"/>
        <v>1.3054044227237058E-2</v>
      </c>
      <c r="C506" s="25" t="e">
        <f t="shared" si="70"/>
        <v>#VALUE!</v>
      </c>
      <c r="D506" s="74" t="e">
        <f t="shared" si="71"/>
        <v>#VALUE!</v>
      </c>
      <c r="E506" s="25" t="e">
        <f t="shared" si="72"/>
        <v>#VALUE!</v>
      </c>
      <c r="F506" s="25" t="e">
        <f t="shared" ca="1" si="73"/>
        <v>#VALUE!</v>
      </c>
      <c r="G506" s="25"/>
      <c r="H506" s="25" t="e">
        <f t="shared" si="77"/>
        <v>#VALUE!</v>
      </c>
      <c r="I506" s="25">
        <f t="shared" si="74"/>
        <v>-8.0000000000104876</v>
      </c>
      <c r="J506" s="25" t="e">
        <f t="shared" si="75"/>
        <v>#VALUE!</v>
      </c>
    </row>
    <row r="507" spans="1:10" x14ac:dyDescent="0.25">
      <c r="A507" s="25">
        <f t="shared" si="76"/>
        <v>-5.0700000000001051</v>
      </c>
      <c r="B507" s="25">
        <f t="shared" ca="1" si="69"/>
        <v>-5.749494904603452E-2</v>
      </c>
      <c r="C507" s="25" t="e">
        <f t="shared" si="70"/>
        <v>#VALUE!</v>
      </c>
      <c r="D507" s="74" t="e">
        <f t="shared" si="71"/>
        <v>#VALUE!</v>
      </c>
      <c r="E507" s="25" t="e">
        <f t="shared" si="72"/>
        <v>#VALUE!</v>
      </c>
      <c r="F507" s="25" t="e">
        <f t="shared" ca="1" si="73"/>
        <v>#VALUE!</v>
      </c>
      <c r="G507" s="25"/>
      <c r="H507" s="25" t="e">
        <f t="shared" si="77"/>
        <v>#VALUE!</v>
      </c>
      <c r="I507" s="25">
        <f t="shared" si="74"/>
        <v>-7.0000000000105089</v>
      </c>
      <c r="J507" s="25" t="e">
        <f t="shared" si="75"/>
        <v>#VALUE!</v>
      </c>
    </row>
    <row r="508" spans="1:10" x14ac:dyDescent="0.25">
      <c r="A508" s="25">
        <f t="shared" si="76"/>
        <v>-5.0600000000001053</v>
      </c>
      <c r="B508" s="25">
        <f t="shared" ca="1" si="69"/>
        <v>-6.1161221804358873E-2</v>
      </c>
      <c r="C508" s="25" t="e">
        <f t="shared" si="70"/>
        <v>#VALUE!</v>
      </c>
      <c r="D508" s="74" t="e">
        <f t="shared" si="71"/>
        <v>#VALUE!</v>
      </c>
      <c r="E508" s="25" t="e">
        <f t="shared" si="72"/>
        <v>#VALUE!</v>
      </c>
      <c r="F508" s="25" t="e">
        <f t="shared" ca="1" si="73"/>
        <v>#VALUE!</v>
      </c>
      <c r="G508" s="25"/>
      <c r="H508" s="25" t="e">
        <f t="shared" si="77"/>
        <v>#VALUE!</v>
      </c>
      <c r="I508" s="25">
        <f t="shared" si="74"/>
        <v>-6.0000000000105302</v>
      </c>
      <c r="J508" s="25" t="e">
        <f t="shared" si="75"/>
        <v>#VALUE!</v>
      </c>
    </row>
    <row r="509" spans="1:10" x14ac:dyDescent="0.25">
      <c r="A509" s="25">
        <f t="shared" si="76"/>
        <v>-5.0500000000001055</v>
      </c>
      <c r="B509" s="25">
        <f t="shared" ca="1" si="69"/>
        <v>-5.8012438069115574E-2</v>
      </c>
      <c r="C509" s="25" t="e">
        <f t="shared" si="70"/>
        <v>#VALUE!</v>
      </c>
      <c r="D509" s="74" t="e">
        <f t="shared" si="71"/>
        <v>#VALUE!</v>
      </c>
      <c r="E509" s="25" t="e">
        <f t="shared" si="72"/>
        <v>#VALUE!</v>
      </c>
      <c r="F509" s="25" t="e">
        <f t="shared" ca="1" si="73"/>
        <v>#VALUE!</v>
      </c>
      <c r="G509" s="25"/>
      <c r="H509" s="25" t="e">
        <f t="shared" si="77"/>
        <v>#VALUE!</v>
      </c>
      <c r="I509" s="25">
        <f t="shared" si="74"/>
        <v>-5.0000000000105516</v>
      </c>
      <c r="J509" s="25" t="e">
        <f t="shared" si="75"/>
        <v>#VALUE!</v>
      </c>
    </row>
    <row r="510" spans="1:10" x14ac:dyDescent="0.25">
      <c r="A510" s="25">
        <f t="shared" si="76"/>
        <v>-5.0400000000001057</v>
      </c>
      <c r="B510" s="25">
        <f t="shared" ca="1" si="69"/>
        <v>9.5299741154282233E-2</v>
      </c>
      <c r="C510" s="25" t="e">
        <f t="shared" si="70"/>
        <v>#VALUE!</v>
      </c>
      <c r="D510" s="74" t="e">
        <f t="shared" si="71"/>
        <v>#VALUE!</v>
      </c>
      <c r="E510" s="25" t="e">
        <f t="shared" si="72"/>
        <v>#VALUE!</v>
      </c>
      <c r="F510" s="25" t="e">
        <f t="shared" ca="1" si="73"/>
        <v>#VALUE!</v>
      </c>
      <c r="G510" s="25"/>
      <c r="H510" s="25" t="e">
        <f t="shared" si="77"/>
        <v>#VALUE!</v>
      </c>
      <c r="I510" s="25">
        <f t="shared" si="74"/>
        <v>-4.0000000000105729</v>
      </c>
      <c r="J510" s="25" t="e">
        <f t="shared" si="75"/>
        <v>#VALUE!</v>
      </c>
    </row>
    <row r="511" spans="1:10" x14ac:dyDescent="0.25">
      <c r="A511" s="25">
        <f t="shared" si="76"/>
        <v>-5.0300000000001059</v>
      </c>
      <c r="B511" s="25">
        <f t="shared" ca="1" si="69"/>
        <v>8.5004626965955968E-2</v>
      </c>
      <c r="C511" s="25" t="e">
        <f t="shared" si="70"/>
        <v>#VALUE!</v>
      </c>
      <c r="D511" s="74" t="e">
        <f t="shared" si="71"/>
        <v>#VALUE!</v>
      </c>
      <c r="E511" s="25" t="e">
        <f t="shared" si="72"/>
        <v>#VALUE!</v>
      </c>
      <c r="F511" s="25" t="e">
        <f t="shared" ca="1" si="73"/>
        <v>#VALUE!</v>
      </c>
      <c r="G511" s="25"/>
      <c r="H511" s="25" t="e">
        <f t="shared" si="77"/>
        <v>#VALUE!</v>
      </c>
      <c r="I511" s="25">
        <f t="shared" si="74"/>
        <v>-3.0000000000105942</v>
      </c>
      <c r="J511" s="25" t="e">
        <f t="shared" si="75"/>
        <v>#VALUE!</v>
      </c>
    </row>
    <row r="512" spans="1:10" x14ac:dyDescent="0.25">
      <c r="A512" s="25">
        <f t="shared" si="76"/>
        <v>-5.0200000000001062</v>
      </c>
      <c r="B512" s="25">
        <f t="shared" ca="1" si="69"/>
        <v>-6.9457437583688469E-2</v>
      </c>
      <c r="C512" s="25" t="e">
        <f t="shared" si="70"/>
        <v>#VALUE!</v>
      </c>
      <c r="D512" s="74" t="e">
        <f t="shared" si="71"/>
        <v>#VALUE!</v>
      </c>
      <c r="E512" s="25" t="e">
        <f t="shared" si="72"/>
        <v>#VALUE!</v>
      </c>
      <c r="F512" s="25" t="e">
        <f t="shared" ca="1" si="73"/>
        <v>#VALUE!</v>
      </c>
      <c r="G512" s="25"/>
      <c r="H512" s="25" t="e">
        <f t="shared" si="77"/>
        <v>#VALUE!</v>
      </c>
      <c r="I512" s="25">
        <f t="shared" si="74"/>
        <v>-2.0000000000106155</v>
      </c>
      <c r="J512" s="25" t="e">
        <f t="shared" si="75"/>
        <v>#VALUE!</v>
      </c>
    </row>
    <row r="513" spans="1:10" x14ac:dyDescent="0.25">
      <c r="A513" s="25">
        <f t="shared" si="76"/>
        <v>-5.0100000000001064</v>
      </c>
      <c r="B513" s="25">
        <f t="shared" ca="1" si="69"/>
        <v>-8.497343115217533E-2</v>
      </c>
      <c r="C513" s="25" t="e">
        <f t="shared" si="70"/>
        <v>#VALUE!</v>
      </c>
      <c r="D513" s="74" t="e">
        <f t="shared" si="71"/>
        <v>#VALUE!</v>
      </c>
      <c r="E513" s="25" t="e">
        <f t="shared" si="72"/>
        <v>#VALUE!</v>
      </c>
      <c r="F513" s="25" t="e">
        <f t="shared" ca="1" si="73"/>
        <v>#VALUE!</v>
      </c>
      <c r="G513" s="25"/>
      <c r="H513" s="25" t="e">
        <f t="shared" si="77"/>
        <v>#VALUE!</v>
      </c>
      <c r="I513" s="25">
        <f t="shared" si="74"/>
        <v>-1.0000000000106368</v>
      </c>
      <c r="J513" s="25" t="e">
        <f t="shared" si="75"/>
        <v>#VALUE!</v>
      </c>
    </row>
    <row r="514" spans="1:10" x14ac:dyDescent="0.25">
      <c r="A514" s="25">
        <f t="shared" si="76"/>
        <v>-5.0000000000001066</v>
      </c>
      <c r="B514" s="25">
        <f t="shared" ca="1" si="69"/>
        <v>-8.4659762847971123E-2</v>
      </c>
      <c r="C514" s="25" t="e">
        <f t="shared" si="70"/>
        <v>#VALUE!</v>
      </c>
      <c r="D514" s="74" t="e">
        <f t="shared" si="71"/>
        <v>#VALUE!</v>
      </c>
      <c r="E514" s="25" t="e">
        <f t="shared" si="72"/>
        <v>#VALUE!</v>
      </c>
      <c r="F514" s="25" t="e">
        <f t="shared" ca="1" si="73"/>
        <v>#VALUE!</v>
      </c>
      <c r="G514" s="25"/>
      <c r="H514" s="25" t="e">
        <f t="shared" si="77"/>
        <v>#VALUE!</v>
      </c>
      <c r="I514" s="25">
        <f t="shared" si="74"/>
        <v>-1.0658141036401503E-11</v>
      </c>
      <c r="J514" s="25" t="e">
        <f t="shared" si="75"/>
        <v>#VALUE!</v>
      </c>
    </row>
    <row r="515" spans="1:10" x14ac:dyDescent="0.25">
      <c r="A515" s="25">
        <f t="shared" si="76"/>
        <v>-4.9900000000001068</v>
      </c>
      <c r="B515" s="25">
        <f t="shared" ca="1" si="69"/>
        <v>-0.15275072316293348</v>
      </c>
      <c r="C515" s="25" t="e">
        <f t="shared" si="70"/>
        <v>#VALUE!</v>
      </c>
      <c r="D515" s="74" t="e">
        <f t="shared" si="71"/>
        <v>#VALUE!</v>
      </c>
      <c r="E515" s="25" t="e">
        <f t="shared" si="72"/>
        <v>#VALUE!</v>
      </c>
      <c r="F515" s="25" t="e">
        <f t="shared" ca="1" si="73"/>
        <v>#VALUE!</v>
      </c>
      <c r="G515" s="25"/>
      <c r="H515" s="25" t="e">
        <f t="shared" si="77"/>
        <v>#VALUE!</v>
      </c>
      <c r="I515" s="25">
        <f t="shared" si="74"/>
        <v>0.99999999998932054</v>
      </c>
      <c r="J515" s="25" t="e">
        <f t="shared" si="75"/>
        <v>#VALUE!</v>
      </c>
    </row>
    <row r="516" spans="1:10" x14ac:dyDescent="0.25">
      <c r="A516" s="25">
        <f t="shared" si="76"/>
        <v>-4.980000000000107</v>
      </c>
      <c r="B516" s="25">
        <f t="shared" ca="1" si="69"/>
        <v>-0.10085066422407078</v>
      </c>
      <c r="C516" s="25" t="e">
        <f t="shared" si="70"/>
        <v>#VALUE!</v>
      </c>
      <c r="D516" s="74" t="e">
        <f t="shared" si="71"/>
        <v>#VALUE!</v>
      </c>
      <c r="E516" s="25" t="e">
        <f t="shared" si="72"/>
        <v>#VALUE!</v>
      </c>
      <c r="F516" s="25" t="e">
        <f t="shared" ca="1" si="73"/>
        <v>#VALUE!</v>
      </c>
      <c r="G516" s="25"/>
      <c r="H516" s="25" t="e">
        <f t="shared" si="77"/>
        <v>#VALUE!</v>
      </c>
      <c r="I516" s="25">
        <f t="shared" si="74"/>
        <v>1.9999999999892992</v>
      </c>
      <c r="J516" s="25" t="e">
        <f t="shared" si="75"/>
        <v>#VALUE!</v>
      </c>
    </row>
    <row r="517" spans="1:10" x14ac:dyDescent="0.25">
      <c r="A517" s="25">
        <f t="shared" si="76"/>
        <v>-4.9700000000001072</v>
      </c>
      <c r="B517" s="25">
        <f t="shared" ca="1" si="69"/>
        <v>-0.14861434329712689</v>
      </c>
      <c r="C517" s="25" t="e">
        <f t="shared" si="70"/>
        <v>#VALUE!</v>
      </c>
      <c r="D517" s="74" t="e">
        <f t="shared" si="71"/>
        <v>#VALUE!</v>
      </c>
      <c r="E517" s="25" t="e">
        <f t="shared" si="72"/>
        <v>#VALUE!</v>
      </c>
      <c r="F517" s="25" t="e">
        <f t="shared" ca="1" si="73"/>
        <v>#VALUE!</v>
      </c>
      <c r="G517" s="25"/>
      <c r="H517" s="25" t="e">
        <f t="shared" si="77"/>
        <v>#VALUE!</v>
      </c>
      <c r="I517" s="25">
        <f t="shared" si="74"/>
        <v>2.9999999999892779</v>
      </c>
      <c r="J517" s="25" t="e">
        <f t="shared" si="75"/>
        <v>#VALUE!</v>
      </c>
    </row>
    <row r="518" spans="1:10" x14ac:dyDescent="0.25">
      <c r="A518" s="25">
        <f t="shared" si="76"/>
        <v>-4.9600000000001074</v>
      </c>
      <c r="B518" s="25">
        <f t="shared" ca="1" si="69"/>
        <v>0.12911470217265983</v>
      </c>
      <c r="C518" s="25" t="e">
        <f t="shared" si="70"/>
        <v>#VALUE!</v>
      </c>
      <c r="D518" s="74" t="e">
        <f t="shared" si="71"/>
        <v>#VALUE!</v>
      </c>
      <c r="E518" s="25" t="e">
        <f t="shared" si="72"/>
        <v>#VALUE!</v>
      </c>
      <c r="F518" s="25" t="e">
        <f t="shared" ca="1" si="73"/>
        <v>#VALUE!</v>
      </c>
      <c r="G518" s="25"/>
      <c r="H518" s="25" t="e">
        <f t="shared" si="77"/>
        <v>#VALUE!</v>
      </c>
      <c r="I518" s="25">
        <f t="shared" si="74"/>
        <v>3.9999999999892566</v>
      </c>
      <c r="J518" s="25" t="e">
        <f t="shared" si="75"/>
        <v>#VALUE!</v>
      </c>
    </row>
    <row r="519" spans="1:10" x14ac:dyDescent="0.25">
      <c r="A519" s="25">
        <f t="shared" si="76"/>
        <v>-4.9500000000001076</v>
      </c>
      <c r="B519" s="25">
        <f t="shared" ca="1" si="69"/>
        <v>-1.590739066422428E-2</v>
      </c>
      <c r="C519" s="25" t="e">
        <f t="shared" si="70"/>
        <v>#VALUE!</v>
      </c>
      <c r="D519" s="74" t="e">
        <f t="shared" si="71"/>
        <v>#VALUE!</v>
      </c>
      <c r="E519" s="25" t="e">
        <f t="shared" si="72"/>
        <v>#VALUE!</v>
      </c>
      <c r="F519" s="25" t="e">
        <f t="shared" ca="1" si="73"/>
        <v>#VALUE!</v>
      </c>
      <c r="G519" s="25"/>
      <c r="H519" s="25" t="e">
        <f t="shared" si="77"/>
        <v>#VALUE!</v>
      </c>
      <c r="I519" s="25">
        <f t="shared" si="74"/>
        <v>4.9999999999892353</v>
      </c>
      <c r="J519" s="25" t="e">
        <f t="shared" si="75"/>
        <v>#VALUE!</v>
      </c>
    </row>
    <row r="520" spans="1:10" x14ac:dyDescent="0.25">
      <c r="A520" s="25">
        <f t="shared" si="76"/>
        <v>-4.9400000000001079</v>
      </c>
      <c r="B520" s="25">
        <f t="shared" ca="1" si="69"/>
        <v>7.1320835665369425E-2</v>
      </c>
      <c r="C520" s="25" t="e">
        <f t="shared" si="70"/>
        <v>#VALUE!</v>
      </c>
      <c r="D520" s="74" t="e">
        <f t="shared" si="71"/>
        <v>#VALUE!</v>
      </c>
      <c r="E520" s="25" t="e">
        <f t="shared" si="72"/>
        <v>#VALUE!</v>
      </c>
      <c r="F520" s="25" t="e">
        <f t="shared" ca="1" si="73"/>
        <v>#VALUE!</v>
      </c>
      <c r="G520" s="25"/>
      <c r="H520" s="25" t="e">
        <f t="shared" si="77"/>
        <v>#VALUE!</v>
      </c>
      <c r="I520" s="25">
        <f t="shared" si="74"/>
        <v>5.999999999989214</v>
      </c>
      <c r="J520" s="25" t="e">
        <f t="shared" si="75"/>
        <v>#VALUE!</v>
      </c>
    </row>
    <row r="521" spans="1:10" x14ac:dyDescent="0.25">
      <c r="A521" s="25">
        <f t="shared" si="76"/>
        <v>-4.9300000000001081</v>
      </c>
      <c r="B521" s="25">
        <f t="shared" ca="1" si="69"/>
        <v>-0.19100698548352293</v>
      </c>
      <c r="C521" s="25" t="e">
        <f t="shared" si="70"/>
        <v>#VALUE!</v>
      </c>
      <c r="D521" s="74" t="e">
        <f t="shared" si="71"/>
        <v>#VALUE!</v>
      </c>
      <c r="E521" s="25" t="e">
        <f t="shared" si="72"/>
        <v>#VALUE!</v>
      </c>
      <c r="F521" s="25" t="e">
        <f t="shared" ca="1" si="73"/>
        <v>#VALUE!</v>
      </c>
      <c r="G521" s="25"/>
      <c r="H521" s="25" t="e">
        <f t="shared" si="77"/>
        <v>#VALUE!</v>
      </c>
      <c r="I521" s="25">
        <f t="shared" si="74"/>
        <v>6.9999999999891926</v>
      </c>
      <c r="J521" s="25" t="e">
        <f t="shared" si="75"/>
        <v>#VALUE!</v>
      </c>
    </row>
    <row r="522" spans="1:10" x14ac:dyDescent="0.25">
      <c r="A522" s="25">
        <f t="shared" si="76"/>
        <v>-4.9200000000001083</v>
      </c>
      <c r="B522" s="25">
        <f t="shared" ca="1" si="69"/>
        <v>0.11022723042644926</v>
      </c>
      <c r="C522" s="25" t="e">
        <f t="shared" si="70"/>
        <v>#VALUE!</v>
      </c>
      <c r="D522" s="74" t="e">
        <f t="shared" si="71"/>
        <v>#VALUE!</v>
      </c>
      <c r="E522" s="25" t="e">
        <f t="shared" si="72"/>
        <v>#VALUE!</v>
      </c>
      <c r="F522" s="25" t="e">
        <f t="shared" ca="1" si="73"/>
        <v>#VALUE!</v>
      </c>
      <c r="G522" s="25"/>
      <c r="H522" s="25" t="e">
        <f t="shared" si="77"/>
        <v>#VALUE!</v>
      </c>
      <c r="I522" s="25">
        <f t="shared" si="74"/>
        <v>7.9999999999891713</v>
      </c>
      <c r="J522" s="25" t="e">
        <f t="shared" si="75"/>
        <v>#VALUE!</v>
      </c>
    </row>
    <row r="523" spans="1:10" x14ac:dyDescent="0.25">
      <c r="A523" s="25">
        <f t="shared" si="76"/>
        <v>-4.9100000000001085</v>
      </c>
      <c r="B523" s="25">
        <f t="shared" ca="1" si="69"/>
        <v>8.0954684747426536E-2</v>
      </c>
      <c r="C523" s="25" t="e">
        <f t="shared" si="70"/>
        <v>#VALUE!</v>
      </c>
      <c r="D523" s="74" t="e">
        <f t="shared" si="71"/>
        <v>#VALUE!</v>
      </c>
      <c r="E523" s="25" t="e">
        <f t="shared" si="72"/>
        <v>#VALUE!</v>
      </c>
      <c r="F523" s="25" t="e">
        <f t="shared" ca="1" si="73"/>
        <v>#VALUE!</v>
      </c>
      <c r="G523" s="25"/>
      <c r="H523" s="25" t="e">
        <f t="shared" si="77"/>
        <v>#VALUE!</v>
      </c>
      <c r="I523" s="25">
        <f t="shared" si="74"/>
        <v>8.99999999998915</v>
      </c>
      <c r="J523" s="25" t="e">
        <f t="shared" si="75"/>
        <v>#VALUE!</v>
      </c>
    </row>
    <row r="524" spans="1:10" x14ac:dyDescent="0.25">
      <c r="A524" s="25">
        <f t="shared" si="76"/>
        <v>-4.9000000000001087</v>
      </c>
      <c r="B524" s="25">
        <f t="shared" ca="1" si="69"/>
        <v>7.0026482599980483E-2</v>
      </c>
      <c r="C524" s="25" t="e">
        <f t="shared" si="70"/>
        <v>#VALUE!</v>
      </c>
      <c r="D524" s="74" t="e">
        <f t="shared" si="71"/>
        <v>#VALUE!</v>
      </c>
      <c r="E524" s="25" t="e">
        <f t="shared" si="72"/>
        <v>#VALUE!</v>
      </c>
      <c r="F524" s="25" t="e">
        <f t="shared" ca="1" si="73"/>
        <v>#VALUE!</v>
      </c>
      <c r="G524" s="25"/>
      <c r="H524" s="25" t="e">
        <f t="shared" si="77"/>
        <v>#VALUE!</v>
      </c>
      <c r="I524" s="25">
        <f t="shared" si="74"/>
        <v>9.9999999999891287</v>
      </c>
      <c r="J524" s="25" t="e">
        <f t="shared" si="75"/>
        <v>#VALUE!</v>
      </c>
    </row>
    <row r="525" spans="1:10" x14ac:dyDescent="0.25">
      <c r="A525" s="25">
        <f t="shared" si="76"/>
        <v>-4.8900000000001089</v>
      </c>
      <c r="B525" s="25">
        <f t="shared" ca="1" si="69"/>
        <v>-0.13868234445253588</v>
      </c>
      <c r="C525" s="25" t="e">
        <f t="shared" si="70"/>
        <v>#VALUE!</v>
      </c>
      <c r="D525" s="74" t="e">
        <f t="shared" si="71"/>
        <v>#VALUE!</v>
      </c>
      <c r="E525" s="25" t="e">
        <f t="shared" si="72"/>
        <v>#VALUE!</v>
      </c>
      <c r="F525" s="25" t="e">
        <f t="shared" ca="1" si="73"/>
        <v>#VALUE!</v>
      </c>
      <c r="G525" s="25"/>
      <c r="H525" s="25" t="e">
        <f t="shared" si="77"/>
        <v>#VALUE!</v>
      </c>
      <c r="I525" s="25">
        <f t="shared" si="74"/>
        <v>10.999999999989107</v>
      </c>
      <c r="J525" s="25" t="e">
        <f t="shared" si="75"/>
        <v>#VALUE!</v>
      </c>
    </row>
    <row r="526" spans="1:10" x14ac:dyDescent="0.25">
      <c r="A526" s="25">
        <f t="shared" si="76"/>
        <v>-4.8800000000001091</v>
      </c>
      <c r="B526" s="25">
        <f t="shared" ref="B526:B589" ca="1" si="78">(RAND()-0.5-$B$7)/$B$5</f>
        <v>7.9477324180140599E-2</v>
      </c>
      <c r="C526" s="25" t="e">
        <f t="shared" ref="C526:C589" si="79">IF(ABS(A526)&lt;=($D$3/2),1,IF(ABS(A526)&lt;=($B$4/2),IF(A526&gt;0,A526*(4/(1-2*$B$4))+(2*$B$4/(2*$B$4-1)),(-A526*(4/(1-2*$B$4))+(2*$B$4/(2*$B$4-1)))),0))</f>
        <v>#VALUE!</v>
      </c>
      <c r="D526" s="74" t="e">
        <f t="shared" ref="D526:D589" si="80">IF(ABS(A526)&lt;=($D$3/4+$B$4/4),1,IF(ABS(A526)&lt;=($B$4/2),(IF(A526&gt;0,A526*(8/(1-2*$B$4))+(4*$B$4)/(2*$B$4-1),(-A526*(8/(1-2*$B$4))+(4*$B$4)/(2*$B$4-1)))),0))</f>
        <v>#VALUE!</v>
      </c>
      <c r="E526" s="25" t="e">
        <f t="shared" ref="E526:E589" si="81">IF(ABS(A526)&lt;($B$4/2), 1, 0)</f>
        <v>#VALUE!</v>
      </c>
      <c r="F526" s="25" t="e">
        <f t="shared" ref="F526:F589" ca="1" si="82">C526+B526</f>
        <v>#VALUE!</v>
      </c>
      <c r="G526" s="25"/>
      <c r="H526" s="25" t="e">
        <f t="shared" si="77"/>
        <v>#VALUE!</v>
      </c>
      <c r="I526" s="25">
        <f t="shared" ref="I526:I589" si="83">$I$3*(A526-$G$3)/($H$3-$G$3)</f>
        <v>11.999999999989086</v>
      </c>
      <c r="J526" s="25" t="e">
        <f t="shared" ref="J526:J589" si="84">H526</f>
        <v>#VALUE!</v>
      </c>
    </row>
    <row r="527" spans="1:10" x14ac:dyDescent="0.25">
      <c r="A527" s="25">
        <f t="shared" ref="A527:A590" si="85">A526+0.01</f>
        <v>-4.8700000000001094</v>
      </c>
      <c r="B527" s="25">
        <f t="shared" ca="1" si="78"/>
        <v>-0.11415517175707419</v>
      </c>
      <c r="C527" s="25" t="e">
        <f t="shared" si="79"/>
        <v>#VALUE!</v>
      </c>
      <c r="D527" s="74" t="e">
        <f t="shared" si="80"/>
        <v>#VALUE!</v>
      </c>
      <c r="E527" s="25" t="e">
        <f t="shared" si="81"/>
        <v>#VALUE!</v>
      </c>
      <c r="F527" s="25" t="e">
        <f t="shared" ca="1" si="82"/>
        <v>#VALUE!</v>
      </c>
      <c r="G527" s="25"/>
      <c r="H527" s="25" t="e">
        <f t="shared" si="77"/>
        <v>#VALUE!</v>
      </c>
      <c r="I527" s="25">
        <f t="shared" si="83"/>
        <v>12.999999999989063</v>
      </c>
      <c r="J527" s="25" t="e">
        <f t="shared" si="84"/>
        <v>#VALUE!</v>
      </c>
    </row>
    <row r="528" spans="1:10" x14ac:dyDescent="0.25">
      <c r="A528" s="25">
        <f t="shared" si="85"/>
        <v>-4.8600000000001096</v>
      </c>
      <c r="B528" s="25">
        <f t="shared" ca="1" si="78"/>
        <v>-0.15873832443301747</v>
      </c>
      <c r="C528" s="25" t="e">
        <f t="shared" si="79"/>
        <v>#VALUE!</v>
      </c>
      <c r="D528" s="74" t="e">
        <f t="shared" si="80"/>
        <v>#VALUE!</v>
      </c>
      <c r="E528" s="25" t="e">
        <f t="shared" si="81"/>
        <v>#VALUE!</v>
      </c>
      <c r="F528" s="25" t="e">
        <f t="shared" ca="1" si="82"/>
        <v>#VALUE!</v>
      </c>
      <c r="G528" s="25"/>
      <c r="H528" s="25" t="e">
        <f t="shared" si="77"/>
        <v>#VALUE!</v>
      </c>
      <c r="I528" s="25">
        <f t="shared" si="83"/>
        <v>13.999999999989043</v>
      </c>
      <c r="J528" s="25" t="e">
        <f t="shared" si="84"/>
        <v>#VALUE!</v>
      </c>
    </row>
    <row r="529" spans="1:10" x14ac:dyDescent="0.25">
      <c r="A529" s="25">
        <f t="shared" si="85"/>
        <v>-4.8500000000001098</v>
      </c>
      <c r="B529" s="25">
        <f t="shared" ca="1" si="78"/>
        <v>6.042501705304721E-2</v>
      </c>
      <c r="C529" s="25" t="e">
        <f t="shared" si="79"/>
        <v>#VALUE!</v>
      </c>
      <c r="D529" s="74" t="e">
        <f t="shared" si="80"/>
        <v>#VALUE!</v>
      </c>
      <c r="E529" s="25" t="e">
        <f t="shared" si="81"/>
        <v>#VALUE!</v>
      </c>
      <c r="F529" s="25" t="e">
        <f t="shared" ca="1" si="82"/>
        <v>#VALUE!</v>
      </c>
      <c r="G529" s="25"/>
      <c r="H529" s="25" t="e">
        <f t="shared" si="77"/>
        <v>#VALUE!</v>
      </c>
      <c r="I529" s="25">
        <f t="shared" si="83"/>
        <v>14.999999999989024</v>
      </c>
      <c r="J529" s="25" t="e">
        <f t="shared" si="84"/>
        <v>#VALUE!</v>
      </c>
    </row>
    <row r="530" spans="1:10" x14ac:dyDescent="0.25">
      <c r="A530" s="25">
        <f t="shared" si="85"/>
        <v>-4.84000000000011</v>
      </c>
      <c r="B530" s="25">
        <f t="shared" ca="1" si="78"/>
        <v>0.10184785369980805</v>
      </c>
      <c r="C530" s="25" t="e">
        <f t="shared" si="79"/>
        <v>#VALUE!</v>
      </c>
      <c r="D530" s="74" t="e">
        <f t="shared" si="80"/>
        <v>#VALUE!</v>
      </c>
      <c r="E530" s="25" t="e">
        <f t="shared" si="81"/>
        <v>#VALUE!</v>
      </c>
      <c r="F530" s="25" t="e">
        <f t="shared" ca="1" si="82"/>
        <v>#VALUE!</v>
      </c>
      <c r="G530" s="25"/>
      <c r="H530" s="25" t="e">
        <f t="shared" si="77"/>
        <v>#VALUE!</v>
      </c>
      <c r="I530" s="25">
        <f t="shared" si="83"/>
        <v>15.999999999989001</v>
      </c>
      <c r="J530" s="25" t="e">
        <f t="shared" si="84"/>
        <v>#VALUE!</v>
      </c>
    </row>
    <row r="531" spans="1:10" x14ac:dyDescent="0.25">
      <c r="A531" s="25">
        <f t="shared" si="85"/>
        <v>-4.8300000000001102</v>
      </c>
      <c r="B531" s="25">
        <f t="shared" ca="1" si="78"/>
        <v>-2.5272085427137936E-3</v>
      </c>
      <c r="C531" s="25" t="e">
        <f t="shared" si="79"/>
        <v>#VALUE!</v>
      </c>
      <c r="D531" s="74" t="e">
        <f t="shared" si="80"/>
        <v>#VALUE!</v>
      </c>
      <c r="E531" s="25" t="e">
        <f t="shared" si="81"/>
        <v>#VALUE!</v>
      </c>
      <c r="F531" s="25" t="e">
        <f t="shared" ca="1" si="82"/>
        <v>#VALUE!</v>
      </c>
      <c r="G531" s="25"/>
      <c r="H531" s="25" t="e">
        <f t="shared" si="77"/>
        <v>#VALUE!</v>
      </c>
      <c r="I531" s="25">
        <f t="shared" si="83"/>
        <v>16.999999999988979</v>
      </c>
      <c r="J531" s="25" t="e">
        <f t="shared" si="84"/>
        <v>#VALUE!</v>
      </c>
    </row>
    <row r="532" spans="1:10" x14ac:dyDescent="0.25">
      <c r="A532" s="25">
        <f t="shared" si="85"/>
        <v>-4.8200000000001104</v>
      </c>
      <c r="B532" s="25">
        <f t="shared" ca="1" si="78"/>
        <v>-0.17691724741877027</v>
      </c>
      <c r="C532" s="25" t="e">
        <f t="shared" si="79"/>
        <v>#VALUE!</v>
      </c>
      <c r="D532" s="74" t="e">
        <f t="shared" si="80"/>
        <v>#VALUE!</v>
      </c>
      <c r="E532" s="25" t="e">
        <f t="shared" si="81"/>
        <v>#VALUE!</v>
      </c>
      <c r="F532" s="25" t="e">
        <f t="shared" ca="1" si="82"/>
        <v>#VALUE!</v>
      </c>
      <c r="G532" s="25"/>
      <c r="H532" s="25" t="e">
        <f t="shared" si="77"/>
        <v>#VALUE!</v>
      </c>
      <c r="I532" s="25">
        <f t="shared" si="83"/>
        <v>17.999999999988958</v>
      </c>
      <c r="J532" s="25" t="e">
        <f t="shared" si="84"/>
        <v>#VALUE!</v>
      </c>
    </row>
    <row r="533" spans="1:10" x14ac:dyDescent="0.25">
      <c r="A533" s="25">
        <f t="shared" si="85"/>
        <v>-4.8100000000001106</v>
      </c>
      <c r="B533" s="25">
        <f t="shared" ca="1" si="78"/>
        <v>-4.5804073630356407E-2</v>
      </c>
      <c r="C533" s="25" t="e">
        <f t="shared" si="79"/>
        <v>#VALUE!</v>
      </c>
      <c r="D533" s="74" t="e">
        <f t="shared" si="80"/>
        <v>#VALUE!</v>
      </c>
      <c r="E533" s="25" t="e">
        <f t="shared" si="81"/>
        <v>#VALUE!</v>
      </c>
      <c r="F533" s="25" t="e">
        <f t="shared" ca="1" si="82"/>
        <v>#VALUE!</v>
      </c>
      <c r="G533" s="25"/>
      <c r="H533" s="25" t="e">
        <f t="shared" si="77"/>
        <v>#VALUE!</v>
      </c>
      <c r="I533" s="25">
        <f t="shared" si="83"/>
        <v>18.999999999988937</v>
      </c>
      <c r="J533" s="25" t="e">
        <f t="shared" si="84"/>
        <v>#VALUE!</v>
      </c>
    </row>
    <row r="534" spans="1:10" x14ac:dyDescent="0.25">
      <c r="A534" s="25">
        <f t="shared" si="85"/>
        <v>-4.8000000000001108</v>
      </c>
      <c r="B534" s="25">
        <f t="shared" ca="1" si="78"/>
        <v>6.8737446347863787E-2</v>
      </c>
      <c r="C534" s="25" t="e">
        <f t="shared" si="79"/>
        <v>#VALUE!</v>
      </c>
      <c r="D534" s="74" t="e">
        <f t="shared" si="80"/>
        <v>#VALUE!</v>
      </c>
      <c r="E534" s="25" t="e">
        <f t="shared" si="81"/>
        <v>#VALUE!</v>
      </c>
      <c r="F534" s="25" t="e">
        <f t="shared" ca="1" si="82"/>
        <v>#VALUE!</v>
      </c>
      <c r="G534" s="25"/>
      <c r="H534" s="25" t="e">
        <f t="shared" si="77"/>
        <v>#VALUE!</v>
      </c>
      <c r="I534" s="25">
        <f t="shared" si="83"/>
        <v>19.999999999988916</v>
      </c>
      <c r="J534" s="25" t="e">
        <f t="shared" si="84"/>
        <v>#VALUE!</v>
      </c>
    </row>
    <row r="535" spans="1:10" x14ac:dyDescent="0.25">
      <c r="A535" s="25">
        <f t="shared" si="85"/>
        <v>-4.7900000000001111</v>
      </c>
      <c r="B535" s="25">
        <f t="shared" ca="1" si="78"/>
        <v>-0.13539969977107916</v>
      </c>
      <c r="C535" s="25" t="e">
        <f t="shared" si="79"/>
        <v>#VALUE!</v>
      </c>
      <c r="D535" s="74" t="e">
        <f t="shared" si="80"/>
        <v>#VALUE!</v>
      </c>
      <c r="E535" s="25" t="e">
        <f t="shared" si="81"/>
        <v>#VALUE!</v>
      </c>
      <c r="F535" s="25" t="e">
        <f t="shared" ca="1" si="82"/>
        <v>#VALUE!</v>
      </c>
      <c r="G535" s="25"/>
      <c r="H535" s="25" t="e">
        <f t="shared" si="77"/>
        <v>#VALUE!</v>
      </c>
      <c r="I535" s="25">
        <f t="shared" si="83"/>
        <v>20.999999999988894</v>
      </c>
      <c r="J535" s="25" t="e">
        <f t="shared" si="84"/>
        <v>#VALUE!</v>
      </c>
    </row>
    <row r="536" spans="1:10" x14ac:dyDescent="0.25">
      <c r="A536" s="25">
        <f t="shared" si="85"/>
        <v>-4.7800000000001113</v>
      </c>
      <c r="B536" s="25">
        <f t="shared" ca="1" si="78"/>
        <v>1.1759935743902874E-2</v>
      </c>
      <c r="C536" s="25" t="e">
        <f t="shared" si="79"/>
        <v>#VALUE!</v>
      </c>
      <c r="D536" s="74" t="e">
        <f t="shared" si="80"/>
        <v>#VALUE!</v>
      </c>
      <c r="E536" s="25" t="e">
        <f t="shared" si="81"/>
        <v>#VALUE!</v>
      </c>
      <c r="F536" s="25" t="e">
        <f t="shared" ca="1" si="82"/>
        <v>#VALUE!</v>
      </c>
      <c r="G536" s="25"/>
      <c r="H536" s="25" t="e">
        <f t="shared" si="77"/>
        <v>#VALUE!</v>
      </c>
      <c r="I536" s="25">
        <f t="shared" si="83"/>
        <v>21.999999999988873</v>
      </c>
      <c r="J536" s="25" t="e">
        <f t="shared" si="84"/>
        <v>#VALUE!</v>
      </c>
    </row>
    <row r="537" spans="1:10" x14ac:dyDescent="0.25">
      <c r="A537" s="25">
        <f t="shared" si="85"/>
        <v>-4.7700000000001115</v>
      </c>
      <c r="B537" s="25">
        <f t="shared" ca="1" si="78"/>
        <v>-4.4581361771916267E-2</v>
      </c>
      <c r="C537" s="25" t="e">
        <f t="shared" si="79"/>
        <v>#VALUE!</v>
      </c>
      <c r="D537" s="74" t="e">
        <f t="shared" si="80"/>
        <v>#VALUE!</v>
      </c>
      <c r="E537" s="25" t="e">
        <f t="shared" si="81"/>
        <v>#VALUE!</v>
      </c>
      <c r="F537" s="25" t="e">
        <f t="shared" ca="1" si="82"/>
        <v>#VALUE!</v>
      </c>
      <c r="G537" s="25"/>
      <c r="H537" s="25" t="e">
        <f t="shared" si="77"/>
        <v>#VALUE!</v>
      </c>
      <c r="I537" s="25">
        <f t="shared" si="83"/>
        <v>22.999999999988852</v>
      </c>
      <c r="J537" s="25" t="e">
        <f t="shared" si="84"/>
        <v>#VALUE!</v>
      </c>
    </row>
    <row r="538" spans="1:10" x14ac:dyDescent="0.25">
      <c r="A538" s="25">
        <f t="shared" si="85"/>
        <v>-4.7600000000001117</v>
      </c>
      <c r="B538" s="25">
        <f t="shared" ca="1" si="78"/>
        <v>6.3276310297122842E-2</v>
      </c>
      <c r="C538" s="25" t="e">
        <f t="shared" si="79"/>
        <v>#VALUE!</v>
      </c>
      <c r="D538" s="74" t="e">
        <f t="shared" si="80"/>
        <v>#VALUE!</v>
      </c>
      <c r="E538" s="25" t="e">
        <f t="shared" si="81"/>
        <v>#VALUE!</v>
      </c>
      <c r="F538" s="25" t="e">
        <f t="shared" ca="1" si="82"/>
        <v>#VALUE!</v>
      </c>
      <c r="G538" s="25"/>
      <c r="H538" s="25" t="e">
        <f t="shared" si="77"/>
        <v>#VALUE!</v>
      </c>
      <c r="I538" s="25">
        <f t="shared" si="83"/>
        <v>23.99999999998883</v>
      </c>
      <c r="J538" s="25" t="e">
        <f t="shared" si="84"/>
        <v>#VALUE!</v>
      </c>
    </row>
    <row r="539" spans="1:10" x14ac:dyDescent="0.25">
      <c r="A539" s="25">
        <f t="shared" si="85"/>
        <v>-4.7500000000001119</v>
      </c>
      <c r="B539" s="25">
        <f t="shared" ca="1" si="78"/>
        <v>-0.16917187180094698</v>
      </c>
      <c r="C539" s="25" t="e">
        <f t="shared" si="79"/>
        <v>#VALUE!</v>
      </c>
      <c r="D539" s="74" t="e">
        <f t="shared" si="80"/>
        <v>#VALUE!</v>
      </c>
      <c r="E539" s="25" t="e">
        <f t="shared" si="81"/>
        <v>#VALUE!</v>
      </c>
      <c r="F539" s="25" t="e">
        <f t="shared" ca="1" si="82"/>
        <v>#VALUE!</v>
      </c>
      <c r="G539" s="25"/>
      <c r="H539" s="25" t="e">
        <f t="shared" si="77"/>
        <v>#VALUE!</v>
      </c>
      <c r="I539" s="25">
        <f t="shared" si="83"/>
        <v>24.999999999988809</v>
      </c>
      <c r="J539" s="25" t="e">
        <f t="shared" si="84"/>
        <v>#VALUE!</v>
      </c>
    </row>
    <row r="540" spans="1:10" x14ac:dyDescent="0.25">
      <c r="A540" s="25">
        <f t="shared" si="85"/>
        <v>-4.7400000000001121</v>
      </c>
      <c r="B540" s="25">
        <f t="shared" ca="1" si="78"/>
        <v>-3.2793378124658219E-2</v>
      </c>
      <c r="C540" s="25" t="e">
        <f t="shared" si="79"/>
        <v>#VALUE!</v>
      </c>
      <c r="D540" s="74" t="e">
        <f t="shared" si="80"/>
        <v>#VALUE!</v>
      </c>
      <c r="E540" s="25" t="e">
        <f t="shared" si="81"/>
        <v>#VALUE!</v>
      </c>
      <c r="F540" s="25" t="e">
        <f t="shared" ca="1" si="82"/>
        <v>#VALUE!</v>
      </c>
      <c r="G540" s="25"/>
      <c r="H540" s="25" t="e">
        <f t="shared" si="77"/>
        <v>#VALUE!</v>
      </c>
      <c r="I540" s="25">
        <f t="shared" si="83"/>
        <v>25.999999999988791</v>
      </c>
      <c r="J540" s="25" t="e">
        <f t="shared" si="84"/>
        <v>#VALUE!</v>
      </c>
    </row>
    <row r="541" spans="1:10" x14ac:dyDescent="0.25">
      <c r="A541" s="25">
        <f t="shared" si="85"/>
        <v>-4.7300000000001123</v>
      </c>
      <c r="B541" s="25">
        <f t="shared" ca="1" si="78"/>
        <v>-0.14475652002460737</v>
      </c>
      <c r="C541" s="25" t="e">
        <f t="shared" si="79"/>
        <v>#VALUE!</v>
      </c>
      <c r="D541" s="74" t="e">
        <f t="shared" si="80"/>
        <v>#VALUE!</v>
      </c>
      <c r="E541" s="25" t="e">
        <f t="shared" si="81"/>
        <v>#VALUE!</v>
      </c>
      <c r="F541" s="25" t="e">
        <f t="shared" ca="1" si="82"/>
        <v>#VALUE!</v>
      </c>
      <c r="G541" s="25"/>
      <c r="H541" s="25" t="e">
        <f t="shared" si="77"/>
        <v>#VALUE!</v>
      </c>
      <c r="I541" s="25">
        <f t="shared" si="83"/>
        <v>26.999999999988766</v>
      </c>
      <c r="J541" s="25" t="e">
        <f t="shared" si="84"/>
        <v>#VALUE!</v>
      </c>
    </row>
    <row r="542" spans="1:10" x14ac:dyDescent="0.25">
      <c r="A542" s="25">
        <f t="shared" si="85"/>
        <v>-4.7200000000001125</v>
      </c>
      <c r="B542" s="25">
        <f t="shared" ca="1" si="78"/>
        <v>2.7684631374497271E-2</v>
      </c>
      <c r="C542" s="25" t="e">
        <f t="shared" si="79"/>
        <v>#VALUE!</v>
      </c>
      <c r="D542" s="74" t="e">
        <f t="shared" si="80"/>
        <v>#VALUE!</v>
      </c>
      <c r="E542" s="25" t="e">
        <f t="shared" si="81"/>
        <v>#VALUE!</v>
      </c>
      <c r="F542" s="25" t="e">
        <f t="shared" ca="1" si="82"/>
        <v>#VALUE!</v>
      </c>
      <c r="G542" s="25"/>
      <c r="H542" s="25" t="e">
        <f t="shared" ref="H542:H605" si="86">IF(PeakShape=$O$3,C542,IF(PeakShape=O544,D542,E542))</f>
        <v>#VALUE!</v>
      </c>
      <c r="I542" s="25">
        <f t="shared" si="83"/>
        <v>27.999999999988745</v>
      </c>
      <c r="J542" s="25" t="e">
        <f t="shared" si="84"/>
        <v>#VALUE!</v>
      </c>
    </row>
    <row r="543" spans="1:10" x14ac:dyDescent="0.25">
      <c r="A543" s="25">
        <f t="shared" si="85"/>
        <v>-4.7100000000001128</v>
      </c>
      <c r="B543" s="25">
        <f t="shared" ca="1" si="78"/>
        <v>1.8386346754809019E-2</v>
      </c>
      <c r="C543" s="25" t="e">
        <f t="shared" si="79"/>
        <v>#VALUE!</v>
      </c>
      <c r="D543" s="74" t="e">
        <f t="shared" si="80"/>
        <v>#VALUE!</v>
      </c>
      <c r="E543" s="25" t="e">
        <f t="shared" si="81"/>
        <v>#VALUE!</v>
      </c>
      <c r="F543" s="25" t="e">
        <f t="shared" ca="1" si="82"/>
        <v>#VALUE!</v>
      </c>
      <c r="G543" s="25"/>
      <c r="H543" s="25" t="e">
        <f t="shared" si="86"/>
        <v>#VALUE!</v>
      </c>
      <c r="I543" s="25">
        <f t="shared" si="83"/>
        <v>28.999999999988724</v>
      </c>
      <c r="J543" s="25" t="e">
        <f t="shared" si="84"/>
        <v>#VALUE!</v>
      </c>
    </row>
    <row r="544" spans="1:10" x14ac:dyDescent="0.25">
      <c r="A544" s="25">
        <f t="shared" si="85"/>
        <v>-4.700000000000113</v>
      </c>
      <c r="B544" s="25">
        <f t="shared" ca="1" si="78"/>
        <v>1.8228425339033894E-2</v>
      </c>
      <c r="C544" s="25" t="e">
        <f t="shared" si="79"/>
        <v>#VALUE!</v>
      </c>
      <c r="D544" s="74" t="e">
        <f t="shared" si="80"/>
        <v>#VALUE!</v>
      </c>
      <c r="E544" s="25" t="e">
        <f t="shared" si="81"/>
        <v>#VALUE!</v>
      </c>
      <c r="F544" s="25" t="e">
        <f t="shared" ca="1" si="82"/>
        <v>#VALUE!</v>
      </c>
      <c r="G544" s="25"/>
      <c r="H544" s="25" t="e">
        <f t="shared" si="86"/>
        <v>#VALUE!</v>
      </c>
      <c r="I544" s="25">
        <f t="shared" si="83"/>
        <v>29.999999999988699</v>
      </c>
      <c r="J544" s="25" t="e">
        <f t="shared" si="84"/>
        <v>#VALUE!</v>
      </c>
    </row>
    <row r="545" spans="1:10" x14ac:dyDescent="0.25">
      <c r="A545" s="25">
        <f t="shared" si="85"/>
        <v>-4.6900000000001132</v>
      </c>
      <c r="B545" s="25">
        <f t="shared" ca="1" si="78"/>
        <v>5.906675059698225E-2</v>
      </c>
      <c r="C545" s="25" t="e">
        <f t="shared" si="79"/>
        <v>#VALUE!</v>
      </c>
      <c r="D545" s="74" t="e">
        <f t="shared" si="80"/>
        <v>#VALUE!</v>
      </c>
      <c r="E545" s="25" t="e">
        <f t="shared" si="81"/>
        <v>#VALUE!</v>
      </c>
      <c r="F545" s="25" t="e">
        <f t="shared" ca="1" si="82"/>
        <v>#VALUE!</v>
      </c>
      <c r="G545" s="25"/>
      <c r="H545" s="25" t="e">
        <f t="shared" si="86"/>
        <v>#VALUE!</v>
      </c>
      <c r="I545" s="25">
        <f t="shared" si="83"/>
        <v>30.999999999988681</v>
      </c>
      <c r="J545" s="25" t="e">
        <f t="shared" si="84"/>
        <v>#VALUE!</v>
      </c>
    </row>
    <row r="546" spans="1:10" x14ac:dyDescent="0.25">
      <c r="A546" s="25">
        <f t="shared" si="85"/>
        <v>-4.6800000000001134</v>
      </c>
      <c r="B546" s="25">
        <f t="shared" ca="1" si="78"/>
        <v>-7.7979355415920062E-2</v>
      </c>
      <c r="C546" s="25" t="e">
        <f t="shared" si="79"/>
        <v>#VALUE!</v>
      </c>
      <c r="D546" s="74" t="e">
        <f t="shared" si="80"/>
        <v>#VALUE!</v>
      </c>
      <c r="E546" s="25" t="e">
        <f t="shared" si="81"/>
        <v>#VALUE!</v>
      </c>
      <c r="F546" s="25" t="e">
        <f t="shared" ca="1" si="82"/>
        <v>#VALUE!</v>
      </c>
      <c r="G546" s="25"/>
      <c r="H546" s="25" t="e">
        <f t="shared" si="86"/>
        <v>#VALUE!</v>
      </c>
      <c r="I546" s="25">
        <f t="shared" si="83"/>
        <v>31.99999999998866</v>
      </c>
      <c r="J546" s="25" t="e">
        <f t="shared" si="84"/>
        <v>#VALUE!</v>
      </c>
    </row>
    <row r="547" spans="1:10" x14ac:dyDescent="0.25">
      <c r="A547" s="25">
        <f t="shared" si="85"/>
        <v>-4.6700000000001136</v>
      </c>
      <c r="B547" s="25">
        <f t="shared" ca="1" si="78"/>
        <v>-0.1340655123965879</v>
      </c>
      <c r="C547" s="25" t="e">
        <f t="shared" si="79"/>
        <v>#VALUE!</v>
      </c>
      <c r="D547" s="74" t="e">
        <f t="shared" si="80"/>
        <v>#VALUE!</v>
      </c>
      <c r="E547" s="25" t="e">
        <f t="shared" si="81"/>
        <v>#VALUE!</v>
      </c>
      <c r="F547" s="25" t="e">
        <f t="shared" ca="1" si="82"/>
        <v>#VALUE!</v>
      </c>
      <c r="G547" s="25"/>
      <c r="H547" s="25" t="e">
        <f t="shared" si="86"/>
        <v>#VALUE!</v>
      </c>
      <c r="I547" s="25">
        <f t="shared" si="83"/>
        <v>32.999999999988638</v>
      </c>
      <c r="J547" s="25" t="e">
        <f t="shared" si="84"/>
        <v>#VALUE!</v>
      </c>
    </row>
    <row r="548" spans="1:10" x14ac:dyDescent="0.25">
      <c r="A548" s="25">
        <f t="shared" si="85"/>
        <v>-4.6600000000001138</v>
      </c>
      <c r="B548" s="25">
        <f t="shared" ca="1" si="78"/>
        <v>-0.15458711495352209</v>
      </c>
      <c r="C548" s="25" t="e">
        <f t="shared" si="79"/>
        <v>#VALUE!</v>
      </c>
      <c r="D548" s="74" t="e">
        <f t="shared" si="80"/>
        <v>#VALUE!</v>
      </c>
      <c r="E548" s="25" t="e">
        <f t="shared" si="81"/>
        <v>#VALUE!</v>
      </c>
      <c r="F548" s="25" t="e">
        <f t="shared" ca="1" si="82"/>
        <v>#VALUE!</v>
      </c>
      <c r="G548" s="25"/>
      <c r="H548" s="25" t="e">
        <f t="shared" si="86"/>
        <v>#VALUE!</v>
      </c>
      <c r="I548" s="25">
        <f t="shared" si="83"/>
        <v>33.999999999988617</v>
      </c>
      <c r="J548" s="25" t="e">
        <f t="shared" si="84"/>
        <v>#VALUE!</v>
      </c>
    </row>
    <row r="549" spans="1:10" x14ac:dyDescent="0.25">
      <c r="A549" s="25">
        <f t="shared" si="85"/>
        <v>-4.650000000000114</v>
      </c>
      <c r="B549" s="25">
        <f t="shared" ca="1" si="78"/>
        <v>4.9874052981538353E-4</v>
      </c>
      <c r="C549" s="25" t="e">
        <f t="shared" si="79"/>
        <v>#VALUE!</v>
      </c>
      <c r="D549" s="74" t="e">
        <f t="shared" si="80"/>
        <v>#VALUE!</v>
      </c>
      <c r="E549" s="25" t="e">
        <f t="shared" si="81"/>
        <v>#VALUE!</v>
      </c>
      <c r="F549" s="25" t="e">
        <f t="shared" ca="1" si="82"/>
        <v>#VALUE!</v>
      </c>
      <c r="G549" s="25"/>
      <c r="H549" s="25" t="e">
        <f t="shared" si="86"/>
        <v>#VALUE!</v>
      </c>
      <c r="I549" s="25">
        <f t="shared" si="83"/>
        <v>34.999999999988596</v>
      </c>
      <c r="J549" s="25" t="e">
        <f t="shared" si="84"/>
        <v>#VALUE!</v>
      </c>
    </row>
    <row r="550" spans="1:10" x14ac:dyDescent="0.25">
      <c r="A550" s="25">
        <f t="shared" si="85"/>
        <v>-4.6400000000001143</v>
      </c>
      <c r="B550" s="25">
        <f t="shared" ca="1" si="78"/>
        <v>2.1570289917757401E-2</v>
      </c>
      <c r="C550" s="25" t="e">
        <f t="shared" si="79"/>
        <v>#VALUE!</v>
      </c>
      <c r="D550" s="74" t="e">
        <f t="shared" si="80"/>
        <v>#VALUE!</v>
      </c>
      <c r="E550" s="25" t="e">
        <f t="shared" si="81"/>
        <v>#VALUE!</v>
      </c>
      <c r="F550" s="25" t="e">
        <f t="shared" ca="1" si="82"/>
        <v>#VALUE!</v>
      </c>
      <c r="G550" s="25"/>
      <c r="H550" s="25" t="e">
        <f t="shared" si="86"/>
        <v>#VALUE!</v>
      </c>
      <c r="I550" s="25">
        <f t="shared" si="83"/>
        <v>35.999999999988574</v>
      </c>
      <c r="J550" s="25" t="e">
        <f t="shared" si="84"/>
        <v>#VALUE!</v>
      </c>
    </row>
    <row r="551" spans="1:10" x14ac:dyDescent="0.25">
      <c r="A551" s="25">
        <f t="shared" si="85"/>
        <v>-4.6300000000001145</v>
      </c>
      <c r="B551" s="25">
        <f t="shared" ca="1" si="78"/>
        <v>0.13224192778515917</v>
      </c>
      <c r="C551" s="25" t="e">
        <f t="shared" si="79"/>
        <v>#VALUE!</v>
      </c>
      <c r="D551" s="74" t="e">
        <f t="shared" si="80"/>
        <v>#VALUE!</v>
      </c>
      <c r="E551" s="25" t="e">
        <f t="shared" si="81"/>
        <v>#VALUE!</v>
      </c>
      <c r="F551" s="25" t="e">
        <f t="shared" ca="1" si="82"/>
        <v>#VALUE!</v>
      </c>
      <c r="G551" s="25"/>
      <c r="H551" s="25" t="e">
        <f t="shared" si="86"/>
        <v>#VALUE!</v>
      </c>
      <c r="I551" s="25">
        <f t="shared" si="83"/>
        <v>36.999999999988553</v>
      </c>
      <c r="J551" s="25" t="e">
        <f t="shared" si="84"/>
        <v>#VALUE!</v>
      </c>
    </row>
    <row r="552" spans="1:10" x14ac:dyDescent="0.25">
      <c r="A552" s="25">
        <f t="shared" si="85"/>
        <v>-4.6200000000001147</v>
      </c>
      <c r="B552" s="25">
        <f t="shared" ca="1" si="78"/>
        <v>-9.0196375219502481E-2</v>
      </c>
      <c r="C552" s="25" t="e">
        <f t="shared" si="79"/>
        <v>#VALUE!</v>
      </c>
      <c r="D552" s="74" t="e">
        <f t="shared" si="80"/>
        <v>#VALUE!</v>
      </c>
      <c r="E552" s="25" t="e">
        <f t="shared" si="81"/>
        <v>#VALUE!</v>
      </c>
      <c r="F552" s="25" t="e">
        <f t="shared" ca="1" si="82"/>
        <v>#VALUE!</v>
      </c>
      <c r="G552" s="25"/>
      <c r="H552" s="25" t="e">
        <f t="shared" si="86"/>
        <v>#VALUE!</v>
      </c>
      <c r="I552" s="25">
        <f t="shared" si="83"/>
        <v>37.999999999988532</v>
      </c>
      <c r="J552" s="25" t="e">
        <f t="shared" si="84"/>
        <v>#VALUE!</v>
      </c>
    </row>
    <row r="553" spans="1:10" x14ac:dyDescent="0.25">
      <c r="A553" s="25">
        <f t="shared" si="85"/>
        <v>-4.6100000000001149</v>
      </c>
      <c r="B553" s="25">
        <f t="shared" ca="1" si="78"/>
        <v>4.8308673927563899E-3</v>
      </c>
      <c r="C553" s="25" t="e">
        <f t="shared" si="79"/>
        <v>#VALUE!</v>
      </c>
      <c r="D553" s="74" t="e">
        <f t="shared" si="80"/>
        <v>#VALUE!</v>
      </c>
      <c r="E553" s="25" t="e">
        <f t="shared" si="81"/>
        <v>#VALUE!</v>
      </c>
      <c r="F553" s="25" t="e">
        <f t="shared" ca="1" si="82"/>
        <v>#VALUE!</v>
      </c>
      <c r="G553" s="25"/>
      <c r="H553" s="25" t="e">
        <f t="shared" si="86"/>
        <v>#VALUE!</v>
      </c>
      <c r="I553" s="25">
        <f t="shared" si="83"/>
        <v>38.999999999988511</v>
      </c>
      <c r="J553" s="25" t="e">
        <f t="shared" si="84"/>
        <v>#VALUE!</v>
      </c>
    </row>
    <row r="554" spans="1:10" x14ac:dyDescent="0.25">
      <c r="A554" s="25">
        <f t="shared" si="85"/>
        <v>-4.6000000000001151</v>
      </c>
      <c r="B554" s="25">
        <f t="shared" ca="1" si="78"/>
        <v>-0.1629792684251474</v>
      </c>
      <c r="C554" s="25" t="e">
        <f t="shared" si="79"/>
        <v>#VALUE!</v>
      </c>
      <c r="D554" s="74" t="e">
        <f t="shared" si="80"/>
        <v>#VALUE!</v>
      </c>
      <c r="E554" s="25" t="e">
        <f t="shared" si="81"/>
        <v>#VALUE!</v>
      </c>
      <c r="F554" s="25" t="e">
        <f t="shared" ca="1" si="82"/>
        <v>#VALUE!</v>
      </c>
      <c r="G554" s="25"/>
      <c r="H554" s="25" t="e">
        <f t="shared" si="86"/>
        <v>#VALUE!</v>
      </c>
      <c r="I554" s="25">
        <f t="shared" si="83"/>
        <v>39.999999999988489</v>
      </c>
      <c r="J554" s="25" t="e">
        <f t="shared" si="84"/>
        <v>#VALUE!</v>
      </c>
    </row>
    <row r="555" spans="1:10" x14ac:dyDescent="0.25">
      <c r="A555" s="25">
        <f t="shared" si="85"/>
        <v>-4.5900000000001153</v>
      </c>
      <c r="B555" s="25">
        <f t="shared" ca="1" si="78"/>
        <v>-5.9513661613937681E-2</v>
      </c>
      <c r="C555" s="25" t="e">
        <f t="shared" si="79"/>
        <v>#VALUE!</v>
      </c>
      <c r="D555" s="74" t="e">
        <f t="shared" si="80"/>
        <v>#VALUE!</v>
      </c>
      <c r="E555" s="25" t="e">
        <f t="shared" si="81"/>
        <v>#VALUE!</v>
      </c>
      <c r="F555" s="25" t="e">
        <f t="shared" ca="1" si="82"/>
        <v>#VALUE!</v>
      </c>
      <c r="G555" s="25"/>
      <c r="H555" s="25" t="e">
        <f t="shared" si="86"/>
        <v>#VALUE!</v>
      </c>
      <c r="I555" s="25">
        <f t="shared" si="83"/>
        <v>40.999999999988468</v>
      </c>
      <c r="J555" s="25" t="e">
        <f t="shared" si="84"/>
        <v>#VALUE!</v>
      </c>
    </row>
    <row r="556" spans="1:10" x14ac:dyDescent="0.25">
      <c r="A556" s="25">
        <f t="shared" si="85"/>
        <v>-4.5800000000001155</v>
      </c>
      <c r="B556" s="25">
        <f t="shared" ca="1" si="78"/>
        <v>1.4358148440336838E-3</v>
      </c>
      <c r="C556" s="25" t="e">
        <f t="shared" si="79"/>
        <v>#VALUE!</v>
      </c>
      <c r="D556" s="74" t="e">
        <f t="shared" si="80"/>
        <v>#VALUE!</v>
      </c>
      <c r="E556" s="25" t="e">
        <f t="shared" si="81"/>
        <v>#VALUE!</v>
      </c>
      <c r="F556" s="25" t="e">
        <f t="shared" ca="1" si="82"/>
        <v>#VALUE!</v>
      </c>
      <c r="G556" s="25"/>
      <c r="H556" s="25" t="e">
        <f t="shared" si="86"/>
        <v>#VALUE!</v>
      </c>
      <c r="I556" s="25">
        <f t="shared" si="83"/>
        <v>41.999999999988447</v>
      </c>
      <c r="J556" s="25" t="e">
        <f t="shared" si="84"/>
        <v>#VALUE!</v>
      </c>
    </row>
    <row r="557" spans="1:10" x14ac:dyDescent="0.25">
      <c r="A557" s="25">
        <f t="shared" si="85"/>
        <v>-4.5700000000001157</v>
      </c>
      <c r="B557" s="25">
        <f t="shared" ca="1" si="78"/>
        <v>-0.15755165655198647</v>
      </c>
      <c r="C557" s="25" t="e">
        <f t="shared" si="79"/>
        <v>#VALUE!</v>
      </c>
      <c r="D557" s="74" t="e">
        <f t="shared" si="80"/>
        <v>#VALUE!</v>
      </c>
      <c r="E557" s="25" t="e">
        <f t="shared" si="81"/>
        <v>#VALUE!</v>
      </c>
      <c r="F557" s="25" t="e">
        <f t="shared" ca="1" si="82"/>
        <v>#VALUE!</v>
      </c>
      <c r="G557" s="25"/>
      <c r="H557" s="25" t="e">
        <f t="shared" si="86"/>
        <v>#VALUE!</v>
      </c>
      <c r="I557" s="25">
        <f t="shared" si="83"/>
        <v>42.999999999988425</v>
      </c>
      <c r="J557" s="25" t="e">
        <f t="shared" si="84"/>
        <v>#VALUE!</v>
      </c>
    </row>
    <row r="558" spans="1:10" x14ac:dyDescent="0.25">
      <c r="A558" s="25">
        <f t="shared" si="85"/>
        <v>-4.560000000000116</v>
      </c>
      <c r="B558" s="25">
        <f t="shared" ca="1" si="78"/>
        <v>-1.6243856727650652E-2</v>
      </c>
      <c r="C558" s="25" t="e">
        <f t="shared" si="79"/>
        <v>#VALUE!</v>
      </c>
      <c r="D558" s="74" t="e">
        <f t="shared" si="80"/>
        <v>#VALUE!</v>
      </c>
      <c r="E558" s="25" t="e">
        <f t="shared" si="81"/>
        <v>#VALUE!</v>
      </c>
      <c r="F558" s="25" t="e">
        <f t="shared" ca="1" si="82"/>
        <v>#VALUE!</v>
      </c>
      <c r="G558" s="25"/>
      <c r="H558" s="25" t="e">
        <f t="shared" si="86"/>
        <v>#VALUE!</v>
      </c>
      <c r="I558" s="25">
        <f t="shared" si="83"/>
        <v>43.999999999988404</v>
      </c>
      <c r="J558" s="25" t="e">
        <f t="shared" si="84"/>
        <v>#VALUE!</v>
      </c>
    </row>
    <row r="559" spans="1:10" x14ac:dyDescent="0.25">
      <c r="A559" s="25">
        <f t="shared" si="85"/>
        <v>-4.5500000000001162</v>
      </c>
      <c r="B559" s="25">
        <f t="shared" ca="1" si="78"/>
        <v>-0.11793946612586226</v>
      </c>
      <c r="C559" s="25" t="e">
        <f t="shared" si="79"/>
        <v>#VALUE!</v>
      </c>
      <c r="D559" s="74" t="e">
        <f t="shared" si="80"/>
        <v>#VALUE!</v>
      </c>
      <c r="E559" s="25" t="e">
        <f t="shared" si="81"/>
        <v>#VALUE!</v>
      </c>
      <c r="F559" s="25" t="e">
        <f t="shared" ca="1" si="82"/>
        <v>#VALUE!</v>
      </c>
      <c r="G559" s="25"/>
      <c r="H559" s="25" t="e">
        <f t="shared" si="86"/>
        <v>#VALUE!</v>
      </c>
      <c r="I559" s="25">
        <f t="shared" si="83"/>
        <v>44.999999999988383</v>
      </c>
      <c r="J559" s="25" t="e">
        <f t="shared" si="84"/>
        <v>#VALUE!</v>
      </c>
    </row>
    <row r="560" spans="1:10" x14ac:dyDescent="0.25">
      <c r="A560" s="25">
        <f t="shared" si="85"/>
        <v>-4.5400000000001164</v>
      </c>
      <c r="B560" s="25">
        <f t="shared" ca="1" si="78"/>
        <v>-0.19915751209149304</v>
      </c>
      <c r="C560" s="25" t="e">
        <f t="shared" si="79"/>
        <v>#VALUE!</v>
      </c>
      <c r="D560" s="74" t="e">
        <f t="shared" si="80"/>
        <v>#VALUE!</v>
      </c>
      <c r="E560" s="25" t="e">
        <f t="shared" si="81"/>
        <v>#VALUE!</v>
      </c>
      <c r="F560" s="25" t="e">
        <f t="shared" ca="1" si="82"/>
        <v>#VALUE!</v>
      </c>
      <c r="G560" s="25"/>
      <c r="H560" s="25" t="e">
        <f t="shared" si="86"/>
        <v>#VALUE!</v>
      </c>
      <c r="I560" s="25">
        <f t="shared" si="83"/>
        <v>45.999999999988361</v>
      </c>
      <c r="J560" s="25" t="e">
        <f t="shared" si="84"/>
        <v>#VALUE!</v>
      </c>
    </row>
    <row r="561" spans="1:10" x14ac:dyDescent="0.25">
      <c r="A561" s="25">
        <f t="shared" si="85"/>
        <v>-4.5300000000001166</v>
      </c>
      <c r="B561" s="25">
        <f t="shared" ca="1" si="78"/>
        <v>0.12283370294992539</v>
      </c>
      <c r="C561" s="25" t="e">
        <f t="shared" si="79"/>
        <v>#VALUE!</v>
      </c>
      <c r="D561" s="74" t="e">
        <f t="shared" si="80"/>
        <v>#VALUE!</v>
      </c>
      <c r="E561" s="25" t="e">
        <f t="shared" si="81"/>
        <v>#VALUE!</v>
      </c>
      <c r="F561" s="25" t="e">
        <f t="shared" ca="1" si="82"/>
        <v>#VALUE!</v>
      </c>
      <c r="G561" s="25"/>
      <c r="H561" s="25" t="e">
        <f t="shared" si="86"/>
        <v>#VALUE!</v>
      </c>
      <c r="I561" s="25">
        <f t="shared" si="83"/>
        <v>46.99999999998834</v>
      </c>
      <c r="J561" s="25" t="e">
        <f t="shared" si="84"/>
        <v>#VALUE!</v>
      </c>
    </row>
    <row r="562" spans="1:10" x14ac:dyDescent="0.25">
      <c r="A562" s="25">
        <f t="shared" si="85"/>
        <v>-4.5200000000001168</v>
      </c>
      <c r="B562" s="25">
        <f t="shared" ca="1" si="78"/>
        <v>-5.8083754579162421E-2</v>
      </c>
      <c r="C562" s="25" t="e">
        <f t="shared" si="79"/>
        <v>#VALUE!</v>
      </c>
      <c r="D562" s="74" t="e">
        <f t="shared" si="80"/>
        <v>#VALUE!</v>
      </c>
      <c r="E562" s="25" t="e">
        <f t="shared" si="81"/>
        <v>#VALUE!</v>
      </c>
      <c r="F562" s="25" t="e">
        <f t="shared" ca="1" si="82"/>
        <v>#VALUE!</v>
      </c>
      <c r="G562" s="25"/>
      <c r="H562" s="25" t="e">
        <f t="shared" si="86"/>
        <v>#VALUE!</v>
      </c>
      <c r="I562" s="25">
        <f t="shared" si="83"/>
        <v>47.999999999988319</v>
      </c>
      <c r="J562" s="25" t="e">
        <f t="shared" si="84"/>
        <v>#VALUE!</v>
      </c>
    </row>
    <row r="563" spans="1:10" x14ac:dyDescent="0.25">
      <c r="A563" s="25">
        <f t="shared" si="85"/>
        <v>-4.510000000000117</v>
      </c>
      <c r="B563" s="25">
        <f t="shared" ca="1" si="78"/>
        <v>-0.17724486742496978</v>
      </c>
      <c r="C563" s="25" t="e">
        <f t="shared" si="79"/>
        <v>#VALUE!</v>
      </c>
      <c r="D563" s="74" t="e">
        <f t="shared" si="80"/>
        <v>#VALUE!</v>
      </c>
      <c r="E563" s="25" t="e">
        <f t="shared" si="81"/>
        <v>#VALUE!</v>
      </c>
      <c r="F563" s="25" t="e">
        <f t="shared" ca="1" si="82"/>
        <v>#VALUE!</v>
      </c>
      <c r="G563" s="25"/>
      <c r="H563" s="25" t="e">
        <f t="shared" si="86"/>
        <v>#VALUE!</v>
      </c>
      <c r="I563" s="25">
        <f t="shared" si="83"/>
        <v>48.999999999988297</v>
      </c>
      <c r="J563" s="25" t="e">
        <f t="shared" si="84"/>
        <v>#VALUE!</v>
      </c>
    </row>
    <row r="564" spans="1:10" x14ac:dyDescent="0.25">
      <c r="A564" s="25">
        <f t="shared" si="85"/>
        <v>-4.5000000000001172</v>
      </c>
      <c r="B564" s="25">
        <f t="shared" ca="1" si="78"/>
        <v>-4.4628075497236581E-2</v>
      </c>
      <c r="C564" s="25" t="e">
        <f t="shared" si="79"/>
        <v>#VALUE!</v>
      </c>
      <c r="D564" s="74" t="e">
        <f t="shared" si="80"/>
        <v>#VALUE!</v>
      </c>
      <c r="E564" s="25" t="e">
        <f t="shared" si="81"/>
        <v>#VALUE!</v>
      </c>
      <c r="F564" s="25" t="e">
        <f t="shared" ca="1" si="82"/>
        <v>#VALUE!</v>
      </c>
      <c r="G564" s="25"/>
      <c r="H564" s="25" t="e">
        <f t="shared" si="86"/>
        <v>#VALUE!</v>
      </c>
      <c r="I564" s="25">
        <f t="shared" si="83"/>
        <v>49.999999999988276</v>
      </c>
      <c r="J564" s="25" t="e">
        <f t="shared" si="84"/>
        <v>#VALUE!</v>
      </c>
    </row>
    <row r="565" spans="1:10" x14ac:dyDescent="0.25">
      <c r="A565" s="25">
        <f t="shared" si="85"/>
        <v>-4.4900000000001175</v>
      </c>
      <c r="B565" s="25">
        <f t="shared" ca="1" si="78"/>
        <v>7.9618613698476629E-2</v>
      </c>
      <c r="C565" s="25" t="e">
        <f t="shared" si="79"/>
        <v>#VALUE!</v>
      </c>
      <c r="D565" s="74" t="e">
        <f t="shared" si="80"/>
        <v>#VALUE!</v>
      </c>
      <c r="E565" s="25" t="e">
        <f t="shared" si="81"/>
        <v>#VALUE!</v>
      </c>
      <c r="F565" s="25" t="e">
        <f t="shared" ca="1" si="82"/>
        <v>#VALUE!</v>
      </c>
      <c r="G565" s="25"/>
      <c r="H565" s="25" t="e">
        <f t="shared" si="86"/>
        <v>#VALUE!</v>
      </c>
      <c r="I565" s="25">
        <f t="shared" si="83"/>
        <v>50.999999999988255</v>
      </c>
      <c r="J565" s="25" t="e">
        <f t="shared" si="84"/>
        <v>#VALUE!</v>
      </c>
    </row>
    <row r="566" spans="1:10" x14ac:dyDescent="0.25">
      <c r="A566" s="25">
        <f t="shared" si="85"/>
        <v>-4.4800000000001177</v>
      </c>
      <c r="B566" s="25">
        <f t="shared" ca="1" si="78"/>
        <v>-1.2889236084248126E-2</v>
      </c>
      <c r="C566" s="25" t="e">
        <f t="shared" si="79"/>
        <v>#VALUE!</v>
      </c>
      <c r="D566" s="74" t="e">
        <f t="shared" si="80"/>
        <v>#VALUE!</v>
      </c>
      <c r="E566" s="25" t="e">
        <f t="shared" si="81"/>
        <v>#VALUE!</v>
      </c>
      <c r="F566" s="25" t="e">
        <f t="shared" ca="1" si="82"/>
        <v>#VALUE!</v>
      </c>
      <c r="G566" s="25"/>
      <c r="H566" s="25" t="e">
        <f t="shared" si="86"/>
        <v>#VALUE!</v>
      </c>
      <c r="I566" s="25">
        <f t="shared" si="83"/>
        <v>51.999999999988233</v>
      </c>
      <c r="J566" s="25" t="e">
        <f t="shared" si="84"/>
        <v>#VALUE!</v>
      </c>
    </row>
    <row r="567" spans="1:10" x14ac:dyDescent="0.25">
      <c r="A567" s="25">
        <f t="shared" si="85"/>
        <v>-4.4700000000001179</v>
      </c>
      <c r="B567" s="25">
        <f t="shared" ca="1" si="78"/>
        <v>0.11107508682964311</v>
      </c>
      <c r="C567" s="25" t="e">
        <f t="shared" si="79"/>
        <v>#VALUE!</v>
      </c>
      <c r="D567" s="74" t="e">
        <f t="shared" si="80"/>
        <v>#VALUE!</v>
      </c>
      <c r="E567" s="25" t="e">
        <f t="shared" si="81"/>
        <v>#VALUE!</v>
      </c>
      <c r="F567" s="25" t="e">
        <f t="shared" ca="1" si="82"/>
        <v>#VALUE!</v>
      </c>
      <c r="G567" s="25"/>
      <c r="H567" s="25" t="e">
        <f t="shared" si="86"/>
        <v>#VALUE!</v>
      </c>
      <c r="I567" s="25">
        <f t="shared" si="83"/>
        <v>52.999999999988212</v>
      </c>
      <c r="J567" s="25" t="e">
        <f t="shared" si="84"/>
        <v>#VALUE!</v>
      </c>
    </row>
    <row r="568" spans="1:10" x14ac:dyDescent="0.25">
      <c r="A568" s="25">
        <f t="shared" si="85"/>
        <v>-4.4600000000001181</v>
      </c>
      <c r="B568" s="25">
        <f t="shared" ca="1" si="78"/>
        <v>-2.0688186328765946E-2</v>
      </c>
      <c r="C568" s="25" t="e">
        <f t="shared" si="79"/>
        <v>#VALUE!</v>
      </c>
      <c r="D568" s="74" t="e">
        <f t="shared" si="80"/>
        <v>#VALUE!</v>
      </c>
      <c r="E568" s="25" t="e">
        <f t="shared" si="81"/>
        <v>#VALUE!</v>
      </c>
      <c r="F568" s="25" t="e">
        <f t="shared" ca="1" si="82"/>
        <v>#VALUE!</v>
      </c>
      <c r="G568" s="25"/>
      <c r="H568" s="25" t="e">
        <f t="shared" si="86"/>
        <v>#VALUE!</v>
      </c>
      <c r="I568" s="25">
        <f t="shared" si="83"/>
        <v>53.999999999988191</v>
      </c>
      <c r="J568" s="25" t="e">
        <f t="shared" si="84"/>
        <v>#VALUE!</v>
      </c>
    </row>
    <row r="569" spans="1:10" x14ac:dyDescent="0.25">
      <c r="A569" s="25">
        <f t="shared" si="85"/>
        <v>-4.4500000000001183</v>
      </c>
      <c r="B569" s="25">
        <f t="shared" ca="1" si="78"/>
        <v>-0.18383059837988294</v>
      </c>
      <c r="C569" s="25" t="e">
        <f t="shared" si="79"/>
        <v>#VALUE!</v>
      </c>
      <c r="D569" s="74" t="e">
        <f t="shared" si="80"/>
        <v>#VALUE!</v>
      </c>
      <c r="E569" s="25" t="e">
        <f t="shared" si="81"/>
        <v>#VALUE!</v>
      </c>
      <c r="F569" s="25" t="e">
        <f t="shared" ca="1" si="82"/>
        <v>#VALUE!</v>
      </c>
      <c r="G569" s="25"/>
      <c r="H569" s="25" t="e">
        <f t="shared" si="86"/>
        <v>#VALUE!</v>
      </c>
      <c r="I569" s="25">
        <f t="shared" si="83"/>
        <v>54.999999999988162</v>
      </c>
      <c r="J569" s="25" t="e">
        <f t="shared" si="84"/>
        <v>#VALUE!</v>
      </c>
    </row>
    <row r="570" spans="1:10" x14ac:dyDescent="0.25">
      <c r="A570" s="25">
        <f t="shared" si="85"/>
        <v>-4.4400000000001185</v>
      </c>
      <c r="B570" s="25">
        <f t="shared" ca="1" si="78"/>
        <v>-1.4081879811495937E-2</v>
      </c>
      <c r="C570" s="25" t="e">
        <f t="shared" si="79"/>
        <v>#VALUE!</v>
      </c>
      <c r="D570" s="74" t="e">
        <f t="shared" si="80"/>
        <v>#VALUE!</v>
      </c>
      <c r="E570" s="25" t="e">
        <f t="shared" si="81"/>
        <v>#VALUE!</v>
      </c>
      <c r="F570" s="25" t="e">
        <f t="shared" ca="1" si="82"/>
        <v>#VALUE!</v>
      </c>
      <c r="G570" s="25"/>
      <c r="H570" s="25" t="e">
        <f t="shared" si="86"/>
        <v>#VALUE!</v>
      </c>
      <c r="I570" s="25">
        <f t="shared" si="83"/>
        <v>55.999999999988155</v>
      </c>
      <c r="J570" s="25" t="e">
        <f t="shared" si="84"/>
        <v>#VALUE!</v>
      </c>
    </row>
    <row r="571" spans="1:10" x14ac:dyDescent="0.25">
      <c r="A571" s="25">
        <f t="shared" si="85"/>
        <v>-4.4300000000001187</v>
      </c>
      <c r="B571" s="25">
        <f t="shared" ca="1" si="78"/>
        <v>1.5459096166611258E-2</v>
      </c>
      <c r="C571" s="25" t="e">
        <f t="shared" si="79"/>
        <v>#VALUE!</v>
      </c>
      <c r="D571" s="74" t="e">
        <f t="shared" si="80"/>
        <v>#VALUE!</v>
      </c>
      <c r="E571" s="25" t="e">
        <f t="shared" si="81"/>
        <v>#VALUE!</v>
      </c>
      <c r="F571" s="25" t="e">
        <f t="shared" ca="1" si="82"/>
        <v>#VALUE!</v>
      </c>
      <c r="G571" s="25"/>
      <c r="H571" s="25" t="e">
        <f t="shared" si="86"/>
        <v>#VALUE!</v>
      </c>
      <c r="I571" s="25">
        <f t="shared" si="83"/>
        <v>56.999999999988134</v>
      </c>
      <c r="J571" s="25" t="e">
        <f t="shared" si="84"/>
        <v>#VALUE!</v>
      </c>
    </row>
    <row r="572" spans="1:10" x14ac:dyDescent="0.25">
      <c r="A572" s="25">
        <f t="shared" si="85"/>
        <v>-4.4200000000001189</v>
      </c>
      <c r="B572" s="25">
        <f t="shared" ca="1" si="78"/>
        <v>-0.12017224802180326</v>
      </c>
      <c r="C572" s="25" t="e">
        <f t="shared" si="79"/>
        <v>#VALUE!</v>
      </c>
      <c r="D572" s="74" t="e">
        <f t="shared" si="80"/>
        <v>#VALUE!</v>
      </c>
      <c r="E572" s="25" t="e">
        <f t="shared" si="81"/>
        <v>#VALUE!</v>
      </c>
      <c r="F572" s="25" t="e">
        <f t="shared" ca="1" si="82"/>
        <v>#VALUE!</v>
      </c>
      <c r="G572" s="25"/>
      <c r="H572" s="25" t="e">
        <f t="shared" si="86"/>
        <v>#VALUE!</v>
      </c>
      <c r="I572" s="25">
        <f t="shared" si="83"/>
        <v>57.999999999988106</v>
      </c>
      <c r="J572" s="25" t="e">
        <f t="shared" si="84"/>
        <v>#VALUE!</v>
      </c>
    </row>
    <row r="573" spans="1:10" x14ac:dyDescent="0.25">
      <c r="A573" s="25">
        <f t="shared" si="85"/>
        <v>-4.4100000000001192</v>
      </c>
      <c r="B573" s="25">
        <f t="shared" ca="1" si="78"/>
        <v>4.9757535145429195E-2</v>
      </c>
      <c r="C573" s="25" t="e">
        <f t="shared" si="79"/>
        <v>#VALUE!</v>
      </c>
      <c r="D573" s="74" t="e">
        <f t="shared" si="80"/>
        <v>#VALUE!</v>
      </c>
      <c r="E573" s="25" t="e">
        <f t="shared" si="81"/>
        <v>#VALUE!</v>
      </c>
      <c r="F573" s="25" t="e">
        <f t="shared" ca="1" si="82"/>
        <v>#VALUE!</v>
      </c>
      <c r="G573" s="25"/>
      <c r="H573" s="25" t="e">
        <f t="shared" si="86"/>
        <v>#VALUE!</v>
      </c>
      <c r="I573" s="25">
        <f t="shared" si="83"/>
        <v>58.999999999988084</v>
      </c>
      <c r="J573" s="25" t="e">
        <f t="shared" si="84"/>
        <v>#VALUE!</v>
      </c>
    </row>
    <row r="574" spans="1:10" x14ac:dyDescent="0.25">
      <c r="A574" s="25">
        <f t="shared" si="85"/>
        <v>-4.4000000000001194</v>
      </c>
      <c r="B574" s="25">
        <f t="shared" ca="1" si="78"/>
        <v>-0.13254682722966071</v>
      </c>
      <c r="C574" s="25" t="e">
        <f t="shared" si="79"/>
        <v>#VALUE!</v>
      </c>
      <c r="D574" s="74" t="e">
        <f t="shared" si="80"/>
        <v>#VALUE!</v>
      </c>
      <c r="E574" s="25" t="e">
        <f t="shared" si="81"/>
        <v>#VALUE!</v>
      </c>
      <c r="F574" s="25" t="e">
        <f t="shared" ca="1" si="82"/>
        <v>#VALUE!</v>
      </c>
      <c r="G574" s="25"/>
      <c r="H574" s="25" t="e">
        <f t="shared" si="86"/>
        <v>#VALUE!</v>
      </c>
      <c r="I574" s="25">
        <f t="shared" si="83"/>
        <v>59.999999999988063</v>
      </c>
      <c r="J574" s="25" t="e">
        <f t="shared" si="84"/>
        <v>#VALUE!</v>
      </c>
    </row>
    <row r="575" spans="1:10" x14ac:dyDescent="0.25">
      <c r="A575" s="25">
        <f t="shared" si="85"/>
        <v>-4.3900000000001196</v>
      </c>
      <c r="B575" s="25">
        <f t="shared" ca="1" si="78"/>
        <v>8.9168735957011067E-2</v>
      </c>
      <c r="C575" s="25" t="e">
        <f t="shared" si="79"/>
        <v>#VALUE!</v>
      </c>
      <c r="D575" s="74" t="e">
        <f t="shared" si="80"/>
        <v>#VALUE!</v>
      </c>
      <c r="E575" s="25" t="e">
        <f t="shared" si="81"/>
        <v>#VALUE!</v>
      </c>
      <c r="F575" s="25" t="e">
        <f t="shared" ca="1" si="82"/>
        <v>#VALUE!</v>
      </c>
      <c r="G575" s="25"/>
      <c r="H575" s="25" t="e">
        <f t="shared" si="86"/>
        <v>#VALUE!</v>
      </c>
      <c r="I575" s="25">
        <f t="shared" si="83"/>
        <v>60.999999999988042</v>
      </c>
      <c r="J575" s="25" t="e">
        <f t="shared" si="84"/>
        <v>#VALUE!</v>
      </c>
    </row>
    <row r="576" spans="1:10" x14ac:dyDescent="0.25">
      <c r="A576" s="25">
        <f t="shared" si="85"/>
        <v>-4.3800000000001198</v>
      </c>
      <c r="B576" s="25">
        <f t="shared" ca="1" si="78"/>
        <v>2.1028293547862131E-2</v>
      </c>
      <c r="C576" s="25" t="e">
        <f t="shared" si="79"/>
        <v>#VALUE!</v>
      </c>
      <c r="D576" s="74" t="e">
        <f t="shared" si="80"/>
        <v>#VALUE!</v>
      </c>
      <c r="E576" s="25" t="e">
        <f t="shared" si="81"/>
        <v>#VALUE!</v>
      </c>
      <c r="F576" s="25" t="e">
        <f t="shared" ca="1" si="82"/>
        <v>#VALUE!</v>
      </c>
      <c r="G576" s="25"/>
      <c r="H576" s="25" t="e">
        <f t="shared" si="86"/>
        <v>#VALUE!</v>
      </c>
      <c r="I576" s="25">
        <f t="shared" si="83"/>
        <v>61.99999999998802</v>
      </c>
      <c r="J576" s="25" t="e">
        <f t="shared" si="84"/>
        <v>#VALUE!</v>
      </c>
    </row>
    <row r="577" spans="1:10" x14ac:dyDescent="0.25">
      <c r="A577" s="25">
        <f t="shared" si="85"/>
        <v>-4.37000000000012</v>
      </c>
      <c r="B577" s="25">
        <f t="shared" ca="1" si="78"/>
        <v>-5.3157150703914996E-2</v>
      </c>
      <c r="C577" s="25" t="e">
        <f t="shared" si="79"/>
        <v>#VALUE!</v>
      </c>
      <c r="D577" s="74" t="e">
        <f t="shared" si="80"/>
        <v>#VALUE!</v>
      </c>
      <c r="E577" s="25" t="e">
        <f t="shared" si="81"/>
        <v>#VALUE!</v>
      </c>
      <c r="F577" s="25" t="e">
        <f t="shared" ca="1" si="82"/>
        <v>#VALUE!</v>
      </c>
      <c r="G577" s="25"/>
      <c r="H577" s="25" t="e">
        <f t="shared" si="86"/>
        <v>#VALUE!</v>
      </c>
      <c r="I577" s="25">
        <f t="shared" si="83"/>
        <v>62.999999999987992</v>
      </c>
      <c r="J577" s="25" t="e">
        <f t="shared" si="84"/>
        <v>#VALUE!</v>
      </c>
    </row>
    <row r="578" spans="1:10" x14ac:dyDescent="0.25">
      <c r="A578" s="25">
        <f t="shared" si="85"/>
        <v>-4.3600000000001202</v>
      </c>
      <c r="B578" s="25">
        <f t="shared" ca="1" si="78"/>
        <v>0.11097715601767144</v>
      </c>
      <c r="C578" s="25" t="e">
        <f t="shared" si="79"/>
        <v>#VALUE!</v>
      </c>
      <c r="D578" s="74" t="e">
        <f t="shared" si="80"/>
        <v>#VALUE!</v>
      </c>
      <c r="E578" s="25" t="e">
        <f t="shared" si="81"/>
        <v>#VALUE!</v>
      </c>
      <c r="F578" s="25" t="e">
        <f t="shared" ca="1" si="82"/>
        <v>#VALUE!</v>
      </c>
      <c r="G578" s="25"/>
      <c r="H578" s="25" t="e">
        <f t="shared" si="86"/>
        <v>#VALUE!</v>
      </c>
      <c r="I578" s="25">
        <f t="shared" si="83"/>
        <v>63.999999999987971</v>
      </c>
      <c r="J578" s="25" t="e">
        <f t="shared" si="84"/>
        <v>#VALUE!</v>
      </c>
    </row>
    <row r="579" spans="1:10" x14ac:dyDescent="0.25">
      <c r="A579" s="25">
        <f t="shared" si="85"/>
        <v>-4.3500000000001204</v>
      </c>
      <c r="B579" s="25">
        <f t="shared" ca="1" si="78"/>
        <v>7.8124442963116186E-2</v>
      </c>
      <c r="C579" s="25" t="e">
        <f t="shared" si="79"/>
        <v>#VALUE!</v>
      </c>
      <c r="D579" s="74" t="e">
        <f t="shared" si="80"/>
        <v>#VALUE!</v>
      </c>
      <c r="E579" s="25" t="e">
        <f t="shared" si="81"/>
        <v>#VALUE!</v>
      </c>
      <c r="F579" s="25" t="e">
        <f t="shared" ca="1" si="82"/>
        <v>#VALUE!</v>
      </c>
      <c r="G579" s="25"/>
      <c r="H579" s="25" t="e">
        <f t="shared" si="86"/>
        <v>#VALUE!</v>
      </c>
      <c r="I579" s="25">
        <f t="shared" si="83"/>
        <v>64.999999999987963</v>
      </c>
      <c r="J579" s="25" t="e">
        <f t="shared" si="84"/>
        <v>#VALUE!</v>
      </c>
    </row>
    <row r="580" spans="1:10" x14ac:dyDescent="0.25">
      <c r="A580" s="25">
        <f t="shared" si="85"/>
        <v>-4.3400000000001207</v>
      </c>
      <c r="B580" s="25">
        <f t="shared" ca="1" si="78"/>
        <v>-0.17226756678563371</v>
      </c>
      <c r="C580" s="25" t="e">
        <f t="shared" si="79"/>
        <v>#VALUE!</v>
      </c>
      <c r="D580" s="74" t="e">
        <f t="shared" si="80"/>
        <v>#VALUE!</v>
      </c>
      <c r="E580" s="25" t="e">
        <f t="shared" si="81"/>
        <v>#VALUE!</v>
      </c>
      <c r="F580" s="25" t="e">
        <f t="shared" ca="1" si="82"/>
        <v>#VALUE!</v>
      </c>
      <c r="G580" s="25"/>
      <c r="H580" s="25" t="e">
        <f t="shared" si="86"/>
        <v>#VALUE!</v>
      </c>
      <c r="I580" s="25">
        <f t="shared" si="83"/>
        <v>65.999999999987935</v>
      </c>
      <c r="J580" s="25" t="e">
        <f t="shared" si="84"/>
        <v>#VALUE!</v>
      </c>
    </row>
    <row r="581" spans="1:10" x14ac:dyDescent="0.25">
      <c r="A581" s="25">
        <f t="shared" si="85"/>
        <v>-4.3300000000001209</v>
      </c>
      <c r="B581" s="25">
        <f t="shared" ca="1" si="78"/>
        <v>5.8517687488956645E-2</v>
      </c>
      <c r="C581" s="25" t="e">
        <f t="shared" si="79"/>
        <v>#VALUE!</v>
      </c>
      <c r="D581" s="74" t="e">
        <f t="shared" si="80"/>
        <v>#VALUE!</v>
      </c>
      <c r="E581" s="25" t="e">
        <f t="shared" si="81"/>
        <v>#VALUE!</v>
      </c>
      <c r="F581" s="25" t="e">
        <f t="shared" ca="1" si="82"/>
        <v>#VALUE!</v>
      </c>
      <c r="G581" s="25"/>
      <c r="H581" s="25" t="e">
        <f t="shared" si="86"/>
        <v>#VALUE!</v>
      </c>
      <c r="I581" s="25">
        <f t="shared" si="83"/>
        <v>66.999999999987921</v>
      </c>
      <c r="J581" s="25" t="e">
        <f t="shared" si="84"/>
        <v>#VALUE!</v>
      </c>
    </row>
    <row r="582" spans="1:10" x14ac:dyDescent="0.25">
      <c r="A582" s="25">
        <f t="shared" si="85"/>
        <v>-4.3200000000001211</v>
      </c>
      <c r="B582" s="25">
        <f t="shared" ca="1" si="78"/>
        <v>-5.6377774128512054E-2</v>
      </c>
      <c r="C582" s="25" t="e">
        <f t="shared" si="79"/>
        <v>#VALUE!</v>
      </c>
      <c r="D582" s="74" t="e">
        <f t="shared" si="80"/>
        <v>#VALUE!</v>
      </c>
      <c r="E582" s="25" t="e">
        <f t="shared" si="81"/>
        <v>#VALUE!</v>
      </c>
      <c r="F582" s="25" t="e">
        <f t="shared" ca="1" si="82"/>
        <v>#VALUE!</v>
      </c>
      <c r="G582" s="25"/>
      <c r="H582" s="25" t="e">
        <f t="shared" si="86"/>
        <v>#VALUE!</v>
      </c>
      <c r="I582" s="25">
        <f t="shared" si="83"/>
        <v>67.999999999987892</v>
      </c>
      <c r="J582" s="25" t="e">
        <f t="shared" si="84"/>
        <v>#VALUE!</v>
      </c>
    </row>
    <row r="583" spans="1:10" x14ac:dyDescent="0.25">
      <c r="A583" s="25">
        <f t="shared" si="85"/>
        <v>-4.3100000000001213</v>
      </c>
      <c r="B583" s="25">
        <f t="shared" ca="1" si="78"/>
        <v>1.1796129451701045E-2</v>
      </c>
      <c r="C583" s="25" t="e">
        <f t="shared" si="79"/>
        <v>#VALUE!</v>
      </c>
      <c r="D583" s="74" t="e">
        <f t="shared" si="80"/>
        <v>#VALUE!</v>
      </c>
      <c r="E583" s="25" t="e">
        <f t="shared" si="81"/>
        <v>#VALUE!</v>
      </c>
      <c r="F583" s="25" t="e">
        <f t="shared" ca="1" si="82"/>
        <v>#VALUE!</v>
      </c>
      <c r="G583" s="25"/>
      <c r="H583" s="25" t="e">
        <f t="shared" si="86"/>
        <v>#VALUE!</v>
      </c>
      <c r="I583" s="25">
        <f t="shared" si="83"/>
        <v>68.999999999987864</v>
      </c>
      <c r="J583" s="25" t="e">
        <f t="shared" si="84"/>
        <v>#VALUE!</v>
      </c>
    </row>
    <row r="584" spans="1:10" x14ac:dyDescent="0.25">
      <c r="A584" s="25">
        <f t="shared" si="85"/>
        <v>-4.3000000000001215</v>
      </c>
      <c r="B584" s="25">
        <f t="shared" ca="1" si="78"/>
        <v>-0.16995751500935288</v>
      </c>
      <c r="C584" s="25" t="e">
        <f t="shared" si="79"/>
        <v>#VALUE!</v>
      </c>
      <c r="D584" s="74" t="e">
        <f t="shared" si="80"/>
        <v>#VALUE!</v>
      </c>
      <c r="E584" s="25" t="e">
        <f t="shared" si="81"/>
        <v>#VALUE!</v>
      </c>
      <c r="F584" s="25" t="e">
        <f t="shared" ca="1" si="82"/>
        <v>#VALUE!</v>
      </c>
      <c r="G584" s="25"/>
      <c r="H584" s="25" t="e">
        <f t="shared" si="86"/>
        <v>#VALUE!</v>
      </c>
      <c r="I584" s="25">
        <f t="shared" si="83"/>
        <v>69.99999999998785</v>
      </c>
      <c r="J584" s="25" t="e">
        <f t="shared" si="84"/>
        <v>#VALUE!</v>
      </c>
    </row>
    <row r="585" spans="1:10" x14ac:dyDescent="0.25">
      <c r="A585" s="25">
        <f t="shared" si="85"/>
        <v>-4.2900000000001217</v>
      </c>
      <c r="B585" s="25">
        <f t="shared" ca="1" si="78"/>
        <v>5.2389431252666624E-2</v>
      </c>
      <c r="C585" s="25" t="e">
        <f t="shared" si="79"/>
        <v>#VALUE!</v>
      </c>
      <c r="D585" s="74" t="e">
        <f t="shared" si="80"/>
        <v>#VALUE!</v>
      </c>
      <c r="E585" s="25" t="e">
        <f t="shared" si="81"/>
        <v>#VALUE!</v>
      </c>
      <c r="F585" s="25" t="e">
        <f t="shared" ca="1" si="82"/>
        <v>#VALUE!</v>
      </c>
      <c r="G585" s="25"/>
      <c r="H585" s="25" t="e">
        <f t="shared" si="86"/>
        <v>#VALUE!</v>
      </c>
      <c r="I585" s="25">
        <f t="shared" si="83"/>
        <v>70.999999999987821</v>
      </c>
      <c r="J585" s="25" t="e">
        <f t="shared" si="84"/>
        <v>#VALUE!</v>
      </c>
    </row>
    <row r="586" spans="1:10" x14ac:dyDescent="0.25">
      <c r="A586" s="25">
        <f t="shared" si="85"/>
        <v>-4.2800000000001219</v>
      </c>
      <c r="B586" s="25">
        <f t="shared" ca="1" si="78"/>
        <v>1.6690129792631136E-2</v>
      </c>
      <c r="C586" s="25" t="e">
        <f t="shared" si="79"/>
        <v>#VALUE!</v>
      </c>
      <c r="D586" s="74" t="e">
        <f t="shared" si="80"/>
        <v>#VALUE!</v>
      </c>
      <c r="E586" s="25" t="e">
        <f t="shared" si="81"/>
        <v>#VALUE!</v>
      </c>
      <c r="F586" s="25" t="e">
        <f t="shared" ca="1" si="82"/>
        <v>#VALUE!</v>
      </c>
      <c r="G586" s="25"/>
      <c r="H586" s="25" t="e">
        <f t="shared" si="86"/>
        <v>#VALUE!</v>
      </c>
      <c r="I586" s="25">
        <f t="shared" si="83"/>
        <v>71.999999999987807</v>
      </c>
      <c r="J586" s="25" t="e">
        <f t="shared" si="84"/>
        <v>#VALUE!</v>
      </c>
    </row>
    <row r="587" spans="1:10" x14ac:dyDescent="0.25">
      <c r="A587" s="25">
        <f t="shared" si="85"/>
        <v>-4.2700000000001221</v>
      </c>
      <c r="B587" s="25">
        <f t="shared" ca="1" si="78"/>
        <v>-0.18845400975916823</v>
      </c>
      <c r="C587" s="25" t="e">
        <f t="shared" si="79"/>
        <v>#VALUE!</v>
      </c>
      <c r="D587" s="74" t="e">
        <f t="shared" si="80"/>
        <v>#VALUE!</v>
      </c>
      <c r="E587" s="25" t="e">
        <f t="shared" si="81"/>
        <v>#VALUE!</v>
      </c>
      <c r="F587" s="25" t="e">
        <f t="shared" ca="1" si="82"/>
        <v>#VALUE!</v>
      </c>
      <c r="G587" s="25"/>
      <c r="H587" s="25" t="e">
        <f t="shared" si="86"/>
        <v>#VALUE!</v>
      </c>
      <c r="I587" s="25">
        <f t="shared" si="83"/>
        <v>72.999999999987793</v>
      </c>
      <c r="J587" s="25" t="e">
        <f t="shared" si="84"/>
        <v>#VALUE!</v>
      </c>
    </row>
    <row r="588" spans="1:10" x14ac:dyDescent="0.25">
      <c r="A588" s="25">
        <f t="shared" si="85"/>
        <v>-4.2600000000001224</v>
      </c>
      <c r="B588" s="25">
        <f t="shared" ca="1" si="78"/>
        <v>0.12568715935374122</v>
      </c>
      <c r="C588" s="25" t="e">
        <f t="shared" si="79"/>
        <v>#VALUE!</v>
      </c>
      <c r="D588" s="74" t="e">
        <f t="shared" si="80"/>
        <v>#VALUE!</v>
      </c>
      <c r="E588" s="25" t="e">
        <f t="shared" si="81"/>
        <v>#VALUE!</v>
      </c>
      <c r="F588" s="25" t="e">
        <f t="shared" ca="1" si="82"/>
        <v>#VALUE!</v>
      </c>
      <c r="G588" s="25"/>
      <c r="H588" s="25" t="e">
        <f t="shared" si="86"/>
        <v>#VALUE!</v>
      </c>
      <c r="I588" s="25">
        <f t="shared" si="83"/>
        <v>73.999999999987764</v>
      </c>
      <c r="J588" s="25" t="e">
        <f t="shared" si="84"/>
        <v>#VALUE!</v>
      </c>
    </row>
    <row r="589" spans="1:10" x14ac:dyDescent="0.25">
      <c r="A589" s="25">
        <f t="shared" si="85"/>
        <v>-4.2500000000001226</v>
      </c>
      <c r="B589" s="25">
        <f t="shared" ca="1" si="78"/>
        <v>-0.11379008573045364</v>
      </c>
      <c r="C589" s="25" t="e">
        <f t="shared" si="79"/>
        <v>#VALUE!</v>
      </c>
      <c r="D589" s="74" t="e">
        <f t="shared" si="80"/>
        <v>#VALUE!</v>
      </c>
      <c r="E589" s="25" t="e">
        <f t="shared" si="81"/>
        <v>#VALUE!</v>
      </c>
      <c r="F589" s="25" t="e">
        <f t="shared" ca="1" si="82"/>
        <v>#VALUE!</v>
      </c>
      <c r="G589" s="25"/>
      <c r="H589" s="25" t="e">
        <f t="shared" si="86"/>
        <v>#VALUE!</v>
      </c>
      <c r="I589" s="25">
        <f t="shared" si="83"/>
        <v>74.99999999998775</v>
      </c>
      <c r="J589" s="25" t="e">
        <f t="shared" si="84"/>
        <v>#VALUE!</v>
      </c>
    </row>
    <row r="590" spans="1:10" x14ac:dyDescent="0.25">
      <c r="A590" s="25">
        <f t="shared" si="85"/>
        <v>-4.2400000000001228</v>
      </c>
      <c r="B590" s="25">
        <f t="shared" ref="B590:B653" ca="1" si="87">(RAND()-0.5-$B$7)/$B$5</f>
        <v>4.7337650440389907E-2</v>
      </c>
      <c r="C590" s="25" t="e">
        <f t="shared" ref="C590:C653" si="88">IF(ABS(A590)&lt;=($D$3/2),1,IF(ABS(A590)&lt;=($B$4/2),IF(A590&gt;0,A590*(4/(1-2*$B$4))+(2*$B$4/(2*$B$4-1)),(-A590*(4/(1-2*$B$4))+(2*$B$4/(2*$B$4-1)))),0))</f>
        <v>#VALUE!</v>
      </c>
      <c r="D590" s="74" t="e">
        <f t="shared" ref="D590:D653" si="89">IF(ABS(A590)&lt;=($D$3/4+$B$4/4),1,IF(ABS(A590)&lt;=($B$4/2),(IF(A590&gt;0,A590*(8/(1-2*$B$4))+(4*$B$4)/(2*$B$4-1),(-A590*(8/(1-2*$B$4))+(4*$B$4)/(2*$B$4-1)))),0))</f>
        <v>#VALUE!</v>
      </c>
      <c r="E590" s="25" t="e">
        <f t="shared" ref="E590:E653" si="90">IF(ABS(A590)&lt;($B$4/2), 1, 0)</f>
        <v>#VALUE!</v>
      </c>
      <c r="F590" s="25" t="e">
        <f t="shared" ref="F590:F653" ca="1" si="91">C590+B590</f>
        <v>#VALUE!</v>
      </c>
      <c r="G590" s="25"/>
      <c r="H590" s="25" t="e">
        <f t="shared" si="86"/>
        <v>#VALUE!</v>
      </c>
      <c r="I590" s="25">
        <f t="shared" ref="I590:I653" si="92">$I$3*(A590-$G$3)/($H$3-$G$3)</f>
        <v>75.999999999987722</v>
      </c>
      <c r="J590" s="25" t="e">
        <f t="shared" ref="J590:J653" si="93">H590</f>
        <v>#VALUE!</v>
      </c>
    </row>
    <row r="591" spans="1:10" x14ac:dyDescent="0.25">
      <c r="A591" s="25">
        <f t="shared" ref="A591:A654" si="94">A590+0.01</f>
        <v>-4.230000000000123</v>
      </c>
      <c r="B591" s="25">
        <f t="shared" ca="1" si="87"/>
        <v>-0.11229434572865744</v>
      </c>
      <c r="C591" s="25" t="e">
        <f t="shared" si="88"/>
        <v>#VALUE!</v>
      </c>
      <c r="D591" s="74" t="e">
        <f t="shared" si="89"/>
        <v>#VALUE!</v>
      </c>
      <c r="E591" s="25" t="e">
        <f t="shared" si="90"/>
        <v>#VALUE!</v>
      </c>
      <c r="F591" s="25" t="e">
        <f t="shared" ca="1" si="91"/>
        <v>#VALUE!</v>
      </c>
      <c r="G591" s="25"/>
      <c r="H591" s="25" t="e">
        <f t="shared" si="86"/>
        <v>#VALUE!</v>
      </c>
      <c r="I591" s="25">
        <f t="shared" si="92"/>
        <v>76.999999999987693</v>
      </c>
      <c r="J591" s="25" t="e">
        <f t="shared" si="93"/>
        <v>#VALUE!</v>
      </c>
    </row>
    <row r="592" spans="1:10" x14ac:dyDescent="0.25">
      <c r="A592" s="25">
        <f t="shared" si="94"/>
        <v>-4.2200000000001232</v>
      </c>
      <c r="B592" s="25">
        <f t="shared" ca="1" si="87"/>
        <v>4.6172481338322184E-2</v>
      </c>
      <c r="C592" s="25" t="e">
        <f t="shared" si="88"/>
        <v>#VALUE!</v>
      </c>
      <c r="D592" s="74" t="e">
        <f t="shared" si="89"/>
        <v>#VALUE!</v>
      </c>
      <c r="E592" s="25" t="e">
        <f t="shared" si="90"/>
        <v>#VALUE!</v>
      </c>
      <c r="F592" s="25" t="e">
        <f t="shared" ca="1" si="91"/>
        <v>#VALUE!</v>
      </c>
      <c r="G592" s="25"/>
      <c r="H592" s="25" t="e">
        <f t="shared" si="86"/>
        <v>#VALUE!</v>
      </c>
      <c r="I592" s="25">
        <f t="shared" si="92"/>
        <v>77.999999999987679</v>
      </c>
      <c r="J592" s="25" t="e">
        <f t="shared" si="93"/>
        <v>#VALUE!</v>
      </c>
    </row>
    <row r="593" spans="1:10" x14ac:dyDescent="0.25">
      <c r="A593" s="25">
        <f t="shared" si="94"/>
        <v>-4.2100000000001234</v>
      </c>
      <c r="B593" s="25">
        <f t="shared" ca="1" si="87"/>
        <v>3.3783214254453249E-2</v>
      </c>
      <c r="C593" s="25" t="e">
        <f t="shared" si="88"/>
        <v>#VALUE!</v>
      </c>
      <c r="D593" s="74" t="e">
        <f t="shared" si="89"/>
        <v>#VALUE!</v>
      </c>
      <c r="E593" s="25" t="e">
        <f t="shared" si="90"/>
        <v>#VALUE!</v>
      </c>
      <c r="F593" s="25" t="e">
        <f t="shared" ca="1" si="91"/>
        <v>#VALUE!</v>
      </c>
      <c r="G593" s="25"/>
      <c r="H593" s="25" t="e">
        <f t="shared" si="86"/>
        <v>#VALUE!</v>
      </c>
      <c r="I593" s="25">
        <f t="shared" si="92"/>
        <v>78.999999999987651</v>
      </c>
      <c r="J593" s="25" t="e">
        <f t="shared" si="93"/>
        <v>#VALUE!</v>
      </c>
    </row>
    <row r="594" spans="1:10" x14ac:dyDescent="0.25">
      <c r="A594" s="25">
        <f t="shared" si="94"/>
        <v>-4.2000000000001236</v>
      </c>
      <c r="B594" s="25">
        <f t="shared" ca="1" si="87"/>
        <v>0.10613836365644917</v>
      </c>
      <c r="C594" s="25" t="e">
        <f t="shared" si="88"/>
        <v>#VALUE!</v>
      </c>
      <c r="D594" s="74" t="e">
        <f t="shared" si="89"/>
        <v>#VALUE!</v>
      </c>
      <c r="E594" s="25" t="e">
        <f t="shared" si="90"/>
        <v>#VALUE!</v>
      </c>
      <c r="F594" s="25" t="e">
        <f t="shared" ca="1" si="91"/>
        <v>#VALUE!</v>
      </c>
      <c r="G594" s="25"/>
      <c r="H594" s="25" t="e">
        <f t="shared" si="86"/>
        <v>#VALUE!</v>
      </c>
      <c r="I594" s="25">
        <f t="shared" si="92"/>
        <v>79.999999999987637</v>
      </c>
      <c r="J594" s="25" t="e">
        <f t="shared" si="93"/>
        <v>#VALUE!</v>
      </c>
    </row>
    <row r="595" spans="1:10" x14ac:dyDescent="0.25">
      <c r="A595" s="25">
        <f t="shared" si="94"/>
        <v>-4.1900000000001238</v>
      </c>
      <c r="B595" s="25">
        <f t="shared" ca="1" si="87"/>
        <v>1.7242238513450997E-2</v>
      </c>
      <c r="C595" s="25" t="e">
        <f t="shared" si="88"/>
        <v>#VALUE!</v>
      </c>
      <c r="D595" s="74" t="e">
        <f t="shared" si="89"/>
        <v>#VALUE!</v>
      </c>
      <c r="E595" s="25" t="e">
        <f t="shared" si="90"/>
        <v>#VALUE!</v>
      </c>
      <c r="F595" s="25" t="e">
        <f t="shared" ca="1" si="91"/>
        <v>#VALUE!</v>
      </c>
      <c r="G595" s="25"/>
      <c r="H595" s="25" t="e">
        <f t="shared" si="86"/>
        <v>#VALUE!</v>
      </c>
      <c r="I595" s="25">
        <f t="shared" si="92"/>
        <v>80.999999999987622</v>
      </c>
      <c r="J595" s="25" t="e">
        <f t="shared" si="93"/>
        <v>#VALUE!</v>
      </c>
    </row>
    <row r="596" spans="1:10" x14ac:dyDescent="0.25">
      <c r="A596" s="25">
        <f t="shared" si="94"/>
        <v>-4.1800000000001241</v>
      </c>
      <c r="B596" s="25">
        <f t="shared" ca="1" si="87"/>
        <v>-1.16018865950612E-2</v>
      </c>
      <c r="C596" s="25" t="e">
        <f t="shared" si="88"/>
        <v>#VALUE!</v>
      </c>
      <c r="D596" s="74" t="e">
        <f t="shared" si="89"/>
        <v>#VALUE!</v>
      </c>
      <c r="E596" s="25" t="e">
        <f t="shared" si="90"/>
        <v>#VALUE!</v>
      </c>
      <c r="F596" s="25" t="e">
        <f t="shared" ca="1" si="91"/>
        <v>#VALUE!</v>
      </c>
      <c r="G596" s="25"/>
      <c r="H596" s="25" t="e">
        <f t="shared" si="86"/>
        <v>#VALUE!</v>
      </c>
      <c r="I596" s="25">
        <f t="shared" si="92"/>
        <v>81.999999999987594</v>
      </c>
      <c r="J596" s="25" t="e">
        <f t="shared" si="93"/>
        <v>#VALUE!</v>
      </c>
    </row>
    <row r="597" spans="1:10" x14ac:dyDescent="0.25">
      <c r="A597" s="25">
        <f t="shared" si="94"/>
        <v>-4.1700000000001243</v>
      </c>
      <c r="B597" s="25">
        <f t="shared" ca="1" si="87"/>
        <v>-6.0147688722998187E-2</v>
      </c>
      <c r="C597" s="25" t="e">
        <f t="shared" si="88"/>
        <v>#VALUE!</v>
      </c>
      <c r="D597" s="74" t="e">
        <f t="shared" si="89"/>
        <v>#VALUE!</v>
      </c>
      <c r="E597" s="25" t="e">
        <f t="shared" si="90"/>
        <v>#VALUE!</v>
      </c>
      <c r="F597" s="25" t="e">
        <f t="shared" ca="1" si="91"/>
        <v>#VALUE!</v>
      </c>
      <c r="G597" s="25"/>
      <c r="H597" s="25" t="e">
        <f t="shared" si="86"/>
        <v>#VALUE!</v>
      </c>
      <c r="I597" s="25">
        <f t="shared" si="92"/>
        <v>82.99999999998758</v>
      </c>
      <c r="J597" s="25" t="e">
        <f t="shared" si="93"/>
        <v>#VALUE!</v>
      </c>
    </row>
    <row r="598" spans="1:10" x14ac:dyDescent="0.25">
      <c r="A598" s="25">
        <f t="shared" si="94"/>
        <v>-4.1600000000001245</v>
      </c>
      <c r="B598" s="25">
        <f t="shared" ca="1" si="87"/>
        <v>-0.17746753921058622</v>
      </c>
      <c r="C598" s="25" t="e">
        <f t="shared" si="88"/>
        <v>#VALUE!</v>
      </c>
      <c r="D598" s="74" t="e">
        <f t="shared" si="89"/>
        <v>#VALUE!</v>
      </c>
      <c r="E598" s="25" t="e">
        <f t="shared" si="90"/>
        <v>#VALUE!</v>
      </c>
      <c r="F598" s="25" t="e">
        <f t="shared" ca="1" si="91"/>
        <v>#VALUE!</v>
      </c>
      <c r="G598" s="25"/>
      <c r="H598" s="25" t="e">
        <f t="shared" si="86"/>
        <v>#VALUE!</v>
      </c>
      <c r="I598" s="25">
        <f t="shared" si="92"/>
        <v>83.999999999987551</v>
      </c>
      <c r="J598" s="25" t="e">
        <f t="shared" si="93"/>
        <v>#VALUE!</v>
      </c>
    </row>
    <row r="599" spans="1:10" x14ac:dyDescent="0.25">
      <c r="A599" s="25">
        <f t="shared" si="94"/>
        <v>-4.1500000000001247</v>
      </c>
      <c r="B599" s="25">
        <f t="shared" ca="1" si="87"/>
        <v>-0.13231582393615937</v>
      </c>
      <c r="C599" s="25" t="e">
        <f t="shared" si="88"/>
        <v>#VALUE!</v>
      </c>
      <c r="D599" s="74" t="e">
        <f t="shared" si="89"/>
        <v>#VALUE!</v>
      </c>
      <c r="E599" s="25" t="e">
        <f t="shared" si="90"/>
        <v>#VALUE!</v>
      </c>
      <c r="F599" s="25" t="e">
        <f t="shared" ca="1" si="91"/>
        <v>#VALUE!</v>
      </c>
      <c r="G599" s="25"/>
      <c r="H599" s="25" t="e">
        <f t="shared" si="86"/>
        <v>#VALUE!</v>
      </c>
      <c r="I599" s="25">
        <f t="shared" si="92"/>
        <v>84.999999999987523</v>
      </c>
      <c r="J599" s="25" t="e">
        <f t="shared" si="93"/>
        <v>#VALUE!</v>
      </c>
    </row>
    <row r="600" spans="1:10" x14ac:dyDescent="0.25">
      <c r="A600" s="25">
        <f t="shared" si="94"/>
        <v>-4.1400000000001249</v>
      </c>
      <c r="B600" s="25">
        <f t="shared" ca="1" si="87"/>
        <v>-3.5881137880938135E-2</v>
      </c>
      <c r="C600" s="25" t="e">
        <f t="shared" si="88"/>
        <v>#VALUE!</v>
      </c>
      <c r="D600" s="74" t="e">
        <f t="shared" si="89"/>
        <v>#VALUE!</v>
      </c>
      <c r="E600" s="25" t="e">
        <f t="shared" si="90"/>
        <v>#VALUE!</v>
      </c>
      <c r="F600" s="25" t="e">
        <f t="shared" ca="1" si="91"/>
        <v>#VALUE!</v>
      </c>
      <c r="G600" s="25"/>
      <c r="H600" s="25" t="e">
        <f t="shared" si="86"/>
        <v>#VALUE!</v>
      </c>
      <c r="I600" s="25">
        <f t="shared" si="92"/>
        <v>85.999999999987509</v>
      </c>
      <c r="J600" s="25" t="e">
        <f t="shared" si="93"/>
        <v>#VALUE!</v>
      </c>
    </row>
    <row r="601" spans="1:10" x14ac:dyDescent="0.25">
      <c r="A601" s="25">
        <f t="shared" si="94"/>
        <v>-4.1300000000001251</v>
      </c>
      <c r="B601" s="25">
        <f t="shared" ca="1" si="87"/>
        <v>5.2103100521530436E-2</v>
      </c>
      <c r="C601" s="25" t="e">
        <f t="shared" si="88"/>
        <v>#VALUE!</v>
      </c>
      <c r="D601" s="74" t="e">
        <f t="shared" si="89"/>
        <v>#VALUE!</v>
      </c>
      <c r="E601" s="25" t="e">
        <f t="shared" si="90"/>
        <v>#VALUE!</v>
      </c>
      <c r="F601" s="25" t="e">
        <f t="shared" ca="1" si="91"/>
        <v>#VALUE!</v>
      </c>
      <c r="G601" s="25"/>
      <c r="H601" s="25" t="e">
        <f t="shared" si="86"/>
        <v>#VALUE!</v>
      </c>
      <c r="I601" s="25">
        <f t="shared" si="92"/>
        <v>86.99999999998748</v>
      </c>
      <c r="J601" s="25" t="e">
        <f t="shared" si="93"/>
        <v>#VALUE!</v>
      </c>
    </row>
    <row r="602" spans="1:10" x14ac:dyDescent="0.25">
      <c r="A602" s="25">
        <f t="shared" si="94"/>
        <v>-4.1200000000001253</v>
      </c>
      <c r="B602" s="25">
        <f t="shared" ca="1" si="87"/>
        <v>-3.1236481379215725E-2</v>
      </c>
      <c r="C602" s="25" t="e">
        <f t="shared" si="88"/>
        <v>#VALUE!</v>
      </c>
      <c r="D602" s="74" t="e">
        <f t="shared" si="89"/>
        <v>#VALUE!</v>
      </c>
      <c r="E602" s="25" t="e">
        <f t="shared" si="90"/>
        <v>#VALUE!</v>
      </c>
      <c r="F602" s="25" t="e">
        <f t="shared" ca="1" si="91"/>
        <v>#VALUE!</v>
      </c>
      <c r="G602" s="25"/>
      <c r="H602" s="25" t="e">
        <f t="shared" si="86"/>
        <v>#VALUE!</v>
      </c>
      <c r="I602" s="25">
        <f t="shared" si="92"/>
        <v>87.999999999987466</v>
      </c>
      <c r="J602" s="25" t="e">
        <f t="shared" si="93"/>
        <v>#VALUE!</v>
      </c>
    </row>
    <row r="603" spans="1:10" x14ac:dyDescent="0.25">
      <c r="A603" s="25">
        <f t="shared" si="94"/>
        <v>-4.1100000000001256</v>
      </c>
      <c r="B603" s="25">
        <f t="shared" ca="1" si="87"/>
        <v>-2.5893382462887981E-2</v>
      </c>
      <c r="C603" s="25" t="e">
        <f t="shared" si="88"/>
        <v>#VALUE!</v>
      </c>
      <c r="D603" s="74" t="e">
        <f t="shared" si="89"/>
        <v>#VALUE!</v>
      </c>
      <c r="E603" s="25" t="e">
        <f t="shared" si="90"/>
        <v>#VALUE!</v>
      </c>
      <c r="F603" s="25" t="e">
        <f t="shared" ca="1" si="91"/>
        <v>#VALUE!</v>
      </c>
      <c r="G603" s="25"/>
      <c r="H603" s="25" t="e">
        <f t="shared" si="86"/>
        <v>#VALUE!</v>
      </c>
      <c r="I603" s="25">
        <f t="shared" si="92"/>
        <v>88.999999999987452</v>
      </c>
      <c r="J603" s="25" t="e">
        <f t="shared" si="93"/>
        <v>#VALUE!</v>
      </c>
    </row>
    <row r="604" spans="1:10" x14ac:dyDescent="0.25">
      <c r="A604" s="25">
        <f t="shared" si="94"/>
        <v>-4.1000000000001258</v>
      </c>
      <c r="B604" s="25">
        <f t="shared" ca="1" si="87"/>
        <v>-0.19077033891492581</v>
      </c>
      <c r="C604" s="25" t="e">
        <f t="shared" si="88"/>
        <v>#VALUE!</v>
      </c>
      <c r="D604" s="74" t="e">
        <f t="shared" si="89"/>
        <v>#VALUE!</v>
      </c>
      <c r="E604" s="25" t="e">
        <f t="shared" si="90"/>
        <v>#VALUE!</v>
      </c>
      <c r="F604" s="25" t="e">
        <f t="shared" ca="1" si="91"/>
        <v>#VALUE!</v>
      </c>
      <c r="G604" s="25"/>
      <c r="H604" s="25" t="e">
        <f t="shared" si="86"/>
        <v>#VALUE!</v>
      </c>
      <c r="I604" s="25">
        <f t="shared" si="92"/>
        <v>89.999999999987423</v>
      </c>
      <c r="J604" s="25" t="e">
        <f t="shared" si="93"/>
        <v>#VALUE!</v>
      </c>
    </row>
    <row r="605" spans="1:10" x14ac:dyDescent="0.25">
      <c r="A605" s="25">
        <f t="shared" si="94"/>
        <v>-4.090000000000126</v>
      </c>
      <c r="B605" s="25">
        <f t="shared" ca="1" si="87"/>
        <v>-0.15612986792808567</v>
      </c>
      <c r="C605" s="25" t="e">
        <f t="shared" si="88"/>
        <v>#VALUE!</v>
      </c>
      <c r="D605" s="74" t="e">
        <f t="shared" si="89"/>
        <v>#VALUE!</v>
      </c>
      <c r="E605" s="25" t="e">
        <f t="shared" si="90"/>
        <v>#VALUE!</v>
      </c>
      <c r="F605" s="25" t="e">
        <f t="shared" ca="1" si="91"/>
        <v>#VALUE!</v>
      </c>
      <c r="G605" s="25"/>
      <c r="H605" s="25" t="e">
        <f t="shared" si="86"/>
        <v>#VALUE!</v>
      </c>
      <c r="I605" s="25">
        <f t="shared" si="92"/>
        <v>90.999999999987409</v>
      </c>
      <c r="J605" s="25" t="e">
        <f t="shared" si="93"/>
        <v>#VALUE!</v>
      </c>
    </row>
    <row r="606" spans="1:10" x14ac:dyDescent="0.25">
      <c r="A606" s="25">
        <f t="shared" si="94"/>
        <v>-4.0800000000001262</v>
      </c>
      <c r="B606" s="25">
        <f t="shared" ca="1" si="87"/>
        <v>-9.2360264155456395E-2</v>
      </c>
      <c r="C606" s="25" t="e">
        <f t="shared" si="88"/>
        <v>#VALUE!</v>
      </c>
      <c r="D606" s="74" t="e">
        <f t="shared" si="89"/>
        <v>#VALUE!</v>
      </c>
      <c r="E606" s="25" t="e">
        <f t="shared" si="90"/>
        <v>#VALUE!</v>
      </c>
      <c r="F606" s="25" t="e">
        <f t="shared" ca="1" si="91"/>
        <v>#VALUE!</v>
      </c>
      <c r="G606" s="25"/>
      <c r="H606" s="25" t="e">
        <f t="shared" ref="H606:H669" si="95">IF(PeakShape=$O$3,C606,IF(PeakShape=O608,D606,E606))</f>
        <v>#VALUE!</v>
      </c>
      <c r="I606" s="25">
        <f t="shared" si="92"/>
        <v>91.999999999987381</v>
      </c>
      <c r="J606" s="25" t="e">
        <f t="shared" si="93"/>
        <v>#VALUE!</v>
      </c>
    </row>
    <row r="607" spans="1:10" x14ac:dyDescent="0.25">
      <c r="A607" s="25">
        <f t="shared" si="94"/>
        <v>-4.0700000000001264</v>
      </c>
      <c r="B607" s="25">
        <f t="shared" ca="1" si="87"/>
        <v>-0.10309021394517404</v>
      </c>
      <c r="C607" s="25" t="e">
        <f t="shared" si="88"/>
        <v>#VALUE!</v>
      </c>
      <c r="D607" s="74" t="e">
        <f t="shared" si="89"/>
        <v>#VALUE!</v>
      </c>
      <c r="E607" s="25" t="e">
        <f t="shared" si="90"/>
        <v>#VALUE!</v>
      </c>
      <c r="F607" s="25" t="e">
        <f t="shared" ca="1" si="91"/>
        <v>#VALUE!</v>
      </c>
      <c r="G607" s="25"/>
      <c r="H607" s="25" t="e">
        <f t="shared" si="95"/>
        <v>#VALUE!</v>
      </c>
      <c r="I607" s="25">
        <f t="shared" si="92"/>
        <v>92.999999999987352</v>
      </c>
      <c r="J607" s="25" t="e">
        <f t="shared" si="93"/>
        <v>#VALUE!</v>
      </c>
    </row>
    <row r="608" spans="1:10" x14ac:dyDescent="0.25">
      <c r="A608" s="25">
        <f t="shared" si="94"/>
        <v>-4.0600000000001266</v>
      </c>
      <c r="B608" s="25">
        <f t="shared" ca="1" si="87"/>
        <v>0.11853727308716071</v>
      </c>
      <c r="C608" s="25" t="e">
        <f t="shared" si="88"/>
        <v>#VALUE!</v>
      </c>
      <c r="D608" s="74" t="e">
        <f t="shared" si="89"/>
        <v>#VALUE!</v>
      </c>
      <c r="E608" s="25" t="e">
        <f t="shared" si="90"/>
        <v>#VALUE!</v>
      </c>
      <c r="F608" s="25" t="e">
        <f t="shared" ca="1" si="91"/>
        <v>#VALUE!</v>
      </c>
      <c r="G608" s="25"/>
      <c r="H608" s="25" t="e">
        <f t="shared" si="95"/>
        <v>#VALUE!</v>
      </c>
      <c r="I608" s="25">
        <f t="shared" si="92"/>
        <v>93.999999999987338</v>
      </c>
      <c r="J608" s="25" t="e">
        <f t="shared" si="93"/>
        <v>#VALUE!</v>
      </c>
    </row>
    <row r="609" spans="1:10" x14ac:dyDescent="0.25">
      <c r="A609" s="25">
        <f t="shared" si="94"/>
        <v>-4.0500000000001268</v>
      </c>
      <c r="B609" s="25">
        <f t="shared" ca="1" si="87"/>
        <v>-0.12663389306795222</v>
      </c>
      <c r="C609" s="25" t="e">
        <f t="shared" si="88"/>
        <v>#VALUE!</v>
      </c>
      <c r="D609" s="74" t="e">
        <f t="shared" si="89"/>
        <v>#VALUE!</v>
      </c>
      <c r="E609" s="25" t="e">
        <f t="shared" si="90"/>
        <v>#VALUE!</v>
      </c>
      <c r="F609" s="25" t="e">
        <f t="shared" ca="1" si="91"/>
        <v>#VALUE!</v>
      </c>
      <c r="G609" s="25"/>
      <c r="H609" s="25" t="e">
        <f t="shared" si="95"/>
        <v>#VALUE!</v>
      </c>
      <c r="I609" s="25">
        <f t="shared" si="92"/>
        <v>94.99999999998731</v>
      </c>
      <c r="J609" s="25" t="e">
        <f t="shared" si="93"/>
        <v>#VALUE!</v>
      </c>
    </row>
    <row r="610" spans="1:10" x14ac:dyDescent="0.25">
      <c r="A610" s="25">
        <f t="shared" si="94"/>
        <v>-4.040000000000127</v>
      </c>
      <c r="B610" s="25">
        <f t="shared" ca="1" si="87"/>
        <v>7.5871300550290524E-2</v>
      </c>
      <c r="C610" s="25" t="e">
        <f t="shared" si="88"/>
        <v>#VALUE!</v>
      </c>
      <c r="D610" s="74" t="e">
        <f t="shared" si="89"/>
        <v>#VALUE!</v>
      </c>
      <c r="E610" s="25" t="e">
        <f t="shared" si="90"/>
        <v>#VALUE!</v>
      </c>
      <c r="F610" s="25" t="e">
        <f t="shared" ca="1" si="91"/>
        <v>#VALUE!</v>
      </c>
      <c r="G610" s="25"/>
      <c r="H610" s="25" t="e">
        <f t="shared" si="95"/>
        <v>#VALUE!</v>
      </c>
      <c r="I610" s="25">
        <f t="shared" si="92"/>
        <v>95.999999999987295</v>
      </c>
      <c r="J610" s="25" t="e">
        <f t="shared" si="93"/>
        <v>#VALUE!</v>
      </c>
    </row>
    <row r="611" spans="1:10" x14ac:dyDescent="0.25">
      <c r="A611" s="25">
        <f t="shared" si="94"/>
        <v>-4.0300000000001273</v>
      </c>
      <c r="B611" s="25">
        <f t="shared" ca="1" si="87"/>
        <v>4.362747554557414E-2</v>
      </c>
      <c r="C611" s="25" t="e">
        <f t="shared" si="88"/>
        <v>#VALUE!</v>
      </c>
      <c r="D611" s="74" t="e">
        <f t="shared" si="89"/>
        <v>#VALUE!</v>
      </c>
      <c r="E611" s="25" t="e">
        <f t="shared" si="90"/>
        <v>#VALUE!</v>
      </c>
      <c r="F611" s="25" t="e">
        <f t="shared" ca="1" si="91"/>
        <v>#VALUE!</v>
      </c>
      <c r="G611" s="25"/>
      <c r="H611" s="25" t="e">
        <f t="shared" si="95"/>
        <v>#VALUE!</v>
      </c>
      <c r="I611" s="25">
        <f t="shared" si="92"/>
        <v>96.999999999987281</v>
      </c>
      <c r="J611" s="25" t="e">
        <f t="shared" si="93"/>
        <v>#VALUE!</v>
      </c>
    </row>
    <row r="612" spans="1:10" x14ac:dyDescent="0.25">
      <c r="A612" s="25">
        <f t="shared" si="94"/>
        <v>-4.0200000000001275</v>
      </c>
      <c r="B612" s="25">
        <f t="shared" ca="1" si="87"/>
        <v>6.6828199448337386E-2</v>
      </c>
      <c r="C612" s="25" t="e">
        <f t="shared" si="88"/>
        <v>#VALUE!</v>
      </c>
      <c r="D612" s="74" t="e">
        <f t="shared" si="89"/>
        <v>#VALUE!</v>
      </c>
      <c r="E612" s="25" t="e">
        <f t="shared" si="90"/>
        <v>#VALUE!</v>
      </c>
      <c r="F612" s="25" t="e">
        <f t="shared" ca="1" si="91"/>
        <v>#VALUE!</v>
      </c>
      <c r="G612" s="25"/>
      <c r="H612" s="25" t="e">
        <f t="shared" si="95"/>
        <v>#VALUE!</v>
      </c>
      <c r="I612" s="25">
        <f t="shared" si="92"/>
        <v>97.999999999987253</v>
      </c>
      <c r="J612" s="25" t="e">
        <f t="shared" si="93"/>
        <v>#VALUE!</v>
      </c>
    </row>
    <row r="613" spans="1:10" x14ac:dyDescent="0.25">
      <c r="A613" s="25">
        <f t="shared" si="94"/>
        <v>-4.0100000000001277</v>
      </c>
      <c r="B613" s="25">
        <f t="shared" ca="1" si="87"/>
        <v>-6.9355998713344205E-2</v>
      </c>
      <c r="C613" s="25" t="e">
        <f t="shared" si="88"/>
        <v>#VALUE!</v>
      </c>
      <c r="D613" s="74" t="e">
        <f t="shared" si="89"/>
        <v>#VALUE!</v>
      </c>
      <c r="E613" s="25" t="e">
        <f t="shared" si="90"/>
        <v>#VALUE!</v>
      </c>
      <c r="F613" s="25" t="e">
        <f t="shared" ca="1" si="91"/>
        <v>#VALUE!</v>
      </c>
      <c r="G613" s="25"/>
      <c r="H613" s="25" t="e">
        <f t="shared" si="95"/>
        <v>#VALUE!</v>
      </c>
      <c r="I613" s="25">
        <f t="shared" si="92"/>
        <v>98.999999999987239</v>
      </c>
      <c r="J613" s="25" t="e">
        <f t="shared" si="93"/>
        <v>#VALUE!</v>
      </c>
    </row>
    <row r="614" spans="1:10" x14ac:dyDescent="0.25">
      <c r="A614" s="25">
        <f t="shared" si="94"/>
        <v>-4.0000000000001279</v>
      </c>
      <c r="B614" s="25">
        <f t="shared" ca="1" si="87"/>
        <v>-0.11879069593799008</v>
      </c>
      <c r="C614" s="25" t="e">
        <f t="shared" si="88"/>
        <v>#VALUE!</v>
      </c>
      <c r="D614" s="74" t="e">
        <f t="shared" si="89"/>
        <v>#VALUE!</v>
      </c>
      <c r="E614" s="25" t="e">
        <f t="shared" si="90"/>
        <v>#VALUE!</v>
      </c>
      <c r="F614" s="25" t="e">
        <f t="shared" ca="1" si="91"/>
        <v>#VALUE!</v>
      </c>
      <c r="G614" s="25"/>
      <c r="H614" s="25" t="e">
        <f t="shared" si="95"/>
        <v>#VALUE!</v>
      </c>
      <c r="I614" s="25">
        <f t="shared" si="92"/>
        <v>99.99999999998721</v>
      </c>
      <c r="J614" s="25" t="e">
        <f t="shared" si="93"/>
        <v>#VALUE!</v>
      </c>
    </row>
    <row r="615" spans="1:10" x14ac:dyDescent="0.25">
      <c r="A615" s="25">
        <f t="shared" si="94"/>
        <v>-3.9900000000001281</v>
      </c>
      <c r="B615" s="25">
        <f t="shared" ca="1" si="87"/>
        <v>-0.15000393961538996</v>
      </c>
      <c r="C615" s="25" t="e">
        <f t="shared" si="88"/>
        <v>#VALUE!</v>
      </c>
      <c r="D615" s="74" t="e">
        <f t="shared" si="89"/>
        <v>#VALUE!</v>
      </c>
      <c r="E615" s="25" t="e">
        <f t="shared" si="90"/>
        <v>#VALUE!</v>
      </c>
      <c r="F615" s="25" t="e">
        <f t="shared" ca="1" si="91"/>
        <v>#VALUE!</v>
      </c>
      <c r="G615" s="25"/>
      <c r="H615" s="25" t="e">
        <f t="shared" si="95"/>
        <v>#VALUE!</v>
      </c>
      <c r="I615" s="25">
        <f t="shared" si="92"/>
        <v>100.99999999998718</v>
      </c>
      <c r="J615" s="25" t="e">
        <f t="shared" si="93"/>
        <v>#VALUE!</v>
      </c>
    </row>
    <row r="616" spans="1:10" x14ac:dyDescent="0.25">
      <c r="A616" s="25">
        <f t="shared" si="94"/>
        <v>-3.9800000000001283</v>
      </c>
      <c r="B616" s="25">
        <f t="shared" ca="1" si="87"/>
        <v>3.4441960526258725E-2</v>
      </c>
      <c r="C616" s="25" t="e">
        <f t="shared" si="88"/>
        <v>#VALUE!</v>
      </c>
      <c r="D616" s="74" t="e">
        <f t="shared" si="89"/>
        <v>#VALUE!</v>
      </c>
      <c r="E616" s="25" t="e">
        <f t="shared" si="90"/>
        <v>#VALUE!</v>
      </c>
      <c r="F616" s="25" t="e">
        <f t="shared" ca="1" si="91"/>
        <v>#VALUE!</v>
      </c>
      <c r="G616" s="25"/>
      <c r="H616" s="25" t="e">
        <f t="shared" si="95"/>
        <v>#VALUE!</v>
      </c>
      <c r="I616" s="25">
        <f t="shared" si="92"/>
        <v>101.99999999998717</v>
      </c>
      <c r="J616" s="25" t="e">
        <f t="shared" si="93"/>
        <v>#VALUE!</v>
      </c>
    </row>
    <row r="617" spans="1:10" x14ac:dyDescent="0.25">
      <c r="A617" s="25">
        <f t="shared" si="94"/>
        <v>-3.9700000000001285</v>
      </c>
      <c r="B617" s="25">
        <f t="shared" ca="1" si="87"/>
        <v>0.1034122427928305</v>
      </c>
      <c r="C617" s="25" t="e">
        <f t="shared" si="88"/>
        <v>#VALUE!</v>
      </c>
      <c r="D617" s="74" t="e">
        <f t="shared" si="89"/>
        <v>#VALUE!</v>
      </c>
      <c r="E617" s="25" t="e">
        <f t="shared" si="90"/>
        <v>#VALUE!</v>
      </c>
      <c r="F617" s="25" t="e">
        <f t="shared" ca="1" si="91"/>
        <v>#VALUE!</v>
      </c>
      <c r="G617" s="25"/>
      <c r="H617" s="25" t="e">
        <f t="shared" si="95"/>
        <v>#VALUE!</v>
      </c>
      <c r="I617" s="25">
        <f t="shared" si="92"/>
        <v>102.99999999998715</v>
      </c>
      <c r="J617" s="25" t="e">
        <f t="shared" si="93"/>
        <v>#VALUE!</v>
      </c>
    </row>
    <row r="618" spans="1:10" x14ac:dyDescent="0.25">
      <c r="A618" s="25">
        <f t="shared" si="94"/>
        <v>-3.9600000000001288</v>
      </c>
      <c r="B618" s="25">
        <f t="shared" ca="1" si="87"/>
        <v>-0.18554721959884898</v>
      </c>
      <c r="C618" s="25" t="e">
        <f t="shared" si="88"/>
        <v>#VALUE!</v>
      </c>
      <c r="D618" s="74" t="e">
        <f t="shared" si="89"/>
        <v>#VALUE!</v>
      </c>
      <c r="E618" s="25" t="e">
        <f t="shared" si="90"/>
        <v>#VALUE!</v>
      </c>
      <c r="F618" s="25" t="e">
        <f t="shared" ca="1" si="91"/>
        <v>#VALUE!</v>
      </c>
      <c r="G618" s="25"/>
      <c r="H618" s="25" t="e">
        <f t="shared" si="95"/>
        <v>#VALUE!</v>
      </c>
      <c r="I618" s="25">
        <f t="shared" si="92"/>
        <v>103.99999999998712</v>
      </c>
      <c r="J618" s="25" t="e">
        <f t="shared" si="93"/>
        <v>#VALUE!</v>
      </c>
    </row>
    <row r="619" spans="1:10" x14ac:dyDescent="0.25">
      <c r="A619" s="25">
        <f t="shared" si="94"/>
        <v>-3.950000000000129</v>
      </c>
      <c r="B619" s="25">
        <f t="shared" ca="1" si="87"/>
        <v>-9.8822220874841937E-2</v>
      </c>
      <c r="C619" s="25" t="e">
        <f t="shared" si="88"/>
        <v>#VALUE!</v>
      </c>
      <c r="D619" s="74" t="e">
        <f t="shared" si="89"/>
        <v>#VALUE!</v>
      </c>
      <c r="E619" s="25" t="e">
        <f t="shared" si="90"/>
        <v>#VALUE!</v>
      </c>
      <c r="F619" s="25" t="e">
        <f t="shared" ca="1" si="91"/>
        <v>#VALUE!</v>
      </c>
      <c r="G619" s="25"/>
      <c r="H619" s="25" t="e">
        <f t="shared" si="95"/>
        <v>#VALUE!</v>
      </c>
      <c r="I619" s="25">
        <f t="shared" si="92"/>
        <v>104.99999999998711</v>
      </c>
      <c r="J619" s="25" t="e">
        <f t="shared" si="93"/>
        <v>#VALUE!</v>
      </c>
    </row>
    <row r="620" spans="1:10" x14ac:dyDescent="0.25">
      <c r="A620" s="25">
        <f t="shared" si="94"/>
        <v>-3.9400000000001292</v>
      </c>
      <c r="B620" s="25">
        <f t="shared" ca="1" si="87"/>
        <v>0.11689914025872901</v>
      </c>
      <c r="C620" s="25" t="e">
        <f t="shared" si="88"/>
        <v>#VALUE!</v>
      </c>
      <c r="D620" s="74" t="e">
        <f t="shared" si="89"/>
        <v>#VALUE!</v>
      </c>
      <c r="E620" s="25" t="e">
        <f t="shared" si="90"/>
        <v>#VALUE!</v>
      </c>
      <c r="F620" s="25" t="e">
        <f t="shared" ca="1" si="91"/>
        <v>#VALUE!</v>
      </c>
      <c r="G620" s="25"/>
      <c r="H620" s="25" t="e">
        <f t="shared" si="95"/>
        <v>#VALUE!</v>
      </c>
      <c r="I620" s="25">
        <f t="shared" si="92"/>
        <v>105.99999999998708</v>
      </c>
      <c r="J620" s="25" t="e">
        <f t="shared" si="93"/>
        <v>#VALUE!</v>
      </c>
    </row>
    <row r="621" spans="1:10" x14ac:dyDescent="0.25">
      <c r="A621" s="25">
        <f t="shared" si="94"/>
        <v>-3.9300000000001294</v>
      </c>
      <c r="B621" s="25">
        <f t="shared" ca="1" si="87"/>
        <v>1.408537174907438E-2</v>
      </c>
      <c r="C621" s="25" t="e">
        <f t="shared" si="88"/>
        <v>#VALUE!</v>
      </c>
      <c r="D621" s="74" t="e">
        <f t="shared" si="89"/>
        <v>#VALUE!</v>
      </c>
      <c r="E621" s="25" t="e">
        <f t="shared" si="90"/>
        <v>#VALUE!</v>
      </c>
      <c r="F621" s="25" t="e">
        <f t="shared" ca="1" si="91"/>
        <v>#VALUE!</v>
      </c>
      <c r="G621" s="25"/>
      <c r="H621" s="25" t="e">
        <f t="shared" si="95"/>
        <v>#VALUE!</v>
      </c>
      <c r="I621" s="25">
        <f t="shared" si="92"/>
        <v>106.99999999998707</v>
      </c>
      <c r="J621" s="25" t="e">
        <f t="shared" si="93"/>
        <v>#VALUE!</v>
      </c>
    </row>
    <row r="622" spans="1:10" x14ac:dyDescent="0.25">
      <c r="A622" s="25">
        <f t="shared" si="94"/>
        <v>-3.9200000000001296</v>
      </c>
      <c r="B622" s="25">
        <f t="shared" ca="1" si="87"/>
        <v>-0.1472728589573489</v>
      </c>
      <c r="C622" s="25" t="e">
        <f t="shared" si="88"/>
        <v>#VALUE!</v>
      </c>
      <c r="D622" s="74" t="e">
        <f t="shared" si="89"/>
        <v>#VALUE!</v>
      </c>
      <c r="E622" s="25" t="e">
        <f t="shared" si="90"/>
        <v>#VALUE!</v>
      </c>
      <c r="F622" s="25" t="e">
        <f t="shared" ca="1" si="91"/>
        <v>#VALUE!</v>
      </c>
      <c r="G622" s="25"/>
      <c r="H622" s="25" t="e">
        <f t="shared" si="95"/>
        <v>#VALUE!</v>
      </c>
      <c r="I622" s="25">
        <f t="shared" si="92"/>
        <v>107.99999999998704</v>
      </c>
      <c r="J622" s="25" t="e">
        <f t="shared" si="93"/>
        <v>#VALUE!</v>
      </c>
    </row>
    <row r="623" spans="1:10" x14ac:dyDescent="0.25">
      <c r="A623" s="25">
        <f t="shared" si="94"/>
        <v>-3.9100000000001298</v>
      </c>
      <c r="B623" s="25">
        <f t="shared" ca="1" si="87"/>
        <v>-0.18429516132473525</v>
      </c>
      <c r="C623" s="25" t="e">
        <f t="shared" si="88"/>
        <v>#VALUE!</v>
      </c>
      <c r="D623" s="74" t="e">
        <f t="shared" si="89"/>
        <v>#VALUE!</v>
      </c>
      <c r="E623" s="25" t="e">
        <f t="shared" si="90"/>
        <v>#VALUE!</v>
      </c>
      <c r="F623" s="25" t="e">
        <f t="shared" ca="1" si="91"/>
        <v>#VALUE!</v>
      </c>
      <c r="G623" s="25"/>
      <c r="H623" s="25" t="e">
        <f t="shared" si="95"/>
        <v>#VALUE!</v>
      </c>
      <c r="I623" s="25">
        <f t="shared" si="92"/>
        <v>108.99999999998701</v>
      </c>
      <c r="J623" s="25" t="e">
        <f t="shared" si="93"/>
        <v>#VALUE!</v>
      </c>
    </row>
    <row r="624" spans="1:10" x14ac:dyDescent="0.25">
      <c r="A624" s="25">
        <f t="shared" si="94"/>
        <v>-3.90000000000013</v>
      </c>
      <c r="B624" s="25">
        <f t="shared" ca="1" si="87"/>
        <v>0.11365796822049357</v>
      </c>
      <c r="C624" s="25" t="e">
        <f t="shared" si="88"/>
        <v>#VALUE!</v>
      </c>
      <c r="D624" s="74" t="e">
        <f t="shared" si="89"/>
        <v>#VALUE!</v>
      </c>
      <c r="E624" s="25" t="e">
        <f t="shared" si="90"/>
        <v>#VALUE!</v>
      </c>
      <c r="F624" s="25" t="e">
        <f t="shared" ca="1" si="91"/>
        <v>#VALUE!</v>
      </c>
      <c r="G624" s="25"/>
      <c r="H624" s="25" t="e">
        <f t="shared" si="95"/>
        <v>#VALUE!</v>
      </c>
      <c r="I624" s="25">
        <f t="shared" si="92"/>
        <v>109.999999999987</v>
      </c>
      <c r="J624" s="25" t="e">
        <f t="shared" si="93"/>
        <v>#VALUE!</v>
      </c>
    </row>
    <row r="625" spans="1:10" x14ac:dyDescent="0.25">
      <c r="A625" s="25">
        <f t="shared" si="94"/>
        <v>-3.8900000000001302</v>
      </c>
      <c r="B625" s="25">
        <f t="shared" ca="1" si="87"/>
        <v>8.6547602599321885E-2</v>
      </c>
      <c r="C625" s="25" t="e">
        <f t="shared" si="88"/>
        <v>#VALUE!</v>
      </c>
      <c r="D625" s="74" t="e">
        <f t="shared" si="89"/>
        <v>#VALUE!</v>
      </c>
      <c r="E625" s="25" t="e">
        <f t="shared" si="90"/>
        <v>#VALUE!</v>
      </c>
      <c r="F625" s="25" t="e">
        <f t="shared" ca="1" si="91"/>
        <v>#VALUE!</v>
      </c>
      <c r="G625" s="25"/>
      <c r="H625" s="25" t="e">
        <f t="shared" si="95"/>
        <v>#VALUE!</v>
      </c>
      <c r="I625" s="25">
        <f t="shared" si="92"/>
        <v>110.99999999998697</v>
      </c>
      <c r="J625" s="25" t="e">
        <f t="shared" si="93"/>
        <v>#VALUE!</v>
      </c>
    </row>
    <row r="626" spans="1:10" x14ac:dyDescent="0.25">
      <c r="A626" s="25">
        <f t="shared" si="94"/>
        <v>-3.8800000000001305</v>
      </c>
      <c r="B626" s="25">
        <f t="shared" ca="1" si="87"/>
        <v>2.4936604335317886E-2</v>
      </c>
      <c r="C626" s="25" t="e">
        <f t="shared" si="88"/>
        <v>#VALUE!</v>
      </c>
      <c r="D626" s="74" t="e">
        <f t="shared" si="89"/>
        <v>#VALUE!</v>
      </c>
      <c r="E626" s="25" t="e">
        <f t="shared" si="90"/>
        <v>#VALUE!</v>
      </c>
      <c r="F626" s="25" t="e">
        <f t="shared" ca="1" si="91"/>
        <v>#VALUE!</v>
      </c>
      <c r="G626" s="25"/>
      <c r="H626" s="25" t="e">
        <f t="shared" si="95"/>
        <v>#VALUE!</v>
      </c>
      <c r="I626" s="25">
        <f t="shared" si="92"/>
        <v>111.99999999998695</v>
      </c>
      <c r="J626" s="25" t="e">
        <f t="shared" si="93"/>
        <v>#VALUE!</v>
      </c>
    </row>
    <row r="627" spans="1:10" x14ac:dyDescent="0.25">
      <c r="A627" s="25">
        <f t="shared" si="94"/>
        <v>-3.8700000000001307</v>
      </c>
      <c r="B627" s="25">
        <f t="shared" ca="1" si="87"/>
        <v>-0.10380990920553061</v>
      </c>
      <c r="C627" s="25" t="e">
        <f t="shared" si="88"/>
        <v>#VALUE!</v>
      </c>
      <c r="D627" s="74" t="e">
        <f t="shared" si="89"/>
        <v>#VALUE!</v>
      </c>
      <c r="E627" s="25" t="e">
        <f t="shared" si="90"/>
        <v>#VALUE!</v>
      </c>
      <c r="F627" s="25" t="e">
        <f t="shared" ca="1" si="91"/>
        <v>#VALUE!</v>
      </c>
      <c r="G627" s="25"/>
      <c r="H627" s="25" t="e">
        <f t="shared" si="95"/>
        <v>#VALUE!</v>
      </c>
      <c r="I627" s="25">
        <f t="shared" si="92"/>
        <v>112.99999999998693</v>
      </c>
      <c r="J627" s="25" t="e">
        <f t="shared" si="93"/>
        <v>#VALUE!</v>
      </c>
    </row>
    <row r="628" spans="1:10" x14ac:dyDescent="0.25">
      <c r="A628" s="25">
        <f t="shared" si="94"/>
        <v>-3.8600000000001309</v>
      </c>
      <c r="B628" s="25">
        <f t="shared" ca="1" si="87"/>
        <v>-2.2467410946845134E-2</v>
      </c>
      <c r="C628" s="25" t="e">
        <f t="shared" si="88"/>
        <v>#VALUE!</v>
      </c>
      <c r="D628" s="74" t="e">
        <f t="shared" si="89"/>
        <v>#VALUE!</v>
      </c>
      <c r="E628" s="25" t="e">
        <f t="shared" si="90"/>
        <v>#VALUE!</v>
      </c>
      <c r="F628" s="25" t="e">
        <f t="shared" ca="1" si="91"/>
        <v>#VALUE!</v>
      </c>
      <c r="G628" s="25"/>
      <c r="H628" s="25" t="e">
        <f t="shared" si="95"/>
        <v>#VALUE!</v>
      </c>
      <c r="I628" s="25">
        <f t="shared" si="92"/>
        <v>113.9999999999869</v>
      </c>
      <c r="J628" s="25" t="e">
        <f t="shared" si="93"/>
        <v>#VALUE!</v>
      </c>
    </row>
    <row r="629" spans="1:10" x14ac:dyDescent="0.25">
      <c r="A629" s="25">
        <f t="shared" si="94"/>
        <v>-3.8500000000001311</v>
      </c>
      <c r="B629" s="25">
        <f t="shared" ca="1" si="87"/>
        <v>9.9960897168903065E-2</v>
      </c>
      <c r="C629" s="25" t="e">
        <f t="shared" si="88"/>
        <v>#VALUE!</v>
      </c>
      <c r="D629" s="74" t="e">
        <f t="shared" si="89"/>
        <v>#VALUE!</v>
      </c>
      <c r="E629" s="25" t="e">
        <f t="shared" si="90"/>
        <v>#VALUE!</v>
      </c>
      <c r="F629" s="25" t="e">
        <f t="shared" ca="1" si="91"/>
        <v>#VALUE!</v>
      </c>
      <c r="G629" s="25"/>
      <c r="H629" s="25" t="e">
        <f t="shared" si="95"/>
        <v>#VALUE!</v>
      </c>
      <c r="I629" s="25">
        <f t="shared" si="92"/>
        <v>114.99999999998688</v>
      </c>
      <c r="J629" s="25" t="e">
        <f t="shared" si="93"/>
        <v>#VALUE!</v>
      </c>
    </row>
    <row r="630" spans="1:10" x14ac:dyDescent="0.25">
      <c r="A630" s="25">
        <f t="shared" si="94"/>
        <v>-3.8400000000001313</v>
      </c>
      <c r="B630" s="25">
        <f t="shared" ca="1" si="87"/>
        <v>-0.17989748053934085</v>
      </c>
      <c r="C630" s="25" t="e">
        <f t="shared" si="88"/>
        <v>#VALUE!</v>
      </c>
      <c r="D630" s="74" t="e">
        <f t="shared" si="89"/>
        <v>#VALUE!</v>
      </c>
      <c r="E630" s="25" t="e">
        <f t="shared" si="90"/>
        <v>#VALUE!</v>
      </c>
      <c r="F630" s="25" t="e">
        <f t="shared" ca="1" si="91"/>
        <v>#VALUE!</v>
      </c>
      <c r="G630" s="25"/>
      <c r="H630" s="25" t="e">
        <f t="shared" si="95"/>
        <v>#VALUE!</v>
      </c>
      <c r="I630" s="25">
        <f t="shared" si="92"/>
        <v>115.99999999998685</v>
      </c>
      <c r="J630" s="25" t="e">
        <f t="shared" si="93"/>
        <v>#VALUE!</v>
      </c>
    </row>
    <row r="631" spans="1:10" x14ac:dyDescent="0.25">
      <c r="A631" s="25">
        <f t="shared" si="94"/>
        <v>-3.8300000000001315</v>
      </c>
      <c r="B631" s="25">
        <f t="shared" ca="1" si="87"/>
        <v>-0.1076480225458432</v>
      </c>
      <c r="C631" s="25" t="e">
        <f t="shared" si="88"/>
        <v>#VALUE!</v>
      </c>
      <c r="D631" s="74" t="e">
        <f t="shared" si="89"/>
        <v>#VALUE!</v>
      </c>
      <c r="E631" s="25" t="e">
        <f t="shared" si="90"/>
        <v>#VALUE!</v>
      </c>
      <c r="F631" s="25" t="e">
        <f t="shared" ca="1" si="91"/>
        <v>#VALUE!</v>
      </c>
      <c r="G631" s="25"/>
      <c r="H631" s="25" t="e">
        <f t="shared" si="95"/>
        <v>#VALUE!</v>
      </c>
      <c r="I631" s="25">
        <f t="shared" si="92"/>
        <v>116.99999999998685</v>
      </c>
      <c r="J631" s="25" t="e">
        <f t="shared" si="93"/>
        <v>#VALUE!</v>
      </c>
    </row>
    <row r="632" spans="1:10" x14ac:dyDescent="0.25">
      <c r="A632" s="25">
        <f t="shared" si="94"/>
        <v>-3.8200000000001317</v>
      </c>
      <c r="B632" s="25">
        <f t="shared" ca="1" si="87"/>
        <v>9.9516611846309375E-2</v>
      </c>
      <c r="C632" s="25" t="e">
        <f t="shared" si="88"/>
        <v>#VALUE!</v>
      </c>
      <c r="D632" s="74" t="e">
        <f t="shared" si="89"/>
        <v>#VALUE!</v>
      </c>
      <c r="E632" s="25" t="e">
        <f t="shared" si="90"/>
        <v>#VALUE!</v>
      </c>
      <c r="F632" s="25" t="e">
        <f t="shared" ca="1" si="91"/>
        <v>#VALUE!</v>
      </c>
      <c r="G632" s="25"/>
      <c r="H632" s="25" t="e">
        <f t="shared" si="95"/>
        <v>#VALUE!</v>
      </c>
      <c r="I632" s="25">
        <f t="shared" si="92"/>
        <v>117.99999999998684</v>
      </c>
      <c r="J632" s="25" t="e">
        <f t="shared" si="93"/>
        <v>#VALUE!</v>
      </c>
    </row>
    <row r="633" spans="1:10" x14ac:dyDescent="0.25">
      <c r="A633" s="25">
        <f t="shared" si="94"/>
        <v>-3.8100000000001319</v>
      </c>
      <c r="B633" s="25">
        <f t="shared" ca="1" si="87"/>
        <v>-0.1137490113914134</v>
      </c>
      <c r="C633" s="25" t="e">
        <f t="shared" si="88"/>
        <v>#VALUE!</v>
      </c>
      <c r="D633" s="74" t="e">
        <f t="shared" si="89"/>
        <v>#VALUE!</v>
      </c>
      <c r="E633" s="25" t="e">
        <f t="shared" si="90"/>
        <v>#VALUE!</v>
      </c>
      <c r="F633" s="25" t="e">
        <f t="shared" ca="1" si="91"/>
        <v>#VALUE!</v>
      </c>
      <c r="G633" s="25"/>
      <c r="H633" s="25" t="e">
        <f t="shared" si="95"/>
        <v>#VALUE!</v>
      </c>
      <c r="I633" s="25">
        <f t="shared" si="92"/>
        <v>118.99999999998681</v>
      </c>
      <c r="J633" s="25" t="e">
        <f t="shared" si="93"/>
        <v>#VALUE!</v>
      </c>
    </row>
    <row r="634" spans="1:10" x14ac:dyDescent="0.25">
      <c r="A634" s="25">
        <f t="shared" si="94"/>
        <v>-3.8000000000001322</v>
      </c>
      <c r="B634" s="25">
        <f t="shared" ca="1" si="87"/>
        <v>-9.2005517259420369E-2</v>
      </c>
      <c r="C634" s="25" t="e">
        <f t="shared" si="88"/>
        <v>#VALUE!</v>
      </c>
      <c r="D634" s="74" t="e">
        <f t="shared" si="89"/>
        <v>#VALUE!</v>
      </c>
      <c r="E634" s="25" t="e">
        <f t="shared" si="90"/>
        <v>#VALUE!</v>
      </c>
      <c r="F634" s="25" t="e">
        <f t="shared" ca="1" si="91"/>
        <v>#VALUE!</v>
      </c>
      <c r="G634" s="25"/>
      <c r="H634" s="25" t="e">
        <f t="shared" si="95"/>
        <v>#VALUE!</v>
      </c>
      <c r="I634" s="25">
        <f t="shared" si="92"/>
        <v>119.99999999998678</v>
      </c>
      <c r="J634" s="25" t="e">
        <f t="shared" si="93"/>
        <v>#VALUE!</v>
      </c>
    </row>
    <row r="635" spans="1:10" x14ac:dyDescent="0.25">
      <c r="A635" s="25">
        <f t="shared" si="94"/>
        <v>-3.7900000000001324</v>
      </c>
      <c r="B635" s="25">
        <f t="shared" ca="1" si="87"/>
        <v>0.11390864251048886</v>
      </c>
      <c r="C635" s="25" t="e">
        <f t="shared" si="88"/>
        <v>#VALUE!</v>
      </c>
      <c r="D635" s="74" t="e">
        <f t="shared" si="89"/>
        <v>#VALUE!</v>
      </c>
      <c r="E635" s="25" t="e">
        <f t="shared" si="90"/>
        <v>#VALUE!</v>
      </c>
      <c r="F635" s="25" t="e">
        <f t="shared" ca="1" si="91"/>
        <v>#VALUE!</v>
      </c>
      <c r="G635" s="25"/>
      <c r="H635" s="25" t="e">
        <f t="shared" si="95"/>
        <v>#VALUE!</v>
      </c>
      <c r="I635" s="25">
        <f t="shared" si="92"/>
        <v>120.99999999998677</v>
      </c>
      <c r="J635" s="25" t="e">
        <f t="shared" si="93"/>
        <v>#VALUE!</v>
      </c>
    </row>
    <row r="636" spans="1:10" x14ac:dyDescent="0.25">
      <c r="A636" s="25">
        <f t="shared" si="94"/>
        <v>-3.7800000000001326</v>
      </c>
      <c r="B636" s="25">
        <f t="shared" ca="1" si="87"/>
        <v>-0.15779308944179779</v>
      </c>
      <c r="C636" s="25" t="e">
        <f t="shared" si="88"/>
        <v>#VALUE!</v>
      </c>
      <c r="D636" s="74" t="e">
        <f t="shared" si="89"/>
        <v>#VALUE!</v>
      </c>
      <c r="E636" s="25" t="e">
        <f t="shared" si="90"/>
        <v>#VALUE!</v>
      </c>
      <c r="F636" s="25" t="e">
        <f t="shared" ca="1" si="91"/>
        <v>#VALUE!</v>
      </c>
      <c r="G636" s="25"/>
      <c r="H636" s="25" t="e">
        <f t="shared" si="95"/>
        <v>#VALUE!</v>
      </c>
      <c r="I636" s="25">
        <f t="shared" si="92"/>
        <v>121.99999999998674</v>
      </c>
      <c r="J636" s="25" t="e">
        <f t="shared" si="93"/>
        <v>#VALUE!</v>
      </c>
    </row>
    <row r="637" spans="1:10" x14ac:dyDescent="0.25">
      <c r="A637" s="25">
        <f t="shared" si="94"/>
        <v>-3.7700000000001328</v>
      </c>
      <c r="B637" s="25">
        <f t="shared" ca="1" si="87"/>
        <v>-1.5357966399162926E-3</v>
      </c>
      <c r="C637" s="25" t="e">
        <f t="shared" si="88"/>
        <v>#VALUE!</v>
      </c>
      <c r="D637" s="74" t="e">
        <f t="shared" si="89"/>
        <v>#VALUE!</v>
      </c>
      <c r="E637" s="25" t="e">
        <f t="shared" si="90"/>
        <v>#VALUE!</v>
      </c>
      <c r="F637" s="25" t="e">
        <f t="shared" ca="1" si="91"/>
        <v>#VALUE!</v>
      </c>
      <c r="G637" s="25"/>
      <c r="H637" s="25" t="e">
        <f t="shared" si="95"/>
        <v>#VALUE!</v>
      </c>
      <c r="I637" s="25">
        <f t="shared" si="92"/>
        <v>122.99999999998673</v>
      </c>
      <c r="J637" s="25" t="e">
        <f t="shared" si="93"/>
        <v>#VALUE!</v>
      </c>
    </row>
    <row r="638" spans="1:10" x14ac:dyDescent="0.25">
      <c r="A638" s="25">
        <f t="shared" si="94"/>
        <v>-3.760000000000133</v>
      </c>
      <c r="B638" s="25">
        <f t="shared" ca="1" si="87"/>
        <v>1.3546997281386522E-2</v>
      </c>
      <c r="C638" s="25" t="e">
        <f t="shared" si="88"/>
        <v>#VALUE!</v>
      </c>
      <c r="D638" s="74" t="e">
        <f t="shared" si="89"/>
        <v>#VALUE!</v>
      </c>
      <c r="E638" s="25" t="e">
        <f t="shared" si="90"/>
        <v>#VALUE!</v>
      </c>
      <c r="F638" s="25" t="e">
        <f t="shared" ca="1" si="91"/>
        <v>#VALUE!</v>
      </c>
      <c r="G638" s="25"/>
      <c r="H638" s="25" t="e">
        <f t="shared" si="95"/>
        <v>#VALUE!</v>
      </c>
      <c r="I638" s="25">
        <f t="shared" si="92"/>
        <v>123.9999999999867</v>
      </c>
      <c r="J638" s="25" t="e">
        <f t="shared" si="93"/>
        <v>#VALUE!</v>
      </c>
    </row>
    <row r="639" spans="1:10" x14ac:dyDescent="0.25">
      <c r="A639" s="25">
        <f t="shared" si="94"/>
        <v>-3.7500000000001332</v>
      </c>
      <c r="B639" s="25">
        <f t="shared" ca="1" si="87"/>
        <v>-3.58690865917164E-2</v>
      </c>
      <c r="C639" s="25" t="e">
        <f t="shared" si="88"/>
        <v>#VALUE!</v>
      </c>
      <c r="D639" s="74" t="e">
        <f t="shared" si="89"/>
        <v>#VALUE!</v>
      </c>
      <c r="E639" s="25" t="e">
        <f t="shared" si="90"/>
        <v>#VALUE!</v>
      </c>
      <c r="F639" s="25" t="e">
        <f t="shared" ca="1" si="91"/>
        <v>#VALUE!</v>
      </c>
      <c r="G639" s="25"/>
      <c r="H639" s="25" t="e">
        <f t="shared" si="95"/>
        <v>#VALUE!</v>
      </c>
      <c r="I639" s="25">
        <f t="shared" si="92"/>
        <v>124.99999999998667</v>
      </c>
      <c r="J639" s="25" t="e">
        <f t="shared" si="93"/>
        <v>#VALUE!</v>
      </c>
    </row>
    <row r="640" spans="1:10" x14ac:dyDescent="0.25">
      <c r="A640" s="25">
        <f t="shared" si="94"/>
        <v>-3.7400000000001334</v>
      </c>
      <c r="B640" s="25">
        <f t="shared" ca="1" si="87"/>
        <v>-0.10050035846870442</v>
      </c>
      <c r="C640" s="25" t="e">
        <f t="shared" si="88"/>
        <v>#VALUE!</v>
      </c>
      <c r="D640" s="74" t="e">
        <f t="shared" si="89"/>
        <v>#VALUE!</v>
      </c>
      <c r="E640" s="25" t="e">
        <f t="shared" si="90"/>
        <v>#VALUE!</v>
      </c>
      <c r="F640" s="25" t="e">
        <f t="shared" ca="1" si="91"/>
        <v>#VALUE!</v>
      </c>
      <c r="G640" s="25"/>
      <c r="H640" s="25" t="e">
        <f t="shared" si="95"/>
        <v>#VALUE!</v>
      </c>
      <c r="I640" s="25">
        <f t="shared" si="92"/>
        <v>125.99999999998666</v>
      </c>
      <c r="J640" s="25" t="e">
        <f t="shared" si="93"/>
        <v>#VALUE!</v>
      </c>
    </row>
    <row r="641" spans="1:10" x14ac:dyDescent="0.25">
      <c r="A641" s="25">
        <f t="shared" si="94"/>
        <v>-3.7300000000001337</v>
      </c>
      <c r="B641" s="25">
        <f t="shared" ca="1" si="87"/>
        <v>-4.1587957434902852E-2</v>
      </c>
      <c r="C641" s="25" t="e">
        <f t="shared" si="88"/>
        <v>#VALUE!</v>
      </c>
      <c r="D641" s="74" t="e">
        <f t="shared" si="89"/>
        <v>#VALUE!</v>
      </c>
      <c r="E641" s="25" t="e">
        <f t="shared" si="90"/>
        <v>#VALUE!</v>
      </c>
      <c r="F641" s="25" t="e">
        <f t="shared" ca="1" si="91"/>
        <v>#VALUE!</v>
      </c>
      <c r="G641" s="25"/>
      <c r="H641" s="25" t="e">
        <f t="shared" si="95"/>
        <v>#VALUE!</v>
      </c>
      <c r="I641" s="25">
        <f t="shared" si="92"/>
        <v>126.99999999998663</v>
      </c>
      <c r="J641" s="25" t="e">
        <f t="shared" si="93"/>
        <v>#VALUE!</v>
      </c>
    </row>
    <row r="642" spans="1:10" x14ac:dyDescent="0.25">
      <c r="A642" s="25">
        <f t="shared" si="94"/>
        <v>-3.7200000000001339</v>
      </c>
      <c r="B642" s="25">
        <f t="shared" ca="1" si="87"/>
        <v>-5.3566356568496003E-2</v>
      </c>
      <c r="C642" s="25" t="e">
        <f t="shared" si="88"/>
        <v>#VALUE!</v>
      </c>
      <c r="D642" s="74" t="e">
        <f t="shared" si="89"/>
        <v>#VALUE!</v>
      </c>
      <c r="E642" s="25" t="e">
        <f t="shared" si="90"/>
        <v>#VALUE!</v>
      </c>
      <c r="F642" s="25" t="e">
        <f t="shared" ca="1" si="91"/>
        <v>#VALUE!</v>
      </c>
      <c r="G642" s="25"/>
      <c r="H642" s="25" t="e">
        <f t="shared" si="95"/>
        <v>#VALUE!</v>
      </c>
      <c r="I642" s="25">
        <f t="shared" si="92"/>
        <v>127.99999999998661</v>
      </c>
      <c r="J642" s="25" t="e">
        <f t="shared" si="93"/>
        <v>#VALUE!</v>
      </c>
    </row>
    <row r="643" spans="1:10" x14ac:dyDescent="0.25">
      <c r="A643" s="25">
        <f t="shared" si="94"/>
        <v>-3.7100000000001341</v>
      </c>
      <c r="B643" s="25">
        <f t="shared" ca="1" si="87"/>
        <v>7.2244521690308691E-2</v>
      </c>
      <c r="C643" s="25" t="e">
        <f t="shared" si="88"/>
        <v>#VALUE!</v>
      </c>
      <c r="D643" s="74" t="e">
        <f t="shared" si="89"/>
        <v>#VALUE!</v>
      </c>
      <c r="E643" s="25" t="e">
        <f t="shared" si="90"/>
        <v>#VALUE!</v>
      </c>
      <c r="F643" s="25" t="e">
        <f t="shared" ca="1" si="91"/>
        <v>#VALUE!</v>
      </c>
      <c r="G643" s="25"/>
      <c r="H643" s="25" t="e">
        <f t="shared" si="95"/>
        <v>#VALUE!</v>
      </c>
      <c r="I643" s="25">
        <f t="shared" si="92"/>
        <v>128.99999999998658</v>
      </c>
      <c r="J643" s="25" t="e">
        <f t="shared" si="93"/>
        <v>#VALUE!</v>
      </c>
    </row>
    <row r="644" spans="1:10" x14ac:dyDescent="0.25">
      <c r="A644" s="25">
        <f t="shared" si="94"/>
        <v>-3.7000000000001343</v>
      </c>
      <c r="B644" s="25">
        <f t="shared" ca="1" si="87"/>
        <v>-0.18627865805230281</v>
      </c>
      <c r="C644" s="25" t="e">
        <f t="shared" si="88"/>
        <v>#VALUE!</v>
      </c>
      <c r="D644" s="74" t="e">
        <f t="shared" si="89"/>
        <v>#VALUE!</v>
      </c>
      <c r="E644" s="25" t="e">
        <f t="shared" si="90"/>
        <v>#VALUE!</v>
      </c>
      <c r="F644" s="25" t="e">
        <f t="shared" ca="1" si="91"/>
        <v>#VALUE!</v>
      </c>
      <c r="G644" s="25"/>
      <c r="H644" s="25" t="e">
        <f t="shared" si="95"/>
        <v>#VALUE!</v>
      </c>
      <c r="I644" s="25">
        <f t="shared" si="92"/>
        <v>129.99999999998656</v>
      </c>
      <c r="J644" s="25" t="e">
        <f t="shared" si="93"/>
        <v>#VALUE!</v>
      </c>
    </row>
    <row r="645" spans="1:10" x14ac:dyDescent="0.25">
      <c r="A645" s="25">
        <f t="shared" si="94"/>
        <v>-3.6900000000001345</v>
      </c>
      <c r="B645" s="25">
        <f t="shared" ca="1" si="87"/>
        <v>-0.19529704691440886</v>
      </c>
      <c r="C645" s="25" t="e">
        <f t="shared" si="88"/>
        <v>#VALUE!</v>
      </c>
      <c r="D645" s="74" t="e">
        <f t="shared" si="89"/>
        <v>#VALUE!</v>
      </c>
      <c r="E645" s="25" t="e">
        <f t="shared" si="90"/>
        <v>#VALUE!</v>
      </c>
      <c r="F645" s="25" t="e">
        <f t="shared" ca="1" si="91"/>
        <v>#VALUE!</v>
      </c>
      <c r="G645" s="25"/>
      <c r="H645" s="25" t="e">
        <f t="shared" si="95"/>
        <v>#VALUE!</v>
      </c>
      <c r="I645" s="25">
        <f t="shared" si="92"/>
        <v>130.99999999998653</v>
      </c>
      <c r="J645" s="25" t="e">
        <f t="shared" si="93"/>
        <v>#VALUE!</v>
      </c>
    </row>
    <row r="646" spans="1:10" x14ac:dyDescent="0.25">
      <c r="A646" s="25">
        <f t="shared" si="94"/>
        <v>-3.6800000000001347</v>
      </c>
      <c r="B646" s="25">
        <f t="shared" ca="1" si="87"/>
        <v>-5.8137268468070297E-2</v>
      </c>
      <c r="C646" s="25" t="e">
        <f t="shared" si="88"/>
        <v>#VALUE!</v>
      </c>
      <c r="D646" s="74" t="e">
        <f t="shared" si="89"/>
        <v>#VALUE!</v>
      </c>
      <c r="E646" s="25" t="e">
        <f t="shared" si="90"/>
        <v>#VALUE!</v>
      </c>
      <c r="F646" s="25" t="e">
        <f t="shared" ca="1" si="91"/>
        <v>#VALUE!</v>
      </c>
      <c r="G646" s="25"/>
      <c r="H646" s="25" t="e">
        <f t="shared" si="95"/>
        <v>#VALUE!</v>
      </c>
      <c r="I646" s="25">
        <f t="shared" si="92"/>
        <v>131.99999999998653</v>
      </c>
      <c r="J646" s="25" t="e">
        <f t="shared" si="93"/>
        <v>#VALUE!</v>
      </c>
    </row>
    <row r="647" spans="1:10" x14ac:dyDescent="0.25">
      <c r="A647" s="25">
        <f t="shared" si="94"/>
        <v>-3.6700000000001349</v>
      </c>
      <c r="B647" s="25">
        <f t="shared" ca="1" si="87"/>
        <v>0.10270983125716844</v>
      </c>
      <c r="C647" s="25" t="e">
        <f t="shared" si="88"/>
        <v>#VALUE!</v>
      </c>
      <c r="D647" s="74" t="e">
        <f t="shared" si="89"/>
        <v>#VALUE!</v>
      </c>
      <c r="E647" s="25" t="e">
        <f t="shared" si="90"/>
        <v>#VALUE!</v>
      </c>
      <c r="F647" s="25" t="e">
        <f t="shared" ca="1" si="91"/>
        <v>#VALUE!</v>
      </c>
      <c r="G647" s="25"/>
      <c r="H647" s="25" t="e">
        <f t="shared" si="95"/>
        <v>#VALUE!</v>
      </c>
      <c r="I647" s="25">
        <f t="shared" si="92"/>
        <v>132.99999999998653</v>
      </c>
      <c r="J647" s="25" t="e">
        <f t="shared" si="93"/>
        <v>#VALUE!</v>
      </c>
    </row>
    <row r="648" spans="1:10" x14ac:dyDescent="0.25">
      <c r="A648" s="25">
        <f t="shared" si="94"/>
        <v>-3.6600000000001351</v>
      </c>
      <c r="B648" s="25">
        <f t="shared" ca="1" si="87"/>
        <v>9.2143002056998061E-2</v>
      </c>
      <c r="C648" s="25" t="e">
        <f t="shared" si="88"/>
        <v>#VALUE!</v>
      </c>
      <c r="D648" s="74" t="e">
        <f t="shared" si="89"/>
        <v>#VALUE!</v>
      </c>
      <c r="E648" s="25" t="e">
        <f t="shared" si="90"/>
        <v>#VALUE!</v>
      </c>
      <c r="F648" s="25" t="e">
        <f t="shared" ca="1" si="91"/>
        <v>#VALUE!</v>
      </c>
      <c r="G648" s="25"/>
      <c r="H648" s="25" t="e">
        <f t="shared" si="95"/>
        <v>#VALUE!</v>
      </c>
      <c r="I648" s="25">
        <f t="shared" si="92"/>
        <v>133.9999999999865</v>
      </c>
      <c r="J648" s="25" t="e">
        <f t="shared" si="93"/>
        <v>#VALUE!</v>
      </c>
    </row>
    <row r="649" spans="1:10" x14ac:dyDescent="0.25">
      <c r="A649" s="25">
        <f t="shared" si="94"/>
        <v>-3.6500000000001354</v>
      </c>
      <c r="B649" s="25">
        <f t="shared" ca="1" si="87"/>
        <v>6.9781334923749633E-2</v>
      </c>
      <c r="C649" s="25" t="e">
        <f t="shared" si="88"/>
        <v>#VALUE!</v>
      </c>
      <c r="D649" s="74" t="e">
        <f t="shared" si="89"/>
        <v>#VALUE!</v>
      </c>
      <c r="E649" s="25" t="e">
        <f t="shared" si="90"/>
        <v>#VALUE!</v>
      </c>
      <c r="F649" s="25" t="e">
        <f t="shared" ca="1" si="91"/>
        <v>#VALUE!</v>
      </c>
      <c r="G649" s="25"/>
      <c r="H649" s="25" t="e">
        <f t="shared" si="95"/>
        <v>#VALUE!</v>
      </c>
      <c r="I649" s="25">
        <f t="shared" si="92"/>
        <v>134.99999999998647</v>
      </c>
      <c r="J649" s="25" t="e">
        <f t="shared" si="93"/>
        <v>#VALUE!</v>
      </c>
    </row>
    <row r="650" spans="1:10" x14ac:dyDescent="0.25">
      <c r="A650" s="25">
        <f t="shared" si="94"/>
        <v>-3.6400000000001356</v>
      </c>
      <c r="B650" s="25">
        <f t="shared" ca="1" si="87"/>
        <v>0.11308153806666577</v>
      </c>
      <c r="C650" s="25" t="e">
        <f t="shared" si="88"/>
        <v>#VALUE!</v>
      </c>
      <c r="D650" s="74" t="e">
        <f t="shared" si="89"/>
        <v>#VALUE!</v>
      </c>
      <c r="E650" s="25" t="e">
        <f t="shared" si="90"/>
        <v>#VALUE!</v>
      </c>
      <c r="F650" s="25" t="e">
        <f t="shared" ca="1" si="91"/>
        <v>#VALUE!</v>
      </c>
      <c r="G650" s="25"/>
      <c r="H650" s="25" t="e">
        <f t="shared" si="95"/>
        <v>#VALUE!</v>
      </c>
      <c r="I650" s="25">
        <f t="shared" si="92"/>
        <v>135.99999999998644</v>
      </c>
      <c r="J650" s="25" t="e">
        <f t="shared" si="93"/>
        <v>#VALUE!</v>
      </c>
    </row>
    <row r="651" spans="1:10" x14ac:dyDescent="0.25">
      <c r="A651" s="25">
        <f t="shared" si="94"/>
        <v>-3.6300000000001358</v>
      </c>
      <c r="B651" s="25">
        <f t="shared" ca="1" si="87"/>
        <v>5.3424032316204288E-2</v>
      </c>
      <c r="C651" s="25" t="e">
        <f t="shared" si="88"/>
        <v>#VALUE!</v>
      </c>
      <c r="D651" s="74" t="e">
        <f t="shared" si="89"/>
        <v>#VALUE!</v>
      </c>
      <c r="E651" s="25" t="e">
        <f t="shared" si="90"/>
        <v>#VALUE!</v>
      </c>
      <c r="F651" s="25" t="e">
        <f t="shared" ca="1" si="91"/>
        <v>#VALUE!</v>
      </c>
      <c r="G651" s="25"/>
      <c r="H651" s="25" t="e">
        <f t="shared" si="95"/>
        <v>#VALUE!</v>
      </c>
      <c r="I651" s="25">
        <f t="shared" si="92"/>
        <v>136.99999999998641</v>
      </c>
      <c r="J651" s="25" t="e">
        <f t="shared" si="93"/>
        <v>#VALUE!</v>
      </c>
    </row>
    <row r="652" spans="1:10" x14ac:dyDescent="0.25">
      <c r="A652" s="25">
        <f t="shared" si="94"/>
        <v>-3.620000000000136</v>
      </c>
      <c r="B652" s="25">
        <f t="shared" ca="1" si="87"/>
        <v>-0.13752049857616019</v>
      </c>
      <c r="C652" s="25" t="e">
        <f t="shared" si="88"/>
        <v>#VALUE!</v>
      </c>
      <c r="D652" s="74" t="e">
        <f t="shared" si="89"/>
        <v>#VALUE!</v>
      </c>
      <c r="E652" s="25" t="e">
        <f t="shared" si="90"/>
        <v>#VALUE!</v>
      </c>
      <c r="F652" s="25" t="e">
        <f t="shared" ca="1" si="91"/>
        <v>#VALUE!</v>
      </c>
      <c r="G652" s="25"/>
      <c r="H652" s="25" t="e">
        <f t="shared" si="95"/>
        <v>#VALUE!</v>
      </c>
      <c r="I652" s="25">
        <f t="shared" si="92"/>
        <v>137.99999999998641</v>
      </c>
      <c r="J652" s="25" t="e">
        <f t="shared" si="93"/>
        <v>#VALUE!</v>
      </c>
    </row>
    <row r="653" spans="1:10" x14ac:dyDescent="0.25">
      <c r="A653" s="25">
        <f t="shared" si="94"/>
        <v>-3.6100000000001362</v>
      </c>
      <c r="B653" s="25">
        <f t="shared" ca="1" si="87"/>
        <v>0.1023803045684929</v>
      </c>
      <c r="C653" s="25" t="e">
        <f t="shared" si="88"/>
        <v>#VALUE!</v>
      </c>
      <c r="D653" s="74" t="e">
        <f t="shared" si="89"/>
        <v>#VALUE!</v>
      </c>
      <c r="E653" s="25" t="e">
        <f t="shared" si="90"/>
        <v>#VALUE!</v>
      </c>
      <c r="F653" s="25" t="e">
        <f t="shared" ca="1" si="91"/>
        <v>#VALUE!</v>
      </c>
      <c r="G653" s="25"/>
      <c r="H653" s="25" t="e">
        <f t="shared" si="95"/>
        <v>#VALUE!</v>
      </c>
      <c r="I653" s="25">
        <f t="shared" si="92"/>
        <v>138.99999999998639</v>
      </c>
      <c r="J653" s="25" t="e">
        <f t="shared" si="93"/>
        <v>#VALUE!</v>
      </c>
    </row>
    <row r="654" spans="1:10" x14ac:dyDescent="0.25">
      <c r="A654" s="25">
        <f t="shared" si="94"/>
        <v>-3.6000000000001364</v>
      </c>
      <c r="B654" s="25">
        <f t="shared" ref="B654:B717" ca="1" si="96">(RAND()-0.5-$B$7)/$B$5</f>
        <v>4.7512973222256956E-2</v>
      </c>
      <c r="C654" s="25" t="e">
        <f t="shared" ref="C654:C717" si="97">IF(ABS(A654)&lt;=($D$3/2),1,IF(ABS(A654)&lt;=($B$4/2),IF(A654&gt;0,A654*(4/(1-2*$B$4))+(2*$B$4/(2*$B$4-1)),(-A654*(4/(1-2*$B$4))+(2*$B$4/(2*$B$4-1)))),0))</f>
        <v>#VALUE!</v>
      </c>
      <c r="D654" s="74" t="e">
        <f t="shared" ref="D654:D717" si="98">IF(ABS(A654)&lt;=($D$3/4+$B$4/4),1,IF(ABS(A654)&lt;=($B$4/2),(IF(A654&gt;0,A654*(8/(1-2*$B$4))+(4*$B$4)/(2*$B$4-1),(-A654*(8/(1-2*$B$4))+(4*$B$4)/(2*$B$4-1)))),0))</f>
        <v>#VALUE!</v>
      </c>
      <c r="E654" s="25" t="e">
        <f t="shared" ref="E654:E717" si="99">IF(ABS(A654)&lt;($B$4/2), 1, 0)</f>
        <v>#VALUE!</v>
      </c>
      <c r="F654" s="25" t="e">
        <f t="shared" ref="F654:F717" ca="1" si="100">C654+B654</f>
        <v>#VALUE!</v>
      </c>
      <c r="G654" s="25"/>
      <c r="H654" s="25" t="e">
        <f t="shared" si="95"/>
        <v>#VALUE!</v>
      </c>
      <c r="I654" s="25">
        <f t="shared" ref="I654:I717" si="101">$I$3*(A654-$G$3)/($H$3-$G$3)</f>
        <v>139.99999999998636</v>
      </c>
      <c r="J654" s="25" t="e">
        <f t="shared" ref="J654:J717" si="102">H654</f>
        <v>#VALUE!</v>
      </c>
    </row>
    <row r="655" spans="1:10" x14ac:dyDescent="0.25">
      <c r="A655" s="25">
        <f t="shared" ref="A655:A718" si="103">A654+0.01</f>
        <v>-3.5900000000001366</v>
      </c>
      <c r="B655" s="25">
        <f t="shared" ca="1" si="96"/>
        <v>5.8330519877312553E-2</v>
      </c>
      <c r="C655" s="25" t="e">
        <f t="shared" si="97"/>
        <v>#VALUE!</v>
      </c>
      <c r="D655" s="74" t="e">
        <f t="shared" si="98"/>
        <v>#VALUE!</v>
      </c>
      <c r="E655" s="25" t="e">
        <f t="shared" si="99"/>
        <v>#VALUE!</v>
      </c>
      <c r="F655" s="25" t="e">
        <f t="shared" ca="1" si="100"/>
        <v>#VALUE!</v>
      </c>
      <c r="G655" s="25"/>
      <c r="H655" s="25" t="e">
        <f t="shared" si="95"/>
        <v>#VALUE!</v>
      </c>
      <c r="I655" s="25">
        <f t="shared" si="101"/>
        <v>140.99999999998633</v>
      </c>
      <c r="J655" s="25" t="e">
        <f t="shared" si="102"/>
        <v>#VALUE!</v>
      </c>
    </row>
    <row r="656" spans="1:10" x14ac:dyDescent="0.25">
      <c r="A656" s="25">
        <f t="shared" si="103"/>
        <v>-3.5800000000001369</v>
      </c>
      <c r="B656" s="25">
        <f t="shared" ca="1" si="96"/>
        <v>-0.10974610684332158</v>
      </c>
      <c r="C656" s="25" t="e">
        <f t="shared" si="97"/>
        <v>#VALUE!</v>
      </c>
      <c r="D656" s="74" t="e">
        <f t="shared" si="98"/>
        <v>#VALUE!</v>
      </c>
      <c r="E656" s="25" t="e">
        <f t="shared" si="99"/>
        <v>#VALUE!</v>
      </c>
      <c r="F656" s="25" t="e">
        <f t="shared" ca="1" si="100"/>
        <v>#VALUE!</v>
      </c>
      <c r="G656" s="25"/>
      <c r="H656" s="25" t="e">
        <f t="shared" si="95"/>
        <v>#VALUE!</v>
      </c>
      <c r="I656" s="25">
        <f t="shared" si="101"/>
        <v>141.9999999999863</v>
      </c>
      <c r="J656" s="25" t="e">
        <f t="shared" si="102"/>
        <v>#VALUE!</v>
      </c>
    </row>
    <row r="657" spans="1:10" x14ac:dyDescent="0.25">
      <c r="A657" s="25">
        <f t="shared" si="103"/>
        <v>-3.5700000000001371</v>
      </c>
      <c r="B657" s="25">
        <f t="shared" ca="1" si="96"/>
        <v>-7.9845181065158009E-3</v>
      </c>
      <c r="C657" s="25" t="e">
        <f t="shared" si="97"/>
        <v>#VALUE!</v>
      </c>
      <c r="D657" s="74" t="e">
        <f t="shared" si="98"/>
        <v>#VALUE!</v>
      </c>
      <c r="E657" s="25" t="e">
        <f t="shared" si="99"/>
        <v>#VALUE!</v>
      </c>
      <c r="F657" s="25" t="e">
        <f t="shared" ca="1" si="100"/>
        <v>#VALUE!</v>
      </c>
      <c r="G657" s="25"/>
      <c r="H657" s="25" t="e">
        <f t="shared" si="95"/>
        <v>#VALUE!</v>
      </c>
      <c r="I657" s="25">
        <f t="shared" si="101"/>
        <v>142.9999999999863</v>
      </c>
      <c r="J657" s="25" t="e">
        <f t="shared" si="102"/>
        <v>#VALUE!</v>
      </c>
    </row>
    <row r="658" spans="1:10" x14ac:dyDescent="0.25">
      <c r="A658" s="25">
        <f t="shared" si="103"/>
        <v>-3.5600000000001373</v>
      </c>
      <c r="B658" s="25">
        <f t="shared" ca="1" si="96"/>
        <v>8.6183863517456327E-2</v>
      </c>
      <c r="C658" s="25" t="e">
        <f t="shared" si="97"/>
        <v>#VALUE!</v>
      </c>
      <c r="D658" s="74" t="e">
        <f t="shared" si="98"/>
        <v>#VALUE!</v>
      </c>
      <c r="E658" s="25" t="e">
        <f t="shared" si="99"/>
        <v>#VALUE!</v>
      </c>
      <c r="F658" s="25" t="e">
        <f t="shared" ca="1" si="100"/>
        <v>#VALUE!</v>
      </c>
      <c r="G658" s="25"/>
      <c r="H658" s="25" t="e">
        <f t="shared" si="95"/>
        <v>#VALUE!</v>
      </c>
      <c r="I658" s="25">
        <f t="shared" si="101"/>
        <v>143.99999999998627</v>
      </c>
      <c r="J658" s="25" t="e">
        <f t="shared" si="102"/>
        <v>#VALUE!</v>
      </c>
    </row>
    <row r="659" spans="1:10" x14ac:dyDescent="0.25">
      <c r="A659" s="25">
        <f t="shared" si="103"/>
        <v>-3.5500000000001375</v>
      </c>
      <c r="B659" s="25">
        <f t="shared" ca="1" si="96"/>
        <v>-0.16756403146757304</v>
      </c>
      <c r="C659" s="25" t="e">
        <f t="shared" si="97"/>
        <v>#VALUE!</v>
      </c>
      <c r="D659" s="74" t="e">
        <f t="shared" si="98"/>
        <v>#VALUE!</v>
      </c>
      <c r="E659" s="25" t="e">
        <f t="shared" si="99"/>
        <v>#VALUE!</v>
      </c>
      <c r="F659" s="25" t="e">
        <f t="shared" ca="1" si="100"/>
        <v>#VALUE!</v>
      </c>
      <c r="G659" s="25"/>
      <c r="H659" s="25" t="e">
        <f t="shared" si="95"/>
        <v>#VALUE!</v>
      </c>
      <c r="I659" s="25">
        <f t="shared" si="101"/>
        <v>144.99999999998624</v>
      </c>
      <c r="J659" s="25" t="e">
        <f t="shared" si="102"/>
        <v>#VALUE!</v>
      </c>
    </row>
    <row r="660" spans="1:10" x14ac:dyDescent="0.25">
      <c r="A660" s="25">
        <f t="shared" si="103"/>
        <v>-3.5400000000001377</v>
      </c>
      <c r="B660" s="25">
        <f t="shared" ca="1" si="96"/>
        <v>-8.1254853032625182E-2</v>
      </c>
      <c r="C660" s="25" t="e">
        <f t="shared" si="97"/>
        <v>#VALUE!</v>
      </c>
      <c r="D660" s="74" t="e">
        <f t="shared" si="98"/>
        <v>#VALUE!</v>
      </c>
      <c r="E660" s="25" t="e">
        <f t="shared" si="99"/>
        <v>#VALUE!</v>
      </c>
      <c r="F660" s="25" t="e">
        <f t="shared" ca="1" si="100"/>
        <v>#VALUE!</v>
      </c>
      <c r="G660" s="25"/>
      <c r="H660" s="25" t="e">
        <f t="shared" si="95"/>
        <v>#VALUE!</v>
      </c>
      <c r="I660" s="25">
        <f t="shared" si="101"/>
        <v>145.99999999998622</v>
      </c>
      <c r="J660" s="25" t="e">
        <f t="shared" si="102"/>
        <v>#VALUE!</v>
      </c>
    </row>
    <row r="661" spans="1:10" x14ac:dyDescent="0.25">
      <c r="A661" s="25">
        <f t="shared" si="103"/>
        <v>-3.5300000000001379</v>
      </c>
      <c r="B661" s="25">
        <f t="shared" ca="1" si="96"/>
        <v>-0.10881645991733173</v>
      </c>
      <c r="C661" s="25" t="e">
        <f t="shared" si="97"/>
        <v>#VALUE!</v>
      </c>
      <c r="D661" s="74" t="e">
        <f t="shared" si="98"/>
        <v>#VALUE!</v>
      </c>
      <c r="E661" s="25" t="e">
        <f t="shared" si="99"/>
        <v>#VALUE!</v>
      </c>
      <c r="F661" s="25" t="e">
        <f t="shared" ca="1" si="100"/>
        <v>#VALUE!</v>
      </c>
      <c r="G661" s="25"/>
      <c r="H661" s="25" t="e">
        <f t="shared" si="95"/>
        <v>#VALUE!</v>
      </c>
      <c r="I661" s="25">
        <f t="shared" si="101"/>
        <v>146.99999999998619</v>
      </c>
      <c r="J661" s="25" t="e">
        <f t="shared" si="102"/>
        <v>#VALUE!</v>
      </c>
    </row>
    <row r="662" spans="1:10" x14ac:dyDescent="0.25">
      <c r="A662" s="25">
        <f t="shared" si="103"/>
        <v>-3.5200000000001381</v>
      </c>
      <c r="B662" s="25">
        <f t="shared" ca="1" si="96"/>
        <v>5.2002539746686956E-2</v>
      </c>
      <c r="C662" s="25" t="e">
        <f t="shared" si="97"/>
        <v>#VALUE!</v>
      </c>
      <c r="D662" s="74" t="e">
        <f t="shared" si="98"/>
        <v>#VALUE!</v>
      </c>
      <c r="E662" s="25" t="e">
        <f t="shared" si="99"/>
        <v>#VALUE!</v>
      </c>
      <c r="F662" s="25" t="e">
        <f t="shared" ca="1" si="100"/>
        <v>#VALUE!</v>
      </c>
      <c r="G662" s="25"/>
      <c r="H662" s="25" t="e">
        <f t="shared" si="95"/>
        <v>#VALUE!</v>
      </c>
      <c r="I662" s="25">
        <f t="shared" si="101"/>
        <v>147.99999999998619</v>
      </c>
      <c r="J662" s="25" t="e">
        <f t="shared" si="102"/>
        <v>#VALUE!</v>
      </c>
    </row>
    <row r="663" spans="1:10" x14ac:dyDescent="0.25">
      <c r="A663" s="25">
        <f t="shared" si="103"/>
        <v>-3.5100000000001383</v>
      </c>
      <c r="B663" s="25">
        <f t="shared" ca="1" si="96"/>
        <v>-8.501003083719634E-2</v>
      </c>
      <c r="C663" s="25" t="e">
        <f t="shared" si="97"/>
        <v>#VALUE!</v>
      </c>
      <c r="D663" s="74" t="e">
        <f t="shared" si="98"/>
        <v>#VALUE!</v>
      </c>
      <c r="E663" s="25" t="e">
        <f t="shared" si="99"/>
        <v>#VALUE!</v>
      </c>
      <c r="F663" s="25" t="e">
        <f t="shared" ca="1" si="100"/>
        <v>#VALUE!</v>
      </c>
      <c r="G663" s="25"/>
      <c r="H663" s="25" t="e">
        <f t="shared" si="95"/>
        <v>#VALUE!</v>
      </c>
      <c r="I663" s="25">
        <f t="shared" si="101"/>
        <v>148.99999999998619</v>
      </c>
      <c r="J663" s="25" t="e">
        <f t="shared" si="102"/>
        <v>#VALUE!</v>
      </c>
    </row>
    <row r="664" spans="1:10" x14ac:dyDescent="0.25">
      <c r="A664" s="25">
        <f t="shared" si="103"/>
        <v>-3.5000000000001386</v>
      </c>
      <c r="B664" s="25">
        <f t="shared" ca="1" si="96"/>
        <v>7.1939688870285443E-2</v>
      </c>
      <c r="C664" s="25" t="e">
        <f t="shared" si="97"/>
        <v>#VALUE!</v>
      </c>
      <c r="D664" s="74" t="e">
        <f t="shared" si="98"/>
        <v>#VALUE!</v>
      </c>
      <c r="E664" s="25" t="e">
        <f t="shared" si="99"/>
        <v>#VALUE!</v>
      </c>
      <c r="F664" s="25" t="e">
        <f t="shared" ca="1" si="100"/>
        <v>#VALUE!</v>
      </c>
      <c r="G664" s="25"/>
      <c r="H664" s="25" t="e">
        <f t="shared" si="95"/>
        <v>#VALUE!</v>
      </c>
      <c r="I664" s="25">
        <f t="shared" si="101"/>
        <v>149.99999999998616</v>
      </c>
      <c r="J664" s="25" t="e">
        <f t="shared" si="102"/>
        <v>#VALUE!</v>
      </c>
    </row>
    <row r="665" spans="1:10" x14ac:dyDescent="0.25">
      <c r="A665" s="25">
        <f t="shared" si="103"/>
        <v>-3.4900000000001388</v>
      </c>
      <c r="B665" s="25">
        <f t="shared" ca="1" si="96"/>
        <v>5.1718931800148589E-2</v>
      </c>
      <c r="C665" s="25" t="e">
        <f t="shared" si="97"/>
        <v>#VALUE!</v>
      </c>
      <c r="D665" s="74" t="e">
        <f t="shared" si="98"/>
        <v>#VALUE!</v>
      </c>
      <c r="E665" s="25" t="e">
        <f t="shared" si="99"/>
        <v>#VALUE!</v>
      </c>
      <c r="F665" s="25" t="e">
        <f t="shared" ca="1" si="100"/>
        <v>#VALUE!</v>
      </c>
      <c r="G665" s="25"/>
      <c r="H665" s="25" t="e">
        <f t="shared" si="95"/>
        <v>#VALUE!</v>
      </c>
      <c r="I665" s="25">
        <f t="shared" si="101"/>
        <v>150.99999999998613</v>
      </c>
      <c r="J665" s="25" t="e">
        <f t="shared" si="102"/>
        <v>#VALUE!</v>
      </c>
    </row>
    <row r="666" spans="1:10" x14ac:dyDescent="0.25">
      <c r="A666" s="25">
        <f t="shared" si="103"/>
        <v>-3.480000000000139</v>
      </c>
      <c r="B666" s="25">
        <f t="shared" ca="1" si="96"/>
        <v>-0.11510406222382945</v>
      </c>
      <c r="C666" s="25" t="e">
        <f t="shared" si="97"/>
        <v>#VALUE!</v>
      </c>
      <c r="D666" s="74" t="e">
        <f t="shared" si="98"/>
        <v>#VALUE!</v>
      </c>
      <c r="E666" s="25" t="e">
        <f t="shared" si="99"/>
        <v>#VALUE!</v>
      </c>
      <c r="F666" s="25" t="e">
        <f t="shared" ca="1" si="100"/>
        <v>#VALUE!</v>
      </c>
      <c r="G666" s="25"/>
      <c r="H666" s="25" t="e">
        <f t="shared" si="95"/>
        <v>#VALUE!</v>
      </c>
      <c r="I666" s="25">
        <f t="shared" si="101"/>
        <v>151.9999999999861</v>
      </c>
      <c r="J666" s="25" t="e">
        <f t="shared" si="102"/>
        <v>#VALUE!</v>
      </c>
    </row>
    <row r="667" spans="1:10" x14ac:dyDescent="0.25">
      <c r="A667" s="25">
        <f t="shared" si="103"/>
        <v>-3.4700000000001392</v>
      </c>
      <c r="B667" s="25">
        <f t="shared" ca="1" si="96"/>
        <v>-0.18509842958638845</v>
      </c>
      <c r="C667" s="25" t="e">
        <f t="shared" si="97"/>
        <v>#VALUE!</v>
      </c>
      <c r="D667" s="74" t="e">
        <f t="shared" si="98"/>
        <v>#VALUE!</v>
      </c>
      <c r="E667" s="25" t="e">
        <f t="shared" si="99"/>
        <v>#VALUE!</v>
      </c>
      <c r="F667" s="25" t="e">
        <f t="shared" ca="1" si="100"/>
        <v>#VALUE!</v>
      </c>
      <c r="G667" s="25"/>
      <c r="H667" s="25" t="e">
        <f t="shared" si="95"/>
        <v>#VALUE!</v>
      </c>
      <c r="I667" s="25">
        <f t="shared" si="101"/>
        <v>152.99999999998607</v>
      </c>
      <c r="J667" s="25" t="e">
        <f t="shared" si="102"/>
        <v>#VALUE!</v>
      </c>
    </row>
    <row r="668" spans="1:10" x14ac:dyDescent="0.25">
      <c r="A668" s="25">
        <f t="shared" si="103"/>
        <v>-3.4600000000001394</v>
      </c>
      <c r="B668" s="25">
        <f t="shared" ca="1" si="96"/>
        <v>2.9720548973695832E-2</v>
      </c>
      <c r="C668" s="25" t="e">
        <f t="shared" si="97"/>
        <v>#VALUE!</v>
      </c>
      <c r="D668" s="74" t="e">
        <f t="shared" si="98"/>
        <v>#VALUE!</v>
      </c>
      <c r="E668" s="25" t="e">
        <f t="shared" si="99"/>
        <v>#VALUE!</v>
      </c>
      <c r="F668" s="25" t="e">
        <f t="shared" ca="1" si="100"/>
        <v>#VALUE!</v>
      </c>
      <c r="G668" s="25"/>
      <c r="H668" s="25" t="e">
        <f t="shared" si="95"/>
        <v>#VALUE!</v>
      </c>
      <c r="I668" s="25">
        <f t="shared" si="101"/>
        <v>153.99999999998607</v>
      </c>
      <c r="J668" s="25" t="e">
        <f t="shared" si="102"/>
        <v>#VALUE!</v>
      </c>
    </row>
    <row r="669" spans="1:10" x14ac:dyDescent="0.25">
      <c r="A669" s="25">
        <f t="shared" si="103"/>
        <v>-3.4500000000001396</v>
      </c>
      <c r="B669" s="25">
        <f t="shared" ca="1" si="96"/>
        <v>8.4539445615778419E-2</v>
      </c>
      <c r="C669" s="25" t="e">
        <f t="shared" si="97"/>
        <v>#VALUE!</v>
      </c>
      <c r="D669" s="74" t="e">
        <f t="shared" si="98"/>
        <v>#VALUE!</v>
      </c>
      <c r="E669" s="25" t="e">
        <f t="shared" si="99"/>
        <v>#VALUE!</v>
      </c>
      <c r="F669" s="25" t="e">
        <f t="shared" ca="1" si="100"/>
        <v>#VALUE!</v>
      </c>
      <c r="G669" s="25"/>
      <c r="H669" s="25" t="e">
        <f t="shared" si="95"/>
        <v>#VALUE!</v>
      </c>
      <c r="I669" s="25">
        <f t="shared" si="101"/>
        <v>154.99999999998604</v>
      </c>
      <c r="J669" s="25" t="e">
        <f t="shared" si="102"/>
        <v>#VALUE!</v>
      </c>
    </row>
    <row r="670" spans="1:10" x14ac:dyDescent="0.25">
      <c r="A670" s="25">
        <f t="shared" si="103"/>
        <v>-3.4400000000001398</v>
      </c>
      <c r="B670" s="25">
        <f t="shared" ca="1" si="96"/>
        <v>-4.0898857801187523E-2</v>
      </c>
      <c r="C670" s="25" t="e">
        <f t="shared" si="97"/>
        <v>#VALUE!</v>
      </c>
      <c r="D670" s="74" t="e">
        <f t="shared" si="98"/>
        <v>#VALUE!</v>
      </c>
      <c r="E670" s="25" t="e">
        <f t="shared" si="99"/>
        <v>#VALUE!</v>
      </c>
      <c r="F670" s="25" t="e">
        <f t="shared" ca="1" si="100"/>
        <v>#VALUE!</v>
      </c>
      <c r="G670" s="25"/>
      <c r="H670" s="25" t="e">
        <f t="shared" ref="H670:H733" si="104">IF(PeakShape=$O$3,C670,IF(PeakShape=O672,D670,E670))</f>
        <v>#VALUE!</v>
      </c>
      <c r="I670" s="25">
        <f t="shared" si="101"/>
        <v>155.99999999998602</v>
      </c>
      <c r="J670" s="25" t="e">
        <f t="shared" si="102"/>
        <v>#VALUE!</v>
      </c>
    </row>
    <row r="671" spans="1:10" x14ac:dyDescent="0.25">
      <c r="A671" s="25">
        <f t="shared" si="103"/>
        <v>-3.43000000000014</v>
      </c>
      <c r="B671" s="25">
        <f t="shared" ca="1" si="96"/>
        <v>-4.0853453540272304E-2</v>
      </c>
      <c r="C671" s="25" t="e">
        <f t="shared" si="97"/>
        <v>#VALUE!</v>
      </c>
      <c r="D671" s="74" t="e">
        <f t="shared" si="98"/>
        <v>#VALUE!</v>
      </c>
      <c r="E671" s="25" t="e">
        <f t="shared" si="99"/>
        <v>#VALUE!</v>
      </c>
      <c r="F671" s="25" t="e">
        <f t="shared" ca="1" si="100"/>
        <v>#VALUE!</v>
      </c>
      <c r="G671" s="25"/>
      <c r="H671" s="25" t="e">
        <f t="shared" si="104"/>
        <v>#VALUE!</v>
      </c>
      <c r="I671" s="25">
        <f t="shared" si="101"/>
        <v>156.99999999998599</v>
      </c>
      <c r="J671" s="25" t="e">
        <f t="shared" si="102"/>
        <v>#VALUE!</v>
      </c>
    </row>
    <row r="672" spans="1:10" x14ac:dyDescent="0.25">
      <c r="A672" s="25">
        <f t="shared" si="103"/>
        <v>-3.4200000000001403</v>
      </c>
      <c r="B672" s="25">
        <f t="shared" ca="1" si="96"/>
        <v>-6.0646504649159078E-2</v>
      </c>
      <c r="C672" s="25" t="e">
        <f t="shared" si="97"/>
        <v>#VALUE!</v>
      </c>
      <c r="D672" s="74" t="e">
        <f t="shared" si="98"/>
        <v>#VALUE!</v>
      </c>
      <c r="E672" s="25" t="e">
        <f t="shared" si="99"/>
        <v>#VALUE!</v>
      </c>
      <c r="F672" s="25" t="e">
        <f t="shared" ca="1" si="100"/>
        <v>#VALUE!</v>
      </c>
      <c r="G672" s="25"/>
      <c r="H672" s="25" t="e">
        <f t="shared" si="104"/>
        <v>#VALUE!</v>
      </c>
      <c r="I672" s="25">
        <f t="shared" si="101"/>
        <v>157.99999999998596</v>
      </c>
      <c r="J672" s="25" t="e">
        <f t="shared" si="102"/>
        <v>#VALUE!</v>
      </c>
    </row>
    <row r="673" spans="1:10" x14ac:dyDescent="0.25">
      <c r="A673" s="25">
        <f t="shared" si="103"/>
        <v>-3.4100000000001405</v>
      </c>
      <c r="B673" s="25">
        <f t="shared" ca="1" si="96"/>
        <v>7.365004268413901E-3</v>
      </c>
      <c r="C673" s="25" t="e">
        <f t="shared" si="97"/>
        <v>#VALUE!</v>
      </c>
      <c r="D673" s="74" t="e">
        <f t="shared" si="98"/>
        <v>#VALUE!</v>
      </c>
      <c r="E673" s="25" t="e">
        <f t="shared" si="99"/>
        <v>#VALUE!</v>
      </c>
      <c r="F673" s="25" t="e">
        <f t="shared" ca="1" si="100"/>
        <v>#VALUE!</v>
      </c>
      <c r="G673" s="25"/>
      <c r="H673" s="25" t="e">
        <f t="shared" si="104"/>
        <v>#VALUE!</v>
      </c>
      <c r="I673" s="25">
        <f t="shared" si="101"/>
        <v>158.99999999998596</v>
      </c>
      <c r="J673" s="25" t="e">
        <f t="shared" si="102"/>
        <v>#VALUE!</v>
      </c>
    </row>
    <row r="674" spans="1:10" x14ac:dyDescent="0.25">
      <c r="A674" s="25">
        <f t="shared" si="103"/>
        <v>-3.4000000000001407</v>
      </c>
      <c r="B674" s="25">
        <f t="shared" ca="1" si="96"/>
        <v>0.11196889624654316</v>
      </c>
      <c r="C674" s="25" t="e">
        <f t="shared" si="97"/>
        <v>#VALUE!</v>
      </c>
      <c r="D674" s="74" t="e">
        <f t="shared" si="98"/>
        <v>#VALUE!</v>
      </c>
      <c r="E674" s="25" t="e">
        <f t="shared" si="99"/>
        <v>#VALUE!</v>
      </c>
      <c r="F674" s="25" t="e">
        <f t="shared" ca="1" si="100"/>
        <v>#VALUE!</v>
      </c>
      <c r="G674" s="25"/>
      <c r="H674" s="25" t="e">
        <f t="shared" si="104"/>
        <v>#VALUE!</v>
      </c>
      <c r="I674" s="25">
        <f t="shared" si="101"/>
        <v>159.99999999998593</v>
      </c>
      <c r="J674" s="25" t="e">
        <f t="shared" si="102"/>
        <v>#VALUE!</v>
      </c>
    </row>
    <row r="675" spans="1:10" x14ac:dyDescent="0.25">
      <c r="A675" s="25">
        <f t="shared" si="103"/>
        <v>-3.3900000000001409</v>
      </c>
      <c r="B675" s="25">
        <f t="shared" ca="1" si="96"/>
        <v>3.1055139338574168E-2</v>
      </c>
      <c r="C675" s="25" t="e">
        <f t="shared" si="97"/>
        <v>#VALUE!</v>
      </c>
      <c r="D675" s="74" t="e">
        <f t="shared" si="98"/>
        <v>#VALUE!</v>
      </c>
      <c r="E675" s="25" t="e">
        <f t="shared" si="99"/>
        <v>#VALUE!</v>
      </c>
      <c r="F675" s="25" t="e">
        <f t="shared" ca="1" si="100"/>
        <v>#VALUE!</v>
      </c>
      <c r="G675" s="25"/>
      <c r="H675" s="25" t="e">
        <f t="shared" si="104"/>
        <v>#VALUE!</v>
      </c>
      <c r="I675" s="25">
        <f t="shared" si="101"/>
        <v>160.9999999999859</v>
      </c>
      <c r="J675" s="25" t="e">
        <f t="shared" si="102"/>
        <v>#VALUE!</v>
      </c>
    </row>
    <row r="676" spans="1:10" x14ac:dyDescent="0.25">
      <c r="A676" s="25">
        <f t="shared" si="103"/>
        <v>-3.3800000000001411</v>
      </c>
      <c r="B676" s="25">
        <f t="shared" ca="1" si="96"/>
        <v>-0.1207566252258107</v>
      </c>
      <c r="C676" s="25" t="e">
        <f t="shared" si="97"/>
        <v>#VALUE!</v>
      </c>
      <c r="D676" s="74" t="e">
        <f t="shared" si="98"/>
        <v>#VALUE!</v>
      </c>
      <c r="E676" s="25" t="e">
        <f t="shared" si="99"/>
        <v>#VALUE!</v>
      </c>
      <c r="F676" s="25" t="e">
        <f t="shared" ca="1" si="100"/>
        <v>#VALUE!</v>
      </c>
      <c r="G676" s="25"/>
      <c r="H676" s="25" t="e">
        <f t="shared" si="104"/>
        <v>#VALUE!</v>
      </c>
      <c r="I676" s="25">
        <f t="shared" si="101"/>
        <v>161.99999999998587</v>
      </c>
      <c r="J676" s="25" t="e">
        <f t="shared" si="102"/>
        <v>#VALUE!</v>
      </c>
    </row>
    <row r="677" spans="1:10" x14ac:dyDescent="0.25">
      <c r="A677" s="25">
        <f t="shared" si="103"/>
        <v>-3.3700000000001413</v>
      </c>
      <c r="B677" s="25">
        <f t="shared" ca="1" si="96"/>
        <v>-0.1984748464500091</v>
      </c>
      <c r="C677" s="25" t="e">
        <f t="shared" si="97"/>
        <v>#VALUE!</v>
      </c>
      <c r="D677" s="74" t="e">
        <f t="shared" si="98"/>
        <v>#VALUE!</v>
      </c>
      <c r="E677" s="25" t="e">
        <f t="shared" si="99"/>
        <v>#VALUE!</v>
      </c>
      <c r="F677" s="25" t="e">
        <f t="shared" ca="1" si="100"/>
        <v>#VALUE!</v>
      </c>
      <c r="G677" s="25"/>
      <c r="H677" s="25" t="e">
        <f t="shared" si="104"/>
        <v>#VALUE!</v>
      </c>
      <c r="I677" s="25">
        <f t="shared" si="101"/>
        <v>162.99999999998585</v>
      </c>
      <c r="J677" s="25" t="e">
        <f t="shared" si="102"/>
        <v>#VALUE!</v>
      </c>
    </row>
    <row r="678" spans="1:10" x14ac:dyDescent="0.25">
      <c r="A678" s="25">
        <f t="shared" si="103"/>
        <v>-3.3600000000001415</v>
      </c>
      <c r="B678" s="25">
        <f t="shared" ca="1" si="96"/>
        <v>1.0267361023190988E-2</v>
      </c>
      <c r="C678" s="25" t="e">
        <f t="shared" si="97"/>
        <v>#VALUE!</v>
      </c>
      <c r="D678" s="74" t="e">
        <f t="shared" si="98"/>
        <v>#VALUE!</v>
      </c>
      <c r="E678" s="25" t="e">
        <f t="shared" si="99"/>
        <v>#VALUE!</v>
      </c>
      <c r="F678" s="25" t="e">
        <f t="shared" ca="1" si="100"/>
        <v>#VALUE!</v>
      </c>
      <c r="G678" s="25"/>
      <c r="H678" s="25" t="e">
        <f t="shared" si="104"/>
        <v>#VALUE!</v>
      </c>
      <c r="I678" s="25">
        <f t="shared" si="101"/>
        <v>163.99999999998585</v>
      </c>
      <c r="J678" s="25" t="e">
        <f t="shared" si="102"/>
        <v>#VALUE!</v>
      </c>
    </row>
    <row r="679" spans="1:10" x14ac:dyDescent="0.25">
      <c r="A679" s="25">
        <f t="shared" si="103"/>
        <v>-3.3500000000001418</v>
      </c>
      <c r="B679" s="25">
        <f t="shared" ca="1" si="96"/>
        <v>-2.2177400366951059E-3</v>
      </c>
      <c r="C679" s="25" t="e">
        <f t="shared" si="97"/>
        <v>#VALUE!</v>
      </c>
      <c r="D679" s="74" t="e">
        <f t="shared" si="98"/>
        <v>#VALUE!</v>
      </c>
      <c r="E679" s="25" t="e">
        <f t="shared" si="99"/>
        <v>#VALUE!</v>
      </c>
      <c r="F679" s="25" t="e">
        <f t="shared" ca="1" si="100"/>
        <v>#VALUE!</v>
      </c>
      <c r="G679" s="25"/>
      <c r="H679" s="25" t="e">
        <f t="shared" si="104"/>
        <v>#VALUE!</v>
      </c>
      <c r="I679" s="25">
        <f t="shared" si="101"/>
        <v>164.99999999998585</v>
      </c>
      <c r="J679" s="25" t="e">
        <f t="shared" si="102"/>
        <v>#VALUE!</v>
      </c>
    </row>
    <row r="680" spans="1:10" x14ac:dyDescent="0.25">
      <c r="A680" s="25">
        <f t="shared" si="103"/>
        <v>-3.340000000000142</v>
      </c>
      <c r="B680" s="25">
        <f t="shared" ca="1" si="96"/>
        <v>-0.10096317216697877</v>
      </c>
      <c r="C680" s="25" t="e">
        <f t="shared" si="97"/>
        <v>#VALUE!</v>
      </c>
      <c r="D680" s="74" t="e">
        <f t="shared" si="98"/>
        <v>#VALUE!</v>
      </c>
      <c r="E680" s="25" t="e">
        <f t="shared" si="99"/>
        <v>#VALUE!</v>
      </c>
      <c r="F680" s="25" t="e">
        <f t="shared" ca="1" si="100"/>
        <v>#VALUE!</v>
      </c>
      <c r="G680" s="25"/>
      <c r="H680" s="25" t="e">
        <f t="shared" si="104"/>
        <v>#VALUE!</v>
      </c>
      <c r="I680" s="25">
        <f t="shared" si="101"/>
        <v>165.99999999998582</v>
      </c>
      <c r="J680" s="25" t="e">
        <f t="shared" si="102"/>
        <v>#VALUE!</v>
      </c>
    </row>
    <row r="681" spans="1:10" x14ac:dyDescent="0.25">
      <c r="A681" s="25">
        <f t="shared" si="103"/>
        <v>-3.3300000000001422</v>
      </c>
      <c r="B681" s="25">
        <f t="shared" ca="1" si="96"/>
        <v>2.9688903161632557E-2</v>
      </c>
      <c r="C681" s="25" t="e">
        <f t="shared" si="97"/>
        <v>#VALUE!</v>
      </c>
      <c r="D681" s="74" t="e">
        <f t="shared" si="98"/>
        <v>#VALUE!</v>
      </c>
      <c r="E681" s="25" t="e">
        <f t="shared" si="99"/>
        <v>#VALUE!</v>
      </c>
      <c r="F681" s="25" t="e">
        <f t="shared" ca="1" si="100"/>
        <v>#VALUE!</v>
      </c>
      <c r="G681" s="25"/>
      <c r="H681" s="25" t="e">
        <f t="shared" si="104"/>
        <v>#VALUE!</v>
      </c>
      <c r="I681" s="25">
        <f t="shared" si="101"/>
        <v>166.99999999998579</v>
      </c>
      <c r="J681" s="25" t="e">
        <f t="shared" si="102"/>
        <v>#VALUE!</v>
      </c>
    </row>
    <row r="682" spans="1:10" x14ac:dyDescent="0.25">
      <c r="A682" s="25">
        <f t="shared" si="103"/>
        <v>-3.3200000000001424</v>
      </c>
      <c r="B682" s="25">
        <f t="shared" ca="1" si="96"/>
        <v>-5.1716718615352368E-2</v>
      </c>
      <c r="C682" s="25" t="e">
        <f t="shared" si="97"/>
        <v>#VALUE!</v>
      </c>
      <c r="D682" s="74" t="e">
        <f t="shared" si="98"/>
        <v>#VALUE!</v>
      </c>
      <c r="E682" s="25" t="e">
        <f t="shared" si="99"/>
        <v>#VALUE!</v>
      </c>
      <c r="F682" s="25" t="e">
        <f t="shared" ca="1" si="100"/>
        <v>#VALUE!</v>
      </c>
      <c r="G682" s="25"/>
      <c r="H682" s="25" t="e">
        <f t="shared" si="104"/>
        <v>#VALUE!</v>
      </c>
      <c r="I682" s="25">
        <f t="shared" si="101"/>
        <v>167.99999999998576</v>
      </c>
      <c r="J682" s="25" t="e">
        <f t="shared" si="102"/>
        <v>#VALUE!</v>
      </c>
    </row>
    <row r="683" spans="1:10" x14ac:dyDescent="0.25">
      <c r="A683" s="25">
        <f t="shared" si="103"/>
        <v>-3.3100000000001426</v>
      </c>
      <c r="B683" s="25">
        <f t="shared" ca="1" si="96"/>
        <v>8.5684469608488037E-2</v>
      </c>
      <c r="C683" s="25" t="e">
        <f t="shared" si="97"/>
        <v>#VALUE!</v>
      </c>
      <c r="D683" s="74" t="e">
        <f t="shared" si="98"/>
        <v>#VALUE!</v>
      </c>
      <c r="E683" s="25" t="e">
        <f t="shared" si="99"/>
        <v>#VALUE!</v>
      </c>
      <c r="F683" s="25" t="e">
        <f t="shared" ca="1" si="100"/>
        <v>#VALUE!</v>
      </c>
      <c r="G683" s="25"/>
      <c r="H683" s="25" t="e">
        <f t="shared" si="104"/>
        <v>#VALUE!</v>
      </c>
      <c r="I683" s="25">
        <f t="shared" si="101"/>
        <v>168.99999999998573</v>
      </c>
      <c r="J683" s="25" t="e">
        <f t="shared" si="102"/>
        <v>#VALUE!</v>
      </c>
    </row>
    <row r="684" spans="1:10" x14ac:dyDescent="0.25">
      <c r="A684" s="25">
        <f t="shared" si="103"/>
        <v>-3.3000000000001428</v>
      </c>
      <c r="B684" s="25">
        <f t="shared" ca="1" si="96"/>
        <v>0.12261716880487712</v>
      </c>
      <c r="C684" s="25" t="e">
        <f t="shared" si="97"/>
        <v>#VALUE!</v>
      </c>
      <c r="D684" s="74" t="e">
        <f t="shared" si="98"/>
        <v>#VALUE!</v>
      </c>
      <c r="E684" s="25" t="e">
        <f t="shared" si="99"/>
        <v>#VALUE!</v>
      </c>
      <c r="F684" s="25" t="e">
        <f t="shared" ca="1" si="100"/>
        <v>#VALUE!</v>
      </c>
      <c r="G684" s="25"/>
      <c r="H684" s="25" t="e">
        <f t="shared" si="104"/>
        <v>#VALUE!</v>
      </c>
      <c r="I684" s="25">
        <f t="shared" si="101"/>
        <v>169.99999999998573</v>
      </c>
      <c r="J684" s="25" t="e">
        <f t="shared" si="102"/>
        <v>#VALUE!</v>
      </c>
    </row>
    <row r="685" spans="1:10" x14ac:dyDescent="0.25">
      <c r="A685" s="25">
        <f t="shared" si="103"/>
        <v>-3.290000000000143</v>
      </c>
      <c r="B685" s="25">
        <f t="shared" ca="1" si="96"/>
        <v>-7.3648227293346788E-2</v>
      </c>
      <c r="C685" s="25" t="e">
        <f t="shared" si="97"/>
        <v>#VALUE!</v>
      </c>
      <c r="D685" s="74" t="e">
        <f t="shared" si="98"/>
        <v>#VALUE!</v>
      </c>
      <c r="E685" s="25" t="e">
        <f t="shared" si="99"/>
        <v>#VALUE!</v>
      </c>
      <c r="F685" s="25" t="e">
        <f t="shared" ca="1" si="100"/>
        <v>#VALUE!</v>
      </c>
      <c r="G685" s="25"/>
      <c r="H685" s="25" t="e">
        <f t="shared" si="104"/>
        <v>#VALUE!</v>
      </c>
      <c r="I685" s="25">
        <f t="shared" si="101"/>
        <v>170.9999999999857</v>
      </c>
      <c r="J685" s="25" t="e">
        <f t="shared" si="102"/>
        <v>#VALUE!</v>
      </c>
    </row>
    <row r="686" spans="1:10" x14ac:dyDescent="0.25">
      <c r="A686" s="25">
        <f t="shared" si="103"/>
        <v>-3.2800000000001432</v>
      </c>
      <c r="B686" s="25">
        <f t="shared" ca="1" si="96"/>
        <v>-2.1607757472551697E-2</v>
      </c>
      <c r="C686" s="25" t="e">
        <f t="shared" si="97"/>
        <v>#VALUE!</v>
      </c>
      <c r="D686" s="74" t="e">
        <f t="shared" si="98"/>
        <v>#VALUE!</v>
      </c>
      <c r="E686" s="25" t="e">
        <f t="shared" si="99"/>
        <v>#VALUE!</v>
      </c>
      <c r="F686" s="25" t="e">
        <f t="shared" ca="1" si="100"/>
        <v>#VALUE!</v>
      </c>
      <c r="G686" s="25"/>
      <c r="H686" s="25" t="e">
        <f t="shared" si="104"/>
        <v>#VALUE!</v>
      </c>
      <c r="I686" s="25">
        <f t="shared" si="101"/>
        <v>171.99999999998568</v>
      </c>
      <c r="J686" s="25" t="e">
        <f t="shared" si="102"/>
        <v>#VALUE!</v>
      </c>
    </row>
    <row r="687" spans="1:10" x14ac:dyDescent="0.25">
      <c r="A687" s="25">
        <f t="shared" si="103"/>
        <v>-3.2700000000001435</v>
      </c>
      <c r="B687" s="25">
        <f t="shared" ca="1" si="96"/>
        <v>-0.14330611964236398</v>
      </c>
      <c r="C687" s="25" t="e">
        <f t="shared" si="97"/>
        <v>#VALUE!</v>
      </c>
      <c r="D687" s="74" t="e">
        <f t="shared" si="98"/>
        <v>#VALUE!</v>
      </c>
      <c r="E687" s="25" t="e">
        <f t="shared" si="99"/>
        <v>#VALUE!</v>
      </c>
      <c r="F687" s="25" t="e">
        <f t="shared" ca="1" si="100"/>
        <v>#VALUE!</v>
      </c>
      <c r="G687" s="25"/>
      <c r="H687" s="25" t="e">
        <f t="shared" si="104"/>
        <v>#VALUE!</v>
      </c>
      <c r="I687" s="25">
        <f t="shared" si="101"/>
        <v>172.99999999998565</v>
      </c>
      <c r="J687" s="25" t="e">
        <f t="shared" si="102"/>
        <v>#VALUE!</v>
      </c>
    </row>
    <row r="688" spans="1:10" x14ac:dyDescent="0.25">
      <c r="A688" s="25">
        <f t="shared" si="103"/>
        <v>-3.2600000000001437</v>
      </c>
      <c r="B688" s="25">
        <f t="shared" ca="1" si="96"/>
        <v>-2.8659501709179757E-2</v>
      </c>
      <c r="C688" s="25" t="e">
        <f t="shared" si="97"/>
        <v>#VALUE!</v>
      </c>
      <c r="D688" s="74" t="e">
        <f t="shared" si="98"/>
        <v>#VALUE!</v>
      </c>
      <c r="E688" s="25" t="e">
        <f t="shared" si="99"/>
        <v>#VALUE!</v>
      </c>
      <c r="F688" s="25" t="e">
        <f t="shared" ca="1" si="100"/>
        <v>#VALUE!</v>
      </c>
      <c r="G688" s="25"/>
      <c r="H688" s="25" t="e">
        <f t="shared" si="104"/>
        <v>#VALUE!</v>
      </c>
      <c r="I688" s="25">
        <f t="shared" si="101"/>
        <v>173.99999999998562</v>
      </c>
      <c r="J688" s="25" t="e">
        <f t="shared" si="102"/>
        <v>#VALUE!</v>
      </c>
    </row>
    <row r="689" spans="1:10" x14ac:dyDescent="0.25">
      <c r="A689" s="25">
        <f t="shared" si="103"/>
        <v>-3.2500000000001439</v>
      </c>
      <c r="B689" s="25">
        <f t="shared" ca="1" si="96"/>
        <v>-0.1453952267202393</v>
      </c>
      <c r="C689" s="25" t="e">
        <f t="shared" si="97"/>
        <v>#VALUE!</v>
      </c>
      <c r="D689" s="74" t="e">
        <f t="shared" si="98"/>
        <v>#VALUE!</v>
      </c>
      <c r="E689" s="25" t="e">
        <f t="shared" si="99"/>
        <v>#VALUE!</v>
      </c>
      <c r="F689" s="25" t="e">
        <f t="shared" ca="1" si="100"/>
        <v>#VALUE!</v>
      </c>
      <c r="G689" s="25"/>
      <c r="H689" s="25" t="e">
        <f t="shared" si="104"/>
        <v>#VALUE!</v>
      </c>
      <c r="I689" s="25">
        <f t="shared" si="101"/>
        <v>174.99999999998562</v>
      </c>
      <c r="J689" s="25" t="e">
        <f t="shared" si="102"/>
        <v>#VALUE!</v>
      </c>
    </row>
    <row r="690" spans="1:10" x14ac:dyDescent="0.25">
      <c r="A690" s="25">
        <f t="shared" si="103"/>
        <v>-3.2400000000001441</v>
      </c>
      <c r="B690" s="25">
        <f t="shared" ca="1" si="96"/>
        <v>-9.1447455358871887E-2</v>
      </c>
      <c r="C690" s="25" t="e">
        <f t="shared" si="97"/>
        <v>#VALUE!</v>
      </c>
      <c r="D690" s="74" t="e">
        <f t="shared" si="98"/>
        <v>#VALUE!</v>
      </c>
      <c r="E690" s="25" t="e">
        <f t="shared" si="99"/>
        <v>#VALUE!</v>
      </c>
      <c r="F690" s="25" t="e">
        <f t="shared" ca="1" si="100"/>
        <v>#VALUE!</v>
      </c>
      <c r="G690" s="25"/>
      <c r="H690" s="25" t="e">
        <f t="shared" si="104"/>
        <v>#VALUE!</v>
      </c>
      <c r="I690" s="25">
        <f t="shared" si="101"/>
        <v>175.99999999998559</v>
      </c>
      <c r="J690" s="25" t="e">
        <f t="shared" si="102"/>
        <v>#VALUE!</v>
      </c>
    </row>
    <row r="691" spans="1:10" x14ac:dyDescent="0.25">
      <c r="A691" s="25">
        <f t="shared" si="103"/>
        <v>-3.2300000000001443</v>
      </c>
      <c r="B691" s="25">
        <f t="shared" ca="1" si="96"/>
        <v>0.12858173182416563</v>
      </c>
      <c r="C691" s="25" t="e">
        <f t="shared" si="97"/>
        <v>#VALUE!</v>
      </c>
      <c r="D691" s="74" t="e">
        <f t="shared" si="98"/>
        <v>#VALUE!</v>
      </c>
      <c r="E691" s="25" t="e">
        <f t="shared" si="99"/>
        <v>#VALUE!</v>
      </c>
      <c r="F691" s="25" t="e">
        <f t="shared" ca="1" si="100"/>
        <v>#VALUE!</v>
      </c>
      <c r="G691" s="25"/>
      <c r="H691" s="25" t="e">
        <f t="shared" si="104"/>
        <v>#VALUE!</v>
      </c>
      <c r="I691" s="25">
        <f t="shared" si="101"/>
        <v>176.99999999998556</v>
      </c>
      <c r="J691" s="25" t="e">
        <f t="shared" si="102"/>
        <v>#VALUE!</v>
      </c>
    </row>
    <row r="692" spans="1:10" x14ac:dyDescent="0.25">
      <c r="A692" s="25">
        <f t="shared" si="103"/>
        <v>-3.2200000000001445</v>
      </c>
      <c r="B692" s="25">
        <f t="shared" ca="1" si="96"/>
        <v>7.5631925323610474E-2</v>
      </c>
      <c r="C692" s="25" t="e">
        <f t="shared" si="97"/>
        <v>#VALUE!</v>
      </c>
      <c r="D692" s="74" t="e">
        <f t="shared" si="98"/>
        <v>#VALUE!</v>
      </c>
      <c r="E692" s="25" t="e">
        <f t="shared" si="99"/>
        <v>#VALUE!</v>
      </c>
      <c r="F692" s="25" t="e">
        <f t="shared" ca="1" si="100"/>
        <v>#VALUE!</v>
      </c>
      <c r="G692" s="25"/>
      <c r="H692" s="25" t="e">
        <f t="shared" si="104"/>
        <v>#VALUE!</v>
      </c>
      <c r="I692" s="25">
        <f t="shared" si="101"/>
        <v>177.99999999998553</v>
      </c>
      <c r="J692" s="25" t="e">
        <f t="shared" si="102"/>
        <v>#VALUE!</v>
      </c>
    </row>
    <row r="693" spans="1:10" x14ac:dyDescent="0.25">
      <c r="A693" s="25">
        <f t="shared" si="103"/>
        <v>-3.2100000000001447</v>
      </c>
      <c r="B693" s="25">
        <f t="shared" ca="1" si="96"/>
        <v>0.10800510254701472</v>
      </c>
      <c r="C693" s="25" t="e">
        <f t="shared" si="97"/>
        <v>#VALUE!</v>
      </c>
      <c r="D693" s="74" t="e">
        <f t="shared" si="98"/>
        <v>#VALUE!</v>
      </c>
      <c r="E693" s="25" t="e">
        <f t="shared" si="99"/>
        <v>#VALUE!</v>
      </c>
      <c r="F693" s="25" t="e">
        <f t="shared" ca="1" si="100"/>
        <v>#VALUE!</v>
      </c>
      <c r="G693" s="25"/>
      <c r="H693" s="25" t="e">
        <f t="shared" si="104"/>
        <v>#VALUE!</v>
      </c>
      <c r="I693" s="25">
        <f t="shared" si="101"/>
        <v>178.9999999999855</v>
      </c>
      <c r="J693" s="25" t="e">
        <f t="shared" si="102"/>
        <v>#VALUE!</v>
      </c>
    </row>
    <row r="694" spans="1:10" x14ac:dyDescent="0.25">
      <c r="A694" s="25">
        <f t="shared" si="103"/>
        <v>-3.200000000000145</v>
      </c>
      <c r="B694" s="25">
        <f t="shared" ca="1" si="96"/>
        <v>9.6668937829321844E-2</v>
      </c>
      <c r="C694" s="25" t="e">
        <f t="shared" si="97"/>
        <v>#VALUE!</v>
      </c>
      <c r="D694" s="74" t="e">
        <f t="shared" si="98"/>
        <v>#VALUE!</v>
      </c>
      <c r="E694" s="25" t="e">
        <f t="shared" si="99"/>
        <v>#VALUE!</v>
      </c>
      <c r="F694" s="25" t="e">
        <f t="shared" ca="1" si="100"/>
        <v>#VALUE!</v>
      </c>
      <c r="G694" s="25"/>
      <c r="H694" s="25" t="e">
        <f t="shared" si="104"/>
        <v>#VALUE!</v>
      </c>
      <c r="I694" s="25">
        <f t="shared" si="101"/>
        <v>179.9999999999855</v>
      </c>
      <c r="J694" s="25" t="e">
        <f t="shared" si="102"/>
        <v>#VALUE!</v>
      </c>
    </row>
    <row r="695" spans="1:10" x14ac:dyDescent="0.25">
      <c r="A695" s="25">
        <f t="shared" si="103"/>
        <v>-3.1900000000001452</v>
      </c>
      <c r="B695" s="25">
        <f t="shared" ca="1" si="96"/>
        <v>9.8367069334162505E-2</v>
      </c>
      <c r="C695" s="25" t="e">
        <f t="shared" si="97"/>
        <v>#VALUE!</v>
      </c>
      <c r="D695" s="74" t="e">
        <f t="shared" si="98"/>
        <v>#VALUE!</v>
      </c>
      <c r="E695" s="25" t="e">
        <f t="shared" si="99"/>
        <v>#VALUE!</v>
      </c>
      <c r="F695" s="25" t="e">
        <f t="shared" ca="1" si="100"/>
        <v>#VALUE!</v>
      </c>
      <c r="G695" s="25"/>
      <c r="H695" s="25" t="e">
        <f t="shared" si="104"/>
        <v>#VALUE!</v>
      </c>
      <c r="I695" s="25">
        <f t="shared" si="101"/>
        <v>180.9999999999855</v>
      </c>
      <c r="J695" s="25" t="e">
        <f t="shared" si="102"/>
        <v>#VALUE!</v>
      </c>
    </row>
    <row r="696" spans="1:10" x14ac:dyDescent="0.25">
      <c r="A696" s="25">
        <f t="shared" si="103"/>
        <v>-3.1800000000001454</v>
      </c>
      <c r="B696" s="25">
        <f t="shared" ca="1" si="96"/>
        <v>-8.1064837779416102E-2</v>
      </c>
      <c r="C696" s="25" t="e">
        <f t="shared" si="97"/>
        <v>#VALUE!</v>
      </c>
      <c r="D696" s="74" t="e">
        <f t="shared" si="98"/>
        <v>#VALUE!</v>
      </c>
      <c r="E696" s="25" t="e">
        <f t="shared" si="99"/>
        <v>#VALUE!</v>
      </c>
      <c r="F696" s="25" t="e">
        <f t="shared" ca="1" si="100"/>
        <v>#VALUE!</v>
      </c>
      <c r="G696" s="25"/>
      <c r="H696" s="25" t="e">
        <f t="shared" si="104"/>
        <v>#VALUE!</v>
      </c>
      <c r="I696" s="25">
        <f t="shared" si="101"/>
        <v>181.99999999998548</v>
      </c>
      <c r="J696" s="25" t="e">
        <f t="shared" si="102"/>
        <v>#VALUE!</v>
      </c>
    </row>
    <row r="697" spans="1:10" x14ac:dyDescent="0.25">
      <c r="A697" s="25">
        <f t="shared" si="103"/>
        <v>-3.1700000000001456</v>
      </c>
      <c r="B697" s="25">
        <f t="shared" ca="1" si="96"/>
        <v>-7.3254443818893317E-2</v>
      </c>
      <c r="C697" s="25" t="e">
        <f t="shared" si="97"/>
        <v>#VALUE!</v>
      </c>
      <c r="D697" s="74" t="e">
        <f t="shared" si="98"/>
        <v>#VALUE!</v>
      </c>
      <c r="E697" s="25" t="e">
        <f t="shared" si="99"/>
        <v>#VALUE!</v>
      </c>
      <c r="F697" s="25" t="e">
        <f t="shared" ca="1" si="100"/>
        <v>#VALUE!</v>
      </c>
      <c r="G697" s="25"/>
      <c r="H697" s="25" t="e">
        <f t="shared" si="104"/>
        <v>#VALUE!</v>
      </c>
      <c r="I697" s="25">
        <f t="shared" si="101"/>
        <v>182.99999999998545</v>
      </c>
      <c r="J697" s="25" t="e">
        <f t="shared" si="102"/>
        <v>#VALUE!</v>
      </c>
    </row>
    <row r="698" spans="1:10" x14ac:dyDescent="0.25">
      <c r="A698" s="25">
        <f t="shared" si="103"/>
        <v>-3.1600000000001458</v>
      </c>
      <c r="B698" s="25">
        <f t="shared" ca="1" si="96"/>
        <v>-0.11669057754139016</v>
      </c>
      <c r="C698" s="25" t="e">
        <f t="shared" si="97"/>
        <v>#VALUE!</v>
      </c>
      <c r="D698" s="74" t="e">
        <f t="shared" si="98"/>
        <v>#VALUE!</v>
      </c>
      <c r="E698" s="25" t="e">
        <f t="shared" si="99"/>
        <v>#VALUE!</v>
      </c>
      <c r="F698" s="25" t="e">
        <f t="shared" ca="1" si="100"/>
        <v>#VALUE!</v>
      </c>
      <c r="G698" s="25"/>
      <c r="H698" s="25" t="e">
        <f t="shared" si="104"/>
        <v>#VALUE!</v>
      </c>
      <c r="I698" s="25">
        <f t="shared" si="101"/>
        <v>183.99999999998542</v>
      </c>
      <c r="J698" s="25" t="e">
        <f t="shared" si="102"/>
        <v>#VALUE!</v>
      </c>
    </row>
    <row r="699" spans="1:10" x14ac:dyDescent="0.25">
      <c r="A699" s="25">
        <f t="shared" si="103"/>
        <v>-3.150000000000146</v>
      </c>
      <c r="B699" s="25">
        <f t="shared" ca="1" si="96"/>
        <v>-0.16847416259860518</v>
      </c>
      <c r="C699" s="25" t="e">
        <f t="shared" si="97"/>
        <v>#VALUE!</v>
      </c>
      <c r="D699" s="74" t="e">
        <f t="shared" si="98"/>
        <v>#VALUE!</v>
      </c>
      <c r="E699" s="25" t="e">
        <f t="shared" si="99"/>
        <v>#VALUE!</v>
      </c>
      <c r="F699" s="25" t="e">
        <f t="shared" ca="1" si="100"/>
        <v>#VALUE!</v>
      </c>
      <c r="G699" s="25"/>
      <c r="H699" s="25" t="e">
        <f t="shared" si="104"/>
        <v>#VALUE!</v>
      </c>
      <c r="I699" s="25">
        <f t="shared" si="101"/>
        <v>184.99999999998539</v>
      </c>
      <c r="J699" s="25" t="e">
        <f t="shared" si="102"/>
        <v>#VALUE!</v>
      </c>
    </row>
    <row r="700" spans="1:10" x14ac:dyDescent="0.25">
      <c r="A700" s="25">
        <f t="shared" si="103"/>
        <v>-3.1400000000001462</v>
      </c>
      <c r="B700" s="25">
        <f t="shared" ca="1" si="96"/>
        <v>0.10552890121194285</v>
      </c>
      <c r="C700" s="25" t="e">
        <f t="shared" si="97"/>
        <v>#VALUE!</v>
      </c>
      <c r="D700" s="74" t="e">
        <f t="shared" si="98"/>
        <v>#VALUE!</v>
      </c>
      <c r="E700" s="25" t="e">
        <f t="shared" si="99"/>
        <v>#VALUE!</v>
      </c>
      <c r="F700" s="25" t="e">
        <f t="shared" ca="1" si="100"/>
        <v>#VALUE!</v>
      </c>
      <c r="G700" s="25"/>
      <c r="H700" s="25" t="e">
        <f t="shared" si="104"/>
        <v>#VALUE!</v>
      </c>
      <c r="I700" s="25">
        <f t="shared" si="101"/>
        <v>185.99999999998539</v>
      </c>
      <c r="J700" s="25" t="e">
        <f t="shared" si="102"/>
        <v>#VALUE!</v>
      </c>
    </row>
    <row r="701" spans="1:10" x14ac:dyDescent="0.25">
      <c r="A701" s="25">
        <f t="shared" si="103"/>
        <v>-3.1300000000001464</v>
      </c>
      <c r="B701" s="25">
        <f t="shared" ca="1" si="96"/>
        <v>-1.426300472088198E-2</v>
      </c>
      <c r="C701" s="25" t="e">
        <f t="shared" si="97"/>
        <v>#VALUE!</v>
      </c>
      <c r="D701" s="74" t="e">
        <f t="shared" si="98"/>
        <v>#VALUE!</v>
      </c>
      <c r="E701" s="25" t="e">
        <f t="shared" si="99"/>
        <v>#VALUE!</v>
      </c>
      <c r="F701" s="25" t="e">
        <f t="shared" ca="1" si="100"/>
        <v>#VALUE!</v>
      </c>
      <c r="G701" s="25"/>
      <c r="H701" s="25" t="e">
        <f t="shared" si="104"/>
        <v>#VALUE!</v>
      </c>
      <c r="I701" s="25">
        <f t="shared" si="101"/>
        <v>186.99999999998536</v>
      </c>
      <c r="J701" s="25" t="e">
        <f t="shared" si="102"/>
        <v>#VALUE!</v>
      </c>
    </row>
    <row r="702" spans="1:10" x14ac:dyDescent="0.25">
      <c r="A702" s="25">
        <f t="shared" si="103"/>
        <v>-3.1200000000001467</v>
      </c>
      <c r="B702" s="25">
        <f t="shared" ca="1" si="96"/>
        <v>7.156261289313888E-2</v>
      </c>
      <c r="C702" s="25" t="e">
        <f t="shared" si="97"/>
        <v>#VALUE!</v>
      </c>
      <c r="D702" s="74" t="e">
        <f t="shared" si="98"/>
        <v>#VALUE!</v>
      </c>
      <c r="E702" s="25" t="e">
        <f t="shared" si="99"/>
        <v>#VALUE!</v>
      </c>
      <c r="F702" s="25" t="e">
        <f t="shared" ca="1" si="100"/>
        <v>#VALUE!</v>
      </c>
      <c r="G702" s="25"/>
      <c r="H702" s="25" t="e">
        <f t="shared" si="104"/>
        <v>#VALUE!</v>
      </c>
      <c r="I702" s="25">
        <f t="shared" si="101"/>
        <v>187.99999999998533</v>
      </c>
      <c r="J702" s="25" t="e">
        <f t="shared" si="102"/>
        <v>#VALUE!</v>
      </c>
    </row>
    <row r="703" spans="1:10" x14ac:dyDescent="0.25">
      <c r="A703" s="25">
        <f t="shared" si="103"/>
        <v>-3.1100000000001469</v>
      </c>
      <c r="B703" s="25">
        <f t="shared" ca="1" si="96"/>
        <v>-7.0022890065750104E-2</v>
      </c>
      <c r="C703" s="25" t="e">
        <f t="shared" si="97"/>
        <v>#VALUE!</v>
      </c>
      <c r="D703" s="74" t="e">
        <f t="shared" si="98"/>
        <v>#VALUE!</v>
      </c>
      <c r="E703" s="25" t="e">
        <f t="shared" si="99"/>
        <v>#VALUE!</v>
      </c>
      <c r="F703" s="25" t="e">
        <f t="shared" ca="1" si="100"/>
        <v>#VALUE!</v>
      </c>
      <c r="G703" s="25"/>
      <c r="H703" s="25" t="e">
        <f t="shared" si="104"/>
        <v>#VALUE!</v>
      </c>
      <c r="I703" s="25">
        <f t="shared" si="101"/>
        <v>188.99999999998531</v>
      </c>
      <c r="J703" s="25" t="e">
        <f t="shared" si="102"/>
        <v>#VALUE!</v>
      </c>
    </row>
    <row r="704" spans="1:10" x14ac:dyDescent="0.25">
      <c r="A704" s="25">
        <f t="shared" si="103"/>
        <v>-3.1000000000001471</v>
      </c>
      <c r="B704" s="25">
        <f t="shared" ca="1" si="96"/>
        <v>-6.8386650933468671E-2</v>
      </c>
      <c r="C704" s="25" t="e">
        <f t="shared" si="97"/>
        <v>#VALUE!</v>
      </c>
      <c r="D704" s="74" t="e">
        <f t="shared" si="98"/>
        <v>#VALUE!</v>
      </c>
      <c r="E704" s="25" t="e">
        <f t="shared" si="99"/>
        <v>#VALUE!</v>
      </c>
      <c r="F704" s="25" t="e">
        <f t="shared" ca="1" si="100"/>
        <v>#VALUE!</v>
      </c>
      <c r="G704" s="25"/>
      <c r="H704" s="25" t="e">
        <f t="shared" si="104"/>
        <v>#VALUE!</v>
      </c>
      <c r="I704" s="25">
        <f t="shared" si="101"/>
        <v>189.99999999998528</v>
      </c>
      <c r="J704" s="25" t="e">
        <f t="shared" si="102"/>
        <v>#VALUE!</v>
      </c>
    </row>
    <row r="705" spans="1:10" x14ac:dyDescent="0.25">
      <c r="A705" s="25">
        <f t="shared" si="103"/>
        <v>-3.0900000000001473</v>
      </c>
      <c r="B705" s="25">
        <f t="shared" ca="1" si="96"/>
        <v>-0.14322530928657229</v>
      </c>
      <c r="C705" s="25" t="e">
        <f t="shared" si="97"/>
        <v>#VALUE!</v>
      </c>
      <c r="D705" s="74" t="e">
        <f t="shared" si="98"/>
        <v>#VALUE!</v>
      </c>
      <c r="E705" s="25" t="e">
        <f t="shared" si="99"/>
        <v>#VALUE!</v>
      </c>
      <c r="F705" s="25" t="e">
        <f t="shared" ca="1" si="100"/>
        <v>#VALUE!</v>
      </c>
      <c r="G705" s="25"/>
      <c r="H705" s="25" t="e">
        <f t="shared" si="104"/>
        <v>#VALUE!</v>
      </c>
      <c r="I705" s="25">
        <f t="shared" si="101"/>
        <v>190.99999999998528</v>
      </c>
      <c r="J705" s="25" t="e">
        <f t="shared" si="102"/>
        <v>#VALUE!</v>
      </c>
    </row>
    <row r="706" spans="1:10" x14ac:dyDescent="0.25">
      <c r="A706" s="25">
        <f t="shared" si="103"/>
        <v>-3.0800000000001475</v>
      </c>
      <c r="B706" s="25">
        <f t="shared" ca="1" si="96"/>
        <v>9.9288863612897904E-2</v>
      </c>
      <c r="C706" s="25" t="e">
        <f t="shared" si="97"/>
        <v>#VALUE!</v>
      </c>
      <c r="D706" s="74" t="e">
        <f t="shared" si="98"/>
        <v>#VALUE!</v>
      </c>
      <c r="E706" s="25" t="e">
        <f t="shared" si="99"/>
        <v>#VALUE!</v>
      </c>
      <c r="F706" s="25" t="e">
        <f t="shared" ca="1" si="100"/>
        <v>#VALUE!</v>
      </c>
      <c r="G706" s="25"/>
      <c r="H706" s="25" t="e">
        <f t="shared" si="104"/>
        <v>#VALUE!</v>
      </c>
      <c r="I706" s="25">
        <f t="shared" si="101"/>
        <v>191.99999999998525</v>
      </c>
      <c r="J706" s="25" t="e">
        <f t="shared" si="102"/>
        <v>#VALUE!</v>
      </c>
    </row>
    <row r="707" spans="1:10" x14ac:dyDescent="0.25">
      <c r="A707" s="25">
        <f t="shared" si="103"/>
        <v>-3.0700000000001477</v>
      </c>
      <c r="B707" s="25">
        <f t="shared" ca="1" si="96"/>
        <v>4.8219016143031507E-2</v>
      </c>
      <c r="C707" s="25" t="e">
        <f t="shared" si="97"/>
        <v>#VALUE!</v>
      </c>
      <c r="D707" s="74" t="e">
        <f t="shared" si="98"/>
        <v>#VALUE!</v>
      </c>
      <c r="E707" s="25" t="e">
        <f t="shared" si="99"/>
        <v>#VALUE!</v>
      </c>
      <c r="F707" s="25" t="e">
        <f t="shared" ca="1" si="100"/>
        <v>#VALUE!</v>
      </c>
      <c r="G707" s="25"/>
      <c r="H707" s="25" t="e">
        <f t="shared" si="104"/>
        <v>#VALUE!</v>
      </c>
      <c r="I707" s="25">
        <f t="shared" si="101"/>
        <v>192.99999999998522</v>
      </c>
      <c r="J707" s="25" t="e">
        <f t="shared" si="102"/>
        <v>#VALUE!</v>
      </c>
    </row>
    <row r="708" spans="1:10" x14ac:dyDescent="0.25">
      <c r="A708" s="25">
        <f t="shared" si="103"/>
        <v>-3.0600000000001479</v>
      </c>
      <c r="B708" s="25">
        <f t="shared" ca="1" si="96"/>
        <v>-9.7042580677115645E-2</v>
      </c>
      <c r="C708" s="25" t="e">
        <f t="shared" si="97"/>
        <v>#VALUE!</v>
      </c>
      <c r="D708" s="74" t="e">
        <f t="shared" si="98"/>
        <v>#VALUE!</v>
      </c>
      <c r="E708" s="25" t="e">
        <f t="shared" si="99"/>
        <v>#VALUE!</v>
      </c>
      <c r="F708" s="25" t="e">
        <f t="shared" ca="1" si="100"/>
        <v>#VALUE!</v>
      </c>
      <c r="G708" s="25"/>
      <c r="H708" s="25" t="e">
        <f t="shared" si="104"/>
        <v>#VALUE!</v>
      </c>
      <c r="I708" s="25">
        <f t="shared" si="101"/>
        <v>193.99999999998519</v>
      </c>
      <c r="J708" s="25" t="e">
        <f t="shared" si="102"/>
        <v>#VALUE!</v>
      </c>
    </row>
    <row r="709" spans="1:10" x14ac:dyDescent="0.25">
      <c r="A709" s="25">
        <f t="shared" si="103"/>
        <v>-3.0500000000001481</v>
      </c>
      <c r="B709" s="25">
        <f t="shared" ca="1" si="96"/>
        <v>4.9993009322431919E-2</v>
      </c>
      <c r="C709" s="25" t="e">
        <f t="shared" si="97"/>
        <v>#VALUE!</v>
      </c>
      <c r="D709" s="74" t="e">
        <f t="shared" si="98"/>
        <v>#VALUE!</v>
      </c>
      <c r="E709" s="25" t="e">
        <f t="shared" si="99"/>
        <v>#VALUE!</v>
      </c>
      <c r="F709" s="25" t="e">
        <f t="shared" ca="1" si="100"/>
        <v>#VALUE!</v>
      </c>
      <c r="G709" s="25"/>
      <c r="H709" s="25" t="e">
        <f t="shared" si="104"/>
        <v>#VALUE!</v>
      </c>
      <c r="I709" s="25">
        <f t="shared" si="101"/>
        <v>194.99999999998516</v>
      </c>
      <c r="J709" s="25" t="e">
        <f t="shared" si="102"/>
        <v>#VALUE!</v>
      </c>
    </row>
    <row r="710" spans="1:10" x14ac:dyDescent="0.25">
      <c r="A710" s="25">
        <f t="shared" si="103"/>
        <v>-3.0400000000001484</v>
      </c>
      <c r="B710" s="25">
        <f t="shared" ca="1" si="96"/>
        <v>9.768605161928641E-2</v>
      </c>
      <c r="C710" s="25" t="e">
        <f t="shared" si="97"/>
        <v>#VALUE!</v>
      </c>
      <c r="D710" s="74" t="e">
        <f t="shared" si="98"/>
        <v>#VALUE!</v>
      </c>
      <c r="E710" s="25" t="e">
        <f t="shared" si="99"/>
        <v>#VALUE!</v>
      </c>
      <c r="F710" s="25" t="e">
        <f t="shared" ca="1" si="100"/>
        <v>#VALUE!</v>
      </c>
      <c r="G710" s="25"/>
      <c r="H710" s="25" t="e">
        <f t="shared" si="104"/>
        <v>#VALUE!</v>
      </c>
      <c r="I710" s="25">
        <f t="shared" si="101"/>
        <v>195.99999999998516</v>
      </c>
      <c r="J710" s="25" t="e">
        <f t="shared" si="102"/>
        <v>#VALUE!</v>
      </c>
    </row>
    <row r="711" spans="1:10" x14ac:dyDescent="0.25">
      <c r="A711" s="25">
        <f t="shared" si="103"/>
        <v>-3.0300000000001486</v>
      </c>
      <c r="B711" s="25">
        <f t="shared" ca="1" si="96"/>
        <v>-1.6852617611778153E-2</v>
      </c>
      <c r="C711" s="25" t="e">
        <f t="shared" si="97"/>
        <v>#VALUE!</v>
      </c>
      <c r="D711" s="74" t="e">
        <f t="shared" si="98"/>
        <v>#VALUE!</v>
      </c>
      <c r="E711" s="25" t="e">
        <f t="shared" si="99"/>
        <v>#VALUE!</v>
      </c>
      <c r="F711" s="25" t="e">
        <f t="shared" ca="1" si="100"/>
        <v>#VALUE!</v>
      </c>
      <c r="G711" s="25"/>
      <c r="H711" s="25" t="e">
        <f t="shared" si="104"/>
        <v>#VALUE!</v>
      </c>
      <c r="I711" s="25">
        <f t="shared" si="101"/>
        <v>196.99999999998516</v>
      </c>
      <c r="J711" s="25" t="e">
        <f t="shared" si="102"/>
        <v>#VALUE!</v>
      </c>
    </row>
    <row r="712" spans="1:10" x14ac:dyDescent="0.25">
      <c r="A712" s="25">
        <f t="shared" si="103"/>
        <v>-3.0200000000001488</v>
      </c>
      <c r="B712" s="25">
        <f t="shared" ca="1" si="96"/>
        <v>3.4778179712183992E-2</v>
      </c>
      <c r="C712" s="25" t="e">
        <f t="shared" si="97"/>
        <v>#VALUE!</v>
      </c>
      <c r="D712" s="74" t="e">
        <f t="shared" si="98"/>
        <v>#VALUE!</v>
      </c>
      <c r="E712" s="25" t="e">
        <f t="shared" si="99"/>
        <v>#VALUE!</v>
      </c>
      <c r="F712" s="25" t="e">
        <f t="shared" ca="1" si="100"/>
        <v>#VALUE!</v>
      </c>
      <c r="G712" s="25"/>
      <c r="H712" s="25" t="e">
        <f t="shared" si="104"/>
        <v>#VALUE!</v>
      </c>
      <c r="I712" s="25">
        <f t="shared" si="101"/>
        <v>197.99999999998514</v>
      </c>
      <c r="J712" s="25" t="e">
        <f t="shared" si="102"/>
        <v>#VALUE!</v>
      </c>
    </row>
    <row r="713" spans="1:10" x14ac:dyDescent="0.25">
      <c r="A713" s="25">
        <f t="shared" si="103"/>
        <v>-3.010000000000149</v>
      </c>
      <c r="B713" s="25">
        <f t="shared" ca="1" si="96"/>
        <v>0.12345187867905812</v>
      </c>
      <c r="C713" s="25" t="e">
        <f t="shared" si="97"/>
        <v>#VALUE!</v>
      </c>
      <c r="D713" s="74" t="e">
        <f t="shared" si="98"/>
        <v>#VALUE!</v>
      </c>
      <c r="E713" s="25" t="e">
        <f t="shared" si="99"/>
        <v>#VALUE!</v>
      </c>
      <c r="F713" s="25" t="e">
        <f t="shared" ca="1" si="100"/>
        <v>#VALUE!</v>
      </c>
      <c r="G713" s="25"/>
      <c r="H713" s="25" t="e">
        <f t="shared" si="104"/>
        <v>#VALUE!</v>
      </c>
      <c r="I713" s="25">
        <f t="shared" si="101"/>
        <v>198.99999999998511</v>
      </c>
      <c r="J713" s="25" t="e">
        <f t="shared" si="102"/>
        <v>#VALUE!</v>
      </c>
    </row>
    <row r="714" spans="1:10" x14ac:dyDescent="0.25">
      <c r="A714" s="25">
        <f t="shared" si="103"/>
        <v>-3.0000000000001492</v>
      </c>
      <c r="B714" s="25">
        <f t="shared" ca="1" si="96"/>
        <v>5.8241342844266948E-3</v>
      </c>
      <c r="C714" s="25" t="e">
        <f t="shared" si="97"/>
        <v>#VALUE!</v>
      </c>
      <c r="D714" s="74" t="e">
        <f t="shared" si="98"/>
        <v>#VALUE!</v>
      </c>
      <c r="E714" s="25" t="e">
        <f t="shared" si="99"/>
        <v>#VALUE!</v>
      </c>
      <c r="F714" s="25" t="e">
        <f t="shared" ca="1" si="100"/>
        <v>#VALUE!</v>
      </c>
      <c r="G714" s="25"/>
      <c r="H714" s="25" t="e">
        <f t="shared" si="104"/>
        <v>#VALUE!</v>
      </c>
      <c r="I714" s="25">
        <f t="shared" si="101"/>
        <v>199.99999999998508</v>
      </c>
      <c r="J714" s="25" t="e">
        <f t="shared" si="102"/>
        <v>#VALUE!</v>
      </c>
    </row>
    <row r="715" spans="1:10" x14ac:dyDescent="0.25">
      <c r="A715" s="25">
        <f t="shared" si="103"/>
        <v>-2.9900000000001494</v>
      </c>
      <c r="B715" s="25">
        <f t="shared" ca="1" si="96"/>
        <v>6.8504029962220228E-2</v>
      </c>
      <c r="C715" s="25" t="e">
        <f t="shared" si="97"/>
        <v>#VALUE!</v>
      </c>
      <c r="D715" s="74" t="e">
        <f t="shared" si="98"/>
        <v>#VALUE!</v>
      </c>
      <c r="E715" s="25" t="e">
        <f t="shared" si="99"/>
        <v>#VALUE!</v>
      </c>
      <c r="F715" s="25" t="e">
        <f t="shared" ca="1" si="100"/>
        <v>#VALUE!</v>
      </c>
      <c r="G715" s="25"/>
      <c r="H715" s="25" t="e">
        <f t="shared" si="104"/>
        <v>#VALUE!</v>
      </c>
      <c r="I715" s="25">
        <f t="shared" si="101"/>
        <v>200.99999999998505</v>
      </c>
      <c r="J715" s="25" t="e">
        <f t="shared" si="102"/>
        <v>#VALUE!</v>
      </c>
    </row>
    <row r="716" spans="1:10" x14ac:dyDescent="0.25">
      <c r="A716" s="25">
        <f t="shared" si="103"/>
        <v>-2.9800000000001496</v>
      </c>
      <c r="B716" s="25">
        <f t="shared" ca="1" si="96"/>
        <v>5.113791076839605E-2</v>
      </c>
      <c r="C716" s="25" t="e">
        <f t="shared" si="97"/>
        <v>#VALUE!</v>
      </c>
      <c r="D716" s="74" t="e">
        <f t="shared" si="98"/>
        <v>#VALUE!</v>
      </c>
      <c r="E716" s="25" t="e">
        <f t="shared" si="99"/>
        <v>#VALUE!</v>
      </c>
      <c r="F716" s="25" t="e">
        <f t="shared" ca="1" si="100"/>
        <v>#VALUE!</v>
      </c>
      <c r="G716" s="25"/>
      <c r="H716" s="25" t="e">
        <f t="shared" si="104"/>
        <v>#VALUE!</v>
      </c>
      <c r="I716" s="25">
        <f t="shared" si="101"/>
        <v>201.99999999998505</v>
      </c>
      <c r="J716" s="25" t="e">
        <f t="shared" si="102"/>
        <v>#VALUE!</v>
      </c>
    </row>
    <row r="717" spans="1:10" x14ac:dyDescent="0.25">
      <c r="A717" s="25">
        <f t="shared" si="103"/>
        <v>-2.9700000000001499</v>
      </c>
      <c r="B717" s="25">
        <f t="shared" ca="1" si="96"/>
        <v>-0.14211590154622156</v>
      </c>
      <c r="C717" s="25" t="e">
        <f t="shared" si="97"/>
        <v>#VALUE!</v>
      </c>
      <c r="D717" s="74" t="e">
        <f t="shared" si="98"/>
        <v>#VALUE!</v>
      </c>
      <c r="E717" s="25" t="e">
        <f t="shared" si="99"/>
        <v>#VALUE!</v>
      </c>
      <c r="F717" s="25" t="e">
        <f t="shared" ca="1" si="100"/>
        <v>#VALUE!</v>
      </c>
      <c r="G717" s="25"/>
      <c r="H717" s="25" t="e">
        <f t="shared" si="104"/>
        <v>#VALUE!</v>
      </c>
      <c r="I717" s="25">
        <f t="shared" si="101"/>
        <v>202.99999999998502</v>
      </c>
      <c r="J717" s="25" t="e">
        <f t="shared" si="102"/>
        <v>#VALUE!</v>
      </c>
    </row>
    <row r="718" spans="1:10" x14ac:dyDescent="0.25">
      <c r="A718" s="25">
        <f t="shared" si="103"/>
        <v>-2.9600000000001501</v>
      </c>
      <c r="B718" s="25">
        <f t="shared" ref="B718:B781" ca="1" si="105">(RAND()-0.5-$B$7)/$B$5</f>
        <v>-1.9505731933160231E-2</v>
      </c>
      <c r="C718" s="25" t="e">
        <f t="shared" ref="C718:C781" si="106">IF(ABS(A718)&lt;=($D$3/2),1,IF(ABS(A718)&lt;=($B$4/2),IF(A718&gt;0,A718*(4/(1-2*$B$4))+(2*$B$4/(2*$B$4-1)),(-A718*(4/(1-2*$B$4))+(2*$B$4/(2*$B$4-1)))),0))</f>
        <v>#VALUE!</v>
      </c>
      <c r="D718" s="74" t="e">
        <f t="shared" ref="D718:D781" si="107">IF(ABS(A718)&lt;=($D$3/4+$B$4/4),1,IF(ABS(A718)&lt;=($B$4/2),(IF(A718&gt;0,A718*(8/(1-2*$B$4))+(4*$B$4)/(2*$B$4-1),(-A718*(8/(1-2*$B$4))+(4*$B$4)/(2*$B$4-1)))),0))</f>
        <v>#VALUE!</v>
      </c>
      <c r="E718" s="25" t="e">
        <f t="shared" ref="E718:E781" si="108">IF(ABS(A718)&lt;($B$4/2), 1, 0)</f>
        <v>#VALUE!</v>
      </c>
      <c r="F718" s="25" t="e">
        <f t="shared" ref="F718:F781" ca="1" si="109">C718+B718</f>
        <v>#VALUE!</v>
      </c>
      <c r="G718" s="25"/>
      <c r="H718" s="25" t="e">
        <f t="shared" si="104"/>
        <v>#VALUE!</v>
      </c>
      <c r="I718" s="25">
        <f t="shared" ref="I718:I781" si="110">$I$3*(A718-$G$3)/($H$3-$G$3)</f>
        <v>203.99999999998499</v>
      </c>
      <c r="J718" s="25" t="e">
        <f t="shared" ref="J718:J781" si="111">H718</f>
        <v>#VALUE!</v>
      </c>
    </row>
    <row r="719" spans="1:10" x14ac:dyDescent="0.25">
      <c r="A719" s="25">
        <f t="shared" ref="A719:A782" si="112">A718+0.01</f>
        <v>-2.9500000000001503</v>
      </c>
      <c r="B719" s="25">
        <f t="shared" ca="1" si="105"/>
        <v>-4.3190530612917194E-2</v>
      </c>
      <c r="C719" s="25" t="e">
        <f t="shared" si="106"/>
        <v>#VALUE!</v>
      </c>
      <c r="D719" s="74" t="e">
        <f t="shared" si="107"/>
        <v>#VALUE!</v>
      </c>
      <c r="E719" s="25" t="e">
        <f t="shared" si="108"/>
        <v>#VALUE!</v>
      </c>
      <c r="F719" s="25" t="e">
        <f t="shared" ca="1" si="109"/>
        <v>#VALUE!</v>
      </c>
      <c r="G719" s="25"/>
      <c r="H719" s="25" t="e">
        <f t="shared" si="104"/>
        <v>#VALUE!</v>
      </c>
      <c r="I719" s="25">
        <f t="shared" si="110"/>
        <v>204.99999999998499</v>
      </c>
      <c r="J719" s="25" t="e">
        <f t="shared" si="111"/>
        <v>#VALUE!</v>
      </c>
    </row>
    <row r="720" spans="1:10" x14ac:dyDescent="0.25">
      <c r="A720" s="25">
        <f t="shared" si="112"/>
        <v>-2.9400000000001505</v>
      </c>
      <c r="B720" s="25">
        <f t="shared" ca="1" si="105"/>
        <v>-5.5790254079652886E-2</v>
      </c>
      <c r="C720" s="25" t="e">
        <f t="shared" si="106"/>
        <v>#VALUE!</v>
      </c>
      <c r="D720" s="74" t="e">
        <f t="shared" si="107"/>
        <v>#VALUE!</v>
      </c>
      <c r="E720" s="25" t="e">
        <f t="shared" si="108"/>
        <v>#VALUE!</v>
      </c>
      <c r="F720" s="25" t="e">
        <f t="shared" ca="1" si="109"/>
        <v>#VALUE!</v>
      </c>
      <c r="G720" s="25"/>
      <c r="H720" s="25" t="e">
        <f t="shared" si="104"/>
        <v>#VALUE!</v>
      </c>
      <c r="I720" s="25">
        <f t="shared" si="110"/>
        <v>205.99999999998494</v>
      </c>
      <c r="J720" s="25" t="e">
        <f t="shared" si="111"/>
        <v>#VALUE!</v>
      </c>
    </row>
    <row r="721" spans="1:10" x14ac:dyDescent="0.25">
      <c r="A721" s="25">
        <f t="shared" si="112"/>
        <v>-2.9300000000001507</v>
      </c>
      <c r="B721" s="25">
        <f t="shared" ca="1" si="105"/>
        <v>0.12849668957705773</v>
      </c>
      <c r="C721" s="25" t="e">
        <f t="shared" si="106"/>
        <v>#VALUE!</v>
      </c>
      <c r="D721" s="74" t="e">
        <f t="shared" si="107"/>
        <v>#VALUE!</v>
      </c>
      <c r="E721" s="25" t="e">
        <f t="shared" si="108"/>
        <v>#VALUE!</v>
      </c>
      <c r="F721" s="25" t="e">
        <f t="shared" ca="1" si="109"/>
        <v>#VALUE!</v>
      </c>
      <c r="G721" s="25"/>
      <c r="H721" s="25" t="e">
        <f t="shared" si="104"/>
        <v>#VALUE!</v>
      </c>
      <c r="I721" s="25">
        <f t="shared" si="110"/>
        <v>206.99999999998494</v>
      </c>
      <c r="J721" s="25" t="e">
        <f t="shared" si="111"/>
        <v>#VALUE!</v>
      </c>
    </row>
    <row r="722" spans="1:10" x14ac:dyDescent="0.25">
      <c r="A722" s="25">
        <f t="shared" si="112"/>
        <v>-2.9200000000001509</v>
      </c>
      <c r="B722" s="25">
        <f t="shared" ca="1" si="105"/>
        <v>-0.13468163160880262</v>
      </c>
      <c r="C722" s="25" t="e">
        <f t="shared" si="106"/>
        <v>#VALUE!</v>
      </c>
      <c r="D722" s="74" t="e">
        <f t="shared" si="107"/>
        <v>#VALUE!</v>
      </c>
      <c r="E722" s="25" t="e">
        <f t="shared" si="108"/>
        <v>#VALUE!</v>
      </c>
      <c r="F722" s="25" t="e">
        <f t="shared" ca="1" si="109"/>
        <v>#VALUE!</v>
      </c>
      <c r="G722" s="25"/>
      <c r="H722" s="25" t="e">
        <f t="shared" si="104"/>
        <v>#VALUE!</v>
      </c>
      <c r="I722" s="25">
        <f t="shared" si="110"/>
        <v>207.99999999998491</v>
      </c>
      <c r="J722" s="25" t="e">
        <f t="shared" si="111"/>
        <v>#VALUE!</v>
      </c>
    </row>
    <row r="723" spans="1:10" x14ac:dyDescent="0.25">
      <c r="A723" s="25">
        <f t="shared" si="112"/>
        <v>-2.9100000000001511</v>
      </c>
      <c r="B723" s="25">
        <f t="shared" ca="1" si="105"/>
        <v>-0.16332871044817887</v>
      </c>
      <c r="C723" s="25" t="e">
        <f t="shared" si="106"/>
        <v>#VALUE!</v>
      </c>
      <c r="D723" s="74" t="e">
        <f t="shared" si="107"/>
        <v>#VALUE!</v>
      </c>
      <c r="E723" s="25" t="e">
        <f t="shared" si="108"/>
        <v>#VALUE!</v>
      </c>
      <c r="F723" s="25" t="e">
        <f t="shared" ca="1" si="109"/>
        <v>#VALUE!</v>
      </c>
      <c r="G723" s="25"/>
      <c r="H723" s="25" t="e">
        <f t="shared" si="104"/>
        <v>#VALUE!</v>
      </c>
      <c r="I723" s="25">
        <f t="shared" si="110"/>
        <v>208.99999999998491</v>
      </c>
      <c r="J723" s="25" t="e">
        <f t="shared" si="111"/>
        <v>#VALUE!</v>
      </c>
    </row>
    <row r="724" spans="1:10" x14ac:dyDescent="0.25">
      <c r="A724" s="25">
        <f t="shared" si="112"/>
        <v>-2.9000000000001513</v>
      </c>
      <c r="B724" s="25">
        <f t="shared" ca="1" si="105"/>
        <v>0.12934802923268618</v>
      </c>
      <c r="C724" s="25" t="e">
        <f t="shared" si="106"/>
        <v>#VALUE!</v>
      </c>
      <c r="D724" s="74" t="e">
        <f t="shared" si="107"/>
        <v>#VALUE!</v>
      </c>
      <c r="E724" s="25" t="e">
        <f t="shared" si="108"/>
        <v>#VALUE!</v>
      </c>
      <c r="F724" s="25" t="e">
        <f t="shared" ca="1" si="109"/>
        <v>#VALUE!</v>
      </c>
      <c r="G724" s="25"/>
      <c r="H724" s="25" t="e">
        <f t="shared" si="104"/>
        <v>#VALUE!</v>
      </c>
      <c r="I724" s="25">
        <f t="shared" si="110"/>
        <v>209.99999999998485</v>
      </c>
      <c r="J724" s="25" t="e">
        <f t="shared" si="111"/>
        <v>#VALUE!</v>
      </c>
    </row>
    <row r="725" spans="1:10" x14ac:dyDescent="0.25">
      <c r="A725" s="25">
        <f t="shared" si="112"/>
        <v>-2.8900000000001516</v>
      </c>
      <c r="B725" s="25">
        <f t="shared" ca="1" si="105"/>
        <v>-8.2924951307512776E-2</v>
      </c>
      <c r="C725" s="25" t="e">
        <f t="shared" si="106"/>
        <v>#VALUE!</v>
      </c>
      <c r="D725" s="74" t="e">
        <f t="shared" si="107"/>
        <v>#VALUE!</v>
      </c>
      <c r="E725" s="25" t="e">
        <f t="shared" si="108"/>
        <v>#VALUE!</v>
      </c>
      <c r="F725" s="25" t="e">
        <f t="shared" ca="1" si="109"/>
        <v>#VALUE!</v>
      </c>
      <c r="G725" s="25"/>
      <c r="H725" s="25" t="e">
        <f t="shared" si="104"/>
        <v>#VALUE!</v>
      </c>
      <c r="I725" s="25">
        <f t="shared" si="110"/>
        <v>210.99999999998485</v>
      </c>
      <c r="J725" s="25" t="e">
        <f t="shared" si="111"/>
        <v>#VALUE!</v>
      </c>
    </row>
    <row r="726" spans="1:10" x14ac:dyDescent="0.25">
      <c r="A726" s="25">
        <f t="shared" si="112"/>
        <v>-2.8800000000001518</v>
      </c>
      <c r="B726" s="25">
        <f t="shared" ca="1" si="105"/>
        <v>0.13174627038496547</v>
      </c>
      <c r="C726" s="25" t="e">
        <f t="shared" si="106"/>
        <v>#VALUE!</v>
      </c>
      <c r="D726" s="74" t="e">
        <f t="shared" si="107"/>
        <v>#VALUE!</v>
      </c>
      <c r="E726" s="25" t="e">
        <f t="shared" si="108"/>
        <v>#VALUE!</v>
      </c>
      <c r="F726" s="25" t="e">
        <f t="shared" ca="1" si="109"/>
        <v>#VALUE!</v>
      </c>
      <c r="G726" s="25"/>
      <c r="H726" s="25" t="e">
        <f t="shared" si="104"/>
        <v>#VALUE!</v>
      </c>
      <c r="I726" s="25">
        <f t="shared" si="110"/>
        <v>211.99999999998482</v>
      </c>
      <c r="J726" s="25" t="e">
        <f t="shared" si="111"/>
        <v>#VALUE!</v>
      </c>
    </row>
    <row r="727" spans="1:10" x14ac:dyDescent="0.25">
      <c r="A727" s="25">
        <f t="shared" si="112"/>
        <v>-2.870000000000152</v>
      </c>
      <c r="B727" s="25">
        <f t="shared" ca="1" si="105"/>
        <v>1.8371165809999118E-2</v>
      </c>
      <c r="C727" s="25" t="e">
        <f t="shared" si="106"/>
        <v>#VALUE!</v>
      </c>
      <c r="D727" s="74" t="e">
        <f t="shared" si="107"/>
        <v>#VALUE!</v>
      </c>
      <c r="E727" s="25" t="e">
        <f t="shared" si="108"/>
        <v>#VALUE!</v>
      </c>
      <c r="F727" s="25" t="e">
        <f t="shared" ca="1" si="109"/>
        <v>#VALUE!</v>
      </c>
      <c r="G727" s="25"/>
      <c r="H727" s="25" t="e">
        <f t="shared" si="104"/>
        <v>#VALUE!</v>
      </c>
      <c r="I727" s="25">
        <f t="shared" si="110"/>
        <v>212.99999999998482</v>
      </c>
      <c r="J727" s="25" t="e">
        <f t="shared" si="111"/>
        <v>#VALUE!</v>
      </c>
    </row>
    <row r="728" spans="1:10" x14ac:dyDescent="0.25">
      <c r="A728" s="25">
        <f t="shared" si="112"/>
        <v>-2.8600000000001522</v>
      </c>
      <c r="B728" s="25">
        <f t="shared" ca="1" si="105"/>
        <v>-0.11809149369140186</v>
      </c>
      <c r="C728" s="25" t="e">
        <f t="shared" si="106"/>
        <v>#VALUE!</v>
      </c>
      <c r="D728" s="74" t="e">
        <f t="shared" si="107"/>
        <v>#VALUE!</v>
      </c>
      <c r="E728" s="25" t="e">
        <f t="shared" si="108"/>
        <v>#VALUE!</v>
      </c>
      <c r="F728" s="25" t="e">
        <f t="shared" ca="1" si="109"/>
        <v>#VALUE!</v>
      </c>
      <c r="G728" s="25"/>
      <c r="H728" s="25" t="e">
        <f t="shared" si="104"/>
        <v>#VALUE!</v>
      </c>
      <c r="I728" s="25">
        <f t="shared" si="110"/>
        <v>213.99999999998477</v>
      </c>
      <c r="J728" s="25" t="e">
        <f t="shared" si="111"/>
        <v>#VALUE!</v>
      </c>
    </row>
    <row r="729" spans="1:10" x14ac:dyDescent="0.25">
      <c r="A729" s="25">
        <f t="shared" si="112"/>
        <v>-2.8500000000001524</v>
      </c>
      <c r="B729" s="25">
        <f t="shared" ca="1" si="105"/>
        <v>-7.8333357549631347E-2</v>
      </c>
      <c r="C729" s="25" t="e">
        <f t="shared" si="106"/>
        <v>#VALUE!</v>
      </c>
      <c r="D729" s="74" t="e">
        <f t="shared" si="107"/>
        <v>#VALUE!</v>
      </c>
      <c r="E729" s="25" t="e">
        <f t="shared" si="108"/>
        <v>#VALUE!</v>
      </c>
      <c r="F729" s="25" t="e">
        <f t="shared" ca="1" si="109"/>
        <v>#VALUE!</v>
      </c>
      <c r="G729" s="25"/>
      <c r="H729" s="25" t="e">
        <f t="shared" si="104"/>
        <v>#VALUE!</v>
      </c>
      <c r="I729" s="25">
        <f t="shared" si="110"/>
        <v>214.99999999998477</v>
      </c>
      <c r="J729" s="25" t="e">
        <f t="shared" si="111"/>
        <v>#VALUE!</v>
      </c>
    </row>
    <row r="730" spans="1:10" x14ac:dyDescent="0.25">
      <c r="A730" s="25">
        <f t="shared" si="112"/>
        <v>-2.8400000000001526</v>
      </c>
      <c r="B730" s="25">
        <f t="shared" ca="1" si="105"/>
        <v>5.307941322328516E-2</v>
      </c>
      <c r="C730" s="25" t="e">
        <f t="shared" si="106"/>
        <v>#VALUE!</v>
      </c>
      <c r="D730" s="74" t="e">
        <f t="shared" si="107"/>
        <v>#VALUE!</v>
      </c>
      <c r="E730" s="25" t="e">
        <f t="shared" si="108"/>
        <v>#VALUE!</v>
      </c>
      <c r="F730" s="25" t="e">
        <f t="shared" ca="1" si="109"/>
        <v>#VALUE!</v>
      </c>
      <c r="G730" s="25"/>
      <c r="H730" s="25" t="e">
        <f t="shared" si="104"/>
        <v>#VALUE!</v>
      </c>
      <c r="I730" s="25">
        <f t="shared" si="110"/>
        <v>215.99999999998471</v>
      </c>
      <c r="J730" s="25" t="e">
        <f t="shared" si="111"/>
        <v>#VALUE!</v>
      </c>
    </row>
    <row r="731" spans="1:10" x14ac:dyDescent="0.25">
      <c r="A731" s="25">
        <f t="shared" si="112"/>
        <v>-2.8300000000001528</v>
      </c>
      <c r="B731" s="25">
        <f t="shared" ca="1" si="105"/>
        <v>4.3067141124714763E-2</v>
      </c>
      <c r="C731" s="25" t="e">
        <f t="shared" si="106"/>
        <v>#VALUE!</v>
      </c>
      <c r="D731" s="74" t="e">
        <f t="shared" si="107"/>
        <v>#VALUE!</v>
      </c>
      <c r="E731" s="25" t="e">
        <f t="shared" si="108"/>
        <v>#VALUE!</v>
      </c>
      <c r="F731" s="25" t="e">
        <f t="shared" ca="1" si="109"/>
        <v>#VALUE!</v>
      </c>
      <c r="G731" s="25"/>
      <c r="H731" s="25" t="e">
        <f t="shared" si="104"/>
        <v>#VALUE!</v>
      </c>
      <c r="I731" s="25">
        <f t="shared" si="110"/>
        <v>216.99999999998471</v>
      </c>
      <c r="J731" s="25" t="e">
        <f t="shared" si="111"/>
        <v>#VALUE!</v>
      </c>
    </row>
    <row r="732" spans="1:10" x14ac:dyDescent="0.25">
      <c r="A732" s="25">
        <f t="shared" si="112"/>
        <v>-2.8200000000001531</v>
      </c>
      <c r="B732" s="25">
        <f t="shared" ca="1" si="105"/>
        <v>8.709017416039995E-2</v>
      </c>
      <c r="C732" s="25" t="e">
        <f t="shared" si="106"/>
        <v>#VALUE!</v>
      </c>
      <c r="D732" s="74" t="e">
        <f t="shared" si="107"/>
        <v>#VALUE!</v>
      </c>
      <c r="E732" s="25" t="e">
        <f t="shared" si="108"/>
        <v>#VALUE!</v>
      </c>
      <c r="F732" s="25" t="e">
        <f t="shared" ca="1" si="109"/>
        <v>#VALUE!</v>
      </c>
      <c r="G732" s="25"/>
      <c r="H732" s="25" t="e">
        <f t="shared" si="104"/>
        <v>#VALUE!</v>
      </c>
      <c r="I732" s="25">
        <f t="shared" si="110"/>
        <v>217.99999999998468</v>
      </c>
      <c r="J732" s="25" t="e">
        <f t="shared" si="111"/>
        <v>#VALUE!</v>
      </c>
    </row>
    <row r="733" spans="1:10" x14ac:dyDescent="0.25">
      <c r="A733" s="25">
        <f t="shared" si="112"/>
        <v>-2.8100000000001533</v>
      </c>
      <c r="B733" s="25">
        <f t="shared" ca="1" si="105"/>
        <v>6.9390779052414045E-2</v>
      </c>
      <c r="C733" s="25" t="e">
        <f t="shared" si="106"/>
        <v>#VALUE!</v>
      </c>
      <c r="D733" s="74" t="e">
        <f t="shared" si="107"/>
        <v>#VALUE!</v>
      </c>
      <c r="E733" s="25" t="e">
        <f t="shared" si="108"/>
        <v>#VALUE!</v>
      </c>
      <c r="F733" s="25" t="e">
        <f t="shared" ca="1" si="109"/>
        <v>#VALUE!</v>
      </c>
      <c r="G733" s="25"/>
      <c r="H733" s="25" t="e">
        <f t="shared" si="104"/>
        <v>#VALUE!</v>
      </c>
      <c r="I733" s="25">
        <f t="shared" si="110"/>
        <v>218.99999999998468</v>
      </c>
      <c r="J733" s="25" t="e">
        <f t="shared" si="111"/>
        <v>#VALUE!</v>
      </c>
    </row>
    <row r="734" spans="1:10" x14ac:dyDescent="0.25">
      <c r="A734" s="25">
        <f t="shared" si="112"/>
        <v>-2.8000000000001535</v>
      </c>
      <c r="B734" s="25">
        <f t="shared" ca="1" si="105"/>
        <v>7.3383881437970061E-2</v>
      </c>
      <c r="C734" s="25" t="e">
        <f t="shared" si="106"/>
        <v>#VALUE!</v>
      </c>
      <c r="D734" s="74" t="e">
        <f t="shared" si="107"/>
        <v>#VALUE!</v>
      </c>
      <c r="E734" s="25" t="e">
        <f t="shared" si="108"/>
        <v>#VALUE!</v>
      </c>
      <c r="F734" s="25" t="e">
        <f t="shared" ca="1" si="109"/>
        <v>#VALUE!</v>
      </c>
      <c r="G734" s="25"/>
      <c r="H734" s="25" t="e">
        <f t="shared" ref="H734:H797" si="113">IF(PeakShape=$O$3,C734,IF(PeakShape=O736,D734,E734))</f>
        <v>#VALUE!</v>
      </c>
      <c r="I734" s="25">
        <f t="shared" si="110"/>
        <v>219.99999999998462</v>
      </c>
      <c r="J734" s="25" t="e">
        <f t="shared" si="111"/>
        <v>#VALUE!</v>
      </c>
    </row>
    <row r="735" spans="1:10" x14ac:dyDescent="0.25">
      <c r="A735" s="25">
        <f t="shared" si="112"/>
        <v>-2.7900000000001537</v>
      </c>
      <c r="B735" s="25">
        <f t="shared" ca="1" si="105"/>
        <v>-0.11870265414303416</v>
      </c>
      <c r="C735" s="25" t="e">
        <f t="shared" si="106"/>
        <v>#VALUE!</v>
      </c>
      <c r="D735" s="74" t="e">
        <f t="shared" si="107"/>
        <v>#VALUE!</v>
      </c>
      <c r="E735" s="25" t="e">
        <f t="shared" si="108"/>
        <v>#VALUE!</v>
      </c>
      <c r="F735" s="25" t="e">
        <f t="shared" ca="1" si="109"/>
        <v>#VALUE!</v>
      </c>
      <c r="G735" s="25"/>
      <c r="H735" s="25" t="e">
        <f t="shared" si="113"/>
        <v>#VALUE!</v>
      </c>
      <c r="I735" s="25">
        <f t="shared" si="110"/>
        <v>220.99999999998462</v>
      </c>
      <c r="J735" s="25" t="e">
        <f t="shared" si="111"/>
        <v>#VALUE!</v>
      </c>
    </row>
    <row r="736" spans="1:10" x14ac:dyDescent="0.25">
      <c r="A736" s="25">
        <f t="shared" si="112"/>
        <v>-2.7800000000001539</v>
      </c>
      <c r="B736" s="25">
        <f t="shared" ca="1" si="105"/>
        <v>-4.6308836626581334E-2</v>
      </c>
      <c r="C736" s="25" t="e">
        <f t="shared" si="106"/>
        <v>#VALUE!</v>
      </c>
      <c r="D736" s="74" t="e">
        <f t="shared" si="107"/>
        <v>#VALUE!</v>
      </c>
      <c r="E736" s="25" t="e">
        <f t="shared" si="108"/>
        <v>#VALUE!</v>
      </c>
      <c r="F736" s="25" t="e">
        <f t="shared" ca="1" si="109"/>
        <v>#VALUE!</v>
      </c>
      <c r="G736" s="25"/>
      <c r="H736" s="25" t="e">
        <f t="shared" si="113"/>
        <v>#VALUE!</v>
      </c>
      <c r="I736" s="25">
        <f t="shared" si="110"/>
        <v>221.99999999998462</v>
      </c>
      <c r="J736" s="25" t="e">
        <f t="shared" si="111"/>
        <v>#VALUE!</v>
      </c>
    </row>
    <row r="737" spans="1:10" x14ac:dyDescent="0.25">
      <c r="A737" s="25">
        <f t="shared" si="112"/>
        <v>-2.7700000000001541</v>
      </c>
      <c r="B737" s="25">
        <f t="shared" ca="1" si="105"/>
        <v>-0.18436574361877323</v>
      </c>
      <c r="C737" s="25" t="e">
        <f t="shared" si="106"/>
        <v>#VALUE!</v>
      </c>
      <c r="D737" s="74" t="e">
        <f t="shared" si="107"/>
        <v>#VALUE!</v>
      </c>
      <c r="E737" s="25" t="e">
        <f t="shared" si="108"/>
        <v>#VALUE!</v>
      </c>
      <c r="F737" s="25" t="e">
        <f t="shared" ca="1" si="109"/>
        <v>#VALUE!</v>
      </c>
      <c r="G737" s="25"/>
      <c r="H737" s="25" t="e">
        <f t="shared" si="113"/>
        <v>#VALUE!</v>
      </c>
      <c r="I737" s="25">
        <f t="shared" si="110"/>
        <v>222.9999999999846</v>
      </c>
      <c r="J737" s="25" t="e">
        <f t="shared" si="111"/>
        <v>#VALUE!</v>
      </c>
    </row>
    <row r="738" spans="1:10" x14ac:dyDescent="0.25">
      <c r="A738" s="25">
        <f t="shared" si="112"/>
        <v>-2.7600000000001543</v>
      </c>
      <c r="B738" s="25">
        <f t="shared" ca="1" si="105"/>
        <v>-0.1311347550683232</v>
      </c>
      <c r="C738" s="25" t="e">
        <f t="shared" si="106"/>
        <v>#VALUE!</v>
      </c>
      <c r="D738" s="74" t="e">
        <f t="shared" si="107"/>
        <v>#VALUE!</v>
      </c>
      <c r="E738" s="25" t="e">
        <f t="shared" si="108"/>
        <v>#VALUE!</v>
      </c>
      <c r="F738" s="25" t="e">
        <f t="shared" ca="1" si="109"/>
        <v>#VALUE!</v>
      </c>
      <c r="G738" s="25"/>
      <c r="H738" s="25" t="e">
        <f t="shared" si="113"/>
        <v>#VALUE!</v>
      </c>
      <c r="I738" s="25">
        <f t="shared" si="110"/>
        <v>223.9999999999846</v>
      </c>
      <c r="J738" s="25" t="e">
        <f t="shared" si="111"/>
        <v>#VALUE!</v>
      </c>
    </row>
    <row r="739" spans="1:10" x14ac:dyDescent="0.25">
      <c r="A739" s="25">
        <f t="shared" si="112"/>
        <v>-2.7500000000001545</v>
      </c>
      <c r="B739" s="25">
        <f t="shared" ca="1" si="105"/>
        <v>-5.9595483854437144E-2</v>
      </c>
      <c r="C739" s="25" t="e">
        <f t="shared" si="106"/>
        <v>#VALUE!</v>
      </c>
      <c r="D739" s="74" t="e">
        <f t="shared" si="107"/>
        <v>#VALUE!</v>
      </c>
      <c r="E739" s="25" t="e">
        <f t="shared" si="108"/>
        <v>#VALUE!</v>
      </c>
      <c r="F739" s="25" t="e">
        <f t="shared" ca="1" si="109"/>
        <v>#VALUE!</v>
      </c>
      <c r="G739" s="25"/>
      <c r="H739" s="25" t="e">
        <f t="shared" si="113"/>
        <v>#VALUE!</v>
      </c>
      <c r="I739" s="25">
        <f t="shared" si="110"/>
        <v>224.99999999998454</v>
      </c>
      <c r="J739" s="25" t="e">
        <f t="shared" si="111"/>
        <v>#VALUE!</v>
      </c>
    </row>
    <row r="740" spans="1:10" x14ac:dyDescent="0.25">
      <c r="A740" s="25">
        <f t="shared" si="112"/>
        <v>-2.7400000000001548</v>
      </c>
      <c r="B740" s="25">
        <f t="shared" ca="1" si="105"/>
        <v>-3.4429113712233235E-2</v>
      </c>
      <c r="C740" s="25" t="e">
        <f t="shared" si="106"/>
        <v>#VALUE!</v>
      </c>
      <c r="D740" s="74" t="e">
        <f t="shared" si="107"/>
        <v>#VALUE!</v>
      </c>
      <c r="E740" s="25" t="e">
        <f t="shared" si="108"/>
        <v>#VALUE!</v>
      </c>
      <c r="F740" s="25" t="e">
        <f t="shared" ca="1" si="109"/>
        <v>#VALUE!</v>
      </c>
      <c r="G740" s="25"/>
      <c r="H740" s="25" t="e">
        <f t="shared" si="113"/>
        <v>#VALUE!</v>
      </c>
      <c r="I740" s="25">
        <f t="shared" si="110"/>
        <v>225.99999999998454</v>
      </c>
      <c r="J740" s="25" t="e">
        <f t="shared" si="111"/>
        <v>#VALUE!</v>
      </c>
    </row>
    <row r="741" spans="1:10" x14ac:dyDescent="0.25">
      <c r="A741" s="25">
        <f t="shared" si="112"/>
        <v>-2.730000000000155</v>
      </c>
      <c r="B741" s="25">
        <f t="shared" ca="1" si="105"/>
        <v>-0.1086810746528204</v>
      </c>
      <c r="C741" s="25" t="e">
        <f t="shared" si="106"/>
        <v>#VALUE!</v>
      </c>
      <c r="D741" s="74" t="e">
        <f t="shared" si="107"/>
        <v>#VALUE!</v>
      </c>
      <c r="E741" s="25" t="e">
        <f t="shared" si="108"/>
        <v>#VALUE!</v>
      </c>
      <c r="F741" s="25" t="e">
        <f t="shared" ca="1" si="109"/>
        <v>#VALUE!</v>
      </c>
      <c r="G741" s="25"/>
      <c r="H741" s="25" t="e">
        <f t="shared" si="113"/>
        <v>#VALUE!</v>
      </c>
      <c r="I741" s="25">
        <f t="shared" si="110"/>
        <v>226.99999999998448</v>
      </c>
      <c r="J741" s="25" t="e">
        <f t="shared" si="111"/>
        <v>#VALUE!</v>
      </c>
    </row>
    <row r="742" spans="1:10" x14ac:dyDescent="0.25">
      <c r="A742" s="25">
        <f t="shared" si="112"/>
        <v>-2.7200000000001552</v>
      </c>
      <c r="B742" s="25">
        <f t="shared" ca="1" si="105"/>
        <v>6.8470164245826956E-2</v>
      </c>
      <c r="C742" s="25" t="e">
        <f t="shared" si="106"/>
        <v>#VALUE!</v>
      </c>
      <c r="D742" s="74" t="e">
        <f t="shared" si="107"/>
        <v>#VALUE!</v>
      </c>
      <c r="E742" s="25" t="e">
        <f t="shared" si="108"/>
        <v>#VALUE!</v>
      </c>
      <c r="F742" s="25" t="e">
        <f t="shared" ca="1" si="109"/>
        <v>#VALUE!</v>
      </c>
      <c r="G742" s="25"/>
      <c r="H742" s="25" t="e">
        <f t="shared" si="113"/>
        <v>#VALUE!</v>
      </c>
      <c r="I742" s="25">
        <f t="shared" si="110"/>
        <v>227.99999999998448</v>
      </c>
      <c r="J742" s="25" t="e">
        <f t="shared" si="111"/>
        <v>#VALUE!</v>
      </c>
    </row>
    <row r="743" spans="1:10" x14ac:dyDescent="0.25">
      <c r="A743" s="25">
        <f t="shared" si="112"/>
        <v>-2.7100000000001554</v>
      </c>
      <c r="B743" s="25">
        <f t="shared" ca="1" si="105"/>
        <v>1.3687764826047194E-2</v>
      </c>
      <c r="C743" s="25" t="e">
        <f t="shared" si="106"/>
        <v>#VALUE!</v>
      </c>
      <c r="D743" s="74" t="e">
        <f t="shared" si="107"/>
        <v>#VALUE!</v>
      </c>
      <c r="E743" s="25" t="e">
        <f t="shared" si="108"/>
        <v>#VALUE!</v>
      </c>
      <c r="F743" s="25" t="e">
        <f t="shared" ca="1" si="109"/>
        <v>#VALUE!</v>
      </c>
      <c r="G743" s="25"/>
      <c r="H743" s="25" t="e">
        <f t="shared" si="113"/>
        <v>#VALUE!</v>
      </c>
      <c r="I743" s="25">
        <f t="shared" si="110"/>
        <v>228.99999999998445</v>
      </c>
      <c r="J743" s="25" t="e">
        <f t="shared" si="111"/>
        <v>#VALUE!</v>
      </c>
    </row>
    <row r="744" spans="1:10" x14ac:dyDescent="0.25">
      <c r="A744" s="25">
        <f t="shared" si="112"/>
        <v>-2.7000000000001556</v>
      </c>
      <c r="B744" s="25">
        <f t="shared" ca="1" si="105"/>
        <v>-3.3647239207931973E-2</v>
      </c>
      <c r="C744" s="25" t="e">
        <f t="shared" si="106"/>
        <v>#VALUE!</v>
      </c>
      <c r="D744" s="74" t="e">
        <f t="shared" si="107"/>
        <v>#VALUE!</v>
      </c>
      <c r="E744" s="25" t="e">
        <f t="shared" si="108"/>
        <v>#VALUE!</v>
      </c>
      <c r="F744" s="25" t="e">
        <f t="shared" ca="1" si="109"/>
        <v>#VALUE!</v>
      </c>
      <c r="G744" s="25"/>
      <c r="H744" s="25" t="e">
        <f t="shared" si="113"/>
        <v>#VALUE!</v>
      </c>
      <c r="I744" s="25">
        <f t="shared" si="110"/>
        <v>229.99999999998445</v>
      </c>
      <c r="J744" s="25" t="e">
        <f t="shared" si="111"/>
        <v>#VALUE!</v>
      </c>
    </row>
    <row r="745" spans="1:10" x14ac:dyDescent="0.25">
      <c r="A745" s="25">
        <f t="shared" si="112"/>
        <v>-2.6900000000001558</v>
      </c>
      <c r="B745" s="25">
        <f t="shared" ca="1" si="105"/>
        <v>-0.16711016383296348</v>
      </c>
      <c r="C745" s="25" t="e">
        <f t="shared" si="106"/>
        <v>#VALUE!</v>
      </c>
      <c r="D745" s="74" t="e">
        <f t="shared" si="107"/>
        <v>#VALUE!</v>
      </c>
      <c r="E745" s="25" t="e">
        <f t="shared" si="108"/>
        <v>#VALUE!</v>
      </c>
      <c r="F745" s="25" t="e">
        <f t="shared" ca="1" si="109"/>
        <v>#VALUE!</v>
      </c>
      <c r="G745" s="25"/>
      <c r="H745" s="25" t="e">
        <f t="shared" si="113"/>
        <v>#VALUE!</v>
      </c>
      <c r="I745" s="25">
        <f t="shared" si="110"/>
        <v>230.9999999999844</v>
      </c>
      <c r="J745" s="25" t="e">
        <f t="shared" si="111"/>
        <v>#VALUE!</v>
      </c>
    </row>
    <row r="746" spans="1:10" x14ac:dyDescent="0.25">
      <c r="A746" s="25">
        <f t="shared" si="112"/>
        <v>-2.680000000000156</v>
      </c>
      <c r="B746" s="25">
        <f t="shared" ca="1" si="105"/>
        <v>-0.10160836330631499</v>
      </c>
      <c r="C746" s="25" t="e">
        <f t="shared" si="106"/>
        <v>#VALUE!</v>
      </c>
      <c r="D746" s="74" t="e">
        <f t="shared" si="107"/>
        <v>#VALUE!</v>
      </c>
      <c r="E746" s="25" t="e">
        <f t="shared" si="108"/>
        <v>#VALUE!</v>
      </c>
      <c r="F746" s="25" t="e">
        <f t="shared" ca="1" si="109"/>
        <v>#VALUE!</v>
      </c>
      <c r="G746" s="25"/>
      <c r="H746" s="25" t="e">
        <f t="shared" si="113"/>
        <v>#VALUE!</v>
      </c>
      <c r="I746" s="25">
        <f t="shared" si="110"/>
        <v>231.9999999999844</v>
      </c>
      <c r="J746" s="25" t="e">
        <f t="shared" si="111"/>
        <v>#VALUE!</v>
      </c>
    </row>
    <row r="747" spans="1:10" x14ac:dyDescent="0.25">
      <c r="A747" s="25">
        <f t="shared" si="112"/>
        <v>-2.6700000000001562</v>
      </c>
      <c r="B747" s="25">
        <f t="shared" ca="1" si="105"/>
        <v>-6.4799375241190962E-2</v>
      </c>
      <c r="C747" s="25" t="e">
        <f t="shared" si="106"/>
        <v>#VALUE!</v>
      </c>
      <c r="D747" s="74" t="e">
        <f t="shared" si="107"/>
        <v>#VALUE!</v>
      </c>
      <c r="E747" s="25" t="e">
        <f t="shared" si="108"/>
        <v>#VALUE!</v>
      </c>
      <c r="F747" s="25" t="e">
        <f t="shared" ca="1" si="109"/>
        <v>#VALUE!</v>
      </c>
      <c r="G747" s="25"/>
      <c r="H747" s="25" t="e">
        <f t="shared" si="113"/>
        <v>#VALUE!</v>
      </c>
      <c r="I747" s="25">
        <f t="shared" si="110"/>
        <v>232.99999999998437</v>
      </c>
      <c r="J747" s="25" t="e">
        <f t="shared" si="111"/>
        <v>#VALUE!</v>
      </c>
    </row>
    <row r="748" spans="1:10" x14ac:dyDescent="0.25">
      <c r="A748" s="25">
        <f t="shared" si="112"/>
        <v>-2.6600000000001565</v>
      </c>
      <c r="B748" s="25">
        <f t="shared" ca="1" si="105"/>
        <v>-4.1659377016341821E-2</v>
      </c>
      <c r="C748" s="25" t="e">
        <f t="shared" si="106"/>
        <v>#VALUE!</v>
      </c>
      <c r="D748" s="74" t="e">
        <f t="shared" si="107"/>
        <v>#VALUE!</v>
      </c>
      <c r="E748" s="25" t="e">
        <f t="shared" si="108"/>
        <v>#VALUE!</v>
      </c>
      <c r="F748" s="25" t="e">
        <f t="shared" ca="1" si="109"/>
        <v>#VALUE!</v>
      </c>
      <c r="G748" s="25"/>
      <c r="H748" s="25" t="e">
        <f t="shared" si="113"/>
        <v>#VALUE!</v>
      </c>
      <c r="I748" s="25">
        <f t="shared" si="110"/>
        <v>233.99999999998437</v>
      </c>
      <c r="J748" s="25" t="e">
        <f t="shared" si="111"/>
        <v>#VALUE!</v>
      </c>
    </row>
    <row r="749" spans="1:10" x14ac:dyDescent="0.25">
      <c r="A749" s="25">
        <f t="shared" si="112"/>
        <v>-2.6500000000001567</v>
      </c>
      <c r="B749" s="25">
        <f t="shared" ca="1" si="105"/>
        <v>-0.14140955630093591</v>
      </c>
      <c r="C749" s="25" t="e">
        <f t="shared" si="106"/>
        <v>#VALUE!</v>
      </c>
      <c r="D749" s="74" t="e">
        <f t="shared" si="107"/>
        <v>#VALUE!</v>
      </c>
      <c r="E749" s="25" t="e">
        <f t="shared" si="108"/>
        <v>#VALUE!</v>
      </c>
      <c r="F749" s="25" t="e">
        <f t="shared" ca="1" si="109"/>
        <v>#VALUE!</v>
      </c>
      <c r="G749" s="25"/>
      <c r="H749" s="25" t="e">
        <f t="shared" si="113"/>
        <v>#VALUE!</v>
      </c>
      <c r="I749" s="25">
        <f t="shared" si="110"/>
        <v>234.99999999998431</v>
      </c>
      <c r="J749" s="25" t="e">
        <f t="shared" si="111"/>
        <v>#VALUE!</v>
      </c>
    </row>
    <row r="750" spans="1:10" x14ac:dyDescent="0.25">
      <c r="A750" s="25">
        <f t="shared" si="112"/>
        <v>-2.6400000000001569</v>
      </c>
      <c r="B750" s="25">
        <f t="shared" ca="1" si="105"/>
        <v>-2.1323448639688575E-2</v>
      </c>
      <c r="C750" s="25" t="e">
        <f t="shared" si="106"/>
        <v>#VALUE!</v>
      </c>
      <c r="D750" s="74" t="e">
        <f t="shared" si="107"/>
        <v>#VALUE!</v>
      </c>
      <c r="E750" s="25" t="e">
        <f t="shared" si="108"/>
        <v>#VALUE!</v>
      </c>
      <c r="F750" s="25" t="e">
        <f t="shared" ca="1" si="109"/>
        <v>#VALUE!</v>
      </c>
      <c r="G750" s="25"/>
      <c r="H750" s="25" t="e">
        <f t="shared" si="113"/>
        <v>#VALUE!</v>
      </c>
      <c r="I750" s="25">
        <f t="shared" si="110"/>
        <v>235.99999999998431</v>
      </c>
      <c r="J750" s="25" t="e">
        <f t="shared" si="111"/>
        <v>#VALUE!</v>
      </c>
    </row>
    <row r="751" spans="1:10" x14ac:dyDescent="0.25">
      <c r="A751" s="25">
        <f t="shared" si="112"/>
        <v>-2.6300000000001571</v>
      </c>
      <c r="B751" s="25">
        <f t="shared" ca="1" si="105"/>
        <v>-3.3860875843745281E-2</v>
      </c>
      <c r="C751" s="25" t="e">
        <f t="shared" si="106"/>
        <v>#VALUE!</v>
      </c>
      <c r="D751" s="74" t="e">
        <f t="shared" si="107"/>
        <v>#VALUE!</v>
      </c>
      <c r="E751" s="25" t="e">
        <f t="shared" si="108"/>
        <v>#VALUE!</v>
      </c>
      <c r="F751" s="25" t="e">
        <f t="shared" ca="1" si="109"/>
        <v>#VALUE!</v>
      </c>
      <c r="G751" s="25"/>
      <c r="H751" s="25" t="e">
        <f t="shared" si="113"/>
        <v>#VALUE!</v>
      </c>
      <c r="I751" s="25">
        <f t="shared" si="110"/>
        <v>236.99999999998431</v>
      </c>
      <c r="J751" s="25" t="e">
        <f t="shared" si="111"/>
        <v>#VALUE!</v>
      </c>
    </row>
    <row r="752" spans="1:10" x14ac:dyDescent="0.25">
      <c r="A752" s="25">
        <f t="shared" si="112"/>
        <v>-2.6200000000001573</v>
      </c>
      <c r="B752" s="25">
        <f t="shared" ca="1" si="105"/>
        <v>-0.17626168032869824</v>
      </c>
      <c r="C752" s="25" t="e">
        <f t="shared" si="106"/>
        <v>#VALUE!</v>
      </c>
      <c r="D752" s="74" t="e">
        <f t="shared" si="107"/>
        <v>#VALUE!</v>
      </c>
      <c r="E752" s="25" t="e">
        <f t="shared" si="108"/>
        <v>#VALUE!</v>
      </c>
      <c r="F752" s="25" t="e">
        <f t="shared" ca="1" si="109"/>
        <v>#VALUE!</v>
      </c>
      <c r="G752" s="25"/>
      <c r="H752" s="25" t="e">
        <f t="shared" si="113"/>
        <v>#VALUE!</v>
      </c>
      <c r="I752" s="25">
        <f t="shared" si="110"/>
        <v>237.99999999998425</v>
      </c>
      <c r="J752" s="25" t="e">
        <f t="shared" si="111"/>
        <v>#VALUE!</v>
      </c>
    </row>
    <row r="753" spans="1:10" x14ac:dyDescent="0.25">
      <c r="A753" s="25">
        <f t="shared" si="112"/>
        <v>-2.6100000000001575</v>
      </c>
      <c r="B753" s="25">
        <f t="shared" ca="1" si="105"/>
        <v>0.11029989637046322</v>
      </c>
      <c r="C753" s="25" t="e">
        <f t="shared" si="106"/>
        <v>#VALUE!</v>
      </c>
      <c r="D753" s="74" t="e">
        <f t="shared" si="107"/>
        <v>#VALUE!</v>
      </c>
      <c r="E753" s="25" t="e">
        <f t="shared" si="108"/>
        <v>#VALUE!</v>
      </c>
      <c r="F753" s="25" t="e">
        <f t="shared" ca="1" si="109"/>
        <v>#VALUE!</v>
      </c>
      <c r="G753" s="25"/>
      <c r="H753" s="25" t="e">
        <f t="shared" si="113"/>
        <v>#VALUE!</v>
      </c>
      <c r="I753" s="25">
        <f t="shared" si="110"/>
        <v>238.99999999998425</v>
      </c>
      <c r="J753" s="25" t="e">
        <f t="shared" si="111"/>
        <v>#VALUE!</v>
      </c>
    </row>
    <row r="754" spans="1:10" x14ac:dyDescent="0.25">
      <c r="A754" s="25">
        <f t="shared" si="112"/>
        <v>-2.6000000000001577</v>
      </c>
      <c r="B754" s="25">
        <f t="shared" ca="1" si="105"/>
        <v>9.1894438143098348E-2</v>
      </c>
      <c r="C754" s="25" t="e">
        <f t="shared" si="106"/>
        <v>#VALUE!</v>
      </c>
      <c r="D754" s="74" t="e">
        <f t="shared" si="107"/>
        <v>#VALUE!</v>
      </c>
      <c r="E754" s="25" t="e">
        <f t="shared" si="108"/>
        <v>#VALUE!</v>
      </c>
      <c r="F754" s="25" t="e">
        <f t="shared" ca="1" si="109"/>
        <v>#VALUE!</v>
      </c>
      <c r="G754" s="25"/>
      <c r="H754" s="25" t="e">
        <f t="shared" si="113"/>
        <v>#VALUE!</v>
      </c>
      <c r="I754" s="25">
        <f t="shared" si="110"/>
        <v>239.99999999998423</v>
      </c>
      <c r="J754" s="25" t="e">
        <f t="shared" si="111"/>
        <v>#VALUE!</v>
      </c>
    </row>
    <row r="755" spans="1:10" x14ac:dyDescent="0.25">
      <c r="A755" s="25">
        <f t="shared" si="112"/>
        <v>-2.590000000000158</v>
      </c>
      <c r="B755" s="25">
        <f t="shared" ca="1" si="105"/>
        <v>2.7743125399136842E-2</v>
      </c>
      <c r="C755" s="25" t="e">
        <f t="shared" si="106"/>
        <v>#VALUE!</v>
      </c>
      <c r="D755" s="74" t="e">
        <f t="shared" si="107"/>
        <v>#VALUE!</v>
      </c>
      <c r="E755" s="25" t="e">
        <f t="shared" si="108"/>
        <v>#VALUE!</v>
      </c>
      <c r="F755" s="25" t="e">
        <f t="shared" ca="1" si="109"/>
        <v>#VALUE!</v>
      </c>
      <c r="G755" s="25"/>
      <c r="H755" s="25" t="e">
        <f t="shared" si="113"/>
        <v>#VALUE!</v>
      </c>
      <c r="I755" s="25">
        <f t="shared" si="110"/>
        <v>240.99999999998423</v>
      </c>
      <c r="J755" s="25" t="e">
        <f t="shared" si="111"/>
        <v>#VALUE!</v>
      </c>
    </row>
    <row r="756" spans="1:10" x14ac:dyDescent="0.25">
      <c r="A756" s="25">
        <f t="shared" si="112"/>
        <v>-2.5800000000001582</v>
      </c>
      <c r="B756" s="25">
        <f t="shared" ca="1" si="105"/>
        <v>-5.0479743204838216E-2</v>
      </c>
      <c r="C756" s="25" t="e">
        <f t="shared" si="106"/>
        <v>#VALUE!</v>
      </c>
      <c r="D756" s="74" t="e">
        <f t="shared" si="107"/>
        <v>#VALUE!</v>
      </c>
      <c r="E756" s="25" t="e">
        <f t="shared" si="108"/>
        <v>#VALUE!</v>
      </c>
      <c r="F756" s="25" t="e">
        <f t="shared" ca="1" si="109"/>
        <v>#VALUE!</v>
      </c>
      <c r="G756" s="25"/>
      <c r="H756" s="25" t="e">
        <f t="shared" si="113"/>
        <v>#VALUE!</v>
      </c>
      <c r="I756" s="25">
        <f t="shared" si="110"/>
        <v>241.99999999998417</v>
      </c>
      <c r="J756" s="25" t="e">
        <f t="shared" si="111"/>
        <v>#VALUE!</v>
      </c>
    </row>
    <row r="757" spans="1:10" x14ac:dyDescent="0.25">
      <c r="A757" s="25">
        <f t="shared" si="112"/>
        <v>-2.5700000000001584</v>
      </c>
      <c r="B757" s="25">
        <f t="shared" ca="1" si="105"/>
        <v>-1.6398957313068258E-2</v>
      </c>
      <c r="C757" s="25" t="e">
        <f t="shared" si="106"/>
        <v>#VALUE!</v>
      </c>
      <c r="D757" s="74" t="e">
        <f t="shared" si="107"/>
        <v>#VALUE!</v>
      </c>
      <c r="E757" s="25" t="e">
        <f t="shared" si="108"/>
        <v>#VALUE!</v>
      </c>
      <c r="F757" s="25" t="e">
        <f t="shared" ca="1" si="109"/>
        <v>#VALUE!</v>
      </c>
      <c r="G757" s="25"/>
      <c r="H757" s="25" t="e">
        <f t="shared" si="113"/>
        <v>#VALUE!</v>
      </c>
      <c r="I757" s="25">
        <f t="shared" si="110"/>
        <v>242.99999999998417</v>
      </c>
      <c r="J757" s="25" t="e">
        <f t="shared" si="111"/>
        <v>#VALUE!</v>
      </c>
    </row>
    <row r="758" spans="1:10" x14ac:dyDescent="0.25">
      <c r="A758" s="25">
        <f t="shared" si="112"/>
        <v>-2.5600000000001586</v>
      </c>
      <c r="B758" s="25">
        <f t="shared" ca="1" si="105"/>
        <v>2.7525301779808154E-2</v>
      </c>
      <c r="C758" s="25" t="e">
        <f t="shared" si="106"/>
        <v>#VALUE!</v>
      </c>
      <c r="D758" s="74" t="e">
        <f t="shared" si="107"/>
        <v>#VALUE!</v>
      </c>
      <c r="E758" s="25" t="e">
        <f t="shared" si="108"/>
        <v>#VALUE!</v>
      </c>
      <c r="F758" s="25" t="e">
        <f t="shared" ca="1" si="109"/>
        <v>#VALUE!</v>
      </c>
      <c r="G758" s="25"/>
      <c r="H758" s="25" t="e">
        <f t="shared" si="113"/>
        <v>#VALUE!</v>
      </c>
      <c r="I758" s="25">
        <f t="shared" si="110"/>
        <v>243.99999999998414</v>
      </c>
      <c r="J758" s="25" t="e">
        <f t="shared" si="111"/>
        <v>#VALUE!</v>
      </c>
    </row>
    <row r="759" spans="1:10" x14ac:dyDescent="0.25">
      <c r="A759" s="25">
        <f t="shared" si="112"/>
        <v>-2.5500000000001588</v>
      </c>
      <c r="B759" s="25">
        <f t="shared" ca="1" si="105"/>
        <v>-4.0717842612884664E-2</v>
      </c>
      <c r="C759" s="25" t="e">
        <f t="shared" si="106"/>
        <v>#VALUE!</v>
      </c>
      <c r="D759" s="74" t="e">
        <f t="shared" si="107"/>
        <v>#VALUE!</v>
      </c>
      <c r="E759" s="25" t="e">
        <f t="shared" si="108"/>
        <v>#VALUE!</v>
      </c>
      <c r="F759" s="25" t="e">
        <f t="shared" ca="1" si="109"/>
        <v>#VALUE!</v>
      </c>
      <c r="G759" s="25"/>
      <c r="H759" s="25" t="e">
        <f t="shared" si="113"/>
        <v>#VALUE!</v>
      </c>
      <c r="I759" s="25">
        <f t="shared" si="110"/>
        <v>244.99999999998414</v>
      </c>
      <c r="J759" s="25" t="e">
        <f t="shared" si="111"/>
        <v>#VALUE!</v>
      </c>
    </row>
    <row r="760" spans="1:10" x14ac:dyDescent="0.25">
      <c r="A760" s="25">
        <f t="shared" si="112"/>
        <v>-2.540000000000159</v>
      </c>
      <c r="B760" s="25">
        <f t="shared" ca="1" si="105"/>
        <v>0.1119437642015612</v>
      </c>
      <c r="C760" s="25" t="e">
        <f t="shared" si="106"/>
        <v>#VALUE!</v>
      </c>
      <c r="D760" s="74" t="e">
        <f t="shared" si="107"/>
        <v>#VALUE!</v>
      </c>
      <c r="E760" s="25" t="e">
        <f t="shared" si="108"/>
        <v>#VALUE!</v>
      </c>
      <c r="F760" s="25" t="e">
        <f t="shared" ca="1" si="109"/>
        <v>#VALUE!</v>
      </c>
      <c r="G760" s="25"/>
      <c r="H760" s="25" t="e">
        <f t="shared" si="113"/>
        <v>#VALUE!</v>
      </c>
      <c r="I760" s="25">
        <f t="shared" si="110"/>
        <v>245.99999999998408</v>
      </c>
      <c r="J760" s="25" t="e">
        <f t="shared" si="111"/>
        <v>#VALUE!</v>
      </c>
    </row>
    <row r="761" spans="1:10" x14ac:dyDescent="0.25">
      <c r="A761" s="25">
        <f t="shared" si="112"/>
        <v>-2.5300000000001592</v>
      </c>
      <c r="B761" s="25">
        <f t="shared" ca="1" si="105"/>
        <v>6.9835229716530028E-2</v>
      </c>
      <c r="C761" s="25" t="e">
        <f t="shared" si="106"/>
        <v>#VALUE!</v>
      </c>
      <c r="D761" s="74" t="e">
        <f t="shared" si="107"/>
        <v>#VALUE!</v>
      </c>
      <c r="E761" s="25" t="e">
        <f t="shared" si="108"/>
        <v>#VALUE!</v>
      </c>
      <c r="F761" s="25" t="e">
        <f t="shared" ca="1" si="109"/>
        <v>#VALUE!</v>
      </c>
      <c r="G761" s="25"/>
      <c r="H761" s="25" t="e">
        <f t="shared" si="113"/>
        <v>#VALUE!</v>
      </c>
      <c r="I761" s="25">
        <f t="shared" si="110"/>
        <v>246.99999999998408</v>
      </c>
      <c r="J761" s="25" t="e">
        <f t="shared" si="111"/>
        <v>#VALUE!</v>
      </c>
    </row>
    <row r="762" spans="1:10" x14ac:dyDescent="0.25">
      <c r="A762" s="25">
        <f t="shared" si="112"/>
        <v>-2.5200000000001594</v>
      </c>
      <c r="B762" s="25">
        <f t="shared" ca="1" si="105"/>
        <v>9.1682544457916168E-2</v>
      </c>
      <c r="C762" s="25" t="e">
        <f t="shared" si="106"/>
        <v>#VALUE!</v>
      </c>
      <c r="D762" s="74" t="e">
        <f t="shared" si="107"/>
        <v>#VALUE!</v>
      </c>
      <c r="E762" s="25" t="e">
        <f t="shared" si="108"/>
        <v>#VALUE!</v>
      </c>
      <c r="F762" s="25" t="e">
        <f t="shared" ca="1" si="109"/>
        <v>#VALUE!</v>
      </c>
      <c r="G762" s="25"/>
      <c r="H762" s="25" t="e">
        <f t="shared" si="113"/>
        <v>#VALUE!</v>
      </c>
      <c r="I762" s="25">
        <f t="shared" si="110"/>
        <v>247.99999999998403</v>
      </c>
      <c r="J762" s="25" t="e">
        <f t="shared" si="111"/>
        <v>#VALUE!</v>
      </c>
    </row>
    <row r="763" spans="1:10" x14ac:dyDescent="0.25">
      <c r="A763" s="25">
        <f t="shared" si="112"/>
        <v>-2.5100000000001597</v>
      </c>
      <c r="B763" s="25">
        <f t="shared" ca="1" si="105"/>
        <v>-3.7282504924983022E-2</v>
      </c>
      <c r="C763" s="25" t="e">
        <f t="shared" si="106"/>
        <v>#VALUE!</v>
      </c>
      <c r="D763" s="74" t="e">
        <f t="shared" si="107"/>
        <v>#VALUE!</v>
      </c>
      <c r="E763" s="25" t="e">
        <f t="shared" si="108"/>
        <v>#VALUE!</v>
      </c>
      <c r="F763" s="25" t="e">
        <f t="shared" ca="1" si="109"/>
        <v>#VALUE!</v>
      </c>
      <c r="G763" s="25"/>
      <c r="H763" s="25" t="e">
        <f t="shared" si="113"/>
        <v>#VALUE!</v>
      </c>
      <c r="I763" s="25">
        <f t="shared" si="110"/>
        <v>248.99999999998403</v>
      </c>
      <c r="J763" s="25" t="e">
        <f t="shared" si="111"/>
        <v>#VALUE!</v>
      </c>
    </row>
    <row r="764" spans="1:10" x14ac:dyDescent="0.25">
      <c r="A764" s="25">
        <f t="shared" si="112"/>
        <v>-2.5000000000001599</v>
      </c>
      <c r="B764" s="25">
        <f t="shared" ca="1" si="105"/>
        <v>-4.5657437476212363E-2</v>
      </c>
      <c r="C764" s="25" t="e">
        <f t="shared" si="106"/>
        <v>#VALUE!</v>
      </c>
      <c r="D764" s="74" t="e">
        <f t="shared" si="107"/>
        <v>#VALUE!</v>
      </c>
      <c r="E764" s="25" t="e">
        <f t="shared" si="108"/>
        <v>#VALUE!</v>
      </c>
      <c r="F764" s="25" t="e">
        <f t="shared" ca="1" si="109"/>
        <v>#VALUE!</v>
      </c>
      <c r="G764" s="25"/>
      <c r="H764" s="25" t="e">
        <f t="shared" si="113"/>
        <v>#VALUE!</v>
      </c>
      <c r="I764" s="25">
        <f t="shared" si="110"/>
        <v>249.999999999984</v>
      </c>
      <c r="J764" s="25" t="e">
        <f t="shared" si="111"/>
        <v>#VALUE!</v>
      </c>
    </row>
    <row r="765" spans="1:10" x14ac:dyDescent="0.25">
      <c r="A765" s="25">
        <f t="shared" si="112"/>
        <v>-2.4900000000001601</v>
      </c>
      <c r="B765" s="25">
        <f t="shared" ca="1" si="105"/>
        <v>-7.0350845376665597E-2</v>
      </c>
      <c r="C765" s="25" t="e">
        <f t="shared" si="106"/>
        <v>#VALUE!</v>
      </c>
      <c r="D765" s="74" t="e">
        <f t="shared" si="107"/>
        <v>#VALUE!</v>
      </c>
      <c r="E765" s="25" t="e">
        <f t="shared" si="108"/>
        <v>#VALUE!</v>
      </c>
      <c r="F765" s="25" t="e">
        <f t="shared" ca="1" si="109"/>
        <v>#VALUE!</v>
      </c>
      <c r="G765" s="25"/>
      <c r="H765" s="25" t="e">
        <f t="shared" si="113"/>
        <v>#VALUE!</v>
      </c>
      <c r="I765" s="25">
        <f t="shared" si="110"/>
        <v>250.999999999984</v>
      </c>
      <c r="J765" s="25" t="e">
        <f t="shared" si="111"/>
        <v>#VALUE!</v>
      </c>
    </row>
    <row r="766" spans="1:10" x14ac:dyDescent="0.25">
      <c r="A766" s="25">
        <f t="shared" si="112"/>
        <v>-2.4800000000001603</v>
      </c>
      <c r="B766" s="25">
        <f t="shared" ca="1" si="105"/>
        <v>-0.10921132076831049</v>
      </c>
      <c r="C766" s="25" t="e">
        <f t="shared" si="106"/>
        <v>#VALUE!</v>
      </c>
      <c r="D766" s="74" t="e">
        <f t="shared" si="107"/>
        <v>#VALUE!</v>
      </c>
      <c r="E766" s="25" t="e">
        <f t="shared" si="108"/>
        <v>#VALUE!</v>
      </c>
      <c r="F766" s="25" t="e">
        <f t="shared" ca="1" si="109"/>
        <v>#VALUE!</v>
      </c>
      <c r="G766" s="25"/>
      <c r="H766" s="25" t="e">
        <f t="shared" si="113"/>
        <v>#VALUE!</v>
      </c>
      <c r="I766" s="25">
        <f t="shared" si="110"/>
        <v>251.999999999984</v>
      </c>
      <c r="J766" s="25" t="e">
        <f t="shared" si="111"/>
        <v>#VALUE!</v>
      </c>
    </row>
    <row r="767" spans="1:10" x14ac:dyDescent="0.25">
      <c r="A767" s="25">
        <f t="shared" si="112"/>
        <v>-2.4700000000001605</v>
      </c>
      <c r="B767" s="25">
        <f t="shared" ca="1" si="105"/>
        <v>-0.18557823268360615</v>
      </c>
      <c r="C767" s="25" t="e">
        <f t="shared" si="106"/>
        <v>#VALUE!</v>
      </c>
      <c r="D767" s="74" t="e">
        <f t="shared" si="107"/>
        <v>#VALUE!</v>
      </c>
      <c r="E767" s="25" t="e">
        <f t="shared" si="108"/>
        <v>#VALUE!</v>
      </c>
      <c r="F767" s="25" t="e">
        <f t="shared" ca="1" si="109"/>
        <v>#VALUE!</v>
      </c>
      <c r="G767" s="25"/>
      <c r="H767" s="25" t="e">
        <f t="shared" si="113"/>
        <v>#VALUE!</v>
      </c>
      <c r="I767" s="25">
        <f t="shared" si="110"/>
        <v>252.99999999998394</v>
      </c>
      <c r="J767" s="25" t="e">
        <f t="shared" si="111"/>
        <v>#VALUE!</v>
      </c>
    </row>
    <row r="768" spans="1:10" x14ac:dyDescent="0.25">
      <c r="A768" s="25">
        <f t="shared" si="112"/>
        <v>-2.4600000000001607</v>
      </c>
      <c r="B768" s="25">
        <f t="shared" ca="1" si="105"/>
        <v>-0.18095849982983059</v>
      </c>
      <c r="C768" s="25" t="e">
        <f t="shared" si="106"/>
        <v>#VALUE!</v>
      </c>
      <c r="D768" s="74" t="e">
        <f t="shared" si="107"/>
        <v>#VALUE!</v>
      </c>
      <c r="E768" s="25" t="e">
        <f t="shared" si="108"/>
        <v>#VALUE!</v>
      </c>
      <c r="F768" s="25" t="e">
        <f t="shared" ca="1" si="109"/>
        <v>#VALUE!</v>
      </c>
      <c r="G768" s="25"/>
      <c r="H768" s="25" t="e">
        <f t="shared" si="113"/>
        <v>#VALUE!</v>
      </c>
      <c r="I768" s="25">
        <f t="shared" si="110"/>
        <v>253.99999999998394</v>
      </c>
      <c r="J768" s="25" t="e">
        <f t="shared" si="111"/>
        <v>#VALUE!</v>
      </c>
    </row>
    <row r="769" spans="1:10" x14ac:dyDescent="0.25">
      <c r="A769" s="25">
        <f t="shared" si="112"/>
        <v>-2.4500000000001609</v>
      </c>
      <c r="B769" s="25">
        <f t="shared" ca="1" si="105"/>
        <v>-0.15689636046935784</v>
      </c>
      <c r="C769" s="25" t="e">
        <f t="shared" si="106"/>
        <v>#VALUE!</v>
      </c>
      <c r="D769" s="74" t="e">
        <f t="shared" si="107"/>
        <v>#VALUE!</v>
      </c>
      <c r="E769" s="25" t="e">
        <f t="shared" si="108"/>
        <v>#VALUE!</v>
      </c>
      <c r="F769" s="25" t="e">
        <f t="shared" ca="1" si="109"/>
        <v>#VALUE!</v>
      </c>
      <c r="G769" s="25"/>
      <c r="H769" s="25" t="e">
        <f t="shared" si="113"/>
        <v>#VALUE!</v>
      </c>
      <c r="I769" s="25">
        <f t="shared" si="110"/>
        <v>254.99999999998391</v>
      </c>
      <c r="J769" s="25" t="e">
        <f t="shared" si="111"/>
        <v>#VALUE!</v>
      </c>
    </row>
    <row r="770" spans="1:10" x14ac:dyDescent="0.25">
      <c r="A770" s="25">
        <f t="shared" si="112"/>
        <v>-2.4400000000001612</v>
      </c>
      <c r="B770" s="25">
        <f t="shared" ca="1" si="105"/>
        <v>0.10642184087752944</v>
      </c>
      <c r="C770" s="25" t="e">
        <f t="shared" si="106"/>
        <v>#VALUE!</v>
      </c>
      <c r="D770" s="74" t="e">
        <f t="shared" si="107"/>
        <v>#VALUE!</v>
      </c>
      <c r="E770" s="25" t="e">
        <f t="shared" si="108"/>
        <v>#VALUE!</v>
      </c>
      <c r="F770" s="25" t="e">
        <f t="shared" ca="1" si="109"/>
        <v>#VALUE!</v>
      </c>
      <c r="G770" s="25"/>
      <c r="H770" s="25" t="e">
        <f t="shared" si="113"/>
        <v>#VALUE!</v>
      </c>
      <c r="I770" s="25">
        <f t="shared" si="110"/>
        <v>255.99999999998391</v>
      </c>
      <c r="J770" s="25" t="e">
        <f t="shared" si="111"/>
        <v>#VALUE!</v>
      </c>
    </row>
    <row r="771" spans="1:10" x14ac:dyDescent="0.25">
      <c r="A771" s="25">
        <f t="shared" si="112"/>
        <v>-2.4300000000001614</v>
      </c>
      <c r="B771" s="25">
        <f t="shared" ca="1" si="105"/>
        <v>-0.14712503958931422</v>
      </c>
      <c r="C771" s="25" t="e">
        <f t="shared" si="106"/>
        <v>#VALUE!</v>
      </c>
      <c r="D771" s="74" t="e">
        <f t="shared" si="107"/>
        <v>#VALUE!</v>
      </c>
      <c r="E771" s="25" t="e">
        <f t="shared" si="108"/>
        <v>#VALUE!</v>
      </c>
      <c r="F771" s="25" t="e">
        <f t="shared" ca="1" si="109"/>
        <v>#VALUE!</v>
      </c>
      <c r="G771" s="25"/>
      <c r="H771" s="25" t="e">
        <f t="shared" si="113"/>
        <v>#VALUE!</v>
      </c>
      <c r="I771" s="25">
        <f t="shared" si="110"/>
        <v>256.99999999998386</v>
      </c>
      <c r="J771" s="25" t="e">
        <f t="shared" si="111"/>
        <v>#VALUE!</v>
      </c>
    </row>
    <row r="772" spans="1:10" x14ac:dyDescent="0.25">
      <c r="A772" s="25">
        <f t="shared" si="112"/>
        <v>-2.4200000000001616</v>
      </c>
      <c r="B772" s="25">
        <f t="shared" ca="1" si="105"/>
        <v>-0.12720724580006817</v>
      </c>
      <c r="C772" s="25" t="e">
        <f t="shared" si="106"/>
        <v>#VALUE!</v>
      </c>
      <c r="D772" s="74" t="e">
        <f t="shared" si="107"/>
        <v>#VALUE!</v>
      </c>
      <c r="E772" s="25" t="e">
        <f t="shared" si="108"/>
        <v>#VALUE!</v>
      </c>
      <c r="F772" s="25" t="e">
        <f t="shared" ca="1" si="109"/>
        <v>#VALUE!</v>
      </c>
      <c r="G772" s="25"/>
      <c r="H772" s="25" t="e">
        <f t="shared" si="113"/>
        <v>#VALUE!</v>
      </c>
      <c r="I772" s="25">
        <f t="shared" si="110"/>
        <v>257.99999999998386</v>
      </c>
      <c r="J772" s="25" t="e">
        <f t="shared" si="111"/>
        <v>#VALUE!</v>
      </c>
    </row>
    <row r="773" spans="1:10" x14ac:dyDescent="0.25">
      <c r="A773" s="25">
        <f t="shared" si="112"/>
        <v>-2.4100000000001618</v>
      </c>
      <c r="B773" s="25">
        <f t="shared" ca="1" si="105"/>
        <v>0.100922518282293</v>
      </c>
      <c r="C773" s="25" t="e">
        <f t="shared" si="106"/>
        <v>#VALUE!</v>
      </c>
      <c r="D773" s="74" t="e">
        <f t="shared" si="107"/>
        <v>#VALUE!</v>
      </c>
      <c r="E773" s="25" t="e">
        <f t="shared" si="108"/>
        <v>#VALUE!</v>
      </c>
      <c r="F773" s="25" t="e">
        <f t="shared" ca="1" si="109"/>
        <v>#VALUE!</v>
      </c>
      <c r="G773" s="25"/>
      <c r="H773" s="25" t="e">
        <f t="shared" si="113"/>
        <v>#VALUE!</v>
      </c>
      <c r="I773" s="25">
        <f t="shared" si="110"/>
        <v>258.9999999999838</v>
      </c>
      <c r="J773" s="25" t="e">
        <f t="shared" si="111"/>
        <v>#VALUE!</v>
      </c>
    </row>
    <row r="774" spans="1:10" x14ac:dyDescent="0.25">
      <c r="A774" s="25">
        <f t="shared" si="112"/>
        <v>-2.400000000000162</v>
      </c>
      <c r="B774" s="25">
        <f t="shared" ca="1" si="105"/>
        <v>-0.16767697436153098</v>
      </c>
      <c r="C774" s="25" t="e">
        <f t="shared" si="106"/>
        <v>#VALUE!</v>
      </c>
      <c r="D774" s="74" t="e">
        <f t="shared" si="107"/>
        <v>#VALUE!</v>
      </c>
      <c r="E774" s="25" t="e">
        <f t="shared" si="108"/>
        <v>#VALUE!</v>
      </c>
      <c r="F774" s="25" t="e">
        <f t="shared" ca="1" si="109"/>
        <v>#VALUE!</v>
      </c>
      <c r="G774" s="25"/>
      <c r="H774" s="25" t="e">
        <f t="shared" si="113"/>
        <v>#VALUE!</v>
      </c>
      <c r="I774" s="25">
        <f t="shared" si="110"/>
        <v>259.9999999999838</v>
      </c>
      <c r="J774" s="25" t="e">
        <f t="shared" si="111"/>
        <v>#VALUE!</v>
      </c>
    </row>
    <row r="775" spans="1:10" x14ac:dyDescent="0.25">
      <c r="A775" s="25">
        <f t="shared" si="112"/>
        <v>-2.3900000000001622</v>
      </c>
      <c r="B775" s="25">
        <f t="shared" ca="1" si="105"/>
        <v>-0.15644608940790275</v>
      </c>
      <c r="C775" s="25" t="e">
        <f t="shared" si="106"/>
        <v>#VALUE!</v>
      </c>
      <c r="D775" s="74" t="e">
        <f t="shared" si="107"/>
        <v>#VALUE!</v>
      </c>
      <c r="E775" s="25" t="e">
        <f t="shared" si="108"/>
        <v>#VALUE!</v>
      </c>
      <c r="F775" s="25" t="e">
        <f t="shared" ca="1" si="109"/>
        <v>#VALUE!</v>
      </c>
      <c r="G775" s="25"/>
      <c r="H775" s="25" t="e">
        <f t="shared" si="113"/>
        <v>#VALUE!</v>
      </c>
      <c r="I775" s="25">
        <f t="shared" si="110"/>
        <v>260.99999999998374</v>
      </c>
      <c r="J775" s="25" t="e">
        <f t="shared" si="111"/>
        <v>#VALUE!</v>
      </c>
    </row>
    <row r="776" spans="1:10" x14ac:dyDescent="0.25">
      <c r="A776" s="25">
        <f t="shared" si="112"/>
        <v>-2.3800000000001624</v>
      </c>
      <c r="B776" s="25">
        <f t="shared" ca="1" si="105"/>
        <v>0.12149144939104724</v>
      </c>
      <c r="C776" s="25" t="e">
        <f t="shared" si="106"/>
        <v>#VALUE!</v>
      </c>
      <c r="D776" s="74" t="e">
        <f t="shared" si="107"/>
        <v>#VALUE!</v>
      </c>
      <c r="E776" s="25" t="e">
        <f t="shared" si="108"/>
        <v>#VALUE!</v>
      </c>
      <c r="F776" s="25" t="e">
        <f t="shared" ca="1" si="109"/>
        <v>#VALUE!</v>
      </c>
      <c r="G776" s="25"/>
      <c r="H776" s="25" t="e">
        <f t="shared" si="113"/>
        <v>#VALUE!</v>
      </c>
      <c r="I776" s="25">
        <f t="shared" si="110"/>
        <v>261.99999999998374</v>
      </c>
      <c r="J776" s="25" t="e">
        <f t="shared" si="111"/>
        <v>#VALUE!</v>
      </c>
    </row>
    <row r="777" spans="1:10" x14ac:dyDescent="0.25">
      <c r="A777" s="25">
        <f t="shared" si="112"/>
        <v>-2.3700000000001626</v>
      </c>
      <c r="B777" s="25">
        <f t="shared" ca="1" si="105"/>
        <v>-2.8645056488257003E-2</v>
      </c>
      <c r="C777" s="25" t="e">
        <f t="shared" si="106"/>
        <v>#VALUE!</v>
      </c>
      <c r="D777" s="74" t="e">
        <f t="shared" si="107"/>
        <v>#VALUE!</v>
      </c>
      <c r="E777" s="25" t="e">
        <f t="shared" si="108"/>
        <v>#VALUE!</v>
      </c>
      <c r="F777" s="25" t="e">
        <f t="shared" ca="1" si="109"/>
        <v>#VALUE!</v>
      </c>
      <c r="G777" s="25"/>
      <c r="H777" s="25" t="e">
        <f t="shared" si="113"/>
        <v>#VALUE!</v>
      </c>
      <c r="I777" s="25">
        <f t="shared" si="110"/>
        <v>262.99999999998374</v>
      </c>
      <c r="J777" s="25" t="e">
        <f t="shared" si="111"/>
        <v>#VALUE!</v>
      </c>
    </row>
    <row r="778" spans="1:10" x14ac:dyDescent="0.25">
      <c r="A778" s="25">
        <f t="shared" si="112"/>
        <v>-2.3600000000001629</v>
      </c>
      <c r="B778" s="25">
        <f t="shared" ca="1" si="105"/>
        <v>-0.19530378006110682</v>
      </c>
      <c r="C778" s="25" t="e">
        <f t="shared" si="106"/>
        <v>#VALUE!</v>
      </c>
      <c r="D778" s="74" t="e">
        <f t="shared" si="107"/>
        <v>#VALUE!</v>
      </c>
      <c r="E778" s="25" t="e">
        <f t="shared" si="108"/>
        <v>#VALUE!</v>
      </c>
      <c r="F778" s="25" t="e">
        <f t="shared" ca="1" si="109"/>
        <v>#VALUE!</v>
      </c>
      <c r="G778" s="25"/>
      <c r="H778" s="25" t="e">
        <f t="shared" si="113"/>
        <v>#VALUE!</v>
      </c>
      <c r="I778" s="25">
        <f t="shared" si="110"/>
        <v>263.99999999998374</v>
      </c>
      <c r="J778" s="25" t="e">
        <f t="shared" si="111"/>
        <v>#VALUE!</v>
      </c>
    </row>
    <row r="779" spans="1:10" x14ac:dyDescent="0.25">
      <c r="A779" s="25">
        <f t="shared" si="112"/>
        <v>-2.3500000000001631</v>
      </c>
      <c r="B779" s="25">
        <f t="shared" ca="1" si="105"/>
        <v>-7.7361700094411054E-2</v>
      </c>
      <c r="C779" s="25" t="e">
        <f t="shared" si="106"/>
        <v>#VALUE!</v>
      </c>
      <c r="D779" s="74" t="e">
        <f t="shared" si="107"/>
        <v>#VALUE!</v>
      </c>
      <c r="E779" s="25" t="e">
        <f t="shared" si="108"/>
        <v>#VALUE!</v>
      </c>
      <c r="F779" s="25" t="e">
        <f t="shared" ca="1" si="109"/>
        <v>#VALUE!</v>
      </c>
      <c r="G779" s="25"/>
      <c r="H779" s="25" t="e">
        <f t="shared" si="113"/>
        <v>#VALUE!</v>
      </c>
      <c r="I779" s="25">
        <f t="shared" si="110"/>
        <v>264.99999999998369</v>
      </c>
      <c r="J779" s="25" t="e">
        <f t="shared" si="111"/>
        <v>#VALUE!</v>
      </c>
    </row>
    <row r="780" spans="1:10" x14ac:dyDescent="0.25">
      <c r="A780" s="25">
        <f t="shared" si="112"/>
        <v>-2.3400000000001633</v>
      </c>
      <c r="B780" s="25">
        <f t="shared" ca="1" si="105"/>
        <v>-6.1395395113877156E-2</v>
      </c>
      <c r="C780" s="25" t="e">
        <f t="shared" si="106"/>
        <v>#VALUE!</v>
      </c>
      <c r="D780" s="74" t="e">
        <f t="shared" si="107"/>
        <v>#VALUE!</v>
      </c>
      <c r="E780" s="25" t="e">
        <f t="shared" si="108"/>
        <v>#VALUE!</v>
      </c>
      <c r="F780" s="25" t="e">
        <f t="shared" ca="1" si="109"/>
        <v>#VALUE!</v>
      </c>
      <c r="G780" s="25"/>
      <c r="H780" s="25" t="e">
        <f t="shared" si="113"/>
        <v>#VALUE!</v>
      </c>
      <c r="I780" s="25">
        <f t="shared" si="110"/>
        <v>265.99999999998369</v>
      </c>
      <c r="J780" s="25" t="e">
        <f t="shared" si="111"/>
        <v>#VALUE!</v>
      </c>
    </row>
    <row r="781" spans="1:10" x14ac:dyDescent="0.25">
      <c r="A781" s="25">
        <f t="shared" si="112"/>
        <v>-2.3300000000001635</v>
      </c>
      <c r="B781" s="25">
        <f t="shared" ca="1" si="105"/>
        <v>0.10997358616425583</v>
      </c>
      <c r="C781" s="25" t="e">
        <f t="shared" si="106"/>
        <v>#VALUE!</v>
      </c>
      <c r="D781" s="74" t="e">
        <f t="shared" si="107"/>
        <v>#VALUE!</v>
      </c>
      <c r="E781" s="25" t="e">
        <f t="shared" si="108"/>
        <v>#VALUE!</v>
      </c>
      <c r="F781" s="25" t="e">
        <f t="shared" ca="1" si="109"/>
        <v>#VALUE!</v>
      </c>
      <c r="G781" s="25"/>
      <c r="H781" s="25" t="e">
        <f t="shared" si="113"/>
        <v>#VALUE!</v>
      </c>
      <c r="I781" s="25">
        <f t="shared" si="110"/>
        <v>266.99999999998363</v>
      </c>
      <c r="J781" s="25" t="e">
        <f t="shared" si="111"/>
        <v>#VALUE!</v>
      </c>
    </row>
    <row r="782" spans="1:10" x14ac:dyDescent="0.25">
      <c r="A782" s="25">
        <f t="shared" si="112"/>
        <v>-2.3200000000001637</v>
      </c>
      <c r="B782" s="25">
        <f t="shared" ref="B782:B845" ca="1" si="114">(RAND()-0.5-$B$7)/$B$5</f>
        <v>-9.1475439461114735E-2</v>
      </c>
      <c r="C782" s="25" t="e">
        <f t="shared" ref="C782:C845" si="115">IF(ABS(A782)&lt;=($D$3/2),1,IF(ABS(A782)&lt;=($B$4/2),IF(A782&gt;0,A782*(4/(1-2*$B$4))+(2*$B$4/(2*$B$4-1)),(-A782*(4/(1-2*$B$4))+(2*$B$4/(2*$B$4-1)))),0))</f>
        <v>#VALUE!</v>
      </c>
      <c r="D782" s="74" t="e">
        <f t="shared" ref="D782:D845" si="116">IF(ABS(A782)&lt;=($D$3/4+$B$4/4),1,IF(ABS(A782)&lt;=($B$4/2),(IF(A782&gt;0,A782*(8/(1-2*$B$4))+(4*$B$4)/(2*$B$4-1),(-A782*(8/(1-2*$B$4))+(4*$B$4)/(2*$B$4-1)))),0))</f>
        <v>#VALUE!</v>
      </c>
      <c r="E782" s="25" t="e">
        <f t="shared" ref="E782:E845" si="117">IF(ABS(A782)&lt;($B$4/2), 1, 0)</f>
        <v>#VALUE!</v>
      </c>
      <c r="F782" s="25" t="e">
        <f t="shared" ref="F782:F845" ca="1" si="118">C782+B782</f>
        <v>#VALUE!</v>
      </c>
      <c r="G782" s="25"/>
      <c r="H782" s="25" t="e">
        <f t="shared" si="113"/>
        <v>#VALUE!</v>
      </c>
      <c r="I782" s="25">
        <f t="shared" ref="I782:I845" si="119">$I$3*(A782-$G$3)/($H$3-$G$3)</f>
        <v>267.99999999998363</v>
      </c>
      <c r="J782" s="25" t="e">
        <f t="shared" ref="J782:J845" si="120">H782</f>
        <v>#VALUE!</v>
      </c>
    </row>
    <row r="783" spans="1:10" x14ac:dyDescent="0.25">
      <c r="A783" s="25">
        <f t="shared" ref="A783:A846" si="121">A782+0.01</f>
        <v>-2.3100000000001639</v>
      </c>
      <c r="B783" s="25">
        <f t="shared" ca="1" si="114"/>
        <v>8.7743663388217888E-2</v>
      </c>
      <c r="C783" s="25" t="e">
        <f t="shared" si="115"/>
        <v>#VALUE!</v>
      </c>
      <c r="D783" s="74" t="e">
        <f t="shared" si="116"/>
        <v>#VALUE!</v>
      </c>
      <c r="E783" s="25" t="e">
        <f t="shared" si="117"/>
        <v>#VALUE!</v>
      </c>
      <c r="F783" s="25" t="e">
        <f t="shared" ca="1" si="118"/>
        <v>#VALUE!</v>
      </c>
      <c r="G783" s="25"/>
      <c r="H783" s="25" t="e">
        <f t="shared" si="113"/>
        <v>#VALUE!</v>
      </c>
      <c r="I783" s="25">
        <f t="shared" si="119"/>
        <v>268.99999999998363</v>
      </c>
      <c r="J783" s="25" t="e">
        <f t="shared" si="120"/>
        <v>#VALUE!</v>
      </c>
    </row>
    <row r="784" spans="1:10" x14ac:dyDescent="0.25">
      <c r="A784" s="25">
        <f t="shared" si="121"/>
        <v>-2.3000000000001641</v>
      </c>
      <c r="B784" s="25">
        <f t="shared" ca="1" si="114"/>
        <v>-0.14636756969722822</v>
      </c>
      <c r="C784" s="25" t="e">
        <f t="shared" si="115"/>
        <v>#VALUE!</v>
      </c>
      <c r="D784" s="74" t="e">
        <f t="shared" si="116"/>
        <v>#VALUE!</v>
      </c>
      <c r="E784" s="25" t="e">
        <f t="shared" si="117"/>
        <v>#VALUE!</v>
      </c>
      <c r="F784" s="25" t="e">
        <f t="shared" ca="1" si="118"/>
        <v>#VALUE!</v>
      </c>
      <c r="G784" s="25"/>
      <c r="H784" s="25" t="e">
        <f t="shared" si="113"/>
        <v>#VALUE!</v>
      </c>
      <c r="I784" s="25">
        <f t="shared" si="119"/>
        <v>269.99999999998357</v>
      </c>
      <c r="J784" s="25" t="e">
        <f t="shared" si="120"/>
        <v>#VALUE!</v>
      </c>
    </row>
    <row r="785" spans="1:10" x14ac:dyDescent="0.25">
      <c r="A785" s="25">
        <f t="shared" si="121"/>
        <v>-2.2900000000001643</v>
      </c>
      <c r="B785" s="25">
        <f t="shared" ca="1" si="114"/>
        <v>-0.13358188239763291</v>
      </c>
      <c r="C785" s="25" t="e">
        <f t="shared" si="115"/>
        <v>#VALUE!</v>
      </c>
      <c r="D785" s="74" t="e">
        <f t="shared" si="116"/>
        <v>#VALUE!</v>
      </c>
      <c r="E785" s="25" t="e">
        <f t="shared" si="117"/>
        <v>#VALUE!</v>
      </c>
      <c r="F785" s="25" t="e">
        <f t="shared" ca="1" si="118"/>
        <v>#VALUE!</v>
      </c>
      <c r="G785" s="25"/>
      <c r="H785" s="25" t="e">
        <f t="shared" si="113"/>
        <v>#VALUE!</v>
      </c>
      <c r="I785" s="25">
        <f t="shared" si="119"/>
        <v>270.99999999998357</v>
      </c>
      <c r="J785" s="25" t="e">
        <f t="shared" si="120"/>
        <v>#VALUE!</v>
      </c>
    </row>
    <row r="786" spans="1:10" x14ac:dyDescent="0.25">
      <c r="A786" s="25">
        <f t="shared" si="121"/>
        <v>-2.2800000000001646</v>
      </c>
      <c r="B786" s="25">
        <f t="shared" ca="1" si="114"/>
        <v>-6.7274732066538195E-2</v>
      </c>
      <c r="C786" s="25" t="e">
        <f t="shared" si="115"/>
        <v>#VALUE!</v>
      </c>
      <c r="D786" s="74" t="e">
        <f t="shared" si="116"/>
        <v>#VALUE!</v>
      </c>
      <c r="E786" s="25" t="e">
        <f t="shared" si="117"/>
        <v>#VALUE!</v>
      </c>
      <c r="F786" s="25" t="e">
        <f t="shared" ca="1" si="118"/>
        <v>#VALUE!</v>
      </c>
      <c r="G786" s="25"/>
      <c r="H786" s="25" t="e">
        <f t="shared" si="113"/>
        <v>#VALUE!</v>
      </c>
      <c r="I786" s="25">
        <f t="shared" si="119"/>
        <v>271.99999999998352</v>
      </c>
      <c r="J786" s="25" t="e">
        <f t="shared" si="120"/>
        <v>#VALUE!</v>
      </c>
    </row>
    <row r="787" spans="1:10" x14ac:dyDescent="0.25">
      <c r="A787" s="25">
        <f t="shared" si="121"/>
        <v>-2.2700000000001648</v>
      </c>
      <c r="B787" s="25">
        <f t="shared" ca="1" si="114"/>
        <v>4.5699569413503355E-4</v>
      </c>
      <c r="C787" s="25" t="e">
        <f t="shared" si="115"/>
        <v>#VALUE!</v>
      </c>
      <c r="D787" s="74" t="e">
        <f t="shared" si="116"/>
        <v>#VALUE!</v>
      </c>
      <c r="E787" s="25" t="e">
        <f t="shared" si="117"/>
        <v>#VALUE!</v>
      </c>
      <c r="F787" s="25" t="e">
        <f t="shared" ca="1" si="118"/>
        <v>#VALUE!</v>
      </c>
      <c r="G787" s="25"/>
      <c r="H787" s="25" t="e">
        <f t="shared" si="113"/>
        <v>#VALUE!</v>
      </c>
      <c r="I787" s="25">
        <f t="shared" si="119"/>
        <v>272.99999999998352</v>
      </c>
      <c r="J787" s="25" t="e">
        <f t="shared" si="120"/>
        <v>#VALUE!</v>
      </c>
    </row>
    <row r="788" spans="1:10" x14ac:dyDescent="0.25">
      <c r="A788" s="25">
        <f t="shared" si="121"/>
        <v>-2.260000000000165</v>
      </c>
      <c r="B788" s="25">
        <f t="shared" ca="1" si="114"/>
        <v>4.7747739846909082E-2</v>
      </c>
      <c r="C788" s="25" t="e">
        <f t="shared" si="115"/>
        <v>#VALUE!</v>
      </c>
      <c r="D788" s="74" t="e">
        <f t="shared" si="116"/>
        <v>#VALUE!</v>
      </c>
      <c r="E788" s="25" t="e">
        <f t="shared" si="117"/>
        <v>#VALUE!</v>
      </c>
      <c r="F788" s="25" t="e">
        <f t="shared" ca="1" si="118"/>
        <v>#VALUE!</v>
      </c>
      <c r="G788" s="25"/>
      <c r="H788" s="25" t="e">
        <f t="shared" si="113"/>
        <v>#VALUE!</v>
      </c>
      <c r="I788" s="25">
        <f t="shared" si="119"/>
        <v>273.99999999998352</v>
      </c>
      <c r="J788" s="25" t="e">
        <f t="shared" si="120"/>
        <v>#VALUE!</v>
      </c>
    </row>
    <row r="789" spans="1:10" x14ac:dyDescent="0.25">
      <c r="A789" s="25">
        <f t="shared" si="121"/>
        <v>-2.2500000000001652</v>
      </c>
      <c r="B789" s="25">
        <f t="shared" ca="1" si="114"/>
        <v>7.0541505040398564E-2</v>
      </c>
      <c r="C789" s="25" t="e">
        <f t="shared" si="115"/>
        <v>#VALUE!</v>
      </c>
      <c r="D789" s="74" t="e">
        <f t="shared" si="116"/>
        <v>#VALUE!</v>
      </c>
      <c r="E789" s="25" t="e">
        <f t="shared" si="117"/>
        <v>#VALUE!</v>
      </c>
      <c r="F789" s="25" t="e">
        <f t="shared" ca="1" si="118"/>
        <v>#VALUE!</v>
      </c>
      <c r="G789" s="25"/>
      <c r="H789" s="25" t="e">
        <f t="shared" si="113"/>
        <v>#VALUE!</v>
      </c>
      <c r="I789" s="25">
        <f t="shared" si="119"/>
        <v>274.99999999998352</v>
      </c>
      <c r="J789" s="25" t="e">
        <f t="shared" si="120"/>
        <v>#VALUE!</v>
      </c>
    </row>
    <row r="790" spans="1:10" x14ac:dyDescent="0.25">
      <c r="A790" s="25">
        <f t="shared" si="121"/>
        <v>-2.2400000000001654</v>
      </c>
      <c r="B790" s="25">
        <f t="shared" ca="1" si="114"/>
        <v>4.9276809609866308E-2</v>
      </c>
      <c r="C790" s="25" t="e">
        <f t="shared" si="115"/>
        <v>#VALUE!</v>
      </c>
      <c r="D790" s="74" t="e">
        <f t="shared" si="116"/>
        <v>#VALUE!</v>
      </c>
      <c r="E790" s="25" t="e">
        <f t="shared" si="117"/>
        <v>#VALUE!</v>
      </c>
      <c r="F790" s="25" t="e">
        <f t="shared" ca="1" si="118"/>
        <v>#VALUE!</v>
      </c>
      <c r="G790" s="25"/>
      <c r="H790" s="25" t="e">
        <f t="shared" si="113"/>
        <v>#VALUE!</v>
      </c>
      <c r="I790" s="25">
        <f t="shared" si="119"/>
        <v>275.99999999998346</v>
      </c>
      <c r="J790" s="25" t="e">
        <f t="shared" si="120"/>
        <v>#VALUE!</v>
      </c>
    </row>
    <row r="791" spans="1:10" x14ac:dyDescent="0.25">
      <c r="A791" s="25">
        <f t="shared" si="121"/>
        <v>-2.2300000000001656</v>
      </c>
      <c r="B791" s="25">
        <f t="shared" ca="1" si="114"/>
        <v>-0.1600515245569748</v>
      </c>
      <c r="C791" s="25" t="e">
        <f t="shared" si="115"/>
        <v>#VALUE!</v>
      </c>
      <c r="D791" s="74" t="e">
        <f t="shared" si="116"/>
        <v>#VALUE!</v>
      </c>
      <c r="E791" s="25" t="e">
        <f t="shared" si="117"/>
        <v>#VALUE!</v>
      </c>
      <c r="F791" s="25" t="e">
        <f t="shared" ca="1" si="118"/>
        <v>#VALUE!</v>
      </c>
      <c r="G791" s="25"/>
      <c r="H791" s="25" t="e">
        <f t="shared" si="113"/>
        <v>#VALUE!</v>
      </c>
      <c r="I791" s="25">
        <f t="shared" si="119"/>
        <v>276.99999999998346</v>
      </c>
      <c r="J791" s="25" t="e">
        <f t="shared" si="120"/>
        <v>#VALUE!</v>
      </c>
    </row>
    <row r="792" spans="1:10" x14ac:dyDescent="0.25">
      <c r="A792" s="25">
        <f t="shared" si="121"/>
        <v>-2.2200000000001658</v>
      </c>
      <c r="B792" s="25">
        <f t="shared" ca="1" si="114"/>
        <v>-1.1958149068926643E-2</v>
      </c>
      <c r="C792" s="25" t="e">
        <f t="shared" si="115"/>
        <v>#VALUE!</v>
      </c>
      <c r="D792" s="74" t="e">
        <f t="shared" si="116"/>
        <v>#VALUE!</v>
      </c>
      <c r="E792" s="25" t="e">
        <f t="shared" si="117"/>
        <v>#VALUE!</v>
      </c>
      <c r="F792" s="25" t="e">
        <f t="shared" ca="1" si="118"/>
        <v>#VALUE!</v>
      </c>
      <c r="G792" s="25"/>
      <c r="H792" s="25" t="e">
        <f t="shared" si="113"/>
        <v>#VALUE!</v>
      </c>
      <c r="I792" s="25">
        <f t="shared" si="119"/>
        <v>277.9999999999834</v>
      </c>
      <c r="J792" s="25" t="e">
        <f t="shared" si="120"/>
        <v>#VALUE!</v>
      </c>
    </row>
    <row r="793" spans="1:10" x14ac:dyDescent="0.25">
      <c r="A793" s="25">
        <f t="shared" si="121"/>
        <v>-2.2100000000001661</v>
      </c>
      <c r="B793" s="25">
        <f t="shared" ca="1" si="114"/>
        <v>1.613756352282868E-2</v>
      </c>
      <c r="C793" s="25" t="e">
        <f t="shared" si="115"/>
        <v>#VALUE!</v>
      </c>
      <c r="D793" s="74" t="e">
        <f t="shared" si="116"/>
        <v>#VALUE!</v>
      </c>
      <c r="E793" s="25" t="e">
        <f t="shared" si="117"/>
        <v>#VALUE!</v>
      </c>
      <c r="F793" s="25" t="e">
        <f t="shared" ca="1" si="118"/>
        <v>#VALUE!</v>
      </c>
      <c r="G793" s="25"/>
      <c r="H793" s="25" t="e">
        <f t="shared" si="113"/>
        <v>#VALUE!</v>
      </c>
      <c r="I793" s="25">
        <f t="shared" si="119"/>
        <v>278.9999999999834</v>
      </c>
      <c r="J793" s="25" t="e">
        <f t="shared" si="120"/>
        <v>#VALUE!</v>
      </c>
    </row>
    <row r="794" spans="1:10" x14ac:dyDescent="0.25">
      <c r="A794" s="25">
        <f t="shared" si="121"/>
        <v>-2.2000000000001663</v>
      </c>
      <c r="B794" s="25">
        <f t="shared" ca="1" si="114"/>
        <v>-0.17964958198440653</v>
      </c>
      <c r="C794" s="25" t="e">
        <f t="shared" si="115"/>
        <v>#VALUE!</v>
      </c>
      <c r="D794" s="74" t="e">
        <f t="shared" si="116"/>
        <v>#VALUE!</v>
      </c>
      <c r="E794" s="25" t="e">
        <f t="shared" si="117"/>
        <v>#VALUE!</v>
      </c>
      <c r="F794" s="25" t="e">
        <f t="shared" ca="1" si="118"/>
        <v>#VALUE!</v>
      </c>
      <c r="G794" s="25"/>
      <c r="H794" s="25" t="e">
        <f t="shared" si="113"/>
        <v>#VALUE!</v>
      </c>
      <c r="I794" s="25">
        <f t="shared" si="119"/>
        <v>279.99999999998334</v>
      </c>
      <c r="J794" s="25" t="e">
        <f t="shared" si="120"/>
        <v>#VALUE!</v>
      </c>
    </row>
    <row r="795" spans="1:10" x14ac:dyDescent="0.25">
      <c r="A795" s="25">
        <f t="shared" si="121"/>
        <v>-2.1900000000001665</v>
      </c>
      <c r="B795" s="25">
        <f t="shared" ca="1" si="114"/>
        <v>0.12617247612647778</v>
      </c>
      <c r="C795" s="25" t="e">
        <f t="shared" si="115"/>
        <v>#VALUE!</v>
      </c>
      <c r="D795" s="74" t="e">
        <f t="shared" si="116"/>
        <v>#VALUE!</v>
      </c>
      <c r="E795" s="25" t="e">
        <f t="shared" si="117"/>
        <v>#VALUE!</v>
      </c>
      <c r="F795" s="25" t="e">
        <f t="shared" ca="1" si="118"/>
        <v>#VALUE!</v>
      </c>
      <c r="G795" s="25"/>
      <c r="H795" s="25" t="e">
        <f t="shared" si="113"/>
        <v>#VALUE!</v>
      </c>
      <c r="I795" s="25">
        <f t="shared" si="119"/>
        <v>280.99999999998334</v>
      </c>
      <c r="J795" s="25" t="e">
        <f t="shared" si="120"/>
        <v>#VALUE!</v>
      </c>
    </row>
    <row r="796" spans="1:10" x14ac:dyDescent="0.25">
      <c r="A796" s="25">
        <f t="shared" si="121"/>
        <v>-2.1800000000001667</v>
      </c>
      <c r="B796" s="25">
        <f t="shared" ca="1" si="114"/>
        <v>-0.11578418409803193</v>
      </c>
      <c r="C796" s="25" t="e">
        <f t="shared" si="115"/>
        <v>#VALUE!</v>
      </c>
      <c r="D796" s="74" t="e">
        <f t="shared" si="116"/>
        <v>#VALUE!</v>
      </c>
      <c r="E796" s="25" t="e">
        <f t="shared" si="117"/>
        <v>#VALUE!</v>
      </c>
      <c r="F796" s="25" t="e">
        <f t="shared" ca="1" si="118"/>
        <v>#VALUE!</v>
      </c>
      <c r="G796" s="25"/>
      <c r="H796" s="25" t="e">
        <f t="shared" si="113"/>
        <v>#VALUE!</v>
      </c>
      <c r="I796" s="25">
        <f t="shared" si="119"/>
        <v>281.99999999998329</v>
      </c>
      <c r="J796" s="25" t="e">
        <f t="shared" si="120"/>
        <v>#VALUE!</v>
      </c>
    </row>
    <row r="797" spans="1:10" x14ac:dyDescent="0.25">
      <c r="A797" s="25">
        <f t="shared" si="121"/>
        <v>-2.1700000000001669</v>
      </c>
      <c r="B797" s="25">
        <f t="shared" ca="1" si="114"/>
        <v>2.4556506678274682E-2</v>
      </c>
      <c r="C797" s="25" t="e">
        <f t="shared" si="115"/>
        <v>#VALUE!</v>
      </c>
      <c r="D797" s="74" t="e">
        <f t="shared" si="116"/>
        <v>#VALUE!</v>
      </c>
      <c r="E797" s="25" t="e">
        <f t="shared" si="117"/>
        <v>#VALUE!</v>
      </c>
      <c r="F797" s="25" t="e">
        <f t="shared" ca="1" si="118"/>
        <v>#VALUE!</v>
      </c>
      <c r="G797" s="25"/>
      <c r="H797" s="25" t="e">
        <f t="shared" si="113"/>
        <v>#VALUE!</v>
      </c>
      <c r="I797" s="25">
        <f t="shared" si="119"/>
        <v>282.99999999998329</v>
      </c>
      <c r="J797" s="25" t="e">
        <f t="shared" si="120"/>
        <v>#VALUE!</v>
      </c>
    </row>
    <row r="798" spans="1:10" x14ac:dyDescent="0.25">
      <c r="A798" s="25">
        <f t="shared" si="121"/>
        <v>-2.1600000000001671</v>
      </c>
      <c r="B798" s="25">
        <f t="shared" ca="1" si="114"/>
        <v>-0.13363709216811645</v>
      </c>
      <c r="C798" s="25" t="e">
        <f t="shared" si="115"/>
        <v>#VALUE!</v>
      </c>
      <c r="D798" s="74" t="e">
        <f t="shared" si="116"/>
        <v>#VALUE!</v>
      </c>
      <c r="E798" s="25" t="e">
        <f t="shared" si="117"/>
        <v>#VALUE!</v>
      </c>
      <c r="F798" s="25" t="e">
        <f t="shared" ca="1" si="118"/>
        <v>#VALUE!</v>
      </c>
      <c r="G798" s="25"/>
      <c r="H798" s="25" t="e">
        <f t="shared" ref="H798:H861" si="122">IF(PeakShape=$O$3,C798,IF(PeakShape=O800,D798,E798))</f>
        <v>#VALUE!</v>
      </c>
      <c r="I798" s="25">
        <f t="shared" si="119"/>
        <v>283.99999999998329</v>
      </c>
      <c r="J798" s="25" t="e">
        <f t="shared" si="120"/>
        <v>#VALUE!</v>
      </c>
    </row>
    <row r="799" spans="1:10" x14ac:dyDescent="0.25">
      <c r="A799" s="25">
        <f t="shared" si="121"/>
        <v>-2.1500000000001673</v>
      </c>
      <c r="B799" s="25">
        <f t="shared" ca="1" si="114"/>
        <v>-0.18654174145817362</v>
      </c>
      <c r="C799" s="25" t="e">
        <f t="shared" si="115"/>
        <v>#VALUE!</v>
      </c>
      <c r="D799" s="74" t="e">
        <f t="shared" si="116"/>
        <v>#VALUE!</v>
      </c>
      <c r="E799" s="25" t="e">
        <f t="shared" si="117"/>
        <v>#VALUE!</v>
      </c>
      <c r="F799" s="25" t="e">
        <f t="shared" ca="1" si="118"/>
        <v>#VALUE!</v>
      </c>
      <c r="G799" s="25"/>
      <c r="H799" s="25" t="e">
        <f t="shared" si="122"/>
        <v>#VALUE!</v>
      </c>
      <c r="I799" s="25">
        <f t="shared" si="119"/>
        <v>284.99999999998329</v>
      </c>
      <c r="J799" s="25" t="e">
        <f t="shared" si="120"/>
        <v>#VALUE!</v>
      </c>
    </row>
    <row r="800" spans="1:10" x14ac:dyDescent="0.25">
      <c r="A800" s="25">
        <f t="shared" si="121"/>
        <v>-2.1400000000001675</v>
      </c>
      <c r="B800" s="25">
        <f t="shared" ca="1" si="114"/>
        <v>-0.17176857736895532</v>
      </c>
      <c r="C800" s="25" t="e">
        <f t="shared" si="115"/>
        <v>#VALUE!</v>
      </c>
      <c r="D800" s="74" t="e">
        <f t="shared" si="116"/>
        <v>#VALUE!</v>
      </c>
      <c r="E800" s="25" t="e">
        <f t="shared" si="117"/>
        <v>#VALUE!</v>
      </c>
      <c r="F800" s="25" t="e">
        <f t="shared" ca="1" si="118"/>
        <v>#VALUE!</v>
      </c>
      <c r="G800" s="25"/>
      <c r="H800" s="25" t="e">
        <f t="shared" si="122"/>
        <v>#VALUE!</v>
      </c>
      <c r="I800" s="25">
        <f t="shared" si="119"/>
        <v>285.99999999998329</v>
      </c>
      <c r="J800" s="25" t="e">
        <f t="shared" si="120"/>
        <v>#VALUE!</v>
      </c>
    </row>
    <row r="801" spans="1:10" x14ac:dyDescent="0.25">
      <c r="A801" s="25">
        <f t="shared" si="121"/>
        <v>-2.1300000000001678</v>
      </c>
      <c r="B801" s="25">
        <f t="shared" ca="1" si="114"/>
        <v>-0.17881521929327213</v>
      </c>
      <c r="C801" s="25" t="e">
        <f t="shared" si="115"/>
        <v>#VALUE!</v>
      </c>
      <c r="D801" s="74" t="e">
        <f t="shared" si="116"/>
        <v>#VALUE!</v>
      </c>
      <c r="E801" s="25" t="e">
        <f t="shared" si="117"/>
        <v>#VALUE!</v>
      </c>
      <c r="F801" s="25" t="e">
        <f t="shared" ca="1" si="118"/>
        <v>#VALUE!</v>
      </c>
      <c r="G801" s="25"/>
      <c r="H801" s="25" t="e">
        <f t="shared" si="122"/>
        <v>#VALUE!</v>
      </c>
      <c r="I801" s="25">
        <f t="shared" si="119"/>
        <v>286.99999999998323</v>
      </c>
      <c r="J801" s="25" t="e">
        <f t="shared" si="120"/>
        <v>#VALUE!</v>
      </c>
    </row>
    <row r="802" spans="1:10" x14ac:dyDescent="0.25">
      <c r="A802" s="25">
        <f t="shared" si="121"/>
        <v>-2.120000000000168</v>
      </c>
      <c r="B802" s="25">
        <f t="shared" ca="1" si="114"/>
        <v>5.3987080139309633E-2</v>
      </c>
      <c r="C802" s="25" t="e">
        <f t="shared" si="115"/>
        <v>#VALUE!</v>
      </c>
      <c r="D802" s="74" t="e">
        <f t="shared" si="116"/>
        <v>#VALUE!</v>
      </c>
      <c r="E802" s="25" t="e">
        <f t="shared" si="117"/>
        <v>#VALUE!</v>
      </c>
      <c r="F802" s="25" t="e">
        <f t="shared" ca="1" si="118"/>
        <v>#VALUE!</v>
      </c>
      <c r="G802" s="25"/>
      <c r="H802" s="25" t="e">
        <f t="shared" si="122"/>
        <v>#VALUE!</v>
      </c>
      <c r="I802" s="25">
        <f t="shared" si="119"/>
        <v>287.99999999998323</v>
      </c>
      <c r="J802" s="25" t="e">
        <f t="shared" si="120"/>
        <v>#VALUE!</v>
      </c>
    </row>
    <row r="803" spans="1:10" x14ac:dyDescent="0.25">
      <c r="A803" s="25">
        <f t="shared" si="121"/>
        <v>-2.1100000000001682</v>
      </c>
      <c r="B803" s="25">
        <f t="shared" ca="1" si="114"/>
        <v>8.4223563432769114E-2</v>
      </c>
      <c r="C803" s="25" t="e">
        <f t="shared" si="115"/>
        <v>#VALUE!</v>
      </c>
      <c r="D803" s="74" t="e">
        <f t="shared" si="116"/>
        <v>#VALUE!</v>
      </c>
      <c r="E803" s="25" t="e">
        <f t="shared" si="117"/>
        <v>#VALUE!</v>
      </c>
      <c r="F803" s="25" t="e">
        <f t="shared" ca="1" si="118"/>
        <v>#VALUE!</v>
      </c>
      <c r="G803" s="25"/>
      <c r="H803" s="25" t="e">
        <f t="shared" si="122"/>
        <v>#VALUE!</v>
      </c>
      <c r="I803" s="25">
        <f t="shared" si="119"/>
        <v>288.99999999998317</v>
      </c>
      <c r="J803" s="25" t="e">
        <f t="shared" si="120"/>
        <v>#VALUE!</v>
      </c>
    </row>
    <row r="804" spans="1:10" x14ac:dyDescent="0.25">
      <c r="A804" s="25">
        <f t="shared" si="121"/>
        <v>-2.1000000000001684</v>
      </c>
      <c r="B804" s="25">
        <f t="shared" ca="1" si="114"/>
        <v>-6.2102141868916244E-2</v>
      </c>
      <c r="C804" s="25" t="e">
        <f t="shared" si="115"/>
        <v>#VALUE!</v>
      </c>
      <c r="D804" s="74" t="e">
        <f t="shared" si="116"/>
        <v>#VALUE!</v>
      </c>
      <c r="E804" s="25" t="e">
        <f t="shared" si="117"/>
        <v>#VALUE!</v>
      </c>
      <c r="F804" s="25" t="e">
        <f t="shared" ca="1" si="118"/>
        <v>#VALUE!</v>
      </c>
      <c r="G804" s="25"/>
      <c r="H804" s="25" t="e">
        <f t="shared" si="122"/>
        <v>#VALUE!</v>
      </c>
      <c r="I804" s="25">
        <f t="shared" si="119"/>
        <v>289.99999999998317</v>
      </c>
      <c r="J804" s="25" t="e">
        <f t="shared" si="120"/>
        <v>#VALUE!</v>
      </c>
    </row>
    <row r="805" spans="1:10" x14ac:dyDescent="0.25">
      <c r="A805" s="25">
        <f t="shared" si="121"/>
        <v>-2.0900000000001686</v>
      </c>
      <c r="B805" s="25">
        <f t="shared" ca="1" si="114"/>
        <v>-4.5816637967008973E-2</v>
      </c>
      <c r="C805" s="25" t="e">
        <f t="shared" si="115"/>
        <v>#VALUE!</v>
      </c>
      <c r="D805" s="74" t="e">
        <f t="shared" si="116"/>
        <v>#VALUE!</v>
      </c>
      <c r="E805" s="25" t="e">
        <f t="shared" si="117"/>
        <v>#VALUE!</v>
      </c>
      <c r="F805" s="25" t="e">
        <f t="shared" ca="1" si="118"/>
        <v>#VALUE!</v>
      </c>
      <c r="G805" s="25"/>
      <c r="H805" s="25" t="e">
        <f t="shared" si="122"/>
        <v>#VALUE!</v>
      </c>
      <c r="I805" s="25">
        <f t="shared" si="119"/>
        <v>290.99999999998312</v>
      </c>
      <c r="J805" s="25" t="e">
        <f t="shared" si="120"/>
        <v>#VALUE!</v>
      </c>
    </row>
    <row r="806" spans="1:10" x14ac:dyDescent="0.25">
      <c r="A806" s="25">
        <f t="shared" si="121"/>
        <v>-2.0800000000001688</v>
      </c>
      <c r="B806" s="25">
        <f t="shared" ca="1" si="114"/>
        <v>-0.19239561129091362</v>
      </c>
      <c r="C806" s="25" t="e">
        <f t="shared" si="115"/>
        <v>#VALUE!</v>
      </c>
      <c r="D806" s="74" t="e">
        <f t="shared" si="116"/>
        <v>#VALUE!</v>
      </c>
      <c r="E806" s="25" t="e">
        <f t="shared" si="117"/>
        <v>#VALUE!</v>
      </c>
      <c r="F806" s="25" t="e">
        <f t="shared" ca="1" si="118"/>
        <v>#VALUE!</v>
      </c>
      <c r="G806" s="25"/>
      <c r="H806" s="25" t="e">
        <f t="shared" si="122"/>
        <v>#VALUE!</v>
      </c>
      <c r="I806" s="25">
        <f t="shared" si="119"/>
        <v>291.99999999998312</v>
      </c>
      <c r="J806" s="25" t="e">
        <f t="shared" si="120"/>
        <v>#VALUE!</v>
      </c>
    </row>
    <row r="807" spans="1:10" x14ac:dyDescent="0.25">
      <c r="A807" s="25">
        <f t="shared" si="121"/>
        <v>-2.070000000000169</v>
      </c>
      <c r="B807" s="25">
        <f t="shared" ca="1" si="114"/>
        <v>6.6547076246280853E-2</v>
      </c>
      <c r="C807" s="25" t="e">
        <f t="shared" si="115"/>
        <v>#VALUE!</v>
      </c>
      <c r="D807" s="74" t="e">
        <f t="shared" si="116"/>
        <v>#VALUE!</v>
      </c>
      <c r="E807" s="25" t="e">
        <f t="shared" si="117"/>
        <v>#VALUE!</v>
      </c>
      <c r="F807" s="25" t="e">
        <f t="shared" ca="1" si="118"/>
        <v>#VALUE!</v>
      </c>
      <c r="G807" s="25"/>
      <c r="H807" s="25" t="e">
        <f t="shared" si="122"/>
        <v>#VALUE!</v>
      </c>
      <c r="I807" s="25">
        <f t="shared" si="119"/>
        <v>292.99999999998306</v>
      </c>
      <c r="J807" s="25" t="e">
        <f t="shared" si="120"/>
        <v>#VALUE!</v>
      </c>
    </row>
    <row r="808" spans="1:10" x14ac:dyDescent="0.25">
      <c r="A808" s="25">
        <f t="shared" si="121"/>
        <v>-2.0600000000001693</v>
      </c>
      <c r="B808" s="25">
        <f t="shared" ca="1" si="114"/>
        <v>1.2201006826986835E-2</v>
      </c>
      <c r="C808" s="25" t="e">
        <f t="shared" si="115"/>
        <v>#VALUE!</v>
      </c>
      <c r="D808" s="74" t="e">
        <f t="shared" si="116"/>
        <v>#VALUE!</v>
      </c>
      <c r="E808" s="25" t="e">
        <f t="shared" si="117"/>
        <v>#VALUE!</v>
      </c>
      <c r="F808" s="25" t="e">
        <f t="shared" ca="1" si="118"/>
        <v>#VALUE!</v>
      </c>
      <c r="G808" s="25"/>
      <c r="H808" s="25" t="e">
        <f t="shared" si="122"/>
        <v>#VALUE!</v>
      </c>
      <c r="I808" s="25">
        <f t="shared" si="119"/>
        <v>293.99999999998306</v>
      </c>
      <c r="J808" s="25" t="e">
        <f t="shared" si="120"/>
        <v>#VALUE!</v>
      </c>
    </row>
    <row r="809" spans="1:10" x14ac:dyDescent="0.25">
      <c r="A809" s="25">
        <f t="shared" si="121"/>
        <v>-2.0500000000001695</v>
      </c>
      <c r="B809" s="25">
        <f t="shared" ca="1" si="114"/>
        <v>-0.18534226098111969</v>
      </c>
      <c r="C809" s="25" t="e">
        <f t="shared" si="115"/>
        <v>#VALUE!</v>
      </c>
      <c r="D809" s="74" t="e">
        <f t="shared" si="116"/>
        <v>#VALUE!</v>
      </c>
      <c r="E809" s="25" t="e">
        <f t="shared" si="117"/>
        <v>#VALUE!</v>
      </c>
      <c r="F809" s="25" t="e">
        <f t="shared" ca="1" si="118"/>
        <v>#VALUE!</v>
      </c>
      <c r="G809" s="25"/>
      <c r="H809" s="25" t="e">
        <f t="shared" si="122"/>
        <v>#VALUE!</v>
      </c>
      <c r="I809" s="25">
        <f t="shared" si="119"/>
        <v>294.99999999998306</v>
      </c>
      <c r="J809" s="25" t="e">
        <f t="shared" si="120"/>
        <v>#VALUE!</v>
      </c>
    </row>
    <row r="810" spans="1:10" x14ac:dyDescent="0.25">
      <c r="A810" s="25">
        <f t="shared" si="121"/>
        <v>-2.0400000000001697</v>
      </c>
      <c r="B810" s="25">
        <f t="shared" ca="1" si="114"/>
        <v>-2.0833496581162004E-2</v>
      </c>
      <c r="C810" s="25" t="e">
        <f t="shared" si="115"/>
        <v>#VALUE!</v>
      </c>
      <c r="D810" s="74" t="e">
        <f t="shared" si="116"/>
        <v>#VALUE!</v>
      </c>
      <c r="E810" s="25" t="e">
        <f t="shared" si="117"/>
        <v>#VALUE!</v>
      </c>
      <c r="F810" s="25" t="e">
        <f t="shared" ca="1" si="118"/>
        <v>#VALUE!</v>
      </c>
      <c r="G810" s="25"/>
      <c r="H810" s="25" t="e">
        <f t="shared" si="122"/>
        <v>#VALUE!</v>
      </c>
      <c r="I810" s="25">
        <f t="shared" si="119"/>
        <v>295.99999999998306</v>
      </c>
      <c r="J810" s="25" t="e">
        <f t="shared" si="120"/>
        <v>#VALUE!</v>
      </c>
    </row>
    <row r="811" spans="1:10" x14ac:dyDescent="0.25">
      <c r="A811" s="25">
        <f t="shared" si="121"/>
        <v>-2.0300000000001699</v>
      </c>
      <c r="B811" s="25">
        <f t="shared" ca="1" si="114"/>
        <v>-3.7617463726813787E-2</v>
      </c>
      <c r="C811" s="25" t="e">
        <f t="shared" si="115"/>
        <v>#VALUE!</v>
      </c>
      <c r="D811" s="74" t="e">
        <f t="shared" si="116"/>
        <v>#VALUE!</v>
      </c>
      <c r="E811" s="25" t="e">
        <f t="shared" si="117"/>
        <v>#VALUE!</v>
      </c>
      <c r="F811" s="25" t="e">
        <f t="shared" ca="1" si="118"/>
        <v>#VALUE!</v>
      </c>
      <c r="G811" s="25"/>
      <c r="H811" s="25" t="e">
        <f t="shared" si="122"/>
        <v>#VALUE!</v>
      </c>
      <c r="I811" s="25">
        <f t="shared" si="119"/>
        <v>296.999999999983</v>
      </c>
      <c r="J811" s="25" t="e">
        <f t="shared" si="120"/>
        <v>#VALUE!</v>
      </c>
    </row>
    <row r="812" spans="1:10" x14ac:dyDescent="0.25">
      <c r="A812" s="25">
        <f t="shared" si="121"/>
        <v>-2.0200000000001701</v>
      </c>
      <c r="B812" s="25">
        <f t="shared" ca="1" si="114"/>
        <v>8.0336126382425252E-2</v>
      </c>
      <c r="C812" s="25" t="e">
        <f t="shared" si="115"/>
        <v>#VALUE!</v>
      </c>
      <c r="D812" s="74" t="e">
        <f t="shared" si="116"/>
        <v>#VALUE!</v>
      </c>
      <c r="E812" s="25" t="e">
        <f t="shared" si="117"/>
        <v>#VALUE!</v>
      </c>
      <c r="F812" s="25" t="e">
        <f t="shared" ca="1" si="118"/>
        <v>#VALUE!</v>
      </c>
      <c r="G812" s="25"/>
      <c r="H812" s="25" t="e">
        <f t="shared" si="122"/>
        <v>#VALUE!</v>
      </c>
      <c r="I812" s="25">
        <f t="shared" si="119"/>
        <v>297.999999999983</v>
      </c>
      <c r="J812" s="25" t="e">
        <f t="shared" si="120"/>
        <v>#VALUE!</v>
      </c>
    </row>
    <row r="813" spans="1:10" x14ac:dyDescent="0.25">
      <c r="A813" s="25">
        <f t="shared" si="121"/>
        <v>-2.0100000000001703</v>
      </c>
      <c r="B813" s="25">
        <f t="shared" ca="1" si="114"/>
        <v>-0.13966098097491589</v>
      </c>
      <c r="C813" s="25" t="e">
        <f t="shared" si="115"/>
        <v>#VALUE!</v>
      </c>
      <c r="D813" s="74" t="e">
        <f t="shared" si="116"/>
        <v>#VALUE!</v>
      </c>
      <c r="E813" s="25" t="e">
        <f t="shared" si="117"/>
        <v>#VALUE!</v>
      </c>
      <c r="F813" s="25" t="e">
        <f t="shared" ca="1" si="118"/>
        <v>#VALUE!</v>
      </c>
      <c r="G813" s="25"/>
      <c r="H813" s="25" t="e">
        <f t="shared" si="122"/>
        <v>#VALUE!</v>
      </c>
      <c r="I813" s="25">
        <f t="shared" si="119"/>
        <v>298.99999999998295</v>
      </c>
      <c r="J813" s="25" t="e">
        <f t="shared" si="120"/>
        <v>#VALUE!</v>
      </c>
    </row>
    <row r="814" spans="1:10" x14ac:dyDescent="0.25">
      <c r="A814" s="25">
        <f t="shared" si="121"/>
        <v>-2.0000000000001705</v>
      </c>
      <c r="B814" s="25">
        <f t="shared" ca="1" si="114"/>
        <v>-2.6718949540386162E-2</v>
      </c>
      <c r="C814" s="25" t="e">
        <f t="shared" si="115"/>
        <v>#VALUE!</v>
      </c>
      <c r="D814" s="74" t="e">
        <f t="shared" si="116"/>
        <v>#VALUE!</v>
      </c>
      <c r="E814" s="25" t="e">
        <f t="shared" si="117"/>
        <v>#VALUE!</v>
      </c>
      <c r="F814" s="25" t="e">
        <f t="shared" ca="1" si="118"/>
        <v>#VALUE!</v>
      </c>
      <c r="G814" s="25"/>
      <c r="H814" s="25" t="e">
        <f t="shared" si="122"/>
        <v>#VALUE!</v>
      </c>
      <c r="I814" s="25">
        <f t="shared" si="119"/>
        <v>299.99999999998295</v>
      </c>
      <c r="J814" s="25" t="e">
        <f t="shared" si="120"/>
        <v>#VALUE!</v>
      </c>
    </row>
    <row r="815" spans="1:10" x14ac:dyDescent="0.25">
      <c r="A815" s="25">
        <f t="shared" si="121"/>
        <v>-1.9900000000001705</v>
      </c>
      <c r="B815" s="25">
        <f t="shared" ca="1" si="114"/>
        <v>0.12258885416993597</v>
      </c>
      <c r="C815" s="25" t="e">
        <f t="shared" si="115"/>
        <v>#VALUE!</v>
      </c>
      <c r="D815" s="74" t="e">
        <f t="shared" si="116"/>
        <v>#VALUE!</v>
      </c>
      <c r="E815" s="25" t="e">
        <f t="shared" si="117"/>
        <v>#VALUE!</v>
      </c>
      <c r="F815" s="25" t="e">
        <f t="shared" ca="1" si="118"/>
        <v>#VALUE!</v>
      </c>
      <c r="G815" s="25"/>
      <c r="H815" s="25" t="e">
        <f t="shared" si="122"/>
        <v>#VALUE!</v>
      </c>
      <c r="I815" s="25">
        <f t="shared" si="119"/>
        <v>300.99999999998295</v>
      </c>
      <c r="J815" s="25" t="e">
        <f t="shared" si="120"/>
        <v>#VALUE!</v>
      </c>
    </row>
    <row r="816" spans="1:10" x14ac:dyDescent="0.25">
      <c r="A816" s="25">
        <f t="shared" si="121"/>
        <v>-1.9800000000001705</v>
      </c>
      <c r="B816" s="25">
        <f t="shared" ca="1" si="114"/>
        <v>5.9884480097501532E-2</v>
      </c>
      <c r="C816" s="25" t="e">
        <f t="shared" si="115"/>
        <v>#VALUE!</v>
      </c>
      <c r="D816" s="74" t="e">
        <f t="shared" si="116"/>
        <v>#VALUE!</v>
      </c>
      <c r="E816" s="25" t="e">
        <f t="shared" si="117"/>
        <v>#VALUE!</v>
      </c>
      <c r="F816" s="25" t="e">
        <f t="shared" ca="1" si="118"/>
        <v>#VALUE!</v>
      </c>
      <c r="G816" s="25"/>
      <c r="H816" s="25" t="e">
        <f t="shared" si="122"/>
        <v>#VALUE!</v>
      </c>
      <c r="I816" s="25">
        <f t="shared" si="119"/>
        <v>301.99999999998295</v>
      </c>
      <c r="J816" s="25" t="e">
        <f t="shared" si="120"/>
        <v>#VALUE!</v>
      </c>
    </row>
    <row r="817" spans="1:10" x14ac:dyDescent="0.25">
      <c r="A817" s="25">
        <f t="shared" si="121"/>
        <v>-1.9700000000001705</v>
      </c>
      <c r="B817" s="25">
        <f t="shared" ca="1" si="114"/>
        <v>-0.18947870046955081</v>
      </c>
      <c r="C817" s="25" t="e">
        <f t="shared" si="115"/>
        <v>#VALUE!</v>
      </c>
      <c r="D817" s="74" t="e">
        <f t="shared" si="116"/>
        <v>#VALUE!</v>
      </c>
      <c r="E817" s="25" t="e">
        <f t="shared" si="117"/>
        <v>#VALUE!</v>
      </c>
      <c r="F817" s="25" t="e">
        <f t="shared" ca="1" si="118"/>
        <v>#VALUE!</v>
      </c>
      <c r="G817" s="25"/>
      <c r="H817" s="25" t="e">
        <f t="shared" si="122"/>
        <v>#VALUE!</v>
      </c>
      <c r="I817" s="25">
        <f t="shared" si="119"/>
        <v>302.999999999983</v>
      </c>
      <c r="J817" s="25" t="e">
        <f t="shared" si="120"/>
        <v>#VALUE!</v>
      </c>
    </row>
    <row r="818" spans="1:10" x14ac:dyDescent="0.25">
      <c r="A818" s="25">
        <f t="shared" si="121"/>
        <v>-1.9600000000001705</v>
      </c>
      <c r="B818" s="25">
        <f t="shared" ca="1" si="114"/>
        <v>-0.19259677690708008</v>
      </c>
      <c r="C818" s="25" t="e">
        <f t="shared" si="115"/>
        <v>#VALUE!</v>
      </c>
      <c r="D818" s="74" t="e">
        <f t="shared" si="116"/>
        <v>#VALUE!</v>
      </c>
      <c r="E818" s="25" t="e">
        <f t="shared" si="117"/>
        <v>#VALUE!</v>
      </c>
      <c r="F818" s="25" t="e">
        <f t="shared" ca="1" si="118"/>
        <v>#VALUE!</v>
      </c>
      <c r="G818" s="25"/>
      <c r="H818" s="25" t="e">
        <f t="shared" si="122"/>
        <v>#VALUE!</v>
      </c>
      <c r="I818" s="25">
        <f t="shared" si="119"/>
        <v>303.99999999998295</v>
      </c>
      <c r="J818" s="25" t="e">
        <f t="shared" si="120"/>
        <v>#VALUE!</v>
      </c>
    </row>
    <row r="819" spans="1:10" x14ac:dyDescent="0.25">
      <c r="A819" s="25">
        <f t="shared" si="121"/>
        <v>-1.9500000000001705</v>
      </c>
      <c r="B819" s="25">
        <f t="shared" ca="1" si="114"/>
        <v>-4.0305777812711503E-2</v>
      </c>
      <c r="C819" s="25" t="e">
        <f t="shared" si="115"/>
        <v>#VALUE!</v>
      </c>
      <c r="D819" s="74" t="e">
        <f t="shared" si="116"/>
        <v>#VALUE!</v>
      </c>
      <c r="E819" s="25" t="e">
        <f t="shared" si="117"/>
        <v>#VALUE!</v>
      </c>
      <c r="F819" s="25" t="e">
        <f t="shared" ca="1" si="118"/>
        <v>#VALUE!</v>
      </c>
      <c r="G819" s="25"/>
      <c r="H819" s="25" t="e">
        <f t="shared" si="122"/>
        <v>#VALUE!</v>
      </c>
      <c r="I819" s="25">
        <f t="shared" si="119"/>
        <v>304.99999999998295</v>
      </c>
      <c r="J819" s="25" t="e">
        <f t="shared" si="120"/>
        <v>#VALUE!</v>
      </c>
    </row>
    <row r="820" spans="1:10" x14ac:dyDescent="0.25">
      <c r="A820" s="25">
        <f t="shared" si="121"/>
        <v>-1.9400000000001705</v>
      </c>
      <c r="B820" s="25">
        <f t="shared" ca="1" si="114"/>
        <v>5.6664841458962389E-3</v>
      </c>
      <c r="C820" s="25" t="e">
        <f t="shared" si="115"/>
        <v>#VALUE!</v>
      </c>
      <c r="D820" s="74" t="e">
        <f t="shared" si="116"/>
        <v>#VALUE!</v>
      </c>
      <c r="E820" s="25" t="e">
        <f t="shared" si="117"/>
        <v>#VALUE!</v>
      </c>
      <c r="F820" s="25" t="e">
        <f t="shared" ca="1" si="118"/>
        <v>#VALUE!</v>
      </c>
      <c r="G820" s="25"/>
      <c r="H820" s="25" t="e">
        <f t="shared" si="122"/>
        <v>#VALUE!</v>
      </c>
      <c r="I820" s="25">
        <f t="shared" si="119"/>
        <v>305.99999999998295</v>
      </c>
      <c r="J820" s="25" t="e">
        <f t="shared" si="120"/>
        <v>#VALUE!</v>
      </c>
    </row>
    <row r="821" spans="1:10" x14ac:dyDescent="0.25">
      <c r="A821" s="25">
        <f t="shared" si="121"/>
        <v>-1.9300000000001705</v>
      </c>
      <c r="B821" s="25">
        <f t="shared" ca="1" si="114"/>
        <v>-4.3915637810776613E-2</v>
      </c>
      <c r="C821" s="25" t="e">
        <f t="shared" si="115"/>
        <v>#VALUE!</v>
      </c>
      <c r="D821" s="74" t="e">
        <f t="shared" si="116"/>
        <v>#VALUE!</v>
      </c>
      <c r="E821" s="25" t="e">
        <f t="shared" si="117"/>
        <v>#VALUE!</v>
      </c>
      <c r="F821" s="25" t="e">
        <f t="shared" ca="1" si="118"/>
        <v>#VALUE!</v>
      </c>
      <c r="G821" s="25"/>
      <c r="H821" s="25" t="e">
        <f t="shared" si="122"/>
        <v>#VALUE!</v>
      </c>
      <c r="I821" s="25">
        <f t="shared" si="119"/>
        <v>306.999999999983</v>
      </c>
      <c r="J821" s="25" t="e">
        <f t="shared" si="120"/>
        <v>#VALUE!</v>
      </c>
    </row>
    <row r="822" spans="1:10" x14ac:dyDescent="0.25">
      <c r="A822" s="25">
        <f t="shared" si="121"/>
        <v>-1.9200000000001705</v>
      </c>
      <c r="B822" s="25">
        <f t="shared" ca="1" si="114"/>
        <v>7.3859391273848315E-2</v>
      </c>
      <c r="C822" s="25" t="e">
        <f t="shared" si="115"/>
        <v>#VALUE!</v>
      </c>
      <c r="D822" s="74" t="e">
        <f t="shared" si="116"/>
        <v>#VALUE!</v>
      </c>
      <c r="E822" s="25" t="e">
        <f t="shared" si="117"/>
        <v>#VALUE!</v>
      </c>
      <c r="F822" s="25" t="e">
        <f t="shared" ca="1" si="118"/>
        <v>#VALUE!</v>
      </c>
      <c r="G822" s="25"/>
      <c r="H822" s="25" t="e">
        <f t="shared" si="122"/>
        <v>#VALUE!</v>
      </c>
      <c r="I822" s="25">
        <f t="shared" si="119"/>
        <v>307.99999999998295</v>
      </c>
      <c r="J822" s="25" t="e">
        <f t="shared" si="120"/>
        <v>#VALUE!</v>
      </c>
    </row>
    <row r="823" spans="1:10" x14ac:dyDescent="0.25">
      <c r="A823" s="25">
        <f t="shared" si="121"/>
        <v>-1.9100000000001705</v>
      </c>
      <c r="B823" s="25">
        <f t="shared" ca="1" si="114"/>
        <v>2.7630475556157524E-2</v>
      </c>
      <c r="C823" s="25" t="e">
        <f t="shared" si="115"/>
        <v>#VALUE!</v>
      </c>
      <c r="D823" s="74" t="e">
        <f t="shared" si="116"/>
        <v>#VALUE!</v>
      </c>
      <c r="E823" s="25" t="e">
        <f t="shared" si="117"/>
        <v>#VALUE!</v>
      </c>
      <c r="F823" s="25" t="e">
        <f t="shared" ca="1" si="118"/>
        <v>#VALUE!</v>
      </c>
      <c r="G823" s="25"/>
      <c r="H823" s="25" t="e">
        <f t="shared" si="122"/>
        <v>#VALUE!</v>
      </c>
      <c r="I823" s="25">
        <f t="shared" si="119"/>
        <v>308.99999999998295</v>
      </c>
      <c r="J823" s="25" t="e">
        <f t="shared" si="120"/>
        <v>#VALUE!</v>
      </c>
    </row>
    <row r="824" spans="1:10" x14ac:dyDescent="0.25">
      <c r="A824" s="25">
        <f t="shared" si="121"/>
        <v>-1.9000000000001704</v>
      </c>
      <c r="B824" s="25">
        <f t="shared" ca="1" si="114"/>
        <v>-0.18203559121793797</v>
      </c>
      <c r="C824" s="25" t="e">
        <f t="shared" si="115"/>
        <v>#VALUE!</v>
      </c>
      <c r="D824" s="74" t="e">
        <f t="shared" si="116"/>
        <v>#VALUE!</v>
      </c>
      <c r="E824" s="25" t="e">
        <f t="shared" si="117"/>
        <v>#VALUE!</v>
      </c>
      <c r="F824" s="25" t="e">
        <f t="shared" ca="1" si="118"/>
        <v>#VALUE!</v>
      </c>
      <c r="G824" s="25"/>
      <c r="H824" s="25" t="e">
        <f t="shared" si="122"/>
        <v>#VALUE!</v>
      </c>
      <c r="I824" s="25">
        <f t="shared" si="119"/>
        <v>309.99999999998295</v>
      </c>
      <c r="J824" s="25" t="e">
        <f t="shared" si="120"/>
        <v>#VALUE!</v>
      </c>
    </row>
    <row r="825" spans="1:10" x14ac:dyDescent="0.25">
      <c r="A825" s="25">
        <f t="shared" si="121"/>
        <v>-1.8900000000001704</v>
      </c>
      <c r="B825" s="25">
        <f t="shared" ca="1" si="114"/>
        <v>6.8014429463457244E-3</v>
      </c>
      <c r="C825" s="25" t="e">
        <f t="shared" si="115"/>
        <v>#VALUE!</v>
      </c>
      <c r="D825" s="74" t="e">
        <f t="shared" si="116"/>
        <v>#VALUE!</v>
      </c>
      <c r="E825" s="25" t="e">
        <f t="shared" si="117"/>
        <v>#VALUE!</v>
      </c>
      <c r="F825" s="25" t="e">
        <f t="shared" ca="1" si="118"/>
        <v>#VALUE!</v>
      </c>
      <c r="G825" s="25"/>
      <c r="H825" s="25" t="e">
        <f t="shared" si="122"/>
        <v>#VALUE!</v>
      </c>
      <c r="I825" s="25">
        <f t="shared" si="119"/>
        <v>310.999999999983</v>
      </c>
      <c r="J825" s="25" t="e">
        <f t="shared" si="120"/>
        <v>#VALUE!</v>
      </c>
    </row>
    <row r="826" spans="1:10" x14ac:dyDescent="0.25">
      <c r="A826" s="25">
        <f t="shared" si="121"/>
        <v>-1.8800000000001704</v>
      </c>
      <c r="B826" s="25">
        <f t="shared" ca="1" si="114"/>
        <v>-8.769511249131097E-2</v>
      </c>
      <c r="C826" s="25" t="e">
        <f t="shared" si="115"/>
        <v>#VALUE!</v>
      </c>
      <c r="D826" s="74" t="e">
        <f t="shared" si="116"/>
        <v>#VALUE!</v>
      </c>
      <c r="E826" s="25" t="e">
        <f t="shared" si="117"/>
        <v>#VALUE!</v>
      </c>
      <c r="F826" s="25" t="e">
        <f t="shared" ca="1" si="118"/>
        <v>#VALUE!</v>
      </c>
      <c r="G826" s="25"/>
      <c r="H826" s="25" t="e">
        <f t="shared" si="122"/>
        <v>#VALUE!</v>
      </c>
      <c r="I826" s="25">
        <f t="shared" si="119"/>
        <v>311.99999999998295</v>
      </c>
      <c r="J826" s="25" t="e">
        <f t="shared" si="120"/>
        <v>#VALUE!</v>
      </c>
    </row>
    <row r="827" spans="1:10" x14ac:dyDescent="0.25">
      <c r="A827" s="25">
        <f t="shared" si="121"/>
        <v>-1.8700000000001704</v>
      </c>
      <c r="B827" s="25">
        <f t="shared" ca="1" si="114"/>
        <v>-4.5280295933402444E-2</v>
      </c>
      <c r="C827" s="25" t="e">
        <f t="shared" si="115"/>
        <v>#VALUE!</v>
      </c>
      <c r="D827" s="74" t="e">
        <f t="shared" si="116"/>
        <v>#VALUE!</v>
      </c>
      <c r="E827" s="25" t="e">
        <f t="shared" si="117"/>
        <v>#VALUE!</v>
      </c>
      <c r="F827" s="25" t="e">
        <f t="shared" ca="1" si="118"/>
        <v>#VALUE!</v>
      </c>
      <c r="G827" s="25"/>
      <c r="H827" s="25" t="e">
        <f t="shared" si="122"/>
        <v>#VALUE!</v>
      </c>
      <c r="I827" s="25">
        <f t="shared" si="119"/>
        <v>312.99999999998295</v>
      </c>
      <c r="J827" s="25" t="e">
        <f t="shared" si="120"/>
        <v>#VALUE!</v>
      </c>
    </row>
    <row r="828" spans="1:10" x14ac:dyDescent="0.25">
      <c r="A828" s="25">
        <f t="shared" si="121"/>
        <v>-1.8600000000001704</v>
      </c>
      <c r="B828" s="25">
        <f t="shared" ca="1" si="114"/>
        <v>-4.3737166076196682E-2</v>
      </c>
      <c r="C828" s="25" t="e">
        <f t="shared" si="115"/>
        <v>#VALUE!</v>
      </c>
      <c r="D828" s="74" t="e">
        <f t="shared" si="116"/>
        <v>#VALUE!</v>
      </c>
      <c r="E828" s="25" t="e">
        <f t="shared" si="117"/>
        <v>#VALUE!</v>
      </c>
      <c r="F828" s="25" t="e">
        <f t="shared" ca="1" si="118"/>
        <v>#VALUE!</v>
      </c>
      <c r="G828" s="25"/>
      <c r="H828" s="25" t="e">
        <f t="shared" si="122"/>
        <v>#VALUE!</v>
      </c>
      <c r="I828" s="25">
        <f t="shared" si="119"/>
        <v>313.99999999998295</v>
      </c>
      <c r="J828" s="25" t="e">
        <f t="shared" si="120"/>
        <v>#VALUE!</v>
      </c>
    </row>
    <row r="829" spans="1:10" x14ac:dyDescent="0.25">
      <c r="A829" s="25">
        <f t="shared" si="121"/>
        <v>-1.8500000000001704</v>
      </c>
      <c r="B829" s="25">
        <f t="shared" ca="1" si="114"/>
        <v>-0.13355890069550702</v>
      </c>
      <c r="C829" s="25" t="e">
        <f t="shared" si="115"/>
        <v>#VALUE!</v>
      </c>
      <c r="D829" s="74" t="e">
        <f t="shared" si="116"/>
        <v>#VALUE!</v>
      </c>
      <c r="E829" s="25" t="e">
        <f t="shared" si="117"/>
        <v>#VALUE!</v>
      </c>
      <c r="F829" s="25" t="e">
        <f t="shared" ca="1" si="118"/>
        <v>#VALUE!</v>
      </c>
      <c r="G829" s="25"/>
      <c r="H829" s="25" t="e">
        <f t="shared" si="122"/>
        <v>#VALUE!</v>
      </c>
      <c r="I829" s="25">
        <f t="shared" si="119"/>
        <v>314.999999999983</v>
      </c>
      <c r="J829" s="25" t="e">
        <f t="shared" si="120"/>
        <v>#VALUE!</v>
      </c>
    </row>
    <row r="830" spans="1:10" x14ac:dyDescent="0.25">
      <c r="A830" s="25">
        <f t="shared" si="121"/>
        <v>-1.8400000000001704</v>
      </c>
      <c r="B830" s="25">
        <f t="shared" ca="1" si="114"/>
        <v>-8.2993388175962773E-2</v>
      </c>
      <c r="C830" s="25" t="e">
        <f t="shared" si="115"/>
        <v>#VALUE!</v>
      </c>
      <c r="D830" s="74" t="e">
        <f t="shared" si="116"/>
        <v>#VALUE!</v>
      </c>
      <c r="E830" s="25" t="e">
        <f t="shared" si="117"/>
        <v>#VALUE!</v>
      </c>
      <c r="F830" s="25" t="e">
        <f t="shared" ca="1" si="118"/>
        <v>#VALUE!</v>
      </c>
      <c r="G830" s="25"/>
      <c r="H830" s="25" t="e">
        <f t="shared" si="122"/>
        <v>#VALUE!</v>
      </c>
      <c r="I830" s="25">
        <f t="shared" si="119"/>
        <v>315.99999999998295</v>
      </c>
      <c r="J830" s="25" t="e">
        <f t="shared" si="120"/>
        <v>#VALUE!</v>
      </c>
    </row>
    <row r="831" spans="1:10" x14ac:dyDescent="0.25">
      <c r="A831" s="25">
        <f t="shared" si="121"/>
        <v>-1.8300000000001704</v>
      </c>
      <c r="B831" s="25">
        <f t="shared" ca="1" si="114"/>
        <v>-7.2229558409790146E-2</v>
      </c>
      <c r="C831" s="25" t="e">
        <f t="shared" si="115"/>
        <v>#VALUE!</v>
      </c>
      <c r="D831" s="74" t="e">
        <f t="shared" si="116"/>
        <v>#VALUE!</v>
      </c>
      <c r="E831" s="25" t="e">
        <f t="shared" si="117"/>
        <v>#VALUE!</v>
      </c>
      <c r="F831" s="25" t="e">
        <f t="shared" ca="1" si="118"/>
        <v>#VALUE!</v>
      </c>
      <c r="G831" s="25"/>
      <c r="H831" s="25" t="e">
        <f t="shared" si="122"/>
        <v>#VALUE!</v>
      </c>
      <c r="I831" s="25">
        <f t="shared" si="119"/>
        <v>316.99999999998295</v>
      </c>
      <c r="J831" s="25" t="e">
        <f t="shared" si="120"/>
        <v>#VALUE!</v>
      </c>
    </row>
    <row r="832" spans="1:10" x14ac:dyDescent="0.25">
      <c r="A832" s="25">
        <f t="shared" si="121"/>
        <v>-1.8200000000001704</v>
      </c>
      <c r="B832" s="25">
        <f t="shared" ca="1" si="114"/>
        <v>7.8313168239107903E-2</v>
      </c>
      <c r="C832" s="25" t="e">
        <f t="shared" si="115"/>
        <v>#VALUE!</v>
      </c>
      <c r="D832" s="74" t="e">
        <f t="shared" si="116"/>
        <v>#VALUE!</v>
      </c>
      <c r="E832" s="25" t="e">
        <f t="shared" si="117"/>
        <v>#VALUE!</v>
      </c>
      <c r="F832" s="25" t="e">
        <f t="shared" ca="1" si="118"/>
        <v>#VALUE!</v>
      </c>
      <c r="G832" s="25"/>
      <c r="H832" s="25" t="e">
        <f t="shared" si="122"/>
        <v>#VALUE!</v>
      </c>
      <c r="I832" s="25">
        <f t="shared" si="119"/>
        <v>317.99999999998295</v>
      </c>
      <c r="J832" s="25" t="e">
        <f t="shared" si="120"/>
        <v>#VALUE!</v>
      </c>
    </row>
    <row r="833" spans="1:10" x14ac:dyDescent="0.25">
      <c r="A833" s="25">
        <f t="shared" si="121"/>
        <v>-1.8100000000001704</v>
      </c>
      <c r="B833" s="25">
        <f t="shared" ca="1" si="114"/>
        <v>8.1835528593576748E-2</v>
      </c>
      <c r="C833" s="25" t="e">
        <f t="shared" si="115"/>
        <v>#VALUE!</v>
      </c>
      <c r="D833" s="74" t="e">
        <f t="shared" si="116"/>
        <v>#VALUE!</v>
      </c>
      <c r="E833" s="25" t="e">
        <f t="shared" si="117"/>
        <v>#VALUE!</v>
      </c>
      <c r="F833" s="25" t="e">
        <f t="shared" ca="1" si="118"/>
        <v>#VALUE!</v>
      </c>
      <c r="G833" s="25"/>
      <c r="H833" s="25" t="e">
        <f t="shared" si="122"/>
        <v>#VALUE!</v>
      </c>
      <c r="I833" s="25">
        <f t="shared" si="119"/>
        <v>318.999999999983</v>
      </c>
      <c r="J833" s="25" t="e">
        <f t="shared" si="120"/>
        <v>#VALUE!</v>
      </c>
    </row>
    <row r="834" spans="1:10" x14ac:dyDescent="0.25">
      <c r="A834" s="25">
        <f t="shared" si="121"/>
        <v>-1.8000000000001704</v>
      </c>
      <c r="B834" s="25">
        <f t="shared" ca="1" si="114"/>
        <v>-8.345645095646459E-2</v>
      </c>
      <c r="C834" s="25" t="e">
        <f t="shared" si="115"/>
        <v>#VALUE!</v>
      </c>
      <c r="D834" s="74" t="e">
        <f t="shared" si="116"/>
        <v>#VALUE!</v>
      </c>
      <c r="E834" s="25" t="e">
        <f t="shared" si="117"/>
        <v>#VALUE!</v>
      </c>
      <c r="F834" s="25" t="e">
        <f t="shared" ca="1" si="118"/>
        <v>#VALUE!</v>
      </c>
      <c r="G834" s="25"/>
      <c r="H834" s="25" t="e">
        <f t="shared" si="122"/>
        <v>#VALUE!</v>
      </c>
      <c r="I834" s="25">
        <f t="shared" si="119"/>
        <v>319.99999999998295</v>
      </c>
      <c r="J834" s="25" t="e">
        <f t="shared" si="120"/>
        <v>#VALUE!</v>
      </c>
    </row>
    <row r="835" spans="1:10" x14ac:dyDescent="0.25">
      <c r="A835" s="25">
        <f t="shared" si="121"/>
        <v>-1.7900000000001703</v>
      </c>
      <c r="B835" s="25">
        <f t="shared" ca="1" si="114"/>
        <v>0.11258066954770966</v>
      </c>
      <c r="C835" s="25" t="e">
        <f t="shared" si="115"/>
        <v>#VALUE!</v>
      </c>
      <c r="D835" s="74" t="e">
        <f t="shared" si="116"/>
        <v>#VALUE!</v>
      </c>
      <c r="E835" s="25" t="e">
        <f t="shared" si="117"/>
        <v>#VALUE!</v>
      </c>
      <c r="F835" s="25" t="e">
        <f t="shared" ca="1" si="118"/>
        <v>#VALUE!</v>
      </c>
      <c r="G835" s="25"/>
      <c r="H835" s="25" t="e">
        <f t="shared" si="122"/>
        <v>#VALUE!</v>
      </c>
      <c r="I835" s="25">
        <f t="shared" si="119"/>
        <v>320.99999999998295</v>
      </c>
      <c r="J835" s="25" t="e">
        <f t="shared" si="120"/>
        <v>#VALUE!</v>
      </c>
    </row>
    <row r="836" spans="1:10" x14ac:dyDescent="0.25">
      <c r="A836" s="25">
        <f t="shared" si="121"/>
        <v>-1.7800000000001703</v>
      </c>
      <c r="B836" s="25">
        <f t="shared" ca="1" si="114"/>
        <v>-4.0632774517468911E-2</v>
      </c>
      <c r="C836" s="25" t="e">
        <f t="shared" si="115"/>
        <v>#VALUE!</v>
      </c>
      <c r="D836" s="74" t="e">
        <f t="shared" si="116"/>
        <v>#VALUE!</v>
      </c>
      <c r="E836" s="25" t="e">
        <f t="shared" si="117"/>
        <v>#VALUE!</v>
      </c>
      <c r="F836" s="25" t="e">
        <f t="shared" ca="1" si="118"/>
        <v>#VALUE!</v>
      </c>
      <c r="G836" s="25"/>
      <c r="H836" s="25" t="e">
        <f t="shared" si="122"/>
        <v>#VALUE!</v>
      </c>
      <c r="I836" s="25">
        <f t="shared" si="119"/>
        <v>321.99999999998295</v>
      </c>
      <c r="J836" s="25" t="e">
        <f t="shared" si="120"/>
        <v>#VALUE!</v>
      </c>
    </row>
    <row r="837" spans="1:10" x14ac:dyDescent="0.25">
      <c r="A837" s="25">
        <f t="shared" si="121"/>
        <v>-1.7700000000001703</v>
      </c>
      <c r="B837" s="25">
        <f t="shared" ca="1" si="114"/>
        <v>-5.7597904388145021E-2</v>
      </c>
      <c r="C837" s="25" t="e">
        <f t="shared" si="115"/>
        <v>#VALUE!</v>
      </c>
      <c r="D837" s="74" t="e">
        <f t="shared" si="116"/>
        <v>#VALUE!</v>
      </c>
      <c r="E837" s="25" t="e">
        <f t="shared" si="117"/>
        <v>#VALUE!</v>
      </c>
      <c r="F837" s="25" t="e">
        <f t="shared" ca="1" si="118"/>
        <v>#VALUE!</v>
      </c>
      <c r="G837" s="25"/>
      <c r="H837" s="25" t="e">
        <f t="shared" si="122"/>
        <v>#VALUE!</v>
      </c>
      <c r="I837" s="25">
        <f t="shared" si="119"/>
        <v>322.999999999983</v>
      </c>
      <c r="J837" s="25" t="e">
        <f t="shared" si="120"/>
        <v>#VALUE!</v>
      </c>
    </row>
    <row r="838" spans="1:10" x14ac:dyDescent="0.25">
      <c r="A838" s="25">
        <f t="shared" si="121"/>
        <v>-1.7600000000001703</v>
      </c>
      <c r="B838" s="25">
        <f t="shared" ca="1" si="114"/>
        <v>-2.8639464105512037E-2</v>
      </c>
      <c r="C838" s="25" t="e">
        <f t="shared" si="115"/>
        <v>#VALUE!</v>
      </c>
      <c r="D838" s="74" t="e">
        <f t="shared" si="116"/>
        <v>#VALUE!</v>
      </c>
      <c r="E838" s="25" t="e">
        <f t="shared" si="117"/>
        <v>#VALUE!</v>
      </c>
      <c r="F838" s="25" t="e">
        <f t="shared" ca="1" si="118"/>
        <v>#VALUE!</v>
      </c>
      <c r="G838" s="25"/>
      <c r="H838" s="25" t="e">
        <f t="shared" si="122"/>
        <v>#VALUE!</v>
      </c>
      <c r="I838" s="25">
        <f t="shared" si="119"/>
        <v>323.99999999998295</v>
      </c>
      <c r="J838" s="25" t="e">
        <f t="shared" si="120"/>
        <v>#VALUE!</v>
      </c>
    </row>
    <row r="839" spans="1:10" x14ac:dyDescent="0.25">
      <c r="A839" s="25">
        <f t="shared" si="121"/>
        <v>-1.7500000000001703</v>
      </c>
      <c r="B839" s="25">
        <f t="shared" ca="1" si="114"/>
        <v>-0.18036634397394616</v>
      </c>
      <c r="C839" s="25" t="e">
        <f t="shared" si="115"/>
        <v>#VALUE!</v>
      </c>
      <c r="D839" s="74" t="e">
        <f t="shared" si="116"/>
        <v>#VALUE!</v>
      </c>
      <c r="E839" s="25" t="e">
        <f t="shared" si="117"/>
        <v>#VALUE!</v>
      </c>
      <c r="F839" s="25" t="e">
        <f t="shared" ca="1" si="118"/>
        <v>#VALUE!</v>
      </c>
      <c r="G839" s="25"/>
      <c r="H839" s="25" t="e">
        <f t="shared" si="122"/>
        <v>#VALUE!</v>
      </c>
      <c r="I839" s="25">
        <f t="shared" si="119"/>
        <v>324.99999999998295</v>
      </c>
      <c r="J839" s="25" t="e">
        <f t="shared" si="120"/>
        <v>#VALUE!</v>
      </c>
    </row>
    <row r="840" spans="1:10" x14ac:dyDescent="0.25">
      <c r="A840" s="25">
        <f t="shared" si="121"/>
        <v>-1.7400000000001703</v>
      </c>
      <c r="B840" s="25">
        <f t="shared" ca="1" si="114"/>
        <v>8.457890667576036E-2</v>
      </c>
      <c r="C840" s="25" t="e">
        <f t="shared" si="115"/>
        <v>#VALUE!</v>
      </c>
      <c r="D840" s="74" t="e">
        <f t="shared" si="116"/>
        <v>#VALUE!</v>
      </c>
      <c r="E840" s="25" t="e">
        <f t="shared" si="117"/>
        <v>#VALUE!</v>
      </c>
      <c r="F840" s="25" t="e">
        <f t="shared" ca="1" si="118"/>
        <v>#VALUE!</v>
      </c>
      <c r="G840" s="25"/>
      <c r="H840" s="25" t="e">
        <f t="shared" si="122"/>
        <v>#VALUE!</v>
      </c>
      <c r="I840" s="25">
        <f t="shared" si="119"/>
        <v>325.999999999983</v>
      </c>
      <c r="J840" s="25" t="e">
        <f t="shared" si="120"/>
        <v>#VALUE!</v>
      </c>
    </row>
    <row r="841" spans="1:10" x14ac:dyDescent="0.25">
      <c r="A841" s="25">
        <f t="shared" si="121"/>
        <v>-1.7300000000001703</v>
      </c>
      <c r="B841" s="25">
        <f t="shared" ca="1" si="114"/>
        <v>2.4456208670046969E-2</v>
      </c>
      <c r="C841" s="25" t="e">
        <f t="shared" si="115"/>
        <v>#VALUE!</v>
      </c>
      <c r="D841" s="74" t="e">
        <f t="shared" si="116"/>
        <v>#VALUE!</v>
      </c>
      <c r="E841" s="25" t="e">
        <f t="shared" si="117"/>
        <v>#VALUE!</v>
      </c>
      <c r="F841" s="25" t="e">
        <f t="shared" ca="1" si="118"/>
        <v>#VALUE!</v>
      </c>
      <c r="G841" s="25"/>
      <c r="H841" s="25" t="e">
        <f t="shared" si="122"/>
        <v>#VALUE!</v>
      </c>
      <c r="I841" s="25">
        <f t="shared" si="119"/>
        <v>326.999999999983</v>
      </c>
      <c r="J841" s="25" t="e">
        <f t="shared" si="120"/>
        <v>#VALUE!</v>
      </c>
    </row>
    <row r="842" spans="1:10" x14ac:dyDescent="0.25">
      <c r="A842" s="25">
        <f t="shared" si="121"/>
        <v>-1.7200000000001703</v>
      </c>
      <c r="B842" s="25">
        <f t="shared" ca="1" si="114"/>
        <v>-0.13751339445992897</v>
      </c>
      <c r="C842" s="25" t="e">
        <f t="shared" si="115"/>
        <v>#VALUE!</v>
      </c>
      <c r="D842" s="74" t="e">
        <f t="shared" si="116"/>
        <v>#VALUE!</v>
      </c>
      <c r="E842" s="25" t="e">
        <f t="shared" si="117"/>
        <v>#VALUE!</v>
      </c>
      <c r="F842" s="25" t="e">
        <f t="shared" ca="1" si="118"/>
        <v>#VALUE!</v>
      </c>
      <c r="G842" s="25"/>
      <c r="H842" s="25" t="e">
        <f t="shared" si="122"/>
        <v>#VALUE!</v>
      </c>
      <c r="I842" s="25">
        <f t="shared" si="119"/>
        <v>327.999999999983</v>
      </c>
      <c r="J842" s="25" t="e">
        <f t="shared" si="120"/>
        <v>#VALUE!</v>
      </c>
    </row>
    <row r="843" spans="1:10" x14ac:dyDescent="0.25">
      <c r="A843" s="25">
        <f t="shared" si="121"/>
        <v>-1.7100000000001703</v>
      </c>
      <c r="B843" s="25">
        <f t="shared" ca="1" si="114"/>
        <v>-9.561484361002974E-2</v>
      </c>
      <c r="C843" s="25" t="e">
        <f t="shared" si="115"/>
        <v>#VALUE!</v>
      </c>
      <c r="D843" s="74" t="e">
        <f t="shared" si="116"/>
        <v>#VALUE!</v>
      </c>
      <c r="E843" s="25" t="e">
        <f t="shared" si="117"/>
        <v>#VALUE!</v>
      </c>
      <c r="F843" s="25" t="e">
        <f t="shared" ca="1" si="118"/>
        <v>#VALUE!</v>
      </c>
      <c r="G843" s="25"/>
      <c r="H843" s="25" t="e">
        <f t="shared" si="122"/>
        <v>#VALUE!</v>
      </c>
      <c r="I843" s="25">
        <f t="shared" si="119"/>
        <v>328.99999999998295</v>
      </c>
      <c r="J843" s="25" t="e">
        <f t="shared" si="120"/>
        <v>#VALUE!</v>
      </c>
    </row>
    <row r="844" spans="1:10" x14ac:dyDescent="0.25">
      <c r="A844" s="25">
        <f t="shared" si="121"/>
        <v>-1.7000000000001703</v>
      </c>
      <c r="B844" s="25">
        <f t="shared" ca="1" si="114"/>
        <v>-9.2349759356836203E-2</v>
      </c>
      <c r="C844" s="25" t="e">
        <f t="shared" si="115"/>
        <v>#VALUE!</v>
      </c>
      <c r="D844" s="74" t="e">
        <f t="shared" si="116"/>
        <v>#VALUE!</v>
      </c>
      <c r="E844" s="25" t="e">
        <f t="shared" si="117"/>
        <v>#VALUE!</v>
      </c>
      <c r="F844" s="25" t="e">
        <f t="shared" ca="1" si="118"/>
        <v>#VALUE!</v>
      </c>
      <c r="G844" s="25"/>
      <c r="H844" s="25" t="e">
        <f t="shared" si="122"/>
        <v>#VALUE!</v>
      </c>
      <c r="I844" s="25">
        <f t="shared" si="119"/>
        <v>329.999999999983</v>
      </c>
      <c r="J844" s="25" t="e">
        <f t="shared" si="120"/>
        <v>#VALUE!</v>
      </c>
    </row>
    <row r="845" spans="1:10" x14ac:dyDescent="0.25">
      <c r="A845" s="25">
        <f t="shared" si="121"/>
        <v>-1.6900000000001703</v>
      </c>
      <c r="B845" s="25">
        <f t="shared" ca="1" si="114"/>
        <v>-4.8928476893532096E-3</v>
      </c>
      <c r="C845" s="25" t="e">
        <f t="shared" si="115"/>
        <v>#VALUE!</v>
      </c>
      <c r="D845" s="74" t="e">
        <f t="shared" si="116"/>
        <v>#VALUE!</v>
      </c>
      <c r="E845" s="25" t="e">
        <f t="shared" si="117"/>
        <v>#VALUE!</v>
      </c>
      <c r="F845" s="25" t="e">
        <f t="shared" ca="1" si="118"/>
        <v>#VALUE!</v>
      </c>
      <c r="G845" s="25"/>
      <c r="H845" s="25" t="e">
        <f t="shared" si="122"/>
        <v>#VALUE!</v>
      </c>
      <c r="I845" s="25">
        <f t="shared" si="119"/>
        <v>330.999999999983</v>
      </c>
      <c r="J845" s="25" t="e">
        <f t="shared" si="120"/>
        <v>#VALUE!</v>
      </c>
    </row>
    <row r="846" spans="1:10" x14ac:dyDescent="0.25">
      <c r="A846" s="25">
        <f t="shared" si="121"/>
        <v>-1.6800000000001702</v>
      </c>
      <c r="B846" s="25">
        <f t="shared" ref="B846:B909" ca="1" si="123">(RAND()-0.5-$B$7)/$B$5</f>
        <v>-0.1022545769859261</v>
      </c>
      <c r="C846" s="25" t="e">
        <f t="shared" ref="C846:C909" si="124">IF(ABS(A846)&lt;=($D$3/2),1,IF(ABS(A846)&lt;=($B$4/2),IF(A846&gt;0,A846*(4/(1-2*$B$4))+(2*$B$4/(2*$B$4-1)),(-A846*(4/(1-2*$B$4))+(2*$B$4/(2*$B$4-1)))),0))</f>
        <v>#VALUE!</v>
      </c>
      <c r="D846" s="74" t="e">
        <f t="shared" ref="D846:D909" si="125">IF(ABS(A846)&lt;=($D$3/4+$B$4/4),1,IF(ABS(A846)&lt;=($B$4/2),(IF(A846&gt;0,A846*(8/(1-2*$B$4))+(4*$B$4)/(2*$B$4-1),(-A846*(8/(1-2*$B$4))+(4*$B$4)/(2*$B$4-1)))),0))</f>
        <v>#VALUE!</v>
      </c>
      <c r="E846" s="25" t="e">
        <f t="shared" ref="E846:E909" si="126">IF(ABS(A846)&lt;($B$4/2), 1, 0)</f>
        <v>#VALUE!</v>
      </c>
      <c r="F846" s="25" t="e">
        <f t="shared" ref="F846:F909" ca="1" si="127">C846+B846</f>
        <v>#VALUE!</v>
      </c>
      <c r="G846" s="25"/>
      <c r="H846" s="25" t="e">
        <f t="shared" si="122"/>
        <v>#VALUE!</v>
      </c>
      <c r="I846" s="25">
        <f t="shared" ref="I846:I909" si="128">$I$3*(A846-$G$3)/($H$3-$G$3)</f>
        <v>331.999999999983</v>
      </c>
      <c r="J846" s="25" t="e">
        <f t="shared" ref="J846:J909" si="129">H846</f>
        <v>#VALUE!</v>
      </c>
    </row>
    <row r="847" spans="1:10" x14ac:dyDescent="0.25">
      <c r="A847" s="25">
        <f t="shared" ref="A847:A910" si="130">A846+0.01</f>
        <v>-1.6700000000001702</v>
      </c>
      <c r="B847" s="25">
        <f t="shared" ca="1" si="123"/>
        <v>1.39784007353455E-2</v>
      </c>
      <c r="C847" s="25" t="e">
        <f t="shared" si="124"/>
        <v>#VALUE!</v>
      </c>
      <c r="D847" s="74" t="e">
        <f t="shared" si="125"/>
        <v>#VALUE!</v>
      </c>
      <c r="E847" s="25" t="e">
        <f t="shared" si="126"/>
        <v>#VALUE!</v>
      </c>
      <c r="F847" s="25" t="e">
        <f t="shared" ca="1" si="127"/>
        <v>#VALUE!</v>
      </c>
      <c r="G847" s="25"/>
      <c r="H847" s="25" t="e">
        <f t="shared" si="122"/>
        <v>#VALUE!</v>
      </c>
      <c r="I847" s="25">
        <f t="shared" si="128"/>
        <v>332.99999999998295</v>
      </c>
      <c r="J847" s="25" t="e">
        <f t="shared" si="129"/>
        <v>#VALUE!</v>
      </c>
    </row>
    <row r="848" spans="1:10" x14ac:dyDescent="0.25">
      <c r="A848" s="25">
        <f t="shared" si="130"/>
        <v>-1.6600000000001702</v>
      </c>
      <c r="B848" s="25">
        <f t="shared" ca="1" si="123"/>
        <v>-0.12463719029333038</v>
      </c>
      <c r="C848" s="25" t="e">
        <f t="shared" si="124"/>
        <v>#VALUE!</v>
      </c>
      <c r="D848" s="74" t="e">
        <f t="shared" si="125"/>
        <v>#VALUE!</v>
      </c>
      <c r="E848" s="25" t="e">
        <f t="shared" si="126"/>
        <v>#VALUE!</v>
      </c>
      <c r="F848" s="25" t="e">
        <f t="shared" ca="1" si="127"/>
        <v>#VALUE!</v>
      </c>
      <c r="G848" s="25"/>
      <c r="H848" s="25" t="e">
        <f t="shared" si="122"/>
        <v>#VALUE!</v>
      </c>
      <c r="I848" s="25">
        <f t="shared" si="128"/>
        <v>333.999999999983</v>
      </c>
      <c r="J848" s="25" t="e">
        <f t="shared" si="129"/>
        <v>#VALUE!</v>
      </c>
    </row>
    <row r="849" spans="1:10" x14ac:dyDescent="0.25">
      <c r="A849" s="25">
        <f t="shared" si="130"/>
        <v>-1.6500000000001702</v>
      </c>
      <c r="B849" s="25">
        <f t="shared" ca="1" si="123"/>
        <v>0.10371015470711102</v>
      </c>
      <c r="C849" s="25" t="e">
        <f t="shared" si="124"/>
        <v>#VALUE!</v>
      </c>
      <c r="D849" s="74" t="e">
        <f t="shared" si="125"/>
        <v>#VALUE!</v>
      </c>
      <c r="E849" s="25" t="e">
        <f t="shared" si="126"/>
        <v>#VALUE!</v>
      </c>
      <c r="F849" s="25" t="e">
        <f t="shared" ca="1" si="127"/>
        <v>#VALUE!</v>
      </c>
      <c r="G849" s="25"/>
      <c r="H849" s="25" t="e">
        <f t="shared" si="122"/>
        <v>#VALUE!</v>
      </c>
      <c r="I849" s="25">
        <f t="shared" si="128"/>
        <v>334.999999999983</v>
      </c>
      <c r="J849" s="25" t="e">
        <f t="shared" si="129"/>
        <v>#VALUE!</v>
      </c>
    </row>
    <row r="850" spans="1:10" x14ac:dyDescent="0.25">
      <c r="A850" s="25">
        <f t="shared" si="130"/>
        <v>-1.6400000000001702</v>
      </c>
      <c r="B850" s="25">
        <f t="shared" ca="1" si="123"/>
        <v>-8.5744782349426174E-2</v>
      </c>
      <c r="C850" s="25" t="e">
        <f t="shared" si="124"/>
        <v>#VALUE!</v>
      </c>
      <c r="D850" s="74" t="e">
        <f t="shared" si="125"/>
        <v>#VALUE!</v>
      </c>
      <c r="E850" s="25" t="e">
        <f t="shared" si="126"/>
        <v>#VALUE!</v>
      </c>
      <c r="F850" s="25" t="e">
        <f t="shared" ca="1" si="127"/>
        <v>#VALUE!</v>
      </c>
      <c r="G850" s="25"/>
      <c r="H850" s="25" t="e">
        <f t="shared" si="122"/>
        <v>#VALUE!</v>
      </c>
      <c r="I850" s="25">
        <f t="shared" si="128"/>
        <v>335.999999999983</v>
      </c>
      <c r="J850" s="25" t="e">
        <f t="shared" si="129"/>
        <v>#VALUE!</v>
      </c>
    </row>
    <row r="851" spans="1:10" x14ac:dyDescent="0.25">
      <c r="A851" s="25">
        <f t="shared" si="130"/>
        <v>-1.6300000000001702</v>
      </c>
      <c r="B851" s="25">
        <f t="shared" ca="1" si="123"/>
        <v>-8.0065813395166427E-2</v>
      </c>
      <c r="C851" s="25" t="e">
        <f t="shared" si="124"/>
        <v>#VALUE!</v>
      </c>
      <c r="D851" s="74" t="e">
        <f t="shared" si="125"/>
        <v>#VALUE!</v>
      </c>
      <c r="E851" s="25" t="e">
        <f t="shared" si="126"/>
        <v>#VALUE!</v>
      </c>
      <c r="F851" s="25" t="e">
        <f t="shared" ca="1" si="127"/>
        <v>#VALUE!</v>
      </c>
      <c r="G851" s="25"/>
      <c r="H851" s="25" t="e">
        <f t="shared" si="122"/>
        <v>#VALUE!</v>
      </c>
      <c r="I851" s="25">
        <f t="shared" si="128"/>
        <v>336.99999999998295</v>
      </c>
      <c r="J851" s="25" t="e">
        <f t="shared" si="129"/>
        <v>#VALUE!</v>
      </c>
    </row>
    <row r="852" spans="1:10" x14ac:dyDescent="0.25">
      <c r="A852" s="25">
        <f t="shared" si="130"/>
        <v>-1.6200000000001702</v>
      </c>
      <c r="B852" s="25">
        <f t="shared" ca="1" si="123"/>
        <v>-2.27579608387804E-3</v>
      </c>
      <c r="C852" s="25" t="e">
        <f t="shared" si="124"/>
        <v>#VALUE!</v>
      </c>
      <c r="D852" s="74" t="e">
        <f t="shared" si="125"/>
        <v>#VALUE!</v>
      </c>
      <c r="E852" s="25" t="e">
        <f t="shared" si="126"/>
        <v>#VALUE!</v>
      </c>
      <c r="F852" s="25" t="e">
        <f t="shared" ca="1" si="127"/>
        <v>#VALUE!</v>
      </c>
      <c r="G852" s="25"/>
      <c r="H852" s="25" t="e">
        <f t="shared" si="122"/>
        <v>#VALUE!</v>
      </c>
      <c r="I852" s="25">
        <f t="shared" si="128"/>
        <v>337.999999999983</v>
      </c>
      <c r="J852" s="25" t="e">
        <f t="shared" si="129"/>
        <v>#VALUE!</v>
      </c>
    </row>
    <row r="853" spans="1:10" x14ac:dyDescent="0.25">
      <c r="A853" s="25">
        <f t="shared" si="130"/>
        <v>-1.6100000000001702</v>
      </c>
      <c r="B853" s="25">
        <f t="shared" ca="1" si="123"/>
        <v>-0.12024194895357758</v>
      </c>
      <c r="C853" s="25" t="e">
        <f t="shared" si="124"/>
        <v>#VALUE!</v>
      </c>
      <c r="D853" s="74" t="e">
        <f t="shared" si="125"/>
        <v>#VALUE!</v>
      </c>
      <c r="E853" s="25" t="e">
        <f t="shared" si="126"/>
        <v>#VALUE!</v>
      </c>
      <c r="F853" s="25" t="e">
        <f t="shared" ca="1" si="127"/>
        <v>#VALUE!</v>
      </c>
      <c r="G853" s="25"/>
      <c r="H853" s="25" t="e">
        <f t="shared" si="122"/>
        <v>#VALUE!</v>
      </c>
      <c r="I853" s="25">
        <f t="shared" si="128"/>
        <v>338.999999999983</v>
      </c>
      <c r="J853" s="25" t="e">
        <f t="shared" si="129"/>
        <v>#VALUE!</v>
      </c>
    </row>
    <row r="854" spans="1:10" x14ac:dyDescent="0.25">
      <c r="A854" s="25">
        <f t="shared" si="130"/>
        <v>-1.6000000000001702</v>
      </c>
      <c r="B854" s="25">
        <f t="shared" ca="1" si="123"/>
        <v>-0.17262200718891943</v>
      </c>
      <c r="C854" s="25" t="e">
        <f t="shared" si="124"/>
        <v>#VALUE!</v>
      </c>
      <c r="D854" s="74" t="e">
        <f t="shared" si="125"/>
        <v>#VALUE!</v>
      </c>
      <c r="E854" s="25" t="e">
        <f t="shared" si="126"/>
        <v>#VALUE!</v>
      </c>
      <c r="F854" s="25" t="e">
        <f t="shared" ca="1" si="127"/>
        <v>#VALUE!</v>
      </c>
      <c r="G854" s="25"/>
      <c r="H854" s="25" t="e">
        <f t="shared" si="122"/>
        <v>#VALUE!</v>
      </c>
      <c r="I854" s="25">
        <f t="shared" si="128"/>
        <v>339.999999999983</v>
      </c>
      <c r="J854" s="25" t="e">
        <f t="shared" si="129"/>
        <v>#VALUE!</v>
      </c>
    </row>
    <row r="855" spans="1:10" x14ac:dyDescent="0.25">
      <c r="A855" s="25">
        <f t="shared" si="130"/>
        <v>-1.5900000000001702</v>
      </c>
      <c r="B855" s="25">
        <f t="shared" ca="1" si="123"/>
        <v>-0.12793100582334746</v>
      </c>
      <c r="C855" s="25" t="e">
        <f t="shared" si="124"/>
        <v>#VALUE!</v>
      </c>
      <c r="D855" s="74" t="e">
        <f t="shared" si="125"/>
        <v>#VALUE!</v>
      </c>
      <c r="E855" s="25" t="e">
        <f t="shared" si="126"/>
        <v>#VALUE!</v>
      </c>
      <c r="F855" s="25" t="e">
        <f t="shared" ca="1" si="127"/>
        <v>#VALUE!</v>
      </c>
      <c r="G855" s="25"/>
      <c r="H855" s="25" t="e">
        <f t="shared" si="122"/>
        <v>#VALUE!</v>
      </c>
      <c r="I855" s="25">
        <f t="shared" si="128"/>
        <v>340.99999999998295</v>
      </c>
      <c r="J855" s="25" t="e">
        <f t="shared" si="129"/>
        <v>#VALUE!</v>
      </c>
    </row>
    <row r="856" spans="1:10" x14ac:dyDescent="0.25">
      <c r="A856" s="25">
        <f t="shared" si="130"/>
        <v>-1.5800000000001702</v>
      </c>
      <c r="B856" s="25">
        <f t="shared" ca="1" si="123"/>
        <v>0.13147352874804694</v>
      </c>
      <c r="C856" s="25" t="e">
        <f t="shared" si="124"/>
        <v>#VALUE!</v>
      </c>
      <c r="D856" s="74" t="e">
        <f t="shared" si="125"/>
        <v>#VALUE!</v>
      </c>
      <c r="E856" s="25" t="e">
        <f t="shared" si="126"/>
        <v>#VALUE!</v>
      </c>
      <c r="F856" s="25" t="e">
        <f t="shared" ca="1" si="127"/>
        <v>#VALUE!</v>
      </c>
      <c r="G856" s="25"/>
      <c r="H856" s="25" t="e">
        <f t="shared" si="122"/>
        <v>#VALUE!</v>
      </c>
      <c r="I856" s="25">
        <f t="shared" si="128"/>
        <v>341.999999999983</v>
      </c>
      <c r="J856" s="25" t="e">
        <f t="shared" si="129"/>
        <v>#VALUE!</v>
      </c>
    </row>
    <row r="857" spans="1:10" x14ac:dyDescent="0.25">
      <c r="A857" s="25">
        <f t="shared" si="130"/>
        <v>-1.5700000000001701</v>
      </c>
      <c r="B857" s="25">
        <f t="shared" ca="1" si="123"/>
        <v>-0.14422196831540748</v>
      </c>
      <c r="C857" s="25" t="e">
        <f t="shared" si="124"/>
        <v>#VALUE!</v>
      </c>
      <c r="D857" s="74" t="e">
        <f t="shared" si="125"/>
        <v>#VALUE!</v>
      </c>
      <c r="E857" s="25" t="e">
        <f t="shared" si="126"/>
        <v>#VALUE!</v>
      </c>
      <c r="F857" s="25" t="e">
        <f t="shared" ca="1" si="127"/>
        <v>#VALUE!</v>
      </c>
      <c r="G857" s="25"/>
      <c r="H857" s="25" t="e">
        <f t="shared" si="122"/>
        <v>#VALUE!</v>
      </c>
      <c r="I857" s="25">
        <f t="shared" si="128"/>
        <v>342.999999999983</v>
      </c>
      <c r="J857" s="25" t="e">
        <f t="shared" si="129"/>
        <v>#VALUE!</v>
      </c>
    </row>
    <row r="858" spans="1:10" x14ac:dyDescent="0.25">
      <c r="A858" s="25">
        <f t="shared" si="130"/>
        <v>-1.5600000000001701</v>
      </c>
      <c r="B858" s="25">
        <f t="shared" ca="1" si="123"/>
        <v>-4.6357139475449512E-2</v>
      </c>
      <c r="C858" s="25" t="e">
        <f t="shared" si="124"/>
        <v>#VALUE!</v>
      </c>
      <c r="D858" s="74" t="e">
        <f t="shared" si="125"/>
        <v>#VALUE!</v>
      </c>
      <c r="E858" s="25" t="e">
        <f t="shared" si="126"/>
        <v>#VALUE!</v>
      </c>
      <c r="F858" s="25" t="e">
        <f t="shared" ca="1" si="127"/>
        <v>#VALUE!</v>
      </c>
      <c r="G858" s="25"/>
      <c r="H858" s="25" t="e">
        <f t="shared" si="122"/>
        <v>#VALUE!</v>
      </c>
      <c r="I858" s="25">
        <f t="shared" si="128"/>
        <v>343.999999999983</v>
      </c>
      <c r="J858" s="25" t="e">
        <f t="shared" si="129"/>
        <v>#VALUE!</v>
      </c>
    </row>
    <row r="859" spans="1:10" x14ac:dyDescent="0.25">
      <c r="A859" s="25">
        <f t="shared" si="130"/>
        <v>-1.5500000000001701</v>
      </c>
      <c r="B859" s="25">
        <f t="shared" ca="1" si="123"/>
        <v>6.670863904947491E-2</v>
      </c>
      <c r="C859" s="25" t="e">
        <f t="shared" si="124"/>
        <v>#VALUE!</v>
      </c>
      <c r="D859" s="74" t="e">
        <f t="shared" si="125"/>
        <v>#VALUE!</v>
      </c>
      <c r="E859" s="25" t="e">
        <f t="shared" si="126"/>
        <v>#VALUE!</v>
      </c>
      <c r="F859" s="25" t="e">
        <f t="shared" ca="1" si="127"/>
        <v>#VALUE!</v>
      </c>
      <c r="G859" s="25"/>
      <c r="H859" s="25" t="e">
        <f t="shared" si="122"/>
        <v>#VALUE!</v>
      </c>
      <c r="I859" s="25">
        <f t="shared" si="128"/>
        <v>344.99999999998295</v>
      </c>
      <c r="J859" s="25" t="e">
        <f t="shared" si="129"/>
        <v>#VALUE!</v>
      </c>
    </row>
    <row r="860" spans="1:10" x14ac:dyDescent="0.25">
      <c r="A860" s="25">
        <f t="shared" si="130"/>
        <v>-1.5400000000001701</v>
      </c>
      <c r="B860" s="25">
        <f t="shared" ca="1" si="123"/>
        <v>-3.1589570369374237E-2</v>
      </c>
      <c r="C860" s="25" t="e">
        <f t="shared" si="124"/>
        <v>#VALUE!</v>
      </c>
      <c r="D860" s="74" t="e">
        <f t="shared" si="125"/>
        <v>#VALUE!</v>
      </c>
      <c r="E860" s="25" t="e">
        <f t="shared" si="126"/>
        <v>#VALUE!</v>
      </c>
      <c r="F860" s="25" t="e">
        <f t="shared" ca="1" si="127"/>
        <v>#VALUE!</v>
      </c>
      <c r="G860" s="25"/>
      <c r="H860" s="25" t="e">
        <f t="shared" si="122"/>
        <v>#VALUE!</v>
      </c>
      <c r="I860" s="25">
        <f t="shared" si="128"/>
        <v>345.999999999983</v>
      </c>
      <c r="J860" s="25" t="e">
        <f t="shared" si="129"/>
        <v>#VALUE!</v>
      </c>
    </row>
    <row r="861" spans="1:10" x14ac:dyDescent="0.25">
      <c r="A861" s="25">
        <f t="shared" si="130"/>
        <v>-1.5300000000001701</v>
      </c>
      <c r="B861" s="25">
        <f t="shared" ca="1" si="123"/>
        <v>-6.3251709484010529E-2</v>
      </c>
      <c r="C861" s="25" t="e">
        <f t="shared" si="124"/>
        <v>#VALUE!</v>
      </c>
      <c r="D861" s="74" t="e">
        <f t="shared" si="125"/>
        <v>#VALUE!</v>
      </c>
      <c r="E861" s="25" t="e">
        <f t="shared" si="126"/>
        <v>#VALUE!</v>
      </c>
      <c r="F861" s="25" t="e">
        <f t="shared" ca="1" si="127"/>
        <v>#VALUE!</v>
      </c>
      <c r="G861" s="25"/>
      <c r="H861" s="25" t="e">
        <f t="shared" si="122"/>
        <v>#VALUE!</v>
      </c>
      <c r="I861" s="25">
        <f t="shared" si="128"/>
        <v>346.999999999983</v>
      </c>
      <c r="J861" s="25" t="e">
        <f t="shared" si="129"/>
        <v>#VALUE!</v>
      </c>
    </row>
    <row r="862" spans="1:10" x14ac:dyDescent="0.25">
      <c r="A862" s="25">
        <f t="shared" si="130"/>
        <v>-1.5200000000001701</v>
      </c>
      <c r="B862" s="25">
        <f t="shared" ca="1" si="123"/>
        <v>-2.0116141151391681E-2</v>
      </c>
      <c r="C862" s="25" t="e">
        <f t="shared" si="124"/>
        <v>#VALUE!</v>
      </c>
      <c r="D862" s="74" t="e">
        <f t="shared" si="125"/>
        <v>#VALUE!</v>
      </c>
      <c r="E862" s="25" t="e">
        <f t="shared" si="126"/>
        <v>#VALUE!</v>
      </c>
      <c r="F862" s="25" t="e">
        <f t="shared" ca="1" si="127"/>
        <v>#VALUE!</v>
      </c>
      <c r="G862" s="25"/>
      <c r="H862" s="25" t="e">
        <f t="shared" ref="H862:H925" si="131">IF(PeakShape=$O$3,C862,IF(PeakShape=O864,D862,E862))</f>
        <v>#VALUE!</v>
      </c>
      <c r="I862" s="25">
        <f t="shared" si="128"/>
        <v>347.999999999983</v>
      </c>
      <c r="J862" s="25" t="e">
        <f t="shared" si="129"/>
        <v>#VALUE!</v>
      </c>
    </row>
    <row r="863" spans="1:10" x14ac:dyDescent="0.25">
      <c r="A863" s="25">
        <f t="shared" si="130"/>
        <v>-1.5100000000001701</v>
      </c>
      <c r="B863" s="25">
        <f t="shared" ca="1" si="123"/>
        <v>-7.1040886133095352E-2</v>
      </c>
      <c r="C863" s="25" t="e">
        <f t="shared" si="124"/>
        <v>#VALUE!</v>
      </c>
      <c r="D863" s="74" t="e">
        <f t="shared" si="125"/>
        <v>#VALUE!</v>
      </c>
      <c r="E863" s="25" t="e">
        <f t="shared" si="126"/>
        <v>#VALUE!</v>
      </c>
      <c r="F863" s="25" t="e">
        <f t="shared" ca="1" si="127"/>
        <v>#VALUE!</v>
      </c>
      <c r="G863" s="25"/>
      <c r="H863" s="25" t="e">
        <f t="shared" si="131"/>
        <v>#VALUE!</v>
      </c>
      <c r="I863" s="25">
        <f t="shared" si="128"/>
        <v>348.99999999998295</v>
      </c>
      <c r="J863" s="25" t="e">
        <f t="shared" si="129"/>
        <v>#VALUE!</v>
      </c>
    </row>
    <row r="864" spans="1:10" x14ac:dyDescent="0.25">
      <c r="A864" s="25">
        <f t="shared" si="130"/>
        <v>-1.5000000000001701</v>
      </c>
      <c r="B864" s="25">
        <f t="shared" ca="1" si="123"/>
        <v>-7.9975268776163164E-2</v>
      </c>
      <c r="C864" s="25" t="e">
        <f t="shared" si="124"/>
        <v>#VALUE!</v>
      </c>
      <c r="D864" s="74" t="e">
        <f t="shared" si="125"/>
        <v>#VALUE!</v>
      </c>
      <c r="E864" s="25" t="e">
        <f t="shared" si="126"/>
        <v>#VALUE!</v>
      </c>
      <c r="F864" s="25" t="e">
        <f t="shared" ca="1" si="127"/>
        <v>#VALUE!</v>
      </c>
      <c r="G864" s="25"/>
      <c r="H864" s="25" t="e">
        <f t="shared" si="131"/>
        <v>#VALUE!</v>
      </c>
      <c r="I864" s="25">
        <f t="shared" si="128"/>
        <v>349.999999999983</v>
      </c>
      <c r="J864" s="25" t="e">
        <f t="shared" si="129"/>
        <v>#VALUE!</v>
      </c>
    </row>
    <row r="865" spans="1:10" x14ac:dyDescent="0.25">
      <c r="A865" s="25">
        <f t="shared" si="130"/>
        <v>-1.4900000000001701</v>
      </c>
      <c r="B865" s="25">
        <f t="shared" ca="1" si="123"/>
        <v>1.9801230351514959E-2</v>
      </c>
      <c r="C865" s="25" t="e">
        <f t="shared" si="124"/>
        <v>#VALUE!</v>
      </c>
      <c r="D865" s="74" t="e">
        <f t="shared" si="125"/>
        <v>#VALUE!</v>
      </c>
      <c r="E865" s="25" t="e">
        <f t="shared" si="126"/>
        <v>#VALUE!</v>
      </c>
      <c r="F865" s="25" t="e">
        <f t="shared" ca="1" si="127"/>
        <v>#VALUE!</v>
      </c>
      <c r="G865" s="25"/>
      <c r="H865" s="25" t="e">
        <f t="shared" si="131"/>
        <v>#VALUE!</v>
      </c>
      <c r="I865" s="25">
        <f t="shared" si="128"/>
        <v>350.999999999983</v>
      </c>
      <c r="J865" s="25" t="e">
        <f t="shared" si="129"/>
        <v>#VALUE!</v>
      </c>
    </row>
    <row r="866" spans="1:10" x14ac:dyDescent="0.25">
      <c r="A866" s="25">
        <f t="shared" si="130"/>
        <v>-1.4800000000001701</v>
      </c>
      <c r="B866" s="25">
        <f t="shared" ca="1" si="123"/>
        <v>9.2706991944433506E-2</v>
      </c>
      <c r="C866" s="25" t="e">
        <f t="shared" si="124"/>
        <v>#VALUE!</v>
      </c>
      <c r="D866" s="74" t="e">
        <f t="shared" si="125"/>
        <v>#VALUE!</v>
      </c>
      <c r="E866" s="25" t="e">
        <f t="shared" si="126"/>
        <v>#VALUE!</v>
      </c>
      <c r="F866" s="25" t="e">
        <f t="shared" ca="1" si="127"/>
        <v>#VALUE!</v>
      </c>
      <c r="G866" s="25"/>
      <c r="H866" s="25" t="e">
        <f t="shared" si="131"/>
        <v>#VALUE!</v>
      </c>
      <c r="I866" s="25">
        <f t="shared" si="128"/>
        <v>351.999999999983</v>
      </c>
      <c r="J866" s="25" t="e">
        <f t="shared" si="129"/>
        <v>#VALUE!</v>
      </c>
    </row>
    <row r="867" spans="1:10" x14ac:dyDescent="0.25">
      <c r="A867" s="25">
        <f t="shared" si="130"/>
        <v>-1.4700000000001701</v>
      </c>
      <c r="B867" s="25">
        <f t="shared" ca="1" si="123"/>
        <v>-0.19740024627411465</v>
      </c>
      <c r="C867" s="25" t="e">
        <f t="shared" si="124"/>
        <v>#VALUE!</v>
      </c>
      <c r="D867" s="74" t="e">
        <f t="shared" si="125"/>
        <v>#VALUE!</v>
      </c>
      <c r="E867" s="25" t="e">
        <f t="shared" si="126"/>
        <v>#VALUE!</v>
      </c>
      <c r="F867" s="25" t="e">
        <f t="shared" ca="1" si="127"/>
        <v>#VALUE!</v>
      </c>
      <c r="G867" s="25"/>
      <c r="H867" s="25" t="e">
        <f t="shared" si="131"/>
        <v>#VALUE!</v>
      </c>
      <c r="I867" s="25">
        <f t="shared" si="128"/>
        <v>352.999999999983</v>
      </c>
      <c r="J867" s="25" t="e">
        <f t="shared" si="129"/>
        <v>#VALUE!</v>
      </c>
    </row>
    <row r="868" spans="1:10" x14ac:dyDescent="0.25">
      <c r="A868" s="25">
        <f t="shared" si="130"/>
        <v>-1.4600000000001701</v>
      </c>
      <c r="B868" s="25">
        <f t="shared" ca="1" si="123"/>
        <v>0.10258609043205262</v>
      </c>
      <c r="C868" s="25" t="e">
        <f t="shared" si="124"/>
        <v>#VALUE!</v>
      </c>
      <c r="D868" s="74" t="e">
        <f t="shared" si="125"/>
        <v>#VALUE!</v>
      </c>
      <c r="E868" s="25" t="e">
        <f t="shared" si="126"/>
        <v>#VALUE!</v>
      </c>
      <c r="F868" s="25" t="e">
        <f t="shared" ca="1" si="127"/>
        <v>#VALUE!</v>
      </c>
      <c r="G868" s="25"/>
      <c r="H868" s="25" t="e">
        <f t="shared" si="131"/>
        <v>#VALUE!</v>
      </c>
      <c r="I868" s="25">
        <f t="shared" si="128"/>
        <v>353.999999999983</v>
      </c>
      <c r="J868" s="25" t="e">
        <f t="shared" si="129"/>
        <v>#VALUE!</v>
      </c>
    </row>
    <row r="869" spans="1:10" x14ac:dyDescent="0.25">
      <c r="A869" s="25">
        <f t="shared" si="130"/>
        <v>-1.45000000000017</v>
      </c>
      <c r="B869" s="25">
        <f t="shared" ca="1" si="123"/>
        <v>-9.552773016912619E-2</v>
      </c>
      <c r="C869" s="25" t="e">
        <f t="shared" si="124"/>
        <v>#VALUE!</v>
      </c>
      <c r="D869" s="74" t="e">
        <f t="shared" si="125"/>
        <v>#VALUE!</v>
      </c>
      <c r="E869" s="25" t="e">
        <f t="shared" si="126"/>
        <v>#VALUE!</v>
      </c>
      <c r="F869" s="25" t="e">
        <f t="shared" ca="1" si="127"/>
        <v>#VALUE!</v>
      </c>
      <c r="G869" s="25"/>
      <c r="H869" s="25" t="e">
        <f t="shared" si="131"/>
        <v>#VALUE!</v>
      </c>
      <c r="I869" s="25">
        <f t="shared" si="128"/>
        <v>354.99999999998306</v>
      </c>
      <c r="J869" s="25" t="e">
        <f t="shared" si="129"/>
        <v>#VALUE!</v>
      </c>
    </row>
    <row r="870" spans="1:10" x14ac:dyDescent="0.25">
      <c r="A870" s="25">
        <f t="shared" si="130"/>
        <v>-1.44000000000017</v>
      </c>
      <c r="B870" s="25">
        <f t="shared" ca="1" si="123"/>
        <v>0.105131678282205</v>
      </c>
      <c r="C870" s="25" t="e">
        <f t="shared" si="124"/>
        <v>#VALUE!</v>
      </c>
      <c r="D870" s="74" t="e">
        <f t="shared" si="125"/>
        <v>#VALUE!</v>
      </c>
      <c r="E870" s="25" t="e">
        <f t="shared" si="126"/>
        <v>#VALUE!</v>
      </c>
      <c r="F870" s="25" t="e">
        <f t="shared" ca="1" si="127"/>
        <v>#VALUE!</v>
      </c>
      <c r="G870" s="25"/>
      <c r="H870" s="25" t="e">
        <f t="shared" si="131"/>
        <v>#VALUE!</v>
      </c>
      <c r="I870" s="25">
        <f t="shared" si="128"/>
        <v>355.999999999983</v>
      </c>
      <c r="J870" s="25" t="e">
        <f t="shared" si="129"/>
        <v>#VALUE!</v>
      </c>
    </row>
    <row r="871" spans="1:10" x14ac:dyDescent="0.25">
      <c r="A871" s="25">
        <f t="shared" si="130"/>
        <v>-1.43000000000017</v>
      </c>
      <c r="B871" s="25">
        <f t="shared" ca="1" si="123"/>
        <v>-7.6819696385025144E-2</v>
      </c>
      <c r="C871" s="25" t="e">
        <f t="shared" si="124"/>
        <v>#VALUE!</v>
      </c>
      <c r="D871" s="74" t="e">
        <f t="shared" si="125"/>
        <v>#VALUE!</v>
      </c>
      <c r="E871" s="25" t="e">
        <f t="shared" si="126"/>
        <v>#VALUE!</v>
      </c>
      <c r="F871" s="25" t="e">
        <f t="shared" ca="1" si="127"/>
        <v>#VALUE!</v>
      </c>
      <c r="G871" s="25"/>
      <c r="H871" s="25" t="e">
        <f t="shared" si="131"/>
        <v>#VALUE!</v>
      </c>
      <c r="I871" s="25">
        <f t="shared" si="128"/>
        <v>356.999999999983</v>
      </c>
      <c r="J871" s="25" t="e">
        <f t="shared" si="129"/>
        <v>#VALUE!</v>
      </c>
    </row>
    <row r="872" spans="1:10" x14ac:dyDescent="0.25">
      <c r="A872" s="25">
        <f t="shared" si="130"/>
        <v>-1.42000000000017</v>
      </c>
      <c r="B872" s="25">
        <f t="shared" ca="1" si="123"/>
        <v>-0.19368851906145401</v>
      </c>
      <c r="C872" s="25" t="e">
        <f t="shared" si="124"/>
        <v>#VALUE!</v>
      </c>
      <c r="D872" s="74" t="e">
        <f t="shared" si="125"/>
        <v>#VALUE!</v>
      </c>
      <c r="E872" s="25" t="e">
        <f t="shared" si="126"/>
        <v>#VALUE!</v>
      </c>
      <c r="F872" s="25" t="e">
        <f t="shared" ca="1" si="127"/>
        <v>#VALUE!</v>
      </c>
      <c r="G872" s="25"/>
      <c r="H872" s="25" t="e">
        <f t="shared" si="131"/>
        <v>#VALUE!</v>
      </c>
      <c r="I872" s="25">
        <f t="shared" si="128"/>
        <v>357.999999999983</v>
      </c>
      <c r="J872" s="25" t="e">
        <f t="shared" si="129"/>
        <v>#VALUE!</v>
      </c>
    </row>
    <row r="873" spans="1:10" x14ac:dyDescent="0.25">
      <c r="A873" s="25">
        <f t="shared" si="130"/>
        <v>-1.41000000000017</v>
      </c>
      <c r="B873" s="25">
        <f t="shared" ca="1" si="123"/>
        <v>-0.15916547654283975</v>
      </c>
      <c r="C873" s="25" t="e">
        <f t="shared" si="124"/>
        <v>#VALUE!</v>
      </c>
      <c r="D873" s="74" t="e">
        <f t="shared" si="125"/>
        <v>#VALUE!</v>
      </c>
      <c r="E873" s="25" t="e">
        <f t="shared" si="126"/>
        <v>#VALUE!</v>
      </c>
      <c r="F873" s="25" t="e">
        <f t="shared" ca="1" si="127"/>
        <v>#VALUE!</v>
      </c>
      <c r="G873" s="25"/>
      <c r="H873" s="25" t="e">
        <f t="shared" si="131"/>
        <v>#VALUE!</v>
      </c>
      <c r="I873" s="25">
        <f t="shared" si="128"/>
        <v>358.99999999998306</v>
      </c>
      <c r="J873" s="25" t="e">
        <f t="shared" si="129"/>
        <v>#VALUE!</v>
      </c>
    </row>
    <row r="874" spans="1:10" x14ac:dyDescent="0.25">
      <c r="A874" s="25">
        <f t="shared" si="130"/>
        <v>-1.40000000000017</v>
      </c>
      <c r="B874" s="25">
        <f t="shared" ca="1" si="123"/>
        <v>-0.18068105388500133</v>
      </c>
      <c r="C874" s="25" t="e">
        <f t="shared" si="124"/>
        <v>#VALUE!</v>
      </c>
      <c r="D874" s="74" t="e">
        <f t="shared" si="125"/>
        <v>#VALUE!</v>
      </c>
      <c r="E874" s="25" t="e">
        <f t="shared" si="126"/>
        <v>#VALUE!</v>
      </c>
      <c r="F874" s="25" t="e">
        <f t="shared" ca="1" si="127"/>
        <v>#VALUE!</v>
      </c>
      <c r="G874" s="25"/>
      <c r="H874" s="25" t="e">
        <f t="shared" si="131"/>
        <v>#VALUE!</v>
      </c>
      <c r="I874" s="25">
        <f t="shared" si="128"/>
        <v>359.999999999983</v>
      </c>
      <c r="J874" s="25" t="e">
        <f t="shared" si="129"/>
        <v>#VALUE!</v>
      </c>
    </row>
    <row r="875" spans="1:10" x14ac:dyDescent="0.25">
      <c r="A875" s="25">
        <f t="shared" si="130"/>
        <v>-1.39000000000017</v>
      </c>
      <c r="B875" s="25">
        <f t="shared" ca="1" si="123"/>
        <v>9.4462180636220985E-2</v>
      </c>
      <c r="C875" s="25" t="e">
        <f t="shared" si="124"/>
        <v>#VALUE!</v>
      </c>
      <c r="D875" s="74" t="e">
        <f t="shared" si="125"/>
        <v>#VALUE!</v>
      </c>
      <c r="E875" s="25" t="e">
        <f t="shared" si="126"/>
        <v>#VALUE!</v>
      </c>
      <c r="F875" s="25" t="e">
        <f t="shared" ca="1" si="127"/>
        <v>#VALUE!</v>
      </c>
      <c r="G875" s="25"/>
      <c r="H875" s="25" t="e">
        <f t="shared" si="131"/>
        <v>#VALUE!</v>
      </c>
      <c r="I875" s="25">
        <f t="shared" si="128"/>
        <v>360.999999999983</v>
      </c>
      <c r="J875" s="25" t="e">
        <f t="shared" si="129"/>
        <v>#VALUE!</v>
      </c>
    </row>
    <row r="876" spans="1:10" x14ac:dyDescent="0.25">
      <c r="A876" s="25">
        <f t="shared" si="130"/>
        <v>-1.38000000000017</v>
      </c>
      <c r="B876" s="25">
        <f t="shared" ca="1" si="123"/>
        <v>-0.14890874504659232</v>
      </c>
      <c r="C876" s="25" t="e">
        <f t="shared" si="124"/>
        <v>#VALUE!</v>
      </c>
      <c r="D876" s="74" t="e">
        <f t="shared" si="125"/>
        <v>#VALUE!</v>
      </c>
      <c r="E876" s="25" t="e">
        <f t="shared" si="126"/>
        <v>#VALUE!</v>
      </c>
      <c r="F876" s="25" t="e">
        <f t="shared" ca="1" si="127"/>
        <v>#VALUE!</v>
      </c>
      <c r="G876" s="25"/>
      <c r="H876" s="25" t="e">
        <f t="shared" si="131"/>
        <v>#VALUE!</v>
      </c>
      <c r="I876" s="25">
        <f t="shared" si="128"/>
        <v>361.999999999983</v>
      </c>
      <c r="J876" s="25" t="e">
        <f t="shared" si="129"/>
        <v>#VALUE!</v>
      </c>
    </row>
    <row r="877" spans="1:10" x14ac:dyDescent="0.25">
      <c r="A877" s="25">
        <f t="shared" si="130"/>
        <v>-1.37000000000017</v>
      </c>
      <c r="B877" s="25">
        <f t="shared" ca="1" si="123"/>
        <v>0.10723292220927076</v>
      </c>
      <c r="C877" s="25" t="e">
        <f t="shared" si="124"/>
        <v>#VALUE!</v>
      </c>
      <c r="D877" s="74" t="e">
        <f t="shared" si="125"/>
        <v>#VALUE!</v>
      </c>
      <c r="E877" s="25" t="e">
        <f t="shared" si="126"/>
        <v>#VALUE!</v>
      </c>
      <c r="F877" s="25" t="e">
        <f t="shared" ca="1" si="127"/>
        <v>#VALUE!</v>
      </c>
      <c r="G877" s="25"/>
      <c r="H877" s="25" t="e">
        <f t="shared" si="131"/>
        <v>#VALUE!</v>
      </c>
      <c r="I877" s="25">
        <f t="shared" si="128"/>
        <v>362.99999999998306</v>
      </c>
      <c r="J877" s="25" t="e">
        <f t="shared" si="129"/>
        <v>#VALUE!</v>
      </c>
    </row>
    <row r="878" spans="1:10" x14ac:dyDescent="0.25">
      <c r="A878" s="25">
        <f t="shared" si="130"/>
        <v>-1.36000000000017</v>
      </c>
      <c r="B878" s="25">
        <f t="shared" ca="1" si="123"/>
        <v>-3.6634310884239387E-3</v>
      </c>
      <c r="C878" s="25" t="e">
        <f t="shared" si="124"/>
        <v>#VALUE!</v>
      </c>
      <c r="D878" s="74" t="e">
        <f t="shared" si="125"/>
        <v>#VALUE!</v>
      </c>
      <c r="E878" s="25" t="e">
        <f t="shared" si="126"/>
        <v>#VALUE!</v>
      </c>
      <c r="F878" s="25" t="e">
        <f t="shared" ca="1" si="127"/>
        <v>#VALUE!</v>
      </c>
      <c r="G878" s="25"/>
      <c r="H878" s="25" t="e">
        <f t="shared" si="131"/>
        <v>#VALUE!</v>
      </c>
      <c r="I878" s="25">
        <f t="shared" si="128"/>
        <v>363.999999999983</v>
      </c>
      <c r="J878" s="25" t="e">
        <f t="shared" si="129"/>
        <v>#VALUE!</v>
      </c>
    </row>
    <row r="879" spans="1:10" x14ac:dyDescent="0.25">
      <c r="A879" s="25">
        <f t="shared" si="130"/>
        <v>-1.35000000000017</v>
      </c>
      <c r="B879" s="25">
        <f t="shared" ca="1" si="123"/>
        <v>-0.14957357033925223</v>
      </c>
      <c r="C879" s="25" t="e">
        <f t="shared" si="124"/>
        <v>#VALUE!</v>
      </c>
      <c r="D879" s="74" t="e">
        <f t="shared" si="125"/>
        <v>#VALUE!</v>
      </c>
      <c r="E879" s="25" t="e">
        <f t="shared" si="126"/>
        <v>#VALUE!</v>
      </c>
      <c r="F879" s="25" t="e">
        <f t="shared" ca="1" si="127"/>
        <v>#VALUE!</v>
      </c>
      <c r="G879" s="25"/>
      <c r="H879" s="25" t="e">
        <f t="shared" si="131"/>
        <v>#VALUE!</v>
      </c>
      <c r="I879" s="25">
        <f t="shared" si="128"/>
        <v>364.999999999983</v>
      </c>
      <c r="J879" s="25" t="e">
        <f t="shared" si="129"/>
        <v>#VALUE!</v>
      </c>
    </row>
    <row r="880" spans="1:10" x14ac:dyDescent="0.25">
      <c r="A880" s="25">
        <f t="shared" si="130"/>
        <v>-1.3400000000001699</v>
      </c>
      <c r="B880" s="25">
        <f t="shared" ca="1" si="123"/>
        <v>-0.12526883819777365</v>
      </c>
      <c r="C880" s="25" t="e">
        <f t="shared" si="124"/>
        <v>#VALUE!</v>
      </c>
      <c r="D880" s="74" t="e">
        <f t="shared" si="125"/>
        <v>#VALUE!</v>
      </c>
      <c r="E880" s="25" t="e">
        <f t="shared" si="126"/>
        <v>#VALUE!</v>
      </c>
      <c r="F880" s="25" t="e">
        <f t="shared" ca="1" si="127"/>
        <v>#VALUE!</v>
      </c>
      <c r="G880" s="25"/>
      <c r="H880" s="25" t="e">
        <f t="shared" si="131"/>
        <v>#VALUE!</v>
      </c>
      <c r="I880" s="25">
        <f t="shared" si="128"/>
        <v>365.999999999983</v>
      </c>
      <c r="J880" s="25" t="e">
        <f t="shared" si="129"/>
        <v>#VALUE!</v>
      </c>
    </row>
    <row r="881" spans="1:10" x14ac:dyDescent="0.25">
      <c r="A881" s="25">
        <f t="shared" si="130"/>
        <v>-1.3300000000001699</v>
      </c>
      <c r="B881" s="25">
        <f t="shared" ca="1" si="123"/>
        <v>-0.19376055121411376</v>
      </c>
      <c r="C881" s="25" t="e">
        <f t="shared" si="124"/>
        <v>#VALUE!</v>
      </c>
      <c r="D881" s="74" t="e">
        <f t="shared" si="125"/>
        <v>#VALUE!</v>
      </c>
      <c r="E881" s="25" t="e">
        <f t="shared" si="126"/>
        <v>#VALUE!</v>
      </c>
      <c r="F881" s="25" t="e">
        <f t="shared" ca="1" si="127"/>
        <v>#VALUE!</v>
      </c>
      <c r="G881" s="25"/>
      <c r="H881" s="25" t="e">
        <f t="shared" si="131"/>
        <v>#VALUE!</v>
      </c>
      <c r="I881" s="25">
        <f t="shared" si="128"/>
        <v>366.99999999998306</v>
      </c>
      <c r="J881" s="25" t="e">
        <f t="shared" si="129"/>
        <v>#VALUE!</v>
      </c>
    </row>
    <row r="882" spans="1:10" x14ac:dyDescent="0.25">
      <c r="A882" s="25">
        <f t="shared" si="130"/>
        <v>-1.3200000000001699</v>
      </c>
      <c r="B882" s="25">
        <f t="shared" ca="1" si="123"/>
        <v>-7.4670523386791893E-2</v>
      </c>
      <c r="C882" s="25" t="e">
        <f t="shared" si="124"/>
        <v>#VALUE!</v>
      </c>
      <c r="D882" s="74" t="e">
        <f t="shared" si="125"/>
        <v>#VALUE!</v>
      </c>
      <c r="E882" s="25" t="e">
        <f t="shared" si="126"/>
        <v>#VALUE!</v>
      </c>
      <c r="F882" s="25" t="e">
        <f t="shared" ca="1" si="127"/>
        <v>#VALUE!</v>
      </c>
      <c r="G882" s="25"/>
      <c r="H882" s="25" t="e">
        <f t="shared" si="131"/>
        <v>#VALUE!</v>
      </c>
      <c r="I882" s="25">
        <f t="shared" si="128"/>
        <v>367.999999999983</v>
      </c>
      <c r="J882" s="25" t="e">
        <f t="shared" si="129"/>
        <v>#VALUE!</v>
      </c>
    </row>
    <row r="883" spans="1:10" x14ac:dyDescent="0.25">
      <c r="A883" s="25">
        <f t="shared" si="130"/>
        <v>-1.3100000000001699</v>
      </c>
      <c r="B883" s="25">
        <f t="shared" ca="1" si="123"/>
        <v>-4.3534392916757321E-2</v>
      </c>
      <c r="C883" s="25" t="e">
        <f t="shared" si="124"/>
        <v>#VALUE!</v>
      </c>
      <c r="D883" s="74" t="e">
        <f t="shared" si="125"/>
        <v>#VALUE!</v>
      </c>
      <c r="E883" s="25" t="e">
        <f t="shared" si="126"/>
        <v>#VALUE!</v>
      </c>
      <c r="F883" s="25" t="e">
        <f t="shared" ca="1" si="127"/>
        <v>#VALUE!</v>
      </c>
      <c r="G883" s="25"/>
      <c r="H883" s="25" t="e">
        <f t="shared" si="131"/>
        <v>#VALUE!</v>
      </c>
      <c r="I883" s="25">
        <f t="shared" si="128"/>
        <v>368.999999999983</v>
      </c>
      <c r="J883" s="25" t="e">
        <f t="shared" si="129"/>
        <v>#VALUE!</v>
      </c>
    </row>
    <row r="884" spans="1:10" x14ac:dyDescent="0.25">
      <c r="A884" s="25">
        <f t="shared" si="130"/>
        <v>-1.3000000000001699</v>
      </c>
      <c r="B884" s="25">
        <f t="shared" ca="1" si="123"/>
        <v>-2.2354337120999813E-2</v>
      </c>
      <c r="C884" s="25" t="e">
        <f t="shared" si="124"/>
        <v>#VALUE!</v>
      </c>
      <c r="D884" s="74" t="e">
        <f t="shared" si="125"/>
        <v>#VALUE!</v>
      </c>
      <c r="E884" s="25" t="e">
        <f t="shared" si="126"/>
        <v>#VALUE!</v>
      </c>
      <c r="F884" s="25" t="e">
        <f t="shared" ca="1" si="127"/>
        <v>#VALUE!</v>
      </c>
      <c r="G884" s="25"/>
      <c r="H884" s="25" t="e">
        <f t="shared" si="131"/>
        <v>#VALUE!</v>
      </c>
      <c r="I884" s="25">
        <f t="shared" si="128"/>
        <v>369.999999999983</v>
      </c>
      <c r="J884" s="25" t="e">
        <f t="shared" si="129"/>
        <v>#VALUE!</v>
      </c>
    </row>
    <row r="885" spans="1:10" x14ac:dyDescent="0.25">
      <c r="A885" s="25">
        <f t="shared" si="130"/>
        <v>-1.2900000000001699</v>
      </c>
      <c r="B885" s="25">
        <f t="shared" ca="1" si="123"/>
        <v>5.1111519392297661E-2</v>
      </c>
      <c r="C885" s="25" t="e">
        <f t="shared" si="124"/>
        <v>#VALUE!</v>
      </c>
      <c r="D885" s="74" t="e">
        <f t="shared" si="125"/>
        <v>#VALUE!</v>
      </c>
      <c r="E885" s="25" t="e">
        <f t="shared" si="126"/>
        <v>#VALUE!</v>
      </c>
      <c r="F885" s="25" t="e">
        <f t="shared" ca="1" si="127"/>
        <v>#VALUE!</v>
      </c>
      <c r="G885" s="25"/>
      <c r="H885" s="25" t="e">
        <f t="shared" si="131"/>
        <v>#VALUE!</v>
      </c>
      <c r="I885" s="25">
        <f t="shared" si="128"/>
        <v>370.99999999998306</v>
      </c>
      <c r="J885" s="25" t="e">
        <f t="shared" si="129"/>
        <v>#VALUE!</v>
      </c>
    </row>
    <row r="886" spans="1:10" x14ac:dyDescent="0.25">
      <c r="A886" s="25">
        <f t="shared" si="130"/>
        <v>-1.2800000000001699</v>
      </c>
      <c r="B886" s="25">
        <f t="shared" ca="1" si="123"/>
        <v>9.6377108335879466E-2</v>
      </c>
      <c r="C886" s="25" t="e">
        <f t="shared" si="124"/>
        <v>#VALUE!</v>
      </c>
      <c r="D886" s="74" t="e">
        <f t="shared" si="125"/>
        <v>#VALUE!</v>
      </c>
      <c r="E886" s="25" t="e">
        <f t="shared" si="126"/>
        <v>#VALUE!</v>
      </c>
      <c r="F886" s="25" t="e">
        <f t="shared" ca="1" si="127"/>
        <v>#VALUE!</v>
      </c>
      <c r="G886" s="25"/>
      <c r="H886" s="25" t="e">
        <f t="shared" si="131"/>
        <v>#VALUE!</v>
      </c>
      <c r="I886" s="25">
        <f t="shared" si="128"/>
        <v>371.999999999983</v>
      </c>
      <c r="J886" s="25" t="e">
        <f t="shared" si="129"/>
        <v>#VALUE!</v>
      </c>
    </row>
    <row r="887" spans="1:10" x14ac:dyDescent="0.25">
      <c r="A887" s="25">
        <f t="shared" si="130"/>
        <v>-1.2700000000001699</v>
      </c>
      <c r="B887" s="25">
        <f t="shared" ca="1" si="123"/>
        <v>7.1565232892912459E-2</v>
      </c>
      <c r="C887" s="25" t="e">
        <f t="shared" si="124"/>
        <v>#VALUE!</v>
      </c>
      <c r="D887" s="74" t="e">
        <f t="shared" si="125"/>
        <v>#VALUE!</v>
      </c>
      <c r="E887" s="25" t="e">
        <f t="shared" si="126"/>
        <v>#VALUE!</v>
      </c>
      <c r="F887" s="25" t="e">
        <f t="shared" ca="1" si="127"/>
        <v>#VALUE!</v>
      </c>
      <c r="G887" s="25"/>
      <c r="H887" s="25" t="e">
        <f t="shared" si="131"/>
        <v>#VALUE!</v>
      </c>
      <c r="I887" s="25">
        <f t="shared" si="128"/>
        <v>372.999999999983</v>
      </c>
      <c r="J887" s="25" t="e">
        <f t="shared" si="129"/>
        <v>#VALUE!</v>
      </c>
    </row>
    <row r="888" spans="1:10" x14ac:dyDescent="0.25">
      <c r="A888" s="25">
        <f t="shared" si="130"/>
        <v>-1.2600000000001699</v>
      </c>
      <c r="B888" s="25">
        <f t="shared" ca="1" si="123"/>
        <v>-0.16559855272464954</v>
      </c>
      <c r="C888" s="25" t="e">
        <f t="shared" si="124"/>
        <v>#VALUE!</v>
      </c>
      <c r="D888" s="74" t="e">
        <f t="shared" si="125"/>
        <v>#VALUE!</v>
      </c>
      <c r="E888" s="25" t="e">
        <f t="shared" si="126"/>
        <v>#VALUE!</v>
      </c>
      <c r="F888" s="25" t="e">
        <f t="shared" ca="1" si="127"/>
        <v>#VALUE!</v>
      </c>
      <c r="G888" s="25"/>
      <c r="H888" s="25" t="e">
        <f t="shared" si="131"/>
        <v>#VALUE!</v>
      </c>
      <c r="I888" s="25">
        <f t="shared" si="128"/>
        <v>373.999999999983</v>
      </c>
      <c r="J888" s="25" t="e">
        <f t="shared" si="129"/>
        <v>#VALUE!</v>
      </c>
    </row>
    <row r="889" spans="1:10" x14ac:dyDescent="0.25">
      <c r="A889" s="25">
        <f t="shared" si="130"/>
        <v>-1.2500000000001699</v>
      </c>
      <c r="B889" s="25">
        <f t="shared" ca="1" si="123"/>
        <v>-0.11584984418892852</v>
      </c>
      <c r="C889" s="25" t="e">
        <f t="shared" si="124"/>
        <v>#VALUE!</v>
      </c>
      <c r="D889" s="74" t="e">
        <f t="shared" si="125"/>
        <v>#VALUE!</v>
      </c>
      <c r="E889" s="25" t="e">
        <f t="shared" si="126"/>
        <v>#VALUE!</v>
      </c>
      <c r="F889" s="25" t="e">
        <f t="shared" ca="1" si="127"/>
        <v>#VALUE!</v>
      </c>
      <c r="G889" s="25"/>
      <c r="H889" s="25" t="e">
        <f t="shared" si="131"/>
        <v>#VALUE!</v>
      </c>
      <c r="I889" s="25">
        <f t="shared" si="128"/>
        <v>374.99999999998306</v>
      </c>
      <c r="J889" s="25" t="e">
        <f t="shared" si="129"/>
        <v>#VALUE!</v>
      </c>
    </row>
    <row r="890" spans="1:10" x14ac:dyDescent="0.25">
      <c r="A890" s="25">
        <f t="shared" si="130"/>
        <v>-1.2400000000001699</v>
      </c>
      <c r="B890" s="25">
        <f t="shared" ca="1" si="123"/>
        <v>6.4959388205991037E-2</v>
      </c>
      <c r="C890" s="25" t="e">
        <f t="shared" si="124"/>
        <v>#VALUE!</v>
      </c>
      <c r="D890" s="74" t="e">
        <f t="shared" si="125"/>
        <v>#VALUE!</v>
      </c>
      <c r="E890" s="25" t="e">
        <f t="shared" si="126"/>
        <v>#VALUE!</v>
      </c>
      <c r="F890" s="25" t="e">
        <f t="shared" ca="1" si="127"/>
        <v>#VALUE!</v>
      </c>
      <c r="G890" s="25"/>
      <c r="H890" s="25" t="e">
        <f t="shared" si="131"/>
        <v>#VALUE!</v>
      </c>
      <c r="I890" s="25">
        <f t="shared" si="128"/>
        <v>375.999999999983</v>
      </c>
      <c r="J890" s="25" t="e">
        <f t="shared" si="129"/>
        <v>#VALUE!</v>
      </c>
    </row>
    <row r="891" spans="1:10" x14ac:dyDescent="0.25">
      <c r="A891" s="25">
        <f t="shared" si="130"/>
        <v>-1.2300000000001698</v>
      </c>
      <c r="B891" s="25">
        <f t="shared" ca="1" si="123"/>
        <v>-8.148691181455163E-2</v>
      </c>
      <c r="C891" s="25" t="e">
        <f t="shared" si="124"/>
        <v>#VALUE!</v>
      </c>
      <c r="D891" s="74" t="e">
        <f t="shared" si="125"/>
        <v>#VALUE!</v>
      </c>
      <c r="E891" s="25" t="e">
        <f t="shared" si="126"/>
        <v>#VALUE!</v>
      </c>
      <c r="F891" s="25" t="e">
        <f t="shared" ca="1" si="127"/>
        <v>#VALUE!</v>
      </c>
      <c r="G891" s="25"/>
      <c r="H891" s="25" t="e">
        <f t="shared" si="131"/>
        <v>#VALUE!</v>
      </c>
      <c r="I891" s="25">
        <f t="shared" si="128"/>
        <v>376.999999999983</v>
      </c>
      <c r="J891" s="25" t="e">
        <f t="shared" si="129"/>
        <v>#VALUE!</v>
      </c>
    </row>
    <row r="892" spans="1:10" x14ac:dyDescent="0.25">
      <c r="A892" s="25">
        <f t="shared" si="130"/>
        <v>-1.2200000000001698</v>
      </c>
      <c r="B892" s="25">
        <f t="shared" ca="1" si="123"/>
        <v>4.6450798702675385E-2</v>
      </c>
      <c r="C892" s="25" t="e">
        <f t="shared" si="124"/>
        <v>#VALUE!</v>
      </c>
      <c r="D892" s="74" t="e">
        <f t="shared" si="125"/>
        <v>#VALUE!</v>
      </c>
      <c r="E892" s="25" t="e">
        <f t="shared" si="126"/>
        <v>#VALUE!</v>
      </c>
      <c r="F892" s="25" t="e">
        <f t="shared" ca="1" si="127"/>
        <v>#VALUE!</v>
      </c>
      <c r="G892" s="25"/>
      <c r="H892" s="25" t="e">
        <f t="shared" si="131"/>
        <v>#VALUE!</v>
      </c>
      <c r="I892" s="25">
        <f t="shared" si="128"/>
        <v>377.99999999998306</v>
      </c>
      <c r="J892" s="25" t="e">
        <f t="shared" si="129"/>
        <v>#VALUE!</v>
      </c>
    </row>
    <row r="893" spans="1:10" x14ac:dyDescent="0.25">
      <c r="A893" s="25">
        <f t="shared" si="130"/>
        <v>-1.2100000000001698</v>
      </c>
      <c r="B893" s="25">
        <f t="shared" ca="1" si="123"/>
        <v>-0.16151726108313436</v>
      </c>
      <c r="C893" s="25" t="e">
        <f t="shared" si="124"/>
        <v>#VALUE!</v>
      </c>
      <c r="D893" s="74" t="e">
        <f t="shared" si="125"/>
        <v>#VALUE!</v>
      </c>
      <c r="E893" s="25" t="e">
        <f t="shared" si="126"/>
        <v>#VALUE!</v>
      </c>
      <c r="F893" s="25" t="e">
        <f t="shared" ca="1" si="127"/>
        <v>#VALUE!</v>
      </c>
      <c r="G893" s="25"/>
      <c r="H893" s="25" t="e">
        <f t="shared" si="131"/>
        <v>#VALUE!</v>
      </c>
      <c r="I893" s="25">
        <f t="shared" si="128"/>
        <v>378.99999999998306</v>
      </c>
      <c r="J893" s="25" t="e">
        <f t="shared" si="129"/>
        <v>#VALUE!</v>
      </c>
    </row>
    <row r="894" spans="1:10" x14ac:dyDescent="0.25">
      <c r="A894" s="25">
        <f t="shared" si="130"/>
        <v>-1.2000000000001698</v>
      </c>
      <c r="B894" s="25">
        <f t="shared" ca="1" si="123"/>
        <v>4.7440133315887062E-2</v>
      </c>
      <c r="C894" s="25" t="e">
        <f t="shared" si="124"/>
        <v>#VALUE!</v>
      </c>
      <c r="D894" s="74" t="e">
        <f t="shared" si="125"/>
        <v>#VALUE!</v>
      </c>
      <c r="E894" s="25" t="e">
        <f t="shared" si="126"/>
        <v>#VALUE!</v>
      </c>
      <c r="F894" s="25" t="e">
        <f t="shared" ca="1" si="127"/>
        <v>#VALUE!</v>
      </c>
      <c r="G894" s="25"/>
      <c r="H894" s="25" t="e">
        <f t="shared" si="131"/>
        <v>#VALUE!</v>
      </c>
      <c r="I894" s="25">
        <f t="shared" si="128"/>
        <v>379.99999999998306</v>
      </c>
      <c r="J894" s="25" t="e">
        <f t="shared" si="129"/>
        <v>#VALUE!</v>
      </c>
    </row>
    <row r="895" spans="1:10" x14ac:dyDescent="0.25">
      <c r="A895" s="25">
        <f t="shared" si="130"/>
        <v>-1.1900000000001698</v>
      </c>
      <c r="B895" s="25">
        <f t="shared" ca="1" si="123"/>
        <v>1.171777078099733E-2</v>
      </c>
      <c r="C895" s="25" t="e">
        <f t="shared" si="124"/>
        <v>#VALUE!</v>
      </c>
      <c r="D895" s="74" t="e">
        <f t="shared" si="125"/>
        <v>#VALUE!</v>
      </c>
      <c r="E895" s="25" t="e">
        <f t="shared" si="126"/>
        <v>#VALUE!</v>
      </c>
      <c r="F895" s="25" t="e">
        <f t="shared" ca="1" si="127"/>
        <v>#VALUE!</v>
      </c>
      <c r="G895" s="25"/>
      <c r="H895" s="25" t="e">
        <f t="shared" si="131"/>
        <v>#VALUE!</v>
      </c>
      <c r="I895" s="25">
        <f t="shared" si="128"/>
        <v>380.999999999983</v>
      </c>
      <c r="J895" s="25" t="e">
        <f t="shared" si="129"/>
        <v>#VALUE!</v>
      </c>
    </row>
    <row r="896" spans="1:10" x14ac:dyDescent="0.25">
      <c r="A896" s="25">
        <f t="shared" si="130"/>
        <v>-1.1800000000001698</v>
      </c>
      <c r="B896" s="25">
        <f t="shared" ca="1" si="123"/>
        <v>-9.2995683841642099E-2</v>
      </c>
      <c r="C896" s="25" t="e">
        <f t="shared" si="124"/>
        <v>#VALUE!</v>
      </c>
      <c r="D896" s="74" t="e">
        <f t="shared" si="125"/>
        <v>#VALUE!</v>
      </c>
      <c r="E896" s="25" t="e">
        <f t="shared" si="126"/>
        <v>#VALUE!</v>
      </c>
      <c r="F896" s="25" t="e">
        <f t="shared" ca="1" si="127"/>
        <v>#VALUE!</v>
      </c>
      <c r="G896" s="25"/>
      <c r="H896" s="25" t="e">
        <f t="shared" si="131"/>
        <v>#VALUE!</v>
      </c>
      <c r="I896" s="25">
        <f t="shared" si="128"/>
        <v>381.99999999998306</v>
      </c>
      <c r="J896" s="25" t="e">
        <f t="shared" si="129"/>
        <v>#VALUE!</v>
      </c>
    </row>
    <row r="897" spans="1:10" x14ac:dyDescent="0.25">
      <c r="A897" s="25">
        <f t="shared" si="130"/>
        <v>-1.1700000000001698</v>
      </c>
      <c r="B897" s="25">
        <f t="shared" ca="1" si="123"/>
        <v>5.1661959620312531E-2</v>
      </c>
      <c r="C897" s="25" t="e">
        <f t="shared" si="124"/>
        <v>#VALUE!</v>
      </c>
      <c r="D897" s="74" t="e">
        <f t="shared" si="125"/>
        <v>#VALUE!</v>
      </c>
      <c r="E897" s="25" t="e">
        <f t="shared" si="126"/>
        <v>#VALUE!</v>
      </c>
      <c r="F897" s="25" t="e">
        <f t="shared" ca="1" si="127"/>
        <v>#VALUE!</v>
      </c>
      <c r="G897" s="25"/>
      <c r="H897" s="25" t="e">
        <f t="shared" si="131"/>
        <v>#VALUE!</v>
      </c>
      <c r="I897" s="25">
        <f t="shared" si="128"/>
        <v>382.99999999998306</v>
      </c>
      <c r="J897" s="25" t="e">
        <f t="shared" si="129"/>
        <v>#VALUE!</v>
      </c>
    </row>
    <row r="898" spans="1:10" x14ac:dyDescent="0.25">
      <c r="A898" s="25">
        <f t="shared" si="130"/>
        <v>-1.1600000000001698</v>
      </c>
      <c r="B898" s="25">
        <f t="shared" ca="1" si="123"/>
        <v>7.0473138453160528E-2</v>
      </c>
      <c r="C898" s="25" t="e">
        <f t="shared" si="124"/>
        <v>#VALUE!</v>
      </c>
      <c r="D898" s="74" t="e">
        <f t="shared" si="125"/>
        <v>#VALUE!</v>
      </c>
      <c r="E898" s="25" t="e">
        <f t="shared" si="126"/>
        <v>#VALUE!</v>
      </c>
      <c r="F898" s="25" t="e">
        <f t="shared" ca="1" si="127"/>
        <v>#VALUE!</v>
      </c>
      <c r="G898" s="25"/>
      <c r="H898" s="25" t="e">
        <f t="shared" si="131"/>
        <v>#VALUE!</v>
      </c>
      <c r="I898" s="25">
        <f t="shared" si="128"/>
        <v>383.99999999998306</v>
      </c>
      <c r="J898" s="25" t="e">
        <f t="shared" si="129"/>
        <v>#VALUE!</v>
      </c>
    </row>
    <row r="899" spans="1:10" x14ac:dyDescent="0.25">
      <c r="A899" s="25">
        <f t="shared" si="130"/>
        <v>-1.1500000000001698</v>
      </c>
      <c r="B899" s="25">
        <f t="shared" ca="1" si="123"/>
        <v>-2.5056529859668969E-2</v>
      </c>
      <c r="C899" s="25" t="e">
        <f t="shared" si="124"/>
        <v>#VALUE!</v>
      </c>
      <c r="D899" s="74" t="e">
        <f t="shared" si="125"/>
        <v>#VALUE!</v>
      </c>
      <c r="E899" s="25" t="e">
        <f t="shared" si="126"/>
        <v>#VALUE!</v>
      </c>
      <c r="F899" s="25" t="e">
        <f t="shared" ca="1" si="127"/>
        <v>#VALUE!</v>
      </c>
      <c r="G899" s="25"/>
      <c r="H899" s="25" t="e">
        <f t="shared" si="131"/>
        <v>#VALUE!</v>
      </c>
      <c r="I899" s="25">
        <f t="shared" si="128"/>
        <v>384.999999999983</v>
      </c>
      <c r="J899" s="25" t="e">
        <f t="shared" si="129"/>
        <v>#VALUE!</v>
      </c>
    </row>
    <row r="900" spans="1:10" x14ac:dyDescent="0.25">
      <c r="A900" s="25">
        <f t="shared" si="130"/>
        <v>-1.1400000000001698</v>
      </c>
      <c r="B900" s="25">
        <f t="shared" ca="1" si="123"/>
        <v>7.2920657567405248E-2</v>
      </c>
      <c r="C900" s="25" t="e">
        <f t="shared" si="124"/>
        <v>#VALUE!</v>
      </c>
      <c r="D900" s="74" t="e">
        <f t="shared" si="125"/>
        <v>#VALUE!</v>
      </c>
      <c r="E900" s="25" t="e">
        <f t="shared" si="126"/>
        <v>#VALUE!</v>
      </c>
      <c r="F900" s="25" t="e">
        <f t="shared" ca="1" si="127"/>
        <v>#VALUE!</v>
      </c>
      <c r="G900" s="25"/>
      <c r="H900" s="25" t="e">
        <f t="shared" si="131"/>
        <v>#VALUE!</v>
      </c>
      <c r="I900" s="25">
        <f t="shared" si="128"/>
        <v>385.99999999998306</v>
      </c>
      <c r="J900" s="25" t="e">
        <f t="shared" si="129"/>
        <v>#VALUE!</v>
      </c>
    </row>
    <row r="901" spans="1:10" x14ac:dyDescent="0.25">
      <c r="A901" s="25">
        <f t="shared" si="130"/>
        <v>-1.1300000000001698</v>
      </c>
      <c r="B901" s="25">
        <f t="shared" ca="1" si="123"/>
        <v>0.11424927000547158</v>
      </c>
      <c r="C901" s="25" t="e">
        <f t="shared" si="124"/>
        <v>#VALUE!</v>
      </c>
      <c r="D901" s="74" t="e">
        <f t="shared" si="125"/>
        <v>#VALUE!</v>
      </c>
      <c r="E901" s="25" t="e">
        <f t="shared" si="126"/>
        <v>#VALUE!</v>
      </c>
      <c r="F901" s="25" t="e">
        <f t="shared" ca="1" si="127"/>
        <v>#VALUE!</v>
      </c>
      <c r="G901" s="25"/>
      <c r="H901" s="25" t="e">
        <f t="shared" si="131"/>
        <v>#VALUE!</v>
      </c>
      <c r="I901" s="25">
        <f t="shared" si="128"/>
        <v>386.99999999998306</v>
      </c>
      <c r="J901" s="25" t="e">
        <f t="shared" si="129"/>
        <v>#VALUE!</v>
      </c>
    </row>
    <row r="902" spans="1:10" x14ac:dyDescent="0.25">
      <c r="A902" s="25">
        <f t="shared" si="130"/>
        <v>-1.1200000000001697</v>
      </c>
      <c r="B902" s="25">
        <f t="shared" ca="1" si="123"/>
        <v>-0.19676911050107582</v>
      </c>
      <c r="C902" s="25" t="e">
        <f t="shared" si="124"/>
        <v>#VALUE!</v>
      </c>
      <c r="D902" s="74" t="e">
        <f t="shared" si="125"/>
        <v>#VALUE!</v>
      </c>
      <c r="E902" s="25" t="e">
        <f t="shared" si="126"/>
        <v>#VALUE!</v>
      </c>
      <c r="F902" s="25" t="e">
        <f t="shared" ca="1" si="127"/>
        <v>#VALUE!</v>
      </c>
      <c r="G902" s="25"/>
      <c r="H902" s="25" t="e">
        <f t="shared" si="131"/>
        <v>#VALUE!</v>
      </c>
      <c r="I902" s="25">
        <f t="shared" si="128"/>
        <v>387.99999999998306</v>
      </c>
      <c r="J902" s="25" t="e">
        <f t="shared" si="129"/>
        <v>#VALUE!</v>
      </c>
    </row>
    <row r="903" spans="1:10" x14ac:dyDescent="0.25">
      <c r="A903" s="25">
        <f t="shared" si="130"/>
        <v>-1.1100000000001697</v>
      </c>
      <c r="B903" s="25">
        <f t="shared" ca="1" si="123"/>
        <v>5.182881292454173E-2</v>
      </c>
      <c r="C903" s="25" t="e">
        <f t="shared" si="124"/>
        <v>#VALUE!</v>
      </c>
      <c r="D903" s="74" t="e">
        <f t="shared" si="125"/>
        <v>#VALUE!</v>
      </c>
      <c r="E903" s="25" t="e">
        <f t="shared" si="126"/>
        <v>#VALUE!</v>
      </c>
      <c r="F903" s="25" t="e">
        <f t="shared" ca="1" si="127"/>
        <v>#VALUE!</v>
      </c>
      <c r="G903" s="25"/>
      <c r="H903" s="25" t="e">
        <f t="shared" si="131"/>
        <v>#VALUE!</v>
      </c>
      <c r="I903" s="25">
        <f t="shared" si="128"/>
        <v>388.999999999983</v>
      </c>
      <c r="J903" s="25" t="e">
        <f t="shared" si="129"/>
        <v>#VALUE!</v>
      </c>
    </row>
    <row r="904" spans="1:10" x14ac:dyDescent="0.25">
      <c r="A904" s="25">
        <f t="shared" si="130"/>
        <v>-1.1000000000001697</v>
      </c>
      <c r="B904" s="25">
        <f t="shared" ca="1" si="123"/>
        <v>-9.2230508756765708E-2</v>
      </c>
      <c r="C904" s="25" t="e">
        <f t="shared" si="124"/>
        <v>#VALUE!</v>
      </c>
      <c r="D904" s="74" t="e">
        <f t="shared" si="125"/>
        <v>#VALUE!</v>
      </c>
      <c r="E904" s="25" t="e">
        <f t="shared" si="126"/>
        <v>#VALUE!</v>
      </c>
      <c r="F904" s="25" t="e">
        <f t="shared" ca="1" si="127"/>
        <v>#VALUE!</v>
      </c>
      <c r="G904" s="25"/>
      <c r="H904" s="25" t="e">
        <f t="shared" si="131"/>
        <v>#VALUE!</v>
      </c>
      <c r="I904" s="25">
        <f t="shared" si="128"/>
        <v>389.99999999998306</v>
      </c>
      <c r="J904" s="25" t="e">
        <f t="shared" si="129"/>
        <v>#VALUE!</v>
      </c>
    </row>
    <row r="905" spans="1:10" x14ac:dyDescent="0.25">
      <c r="A905" s="25">
        <f t="shared" si="130"/>
        <v>-1.0900000000001697</v>
      </c>
      <c r="B905" s="25">
        <f t="shared" ca="1" si="123"/>
        <v>-2.9454901915880894E-2</v>
      </c>
      <c r="C905" s="25" t="e">
        <f t="shared" si="124"/>
        <v>#VALUE!</v>
      </c>
      <c r="D905" s="74" t="e">
        <f t="shared" si="125"/>
        <v>#VALUE!</v>
      </c>
      <c r="E905" s="25" t="e">
        <f t="shared" si="126"/>
        <v>#VALUE!</v>
      </c>
      <c r="F905" s="25" t="e">
        <f t="shared" ca="1" si="127"/>
        <v>#VALUE!</v>
      </c>
      <c r="G905" s="25"/>
      <c r="H905" s="25" t="e">
        <f t="shared" si="131"/>
        <v>#VALUE!</v>
      </c>
      <c r="I905" s="25">
        <f t="shared" si="128"/>
        <v>390.99999999998306</v>
      </c>
      <c r="J905" s="25" t="e">
        <f t="shared" si="129"/>
        <v>#VALUE!</v>
      </c>
    </row>
    <row r="906" spans="1:10" x14ac:dyDescent="0.25">
      <c r="A906" s="25">
        <f t="shared" si="130"/>
        <v>-1.0800000000001697</v>
      </c>
      <c r="B906" s="25">
        <f t="shared" ca="1" si="123"/>
        <v>0.11013725592218666</v>
      </c>
      <c r="C906" s="25" t="e">
        <f t="shared" si="124"/>
        <v>#VALUE!</v>
      </c>
      <c r="D906" s="74" t="e">
        <f t="shared" si="125"/>
        <v>#VALUE!</v>
      </c>
      <c r="E906" s="25" t="e">
        <f t="shared" si="126"/>
        <v>#VALUE!</v>
      </c>
      <c r="F906" s="25" t="e">
        <f t="shared" ca="1" si="127"/>
        <v>#VALUE!</v>
      </c>
      <c r="G906" s="25"/>
      <c r="H906" s="25" t="e">
        <f t="shared" si="131"/>
        <v>#VALUE!</v>
      </c>
      <c r="I906" s="25">
        <f t="shared" si="128"/>
        <v>391.99999999998306</v>
      </c>
      <c r="J906" s="25" t="e">
        <f t="shared" si="129"/>
        <v>#VALUE!</v>
      </c>
    </row>
    <row r="907" spans="1:10" x14ac:dyDescent="0.25">
      <c r="A907" s="25">
        <f t="shared" si="130"/>
        <v>-1.0700000000001697</v>
      </c>
      <c r="B907" s="25">
        <f t="shared" ca="1" si="123"/>
        <v>-0.13818749111909845</v>
      </c>
      <c r="C907" s="25" t="e">
        <f t="shared" si="124"/>
        <v>#VALUE!</v>
      </c>
      <c r="D907" s="74" t="e">
        <f t="shared" si="125"/>
        <v>#VALUE!</v>
      </c>
      <c r="E907" s="25" t="e">
        <f t="shared" si="126"/>
        <v>#VALUE!</v>
      </c>
      <c r="F907" s="25" t="e">
        <f t="shared" ca="1" si="127"/>
        <v>#VALUE!</v>
      </c>
      <c r="G907" s="25"/>
      <c r="H907" s="25" t="e">
        <f t="shared" si="131"/>
        <v>#VALUE!</v>
      </c>
      <c r="I907" s="25">
        <f t="shared" si="128"/>
        <v>392.999999999983</v>
      </c>
      <c r="J907" s="25" t="e">
        <f t="shared" si="129"/>
        <v>#VALUE!</v>
      </c>
    </row>
    <row r="908" spans="1:10" x14ac:dyDescent="0.25">
      <c r="A908" s="25">
        <f t="shared" si="130"/>
        <v>-1.0600000000001697</v>
      </c>
      <c r="B908" s="25">
        <f t="shared" ca="1" si="123"/>
        <v>-0.11577406023302432</v>
      </c>
      <c r="C908" s="25" t="e">
        <f t="shared" si="124"/>
        <v>#VALUE!</v>
      </c>
      <c r="D908" s="74" t="e">
        <f t="shared" si="125"/>
        <v>#VALUE!</v>
      </c>
      <c r="E908" s="25" t="e">
        <f t="shared" si="126"/>
        <v>#VALUE!</v>
      </c>
      <c r="F908" s="25" t="e">
        <f t="shared" ca="1" si="127"/>
        <v>#VALUE!</v>
      </c>
      <c r="G908" s="25"/>
      <c r="H908" s="25" t="e">
        <f t="shared" si="131"/>
        <v>#VALUE!</v>
      </c>
      <c r="I908" s="25">
        <f t="shared" si="128"/>
        <v>393.99999999998306</v>
      </c>
      <c r="J908" s="25" t="e">
        <f t="shared" si="129"/>
        <v>#VALUE!</v>
      </c>
    </row>
    <row r="909" spans="1:10" x14ac:dyDescent="0.25">
      <c r="A909" s="25">
        <f t="shared" si="130"/>
        <v>-1.0500000000001697</v>
      </c>
      <c r="B909" s="25">
        <f t="shared" ca="1" si="123"/>
        <v>-7.5847874398475817E-2</v>
      </c>
      <c r="C909" s="25" t="e">
        <f t="shared" si="124"/>
        <v>#VALUE!</v>
      </c>
      <c r="D909" s="74" t="e">
        <f t="shared" si="125"/>
        <v>#VALUE!</v>
      </c>
      <c r="E909" s="25" t="e">
        <f t="shared" si="126"/>
        <v>#VALUE!</v>
      </c>
      <c r="F909" s="25" t="e">
        <f t="shared" ca="1" si="127"/>
        <v>#VALUE!</v>
      </c>
      <c r="G909" s="25"/>
      <c r="H909" s="25" t="e">
        <f t="shared" si="131"/>
        <v>#VALUE!</v>
      </c>
      <c r="I909" s="25">
        <f t="shared" si="128"/>
        <v>394.99999999998306</v>
      </c>
      <c r="J909" s="25" t="e">
        <f t="shared" si="129"/>
        <v>#VALUE!</v>
      </c>
    </row>
    <row r="910" spans="1:10" x14ac:dyDescent="0.25">
      <c r="A910" s="25">
        <f t="shared" si="130"/>
        <v>-1.0400000000001697</v>
      </c>
      <c r="B910" s="25">
        <f t="shared" ref="B910:B973" ca="1" si="132">(RAND()-0.5-$B$7)/$B$5</f>
        <v>2.1795278137000246E-2</v>
      </c>
      <c r="C910" s="25" t="e">
        <f t="shared" ref="C910:C973" si="133">IF(ABS(A910)&lt;=($D$3/2),1,IF(ABS(A910)&lt;=($B$4/2),IF(A910&gt;0,A910*(4/(1-2*$B$4))+(2*$B$4/(2*$B$4-1)),(-A910*(4/(1-2*$B$4))+(2*$B$4/(2*$B$4-1)))),0))</f>
        <v>#VALUE!</v>
      </c>
      <c r="D910" s="74" t="e">
        <f t="shared" ref="D910:D973" si="134">IF(ABS(A910)&lt;=($D$3/4+$B$4/4),1,IF(ABS(A910)&lt;=($B$4/2),(IF(A910&gt;0,A910*(8/(1-2*$B$4))+(4*$B$4)/(2*$B$4-1),(-A910*(8/(1-2*$B$4))+(4*$B$4)/(2*$B$4-1)))),0))</f>
        <v>#VALUE!</v>
      </c>
      <c r="E910" s="25" t="e">
        <f t="shared" ref="E910:E973" si="135">IF(ABS(A910)&lt;($B$4/2), 1, 0)</f>
        <v>#VALUE!</v>
      </c>
      <c r="F910" s="25" t="e">
        <f t="shared" ref="F910:F973" ca="1" si="136">C910+B910</f>
        <v>#VALUE!</v>
      </c>
      <c r="G910" s="25"/>
      <c r="H910" s="25" t="e">
        <f t="shared" si="131"/>
        <v>#VALUE!</v>
      </c>
      <c r="I910" s="25">
        <f t="shared" ref="I910:I973" si="137">$I$3*(A910-$G$3)/($H$3-$G$3)</f>
        <v>395.99999999998306</v>
      </c>
      <c r="J910" s="25" t="e">
        <f t="shared" ref="J910:J973" si="138">H910</f>
        <v>#VALUE!</v>
      </c>
    </row>
    <row r="911" spans="1:10" x14ac:dyDescent="0.25">
      <c r="A911" s="25">
        <f t="shared" ref="A911:A974" si="139">A910+0.01</f>
        <v>-1.0300000000001697</v>
      </c>
      <c r="B911" s="25">
        <f t="shared" ca="1" si="132"/>
        <v>-3.6414480078959539E-2</v>
      </c>
      <c r="C911" s="25" t="e">
        <f t="shared" si="133"/>
        <v>#VALUE!</v>
      </c>
      <c r="D911" s="74" t="e">
        <f t="shared" si="134"/>
        <v>#VALUE!</v>
      </c>
      <c r="E911" s="25" t="e">
        <f t="shared" si="135"/>
        <v>#VALUE!</v>
      </c>
      <c r="F911" s="25" t="e">
        <f t="shared" ca="1" si="136"/>
        <v>#VALUE!</v>
      </c>
      <c r="G911" s="25"/>
      <c r="H911" s="25" t="e">
        <f t="shared" si="131"/>
        <v>#VALUE!</v>
      </c>
      <c r="I911" s="25">
        <f t="shared" si="137"/>
        <v>396.999999999983</v>
      </c>
      <c r="J911" s="25" t="e">
        <f t="shared" si="138"/>
        <v>#VALUE!</v>
      </c>
    </row>
    <row r="912" spans="1:10" x14ac:dyDescent="0.25">
      <c r="A912" s="25">
        <f t="shared" si="139"/>
        <v>-1.0200000000001697</v>
      </c>
      <c r="B912" s="25">
        <f t="shared" ca="1" si="132"/>
        <v>-0.18163172873759104</v>
      </c>
      <c r="C912" s="25" t="e">
        <f t="shared" si="133"/>
        <v>#VALUE!</v>
      </c>
      <c r="D912" s="74" t="e">
        <f t="shared" si="134"/>
        <v>#VALUE!</v>
      </c>
      <c r="E912" s="25" t="e">
        <f t="shared" si="135"/>
        <v>#VALUE!</v>
      </c>
      <c r="F912" s="25" t="e">
        <f t="shared" ca="1" si="136"/>
        <v>#VALUE!</v>
      </c>
      <c r="G912" s="25"/>
      <c r="H912" s="25" t="e">
        <f t="shared" si="131"/>
        <v>#VALUE!</v>
      </c>
      <c r="I912" s="25">
        <f t="shared" si="137"/>
        <v>397.99999999998306</v>
      </c>
      <c r="J912" s="25" t="e">
        <f t="shared" si="138"/>
        <v>#VALUE!</v>
      </c>
    </row>
    <row r="913" spans="1:10" x14ac:dyDescent="0.25">
      <c r="A913" s="25">
        <f t="shared" si="139"/>
        <v>-1.0100000000001697</v>
      </c>
      <c r="B913" s="25">
        <f t="shared" ca="1" si="132"/>
        <v>0.1300432039809338</v>
      </c>
      <c r="C913" s="25" t="e">
        <f t="shared" si="133"/>
        <v>#VALUE!</v>
      </c>
      <c r="D913" s="74" t="e">
        <f t="shared" si="134"/>
        <v>#VALUE!</v>
      </c>
      <c r="E913" s="25" t="e">
        <f t="shared" si="135"/>
        <v>#VALUE!</v>
      </c>
      <c r="F913" s="25" t="e">
        <f t="shared" ca="1" si="136"/>
        <v>#VALUE!</v>
      </c>
      <c r="G913" s="25"/>
      <c r="H913" s="25" t="e">
        <f t="shared" si="131"/>
        <v>#VALUE!</v>
      </c>
      <c r="I913" s="25">
        <f t="shared" si="137"/>
        <v>398.99999999998306</v>
      </c>
      <c r="J913" s="25" t="e">
        <f t="shared" si="138"/>
        <v>#VALUE!</v>
      </c>
    </row>
    <row r="914" spans="1:10" x14ac:dyDescent="0.25">
      <c r="A914" s="25">
        <f t="shared" si="139"/>
        <v>-1.0000000000001696</v>
      </c>
      <c r="B914" s="25">
        <f t="shared" ca="1" si="132"/>
        <v>5.0156080025824272E-2</v>
      </c>
      <c r="C914" s="25" t="e">
        <f t="shared" si="133"/>
        <v>#VALUE!</v>
      </c>
      <c r="D914" s="74" t="e">
        <f t="shared" si="134"/>
        <v>#VALUE!</v>
      </c>
      <c r="E914" s="25" t="e">
        <f t="shared" si="135"/>
        <v>#VALUE!</v>
      </c>
      <c r="F914" s="25" t="e">
        <f t="shared" ca="1" si="136"/>
        <v>#VALUE!</v>
      </c>
      <c r="G914" s="25"/>
      <c r="H914" s="25" t="e">
        <f t="shared" si="131"/>
        <v>#VALUE!</v>
      </c>
      <c r="I914" s="25">
        <f t="shared" si="137"/>
        <v>399.99999999998306</v>
      </c>
      <c r="J914" s="25" t="e">
        <f t="shared" si="138"/>
        <v>#VALUE!</v>
      </c>
    </row>
    <row r="915" spans="1:10" x14ac:dyDescent="0.25">
      <c r="A915" s="25">
        <f t="shared" si="139"/>
        <v>-0.99000000000016963</v>
      </c>
      <c r="B915" s="25">
        <f t="shared" ca="1" si="132"/>
        <v>0.10479189809484472</v>
      </c>
      <c r="C915" s="25" t="e">
        <f t="shared" si="133"/>
        <v>#VALUE!</v>
      </c>
      <c r="D915" s="74" t="e">
        <f t="shared" si="134"/>
        <v>#VALUE!</v>
      </c>
      <c r="E915" s="25" t="e">
        <f t="shared" si="135"/>
        <v>#VALUE!</v>
      </c>
      <c r="F915" s="25" t="e">
        <f t="shared" ca="1" si="136"/>
        <v>#VALUE!</v>
      </c>
      <c r="G915" s="25"/>
      <c r="H915" s="25" t="e">
        <f t="shared" si="131"/>
        <v>#VALUE!</v>
      </c>
      <c r="I915" s="25">
        <f t="shared" si="137"/>
        <v>400.999999999983</v>
      </c>
      <c r="J915" s="25" t="e">
        <f t="shared" si="138"/>
        <v>#VALUE!</v>
      </c>
    </row>
    <row r="916" spans="1:10" x14ac:dyDescent="0.25">
      <c r="A916" s="25">
        <f t="shared" si="139"/>
        <v>-0.98000000000016962</v>
      </c>
      <c r="B916" s="25">
        <f t="shared" ca="1" si="132"/>
        <v>-7.9732206674377568E-2</v>
      </c>
      <c r="C916" s="25" t="e">
        <f t="shared" si="133"/>
        <v>#VALUE!</v>
      </c>
      <c r="D916" s="74" t="e">
        <f t="shared" si="134"/>
        <v>#VALUE!</v>
      </c>
      <c r="E916" s="25" t="e">
        <f t="shared" si="135"/>
        <v>#VALUE!</v>
      </c>
      <c r="F916" s="25" t="e">
        <f t="shared" ca="1" si="136"/>
        <v>#VALUE!</v>
      </c>
      <c r="G916" s="25"/>
      <c r="H916" s="25" t="e">
        <f t="shared" si="131"/>
        <v>#VALUE!</v>
      </c>
      <c r="I916" s="25">
        <f t="shared" si="137"/>
        <v>401.99999999998306</v>
      </c>
      <c r="J916" s="25" t="e">
        <f t="shared" si="138"/>
        <v>#VALUE!</v>
      </c>
    </row>
    <row r="917" spans="1:10" x14ac:dyDescent="0.25">
      <c r="A917" s="25">
        <f t="shared" si="139"/>
        <v>-0.97000000000016962</v>
      </c>
      <c r="B917" s="25">
        <f t="shared" ca="1" si="132"/>
        <v>-0.12564929073897566</v>
      </c>
      <c r="C917" s="25" t="e">
        <f t="shared" si="133"/>
        <v>#VALUE!</v>
      </c>
      <c r="D917" s="74" t="e">
        <f t="shared" si="134"/>
        <v>#VALUE!</v>
      </c>
      <c r="E917" s="25" t="e">
        <f t="shared" si="135"/>
        <v>#VALUE!</v>
      </c>
      <c r="F917" s="25" t="e">
        <f t="shared" ca="1" si="136"/>
        <v>#VALUE!</v>
      </c>
      <c r="G917" s="25"/>
      <c r="H917" s="25" t="e">
        <f t="shared" si="131"/>
        <v>#VALUE!</v>
      </c>
      <c r="I917" s="25">
        <f t="shared" si="137"/>
        <v>402.99999999998306</v>
      </c>
      <c r="J917" s="25" t="e">
        <f t="shared" si="138"/>
        <v>#VALUE!</v>
      </c>
    </row>
    <row r="918" spans="1:10" x14ac:dyDescent="0.25">
      <c r="A918" s="25">
        <f t="shared" si="139"/>
        <v>-0.96000000000016961</v>
      </c>
      <c r="B918" s="25">
        <f t="shared" ca="1" si="132"/>
        <v>0.11567324951728641</v>
      </c>
      <c r="C918" s="25" t="e">
        <f t="shared" si="133"/>
        <v>#VALUE!</v>
      </c>
      <c r="D918" s="74" t="e">
        <f t="shared" si="134"/>
        <v>#VALUE!</v>
      </c>
      <c r="E918" s="25" t="e">
        <f t="shared" si="135"/>
        <v>#VALUE!</v>
      </c>
      <c r="F918" s="25" t="e">
        <f t="shared" ca="1" si="136"/>
        <v>#VALUE!</v>
      </c>
      <c r="G918" s="25"/>
      <c r="H918" s="25" t="e">
        <f t="shared" si="131"/>
        <v>#VALUE!</v>
      </c>
      <c r="I918" s="25">
        <f t="shared" si="137"/>
        <v>403.99999999998306</v>
      </c>
      <c r="J918" s="25" t="e">
        <f t="shared" si="138"/>
        <v>#VALUE!</v>
      </c>
    </row>
    <row r="919" spans="1:10" x14ac:dyDescent="0.25">
      <c r="A919" s="25">
        <f t="shared" si="139"/>
        <v>-0.9500000000001696</v>
      </c>
      <c r="B919" s="25">
        <f t="shared" ca="1" si="132"/>
        <v>-9.2517950906377197E-2</v>
      </c>
      <c r="C919" s="25" t="e">
        <f t="shared" si="133"/>
        <v>#VALUE!</v>
      </c>
      <c r="D919" s="74" t="e">
        <f t="shared" si="134"/>
        <v>#VALUE!</v>
      </c>
      <c r="E919" s="25" t="e">
        <f t="shared" si="135"/>
        <v>#VALUE!</v>
      </c>
      <c r="F919" s="25" t="e">
        <f t="shared" ca="1" si="136"/>
        <v>#VALUE!</v>
      </c>
      <c r="G919" s="25"/>
      <c r="H919" s="25" t="e">
        <f t="shared" si="131"/>
        <v>#VALUE!</v>
      </c>
      <c r="I919" s="25">
        <f t="shared" si="137"/>
        <v>404.99999999998306</v>
      </c>
      <c r="J919" s="25" t="e">
        <f t="shared" si="138"/>
        <v>#VALUE!</v>
      </c>
    </row>
    <row r="920" spans="1:10" x14ac:dyDescent="0.25">
      <c r="A920" s="25">
        <f t="shared" si="139"/>
        <v>-0.94000000000016959</v>
      </c>
      <c r="B920" s="25">
        <f t="shared" ca="1" si="132"/>
        <v>-0.1301013419117886</v>
      </c>
      <c r="C920" s="25" t="e">
        <f t="shared" si="133"/>
        <v>#VALUE!</v>
      </c>
      <c r="D920" s="74" t="e">
        <f t="shared" si="134"/>
        <v>#VALUE!</v>
      </c>
      <c r="E920" s="25" t="e">
        <f t="shared" si="135"/>
        <v>#VALUE!</v>
      </c>
      <c r="F920" s="25" t="e">
        <f t="shared" ca="1" si="136"/>
        <v>#VALUE!</v>
      </c>
      <c r="G920" s="25"/>
      <c r="H920" s="25" t="e">
        <f t="shared" si="131"/>
        <v>#VALUE!</v>
      </c>
      <c r="I920" s="25">
        <f t="shared" si="137"/>
        <v>405.999999999983</v>
      </c>
      <c r="J920" s="25" t="e">
        <f t="shared" si="138"/>
        <v>#VALUE!</v>
      </c>
    </row>
    <row r="921" spans="1:10" x14ac:dyDescent="0.25">
      <c r="A921" s="25">
        <f t="shared" si="139"/>
        <v>-0.93000000000016958</v>
      </c>
      <c r="B921" s="25">
        <f t="shared" ca="1" si="132"/>
        <v>-0.19517824686016713</v>
      </c>
      <c r="C921" s="25" t="e">
        <f t="shared" si="133"/>
        <v>#VALUE!</v>
      </c>
      <c r="D921" s="74" t="e">
        <f t="shared" si="134"/>
        <v>#VALUE!</v>
      </c>
      <c r="E921" s="25" t="e">
        <f t="shared" si="135"/>
        <v>#VALUE!</v>
      </c>
      <c r="F921" s="25" t="e">
        <f t="shared" ca="1" si="136"/>
        <v>#VALUE!</v>
      </c>
      <c r="G921" s="25"/>
      <c r="H921" s="25" t="e">
        <f t="shared" si="131"/>
        <v>#VALUE!</v>
      </c>
      <c r="I921" s="25">
        <f t="shared" si="137"/>
        <v>406.99999999998306</v>
      </c>
      <c r="J921" s="25" t="e">
        <f t="shared" si="138"/>
        <v>#VALUE!</v>
      </c>
    </row>
    <row r="922" spans="1:10" x14ac:dyDescent="0.25">
      <c r="A922" s="25">
        <f t="shared" si="139"/>
        <v>-0.92000000000016957</v>
      </c>
      <c r="B922" s="25">
        <f t="shared" ca="1" si="132"/>
        <v>-0.16627031119241983</v>
      </c>
      <c r="C922" s="25" t="e">
        <f t="shared" si="133"/>
        <v>#VALUE!</v>
      </c>
      <c r="D922" s="74" t="e">
        <f t="shared" si="134"/>
        <v>#VALUE!</v>
      </c>
      <c r="E922" s="25" t="e">
        <f t="shared" si="135"/>
        <v>#VALUE!</v>
      </c>
      <c r="F922" s="25" t="e">
        <f t="shared" ca="1" si="136"/>
        <v>#VALUE!</v>
      </c>
      <c r="G922" s="25"/>
      <c r="H922" s="25" t="e">
        <f t="shared" si="131"/>
        <v>#VALUE!</v>
      </c>
      <c r="I922" s="25">
        <f t="shared" si="137"/>
        <v>407.99999999998306</v>
      </c>
      <c r="J922" s="25" t="e">
        <f t="shared" si="138"/>
        <v>#VALUE!</v>
      </c>
    </row>
    <row r="923" spans="1:10" x14ac:dyDescent="0.25">
      <c r="A923" s="25">
        <f t="shared" si="139"/>
        <v>-0.91000000000016956</v>
      </c>
      <c r="B923" s="25">
        <f t="shared" ca="1" si="132"/>
        <v>-0.15996465756131265</v>
      </c>
      <c r="C923" s="25" t="e">
        <f t="shared" si="133"/>
        <v>#VALUE!</v>
      </c>
      <c r="D923" s="74" t="e">
        <f t="shared" si="134"/>
        <v>#VALUE!</v>
      </c>
      <c r="E923" s="25" t="e">
        <f t="shared" si="135"/>
        <v>#VALUE!</v>
      </c>
      <c r="F923" s="25" t="e">
        <f t="shared" ca="1" si="136"/>
        <v>#VALUE!</v>
      </c>
      <c r="G923" s="25"/>
      <c r="H923" s="25" t="e">
        <f t="shared" si="131"/>
        <v>#VALUE!</v>
      </c>
      <c r="I923" s="25">
        <f t="shared" si="137"/>
        <v>408.99999999998306</v>
      </c>
      <c r="J923" s="25" t="e">
        <f t="shared" si="138"/>
        <v>#VALUE!</v>
      </c>
    </row>
    <row r="924" spans="1:10" x14ac:dyDescent="0.25">
      <c r="A924" s="25">
        <f t="shared" si="139"/>
        <v>-0.90000000000016955</v>
      </c>
      <c r="B924" s="25">
        <f t="shared" ca="1" si="132"/>
        <v>-0.16441725953566466</v>
      </c>
      <c r="C924" s="25" t="e">
        <f t="shared" si="133"/>
        <v>#VALUE!</v>
      </c>
      <c r="D924" s="74" t="e">
        <f t="shared" si="134"/>
        <v>#VALUE!</v>
      </c>
      <c r="E924" s="25" t="e">
        <f t="shared" si="135"/>
        <v>#VALUE!</v>
      </c>
      <c r="F924" s="25" t="e">
        <f t="shared" ca="1" si="136"/>
        <v>#VALUE!</v>
      </c>
      <c r="G924" s="25"/>
      <c r="H924" s="25" t="e">
        <f t="shared" si="131"/>
        <v>#VALUE!</v>
      </c>
      <c r="I924" s="25">
        <f t="shared" si="137"/>
        <v>409.99999999998306</v>
      </c>
      <c r="J924" s="25" t="e">
        <f t="shared" si="138"/>
        <v>#VALUE!</v>
      </c>
    </row>
    <row r="925" spans="1:10" x14ac:dyDescent="0.25">
      <c r="A925" s="25">
        <f t="shared" si="139"/>
        <v>-0.89000000000016954</v>
      </c>
      <c r="B925" s="25">
        <f t="shared" ca="1" si="132"/>
        <v>-0.12001558946698417</v>
      </c>
      <c r="C925" s="25" t="e">
        <f t="shared" si="133"/>
        <v>#VALUE!</v>
      </c>
      <c r="D925" s="74" t="e">
        <f t="shared" si="134"/>
        <v>#VALUE!</v>
      </c>
      <c r="E925" s="25" t="e">
        <f t="shared" si="135"/>
        <v>#VALUE!</v>
      </c>
      <c r="F925" s="25" t="e">
        <f t="shared" ca="1" si="136"/>
        <v>#VALUE!</v>
      </c>
      <c r="G925" s="25"/>
      <c r="H925" s="25" t="e">
        <f t="shared" si="131"/>
        <v>#VALUE!</v>
      </c>
      <c r="I925" s="25">
        <f t="shared" si="137"/>
        <v>410.99999999998306</v>
      </c>
      <c r="J925" s="25" t="e">
        <f t="shared" si="138"/>
        <v>#VALUE!</v>
      </c>
    </row>
    <row r="926" spans="1:10" x14ac:dyDescent="0.25">
      <c r="A926" s="25">
        <f t="shared" si="139"/>
        <v>-0.88000000000016954</v>
      </c>
      <c r="B926" s="25">
        <f t="shared" ca="1" si="132"/>
        <v>9.8840334119732563E-3</v>
      </c>
      <c r="C926" s="25" t="e">
        <f t="shared" si="133"/>
        <v>#VALUE!</v>
      </c>
      <c r="D926" s="74" t="e">
        <f t="shared" si="134"/>
        <v>#VALUE!</v>
      </c>
      <c r="E926" s="25" t="e">
        <f t="shared" si="135"/>
        <v>#VALUE!</v>
      </c>
      <c r="F926" s="25" t="e">
        <f t="shared" ca="1" si="136"/>
        <v>#VALUE!</v>
      </c>
      <c r="G926" s="25"/>
      <c r="H926" s="25" t="e">
        <f t="shared" ref="H926:H989" si="140">IF(PeakShape=$O$3,C926,IF(PeakShape=O928,D926,E926))</f>
        <v>#VALUE!</v>
      </c>
      <c r="I926" s="25">
        <f t="shared" si="137"/>
        <v>411.99999999998306</v>
      </c>
      <c r="J926" s="25" t="e">
        <f t="shared" si="138"/>
        <v>#VALUE!</v>
      </c>
    </row>
    <row r="927" spans="1:10" x14ac:dyDescent="0.25">
      <c r="A927" s="25">
        <f t="shared" si="139"/>
        <v>-0.87000000000016953</v>
      </c>
      <c r="B927" s="25">
        <f t="shared" ca="1" si="132"/>
        <v>6.9204552943515811E-3</v>
      </c>
      <c r="C927" s="25" t="e">
        <f t="shared" si="133"/>
        <v>#VALUE!</v>
      </c>
      <c r="D927" s="74" t="e">
        <f t="shared" si="134"/>
        <v>#VALUE!</v>
      </c>
      <c r="E927" s="25" t="e">
        <f t="shared" si="135"/>
        <v>#VALUE!</v>
      </c>
      <c r="F927" s="25" t="e">
        <f t="shared" ca="1" si="136"/>
        <v>#VALUE!</v>
      </c>
      <c r="G927" s="25"/>
      <c r="H927" s="25" t="e">
        <f t="shared" si="140"/>
        <v>#VALUE!</v>
      </c>
      <c r="I927" s="25">
        <f t="shared" si="137"/>
        <v>412.999999999983</v>
      </c>
      <c r="J927" s="25" t="e">
        <f t="shared" si="138"/>
        <v>#VALUE!</v>
      </c>
    </row>
    <row r="928" spans="1:10" x14ac:dyDescent="0.25">
      <c r="A928" s="25">
        <f t="shared" si="139"/>
        <v>-0.86000000000016952</v>
      </c>
      <c r="B928" s="25">
        <f t="shared" ca="1" si="132"/>
        <v>7.799852878378391E-2</v>
      </c>
      <c r="C928" s="25" t="e">
        <f t="shared" si="133"/>
        <v>#VALUE!</v>
      </c>
      <c r="D928" s="74" t="e">
        <f t="shared" si="134"/>
        <v>#VALUE!</v>
      </c>
      <c r="E928" s="25" t="e">
        <f t="shared" si="135"/>
        <v>#VALUE!</v>
      </c>
      <c r="F928" s="25" t="e">
        <f t="shared" ca="1" si="136"/>
        <v>#VALUE!</v>
      </c>
      <c r="G928" s="25"/>
      <c r="H928" s="25" t="e">
        <f t="shared" si="140"/>
        <v>#VALUE!</v>
      </c>
      <c r="I928" s="25">
        <f t="shared" si="137"/>
        <v>413.999999999983</v>
      </c>
      <c r="J928" s="25" t="e">
        <f t="shared" si="138"/>
        <v>#VALUE!</v>
      </c>
    </row>
    <row r="929" spans="1:10" x14ac:dyDescent="0.25">
      <c r="A929" s="25">
        <f t="shared" si="139"/>
        <v>-0.85000000000016951</v>
      </c>
      <c r="B929" s="25">
        <f t="shared" ca="1" si="132"/>
        <v>0.13253129090814317</v>
      </c>
      <c r="C929" s="25" t="e">
        <f t="shared" si="133"/>
        <v>#VALUE!</v>
      </c>
      <c r="D929" s="74" t="e">
        <f t="shared" si="134"/>
        <v>#VALUE!</v>
      </c>
      <c r="E929" s="25" t="e">
        <f t="shared" si="135"/>
        <v>#VALUE!</v>
      </c>
      <c r="F929" s="25" t="e">
        <f t="shared" ca="1" si="136"/>
        <v>#VALUE!</v>
      </c>
      <c r="G929" s="25"/>
      <c r="H929" s="25" t="e">
        <f t="shared" si="140"/>
        <v>#VALUE!</v>
      </c>
      <c r="I929" s="25">
        <f t="shared" si="137"/>
        <v>414.99999999998306</v>
      </c>
      <c r="J929" s="25" t="e">
        <f t="shared" si="138"/>
        <v>#VALUE!</v>
      </c>
    </row>
    <row r="930" spans="1:10" x14ac:dyDescent="0.25">
      <c r="A930" s="25">
        <f t="shared" si="139"/>
        <v>-0.8400000000001695</v>
      </c>
      <c r="B930" s="25">
        <f t="shared" ca="1" si="132"/>
        <v>-0.16022884234418514</v>
      </c>
      <c r="C930" s="25" t="e">
        <f t="shared" si="133"/>
        <v>#VALUE!</v>
      </c>
      <c r="D930" s="74" t="e">
        <f t="shared" si="134"/>
        <v>#VALUE!</v>
      </c>
      <c r="E930" s="25" t="e">
        <f t="shared" si="135"/>
        <v>#VALUE!</v>
      </c>
      <c r="F930" s="25" t="e">
        <f t="shared" ca="1" si="136"/>
        <v>#VALUE!</v>
      </c>
      <c r="G930" s="25"/>
      <c r="H930" s="25" t="e">
        <f t="shared" si="140"/>
        <v>#VALUE!</v>
      </c>
      <c r="I930" s="25">
        <f t="shared" si="137"/>
        <v>415.99999999998306</v>
      </c>
      <c r="J930" s="25" t="e">
        <f t="shared" si="138"/>
        <v>#VALUE!</v>
      </c>
    </row>
    <row r="931" spans="1:10" x14ac:dyDescent="0.25">
      <c r="A931" s="25">
        <f t="shared" si="139"/>
        <v>-0.83000000000016949</v>
      </c>
      <c r="B931" s="25">
        <f t="shared" ca="1" si="132"/>
        <v>-0.18779734820278651</v>
      </c>
      <c r="C931" s="25" t="e">
        <f t="shared" si="133"/>
        <v>#VALUE!</v>
      </c>
      <c r="D931" s="74" t="e">
        <f t="shared" si="134"/>
        <v>#VALUE!</v>
      </c>
      <c r="E931" s="25" t="e">
        <f t="shared" si="135"/>
        <v>#VALUE!</v>
      </c>
      <c r="F931" s="25" t="e">
        <f t="shared" ca="1" si="136"/>
        <v>#VALUE!</v>
      </c>
      <c r="G931" s="25"/>
      <c r="H931" s="25" t="e">
        <f t="shared" si="140"/>
        <v>#VALUE!</v>
      </c>
      <c r="I931" s="25">
        <f t="shared" si="137"/>
        <v>416.999999999983</v>
      </c>
      <c r="J931" s="25" t="e">
        <f t="shared" si="138"/>
        <v>#VALUE!</v>
      </c>
    </row>
    <row r="932" spans="1:10" x14ac:dyDescent="0.25">
      <c r="A932" s="25">
        <f t="shared" si="139"/>
        <v>-0.82000000000016948</v>
      </c>
      <c r="B932" s="25">
        <f t="shared" ca="1" si="132"/>
        <v>5.4837142656863562E-2</v>
      </c>
      <c r="C932" s="25" t="e">
        <f t="shared" si="133"/>
        <v>#VALUE!</v>
      </c>
      <c r="D932" s="74" t="e">
        <f t="shared" si="134"/>
        <v>#VALUE!</v>
      </c>
      <c r="E932" s="25" t="e">
        <f t="shared" si="135"/>
        <v>#VALUE!</v>
      </c>
      <c r="F932" s="25" t="e">
        <f t="shared" ca="1" si="136"/>
        <v>#VALUE!</v>
      </c>
      <c r="G932" s="25"/>
      <c r="H932" s="25" t="e">
        <f t="shared" si="140"/>
        <v>#VALUE!</v>
      </c>
      <c r="I932" s="25">
        <f t="shared" si="137"/>
        <v>417.99999999998306</v>
      </c>
      <c r="J932" s="25" t="e">
        <f t="shared" si="138"/>
        <v>#VALUE!</v>
      </c>
    </row>
    <row r="933" spans="1:10" x14ac:dyDescent="0.25">
      <c r="A933" s="25">
        <f t="shared" si="139"/>
        <v>-0.81000000000016947</v>
      </c>
      <c r="B933" s="25">
        <f t="shared" ca="1" si="132"/>
        <v>-0.16929980531839495</v>
      </c>
      <c r="C933" s="25" t="e">
        <f t="shared" si="133"/>
        <v>#VALUE!</v>
      </c>
      <c r="D933" s="74" t="e">
        <f t="shared" si="134"/>
        <v>#VALUE!</v>
      </c>
      <c r="E933" s="25" t="e">
        <f t="shared" si="135"/>
        <v>#VALUE!</v>
      </c>
      <c r="F933" s="25" t="e">
        <f t="shared" ca="1" si="136"/>
        <v>#VALUE!</v>
      </c>
      <c r="G933" s="25"/>
      <c r="H933" s="25" t="e">
        <f t="shared" si="140"/>
        <v>#VALUE!</v>
      </c>
      <c r="I933" s="25">
        <f t="shared" si="137"/>
        <v>418.99999999998306</v>
      </c>
      <c r="J933" s="25" t="e">
        <f t="shared" si="138"/>
        <v>#VALUE!</v>
      </c>
    </row>
    <row r="934" spans="1:10" x14ac:dyDescent="0.25">
      <c r="A934" s="25">
        <f t="shared" si="139"/>
        <v>-0.80000000000016946</v>
      </c>
      <c r="B934" s="25">
        <f t="shared" ca="1" si="132"/>
        <v>8.7863174704244651E-2</v>
      </c>
      <c r="C934" s="25" t="e">
        <f t="shared" si="133"/>
        <v>#VALUE!</v>
      </c>
      <c r="D934" s="74" t="e">
        <f t="shared" si="134"/>
        <v>#VALUE!</v>
      </c>
      <c r="E934" s="25" t="e">
        <f t="shared" si="135"/>
        <v>#VALUE!</v>
      </c>
      <c r="F934" s="25" t="e">
        <f t="shared" ca="1" si="136"/>
        <v>#VALUE!</v>
      </c>
      <c r="G934" s="25"/>
      <c r="H934" s="25" t="e">
        <f t="shared" si="140"/>
        <v>#VALUE!</v>
      </c>
      <c r="I934" s="25">
        <f t="shared" si="137"/>
        <v>419.99999999998306</v>
      </c>
      <c r="J934" s="25" t="e">
        <f t="shared" si="138"/>
        <v>#VALUE!</v>
      </c>
    </row>
    <row r="935" spans="1:10" x14ac:dyDescent="0.25">
      <c r="A935" s="25">
        <f t="shared" si="139"/>
        <v>-0.79000000000016946</v>
      </c>
      <c r="B935" s="25">
        <f t="shared" ca="1" si="132"/>
        <v>-4.8540423198749523E-2</v>
      </c>
      <c r="C935" s="25" t="e">
        <f t="shared" si="133"/>
        <v>#VALUE!</v>
      </c>
      <c r="D935" s="74" t="e">
        <f t="shared" si="134"/>
        <v>#VALUE!</v>
      </c>
      <c r="E935" s="25" t="e">
        <f t="shared" si="135"/>
        <v>#VALUE!</v>
      </c>
      <c r="F935" s="25" t="e">
        <f t="shared" ca="1" si="136"/>
        <v>#VALUE!</v>
      </c>
      <c r="G935" s="25"/>
      <c r="H935" s="25" t="e">
        <f t="shared" si="140"/>
        <v>#VALUE!</v>
      </c>
      <c r="I935" s="25">
        <f t="shared" si="137"/>
        <v>420.999999999983</v>
      </c>
      <c r="J935" s="25" t="e">
        <f t="shared" si="138"/>
        <v>#VALUE!</v>
      </c>
    </row>
    <row r="936" spans="1:10" x14ac:dyDescent="0.25">
      <c r="A936" s="25">
        <f t="shared" si="139"/>
        <v>-0.78000000000016945</v>
      </c>
      <c r="B936" s="25">
        <f t="shared" ca="1" si="132"/>
        <v>-0.14525292799195799</v>
      </c>
      <c r="C936" s="25" t="e">
        <f t="shared" si="133"/>
        <v>#VALUE!</v>
      </c>
      <c r="D936" s="74" t="e">
        <f t="shared" si="134"/>
        <v>#VALUE!</v>
      </c>
      <c r="E936" s="25" t="e">
        <f t="shared" si="135"/>
        <v>#VALUE!</v>
      </c>
      <c r="F936" s="25" t="e">
        <f t="shared" ca="1" si="136"/>
        <v>#VALUE!</v>
      </c>
      <c r="G936" s="25"/>
      <c r="H936" s="25" t="e">
        <f t="shared" si="140"/>
        <v>#VALUE!</v>
      </c>
      <c r="I936" s="25">
        <f t="shared" si="137"/>
        <v>421.999999999983</v>
      </c>
      <c r="J936" s="25" t="e">
        <f t="shared" si="138"/>
        <v>#VALUE!</v>
      </c>
    </row>
    <row r="937" spans="1:10" x14ac:dyDescent="0.25">
      <c r="A937" s="25">
        <f t="shared" si="139"/>
        <v>-0.77000000000016944</v>
      </c>
      <c r="B937" s="25">
        <f t="shared" ca="1" si="132"/>
        <v>-0.18413098394676539</v>
      </c>
      <c r="C937" s="25" t="e">
        <f t="shared" si="133"/>
        <v>#VALUE!</v>
      </c>
      <c r="D937" s="74" t="e">
        <f t="shared" si="134"/>
        <v>#VALUE!</v>
      </c>
      <c r="E937" s="25" t="e">
        <f t="shared" si="135"/>
        <v>#VALUE!</v>
      </c>
      <c r="F937" s="25" t="e">
        <f t="shared" ca="1" si="136"/>
        <v>#VALUE!</v>
      </c>
      <c r="G937" s="25"/>
      <c r="H937" s="25" t="e">
        <f t="shared" si="140"/>
        <v>#VALUE!</v>
      </c>
      <c r="I937" s="25">
        <f t="shared" si="137"/>
        <v>422.99999999998306</v>
      </c>
      <c r="J937" s="25" t="e">
        <f t="shared" si="138"/>
        <v>#VALUE!</v>
      </c>
    </row>
    <row r="938" spans="1:10" x14ac:dyDescent="0.25">
      <c r="A938" s="25">
        <f t="shared" si="139"/>
        <v>-0.76000000000016943</v>
      </c>
      <c r="B938" s="25">
        <f t="shared" ca="1" si="132"/>
        <v>0.10731611691009209</v>
      </c>
      <c r="C938" s="25" t="e">
        <f t="shared" si="133"/>
        <v>#VALUE!</v>
      </c>
      <c r="D938" s="74" t="e">
        <f t="shared" si="134"/>
        <v>#VALUE!</v>
      </c>
      <c r="E938" s="25" t="e">
        <f t="shared" si="135"/>
        <v>#VALUE!</v>
      </c>
      <c r="F938" s="25" t="e">
        <f t="shared" ca="1" si="136"/>
        <v>#VALUE!</v>
      </c>
      <c r="G938" s="25"/>
      <c r="H938" s="25" t="e">
        <f t="shared" si="140"/>
        <v>#VALUE!</v>
      </c>
      <c r="I938" s="25">
        <f t="shared" si="137"/>
        <v>423.99999999998306</v>
      </c>
      <c r="J938" s="25" t="e">
        <f t="shared" si="138"/>
        <v>#VALUE!</v>
      </c>
    </row>
    <row r="939" spans="1:10" x14ac:dyDescent="0.25">
      <c r="A939" s="25">
        <f t="shared" si="139"/>
        <v>-0.75000000000016942</v>
      </c>
      <c r="B939" s="25">
        <f t="shared" ca="1" si="132"/>
        <v>4.4784196781060819E-2</v>
      </c>
      <c r="C939" s="25" t="e">
        <f t="shared" si="133"/>
        <v>#VALUE!</v>
      </c>
      <c r="D939" s="74" t="e">
        <f t="shared" si="134"/>
        <v>#VALUE!</v>
      </c>
      <c r="E939" s="25" t="e">
        <f t="shared" si="135"/>
        <v>#VALUE!</v>
      </c>
      <c r="F939" s="25" t="e">
        <f t="shared" ca="1" si="136"/>
        <v>#VALUE!</v>
      </c>
      <c r="G939" s="25"/>
      <c r="H939" s="25" t="e">
        <f t="shared" si="140"/>
        <v>#VALUE!</v>
      </c>
      <c r="I939" s="25">
        <f t="shared" si="137"/>
        <v>424.999999999983</v>
      </c>
      <c r="J939" s="25" t="e">
        <f t="shared" si="138"/>
        <v>#VALUE!</v>
      </c>
    </row>
    <row r="940" spans="1:10" x14ac:dyDescent="0.25">
      <c r="A940" s="25">
        <f t="shared" si="139"/>
        <v>-0.74000000000016941</v>
      </c>
      <c r="B940" s="25">
        <f t="shared" ca="1" si="132"/>
        <v>-0.17449193746293659</v>
      </c>
      <c r="C940" s="25" t="e">
        <f t="shared" si="133"/>
        <v>#VALUE!</v>
      </c>
      <c r="D940" s="74" t="e">
        <f t="shared" si="134"/>
        <v>#VALUE!</v>
      </c>
      <c r="E940" s="25" t="e">
        <f t="shared" si="135"/>
        <v>#VALUE!</v>
      </c>
      <c r="F940" s="25" t="e">
        <f t="shared" ca="1" si="136"/>
        <v>#VALUE!</v>
      </c>
      <c r="G940" s="25"/>
      <c r="H940" s="25" t="e">
        <f t="shared" si="140"/>
        <v>#VALUE!</v>
      </c>
      <c r="I940" s="25">
        <f t="shared" si="137"/>
        <v>425.99999999998306</v>
      </c>
      <c r="J940" s="25" t="e">
        <f t="shared" si="138"/>
        <v>#VALUE!</v>
      </c>
    </row>
    <row r="941" spans="1:10" x14ac:dyDescent="0.25">
      <c r="A941" s="25">
        <f t="shared" si="139"/>
        <v>-0.7300000000001694</v>
      </c>
      <c r="B941" s="25">
        <f t="shared" ca="1" si="132"/>
        <v>-0.18346064062359149</v>
      </c>
      <c r="C941" s="25" t="e">
        <f t="shared" si="133"/>
        <v>#VALUE!</v>
      </c>
      <c r="D941" s="74" t="e">
        <f t="shared" si="134"/>
        <v>#VALUE!</v>
      </c>
      <c r="E941" s="25" t="e">
        <f t="shared" si="135"/>
        <v>#VALUE!</v>
      </c>
      <c r="F941" s="25" t="e">
        <f t="shared" ca="1" si="136"/>
        <v>#VALUE!</v>
      </c>
      <c r="G941" s="25"/>
      <c r="H941" s="25" t="e">
        <f t="shared" si="140"/>
        <v>#VALUE!</v>
      </c>
      <c r="I941" s="25">
        <f t="shared" si="137"/>
        <v>426.99999999998306</v>
      </c>
      <c r="J941" s="25" t="e">
        <f t="shared" si="138"/>
        <v>#VALUE!</v>
      </c>
    </row>
    <row r="942" spans="1:10" x14ac:dyDescent="0.25">
      <c r="A942" s="25">
        <f t="shared" si="139"/>
        <v>-0.72000000000016939</v>
      </c>
      <c r="B942" s="25">
        <f t="shared" ca="1" si="132"/>
        <v>6.4367639392266737E-2</v>
      </c>
      <c r="C942" s="25" t="e">
        <f t="shared" si="133"/>
        <v>#VALUE!</v>
      </c>
      <c r="D942" s="74" t="e">
        <f t="shared" si="134"/>
        <v>#VALUE!</v>
      </c>
      <c r="E942" s="25" t="e">
        <f t="shared" si="135"/>
        <v>#VALUE!</v>
      </c>
      <c r="F942" s="25" t="e">
        <f t="shared" ca="1" si="136"/>
        <v>#VALUE!</v>
      </c>
      <c r="G942" s="25"/>
      <c r="H942" s="25" t="e">
        <f t="shared" si="140"/>
        <v>#VALUE!</v>
      </c>
      <c r="I942" s="25">
        <f t="shared" si="137"/>
        <v>427.99999999998306</v>
      </c>
      <c r="J942" s="25" t="e">
        <f t="shared" si="138"/>
        <v>#VALUE!</v>
      </c>
    </row>
    <row r="943" spans="1:10" x14ac:dyDescent="0.25">
      <c r="A943" s="25">
        <f t="shared" si="139"/>
        <v>-0.71000000000016938</v>
      </c>
      <c r="B943" s="25">
        <f t="shared" ca="1" si="132"/>
        <v>-9.3298374417612837E-2</v>
      </c>
      <c r="C943" s="25" t="e">
        <f t="shared" si="133"/>
        <v>#VALUE!</v>
      </c>
      <c r="D943" s="74" t="e">
        <f t="shared" si="134"/>
        <v>#VALUE!</v>
      </c>
      <c r="E943" s="25" t="e">
        <f t="shared" si="135"/>
        <v>#VALUE!</v>
      </c>
      <c r="F943" s="25" t="e">
        <f t="shared" ca="1" si="136"/>
        <v>#VALUE!</v>
      </c>
      <c r="G943" s="25"/>
      <c r="H943" s="25" t="e">
        <f t="shared" si="140"/>
        <v>#VALUE!</v>
      </c>
      <c r="I943" s="25">
        <f t="shared" si="137"/>
        <v>428.99999999998306</v>
      </c>
      <c r="J943" s="25" t="e">
        <f t="shared" si="138"/>
        <v>#VALUE!</v>
      </c>
    </row>
    <row r="944" spans="1:10" x14ac:dyDescent="0.25">
      <c r="A944" s="25">
        <f t="shared" si="139"/>
        <v>-0.70000000000016938</v>
      </c>
      <c r="B944" s="25">
        <f t="shared" ca="1" si="132"/>
        <v>9.9073869552721086E-2</v>
      </c>
      <c r="C944" s="25" t="e">
        <f t="shared" si="133"/>
        <v>#VALUE!</v>
      </c>
      <c r="D944" s="74" t="e">
        <f t="shared" si="134"/>
        <v>#VALUE!</v>
      </c>
      <c r="E944" s="25" t="e">
        <f t="shared" si="135"/>
        <v>#VALUE!</v>
      </c>
      <c r="F944" s="25" t="e">
        <f t="shared" ca="1" si="136"/>
        <v>#VALUE!</v>
      </c>
      <c r="G944" s="25"/>
      <c r="H944" s="25" t="e">
        <f t="shared" si="140"/>
        <v>#VALUE!</v>
      </c>
      <c r="I944" s="25">
        <f t="shared" si="137"/>
        <v>429.999999999983</v>
      </c>
      <c r="J944" s="25" t="e">
        <f t="shared" si="138"/>
        <v>#VALUE!</v>
      </c>
    </row>
    <row r="945" spans="1:10" x14ac:dyDescent="0.25">
      <c r="A945" s="25">
        <f t="shared" si="139"/>
        <v>-0.69000000000016937</v>
      </c>
      <c r="B945" s="25">
        <f t="shared" ca="1" si="132"/>
        <v>-9.6712922523332814E-2</v>
      </c>
      <c r="C945" s="25" t="e">
        <f t="shared" si="133"/>
        <v>#VALUE!</v>
      </c>
      <c r="D945" s="74" t="e">
        <f t="shared" si="134"/>
        <v>#VALUE!</v>
      </c>
      <c r="E945" s="25" t="e">
        <f t="shared" si="135"/>
        <v>#VALUE!</v>
      </c>
      <c r="F945" s="25" t="e">
        <f t="shared" ca="1" si="136"/>
        <v>#VALUE!</v>
      </c>
      <c r="G945" s="25"/>
      <c r="H945" s="25" t="e">
        <f t="shared" si="140"/>
        <v>#VALUE!</v>
      </c>
      <c r="I945" s="25">
        <f t="shared" si="137"/>
        <v>430.99999999998306</v>
      </c>
      <c r="J945" s="25" t="e">
        <f t="shared" si="138"/>
        <v>#VALUE!</v>
      </c>
    </row>
    <row r="946" spans="1:10" x14ac:dyDescent="0.25">
      <c r="A946" s="25">
        <f t="shared" si="139"/>
        <v>-0.68000000000016936</v>
      </c>
      <c r="B946" s="25">
        <f t="shared" ca="1" si="132"/>
        <v>0.13068656634237749</v>
      </c>
      <c r="C946" s="25" t="e">
        <f t="shared" si="133"/>
        <v>#VALUE!</v>
      </c>
      <c r="D946" s="74" t="e">
        <f t="shared" si="134"/>
        <v>#VALUE!</v>
      </c>
      <c r="E946" s="25" t="e">
        <f t="shared" si="135"/>
        <v>#VALUE!</v>
      </c>
      <c r="F946" s="25" t="e">
        <f t="shared" ca="1" si="136"/>
        <v>#VALUE!</v>
      </c>
      <c r="G946" s="25"/>
      <c r="H946" s="25" t="e">
        <f t="shared" si="140"/>
        <v>#VALUE!</v>
      </c>
      <c r="I946" s="25">
        <f t="shared" si="137"/>
        <v>431.99999999998306</v>
      </c>
      <c r="J946" s="25" t="e">
        <f t="shared" si="138"/>
        <v>#VALUE!</v>
      </c>
    </row>
    <row r="947" spans="1:10" x14ac:dyDescent="0.25">
      <c r="A947" s="25">
        <f t="shared" si="139"/>
        <v>-0.67000000000016935</v>
      </c>
      <c r="B947" s="25">
        <f t="shared" ca="1" si="132"/>
        <v>-4.9733749870811035E-2</v>
      </c>
      <c r="C947" s="25" t="e">
        <f t="shared" si="133"/>
        <v>#VALUE!</v>
      </c>
      <c r="D947" s="74" t="e">
        <f t="shared" si="134"/>
        <v>#VALUE!</v>
      </c>
      <c r="E947" s="25" t="e">
        <f t="shared" si="135"/>
        <v>#VALUE!</v>
      </c>
      <c r="F947" s="25" t="e">
        <f t="shared" ca="1" si="136"/>
        <v>#VALUE!</v>
      </c>
      <c r="G947" s="25"/>
      <c r="H947" s="25" t="e">
        <f t="shared" si="140"/>
        <v>#VALUE!</v>
      </c>
      <c r="I947" s="25">
        <f t="shared" si="137"/>
        <v>432.99999999998306</v>
      </c>
      <c r="J947" s="25" t="e">
        <f t="shared" si="138"/>
        <v>#VALUE!</v>
      </c>
    </row>
    <row r="948" spans="1:10" x14ac:dyDescent="0.25">
      <c r="A948" s="25">
        <f t="shared" si="139"/>
        <v>-0.66000000000016934</v>
      </c>
      <c r="B948" s="25">
        <f t="shared" ca="1" si="132"/>
        <v>4.8504794853832807E-2</v>
      </c>
      <c r="C948" s="25" t="e">
        <f t="shared" si="133"/>
        <v>#VALUE!</v>
      </c>
      <c r="D948" s="74" t="e">
        <f t="shared" si="134"/>
        <v>#VALUE!</v>
      </c>
      <c r="E948" s="25" t="e">
        <f t="shared" si="135"/>
        <v>#VALUE!</v>
      </c>
      <c r="F948" s="25" t="e">
        <f t="shared" ca="1" si="136"/>
        <v>#VALUE!</v>
      </c>
      <c r="G948" s="25"/>
      <c r="H948" s="25" t="e">
        <f t="shared" si="140"/>
        <v>#VALUE!</v>
      </c>
      <c r="I948" s="25">
        <f t="shared" si="137"/>
        <v>433.99999999998306</v>
      </c>
      <c r="J948" s="25" t="e">
        <f t="shared" si="138"/>
        <v>#VALUE!</v>
      </c>
    </row>
    <row r="949" spans="1:10" x14ac:dyDescent="0.25">
      <c r="A949" s="25">
        <f t="shared" si="139"/>
        <v>-0.65000000000016933</v>
      </c>
      <c r="B949" s="25">
        <f t="shared" ca="1" si="132"/>
        <v>-0.1837939021371269</v>
      </c>
      <c r="C949" s="25" t="e">
        <f t="shared" si="133"/>
        <v>#VALUE!</v>
      </c>
      <c r="D949" s="74" t="e">
        <f t="shared" si="134"/>
        <v>#VALUE!</v>
      </c>
      <c r="E949" s="25" t="e">
        <f t="shared" si="135"/>
        <v>#VALUE!</v>
      </c>
      <c r="F949" s="25" t="e">
        <f t="shared" ca="1" si="136"/>
        <v>#VALUE!</v>
      </c>
      <c r="G949" s="25"/>
      <c r="H949" s="25" t="e">
        <f t="shared" si="140"/>
        <v>#VALUE!</v>
      </c>
      <c r="I949" s="25">
        <f t="shared" si="137"/>
        <v>434.99999999998306</v>
      </c>
      <c r="J949" s="25" t="e">
        <f t="shared" si="138"/>
        <v>#VALUE!</v>
      </c>
    </row>
    <row r="950" spans="1:10" x14ac:dyDescent="0.25">
      <c r="A950" s="25">
        <f t="shared" si="139"/>
        <v>-0.64000000000016932</v>
      </c>
      <c r="B950" s="25">
        <f t="shared" ca="1" si="132"/>
        <v>-6.8782107343972623E-2</v>
      </c>
      <c r="C950" s="25" t="e">
        <f t="shared" si="133"/>
        <v>#VALUE!</v>
      </c>
      <c r="D950" s="74" t="e">
        <f t="shared" si="134"/>
        <v>#VALUE!</v>
      </c>
      <c r="E950" s="25" t="e">
        <f t="shared" si="135"/>
        <v>#VALUE!</v>
      </c>
      <c r="F950" s="25" t="e">
        <f t="shared" ca="1" si="136"/>
        <v>#VALUE!</v>
      </c>
      <c r="G950" s="25"/>
      <c r="H950" s="25" t="e">
        <f t="shared" si="140"/>
        <v>#VALUE!</v>
      </c>
      <c r="I950" s="25">
        <f t="shared" si="137"/>
        <v>435.99999999998306</v>
      </c>
      <c r="J950" s="25" t="e">
        <f t="shared" si="138"/>
        <v>#VALUE!</v>
      </c>
    </row>
    <row r="951" spans="1:10" x14ac:dyDescent="0.25">
      <c r="A951" s="25">
        <f t="shared" si="139"/>
        <v>-0.63000000000016931</v>
      </c>
      <c r="B951" s="25">
        <f t="shared" ca="1" si="132"/>
        <v>-9.2539222553062059E-2</v>
      </c>
      <c r="C951" s="25" t="e">
        <f t="shared" si="133"/>
        <v>#VALUE!</v>
      </c>
      <c r="D951" s="74" t="e">
        <f t="shared" si="134"/>
        <v>#VALUE!</v>
      </c>
      <c r="E951" s="25" t="e">
        <f t="shared" si="135"/>
        <v>#VALUE!</v>
      </c>
      <c r="F951" s="25" t="e">
        <f t="shared" ca="1" si="136"/>
        <v>#VALUE!</v>
      </c>
      <c r="G951" s="25"/>
      <c r="H951" s="25" t="e">
        <f t="shared" si="140"/>
        <v>#VALUE!</v>
      </c>
      <c r="I951" s="25">
        <f t="shared" si="137"/>
        <v>436.99999999998306</v>
      </c>
      <c r="J951" s="25" t="e">
        <f t="shared" si="138"/>
        <v>#VALUE!</v>
      </c>
    </row>
    <row r="952" spans="1:10" x14ac:dyDescent="0.25">
      <c r="A952" s="25">
        <f t="shared" si="139"/>
        <v>-0.6200000000001693</v>
      </c>
      <c r="B952" s="25">
        <f t="shared" ca="1" si="132"/>
        <v>9.0608977608833755E-2</v>
      </c>
      <c r="C952" s="25" t="e">
        <f t="shared" si="133"/>
        <v>#VALUE!</v>
      </c>
      <c r="D952" s="74" t="e">
        <f t="shared" si="134"/>
        <v>#VALUE!</v>
      </c>
      <c r="E952" s="25" t="e">
        <f t="shared" si="135"/>
        <v>#VALUE!</v>
      </c>
      <c r="F952" s="25" t="e">
        <f t="shared" ca="1" si="136"/>
        <v>#VALUE!</v>
      </c>
      <c r="G952" s="25"/>
      <c r="H952" s="25" t="e">
        <f t="shared" si="140"/>
        <v>#VALUE!</v>
      </c>
      <c r="I952" s="25">
        <f t="shared" si="137"/>
        <v>437.999999999983</v>
      </c>
      <c r="J952" s="25" t="e">
        <f t="shared" si="138"/>
        <v>#VALUE!</v>
      </c>
    </row>
    <row r="953" spans="1:10" x14ac:dyDescent="0.25">
      <c r="A953" s="25">
        <f t="shared" si="139"/>
        <v>-0.6100000000001693</v>
      </c>
      <c r="B953" s="25">
        <f t="shared" ca="1" si="132"/>
        <v>-0.11009467832053906</v>
      </c>
      <c r="C953" s="25" t="e">
        <f t="shared" si="133"/>
        <v>#VALUE!</v>
      </c>
      <c r="D953" s="74" t="e">
        <f t="shared" si="134"/>
        <v>#VALUE!</v>
      </c>
      <c r="E953" s="25" t="e">
        <f t="shared" si="135"/>
        <v>#VALUE!</v>
      </c>
      <c r="F953" s="25" t="e">
        <f t="shared" ca="1" si="136"/>
        <v>#VALUE!</v>
      </c>
      <c r="G953" s="25"/>
      <c r="H953" s="25" t="e">
        <f t="shared" si="140"/>
        <v>#VALUE!</v>
      </c>
      <c r="I953" s="25">
        <f t="shared" si="137"/>
        <v>438.99999999998306</v>
      </c>
      <c r="J953" s="25" t="e">
        <f t="shared" si="138"/>
        <v>#VALUE!</v>
      </c>
    </row>
    <row r="954" spans="1:10" x14ac:dyDescent="0.25">
      <c r="A954" s="25">
        <f t="shared" si="139"/>
        <v>-0.60000000000016929</v>
      </c>
      <c r="B954" s="25">
        <f t="shared" ca="1" si="132"/>
        <v>-0.15783541378801377</v>
      </c>
      <c r="C954" s="25" t="e">
        <f t="shared" si="133"/>
        <v>#VALUE!</v>
      </c>
      <c r="D954" s="74" t="e">
        <f t="shared" si="134"/>
        <v>#VALUE!</v>
      </c>
      <c r="E954" s="25" t="e">
        <f t="shared" si="135"/>
        <v>#VALUE!</v>
      </c>
      <c r="F954" s="25" t="e">
        <f t="shared" ca="1" si="136"/>
        <v>#VALUE!</v>
      </c>
      <c r="G954" s="25"/>
      <c r="H954" s="25" t="e">
        <f t="shared" si="140"/>
        <v>#VALUE!</v>
      </c>
      <c r="I954" s="25">
        <f t="shared" si="137"/>
        <v>439.99999999998306</v>
      </c>
      <c r="J954" s="25" t="e">
        <f t="shared" si="138"/>
        <v>#VALUE!</v>
      </c>
    </row>
    <row r="955" spans="1:10" x14ac:dyDescent="0.25">
      <c r="A955" s="25">
        <f t="shared" si="139"/>
        <v>-0.59000000000016928</v>
      </c>
      <c r="B955" s="25">
        <f t="shared" ca="1" si="132"/>
        <v>-4.6846519335901421E-2</v>
      </c>
      <c r="C955" s="25" t="e">
        <f t="shared" si="133"/>
        <v>#VALUE!</v>
      </c>
      <c r="D955" s="74" t="e">
        <f t="shared" si="134"/>
        <v>#VALUE!</v>
      </c>
      <c r="E955" s="25" t="e">
        <f t="shared" si="135"/>
        <v>#VALUE!</v>
      </c>
      <c r="F955" s="25" t="e">
        <f t="shared" ca="1" si="136"/>
        <v>#VALUE!</v>
      </c>
      <c r="G955" s="25"/>
      <c r="H955" s="25" t="e">
        <f t="shared" si="140"/>
        <v>#VALUE!</v>
      </c>
      <c r="I955" s="25">
        <f t="shared" si="137"/>
        <v>440.99999999998306</v>
      </c>
      <c r="J955" s="25" t="e">
        <f t="shared" si="138"/>
        <v>#VALUE!</v>
      </c>
    </row>
    <row r="956" spans="1:10" x14ac:dyDescent="0.25">
      <c r="A956" s="25">
        <f t="shared" si="139"/>
        <v>-0.58000000000016927</v>
      </c>
      <c r="B956" s="25">
        <f t="shared" ca="1" si="132"/>
        <v>8.3470757412908214E-2</v>
      </c>
      <c r="C956" s="25" t="e">
        <f t="shared" si="133"/>
        <v>#VALUE!</v>
      </c>
      <c r="D956" s="74" t="e">
        <f t="shared" si="134"/>
        <v>#VALUE!</v>
      </c>
      <c r="E956" s="25" t="e">
        <f t="shared" si="135"/>
        <v>#VALUE!</v>
      </c>
      <c r="F956" s="25" t="e">
        <f t="shared" ca="1" si="136"/>
        <v>#VALUE!</v>
      </c>
      <c r="G956" s="25"/>
      <c r="H956" s="25" t="e">
        <f t="shared" si="140"/>
        <v>#VALUE!</v>
      </c>
      <c r="I956" s="25">
        <f t="shared" si="137"/>
        <v>441.99999999998306</v>
      </c>
      <c r="J956" s="25" t="e">
        <f t="shared" si="138"/>
        <v>#VALUE!</v>
      </c>
    </row>
    <row r="957" spans="1:10" x14ac:dyDescent="0.25">
      <c r="A957" s="25">
        <f t="shared" si="139"/>
        <v>-0.57000000000016926</v>
      </c>
      <c r="B957" s="25">
        <f t="shared" ca="1" si="132"/>
        <v>-9.6597315863944846E-3</v>
      </c>
      <c r="C957" s="25" t="e">
        <f t="shared" si="133"/>
        <v>#VALUE!</v>
      </c>
      <c r="D957" s="74" t="e">
        <f t="shared" si="134"/>
        <v>#VALUE!</v>
      </c>
      <c r="E957" s="25" t="e">
        <f t="shared" si="135"/>
        <v>#VALUE!</v>
      </c>
      <c r="F957" s="25" t="e">
        <f t="shared" ca="1" si="136"/>
        <v>#VALUE!</v>
      </c>
      <c r="G957" s="25"/>
      <c r="H957" s="25" t="e">
        <f t="shared" si="140"/>
        <v>#VALUE!</v>
      </c>
      <c r="I957" s="25">
        <f t="shared" si="137"/>
        <v>442.99999999998306</v>
      </c>
      <c r="J957" s="25" t="e">
        <f t="shared" si="138"/>
        <v>#VALUE!</v>
      </c>
    </row>
    <row r="958" spans="1:10" x14ac:dyDescent="0.25">
      <c r="A958" s="25">
        <f t="shared" si="139"/>
        <v>-0.56000000000016925</v>
      </c>
      <c r="B958" s="25">
        <f t="shared" ca="1" si="132"/>
        <v>-0.13621929924741152</v>
      </c>
      <c r="C958" s="25" t="e">
        <f t="shared" si="133"/>
        <v>#VALUE!</v>
      </c>
      <c r="D958" s="74" t="e">
        <f t="shared" si="134"/>
        <v>#VALUE!</v>
      </c>
      <c r="E958" s="25" t="e">
        <f t="shared" si="135"/>
        <v>#VALUE!</v>
      </c>
      <c r="F958" s="25" t="e">
        <f t="shared" ca="1" si="136"/>
        <v>#VALUE!</v>
      </c>
      <c r="G958" s="25"/>
      <c r="H958" s="25" t="e">
        <f t="shared" si="140"/>
        <v>#VALUE!</v>
      </c>
      <c r="I958" s="25">
        <f t="shared" si="137"/>
        <v>443.99999999998306</v>
      </c>
      <c r="J958" s="25" t="e">
        <f t="shared" si="138"/>
        <v>#VALUE!</v>
      </c>
    </row>
    <row r="959" spans="1:10" x14ac:dyDescent="0.25">
      <c r="A959" s="25">
        <f t="shared" si="139"/>
        <v>-0.55000000000016924</v>
      </c>
      <c r="B959" s="25">
        <f t="shared" ca="1" si="132"/>
        <v>-0.17220086472283683</v>
      </c>
      <c r="C959" s="25" t="e">
        <f t="shared" si="133"/>
        <v>#VALUE!</v>
      </c>
      <c r="D959" s="74" t="e">
        <f t="shared" si="134"/>
        <v>#VALUE!</v>
      </c>
      <c r="E959" s="25" t="e">
        <f t="shared" si="135"/>
        <v>#VALUE!</v>
      </c>
      <c r="F959" s="25" t="e">
        <f t="shared" ca="1" si="136"/>
        <v>#VALUE!</v>
      </c>
      <c r="G959" s="25"/>
      <c r="H959" s="25" t="e">
        <f t="shared" si="140"/>
        <v>#VALUE!</v>
      </c>
      <c r="I959" s="25">
        <f t="shared" si="137"/>
        <v>444.99999999998306</v>
      </c>
      <c r="J959" s="25" t="e">
        <f t="shared" si="138"/>
        <v>#VALUE!</v>
      </c>
    </row>
    <row r="960" spans="1:10" x14ac:dyDescent="0.25">
      <c r="A960" s="25">
        <f t="shared" si="139"/>
        <v>-0.54000000000016923</v>
      </c>
      <c r="B960" s="25">
        <f t="shared" ca="1" si="132"/>
        <v>2.6129868719852446E-2</v>
      </c>
      <c r="C960" s="25" t="e">
        <f t="shared" si="133"/>
        <v>#VALUE!</v>
      </c>
      <c r="D960" s="74" t="e">
        <f t="shared" si="134"/>
        <v>#VALUE!</v>
      </c>
      <c r="E960" s="25" t="e">
        <f t="shared" si="135"/>
        <v>#VALUE!</v>
      </c>
      <c r="F960" s="25" t="e">
        <f t="shared" ca="1" si="136"/>
        <v>#VALUE!</v>
      </c>
      <c r="G960" s="25"/>
      <c r="H960" s="25" t="e">
        <f t="shared" si="140"/>
        <v>#VALUE!</v>
      </c>
      <c r="I960" s="25">
        <f t="shared" si="137"/>
        <v>445.999999999983</v>
      </c>
      <c r="J960" s="25" t="e">
        <f t="shared" si="138"/>
        <v>#VALUE!</v>
      </c>
    </row>
    <row r="961" spans="1:10" x14ac:dyDescent="0.25">
      <c r="A961" s="25">
        <f t="shared" si="139"/>
        <v>-0.53000000000016922</v>
      </c>
      <c r="B961" s="25">
        <f t="shared" ca="1" si="132"/>
        <v>7.5526730328134867E-2</v>
      </c>
      <c r="C961" s="25" t="e">
        <f t="shared" si="133"/>
        <v>#VALUE!</v>
      </c>
      <c r="D961" s="74" t="e">
        <f t="shared" si="134"/>
        <v>#VALUE!</v>
      </c>
      <c r="E961" s="25" t="e">
        <f t="shared" si="135"/>
        <v>#VALUE!</v>
      </c>
      <c r="F961" s="25" t="e">
        <f t="shared" ca="1" si="136"/>
        <v>#VALUE!</v>
      </c>
      <c r="G961" s="25"/>
      <c r="H961" s="25" t="e">
        <f t="shared" si="140"/>
        <v>#VALUE!</v>
      </c>
      <c r="I961" s="25">
        <f t="shared" si="137"/>
        <v>446.99999999998306</v>
      </c>
      <c r="J961" s="25" t="e">
        <f t="shared" si="138"/>
        <v>#VALUE!</v>
      </c>
    </row>
    <row r="962" spans="1:10" x14ac:dyDescent="0.25">
      <c r="A962" s="25">
        <f t="shared" si="139"/>
        <v>-0.52000000000016922</v>
      </c>
      <c r="B962" s="25">
        <f t="shared" ca="1" si="132"/>
        <v>-0.17186313921031393</v>
      </c>
      <c r="C962" s="25" t="e">
        <f t="shared" si="133"/>
        <v>#VALUE!</v>
      </c>
      <c r="D962" s="74" t="e">
        <f t="shared" si="134"/>
        <v>#VALUE!</v>
      </c>
      <c r="E962" s="25" t="e">
        <f t="shared" si="135"/>
        <v>#VALUE!</v>
      </c>
      <c r="F962" s="25" t="e">
        <f t="shared" ca="1" si="136"/>
        <v>#VALUE!</v>
      </c>
      <c r="G962" s="25"/>
      <c r="H962" s="25" t="e">
        <f t="shared" si="140"/>
        <v>#VALUE!</v>
      </c>
      <c r="I962" s="25">
        <f t="shared" si="137"/>
        <v>447.99999999998306</v>
      </c>
      <c r="J962" s="25" t="e">
        <f t="shared" si="138"/>
        <v>#VALUE!</v>
      </c>
    </row>
    <row r="963" spans="1:10" x14ac:dyDescent="0.25">
      <c r="A963" s="25">
        <f t="shared" si="139"/>
        <v>-0.51000000000016921</v>
      </c>
      <c r="B963" s="25">
        <f t="shared" ca="1" si="132"/>
        <v>-0.16044236328735806</v>
      </c>
      <c r="C963" s="25" t="e">
        <f t="shared" si="133"/>
        <v>#VALUE!</v>
      </c>
      <c r="D963" s="74" t="e">
        <f t="shared" si="134"/>
        <v>#VALUE!</v>
      </c>
      <c r="E963" s="25" t="e">
        <f t="shared" si="135"/>
        <v>#VALUE!</v>
      </c>
      <c r="F963" s="25" t="e">
        <f t="shared" ca="1" si="136"/>
        <v>#VALUE!</v>
      </c>
      <c r="G963" s="25"/>
      <c r="H963" s="25" t="e">
        <f t="shared" si="140"/>
        <v>#VALUE!</v>
      </c>
      <c r="I963" s="25">
        <f t="shared" si="137"/>
        <v>448.99999999998306</v>
      </c>
      <c r="J963" s="25" t="e">
        <f t="shared" si="138"/>
        <v>#VALUE!</v>
      </c>
    </row>
    <row r="964" spans="1:10" x14ac:dyDescent="0.25">
      <c r="A964" s="25">
        <f t="shared" si="139"/>
        <v>-0.5000000000001692</v>
      </c>
      <c r="B964" s="25">
        <f t="shared" ca="1" si="132"/>
        <v>0.12352645496979568</v>
      </c>
      <c r="C964" s="25" t="e">
        <f t="shared" si="133"/>
        <v>#VALUE!</v>
      </c>
      <c r="D964" s="74" t="e">
        <f t="shared" si="134"/>
        <v>#VALUE!</v>
      </c>
      <c r="E964" s="25" t="e">
        <f t="shared" si="135"/>
        <v>#VALUE!</v>
      </c>
      <c r="F964" s="25" t="e">
        <f t="shared" ca="1" si="136"/>
        <v>#VALUE!</v>
      </c>
      <c r="G964" s="25"/>
      <c r="H964" s="25" t="e">
        <f t="shared" si="140"/>
        <v>#VALUE!</v>
      </c>
      <c r="I964" s="25">
        <f t="shared" si="137"/>
        <v>449.99999999998306</v>
      </c>
      <c r="J964" s="25" t="e">
        <f t="shared" si="138"/>
        <v>#VALUE!</v>
      </c>
    </row>
    <row r="965" spans="1:10" x14ac:dyDescent="0.25">
      <c r="A965" s="25">
        <f t="shared" si="139"/>
        <v>-0.49000000000016919</v>
      </c>
      <c r="B965" s="25">
        <f t="shared" ca="1" si="132"/>
        <v>-0.11919514435799412</v>
      </c>
      <c r="C965" s="25" t="e">
        <f t="shared" si="133"/>
        <v>#VALUE!</v>
      </c>
      <c r="D965" s="74" t="e">
        <f t="shared" si="134"/>
        <v>#VALUE!</v>
      </c>
      <c r="E965" s="25" t="e">
        <f t="shared" si="135"/>
        <v>#VALUE!</v>
      </c>
      <c r="F965" s="25" t="e">
        <f t="shared" ca="1" si="136"/>
        <v>#VALUE!</v>
      </c>
      <c r="G965" s="25"/>
      <c r="H965" s="25" t="e">
        <f t="shared" si="140"/>
        <v>#VALUE!</v>
      </c>
      <c r="I965" s="25">
        <f t="shared" si="137"/>
        <v>450.99999999998306</v>
      </c>
      <c r="J965" s="25" t="e">
        <f t="shared" si="138"/>
        <v>#VALUE!</v>
      </c>
    </row>
    <row r="966" spans="1:10" x14ac:dyDescent="0.25">
      <c r="A966" s="25">
        <f t="shared" si="139"/>
        <v>-0.48000000000016918</v>
      </c>
      <c r="B966" s="25">
        <f t="shared" ca="1" si="132"/>
        <v>-0.17797838240565469</v>
      </c>
      <c r="C966" s="25" t="e">
        <f t="shared" si="133"/>
        <v>#VALUE!</v>
      </c>
      <c r="D966" s="74" t="e">
        <f t="shared" si="134"/>
        <v>#VALUE!</v>
      </c>
      <c r="E966" s="25" t="e">
        <f t="shared" si="135"/>
        <v>#VALUE!</v>
      </c>
      <c r="F966" s="25" t="e">
        <f t="shared" ca="1" si="136"/>
        <v>#VALUE!</v>
      </c>
      <c r="G966" s="25"/>
      <c r="H966" s="25" t="e">
        <f t="shared" si="140"/>
        <v>#VALUE!</v>
      </c>
      <c r="I966" s="25">
        <f t="shared" si="137"/>
        <v>451.99999999998306</v>
      </c>
      <c r="J966" s="25" t="e">
        <f t="shared" si="138"/>
        <v>#VALUE!</v>
      </c>
    </row>
    <row r="967" spans="1:10" x14ac:dyDescent="0.25">
      <c r="A967" s="25">
        <f t="shared" si="139"/>
        <v>-0.47000000000016917</v>
      </c>
      <c r="B967" s="25">
        <f t="shared" ca="1" si="132"/>
        <v>3.6388577470319233E-2</v>
      </c>
      <c r="C967" s="25" t="e">
        <f t="shared" si="133"/>
        <v>#VALUE!</v>
      </c>
      <c r="D967" s="74" t="e">
        <f t="shared" si="134"/>
        <v>#VALUE!</v>
      </c>
      <c r="E967" s="25" t="e">
        <f t="shared" si="135"/>
        <v>#VALUE!</v>
      </c>
      <c r="F967" s="25" t="e">
        <f t="shared" ca="1" si="136"/>
        <v>#VALUE!</v>
      </c>
      <c r="G967" s="25"/>
      <c r="H967" s="25" t="e">
        <f t="shared" si="140"/>
        <v>#VALUE!</v>
      </c>
      <c r="I967" s="25">
        <f t="shared" si="137"/>
        <v>452.99999999998306</v>
      </c>
      <c r="J967" s="25" t="e">
        <f t="shared" si="138"/>
        <v>#VALUE!</v>
      </c>
    </row>
    <row r="968" spans="1:10" x14ac:dyDescent="0.25">
      <c r="A968" s="25">
        <f t="shared" si="139"/>
        <v>-0.46000000000016916</v>
      </c>
      <c r="B968" s="25">
        <f t="shared" ca="1" si="132"/>
        <v>-0.19065568105156838</v>
      </c>
      <c r="C968" s="25" t="e">
        <f t="shared" si="133"/>
        <v>#VALUE!</v>
      </c>
      <c r="D968" s="74" t="e">
        <f t="shared" si="134"/>
        <v>#VALUE!</v>
      </c>
      <c r="E968" s="25" t="e">
        <f t="shared" si="135"/>
        <v>#VALUE!</v>
      </c>
      <c r="F968" s="25" t="e">
        <f t="shared" ca="1" si="136"/>
        <v>#VALUE!</v>
      </c>
      <c r="G968" s="25"/>
      <c r="H968" s="25" t="e">
        <f t="shared" si="140"/>
        <v>#VALUE!</v>
      </c>
      <c r="I968" s="25">
        <f t="shared" si="137"/>
        <v>453.99999999998306</v>
      </c>
      <c r="J968" s="25" t="e">
        <f t="shared" si="138"/>
        <v>#VALUE!</v>
      </c>
    </row>
    <row r="969" spans="1:10" x14ac:dyDescent="0.25">
      <c r="A969" s="25">
        <f t="shared" si="139"/>
        <v>-0.45000000000016915</v>
      </c>
      <c r="B969" s="25">
        <f t="shared" ca="1" si="132"/>
        <v>-4.2610237492731157E-2</v>
      </c>
      <c r="C969" s="25" t="e">
        <f t="shared" si="133"/>
        <v>#VALUE!</v>
      </c>
      <c r="D969" s="74" t="e">
        <f t="shared" si="134"/>
        <v>#VALUE!</v>
      </c>
      <c r="E969" s="25" t="e">
        <f t="shared" si="135"/>
        <v>#VALUE!</v>
      </c>
      <c r="F969" s="25" t="e">
        <f t="shared" ca="1" si="136"/>
        <v>#VALUE!</v>
      </c>
      <c r="G969" s="25"/>
      <c r="H969" s="25" t="e">
        <f t="shared" si="140"/>
        <v>#VALUE!</v>
      </c>
      <c r="I969" s="25">
        <f t="shared" si="137"/>
        <v>454.99999999998306</v>
      </c>
      <c r="J969" s="25" t="e">
        <f t="shared" si="138"/>
        <v>#VALUE!</v>
      </c>
    </row>
    <row r="970" spans="1:10" x14ac:dyDescent="0.25">
      <c r="A970" s="25">
        <f t="shared" si="139"/>
        <v>-0.44000000000016914</v>
      </c>
      <c r="B970" s="25">
        <f t="shared" ca="1" si="132"/>
        <v>5.9544752759498769E-2</v>
      </c>
      <c r="C970" s="25" t="e">
        <f t="shared" si="133"/>
        <v>#VALUE!</v>
      </c>
      <c r="D970" s="74" t="e">
        <f t="shared" si="134"/>
        <v>#VALUE!</v>
      </c>
      <c r="E970" s="25" t="e">
        <f t="shared" si="135"/>
        <v>#VALUE!</v>
      </c>
      <c r="F970" s="25" t="e">
        <f t="shared" ca="1" si="136"/>
        <v>#VALUE!</v>
      </c>
      <c r="G970" s="25"/>
      <c r="H970" s="25" t="e">
        <f t="shared" si="140"/>
        <v>#VALUE!</v>
      </c>
      <c r="I970" s="25">
        <f t="shared" si="137"/>
        <v>455.99999999998306</v>
      </c>
      <c r="J970" s="25" t="e">
        <f t="shared" si="138"/>
        <v>#VALUE!</v>
      </c>
    </row>
    <row r="971" spans="1:10" x14ac:dyDescent="0.25">
      <c r="A971" s="25">
        <f t="shared" si="139"/>
        <v>-0.43000000000016914</v>
      </c>
      <c r="B971" s="25">
        <f t="shared" ca="1" si="132"/>
        <v>-0.12352660480051343</v>
      </c>
      <c r="C971" s="25" t="e">
        <f t="shared" si="133"/>
        <v>#VALUE!</v>
      </c>
      <c r="D971" s="74" t="e">
        <f t="shared" si="134"/>
        <v>#VALUE!</v>
      </c>
      <c r="E971" s="25" t="e">
        <f t="shared" si="135"/>
        <v>#VALUE!</v>
      </c>
      <c r="F971" s="25" t="e">
        <f t="shared" ca="1" si="136"/>
        <v>#VALUE!</v>
      </c>
      <c r="G971" s="25"/>
      <c r="H971" s="25" t="e">
        <f t="shared" si="140"/>
        <v>#VALUE!</v>
      </c>
      <c r="I971" s="25">
        <f t="shared" si="137"/>
        <v>456.99999999998306</v>
      </c>
      <c r="J971" s="25" t="e">
        <f t="shared" si="138"/>
        <v>#VALUE!</v>
      </c>
    </row>
    <row r="972" spans="1:10" x14ac:dyDescent="0.25">
      <c r="A972" s="25">
        <f t="shared" si="139"/>
        <v>-0.42000000000016913</v>
      </c>
      <c r="B972" s="25">
        <f t="shared" ca="1" si="132"/>
        <v>-0.16731079658367365</v>
      </c>
      <c r="C972" s="25" t="e">
        <f t="shared" si="133"/>
        <v>#VALUE!</v>
      </c>
      <c r="D972" s="74" t="e">
        <f t="shared" si="134"/>
        <v>#VALUE!</v>
      </c>
      <c r="E972" s="25" t="e">
        <f t="shared" si="135"/>
        <v>#VALUE!</v>
      </c>
      <c r="F972" s="25" t="e">
        <f t="shared" ca="1" si="136"/>
        <v>#VALUE!</v>
      </c>
      <c r="G972" s="25"/>
      <c r="H972" s="25" t="e">
        <f t="shared" si="140"/>
        <v>#VALUE!</v>
      </c>
      <c r="I972" s="25">
        <f t="shared" si="137"/>
        <v>457.99999999998317</v>
      </c>
      <c r="J972" s="25" t="e">
        <f t="shared" si="138"/>
        <v>#VALUE!</v>
      </c>
    </row>
    <row r="973" spans="1:10" x14ac:dyDescent="0.25">
      <c r="A973" s="25">
        <f t="shared" si="139"/>
        <v>-0.41000000000016912</v>
      </c>
      <c r="B973" s="25">
        <f t="shared" ca="1" si="132"/>
        <v>-8.0937965584037139E-2</v>
      </c>
      <c r="C973" s="25" t="e">
        <f t="shared" si="133"/>
        <v>#VALUE!</v>
      </c>
      <c r="D973" s="74" t="e">
        <f t="shared" si="134"/>
        <v>#VALUE!</v>
      </c>
      <c r="E973" s="25" t="e">
        <f t="shared" si="135"/>
        <v>#VALUE!</v>
      </c>
      <c r="F973" s="25" t="e">
        <f t="shared" ca="1" si="136"/>
        <v>#VALUE!</v>
      </c>
      <c r="G973" s="25"/>
      <c r="H973" s="25" t="e">
        <f t="shared" si="140"/>
        <v>#VALUE!</v>
      </c>
      <c r="I973" s="25">
        <f t="shared" si="137"/>
        <v>458.99999999998306</v>
      </c>
      <c r="J973" s="25" t="e">
        <f t="shared" si="138"/>
        <v>#VALUE!</v>
      </c>
    </row>
    <row r="974" spans="1:10" x14ac:dyDescent="0.25">
      <c r="A974" s="25">
        <f t="shared" si="139"/>
        <v>-0.40000000000016911</v>
      </c>
      <c r="B974" s="25">
        <f t="shared" ref="B974:B1037" ca="1" si="141">(RAND()-0.5-$B$7)/$B$5</f>
        <v>-3.1388655255635001E-3</v>
      </c>
      <c r="C974" s="25" t="e">
        <f t="shared" ref="C974:C1037" si="142">IF(ABS(A974)&lt;=($D$3/2),1,IF(ABS(A974)&lt;=($B$4/2),IF(A974&gt;0,A974*(4/(1-2*$B$4))+(2*$B$4/(2*$B$4-1)),(-A974*(4/(1-2*$B$4))+(2*$B$4/(2*$B$4-1)))),0))</f>
        <v>#VALUE!</v>
      </c>
      <c r="D974" s="74" t="e">
        <f t="shared" ref="D974:D1037" si="143">IF(ABS(A974)&lt;=($D$3/4+$B$4/4),1,IF(ABS(A974)&lt;=($B$4/2),(IF(A974&gt;0,A974*(8/(1-2*$B$4))+(4*$B$4)/(2*$B$4-1),(-A974*(8/(1-2*$B$4))+(4*$B$4)/(2*$B$4-1)))),0))</f>
        <v>#VALUE!</v>
      </c>
      <c r="E974" s="25" t="e">
        <f t="shared" ref="E974:E1037" si="144">IF(ABS(A974)&lt;($B$4/2), 1, 0)</f>
        <v>#VALUE!</v>
      </c>
      <c r="F974" s="25" t="e">
        <f t="shared" ref="F974:F1037" ca="1" si="145">C974+B974</f>
        <v>#VALUE!</v>
      </c>
      <c r="G974" s="25"/>
      <c r="H974" s="25" t="e">
        <f t="shared" si="140"/>
        <v>#VALUE!</v>
      </c>
      <c r="I974" s="25">
        <f t="shared" ref="I974:I1037" si="146">$I$3*(A974-$G$3)/($H$3-$G$3)</f>
        <v>459.99999999998306</v>
      </c>
      <c r="J974" s="25" t="e">
        <f t="shared" ref="J974:J1037" si="147">H974</f>
        <v>#VALUE!</v>
      </c>
    </row>
    <row r="975" spans="1:10" x14ac:dyDescent="0.25">
      <c r="A975" s="25">
        <f t="shared" ref="A975:A1038" si="148">A974+0.01</f>
        <v>-0.3900000000001691</v>
      </c>
      <c r="B975" s="25">
        <f t="shared" ca="1" si="141"/>
        <v>7.8251070975295628E-2</v>
      </c>
      <c r="C975" s="25" t="e">
        <f t="shared" si="142"/>
        <v>#VALUE!</v>
      </c>
      <c r="D975" s="74" t="e">
        <f t="shared" si="143"/>
        <v>#VALUE!</v>
      </c>
      <c r="E975" s="25" t="e">
        <f t="shared" si="144"/>
        <v>#VALUE!</v>
      </c>
      <c r="F975" s="25" t="e">
        <f t="shared" ca="1" si="145"/>
        <v>#VALUE!</v>
      </c>
      <c r="G975" s="25"/>
      <c r="H975" s="25" t="e">
        <f t="shared" si="140"/>
        <v>#VALUE!</v>
      </c>
      <c r="I975" s="25">
        <f t="shared" si="146"/>
        <v>460.99999999998306</v>
      </c>
      <c r="J975" s="25" t="e">
        <f t="shared" si="147"/>
        <v>#VALUE!</v>
      </c>
    </row>
    <row r="976" spans="1:10" x14ac:dyDescent="0.25">
      <c r="A976" s="25">
        <f t="shared" si="148"/>
        <v>-0.38000000000016909</v>
      </c>
      <c r="B976" s="25">
        <f t="shared" ca="1" si="141"/>
        <v>-0.12948060514465456</v>
      </c>
      <c r="C976" s="25" t="e">
        <f t="shared" si="142"/>
        <v>#VALUE!</v>
      </c>
      <c r="D976" s="74" t="e">
        <f t="shared" si="143"/>
        <v>#VALUE!</v>
      </c>
      <c r="E976" s="25" t="e">
        <f t="shared" si="144"/>
        <v>#VALUE!</v>
      </c>
      <c r="F976" s="25" t="e">
        <f t="shared" ca="1" si="145"/>
        <v>#VALUE!</v>
      </c>
      <c r="G976" s="25"/>
      <c r="H976" s="25" t="e">
        <f t="shared" si="140"/>
        <v>#VALUE!</v>
      </c>
      <c r="I976" s="25">
        <f t="shared" si="146"/>
        <v>461.99999999998306</v>
      </c>
      <c r="J976" s="25" t="e">
        <f t="shared" si="147"/>
        <v>#VALUE!</v>
      </c>
    </row>
    <row r="977" spans="1:10" x14ac:dyDescent="0.25">
      <c r="A977" s="25">
        <f t="shared" si="148"/>
        <v>-0.37000000000016908</v>
      </c>
      <c r="B977" s="25">
        <f t="shared" ca="1" si="141"/>
        <v>-0.16408782049082957</v>
      </c>
      <c r="C977" s="25" t="e">
        <f t="shared" si="142"/>
        <v>#VALUE!</v>
      </c>
      <c r="D977" s="74" t="e">
        <f t="shared" si="143"/>
        <v>#VALUE!</v>
      </c>
      <c r="E977" s="25" t="e">
        <f t="shared" si="144"/>
        <v>#VALUE!</v>
      </c>
      <c r="F977" s="25" t="e">
        <f t="shared" ca="1" si="145"/>
        <v>#VALUE!</v>
      </c>
      <c r="G977" s="25"/>
      <c r="H977" s="25" t="e">
        <f t="shared" si="140"/>
        <v>#VALUE!</v>
      </c>
      <c r="I977" s="25">
        <f t="shared" si="146"/>
        <v>462.99999999998306</v>
      </c>
      <c r="J977" s="25" t="e">
        <f t="shared" si="147"/>
        <v>#VALUE!</v>
      </c>
    </row>
    <row r="978" spans="1:10" x14ac:dyDescent="0.25">
      <c r="A978" s="25">
        <f t="shared" si="148"/>
        <v>-0.36000000000016907</v>
      </c>
      <c r="B978" s="25">
        <f t="shared" ca="1" si="141"/>
        <v>4.2824214289288502E-2</v>
      </c>
      <c r="C978" s="25" t="e">
        <f t="shared" si="142"/>
        <v>#VALUE!</v>
      </c>
      <c r="D978" s="74" t="e">
        <f t="shared" si="143"/>
        <v>#VALUE!</v>
      </c>
      <c r="E978" s="25" t="e">
        <f t="shared" si="144"/>
        <v>#VALUE!</v>
      </c>
      <c r="F978" s="25" t="e">
        <f t="shared" ca="1" si="145"/>
        <v>#VALUE!</v>
      </c>
      <c r="G978" s="25"/>
      <c r="H978" s="25" t="e">
        <f t="shared" si="140"/>
        <v>#VALUE!</v>
      </c>
      <c r="I978" s="25">
        <f t="shared" si="146"/>
        <v>463.99999999998306</v>
      </c>
      <c r="J978" s="25" t="e">
        <f t="shared" si="147"/>
        <v>#VALUE!</v>
      </c>
    </row>
    <row r="979" spans="1:10" x14ac:dyDescent="0.25">
      <c r="A979" s="25">
        <f t="shared" si="148"/>
        <v>-0.35000000000016906</v>
      </c>
      <c r="B979" s="25">
        <f t="shared" ca="1" si="141"/>
        <v>9.6773306978695326E-3</v>
      </c>
      <c r="C979" s="25" t="e">
        <f t="shared" si="142"/>
        <v>#VALUE!</v>
      </c>
      <c r="D979" s="74" t="e">
        <f t="shared" si="143"/>
        <v>#VALUE!</v>
      </c>
      <c r="E979" s="25" t="e">
        <f t="shared" si="144"/>
        <v>#VALUE!</v>
      </c>
      <c r="F979" s="25" t="e">
        <f t="shared" ca="1" si="145"/>
        <v>#VALUE!</v>
      </c>
      <c r="G979" s="25"/>
      <c r="H979" s="25" t="e">
        <f t="shared" si="140"/>
        <v>#VALUE!</v>
      </c>
      <c r="I979" s="25">
        <f t="shared" si="146"/>
        <v>464.99999999998306</v>
      </c>
      <c r="J979" s="25" t="e">
        <f t="shared" si="147"/>
        <v>#VALUE!</v>
      </c>
    </row>
    <row r="980" spans="1:10" x14ac:dyDescent="0.25">
      <c r="A980" s="25">
        <f t="shared" si="148"/>
        <v>-0.34000000000016906</v>
      </c>
      <c r="B980" s="25">
        <f t="shared" ca="1" si="141"/>
        <v>-0.13831918400884993</v>
      </c>
      <c r="C980" s="25" t="e">
        <f t="shared" si="142"/>
        <v>#VALUE!</v>
      </c>
      <c r="D980" s="74" t="e">
        <f t="shared" si="143"/>
        <v>#VALUE!</v>
      </c>
      <c r="E980" s="25" t="e">
        <f t="shared" si="144"/>
        <v>#VALUE!</v>
      </c>
      <c r="F980" s="25" t="e">
        <f t="shared" ca="1" si="145"/>
        <v>#VALUE!</v>
      </c>
      <c r="G980" s="25"/>
      <c r="H980" s="25" t="e">
        <f t="shared" si="140"/>
        <v>#VALUE!</v>
      </c>
      <c r="I980" s="25">
        <f t="shared" si="146"/>
        <v>465.99999999998317</v>
      </c>
      <c r="J980" s="25" t="e">
        <f t="shared" si="147"/>
        <v>#VALUE!</v>
      </c>
    </row>
    <row r="981" spans="1:10" x14ac:dyDescent="0.25">
      <c r="A981" s="25">
        <f t="shared" si="148"/>
        <v>-0.33000000000016905</v>
      </c>
      <c r="B981" s="25">
        <f t="shared" ca="1" si="141"/>
        <v>7.7252621395333468E-2</v>
      </c>
      <c r="C981" s="25" t="e">
        <f t="shared" si="142"/>
        <v>#VALUE!</v>
      </c>
      <c r="D981" s="74" t="e">
        <f t="shared" si="143"/>
        <v>#VALUE!</v>
      </c>
      <c r="E981" s="25" t="e">
        <f t="shared" si="144"/>
        <v>#VALUE!</v>
      </c>
      <c r="F981" s="25" t="e">
        <f t="shared" ca="1" si="145"/>
        <v>#VALUE!</v>
      </c>
      <c r="G981" s="25"/>
      <c r="H981" s="25" t="e">
        <f t="shared" si="140"/>
        <v>#VALUE!</v>
      </c>
      <c r="I981" s="25">
        <f t="shared" si="146"/>
        <v>466.99999999998306</v>
      </c>
      <c r="J981" s="25" t="e">
        <f t="shared" si="147"/>
        <v>#VALUE!</v>
      </c>
    </row>
    <row r="982" spans="1:10" x14ac:dyDescent="0.25">
      <c r="A982" s="25">
        <f t="shared" si="148"/>
        <v>-0.32000000000016904</v>
      </c>
      <c r="B982" s="25">
        <f t="shared" ca="1" si="141"/>
        <v>-1.8972424179458592E-2</v>
      </c>
      <c r="C982" s="25" t="e">
        <f t="shared" si="142"/>
        <v>#VALUE!</v>
      </c>
      <c r="D982" s="74" t="e">
        <f t="shared" si="143"/>
        <v>#VALUE!</v>
      </c>
      <c r="E982" s="25" t="e">
        <f t="shared" si="144"/>
        <v>#VALUE!</v>
      </c>
      <c r="F982" s="25" t="e">
        <f t="shared" ca="1" si="145"/>
        <v>#VALUE!</v>
      </c>
      <c r="G982" s="25"/>
      <c r="H982" s="25" t="e">
        <f t="shared" si="140"/>
        <v>#VALUE!</v>
      </c>
      <c r="I982" s="25">
        <f t="shared" si="146"/>
        <v>467.99999999998306</v>
      </c>
      <c r="J982" s="25" t="e">
        <f t="shared" si="147"/>
        <v>#VALUE!</v>
      </c>
    </row>
    <row r="983" spans="1:10" x14ac:dyDescent="0.25">
      <c r="A983" s="25">
        <f t="shared" si="148"/>
        <v>-0.31000000000016903</v>
      </c>
      <c r="B983" s="25">
        <f t="shared" ca="1" si="141"/>
        <v>2.8761070206841665E-2</v>
      </c>
      <c r="C983" s="25" t="e">
        <f t="shared" si="142"/>
        <v>#VALUE!</v>
      </c>
      <c r="D983" s="74" t="e">
        <f t="shared" si="143"/>
        <v>#VALUE!</v>
      </c>
      <c r="E983" s="25" t="e">
        <f t="shared" si="144"/>
        <v>#VALUE!</v>
      </c>
      <c r="F983" s="25" t="e">
        <f t="shared" ca="1" si="145"/>
        <v>#VALUE!</v>
      </c>
      <c r="G983" s="25"/>
      <c r="H983" s="25" t="e">
        <f t="shared" si="140"/>
        <v>#VALUE!</v>
      </c>
      <c r="I983" s="25">
        <f t="shared" si="146"/>
        <v>468.99999999998306</v>
      </c>
      <c r="J983" s="25" t="e">
        <f t="shared" si="147"/>
        <v>#VALUE!</v>
      </c>
    </row>
    <row r="984" spans="1:10" x14ac:dyDescent="0.25">
      <c r="A984" s="25">
        <f t="shared" si="148"/>
        <v>-0.30000000000016902</v>
      </c>
      <c r="B984" s="25">
        <f t="shared" ca="1" si="141"/>
        <v>-4.1197934631535697E-2</v>
      </c>
      <c r="C984" s="25" t="e">
        <f t="shared" si="142"/>
        <v>#VALUE!</v>
      </c>
      <c r="D984" s="74" t="e">
        <f t="shared" si="143"/>
        <v>#VALUE!</v>
      </c>
      <c r="E984" s="25" t="e">
        <f t="shared" si="144"/>
        <v>#VALUE!</v>
      </c>
      <c r="F984" s="25" t="e">
        <f t="shared" ca="1" si="145"/>
        <v>#VALUE!</v>
      </c>
      <c r="G984" s="25"/>
      <c r="H984" s="25" t="e">
        <f t="shared" si="140"/>
        <v>#VALUE!</v>
      </c>
      <c r="I984" s="25">
        <f t="shared" si="146"/>
        <v>469.99999999998306</v>
      </c>
      <c r="J984" s="25" t="e">
        <f t="shared" si="147"/>
        <v>#VALUE!</v>
      </c>
    </row>
    <row r="985" spans="1:10" x14ac:dyDescent="0.25">
      <c r="A985" s="25">
        <f t="shared" si="148"/>
        <v>-0.29000000000016901</v>
      </c>
      <c r="B985" s="25">
        <f t="shared" ca="1" si="141"/>
        <v>-0.11749620845757917</v>
      </c>
      <c r="C985" s="25" t="e">
        <f t="shared" si="142"/>
        <v>#VALUE!</v>
      </c>
      <c r="D985" s="74" t="e">
        <f t="shared" si="143"/>
        <v>#VALUE!</v>
      </c>
      <c r="E985" s="25" t="e">
        <f t="shared" si="144"/>
        <v>#VALUE!</v>
      </c>
      <c r="F985" s="25" t="e">
        <f t="shared" ca="1" si="145"/>
        <v>#VALUE!</v>
      </c>
      <c r="G985" s="25"/>
      <c r="H985" s="25" t="e">
        <f t="shared" si="140"/>
        <v>#VALUE!</v>
      </c>
      <c r="I985" s="25">
        <f t="shared" si="146"/>
        <v>470.99999999998306</v>
      </c>
      <c r="J985" s="25" t="e">
        <f t="shared" si="147"/>
        <v>#VALUE!</v>
      </c>
    </row>
    <row r="986" spans="1:10" x14ac:dyDescent="0.25">
      <c r="A986" s="25">
        <f t="shared" si="148"/>
        <v>-0.280000000000169</v>
      </c>
      <c r="B986" s="25">
        <f t="shared" ca="1" si="141"/>
        <v>5.8179344956451003E-2</v>
      </c>
      <c r="C986" s="25" t="e">
        <f t="shared" si="142"/>
        <v>#VALUE!</v>
      </c>
      <c r="D986" s="74" t="e">
        <f t="shared" si="143"/>
        <v>#VALUE!</v>
      </c>
      <c r="E986" s="25" t="e">
        <f t="shared" si="144"/>
        <v>#VALUE!</v>
      </c>
      <c r="F986" s="25" t="e">
        <f t="shared" ca="1" si="145"/>
        <v>#VALUE!</v>
      </c>
      <c r="G986" s="25"/>
      <c r="H986" s="25" t="e">
        <f t="shared" si="140"/>
        <v>#VALUE!</v>
      </c>
      <c r="I986" s="25">
        <f t="shared" si="146"/>
        <v>471.99999999998306</v>
      </c>
      <c r="J986" s="25" t="e">
        <f t="shared" si="147"/>
        <v>#VALUE!</v>
      </c>
    </row>
    <row r="987" spans="1:10" x14ac:dyDescent="0.25">
      <c r="A987" s="25">
        <f t="shared" si="148"/>
        <v>-0.27000000000016899</v>
      </c>
      <c r="B987" s="25">
        <f t="shared" ca="1" si="141"/>
        <v>0.10790874542992894</v>
      </c>
      <c r="C987" s="25" t="e">
        <f t="shared" si="142"/>
        <v>#VALUE!</v>
      </c>
      <c r="D987" s="74" t="e">
        <f t="shared" si="143"/>
        <v>#VALUE!</v>
      </c>
      <c r="E987" s="25" t="e">
        <f t="shared" si="144"/>
        <v>#VALUE!</v>
      </c>
      <c r="F987" s="25" t="e">
        <f t="shared" ca="1" si="145"/>
        <v>#VALUE!</v>
      </c>
      <c r="G987" s="25"/>
      <c r="H987" s="25" t="e">
        <f t="shared" si="140"/>
        <v>#VALUE!</v>
      </c>
      <c r="I987" s="25">
        <f t="shared" si="146"/>
        <v>472.99999999998306</v>
      </c>
      <c r="J987" s="25" t="e">
        <f t="shared" si="147"/>
        <v>#VALUE!</v>
      </c>
    </row>
    <row r="988" spans="1:10" x14ac:dyDescent="0.25">
      <c r="A988" s="25">
        <f t="shared" si="148"/>
        <v>-0.26000000000016898</v>
      </c>
      <c r="B988" s="25">
        <f t="shared" ca="1" si="141"/>
        <v>7.1881590313407864E-2</v>
      </c>
      <c r="C988" s="25" t="e">
        <f t="shared" si="142"/>
        <v>#VALUE!</v>
      </c>
      <c r="D988" s="74" t="e">
        <f t="shared" si="143"/>
        <v>#VALUE!</v>
      </c>
      <c r="E988" s="25" t="e">
        <f t="shared" si="144"/>
        <v>#VALUE!</v>
      </c>
      <c r="F988" s="25" t="e">
        <f t="shared" ca="1" si="145"/>
        <v>#VALUE!</v>
      </c>
      <c r="G988" s="25"/>
      <c r="H988" s="25" t="e">
        <f t="shared" si="140"/>
        <v>#VALUE!</v>
      </c>
      <c r="I988" s="25">
        <f t="shared" si="146"/>
        <v>473.99999999998317</v>
      </c>
      <c r="J988" s="25" t="e">
        <f t="shared" si="147"/>
        <v>#VALUE!</v>
      </c>
    </row>
    <row r="989" spans="1:10" x14ac:dyDescent="0.25">
      <c r="A989" s="25">
        <f t="shared" si="148"/>
        <v>-0.25000000000016898</v>
      </c>
      <c r="B989" s="25">
        <f t="shared" ca="1" si="141"/>
        <v>-0.12060455403438634</v>
      </c>
      <c r="C989" s="25" t="e">
        <f t="shared" si="142"/>
        <v>#VALUE!</v>
      </c>
      <c r="D989" s="74" t="e">
        <f t="shared" si="143"/>
        <v>#VALUE!</v>
      </c>
      <c r="E989" s="25" t="e">
        <f t="shared" si="144"/>
        <v>#VALUE!</v>
      </c>
      <c r="F989" s="25" t="e">
        <f t="shared" ca="1" si="145"/>
        <v>#VALUE!</v>
      </c>
      <c r="G989" s="25"/>
      <c r="H989" s="25" t="e">
        <f t="shared" si="140"/>
        <v>#VALUE!</v>
      </c>
      <c r="I989" s="25">
        <f t="shared" si="146"/>
        <v>474.99999999998306</v>
      </c>
      <c r="J989" s="25" t="e">
        <f t="shared" si="147"/>
        <v>#VALUE!</v>
      </c>
    </row>
    <row r="990" spans="1:10" x14ac:dyDescent="0.25">
      <c r="A990" s="25">
        <f t="shared" si="148"/>
        <v>-0.24000000000016897</v>
      </c>
      <c r="B990" s="25">
        <f t="shared" ca="1" si="141"/>
        <v>1.6284705967644735E-3</v>
      </c>
      <c r="C990" s="25">
        <f t="shared" si="142"/>
        <v>1</v>
      </c>
      <c r="D990" s="74" t="e">
        <f t="shared" si="143"/>
        <v>#VALUE!</v>
      </c>
      <c r="E990" s="25" t="e">
        <f t="shared" si="144"/>
        <v>#VALUE!</v>
      </c>
      <c r="F990" s="25">
        <f t="shared" ca="1" si="145"/>
        <v>1.0016284705967644</v>
      </c>
      <c r="G990" s="25"/>
      <c r="H990" s="25" t="e">
        <f t="shared" ref="H990:H1053" si="149">IF(PeakShape=$O$3,C990,IF(PeakShape=O992,D990,E990))</f>
        <v>#VALUE!</v>
      </c>
      <c r="I990" s="25">
        <f t="shared" si="146"/>
        <v>475.99999999998306</v>
      </c>
      <c r="J990" s="25" t="e">
        <f t="shared" si="147"/>
        <v>#VALUE!</v>
      </c>
    </row>
    <row r="991" spans="1:10" x14ac:dyDescent="0.25">
      <c r="A991" s="25">
        <f t="shared" si="148"/>
        <v>-0.23000000000016896</v>
      </c>
      <c r="B991" s="25">
        <f t="shared" ca="1" si="141"/>
        <v>-0.10441987387723879</v>
      </c>
      <c r="C991" s="25">
        <f t="shared" si="142"/>
        <v>1</v>
      </c>
      <c r="D991" s="74" t="e">
        <f t="shared" si="143"/>
        <v>#VALUE!</v>
      </c>
      <c r="E991" s="25" t="e">
        <f t="shared" si="144"/>
        <v>#VALUE!</v>
      </c>
      <c r="F991" s="25">
        <f t="shared" ca="1" si="145"/>
        <v>0.89558012612276117</v>
      </c>
      <c r="G991" s="25"/>
      <c r="H991" s="25" t="e">
        <f t="shared" si="149"/>
        <v>#VALUE!</v>
      </c>
      <c r="I991" s="25">
        <f t="shared" si="146"/>
        <v>476.99999999998306</v>
      </c>
      <c r="J991" s="25" t="e">
        <f t="shared" si="147"/>
        <v>#VALUE!</v>
      </c>
    </row>
    <row r="992" spans="1:10" x14ac:dyDescent="0.25">
      <c r="A992" s="25">
        <f t="shared" si="148"/>
        <v>-0.22000000000016895</v>
      </c>
      <c r="B992" s="25">
        <f t="shared" ca="1" si="141"/>
        <v>9.280960681875736E-3</v>
      </c>
      <c r="C992" s="25">
        <f t="shared" si="142"/>
        <v>1</v>
      </c>
      <c r="D992" s="74" t="e">
        <f t="shared" si="143"/>
        <v>#VALUE!</v>
      </c>
      <c r="E992" s="25" t="e">
        <f t="shared" si="144"/>
        <v>#VALUE!</v>
      </c>
      <c r="F992" s="25">
        <f t="shared" ca="1" si="145"/>
        <v>1.0092809606818758</v>
      </c>
      <c r="G992" s="25"/>
      <c r="H992" s="25" t="e">
        <f t="shared" si="149"/>
        <v>#VALUE!</v>
      </c>
      <c r="I992" s="25">
        <f t="shared" si="146"/>
        <v>477.99999999998306</v>
      </c>
      <c r="J992" s="25" t="e">
        <f t="shared" si="147"/>
        <v>#VALUE!</v>
      </c>
    </row>
    <row r="993" spans="1:10" x14ac:dyDescent="0.25">
      <c r="A993" s="25">
        <f t="shared" si="148"/>
        <v>-0.21000000000016894</v>
      </c>
      <c r="B993" s="25">
        <f t="shared" ca="1" si="141"/>
        <v>-3.5611147466538789E-2</v>
      </c>
      <c r="C993" s="25">
        <f t="shared" si="142"/>
        <v>1</v>
      </c>
      <c r="D993" s="74" t="e">
        <f t="shared" si="143"/>
        <v>#VALUE!</v>
      </c>
      <c r="E993" s="25" t="e">
        <f t="shared" si="144"/>
        <v>#VALUE!</v>
      </c>
      <c r="F993" s="25">
        <f t="shared" ca="1" si="145"/>
        <v>0.96438885253346118</v>
      </c>
      <c r="G993" s="25"/>
      <c r="H993" s="25" t="e">
        <f t="shared" si="149"/>
        <v>#VALUE!</v>
      </c>
      <c r="I993" s="25">
        <f t="shared" si="146"/>
        <v>478.99999999998306</v>
      </c>
      <c r="J993" s="25" t="e">
        <f t="shared" si="147"/>
        <v>#VALUE!</v>
      </c>
    </row>
    <row r="994" spans="1:10" x14ac:dyDescent="0.25">
      <c r="A994" s="25">
        <f t="shared" si="148"/>
        <v>-0.20000000000016893</v>
      </c>
      <c r="B994" s="25">
        <f t="shared" ca="1" si="141"/>
        <v>0.11465173457539797</v>
      </c>
      <c r="C994" s="25">
        <f t="shared" si="142"/>
        <v>1</v>
      </c>
      <c r="D994" s="74" t="e">
        <f t="shared" si="143"/>
        <v>#VALUE!</v>
      </c>
      <c r="E994" s="25" t="e">
        <f t="shared" si="144"/>
        <v>#VALUE!</v>
      </c>
      <c r="F994" s="25">
        <f t="shared" ca="1" si="145"/>
        <v>1.1146517345753979</v>
      </c>
      <c r="G994" s="25"/>
      <c r="H994" s="25" t="e">
        <f t="shared" si="149"/>
        <v>#VALUE!</v>
      </c>
      <c r="I994" s="25">
        <f t="shared" si="146"/>
        <v>479.99999999998306</v>
      </c>
      <c r="J994" s="25" t="e">
        <f t="shared" si="147"/>
        <v>#VALUE!</v>
      </c>
    </row>
    <row r="995" spans="1:10" x14ac:dyDescent="0.25">
      <c r="A995" s="25">
        <f t="shared" si="148"/>
        <v>-0.19000000000016892</v>
      </c>
      <c r="B995" s="25">
        <f t="shared" ca="1" si="141"/>
        <v>-8.9714661480861269E-2</v>
      </c>
      <c r="C995" s="25">
        <f t="shared" si="142"/>
        <v>1</v>
      </c>
      <c r="D995" s="74" t="e">
        <f t="shared" si="143"/>
        <v>#VALUE!</v>
      </c>
      <c r="E995" s="25" t="e">
        <f t="shared" si="144"/>
        <v>#VALUE!</v>
      </c>
      <c r="F995" s="25">
        <f t="shared" ca="1" si="145"/>
        <v>0.91028533851913873</v>
      </c>
      <c r="G995" s="25"/>
      <c r="H995" s="25" t="e">
        <f t="shared" si="149"/>
        <v>#VALUE!</v>
      </c>
      <c r="I995" s="25">
        <f t="shared" si="146"/>
        <v>480.99999999998306</v>
      </c>
      <c r="J995" s="25" t="e">
        <f t="shared" si="147"/>
        <v>#VALUE!</v>
      </c>
    </row>
    <row r="996" spans="1:10" x14ac:dyDescent="0.25">
      <c r="A996" s="25">
        <f t="shared" si="148"/>
        <v>-0.18000000000016891</v>
      </c>
      <c r="B996" s="25">
        <f t="shared" ca="1" si="141"/>
        <v>-0.12250949639518698</v>
      </c>
      <c r="C996" s="25">
        <f t="shared" si="142"/>
        <v>1</v>
      </c>
      <c r="D996" s="74" t="e">
        <f t="shared" si="143"/>
        <v>#VALUE!</v>
      </c>
      <c r="E996" s="25" t="e">
        <f t="shared" si="144"/>
        <v>#VALUE!</v>
      </c>
      <c r="F996" s="25">
        <f t="shared" ca="1" si="145"/>
        <v>0.87749050360481307</v>
      </c>
      <c r="G996" s="25"/>
      <c r="H996" s="25" t="e">
        <f t="shared" si="149"/>
        <v>#VALUE!</v>
      </c>
      <c r="I996" s="25">
        <f t="shared" si="146"/>
        <v>481.99999999998317</v>
      </c>
      <c r="J996" s="25" t="e">
        <f t="shared" si="147"/>
        <v>#VALUE!</v>
      </c>
    </row>
    <row r="997" spans="1:10" x14ac:dyDescent="0.25">
      <c r="A997" s="25">
        <f t="shared" si="148"/>
        <v>-0.1700000000001689</v>
      </c>
      <c r="B997" s="25">
        <f t="shared" ca="1" si="141"/>
        <v>-0.113348158377007</v>
      </c>
      <c r="C997" s="25">
        <f t="shared" si="142"/>
        <v>1</v>
      </c>
      <c r="D997" s="74" t="e">
        <f t="shared" si="143"/>
        <v>#VALUE!</v>
      </c>
      <c r="E997" s="25" t="e">
        <f t="shared" si="144"/>
        <v>#VALUE!</v>
      </c>
      <c r="F997" s="25">
        <f t="shared" ca="1" si="145"/>
        <v>0.88665184162299304</v>
      </c>
      <c r="G997" s="25"/>
      <c r="H997" s="25" t="e">
        <f t="shared" si="149"/>
        <v>#VALUE!</v>
      </c>
      <c r="I997" s="25">
        <f t="shared" si="146"/>
        <v>482.99999999998317</v>
      </c>
      <c r="J997" s="25" t="e">
        <f t="shared" si="147"/>
        <v>#VALUE!</v>
      </c>
    </row>
    <row r="998" spans="1:10" x14ac:dyDescent="0.25">
      <c r="A998" s="25">
        <f t="shared" si="148"/>
        <v>-0.1600000000001689</v>
      </c>
      <c r="B998" s="25">
        <f t="shared" ca="1" si="141"/>
        <v>-1.5751310875797037E-2</v>
      </c>
      <c r="C998" s="25">
        <f t="shared" si="142"/>
        <v>1</v>
      </c>
      <c r="D998" s="74" t="e">
        <f t="shared" si="143"/>
        <v>#VALUE!</v>
      </c>
      <c r="E998" s="25" t="e">
        <f t="shared" si="144"/>
        <v>#VALUE!</v>
      </c>
      <c r="F998" s="25">
        <f t="shared" ca="1" si="145"/>
        <v>0.98424868912420294</v>
      </c>
      <c r="G998" s="25"/>
      <c r="H998" s="25" t="e">
        <f t="shared" si="149"/>
        <v>#VALUE!</v>
      </c>
      <c r="I998" s="25">
        <f t="shared" si="146"/>
        <v>483.99999999998306</v>
      </c>
      <c r="J998" s="25" t="e">
        <f t="shared" si="147"/>
        <v>#VALUE!</v>
      </c>
    </row>
    <row r="999" spans="1:10" x14ac:dyDescent="0.25">
      <c r="A999" s="25">
        <f t="shared" si="148"/>
        <v>-0.15000000000016889</v>
      </c>
      <c r="B999" s="25">
        <f t="shared" ca="1" si="141"/>
        <v>-0.16780507240752188</v>
      </c>
      <c r="C999" s="25">
        <f t="shared" si="142"/>
        <v>1</v>
      </c>
      <c r="D999" s="74" t="e">
        <f t="shared" si="143"/>
        <v>#VALUE!</v>
      </c>
      <c r="E999" s="25" t="e">
        <f t="shared" si="144"/>
        <v>#VALUE!</v>
      </c>
      <c r="F999" s="25">
        <f t="shared" ca="1" si="145"/>
        <v>0.83219492759247815</v>
      </c>
      <c r="G999" s="25"/>
      <c r="H999" s="25" t="e">
        <f t="shared" si="149"/>
        <v>#VALUE!</v>
      </c>
      <c r="I999" s="25">
        <f t="shared" si="146"/>
        <v>484.99999999998306</v>
      </c>
      <c r="J999" s="25" t="e">
        <f t="shared" si="147"/>
        <v>#VALUE!</v>
      </c>
    </row>
    <row r="1000" spans="1:10" x14ac:dyDescent="0.25">
      <c r="A1000" s="25">
        <f t="shared" si="148"/>
        <v>-0.14000000000016888</v>
      </c>
      <c r="B1000" s="25">
        <f t="shared" ca="1" si="141"/>
        <v>-0.14833355716180932</v>
      </c>
      <c r="C1000" s="25">
        <f t="shared" si="142"/>
        <v>1</v>
      </c>
      <c r="D1000" s="74" t="e">
        <f t="shared" si="143"/>
        <v>#VALUE!</v>
      </c>
      <c r="E1000" s="25" t="e">
        <f t="shared" si="144"/>
        <v>#VALUE!</v>
      </c>
      <c r="F1000" s="25">
        <f t="shared" ca="1" si="145"/>
        <v>0.85166644283819071</v>
      </c>
      <c r="G1000" s="25"/>
      <c r="H1000" s="25" t="e">
        <f t="shared" si="149"/>
        <v>#VALUE!</v>
      </c>
      <c r="I1000" s="25">
        <f t="shared" si="146"/>
        <v>485.99999999998306</v>
      </c>
      <c r="J1000" s="25" t="e">
        <f t="shared" si="147"/>
        <v>#VALUE!</v>
      </c>
    </row>
    <row r="1001" spans="1:10" x14ac:dyDescent="0.25">
      <c r="A1001" s="25">
        <f t="shared" si="148"/>
        <v>-0.13000000000016887</v>
      </c>
      <c r="B1001" s="25">
        <f t="shared" ca="1" si="141"/>
        <v>-6.8649309167434516E-2</v>
      </c>
      <c r="C1001" s="25">
        <f t="shared" si="142"/>
        <v>1</v>
      </c>
      <c r="D1001" s="74" t="e">
        <f t="shared" si="143"/>
        <v>#VALUE!</v>
      </c>
      <c r="E1001" s="25" t="e">
        <f t="shared" si="144"/>
        <v>#VALUE!</v>
      </c>
      <c r="F1001" s="25">
        <f t="shared" ca="1" si="145"/>
        <v>0.9313506908325655</v>
      </c>
      <c r="G1001" s="25"/>
      <c r="H1001" s="25" t="e">
        <f t="shared" si="149"/>
        <v>#VALUE!</v>
      </c>
      <c r="I1001" s="25">
        <f t="shared" si="146"/>
        <v>486.99999999998317</v>
      </c>
      <c r="J1001" s="25" t="e">
        <f t="shared" si="147"/>
        <v>#VALUE!</v>
      </c>
    </row>
    <row r="1002" spans="1:10" x14ac:dyDescent="0.25">
      <c r="A1002" s="25">
        <f t="shared" si="148"/>
        <v>-0.12000000000016887</v>
      </c>
      <c r="B1002" s="25">
        <f t="shared" ca="1" si="141"/>
        <v>-0.19271753432368788</v>
      </c>
      <c r="C1002" s="25">
        <f t="shared" si="142"/>
        <v>1</v>
      </c>
      <c r="D1002" s="74" t="e">
        <f t="shared" si="143"/>
        <v>#VALUE!</v>
      </c>
      <c r="E1002" s="25" t="e">
        <f t="shared" si="144"/>
        <v>#VALUE!</v>
      </c>
      <c r="F1002" s="25">
        <f t="shared" ca="1" si="145"/>
        <v>0.80728246567631212</v>
      </c>
      <c r="G1002" s="25"/>
      <c r="H1002" s="25" t="e">
        <f t="shared" si="149"/>
        <v>#VALUE!</v>
      </c>
      <c r="I1002" s="25">
        <f t="shared" si="146"/>
        <v>487.99999999998306</v>
      </c>
      <c r="J1002" s="25" t="e">
        <f t="shared" si="147"/>
        <v>#VALUE!</v>
      </c>
    </row>
    <row r="1003" spans="1:10" x14ac:dyDescent="0.25">
      <c r="A1003" s="25">
        <f t="shared" si="148"/>
        <v>-0.11000000000016888</v>
      </c>
      <c r="B1003" s="25">
        <f t="shared" ca="1" si="141"/>
        <v>-8.0085546389825388E-2</v>
      </c>
      <c r="C1003" s="25">
        <f t="shared" si="142"/>
        <v>1</v>
      </c>
      <c r="D1003" s="74" t="e">
        <f t="shared" si="143"/>
        <v>#VALUE!</v>
      </c>
      <c r="E1003" s="25" t="e">
        <f t="shared" si="144"/>
        <v>#VALUE!</v>
      </c>
      <c r="F1003" s="25">
        <f t="shared" ca="1" si="145"/>
        <v>0.91991445361017465</v>
      </c>
      <c r="G1003" s="25"/>
      <c r="H1003" s="25" t="e">
        <f t="shared" si="149"/>
        <v>#VALUE!</v>
      </c>
      <c r="I1003" s="25">
        <f t="shared" si="146"/>
        <v>488.99999999998306</v>
      </c>
      <c r="J1003" s="25" t="e">
        <f t="shared" si="147"/>
        <v>#VALUE!</v>
      </c>
    </row>
    <row r="1004" spans="1:10" x14ac:dyDescent="0.25">
      <c r="A1004" s="25">
        <f t="shared" si="148"/>
        <v>-0.10000000000016888</v>
      </c>
      <c r="B1004" s="25">
        <f t="shared" ca="1" si="141"/>
        <v>0.11252901740063363</v>
      </c>
      <c r="C1004" s="25">
        <f t="shared" si="142"/>
        <v>1</v>
      </c>
      <c r="D1004" s="74" t="e">
        <f t="shared" si="143"/>
        <v>#VALUE!</v>
      </c>
      <c r="E1004" s="25" t="e">
        <f t="shared" si="144"/>
        <v>#VALUE!</v>
      </c>
      <c r="F1004" s="25">
        <f t="shared" ca="1" si="145"/>
        <v>1.1125290174006337</v>
      </c>
      <c r="G1004" s="25"/>
      <c r="H1004" s="25" t="e">
        <f t="shared" si="149"/>
        <v>#VALUE!</v>
      </c>
      <c r="I1004" s="25">
        <f t="shared" si="146"/>
        <v>489.99999999998306</v>
      </c>
      <c r="J1004" s="25" t="e">
        <f t="shared" si="147"/>
        <v>#VALUE!</v>
      </c>
    </row>
    <row r="1005" spans="1:10" x14ac:dyDescent="0.25">
      <c r="A1005" s="25">
        <f t="shared" si="148"/>
        <v>-9.0000000000168889E-2</v>
      </c>
      <c r="B1005" s="25">
        <f t="shared" ca="1" si="141"/>
        <v>5.440057276249121E-2</v>
      </c>
      <c r="C1005" s="25">
        <f t="shared" si="142"/>
        <v>1</v>
      </c>
      <c r="D1005" s="74" t="e">
        <f t="shared" si="143"/>
        <v>#VALUE!</v>
      </c>
      <c r="E1005" s="25" t="e">
        <f t="shared" si="144"/>
        <v>#VALUE!</v>
      </c>
      <c r="F1005" s="25">
        <f t="shared" ca="1" si="145"/>
        <v>1.0544005727624912</v>
      </c>
      <c r="G1005" s="25"/>
      <c r="H1005" s="25" t="e">
        <f t="shared" si="149"/>
        <v>#VALUE!</v>
      </c>
      <c r="I1005" s="25">
        <f t="shared" si="146"/>
        <v>490.99999999998317</v>
      </c>
      <c r="J1005" s="25" t="e">
        <f t="shared" si="147"/>
        <v>#VALUE!</v>
      </c>
    </row>
    <row r="1006" spans="1:10" x14ac:dyDescent="0.25">
      <c r="A1006" s="25">
        <f t="shared" si="148"/>
        <v>-8.0000000000168894E-2</v>
      </c>
      <c r="B1006" s="25">
        <f t="shared" ca="1" si="141"/>
        <v>-9.8395323804598853E-2</v>
      </c>
      <c r="C1006" s="25">
        <f t="shared" si="142"/>
        <v>1</v>
      </c>
      <c r="D1006" s="74" t="e">
        <f t="shared" si="143"/>
        <v>#VALUE!</v>
      </c>
      <c r="E1006" s="25" t="e">
        <f t="shared" si="144"/>
        <v>#VALUE!</v>
      </c>
      <c r="F1006" s="25">
        <f t="shared" ca="1" si="145"/>
        <v>0.90160467619540119</v>
      </c>
      <c r="G1006" s="25"/>
      <c r="H1006" s="25" t="e">
        <f t="shared" si="149"/>
        <v>#VALUE!</v>
      </c>
      <c r="I1006" s="25">
        <f t="shared" si="146"/>
        <v>491.99999999998306</v>
      </c>
      <c r="J1006" s="25" t="e">
        <f t="shared" si="147"/>
        <v>#VALUE!</v>
      </c>
    </row>
    <row r="1007" spans="1:10" x14ac:dyDescent="0.25">
      <c r="A1007" s="25">
        <f t="shared" si="148"/>
        <v>-7.0000000000168899E-2</v>
      </c>
      <c r="B1007" s="25">
        <f t="shared" ca="1" si="141"/>
        <v>0.12871081943162857</v>
      </c>
      <c r="C1007" s="25">
        <f t="shared" si="142"/>
        <v>1</v>
      </c>
      <c r="D1007" s="74" t="e">
        <f t="shared" si="143"/>
        <v>#VALUE!</v>
      </c>
      <c r="E1007" s="25" t="e">
        <f t="shared" si="144"/>
        <v>#VALUE!</v>
      </c>
      <c r="F1007" s="25">
        <f t="shared" ca="1" si="145"/>
        <v>1.1287108194316287</v>
      </c>
      <c r="G1007" s="25"/>
      <c r="H1007" s="25" t="e">
        <f t="shared" si="149"/>
        <v>#VALUE!</v>
      </c>
      <c r="I1007" s="25">
        <f t="shared" si="146"/>
        <v>492.99999999998306</v>
      </c>
      <c r="J1007" s="25" t="e">
        <f t="shared" si="147"/>
        <v>#VALUE!</v>
      </c>
    </row>
    <row r="1008" spans="1:10" x14ac:dyDescent="0.25">
      <c r="A1008" s="25">
        <f t="shared" si="148"/>
        <v>-6.0000000000168897E-2</v>
      </c>
      <c r="B1008" s="25">
        <f t="shared" ca="1" si="141"/>
        <v>0.11092034818748997</v>
      </c>
      <c r="C1008" s="25">
        <f t="shared" si="142"/>
        <v>1</v>
      </c>
      <c r="D1008" s="74" t="e">
        <f t="shared" si="143"/>
        <v>#VALUE!</v>
      </c>
      <c r="E1008" s="25" t="e">
        <f t="shared" si="144"/>
        <v>#VALUE!</v>
      </c>
      <c r="F1008" s="25">
        <f t="shared" ca="1" si="145"/>
        <v>1.1109203481874901</v>
      </c>
      <c r="G1008" s="25"/>
      <c r="H1008" s="25" t="e">
        <f t="shared" si="149"/>
        <v>#VALUE!</v>
      </c>
      <c r="I1008" s="25">
        <f t="shared" si="146"/>
        <v>493.99999999998306</v>
      </c>
      <c r="J1008" s="25" t="e">
        <f t="shared" si="147"/>
        <v>#VALUE!</v>
      </c>
    </row>
    <row r="1009" spans="1:10" x14ac:dyDescent="0.25">
      <c r="A1009" s="25">
        <f t="shared" si="148"/>
        <v>-5.0000000000168895E-2</v>
      </c>
      <c r="B1009" s="25">
        <f t="shared" ca="1" si="141"/>
        <v>6.2153709527092899E-2</v>
      </c>
      <c r="C1009" s="25">
        <f t="shared" si="142"/>
        <v>1</v>
      </c>
      <c r="D1009" s="74" t="e">
        <f t="shared" si="143"/>
        <v>#VALUE!</v>
      </c>
      <c r="E1009" s="25" t="e">
        <f t="shared" si="144"/>
        <v>#VALUE!</v>
      </c>
      <c r="F1009" s="25">
        <f t="shared" ca="1" si="145"/>
        <v>1.062153709527093</v>
      </c>
      <c r="G1009" s="25"/>
      <c r="H1009" s="25" t="e">
        <f t="shared" si="149"/>
        <v>#VALUE!</v>
      </c>
      <c r="I1009" s="25">
        <f t="shared" si="146"/>
        <v>494.99999999998317</v>
      </c>
      <c r="J1009" s="25" t="e">
        <f t="shared" si="147"/>
        <v>#VALUE!</v>
      </c>
    </row>
    <row r="1010" spans="1:10" x14ac:dyDescent="0.25">
      <c r="A1010" s="25">
        <f t="shared" si="148"/>
        <v>-4.0000000000168894E-2</v>
      </c>
      <c r="B1010" s="25">
        <f t="shared" ca="1" si="141"/>
        <v>-9.9796349660448258E-2</v>
      </c>
      <c r="C1010" s="25">
        <f t="shared" si="142"/>
        <v>1</v>
      </c>
      <c r="D1010" s="74" t="e">
        <f t="shared" si="143"/>
        <v>#VALUE!</v>
      </c>
      <c r="E1010" s="25" t="e">
        <f t="shared" si="144"/>
        <v>#VALUE!</v>
      </c>
      <c r="F1010" s="25">
        <f t="shared" ca="1" si="145"/>
        <v>0.90020365033955174</v>
      </c>
      <c r="G1010" s="25"/>
      <c r="H1010" s="25" t="e">
        <f t="shared" si="149"/>
        <v>#VALUE!</v>
      </c>
      <c r="I1010" s="25">
        <f t="shared" si="146"/>
        <v>495.99999999998306</v>
      </c>
      <c r="J1010" s="25" t="e">
        <f t="shared" si="147"/>
        <v>#VALUE!</v>
      </c>
    </row>
    <row r="1011" spans="1:10" x14ac:dyDescent="0.25">
      <c r="A1011" s="25">
        <f t="shared" si="148"/>
        <v>-3.0000000000168892E-2</v>
      </c>
      <c r="B1011" s="25">
        <f t="shared" ca="1" si="141"/>
        <v>-8.3272267939695152E-2</v>
      </c>
      <c r="C1011" s="25">
        <f t="shared" si="142"/>
        <v>1</v>
      </c>
      <c r="D1011" s="74" t="e">
        <f t="shared" si="143"/>
        <v>#VALUE!</v>
      </c>
      <c r="E1011" s="25" t="e">
        <f t="shared" si="144"/>
        <v>#VALUE!</v>
      </c>
      <c r="F1011" s="25">
        <f t="shared" ca="1" si="145"/>
        <v>0.91672773206030489</v>
      </c>
      <c r="G1011" s="25"/>
      <c r="H1011" s="25" t="e">
        <f t="shared" si="149"/>
        <v>#VALUE!</v>
      </c>
      <c r="I1011" s="25">
        <f t="shared" si="146"/>
        <v>496.99999999998306</v>
      </c>
      <c r="J1011" s="25" t="e">
        <f t="shared" si="147"/>
        <v>#VALUE!</v>
      </c>
    </row>
    <row r="1012" spans="1:10" x14ac:dyDescent="0.25">
      <c r="A1012" s="25">
        <f t="shared" si="148"/>
        <v>-2.000000000016889E-2</v>
      </c>
      <c r="B1012" s="25">
        <f t="shared" ca="1" si="141"/>
        <v>8.9206790555534973E-2</v>
      </c>
      <c r="C1012" s="25">
        <f t="shared" si="142"/>
        <v>1</v>
      </c>
      <c r="D1012" s="74" t="e">
        <f t="shared" si="143"/>
        <v>#VALUE!</v>
      </c>
      <c r="E1012" s="25" t="e">
        <f t="shared" si="144"/>
        <v>#VALUE!</v>
      </c>
      <c r="F1012" s="25">
        <f t="shared" ca="1" si="145"/>
        <v>1.0892067905555349</v>
      </c>
      <c r="G1012" s="25"/>
      <c r="H1012" s="25" t="e">
        <f t="shared" si="149"/>
        <v>#VALUE!</v>
      </c>
      <c r="I1012" s="25">
        <f t="shared" si="146"/>
        <v>497.99999999998306</v>
      </c>
      <c r="J1012" s="25" t="e">
        <f t="shared" si="147"/>
        <v>#VALUE!</v>
      </c>
    </row>
    <row r="1013" spans="1:10" x14ac:dyDescent="0.25">
      <c r="A1013" s="25">
        <f t="shared" si="148"/>
        <v>-1.0000000000168889E-2</v>
      </c>
      <c r="B1013" s="25">
        <f t="shared" ca="1" si="141"/>
        <v>0.11420750594490925</v>
      </c>
      <c r="C1013" s="25">
        <f t="shared" si="142"/>
        <v>1</v>
      </c>
      <c r="D1013" s="74" t="e">
        <f t="shared" si="143"/>
        <v>#VALUE!</v>
      </c>
      <c r="E1013" s="25" t="e">
        <f t="shared" si="144"/>
        <v>#VALUE!</v>
      </c>
      <c r="F1013" s="25">
        <f t="shared" ca="1" si="145"/>
        <v>1.1142075059449092</v>
      </c>
      <c r="G1013" s="25"/>
      <c r="H1013" s="25" t="e">
        <f t="shared" si="149"/>
        <v>#VALUE!</v>
      </c>
      <c r="I1013" s="25">
        <f t="shared" si="146"/>
        <v>498.99999999998317</v>
      </c>
      <c r="J1013" s="25" t="e">
        <f t="shared" si="147"/>
        <v>#VALUE!</v>
      </c>
    </row>
    <row r="1014" spans="1:10" x14ac:dyDescent="0.25">
      <c r="A1014" s="25">
        <f t="shared" si="148"/>
        <v>-1.6888920817414999E-13</v>
      </c>
      <c r="B1014" s="25">
        <f t="shared" ca="1" si="141"/>
        <v>-9.0845606795111666E-2</v>
      </c>
      <c r="C1014" s="25">
        <f t="shared" si="142"/>
        <v>1</v>
      </c>
      <c r="D1014" s="74" t="e">
        <f t="shared" si="143"/>
        <v>#VALUE!</v>
      </c>
      <c r="E1014" s="25" t="e">
        <f t="shared" si="144"/>
        <v>#VALUE!</v>
      </c>
      <c r="F1014" s="25">
        <f t="shared" ca="1" si="145"/>
        <v>0.90915439320488833</v>
      </c>
      <c r="G1014" s="25"/>
      <c r="H1014" s="25" t="e">
        <f t="shared" si="149"/>
        <v>#VALUE!</v>
      </c>
      <c r="I1014" s="25">
        <f t="shared" si="146"/>
        <v>499.99999999998306</v>
      </c>
      <c r="J1014" s="25" t="e">
        <f t="shared" si="147"/>
        <v>#VALUE!</v>
      </c>
    </row>
    <row r="1015" spans="1:10" x14ac:dyDescent="0.25">
      <c r="A1015" s="25">
        <f t="shared" si="148"/>
        <v>9.999999999831111E-3</v>
      </c>
      <c r="B1015" s="25">
        <f t="shared" ca="1" si="141"/>
        <v>-0.17632539245644399</v>
      </c>
      <c r="C1015" s="25">
        <f t="shared" si="142"/>
        <v>1</v>
      </c>
      <c r="D1015" s="74" t="e">
        <f t="shared" si="143"/>
        <v>#VALUE!</v>
      </c>
      <c r="E1015" s="25" t="e">
        <f t="shared" si="144"/>
        <v>#VALUE!</v>
      </c>
      <c r="F1015" s="25">
        <f t="shared" ca="1" si="145"/>
        <v>0.82367460754355604</v>
      </c>
      <c r="G1015" s="25"/>
      <c r="H1015" s="25" t="e">
        <f t="shared" si="149"/>
        <v>#VALUE!</v>
      </c>
      <c r="I1015" s="25">
        <f t="shared" si="146"/>
        <v>500.99999999998306</v>
      </c>
      <c r="J1015" s="25" t="e">
        <f t="shared" si="147"/>
        <v>#VALUE!</v>
      </c>
    </row>
    <row r="1016" spans="1:10" x14ac:dyDescent="0.25">
      <c r="A1016" s="25">
        <f t="shared" si="148"/>
        <v>1.9999999999831111E-2</v>
      </c>
      <c r="B1016" s="25">
        <f t="shared" ca="1" si="141"/>
        <v>-4.3614777994767845E-2</v>
      </c>
      <c r="C1016" s="25">
        <f t="shared" si="142"/>
        <v>1</v>
      </c>
      <c r="D1016" s="74" t="e">
        <f t="shared" si="143"/>
        <v>#VALUE!</v>
      </c>
      <c r="E1016" s="25" t="e">
        <f t="shared" si="144"/>
        <v>#VALUE!</v>
      </c>
      <c r="F1016" s="25">
        <f t="shared" ca="1" si="145"/>
        <v>0.95638522200523213</v>
      </c>
      <c r="G1016" s="25"/>
      <c r="H1016" s="25" t="e">
        <f t="shared" si="149"/>
        <v>#VALUE!</v>
      </c>
      <c r="I1016" s="25">
        <f t="shared" si="146"/>
        <v>501.99999999998306</v>
      </c>
      <c r="J1016" s="25" t="e">
        <f t="shared" si="147"/>
        <v>#VALUE!</v>
      </c>
    </row>
    <row r="1017" spans="1:10" x14ac:dyDescent="0.25">
      <c r="A1017" s="25">
        <f t="shared" si="148"/>
        <v>2.9999999999831113E-2</v>
      </c>
      <c r="B1017" s="25">
        <f t="shared" ca="1" si="141"/>
        <v>-0.16977952502145696</v>
      </c>
      <c r="C1017" s="25">
        <f t="shared" si="142"/>
        <v>1</v>
      </c>
      <c r="D1017" s="74" t="e">
        <f t="shared" si="143"/>
        <v>#VALUE!</v>
      </c>
      <c r="E1017" s="25" t="e">
        <f t="shared" si="144"/>
        <v>#VALUE!</v>
      </c>
      <c r="F1017" s="25">
        <f t="shared" ca="1" si="145"/>
        <v>0.83022047497854301</v>
      </c>
      <c r="G1017" s="25"/>
      <c r="H1017" s="25" t="e">
        <f t="shared" si="149"/>
        <v>#VALUE!</v>
      </c>
      <c r="I1017" s="25">
        <f t="shared" si="146"/>
        <v>502.99999999998317</v>
      </c>
      <c r="J1017" s="25" t="e">
        <f t="shared" si="147"/>
        <v>#VALUE!</v>
      </c>
    </row>
    <row r="1018" spans="1:10" x14ac:dyDescent="0.25">
      <c r="A1018" s="25">
        <f t="shared" si="148"/>
        <v>3.9999999999831115E-2</v>
      </c>
      <c r="B1018" s="25">
        <f t="shared" ca="1" si="141"/>
        <v>0.10370912620041968</v>
      </c>
      <c r="C1018" s="25">
        <f t="shared" si="142"/>
        <v>1</v>
      </c>
      <c r="D1018" s="74" t="e">
        <f t="shared" si="143"/>
        <v>#VALUE!</v>
      </c>
      <c r="E1018" s="25" t="e">
        <f t="shared" si="144"/>
        <v>#VALUE!</v>
      </c>
      <c r="F1018" s="25">
        <f t="shared" ca="1" si="145"/>
        <v>1.1037091262004197</v>
      </c>
      <c r="G1018" s="25"/>
      <c r="H1018" s="25" t="e">
        <f t="shared" si="149"/>
        <v>#VALUE!</v>
      </c>
      <c r="I1018" s="25">
        <f t="shared" si="146"/>
        <v>503.99999999998306</v>
      </c>
      <c r="J1018" s="25" t="e">
        <f t="shared" si="147"/>
        <v>#VALUE!</v>
      </c>
    </row>
    <row r="1019" spans="1:10" x14ac:dyDescent="0.25">
      <c r="A1019" s="25">
        <f t="shared" si="148"/>
        <v>4.9999999999831117E-2</v>
      </c>
      <c r="B1019" s="25">
        <f t="shared" ca="1" si="141"/>
        <v>-8.6579040765431214E-2</v>
      </c>
      <c r="C1019" s="25">
        <f t="shared" si="142"/>
        <v>1</v>
      </c>
      <c r="D1019" s="74" t="e">
        <f t="shared" si="143"/>
        <v>#VALUE!</v>
      </c>
      <c r="E1019" s="25" t="e">
        <f t="shared" si="144"/>
        <v>#VALUE!</v>
      </c>
      <c r="F1019" s="25">
        <f t="shared" ca="1" si="145"/>
        <v>0.91342095923456879</v>
      </c>
      <c r="G1019" s="25"/>
      <c r="H1019" s="25" t="e">
        <f t="shared" si="149"/>
        <v>#VALUE!</v>
      </c>
      <c r="I1019" s="25">
        <f t="shared" si="146"/>
        <v>504.99999999998306</v>
      </c>
      <c r="J1019" s="25" t="e">
        <f t="shared" si="147"/>
        <v>#VALUE!</v>
      </c>
    </row>
    <row r="1020" spans="1:10" x14ac:dyDescent="0.25">
      <c r="A1020" s="25">
        <f t="shared" si="148"/>
        <v>5.9999999999831119E-2</v>
      </c>
      <c r="B1020" s="25">
        <f t="shared" ca="1" si="141"/>
        <v>-0.13624581587075812</v>
      </c>
      <c r="C1020" s="25">
        <f t="shared" si="142"/>
        <v>1</v>
      </c>
      <c r="D1020" s="74" t="e">
        <f t="shared" si="143"/>
        <v>#VALUE!</v>
      </c>
      <c r="E1020" s="25" t="e">
        <f t="shared" si="144"/>
        <v>#VALUE!</v>
      </c>
      <c r="F1020" s="25">
        <f t="shared" ca="1" si="145"/>
        <v>0.86375418412924188</v>
      </c>
      <c r="G1020" s="25"/>
      <c r="H1020" s="25" t="e">
        <f t="shared" si="149"/>
        <v>#VALUE!</v>
      </c>
      <c r="I1020" s="25">
        <f t="shared" si="146"/>
        <v>505.99999999998306</v>
      </c>
      <c r="J1020" s="25" t="e">
        <f t="shared" si="147"/>
        <v>#VALUE!</v>
      </c>
    </row>
    <row r="1021" spans="1:10" x14ac:dyDescent="0.25">
      <c r="A1021" s="25">
        <f t="shared" si="148"/>
        <v>6.9999999999831114E-2</v>
      </c>
      <c r="B1021" s="25">
        <f t="shared" ca="1" si="141"/>
        <v>9.4141474762401423E-2</v>
      </c>
      <c r="C1021" s="25">
        <f t="shared" si="142"/>
        <v>1</v>
      </c>
      <c r="D1021" s="74" t="e">
        <f t="shared" si="143"/>
        <v>#VALUE!</v>
      </c>
      <c r="E1021" s="25" t="e">
        <f t="shared" si="144"/>
        <v>#VALUE!</v>
      </c>
      <c r="F1021" s="25">
        <f t="shared" ca="1" si="145"/>
        <v>1.0941414747624014</v>
      </c>
      <c r="G1021" s="25"/>
      <c r="H1021" s="25" t="e">
        <f t="shared" si="149"/>
        <v>#VALUE!</v>
      </c>
      <c r="I1021" s="25">
        <f t="shared" si="146"/>
        <v>506.99999999998317</v>
      </c>
      <c r="J1021" s="25" t="e">
        <f t="shared" si="147"/>
        <v>#VALUE!</v>
      </c>
    </row>
    <row r="1022" spans="1:10" x14ac:dyDescent="0.25">
      <c r="A1022" s="25">
        <f t="shared" si="148"/>
        <v>7.9999999999831109E-2</v>
      </c>
      <c r="B1022" s="25">
        <f t="shared" ca="1" si="141"/>
        <v>-0.11866470370829389</v>
      </c>
      <c r="C1022" s="25">
        <f t="shared" si="142"/>
        <v>1</v>
      </c>
      <c r="D1022" s="74" t="e">
        <f t="shared" si="143"/>
        <v>#VALUE!</v>
      </c>
      <c r="E1022" s="25" t="e">
        <f t="shared" si="144"/>
        <v>#VALUE!</v>
      </c>
      <c r="F1022" s="25">
        <f t="shared" ca="1" si="145"/>
        <v>0.88133529629170615</v>
      </c>
      <c r="G1022" s="25"/>
      <c r="H1022" s="25" t="e">
        <f t="shared" si="149"/>
        <v>#VALUE!</v>
      </c>
      <c r="I1022" s="25">
        <f t="shared" si="146"/>
        <v>507.99999999998317</v>
      </c>
      <c r="J1022" s="25" t="e">
        <f t="shared" si="147"/>
        <v>#VALUE!</v>
      </c>
    </row>
    <row r="1023" spans="1:10" x14ac:dyDescent="0.25">
      <c r="A1023" s="25">
        <f t="shared" si="148"/>
        <v>8.9999999999831104E-2</v>
      </c>
      <c r="B1023" s="25">
        <f t="shared" ca="1" si="141"/>
        <v>7.5613222638222663E-2</v>
      </c>
      <c r="C1023" s="25">
        <f t="shared" si="142"/>
        <v>1</v>
      </c>
      <c r="D1023" s="74" t="e">
        <f t="shared" si="143"/>
        <v>#VALUE!</v>
      </c>
      <c r="E1023" s="25" t="e">
        <f t="shared" si="144"/>
        <v>#VALUE!</v>
      </c>
      <c r="F1023" s="25">
        <f t="shared" ca="1" si="145"/>
        <v>1.0756132226382227</v>
      </c>
      <c r="G1023" s="25"/>
      <c r="H1023" s="25" t="e">
        <f t="shared" si="149"/>
        <v>#VALUE!</v>
      </c>
      <c r="I1023" s="25">
        <f t="shared" si="146"/>
        <v>508.99999999998306</v>
      </c>
      <c r="J1023" s="25" t="e">
        <f t="shared" si="147"/>
        <v>#VALUE!</v>
      </c>
    </row>
    <row r="1024" spans="1:10" x14ac:dyDescent="0.25">
      <c r="A1024" s="25">
        <f t="shared" si="148"/>
        <v>9.9999999999831099E-2</v>
      </c>
      <c r="B1024" s="25">
        <f t="shared" ca="1" si="141"/>
        <v>-0.16304500113430509</v>
      </c>
      <c r="C1024" s="25">
        <f t="shared" si="142"/>
        <v>1</v>
      </c>
      <c r="D1024" s="74" t="e">
        <f t="shared" si="143"/>
        <v>#VALUE!</v>
      </c>
      <c r="E1024" s="25" t="e">
        <f t="shared" si="144"/>
        <v>#VALUE!</v>
      </c>
      <c r="F1024" s="25">
        <f t="shared" ca="1" si="145"/>
        <v>0.83695499886569491</v>
      </c>
      <c r="G1024" s="25"/>
      <c r="H1024" s="25" t="e">
        <f t="shared" si="149"/>
        <v>#VALUE!</v>
      </c>
      <c r="I1024" s="25">
        <f t="shared" si="146"/>
        <v>509.99999999998306</v>
      </c>
      <c r="J1024" s="25" t="e">
        <f t="shared" si="147"/>
        <v>#VALUE!</v>
      </c>
    </row>
    <row r="1025" spans="1:10" x14ac:dyDescent="0.25">
      <c r="A1025" s="25">
        <f t="shared" si="148"/>
        <v>0.10999999999983109</v>
      </c>
      <c r="B1025" s="25">
        <f t="shared" ca="1" si="141"/>
        <v>-2.7303617169468986E-2</v>
      </c>
      <c r="C1025" s="25">
        <f t="shared" si="142"/>
        <v>1</v>
      </c>
      <c r="D1025" s="74" t="e">
        <f t="shared" si="143"/>
        <v>#VALUE!</v>
      </c>
      <c r="E1025" s="25" t="e">
        <f t="shared" si="144"/>
        <v>#VALUE!</v>
      </c>
      <c r="F1025" s="25">
        <f t="shared" ca="1" si="145"/>
        <v>0.97269638283053106</v>
      </c>
      <c r="G1025" s="25"/>
      <c r="H1025" s="25" t="e">
        <f t="shared" si="149"/>
        <v>#VALUE!</v>
      </c>
      <c r="I1025" s="25">
        <f t="shared" si="146"/>
        <v>510.99999999998306</v>
      </c>
      <c r="J1025" s="25" t="e">
        <f t="shared" si="147"/>
        <v>#VALUE!</v>
      </c>
    </row>
    <row r="1026" spans="1:10" x14ac:dyDescent="0.25">
      <c r="A1026" s="25">
        <f t="shared" si="148"/>
        <v>0.11999999999983109</v>
      </c>
      <c r="B1026" s="25">
        <f t="shared" ca="1" si="141"/>
        <v>7.8391856773397758E-2</v>
      </c>
      <c r="C1026" s="25">
        <f t="shared" si="142"/>
        <v>1</v>
      </c>
      <c r="D1026" s="74" t="e">
        <f t="shared" si="143"/>
        <v>#VALUE!</v>
      </c>
      <c r="E1026" s="25" t="e">
        <f t="shared" si="144"/>
        <v>#VALUE!</v>
      </c>
      <c r="F1026" s="25">
        <f t="shared" ca="1" si="145"/>
        <v>1.0783918567733977</v>
      </c>
      <c r="G1026" s="25"/>
      <c r="H1026" s="25" t="e">
        <f t="shared" si="149"/>
        <v>#VALUE!</v>
      </c>
      <c r="I1026" s="25">
        <f t="shared" si="146"/>
        <v>511.99999999998317</v>
      </c>
      <c r="J1026" s="25" t="e">
        <f t="shared" si="147"/>
        <v>#VALUE!</v>
      </c>
    </row>
    <row r="1027" spans="1:10" x14ac:dyDescent="0.25">
      <c r="A1027" s="25">
        <f t="shared" si="148"/>
        <v>0.12999999999983108</v>
      </c>
      <c r="B1027" s="25">
        <f t="shared" ca="1" si="141"/>
        <v>-0.17310812969272818</v>
      </c>
      <c r="C1027" s="25">
        <f t="shared" si="142"/>
        <v>1</v>
      </c>
      <c r="D1027" s="74" t="e">
        <f t="shared" si="143"/>
        <v>#VALUE!</v>
      </c>
      <c r="E1027" s="25" t="e">
        <f t="shared" si="144"/>
        <v>#VALUE!</v>
      </c>
      <c r="F1027" s="25">
        <f t="shared" ca="1" si="145"/>
        <v>0.82689187030727185</v>
      </c>
      <c r="G1027" s="25"/>
      <c r="H1027" s="25" t="e">
        <f t="shared" si="149"/>
        <v>#VALUE!</v>
      </c>
      <c r="I1027" s="25">
        <f t="shared" si="146"/>
        <v>512.99999999998306</v>
      </c>
      <c r="J1027" s="25" t="e">
        <f t="shared" si="147"/>
        <v>#VALUE!</v>
      </c>
    </row>
    <row r="1028" spans="1:10" x14ac:dyDescent="0.25">
      <c r="A1028" s="25">
        <f t="shared" si="148"/>
        <v>0.13999999999983109</v>
      </c>
      <c r="B1028" s="25">
        <f t="shared" ca="1" si="141"/>
        <v>4.7059105322618096E-2</v>
      </c>
      <c r="C1028" s="25">
        <f t="shared" si="142"/>
        <v>1</v>
      </c>
      <c r="D1028" s="74" t="e">
        <f t="shared" si="143"/>
        <v>#VALUE!</v>
      </c>
      <c r="E1028" s="25" t="e">
        <f t="shared" si="144"/>
        <v>#VALUE!</v>
      </c>
      <c r="F1028" s="25">
        <f t="shared" ca="1" si="145"/>
        <v>1.0470591053226181</v>
      </c>
      <c r="G1028" s="25"/>
      <c r="H1028" s="25" t="e">
        <f t="shared" si="149"/>
        <v>#VALUE!</v>
      </c>
      <c r="I1028" s="25">
        <f t="shared" si="146"/>
        <v>513.99999999998306</v>
      </c>
      <c r="J1028" s="25" t="e">
        <f t="shared" si="147"/>
        <v>#VALUE!</v>
      </c>
    </row>
    <row r="1029" spans="1:10" x14ac:dyDescent="0.25">
      <c r="A1029" s="25">
        <f t="shared" si="148"/>
        <v>0.1499999999998311</v>
      </c>
      <c r="B1029" s="25">
        <f t="shared" ca="1" si="141"/>
        <v>-0.15729211968457832</v>
      </c>
      <c r="C1029" s="25">
        <f t="shared" si="142"/>
        <v>1</v>
      </c>
      <c r="D1029" s="74" t="e">
        <f t="shared" si="143"/>
        <v>#VALUE!</v>
      </c>
      <c r="E1029" s="25" t="e">
        <f t="shared" si="144"/>
        <v>#VALUE!</v>
      </c>
      <c r="F1029" s="25">
        <f t="shared" ca="1" si="145"/>
        <v>0.84270788031542165</v>
      </c>
      <c r="G1029" s="25"/>
      <c r="H1029" s="25" t="e">
        <f t="shared" si="149"/>
        <v>#VALUE!</v>
      </c>
      <c r="I1029" s="25">
        <f t="shared" si="146"/>
        <v>514.99999999998306</v>
      </c>
      <c r="J1029" s="25" t="e">
        <f t="shared" si="147"/>
        <v>#VALUE!</v>
      </c>
    </row>
    <row r="1030" spans="1:10" x14ac:dyDescent="0.25">
      <c r="A1030" s="25">
        <f t="shared" si="148"/>
        <v>0.15999999999983111</v>
      </c>
      <c r="B1030" s="25">
        <f t="shared" ca="1" si="141"/>
        <v>-0.11260459484587471</v>
      </c>
      <c r="C1030" s="25">
        <f t="shared" si="142"/>
        <v>1</v>
      </c>
      <c r="D1030" s="74" t="e">
        <f t="shared" si="143"/>
        <v>#VALUE!</v>
      </c>
      <c r="E1030" s="25" t="e">
        <f t="shared" si="144"/>
        <v>#VALUE!</v>
      </c>
      <c r="F1030" s="25">
        <f t="shared" ca="1" si="145"/>
        <v>0.88739540515412529</v>
      </c>
      <c r="G1030" s="25"/>
      <c r="H1030" s="25" t="e">
        <f t="shared" si="149"/>
        <v>#VALUE!</v>
      </c>
      <c r="I1030" s="25">
        <f t="shared" si="146"/>
        <v>515.99999999998317</v>
      </c>
      <c r="J1030" s="25" t="e">
        <f t="shared" si="147"/>
        <v>#VALUE!</v>
      </c>
    </row>
    <row r="1031" spans="1:10" x14ac:dyDescent="0.25">
      <c r="A1031" s="25">
        <f t="shared" si="148"/>
        <v>0.16999999999983112</v>
      </c>
      <c r="B1031" s="25">
        <f t="shared" ca="1" si="141"/>
        <v>-3.904362892868371E-2</v>
      </c>
      <c r="C1031" s="25">
        <f t="shared" si="142"/>
        <v>1</v>
      </c>
      <c r="D1031" s="74" t="e">
        <f t="shared" si="143"/>
        <v>#VALUE!</v>
      </c>
      <c r="E1031" s="25" t="e">
        <f t="shared" si="144"/>
        <v>#VALUE!</v>
      </c>
      <c r="F1031" s="25">
        <f t="shared" ca="1" si="145"/>
        <v>0.96095637107131626</v>
      </c>
      <c r="G1031" s="25"/>
      <c r="H1031" s="25" t="e">
        <f t="shared" si="149"/>
        <v>#VALUE!</v>
      </c>
      <c r="I1031" s="25">
        <f t="shared" si="146"/>
        <v>516.99999999998306</v>
      </c>
      <c r="J1031" s="25" t="e">
        <f t="shared" si="147"/>
        <v>#VALUE!</v>
      </c>
    </row>
    <row r="1032" spans="1:10" x14ac:dyDescent="0.25">
      <c r="A1032" s="25">
        <f t="shared" si="148"/>
        <v>0.17999999999983113</v>
      </c>
      <c r="B1032" s="25">
        <f t="shared" ca="1" si="141"/>
        <v>-0.18392380251780285</v>
      </c>
      <c r="C1032" s="25">
        <f t="shared" si="142"/>
        <v>1</v>
      </c>
      <c r="D1032" s="74" t="e">
        <f t="shared" si="143"/>
        <v>#VALUE!</v>
      </c>
      <c r="E1032" s="25" t="e">
        <f t="shared" si="144"/>
        <v>#VALUE!</v>
      </c>
      <c r="F1032" s="25">
        <f t="shared" ca="1" si="145"/>
        <v>0.81607619748219717</v>
      </c>
      <c r="G1032" s="25"/>
      <c r="H1032" s="25" t="e">
        <f t="shared" si="149"/>
        <v>#VALUE!</v>
      </c>
      <c r="I1032" s="25">
        <f t="shared" si="146"/>
        <v>517.99999999998306</v>
      </c>
      <c r="J1032" s="25" t="e">
        <f t="shared" si="147"/>
        <v>#VALUE!</v>
      </c>
    </row>
    <row r="1033" spans="1:10" x14ac:dyDescent="0.25">
      <c r="A1033" s="25">
        <f t="shared" si="148"/>
        <v>0.18999999999983114</v>
      </c>
      <c r="B1033" s="25">
        <f t="shared" ca="1" si="141"/>
        <v>-1.8874401013767483E-2</v>
      </c>
      <c r="C1033" s="25">
        <f t="shared" si="142"/>
        <v>1</v>
      </c>
      <c r="D1033" s="74" t="e">
        <f t="shared" si="143"/>
        <v>#VALUE!</v>
      </c>
      <c r="E1033" s="25" t="e">
        <f t="shared" si="144"/>
        <v>#VALUE!</v>
      </c>
      <c r="F1033" s="25">
        <f t="shared" ca="1" si="145"/>
        <v>0.98112559898623253</v>
      </c>
      <c r="G1033" s="25"/>
      <c r="H1033" s="25" t="e">
        <f t="shared" si="149"/>
        <v>#VALUE!</v>
      </c>
      <c r="I1033" s="25">
        <f t="shared" si="146"/>
        <v>518.99999999998306</v>
      </c>
      <c r="J1033" s="25" t="e">
        <f t="shared" si="147"/>
        <v>#VALUE!</v>
      </c>
    </row>
    <row r="1034" spans="1:10" x14ac:dyDescent="0.25">
      <c r="A1034" s="25">
        <f t="shared" si="148"/>
        <v>0.19999999999983115</v>
      </c>
      <c r="B1034" s="25">
        <f t="shared" ca="1" si="141"/>
        <v>-0.13651280134976926</v>
      </c>
      <c r="C1034" s="25">
        <f t="shared" si="142"/>
        <v>1</v>
      </c>
      <c r="D1034" s="74" t="e">
        <f t="shared" si="143"/>
        <v>#VALUE!</v>
      </c>
      <c r="E1034" s="25" t="e">
        <f t="shared" si="144"/>
        <v>#VALUE!</v>
      </c>
      <c r="F1034" s="25">
        <f t="shared" ca="1" si="145"/>
        <v>0.86348719865023071</v>
      </c>
      <c r="G1034" s="25"/>
      <c r="H1034" s="25" t="e">
        <f t="shared" si="149"/>
        <v>#VALUE!</v>
      </c>
      <c r="I1034" s="25">
        <f t="shared" si="146"/>
        <v>519.99999999998317</v>
      </c>
      <c r="J1034" s="25" t="e">
        <f t="shared" si="147"/>
        <v>#VALUE!</v>
      </c>
    </row>
    <row r="1035" spans="1:10" x14ac:dyDescent="0.25">
      <c r="A1035" s="25">
        <f t="shared" si="148"/>
        <v>0.20999999999983116</v>
      </c>
      <c r="B1035" s="25">
        <f t="shared" ca="1" si="141"/>
        <v>-4.6116232238751914E-2</v>
      </c>
      <c r="C1035" s="25">
        <f t="shared" si="142"/>
        <v>1</v>
      </c>
      <c r="D1035" s="74" t="e">
        <f t="shared" si="143"/>
        <v>#VALUE!</v>
      </c>
      <c r="E1035" s="25" t="e">
        <f t="shared" si="144"/>
        <v>#VALUE!</v>
      </c>
      <c r="F1035" s="25">
        <f t="shared" ca="1" si="145"/>
        <v>0.95388376776124806</v>
      </c>
      <c r="G1035" s="25"/>
      <c r="H1035" s="25" t="e">
        <f t="shared" si="149"/>
        <v>#VALUE!</v>
      </c>
      <c r="I1035" s="25">
        <f t="shared" si="146"/>
        <v>520.99999999998306</v>
      </c>
      <c r="J1035" s="25" t="e">
        <f t="shared" si="147"/>
        <v>#VALUE!</v>
      </c>
    </row>
    <row r="1036" spans="1:10" x14ac:dyDescent="0.25">
      <c r="A1036" s="25">
        <f t="shared" si="148"/>
        <v>0.21999999999983116</v>
      </c>
      <c r="B1036" s="25">
        <f t="shared" ca="1" si="141"/>
        <v>-5.6765018869597554E-2</v>
      </c>
      <c r="C1036" s="25">
        <f t="shared" si="142"/>
        <v>1</v>
      </c>
      <c r="D1036" s="74" t="e">
        <f t="shared" si="143"/>
        <v>#VALUE!</v>
      </c>
      <c r="E1036" s="25" t="e">
        <f t="shared" si="144"/>
        <v>#VALUE!</v>
      </c>
      <c r="F1036" s="25">
        <f t="shared" ca="1" si="145"/>
        <v>0.94323498113040249</v>
      </c>
      <c r="G1036" s="25"/>
      <c r="H1036" s="25" t="e">
        <f t="shared" si="149"/>
        <v>#VALUE!</v>
      </c>
      <c r="I1036" s="25">
        <f t="shared" si="146"/>
        <v>521.99999999998306</v>
      </c>
      <c r="J1036" s="25" t="e">
        <f t="shared" si="147"/>
        <v>#VALUE!</v>
      </c>
    </row>
    <row r="1037" spans="1:10" x14ac:dyDescent="0.25">
      <c r="A1037" s="25">
        <f t="shared" si="148"/>
        <v>0.22999999999983117</v>
      </c>
      <c r="B1037" s="25">
        <f t="shared" ca="1" si="141"/>
        <v>-9.0454749714912075E-2</v>
      </c>
      <c r="C1037" s="25">
        <f t="shared" si="142"/>
        <v>1</v>
      </c>
      <c r="D1037" s="74" t="e">
        <f t="shared" si="143"/>
        <v>#VALUE!</v>
      </c>
      <c r="E1037" s="25" t="e">
        <f t="shared" si="144"/>
        <v>#VALUE!</v>
      </c>
      <c r="F1037" s="25">
        <f t="shared" ca="1" si="145"/>
        <v>0.90954525028508793</v>
      </c>
      <c r="G1037" s="25"/>
      <c r="H1037" s="25" t="e">
        <f t="shared" si="149"/>
        <v>#VALUE!</v>
      </c>
      <c r="I1037" s="25">
        <f t="shared" si="146"/>
        <v>522.99999999998306</v>
      </c>
      <c r="J1037" s="25" t="e">
        <f t="shared" si="147"/>
        <v>#VALUE!</v>
      </c>
    </row>
    <row r="1038" spans="1:10" x14ac:dyDescent="0.25">
      <c r="A1038" s="25">
        <f t="shared" si="148"/>
        <v>0.23999999999983118</v>
      </c>
      <c r="B1038" s="25">
        <f t="shared" ref="B1038:B1101" ca="1" si="150">(RAND()-0.5-$B$7)/$B$5</f>
        <v>-0.10515692002208055</v>
      </c>
      <c r="C1038" s="25">
        <f t="shared" ref="C1038:C1101" si="151">IF(ABS(A1038)&lt;=($D$3/2),1,IF(ABS(A1038)&lt;=($B$4/2),IF(A1038&gt;0,A1038*(4/(1-2*$B$4))+(2*$B$4/(2*$B$4-1)),(-A1038*(4/(1-2*$B$4))+(2*$B$4/(2*$B$4-1)))),0))</f>
        <v>1</v>
      </c>
      <c r="D1038" s="74" t="e">
        <f t="shared" ref="D1038:D1101" si="152">IF(ABS(A1038)&lt;=($D$3/4+$B$4/4),1,IF(ABS(A1038)&lt;=($B$4/2),(IF(A1038&gt;0,A1038*(8/(1-2*$B$4))+(4*$B$4)/(2*$B$4-1),(-A1038*(8/(1-2*$B$4))+(4*$B$4)/(2*$B$4-1)))),0))</f>
        <v>#VALUE!</v>
      </c>
      <c r="E1038" s="25" t="e">
        <f t="shared" ref="E1038:E1101" si="153">IF(ABS(A1038)&lt;($B$4/2), 1, 0)</f>
        <v>#VALUE!</v>
      </c>
      <c r="F1038" s="25">
        <f t="shared" ref="F1038:F1101" ca="1" si="154">C1038+B1038</f>
        <v>0.89484307997791945</v>
      </c>
      <c r="G1038" s="25"/>
      <c r="H1038" s="25" t="e">
        <f t="shared" si="149"/>
        <v>#VALUE!</v>
      </c>
      <c r="I1038" s="25">
        <f t="shared" ref="I1038:I1101" si="155">$I$3*(A1038-$G$3)/($H$3-$G$3)</f>
        <v>523.99999999998317</v>
      </c>
      <c r="J1038" s="25" t="e">
        <f t="shared" ref="J1038:J1101" si="156">H1038</f>
        <v>#VALUE!</v>
      </c>
    </row>
    <row r="1039" spans="1:10" x14ac:dyDescent="0.25">
      <c r="A1039" s="25">
        <f t="shared" ref="A1039:A1102" si="157">A1038+0.01</f>
        <v>0.24999999999983119</v>
      </c>
      <c r="B1039" s="25">
        <f t="shared" ca="1" si="150"/>
        <v>-0.15389737331119302</v>
      </c>
      <c r="C1039" s="25">
        <f t="shared" si="151"/>
        <v>1</v>
      </c>
      <c r="D1039" s="74" t="e">
        <f t="shared" si="152"/>
        <v>#VALUE!</v>
      </c>
      <c r="E1039" s="25" t="e">
        <f t="shared" si="153"/>
        <v>#VALUE!</v>
      </c>
      <c r="F1039" s="25">
        <f t="shared" ca="1" si="154"/>
        <v>0.84610262668880698</v>
      </c>
      <c r="G1039" s="25"/>
      <c r="H1039" s="25" t="e">
        <f t="shared" si="149"/>
        <v>#VALUE!</v>
      </c>
      <c r="I1039" s="25">
        <f t="shared" si="155"/>
        <v>524.99999999998306</v>
      </c>
      <c r="J1039" s="25" t="e">
        <f t="shared" si="156"/>
        <v>#VALUE!</v>
      </c>
    </row>
    <row r="1040" spans="1:10" x14ac:dyDescent="0.25">
      <c r="A1040" s="25">
        <f t="shared" si="157"/>
        <v>0.2599999999998312</v>
      </c>
      <c r="B1040" s="25">
        <f t="shared" ca="1" si="150"/>
        <v>-0.18223554314364077</v>
      </c>
      <c r="C1040" s="25" t="e">
        <f t="shared" si="151"/>
        <v>#VALUE!</v>
      </c>
      <c r="D1040" s="74" t="e">
        <f t="shared" si="152"/>
        <v>#VALUE!</v>
      </c>
      <c r="E1040" s="25" t="e">
        <f t="shared" si="153"/>
        <v>#VALUE!</v>
      </c>
      <c r="F1040" s="25" t="e">
        <f t="shared" ca="1" si="154"/>
        <v>#VALUE!</v>
      </c>
      <c r="G1040" s="25"/>
      <c r="H1040" s="25" t="e">
        <f t="shared" si="149"/>
        <v>#VALUE!</v>
      </c>
      <c r="I1040" s="25">
        <f t="shared" si="155"/>
        <v>525.99999999998306</v>
      </c>
      <c r="J1040" s="25" t="e">
        <f t="shared" si="156"/>
        <v>#VALUE!</v>
      </c>
    </row>
    <row r="1041" spans="1:10" x14ac:dyDescent="0.25">
      <c r="A1041" s="25">
        <f t="shared" si="157"/>
        <v>0.26999999999983121</v>
      </c>
      <c r="B1041" s="25">
        <f t="shared" ca="1" si="150"/>
        <v>-5.47921439194008E-2</v>
      </c>
      <c r="C1041" s="25" t="e">
        <f t="shared" si="151"/>
        <v>#VALUE!</v>
      </c>
      <c r="D1041" s="74" t="e">
        <f t="shared" si="152"/>
        <v>#VALUE!</v>
      </c>
      <c r="E1041" s="25" t="e">
        <f t="shared" si="153"/>
        <v>#VALUE!</v>
      </c>
      <c r="F1041" s="25" t="e">
        <f t="shared" ca="1" si="154"/>
        <v>#VALUE!</v>
      </c>
      <c r="G1041" s="25"/>
      <c r="H1041" s="25" t="e">
        <f t="shared" si="149"/>
        <v>#VALUE!</v>
      </c>
      <c r="I1041" s="25">
        <f t="shared" si="155"/>
        <v>526.99999999998306</v>
      </c>
      <c r="J1041" s="25" t="e">
        <f t="shared" si="156"/>
        <v>#VALUE!</v>
      </c>
    </row>
    <row r="1042" spans="1:10" x14ac:dyDescent="0.25">
      <c r="A1042" s="25">
        <f t="shared" si="157"/>
        <v>0.27999999999983122</v>
      </c>
      <c r="B1042" s="25">
        <f t="shared" ca="1" si="150"/>
        <v>2.6318448647656745E-2</v>
      </c>
      <c r="C1042" s="25" t="e">
        <f t="shared" si="151"/>
        <v>#VALUE!</v>
      </c>
      <c r="D1042" s="74" t="e">
        <f t="shared" si="152"/>
        <v>#VALUE!</v>
      </c>
      <c r="E1042" s="25" t="e">
        <f t="shared" si="153"/>
        <v>#VALUE!</v>
      </c>
      <c r="F1042" s="25" t="e">
        <f t="shared" ca="1" si="154"/>
        <v>#VALUE!</v>
      </c>
      <c r="G1042" s="25"/>
      <c r="H1042" s="25" t="e">
        <f t="shared" si="149"/>
        <v>#VALUE!</v>
      </c>
      <c r="I1042" s="25">
        <f t="shared" si="155"/>
        <v>527.99999999998317</v>
      </c>
      <c r="J1042" s="25" t="e">
        <f t="shared" si="156"/>
        <v>#VALUE!</v>
      </c>
    </row>
    <row r="1043" spans="1:10" x14ac:dyDescent="0.25">
      <c r="A1043" s="25">
        <f t="shared" si="157"/>
        <v>0.28999999999983123</v>
      </c>
      <c r="B1043" s="25">
        <f t="shared" ca="1" si="150"/>
        <v>-4.8537488341799134E-2</v>
      </c>
      <c r="C1043" s="25" t="e">
        <f t="shared" si="151"/>
        <v>#VALUE!</v>
      </c>
      <c r="D1043" s="74" t="e">
        <f t="shared" si="152"/>
        <v>#VALUE!</v>
      </c>
      <c r="E1043" s="25" t="e">
        <f t="shared" si="153"/>
        <v>#VALUE!</v>
      </c>
      <c r="F1043" s="25" t="e">
        <f t="shared" ca="1" si="154"/>
        <v>#VALUE!</v>
      </c>
      <c r="G1043" s="25"/>
      <c r="H1043" s="25" t="e">
        <f t="shared" si="149"/>
        <v>#VALUE!</v>
      </c>
      <c r="I1043" s="25">
        <f t="shared" si="155"/>
        <v>528.99999999998306</v>
      </c>
      <c r="J1043" s="25" t="e">
        <f t="shared" si="156"/>
        <v>#VALUE!</v>
      </c>
    </row>
    <row r="1044" spans="1:10" x14ac:dyDescent="0.25">
      <c r="A1044" s="25">
        <f t="shared" si="157"/>
        <v>0.29999999999983123</v>
      </c>
      <c r="B1044" s="25">
        <f t="shared" ca="1" si="150"/>
        <v>-0.15539285122691063</v>
      </c>
      <c r="C1044" s="25" t="e">
        <f t="shared" si="151"/>
        <v>#VALUE!</v>
      </c>
      <c r="D1044" s="74" t="e">
        <f t="shared" si="152"/>
        <v>#VALUE!</v>
      </c>
      <c r="E1044" s="25" t="e">
        <f t="shared" si="153"/>
        <v>#VALUE!</v>
      </c>
      <c r="F1044" s="25" t="e">
        <f t="shared" ca="1" si="154"/>
        <v>#VALUE!</v>
      </c>
      <c r="G1044" s="25"/>
      <c r="H1044" s="25" t="e">
        <f t="shared" si="149"/>
        <v>#VALUE!</v>
      </c>
      <c r="I1044" s="25">
        <f t="shared" si="155"/>
        <v>529.99999999998306</v>
      </c>
      <c r="J1044" s="25" t="e">
        <f t="shared" si="156"/>
        <v>#VALUE!</v>
      </c>
    </row>
    <row r="1045" spans="1:10" x14ac:dyDescent="0.25">
      <c r="A1045" s="25">
        <f t="shared" si="157"/>
        <v>0.30999999999983124</v>
      </c>
      <c r="B1045" s="25">
        <f t="shared" ca="1" si="150"/>
        <v>1.6815395149642132E-2</v>
      </c>
      <c r="C1045" s="25" t="e">
        <f t="shared" si="151"/>
        <v>#VALUE!</v>
      </c>
      <c r="D1045" s="74" t="e">
        <f t="shared" si="152"/>
        <v>#VALUE!</v>
      </c>
      <c r="E1045" s="25" t="e">
        <f t="shared" si="153"/>
        <v>#VALUE!</v>
      </c>
      <c r="F1045" s="25" t="e">
        <f t="shared" ca="1" si="154"/>
        <v>#VALUE!</v>
      </c>
      <c r="G1045" s="25"/>
      <c r="H1045" s="25" t="e">
        <f t="shared" si="149"/>
        <v>#VALUE!</v>
      </c>
      <c r="I1045" s="25">
        <f t="shared" si="155"/>
        <v>530.99999999998306</v>
      </c>
      <c r="J1045" s="25" t="e">
        <f t="shared" si="156"/>
        <v>#VALUE!</v>
      </c>
    </row>
    <row r="1046" spans="1:10" x14ac:dyDescent="0.25">
      <c r="A1046" s="25">
        <f t="shared" si="157"/>
        <v>0.31999999999983125</v>
      </c>
      <c r="B1046" s="25">
        <f t="shared" ca="1" si="150"/>
        <v>7.6473015966115582E-2</v>
      </c>
      <c r="C1046" s="25" t="e">
        <f t="shared" si="151"/>
        <v>#VALUE!</v>
      </c>
      <c r="D1046" s="74" t="e">
        <f t="shared" si="152"/>
        <v>#VALUE!</v>
      </c>
      <c r="E1046" s="25" t="e">
        <f t="shared" si="153"/>
        <v>#VALUE!</v>
      </c>
      <c r="F1046" s="25" t="e">
        <f t="shared" ca="1" si="154"/>
        <v>#VALUE!</v>
      </c>
      <c r="G1046" s="25"/>
      <c r="H1046" s="25" t="e">
        <f t="shared" si="149"/>
        <v>#VALUE!</v>
      </c>
      <c r="I1046" s="25">
        <f t="shared" si="155"/>
        <v>531.99999999998317</v>
      </c>
      <c r="J1046" s="25" t="e">
        <f t="shared" si="156"/>
        <v>#VALUE!</v>
      </c>
    </row>
    <row r="1047" spans="1:10" x14ac:dyDescent="0.25">
      <c r="A1047" s="25">
        <f t="shared" si="157"/>
        <v>0.32999999999983126</v>
      </c>
      <c r="B1047" s="25">
        <f t="shared" ca="1" si="150"/>
        <v>-7.6554942966099923E-2</v>
      </c>
      <c r="C1047" s="25" t="e">
        <f t="shared" si="151"/>
        <v>#VALUE!</v>
      </c>
      <c r="D1047" s="74" t="e">
        <f t="shared" si="152"/>
        <v>#VALUE!</v>
      </c>
      <c r="E1047" s="25" t="e">
        <f t="shared" si="153"/>
        <v>#VALUE!</v>
      </c>
      <c r="F1047" s="25" t="e">
        <f t="shared" ca="1" si="154"/>
        <v>#VALUE!</v>
      </c>
      <c r="G1047" s="25"/>
      <c r="H1047" s="25" t="e">
        <f t="shared" si="149"/>
        <v>#VALUE!</v>
      </c>
      <c r="I1047" s="25">
        <f t="shared" si="155"/>
        <v>532.99999999998317</v>
      </c>
      <c r="J1047" s="25" t="e">
        <f t="shared" si="156"/>
        <v>#VALUE!</v>
      </c>
    </row>
    <row r="1048" spans="1:10" x14ac:dyDescent="0.25">
      <c r="A1048" s="25">
        <f t="shared" si="157"/>
        <v>0.33999999999983127</v>
      </c>
      <c r="B1048" s="25">
        <f t="shared" ca="1" si="150"/>
        <v>-0.16261693359654905</v>
      </c>
      <c r="C1048" s="25" t="e">
        <f t="shared" si="151"/>
        <v>#VALUE!</v>
      </c>
      <c r="D1048" s="74" t="e">
        <f t="shared" si="152"/>
        <v>#VALUE!</v>
      </c>
      <c r="E1048" s="25" t="e">
        <f t="shared" si="153"/>
        <v>#VALUE!</v>
      </c>
      <c r="F1048" s="25" t="e">
        <f t="shared" ca="1" si="154"/>
        <v>#VALUE!</v>
      </c>
      <c r="G1048" s="25"/>
      <c r="H1048" s="25" t="e">
        <f t="shared" si="149"/>
        <v>#VALUE!</v>
      </c>
      <c r="I1048" s="25">
        <f t="shared" si="155"/>
        <v>533.99999999998306</v>
      </c>
      <c r="J1048" s="25" t="e">
        <f t="shared" si="156"/>
        <v>#VALUE!</v>
      </c>
    </row>
    <row r="1049" spans="1:10" x14ac:dyDescent="0.25">
      <c r="A1049" s="25">
        <f t="shared" si="157"/>
        <v>0.34999999999983128</v>
      </c>
      <c r="B1049" s="25">
        <f t="shared" ca="1" si="150"/>
        <v>0.10803596477173472</v>
      </c>
      <c r="C1049" s="25" t="e">
        <f t="shared" si="151"/>
        <v>#VALUE!</v>
      </c>
      <c r="D1049" s="74" t="e">
        <f t="shared" si="152"/>
        <v>#VALUE!</v>
      </c>
      <c r="E1049" s="25" t="e">
        <f t="shared" si="153"/>
        <v>#VALUE!</v>
      </c>
      <c r="F1049" s="25" t="e">
        <f t="shared" ca="1" si="154"/>
        <v>#VALUE!</v>
      </c>
      <c r="G1049" s="25"/>
      <c r="H1049" s="25" t="e">
        <f t="shared" si="149"/>
        <v>#VALUE!</v>
      </c>
      <c r="I1049" s="25">
        <f t="shared" si="155"/>
        <v>534.99999999998306</v>
      </c>
      <c r="J1049" s="25" t="e">
        <f t="shared" si="156"/>
        <v>#VALUE!</v>
      </c>
    </row>
    <row r="1050" spans="1:10" x14ac:dyDescent="0.25">
      <c r="A1050" s="25">
        <f t="shared" si="157"/>
        <v>0.35999999999983129</v>
      </c>
      <c r="B1050" s="25">
        <f t="shared" ca="1" si="150"/>
        <v>0.10727895751078502</v>
      </c>
      <c r="C1050" s="25" t="e">
        <f t="shared" si="151"/>
        <v>#VALUE!</v>
      </c>
      <c r="D1050" s="74" t="e">
        <f t="shared" si="152"/>
        <v>#VALUE!</v>
      </c>
      <c r="E1050" s="25" t="e">
        <f t="shared" si="153"/>
        <v>#VALUE!</v>
      </c>
      <c r="F1050" s="25" t="e">
        <f t="shared" ca="1" si="154"/>
        <v>#VALUE!</v>
      </c>
      <c r="G1050" s="25"/>
      <c r="H1050" s="25" t="e">
        <f t="shared" si="149"/>
        <v>#VALUE!</v>
      </c>
      <c r="I1050" s="25">
        <f t="shared" si="155"/>
        <v>535.99999999998317</v>
      </c>
      <c r="J1050" s="25" t="e">
        <f t="shared" si="156"/>
        <v>#VALUE!</v>
      </c>
    </row>
    <row r="1051" spans="1:10" x14ac:dyDescent="0.25">
      <c r="A1051" s="25">
        <f t="shared" si="157"/>
        <v>0.3699999999998313</v>
      </c>
      <c r="B1051" s="25">
        <f t="shared" ca="1" si="150"/>
        <v>-0.13516239296365773</v>
      </c>
      <c r="C1051" s="25" t="e">
        <f t="shared" si="151"/>
        <v>#VALUE!</v>
      </c>
      <c r="D1051" s="74" t="e">
        <f t="shared" si="152"/>
        <v>#VALUE!</v>
      </c>
      <c r="E1051" s="25" t="e">
        <f t="shared" si="153"/>
        <v>#VALUE!</v>
      </c>
      <c r="F1051" s="25" t="e">
        <f t="shared" ca="1" si="154"/>
        <v>#VALUE!</v>
      </c>
      <c r="G1051" s="25"/>
      <c r="H1051" s="25" t="e">
        <f t="shared" si="149"/>
        <v>#VALUE!</v>
      </c>
      <c r="I1051" s="25">
        <f t="shared" si="155"/>
        <v>536.99999999998317</v>
      </c>
      <c r="J1051" s="25" t="e">
        <f t="shared" si="156"/>
        <v>#VALUE!</v>
      </c>
    </row>
    <row r="1052" spans="1:10" x14ac:dyDescent="0.25">
      <c r="A1052" s="25">
        <f t="shared" si="157"/>
        <v>0.37999999999983131</v>
      </c>
      <c r="B1052" s="25">
        <f t="shared" ca="1" si="150"/>
        <v>8.1771001501949631E-2</v>
      </c>
      <c r="C1052" s="25" t="e">
        <f t="shared" si="151"/>
        <v>#VALUE!</v>
      </c>
      <c r="D1052" s="74" t="e">
        <f t="shared" si="152"/>
        <v>#VALUE!</v>
      </c>
      <c r="E1052" s="25" t="e">
        <f t="shared" si="153"/>
        <v>#VALUE!</v>
      </c>
      <c r="F1052" s="25" t="e">
        <f t="shared" ca="1" si="154"/>
        <v>#VALUE!</v>
      </c>
      <c r="G1052" s="25"/>
      <c r="H1052" s="25" t="e">
        <f t="shared" si="149"/>
        <v>#VALUE!</v>
      </c>
      <c r="I1052" s="25">
        <f t="shared" si="155"/>
        <v>537.99999999998306</v>
      </c>
      <c r="J1052" s="25" t="e">
        <f t="shared" si="156"/>
        <v>#VALUE!</v>
      </c>
    </row>
    <row r="1053" spans="1:10" x14ac:dyDescent="0.25">
      <c r="A1053" s="25">
        <f t="shared" si="157"/>
        <v>0.38999999999983131</v>
      </c>
      <c r="B1053" s="25">
        <f t="shared" ca="1" si="150"/>
        <v>-0.18466179310501743</v>
      </c>
      <c r="C1053" s="25" t="e">
        <f t="shared" si="151"/>
        <v>#VALUE!</v>
      </c>
      <c r="D1053" s="74" t="e">
        <f t="shared" si="152"/>
        <v>#VALUE!</v>
      </c>
      <c r="E1053" s="25" t="e">
        <f t="shared" si="153"/>
        <v>#VALUE!</v>
      </c>
      <c r="F1053" s="25" t="e">
        <f t="shared" ca="1" si="154"/>
        <v>#VALUE!</v>
      </c>
      <c r="G1053" s="25"/>
      <c r="H1053" s="25" t="e">
        <f t="shared" si="149"/>
        <v>#VALUE!</v>
      </c>
      <c r="I1053" s="25">
        <f t="shared" si="155"/>
        <v>538.99999999998306</v>
      </c>
      <c r="J1053" s="25" t="e">
        <f t="shared" si="156"/>
        <v>#VALUE!</v>
      </c>
    </row>
    <row r="1054" spans="1:10" x14ac:dyDescent="0.25">
      <c r="A1054" s="25">
        <f t="shared" si="157"/>
        <v>0.39999999999983132</v>
      </c>
      <c r="B1054" s="25">
        <f t="shared" ca="1" si="150"/>
        <v>-1.4509123639564405E-2</v>
      </c>
      <c r="C1054" s="25" t="e">
        <f t="shared" si="151"/>
        <v>#VALUE!</v>
      </c>
      <c r="D1054" s="74" t="e">
        <f t="shared" si="152"/>
        <v>#VALUE!</v>
      </c>
      <c r="E1054" s="25" t="e">
        <f t="shared" si="153"/>
        <v>#VALUE!</v>
      </c>
      <c r="F1054" s="25" t="e">
        <f t="shared" ca="1" si="154"/>
        <v>#VALUE!</v>
      </c>
      <c r="G1054" s="25"/>
      <c r="H1054" s="25" t="e">
        <f t="shared" ref="H1054:H1117" si="158">IF(PeakShape=$O$3,C1054,IF(PeakShape=O1056,D1054,E1054))</f>
        <v>#VALUE!</v>
      </c>
      <c r="I1054" s="25">
        <f t="shared" si="155"/>
        <v>539.99999999998317</v>
      </c>
      <c r="J1054" s="25" t="e">
        <f t="shared" si="156"/>
        <v>#VALUE!</v>
      </c>
    </row>
    <row r="1055" spans="1:10" x14ac:dyDescent="0.25">
      <c r="A1055" s="25">
        <f t="shared" si="157"/>
        <v>0.40999999999983133</v>
      </c>
      <c r="B1055" s="25">
        <f t="shared" ca="1" si="150"/>
        <v>-2.7073701091784399E-3</v>
      </c>
      <c r="C1055" s="25" t="e">
        <f t="shared" si="151"/>
        <v>#VALUE!</v>
      </c>
      <c r="D1055" s="74" t="e">
        <f t="shared" si="152"/>
        <v>#VALUE!</v>
      </c>
      <c r="E1055" s="25" t="e">
        <f t="shared" si="153"/>
        <v>#VALUE!</v>
      </c>
      <c r="F1055" s="25" t="e">
        <f t="shared" ca="1" si="154"/>
        <v>#VALUE!</v>
      </c>
      <c r="G1055" s="25"/>
      <c r="H1055" s="25" t="e">
        <f t="shared" si="158"/>
        <v>#VALUE!</v>
      </c>
      <c r="I1055" s="25">
        <f t="shared" si="155"/>
        <v>540.99999999998317</v>
      </c>
      <c r="J1055" s="25" t="e">
        <f t="shared" si="156"/>
        <v>#VALUE!</v>
      </c>
    </row>
    <row r="1056" spans="1:10" x14ac:dyDescent="0.25">
      <c r="A1056" s="25">
        <f t="shared" si="157"/>
        <v>0.41999999999983134</v>
      </c>
      <c r="B1056" s="25">
        <f t="shared" ca="1" si="150"/>
        <v>-0.18384822861611397</v>
      </c>
      <c r="C1056" s="25" t="e">
        <f t="shared" si="151"/>
        <v>#VALUE!</v>
      </c>
      <c r="D1056" s="74" t="e">
        <f t="shared" si="152"/>
        <v>#VALUE!</v>
      </c>
      <c r="E1056" s="25" t="e">
        <f t="shared" si="153"/>
        <v>#VALUE!</v>
      </c>
      <c r="F1056" s="25" t="e">
        <f t="shared" ca="1" si="154"/>
        <v>#VALUE!</v>
      </c>
      <c r="G1056" s="25"/>
      <c r="H1056" s="25" t="e">
        <f t="shared" si="158"/>
        <v>#VALUE!</v>
      </c>
      <c r="I1056" s="25">
        <f t="shared" si="155"/>
        <v>541.99999999998306</v>
      </c>
      <c r="J1056" s="25" t="e">
        <f t="shared" si="156"/>
        <v>#VALUE!</v>
      </c>
    </row>
    <row r="1057" spans="1:10" x14ac:dyDescent="0.25">
      <c r="A1057" s="25">
        <f t="shared" si="157"/>
        <v>0.42999999999983135</v>
      </c>
      <c r="B1057" s="25">
        <f t="shared" ca="1" si="150"/>
        <v>0.10456876121955909</v>
      </c>
      <c r="C1057" s="25" t="e">
        <f t="shared" si="151"/>
        <v>#VALUE!</v>
      </c>
      <c r="D1057" s="74" t="e">
        <f t="shared" si="152"/>
        <v>#VALUE!</v>
      </c>
      <c r="E1057" s="25" t="e">
        <f t="shared" si="153"/>
        <v>#VALUE!</v>
      </c>
      <c r="F1057" s="25" t="e">
        <f t="shared" ca="1" si="154"/>
        <v>#VALUE!</v>
      </c>
      <c r="G1057" s="25"/>
      <c r="H1057" s="25" t="e">
        <f t="shared" si="158"/>
        <v>#VALUE!</v>
      </c>
      <c r="I1057" s="25">
        <f t="shared" si="155"/>
        <v>542.99999999998306</v>
      </c>
      <c r="J1057" s="25" t="e">
        <f t="shared" si="156"/>
        <v>#VALUE!</v>
      </c>
    </row>
    <row r="1058" spans="1:10" x14ac:dyDescent="0.25">
      <c r="A1058" s="25">
        <f t="shared" si="157"/>
        <v>0.43999999999983136</v>
      </c>
      <c r="B1058" s="25">
        <f t="shared" ca="1" si="150"/>
        <v>7.3773218179235905E-2</v>
      </c>
      <c r="C1058" s="25" t="e">
        <f t="shared" si="151"/>
        <v>#VALUE!</v>
      </c>
      <c r="D1058" s="74" t="e">
        <f t="shared" si="152"/>
        <v>#VALUE!</v>
      </c>
      <c r="E1058" s="25" t="e">
        <f t="shared" si="153"/>
        <v>#VALUE!</v>
      </c>
      <c r="F1058" s="25" t="e">
        <f t="shared" ca="1" si="154"/>
        <v>#VALUE!</v>
      </c>
      <c r="G1058" s="25"/>
      <c r="H1058" s="25" t="e">
        <f t="shared" si="158"/>
        <v>#VALUE!</v>
      </c>
      <c r="I1058" s="25">
        <f t="shared" si="155"/>
        <v>543.99999999998317</v>
      </c>
      <c r="J1058" s="25" t="e">
        <f t="shared" si="156"/>
        <v>#VALUE!</v>
      </c>
    </row>
    <row r="1059" spans="1:10" x14ac:dyDescent="0.25">
      <c r="A1059" s="25">
        <f t="shared" si="157"/>
        <v>0.44999999999983137</v>
      </c>
      <c r="B1059" s="25">
        <f t="shared" ca="1" si="150"/>
        <v>-0.13692199034070704</v>
      </c>
      <c r="C1059" s="25" t="e">
        <f t="shared" si="151"/>
        <v>#VALUE!</v>
      </c>
      <c r="D1059" s="74" t="e">
        <f t="shared" si="152"/>
        <v>#VALUE!</v>
      </c>
      <c r="E1059" s="25" t="e">
        <f t="shared" si="153"/>
        <v>#VALUE!</v>
      </c>
      <c r="F1059" s="25" t="e">
        <f t="shared" ca="1" si="154"/>
        <v>#VALUE!</v>
      </c>
      <c r="G1059" s="25"/>
      <c r="H1059" s="25" t="e">
        <f t="shared" si="158"/>
        <v>#VALUE!</v>
      </c>
      <c r="I1059" s="25">
        <f t="shared" si="155"/>
        <v>544.99999999998317</v>
      </c>
      <c r="J1059" s="25" t="e">
        <f t="shared" si="156"/>
        <v>#VALUE!</v>
      </c>
    </row>
    <row r="1060" spans="1:10" x14ac:dyDescent="0.25">
      <c r="A1060" s="25">
        <f t="shared" si="157"/>
        <v>0.45999999999983138</v>
      </c>
      <c r="B1060" s="25">
        <f t="shared" ca="1" si="150"/>
        <v>-0.15575302733479848</v>
      </c>
      <c r="C1060" s="25" t="e">
        <f t="shared" si="151"/>
        <v>#VALUE!</v>
      </c>
      <c r="D1060" s="74" t="e">
        <f t="shared" si="152"/>
        <v>#VALUE!</v>
      </c>
      <c r="E1060" s="25" t="e">
        <f t="shared" si="153"/>
        <v>#VALUE!</v>
      </c>
      <c r="F1060" s="25" t="e">
        <f t="shared" ca="1" si="154"/>
        <v>#VALUE!</v>
      </c>
      <c r="G1060" s="25"/>
      <c r="H1060" s="25" t="e">
        <f t="shared" si="158"/>
        <v>#VALUE!</v>
      </c>
      <c r="I1060" s="25">
        <f t="shared" si="155"/>
        <v>545.99999999998306</v>
      </c>
      <c r="J1060" s="25" t="e">
        <f t="shared" si="156"/>
        <v>#VALUE!</v>
      </c>
    </row>
    <row r="1061" spans="1:10" x14ac:dyDescent="0.25">
      <c r="A1061" s="25">
        <f t="shared" si="157"/>
        <v>0.46999999999983139</v>
      </c>
      <c r="B1061" s="25">
        <f t="shared" ca="1" si="150"/>
        <v>7.8245038923538693E-2</v>
      </c>
      <c r="C1061" s="25" t="e">
        <f t="shared" si="151"/>
        <v>#VALUE!</v>
      </c>
      <c r="D1061" s="74" t="e">
        <f t="shared" si="152"/>
        <v>#VALUE!</v>
      </c>
      <c r="E1061" s="25" t="e">
        <f t="shared" si="153"/>
        <v>#VALUE!</v>
      </c>
      <c r="F1061" s="25" t="e">
        <f t="shared" ca="1" si="154"/>
        <v>#VALUE!</v>
      </c>
      <c r="G1061" s="25"/>
      <c r="H1061" s="25" t="e">
        <f t="shared" si="158"/>
        <v>#VALUE!</v>
      </c>
      <c r="I1061" s="25">
        <f t="shared" si="155"/>
        <v>546.99999999998306</v>
      </c>
      <c r="J1061" s="25" t="e">
        <f t="shared" si="156"/>
        <v>#VALUE!</v>
      </c>
    </row>
    <row r="1062" spans="1:10" x14ac:dyDescent="0.25">
      <c r="A1062" s="25">
        <f t="shared" si="157"/>
        <v>0.47999999999983139</v>
      </c>
      <c r="B1062" s="25">
        <f t="shared" ca="1" si="150"/>
        <v>0.12306808677799541</v>
      </c>
      <c r="C1062" s="25" t="e">
        <f t="shared" si="151"/>
        <v>#VALUE!</v>
      </c>
      <c r="D1062" s="74" t="e">
        <f t="shared" si="152"/>
        <v>#VALUE!</v>
      </c>
      <c r="E1062" s="25" t="e">
        <f t="shared" si="153"/>
        <v>#VALUE!</v>
      </c>
      <c r="F1062" s="25" t="e">
        <f t="shared" ca="1" si="154"/>
        <v>#VALUE!</v>
      </c>
      <c r="G1062" s="25"/>
      <c r="H1062" s="25" t="e">
        <f t="shared" si="158"/>
        <v>#VALUE!</v>
      </c>
      <c r="I1062" s="25">
        <f t="shared" si="155"/>
        <v>547.99999999998317</v>
      </c>
      <c r="J1062" s="25" t="e">
        <f t="shared" si="156"/>
        <v>#VALUE!</v>
      </c>
    </row>
    <row r="1063" spans="1:10" x14ac:dyDescent="0.25">
      <c r="A1063" s="25">
        <f t="shared" si="157"/>
        <v>0.4899999999998314</v>
      </c>
      <c r="B1063" s="25">
        <f t="shared" ca="1" si="150"/>
        <v>-1.2043442385295802E-2</v>
      </c>
      <c r="C1063" s="25" t="e">
        <f t="shared" si="151"/>
        <v>#VALUE!</v>
      </c>
      <c r="D1063" s="74" t="e">
        <f t="shared" si="152"/>
        <v>#VALUE!</v>
      </c>
      <c r="E1063" s="25" t="e">
        <f t="shared" si="153"/>
        <v>#VALUE!</v>
      </c>
      <c r="F1063" s="25" t="e">
        <f t="shared" ca="1" si="154"/>
        <v>#VALUE!</v>
      </c>
      <c r="G1063" s="25"/>
      <c r="H1063" s="25" t="e">
        <f t="shared" si="158"/>
        <v>#VALUE!</v>
      </c>
      <c r="I1063" s="25">
        <f t="shared" si="155"/>
        <v>548.99999999998317</v>
      </c>
      <c r="J1063" s="25" t="e">
        <f t="shared" si="156"/>
        <v>#VALUE!</v>
      </c>
    </row>
    <row r="1064" spans="1:10" x14ac:dyDescent="0.25">
      <c r="A1064" s="25">
        <f t="shared" si="157"/>
        <v>0.49999999999983141</v>
      </c>
      <c r="B1064" s="25">
        <f t="shared" ca="1" si="150"/>
        <v>-8.2163324831467127E-2</v>
      </c>
      <c r="C1064" s="25" t="e">
        <f t="shared" si="151"/>
        <v>#VALUE!</v>
      </c>
      <c r="D1064" s="74" t="e">
        <f t="shared" si="152"/>
        <v>#VALUE!</v>
      </c>
      <c r="E1064" s="25" t="e">
        <f t="shared" si="153"/>
        <v>#VALUE!</v>
      </c>
      <c r="F1064" s="25" t="e">
        <f t="shared" ca="1" si="154"/>
        <v>#VALUE!</v>
      </c>
      <c r="G1064" s="25"/>
      <c r="H1064" s="25" t="e">
        <f t="shared" si="158"/>
        <v>#VALUE!</v>
      </c>
      <c r="I1064" s="25">
        <f t="shared" si="155"/>
        <v>549.99999999998306</v>
      </c>
      <c r="J1064" s="25" t="e">
        <f t="shared" si="156"/>
        <v>#VALUE!</v>
      </c>
    </row>
    <row r="1065" spans="1:10" x14ac:dyDescent="0.25">
      <c r="A1065" s="25">
        <f t="shared" si="157"/>
        <v>0.50999999999983137</v>
      </c>
      <c r="B1065" s="25">
        <f t="shared" ca="1" si="150"/>
        <v>-0.1455168725477323</v>
      </c>
      <c r="C1065" s="25" t="e">
        <f t="shared" si="151"/>
        <v>#VALUE!</v>
      </c>
      <c r="D1065" s="74" t="e">
        <f t="shared" si="152"/>
        <v>#VALUE!</v>
      </c>
      <c r="E1065" s="25" t="e">
        <f t="shared" si="153"/>
        <v>#VALUE!</v>
      </c>
      <c r="F1065" s="25" t="e">
        <f t="shared" ca="1" si="154"/>
        <v>#VALUE!</v>
      </c>
      <c r="G1065" s="25"/>
      <c r="H1065" s="25" t="e">
        <f t="shared" si="158"/>
        <v>#VALUE!</v>
      </c>
      <c r="I1065" s="25">
        <f t="shared" si="155"/>
        <v>550.99999999998306</v>
      </c>
      <c r="J1065" s="25" t="e">
        <f t="shared" si="156"/>
        <v>#VALUE!</v>
      </c>
    </row>
    <row r="1066" spans="1:10" x14ac:dyDescent="0.25">
      <c r="A1066" s="25">
        <f t="shared" si="157"/>
        <v>0.51999999999983137</v>
      </c>
      <c r="B1066" s="25">
        <f t="shared" ca="1" si="150"/>
        <v>-9.2510074718294158E-2</v>
      </c>
      <c r="C1066" s="25" t="e">
        <f t="shared" si="151"/>
        <v>#VALUE!</v>
      </c>
      <c r="D1066" s="74" t="e">
        <f t="shared" si="152"/>
        <v>#VALUE!</v>
      </c>
      <c r="E1066" s="25" t="e">
        <f t="shared" si="153"/>
        <v>#VALUE!</v>
      </c>
      <c r="F1066" s="25" t="e">
        <f t="shared" ca="1" si="154"/>
        <v>#VALUE!</v>
      </c>
      <c r="G1066" s="25"/>
      <c r="H1066" s="25" t="e">
        <f t="shared" si="158"/>
        <v>#VALUE!</v>
      </c>
      <c r="I1066" s="25">
        <f t="shared" si="155"/>
        <v>551.99999999998317</v>
      </c>
      <c r="J1066" s="25" t="e">
        <f t="shared" si="156"/>
        <v>#VALUE!</v>
      </c>
    </row>
    <row r="1067" spans="1:10" x14ac:dyDescent="0.25">
      <c r="A1067" s="25">
        <f t="shared" si="157"/>
        <v>0.52999999999983138</v>
      </c>
      <c r="B1067" s="25">
        <f t="shared" ca="1" si="150"/>
        <v>6.3038706914148313E-3</v>
      </c>
      <c r="C1067" s="25" t="e">
        <f t="shared" si="151"/>
        <v>#VALUE!</v>
      </c>
      <c r="D1067" s="74" t="e">
        <f t="shared" si="152"/>
        <v>#VALUE!</v>
      </c>
      <c r="E1067" s="25" t="e">
        <f t="shared" si="153"/>
        <v>#VALUE!</v>
      </c>
      <c r="F1067" s="25" t="e">
        <f t="shared" ca="1" si="154"/>
        <v>#VALUE!</v>
      </c>
      <c r="G1067" s="25"/>
      <c r="H1067" s="25" t="e">
        <f t="shared" si="158"/>
        <v>#VALUE!</v>
      </c>
      <c r="I1067" s="25">
        <f t="shared" si="155"/>
        <v>552.99999999998317</v>
      </c>
      <c r="J1067" s="25" t="e">
        <f t="shared" si="156"/>
        <v>#VALUE!</v>
      </c>
    </row>
    <row r="1068" spans="1:10" x14ac:dyDescent="0.25">
      <c r="A1068" s="25">
        <f t="shared" si="157"/>
        <v>0.53999999999983139</v>
      </c>
      <c r="B1068" s="25">
        <f t="shared" ca="1" si="150"/>
        <v>7.745461377570638E-2</v>
      </c>
      <c r="C1068" s="25" t="e">
        <f t="shared" si="151"/>
        <v>#VALUE!</v>
      </c>
      <c r="D1068" s="74" t="e">
        <f t="shared" si="152"/>
        <v>#VALUE!</v>
      </c>
      <c r="E1068" s="25" t="e">
        <f t="shared" si="153"/>
        <v>#VALUE!</v>
      </c>
      <c r="F1068" s="25" t="e">
        <f t="shared" ca="1" si="154"/>
        <v>#VALUE!</v>
      </c>
      <c r="G1068" s="25"/>
      <c r="H1068" s="25" t="e">
        <f t="shared" si="158"/>
        <v>#VALUE!</v>
      </c>
      <c r="I1068" s="25">
        <f t="shared" si="155"/>
        <v>553.99999999998306</v>
      </c>
      <c r="J1068" s="25" t="e">
        <f t="shared" si="156"/>
        <v>#VALUE!</v>
      </c>
    </row>
    <row r="1069" spans="1:10" x14ac:dyDescent="0.25">
      <c r="A1069" s="25">
        <f t="shared" si="157"/>
        <v>0.5499999999998314</v>
      </c>
      <c r="B1069" s="25">
        <f t="shared" ca="1" si="150"/>
        <v>-1.8168211272910951E-2</v>
      </c>
      <c r="C1069" s="25" t="e">
        <f t="shared" si="151"/>
        <v>#VALUE!</v>
      </c>
      <c r="D1069" s="74" t="e">
        <f t="shared" si="152"/>
        <v>#VALUE!</v>
      </c>
      <c r="E1069" s="25" t="e">
        <f t="shared" si="153"/>
        <v>#VALUE!</v>
      </c>
      <c r="F1069" s="25" t="e">
        <f t="shared" ca="1" si="154"/>
        <v>#VALUE!</v>
      </c>
      <c r="G1069" s="25"/>
      <c r="H1069" s="25" t="e">
        <f t="shared" si="158"/>
        <v>#VALUE!</v>
      </c>
      <c r="I1069" s="25">
        <f t="shared" si="155"/>
        <v>554.99999999998306</v>
      </c>
      <c r="J1069" s="25" t="e">
        <f t="shared" si="156"/>
        <v>#VALUE!</v>
      </c>
    </row>
    <row r="1070" spans="1:10" x14ac:dyDescent="0.25">
      <c r="A1070" s="25">
        <f t="shared" si="157"/>
        <v>0.55999999999983141</v>
      </c>
      <c r="B1070" s="25">
        <f t="shared" ca="1" si="150"/>
        <v>2.5668526067750264E-2</v>
      </c>
      <c r="C1070" s="25" t="e">
        <f t="shared" si="151"/>
        <v>#VALUE!</v>
      </c>
      <c r="D1070" s="74" t="e">
        <f t="shared" si="152"/>
        <v>#VALUE!</v>
      </c>
      <c r="E1070" s="25" t="e">
        <f t="shared" si="153"/>
        <v>#VALUE!</v>
      </c>
      <c r="F1070" s="25" t="e">
        <f t="shared" ca="1" si="154"/>
        <v>#VALUE!</v>
      </c>
      <c r="G1070" s="25"/>
      <c r="H1070" s="25" t="e">
        <f t="shared" si="158"/>
        <v>#VALUE!</v>
      </c>
      <c r="I1070" s="25">
        <f t="shared" si="155"/>
        <v>555.99999999998317</v>
      </c>
      <c r="J1070" s="25" t="e">
        <f t="shared" si="156"/>
        <v>#VALUE!</v>
      </c>
    </row>
    <row r="1071" spans="1:10" x14ac:dyDescent="0.25">
      <c r="A1071" s="25">
        <f t="shared" si="157"/>
        <v>0.56999999999983142</v>
      </c>
      <c r="B1071" s="25">
        <f t="shared" ca="1" si="150"/>
        <v>-0.16603943946597685</v>
      </c>
      <c r="C1071" s="25" t="e">
        <f t="shared" si="151"/>
        <v>#VALUE!</v>
      </c>
      <c r="D1071" s="74" t="e">
        <f t="shared" si="152"/>
        <v>#VALUE!</v>
      </c>
      <c r="E1071" s="25" t="e">
        <f t="shared" si="153"/>
        <v>#VALUE!</v>
      </c>
      <c r="F1071" s="25" t="e">
        <f t="shared" ca="1" si="154"/>
        <v>#VALUE!</v>
      </c>
      <c r="G1071" s="25"/>
      <c r="H1071" s="25" t="e">
        <f t="shared" si="158"/>
        <v>#VALUE!</v>
      </c>
      <c r="I1071" s="25">
        <f t="shared" si="155"/>
        <v>556.99999999998317</v>
      </c>
      <c r="J1071" s="25" t="e">
        <f t="shared" si="156"/>
        <v>#VALUE!</v>
      </c>
    </row>
    <row r="1072" spans="1:10" x14ac:dyDescent="0.25">
      <c r="A1072" s="25">
        <f t="shared" si="157"/>
        <v>0.57999999999983143</v>
      </c>
      <c r="B1072" s="25">
        <f t="shared" ca="1" si="150"/>
        <v>-4.7124972727683838E-2</v>
      </c>
      <c r="C1072" s="25" t="e">
        <f t="shared" si="151"/>
        <v>#VALUE!</v>
      </c>
      <c r="D1072" s="74" t="e">
        <f t="shared" si="152"/>
        <v>#VALUE!</v>
      </c>
      <c r="E1072" s="25" t="e">
        <f t="shared" si="153"/>
        <v>#VALUE!</v>
      </c>
      <c r="F1072" s="25" t="e">
        <f t="shared" ca="1" si="154"/>
        <v>#VALUE!</v>
      </c>
      <c r="G1072" s="25"/>
      <c r="H1072" s="25" t="e">
        <f t="shared" si="158"/>
        <v>#VALUE!</v>
      </c>
      <c r="I1072" s="25">
        <f t="shared" si="155"/>
        <v>557.99999999998317</v>
      </c>
      <c r="J1072" s="25" t="e">
        <f t="shared" si="156"/>
        <v>#VALUE!</v>
      </c>
    </row>
    <row r="1073" spans="1:10" x14ac:dyDescent="0.25">
      <c r="A1073" s="25">
        <f t="shared" si="157"/>
        <v>0.58999999999983144</v>
      </c>
      <c r="B1073" s="25">
        <f t="shared" ca="1" si="150"/>
        <v>-0.10272419761240559</v>
      </c>
      <c r="C1073" s="25" t="e">
        <f t="shared" si="151"/>
        <v>#VALUE!</v>
      </c>
      <c r="D1073" s="74" t="e">
        <f t="shared" si="152"/>
        <v>#VALUE!</v>
      </c>
      <c r="E1073" s="25" t="e">
        <f t="shared" si="153"/>
        <v>#VALUE!</v>
      </c>
      <c r="F1073" s="25" t="e">
        <f t="shared" ca="1" si="154"/>
        <v>#VALUE!</v>
      </c>
      <c r="G1073" s="25"/>
      <c r="H1073" s="25" t="e">
        <f t="shared" si="158"/>
        <v>#VALUE!</v>
      </c>
      <c r="I1073" s="25">
        <f t="shared" si="155"/>
        <v>558.99999999998306</v>
      </c>
      <c r="J1073" s="25" t="e">
        <f t="shared" si="156"/>
        <v>#VALUE!</v>
      </c>
    </row>
    <row r="1074" spans="1:10" x14ac:dyDescent="0.25">
      <c r="A1074" s="25">
        <f t="shared" si="157"/>
        <v>0.59999999999983145</v>
      </c>
      <c r="B1074" s="25">
        <f t="shared" ca="1" si="150"/>
        <v>-0.12717793768889055</v>
      </c>
      <c r="C1074" s="25" t="e">
        <f t="shared" si="151"/>
        <v>#VALUE!</v>
      </c>
      <c r="D1074" s="74" t="e">
        <f t="shared" si="152"/>
        <v>#VALUE!</v>
      </c>
      <c r="E1074" s="25" t="e">
        <f t="shared" si="153"/>
        <v>#VALUE!</v>
      </c>
      <c r="F1074" s="25" t="e">
        <f t="shared" ca="1" si="154"/>
        <v>#VALUE!</v>
      </c>
      <c r="G1074" s="25"/>
      <c r="H1074" s="25" t="e">
        <f t="shared" si="158"/>
        <v>#VALUE!</v>
      </c>
      <c r="I1074" s="25">
        <f t="shared" si="155"/>
        <v>559.99999999998317</v>
      </c>
      <c r="J1074" s="25" t="e">
        <f t="shared" si="156"/>
        <v>#VALUE!</v>
      </c>
    </row>
    <row r="1075" spans="1:10" x14ac:dyDescent="0.25">
      <c r="A1075" s="25">
        <f t="shared" si="157"/>
        <v>0.60999999999983145</v>
      </c>
      <c r="B1075" s="25">
        <f t="shared" ca="1" si="150"/>
        <v>-4.5600544344055666E-2</v>
      </c>
      <c r="C1075" s="25" t="e">
        <f t="shared" si="151"/>
        <v>#VALUE!</v>
      </c>
      <c r="D1075" s="74" t="e">
        <f t="shared" si="152"/>
        <v>#VALUE!</v>
      </c>
      <c r="E1075" s="25" t="e">
        <f t="shared" si="153"/>
        <v>#VALUE!</v>
      </c>
      <c r="F1075" s="25" t="e">
        <f t="shared" ca="1" si="154"/>
        <v>#VALUE!</v>
      </c>
      <c r="G1075" s="25"/>
      <c r="H1075" s="25" t="e">
        <f t="shared" si="158"/>
        <v>#VALUE!</v>
      </c>
      <c r="I1075" s="25">
        <f t="shared" si="155"/>
        <v>560.99999999998317</v>
      </c>
      <c r="J1075" s="25" t="e">
        <f t="shared" si="156"/>
        <v>#VALUE!</v>
      </c>
    </row>
    <row r="1076" spans="1:10" x14ac:dyDescent="0.25">
      <c r="A1076" s="25">
        <f t="shared" si="157"/>
        <v>0.61999999999983146</v>
      </c>
      <c r="B1076" s="25">
        <f t="shared" ca="1" si="150"/>
        <v>-0.16419852205017457</v>
      </c>
      <c r="C1076" s="25" t="e">
        <f t="shared" si="151"/>
        <v>#VALUE!</v>
      </c>
      <c r="D1076" s="74" t="e">
        <f t="shared" si="152"/>
        <v>#VALUE!</v>
      </c>
      <c r="E1076" s="25" t="e">
        <f t="shared" si="153"/>
        <v>#VALUE!</v>
      </c>
      <c r="F1076" s="25" t="e">
        <f t="shared" ca="1" si="154"/>
        <v>#VALUE!</v>
      </c>
      <c r="G1076" s="25"/>
      <c r="H1076" s="25" t="e">
        <f t="shared" si="158"/>
        <v>#VALUE!</v>
      </c>
      <c r="I1076" s="25">
        <f t="shared" si="155"/>
        <v>561.99999999998317</v>
      </c>
      <c r="J1076" s="25" t="e">
        <f t="shared" si="156"/>
        <v>#VALUE!</v>
      </c>
    </row>
    <row r="1077" spans="1:10" x14ac:dyDescent="0.25">
      <c r="A1077" s="25">
        <f t="shared" si="157"/>
        <v>0.62999999999983147</v>
      </c>
      <c r="B1077" s="25">
        <f t="shared" ca="1" si="150"/>
        <v>9.6842744912594106E-2</v>
      </c>
      <c r="C1077" s="25" t="e">
        <f t="shared" si="151"/>
        <v>#VALUE!</v>
      </c>
      <c r="D1077" s="74" t="e">
        <f t="shared" si="152"/>
        <v>#VALUE!</v>
      </c>
      <c r="E1077" s="25" t="e">
        <f t="shared" si="153"/>
        <v>#VALUE!</v>
      </c>
      <c r="F1077" s="25" t="e">
        <f t="shared" ca="1" si="154"/>
        <v>#VALUE!</v>
      </c>
      <c r="G1077" s="25"/>
      <c r="H1077" s="25" t="e">
        <f t="shared" si="158"/>
        <v>#VALUE!</v>
      </c>
      <c r="I1077" s="25">
        <f t="shared" si="155"/>
        <v>562.99999999998306</v>
      </c>
      <c r="J1077" s="25" t="e">
        <f t="shared" si="156"/>
        <v>#VALUE!</v>
      </c>
    </row>
    <row r="1078" spans="1:10" x14ac:dyDescent="0.25">
      <c r="A1078" s="25">
        <f t="shared" si="157"/>
        <v>0.63999999999983148</v>
      </c>
      <c r="B1078" s="25">
        <f t="shared" ca="1" si="150"/>
        <v>-0.1816706886130165</v>
      </c>
      <c r="C1078" s="25" t="e">
        <f t="shared" si="151"/>
        <v>#VALUE!</v>
      </c>
      <c r="D1078" s="74" t="e">
        <f t="shared" si="152"/>
        <v>#VALUE!</v>
      </c>
      <c r="E1078" s="25" t="e">
        <f t="shared" si="153"/>
        <v>#VALUE!</v>
      </c>
      <c r="F1078" s="25" t="e">
        <f t="shared" ca="1" si="154"/>
        <v>#VALUE!</v>
      </c>
      <c r="G1078" s="25"/>
      <c r="H1078" s="25" t="e">
        <f t="shared" si="158"/>
        <v>#VALUE!</v>
      </c>
      <c r="I1078" s="25">
        <f t="shared" si="155"/>
        <v>563.99999999998317</v>
      </c>
      <c r="J1078" s="25" t="e">
        <f t="shared" si="156"/>
        <v>#VALUE!</v>
      </c>
    </row>
    <row r="1079" spans="1:10" x14ac:dyDescent="0.25">
      <c r="A1079" s="25">
        <f t="shared" si="157"/>
        <v>0.64999999999983149</v>
      </c>
      <c r="B1079" s="25">
        <f t="shared" ca="1" si="150"/>
        <v>-8.6705707094302656E-2</v>
      </c>
      <c r="C1079" s="25" t="e">
        <f t="shared" si="151"/>
        <v>#VALUE!</v>
      </c>
      <c r="D1079" s="74" t="e">
        <f t="shared" si="152"/>
        <v>#VALUE!</v>
      </c>
      <c r="E1079" s="25" t="e">
        <f t="shared" si="153"/>
        <v>#VALUE!</v>
      </c>
      <c r="F1079" s="25" t="e">
        <f t="shared" ca="1" si="154"/>
        <v>#VALUE!</v>
      </c>
      <c r="G1079" s="25"/>
      <c r="H1079" s="25" t="e">
        <f t="shared" si="158"/>
        <v>#VALUE!</v>
      </c>
      <c r="I1079" s="25">
        <f t="shared" si="155"/>
        <v>564.99999999998317</v>
      </c>
      <c r="J1079" s="25" t="e">
        <f t="shared" si="156"/>
        <v>#VALUE!</v>
      </c>
    </row>
    <row r="1080" spans="1:10" x14ac:dyDescent="0.25">
      <c r="A1080" s="25">
        <f t="shared" si="157"/>
        <v>0.6599999999998315</v>
      </c>
      <c r="B1080" s="25">
        <f t="shared" ca="1" si="150"/>
        <v>0.12342577236257779</v>
      </c>
      <c r="C1080" s="25" t="e">
        <f t="shared" si="151"/>
        <v>#VALUE!</v>
      </c>
      <c r="D1080" s="74" t="e">
        <f t="shared" si="152"/>
        <v>#VALUE!</v>
      </c>
      <c r="E1080" s="25" t="e">
        <f t="shared" si="153"/>
        <v>#VALUE!</v>
      </c>
      <c r="F1080" s="25" t="e">
        <f t="shared" ca="1" si="154"/>
        <v>#VALUE!</v>
      </c>
      <c r="G1080" s="25"/>
      <c r="H1080" s="25" t="e">
        <f t="shared" si="158"/>
        <v>#VALUE!</v>
      </c>
      <c r="I1080" s="25">
        <f t="shared" si="155"/>
        <v>565.99999999998317</v>
      </c>
      <c r="J1080" s="25" t="e">
        <f t="shared" si="156"/>
        <v>#VALUE!</v>
      </c>
    </row>
    <row r="1081" spans="1:10" x14ac:dyDescent="0.25">
      <c r="A1081" s="25">
        <f t="shared" si="157"/>
        <v>0.66999999999983151</v>
      </c>
      <c r="B1081" s="25">
        <f t="shared" ca="1" si="150"/>
        <v>4.4428031319240217E-2</v>
      </c>
      <c r="C1081" s="25" t="e">
        <f t="shared" si="151"/>
        <v>#VALUE!</v>
      </c>
      <c r="D1081" s="74" t="e">
        <f t="shared" si="152"/>
        <v>#VALUE!</v>
      </c>
      <c r="E1081" s="25" t="e">
        <f t="shared" si="153"/>
        <v>#VALUE!</v>
      </c>
      <c r="F1081" s="25" t="e">
        <f t="shared" ca="1" si="154"/>
        <v>#VALUE!</v>
      </c>
      <c r="G1081" s="25"/>
      <c r="H1081" s="25" t="e">
        <f t="shared" si="158"/>
        <v>#VALUE!</v>
      </c>
      <c r="I1081" s="25">
        <f t="shared" si="155"/>
        <v>566.99999999998306</v>
      </c>
      <c r="J1081" s="25" t="e">
        <f t="shared" si="156"/>
        <v>#VALUE!</v>
      </c>
    </row>
    <row r="1082" spans="1:10" x14ac:dyDescent="0.25">
      <c r="A1082" s="25">
        <f t="shared" si="157"/>
        <v>0.67999999999983152</v>
      </c>
      <c r="B1082" s="25">
        <f t="shared" ca="1" si="150"/>
        <v>-0.18044796917652087</v>
      </c>
      <c r="C1082" s="25" t="e">
        <f t="shared" si="151"/>
        <v>#VALUE!</v>
      </c>
      <c r="D1082" s="74" t="e">
        <f t="shared" si="152"/>
        <v>#VALUE!</v>
      </c>
      <c r="E1082" s="25" t="e">
        <f t="shared" si="153"/>
        <v>#VALUE!</v>
      </c>
      <c r="F1082" s="25" t="e">
        <f t="shared" ca="1" si="154"/>
        <v>#VALUE!</v>
      </c>
      <c r="G1082" s="25"/>
      <c r="H1082" s="25" t="e">
        <f t="shared" si="158"/>
        <v>#VALUE!</v>
      </c>
      <c r="I1082" s="25">
        <f t="shared" si="155"/>
        <v>567.99999999998317</v>
      </c>
      <c r="J1082" s="25" t="e">
        <f t="shared" si="156"/>
        <v>#VALUE!</v>
      </c>
    </row>
    <row r="1083" spans="1:10" x14ac:dyDescent="0.25">
      <c r="A1083" s="25">
        <f t="shared" si="157"/>
        <v>0.68999999999983153</v>
      </c>
      <c r="B1083" s="25">
        <f t="shared" ca="1" si="150"/>
        <v>-1.380186378574271E-2</v>
      </c>
      <c r="C1083" s="25" t="e">
        <f t="shared" si="151"/>
        <v>#VALUE!</v>
      </c>
      <c r="D1083" s="74" t="e">
        <f t="shared" si="152"/>
        <v>#VALUE!</v>
      </c>
      <c r="E1083" s="25" t="e">
        <f t="shared" si="153"/>
        <v>#VALUE!</v>
      </c>
      <c r="F1083" s="25" t="e">
        <f t="shared" ca="1" si="154"/>
        <v>#VALUE!</v>
      </c>
      <c r="G1083" s="25"/>
      <c r="H1083" s="25" t="e">
        <f t="shared" si="158"/>
        <v>#VALUE!</v>
      </c>
      <c r="I1083" s="25">
        <f t="shared" si="155"/>
        <v>568.99999999998317</v>
      </c>
      <c r="J1083" s="25" t="e">
        <f t="shared" si="156"/>
        <v>#VALUE!</v>
      </c>
    </row>
    <row r="1084" spans="1:10" x14ac:dyDescent="0.25">
      <c r="A1084" s="25">
        <f t="shared" si="157"/>
        <v>0.69999999999983153</v>
      </c>
      <c r="B1084" s="25">
        <f t="shared" ca="1" si="150"/>
        <v>-0.17070953472389475</v>
      </c>
      <c r="C1084" s="25" t="e">
        <f t="shared" si="151"/>
        <v>#VALUE!</v>
      </c>
      <c r="D1084" s="74" t="e">
        <f t="shared" si="152"/>
        <v>#VALUE!</v>
      </c>
      <c r="E1084" s="25" t="e">
        <f t="shared" si="153"/>
        <v>#VALUE!</v>
      </c>
      <c r="F1084" s="25" t="e">
        <f t="shared" ca="1" si="154"/>
        <v>#VALUE!</v>
      </c>
      <c r="G1084" s="25"/>
      <c r="H1084" s="25" t="e">
        <f t="shared" si="158"/>
        <v>#VALUE!</v>
      </c>
      <c r="I1084" s="25">
        <f t="shared" si="155"/>
        <v>569.99999999998317</v>
      </c>
      <c r="J1084" s="25" t="e">
        <f t="shared" si="156"/>
        <v>#VALUE!</v>
      </c>
    </row>
    <row r="1085" spans="1:10" x14ac:dyDescent="0.25">
      <c r="A1085" s="25">
        <f t="shared" si="157"/>
        <v>0.70999999999983154</v>
      </c>
      <c r="B1085" s="25">
        <f t="shared" ca="1" si="150"/>
        <v>-0.14354667590755632</v>
      </c>
      <c r="C1085" s="25" t="e">
        <f t="shared" si="151"/>
        <v>#VALUE!</v>
      </c>
      <c r="D1085" s="74" t="e">
        <f t="shared" si="152"/>
        <v>#VALUE!</v>
      </c>
      <c r="E1085" s="25" t="e">
        <f t="shared" si="153"/>
        <v>#VALUE!</v>
      </c>
      <c r="F1085" s="25" t="e">
        <f t="shared" ca="1" si="154"/>
        <v>#VALUE!</v>
      </c>
      <c r="G1085" s="25"/>
      <c r="H1085" s="25" t="e">
        <f t="shared" si="158"/>
        <v>#VALUE!</v>
      </c>
      <c r="I1085" s="25">
        <f t="shared" si="155"/>
        <v>570.99999999998306</v>
      </c>
      <c r="J1085" s="25" t="e">
        <f t="shared" si="156"/>
        <v>#VALUE!</v>
      </c>
    </row>
    <row r="1086" spans="1:10" x14ac:dyDescent="0.25">
      <c r="A1086" s="25">
        <f t="shared" si="157"/>
        <v>0.71999999999983155</v>
      </c>
      <c r="B1086" s="25">
        <f t="shared" ca="1" si="150"/>
        <v>-1.0003614537600616E-2</v>
      </c>
      <c r="C1086" s="25" t="e">
        <f t="shared" si="151"/>
        <v>#VALUE!</v>
      </c>
      <c r="D1086" s="74" t="e">
        <f t="shared" si="152"/>
        <v>#VALUE!</v>
      </c>
      <c r="E1086" s="25" t="e">
        <f t="shared" si="153"/>
        <v>#VALUE!</v>
      </c>
      <c r="F1086" s="25" t="e">
        <f t="shared" ca="1" si="154"/>
        <v>#VALUE!</v>
      </c>
      <c r="G1086" s="25"/>
      <c r="H1086" s="25" t="e">
        <f t="shared" si="158"/>
        <v>#VALUE!</v>
      </c>
      <c r="I1086" s="25">
        <f t="shared" si="155"/>
        <v>571.99999999998317</v>
      </c>
      <c r="J1086" s="25" t="e">
        <f t="shared" si="156"/>
        <v>#VALUE!</v>
      </c>
    </row>
    <row r="1087" spans="1:10" x14ac:dyDescent="0.25">
      <c r="A1087" s="25">
        <f t="shared" si="157"/>
        <v>0.72999999999983156</v>
      </c>
      <c r="B1087" s="25">
        <f t="shared" ca="1" si="150"/>
        <v>-0.13069515568684079</v>
      </c>
      <c r="C1087" s="25" t="e">
        <f t="shared" si="151"/>
        <v>#VALUE!</v>
      </c>
      <c r="D1087" s="74" t="e">
        <f t="shared" si="152"/>
        <v>#VALUE!</v>
      </c>
      <c r="E1087" s="25" t="e">
        <f t="shared" si="153"/>
        <v>#VALUE!</v>
      </c>
      <c r="F1087" s="25" t="e">
        <f t="shared" ca="1" si="154"/>
        <v>#VALUE!</v>
      </c>
      <c r="G1087" s="25"/>
      <c r="H1087" s="25" t="e">
        <f t="shared" si="158"/>
        <v>#VALUE!</v>
      </c>
      <c r="I1087" s="25">
        <f t="shared" si="155"/>
        <v>572.99999999998317</v>
      </c>
      <c r="J1087" s="25" t="e">
        <f t="shared" si="156"/>
        <v>#VALUE!</v>
      </c>
    </row>
    <row r="1088" spans="1:10" x14ac:dyDescent="0.25">
      <c r="A1088" s="25">
        <f t="shared" si="157"/>
        <v>0.73999999999983157</v>
      </c>
      <c r="B1088" s="25">
        <f t="shared" ca="1" si="150"/>
        <v>8.9800252418863399E-2</v>
      </c>
      <c r="C1088" s="25" t="e">
        <f t="shared" si="151"/>
        <v>#VALUE!</v>
      </c>
      <c r="D1088" s="74" t="e">
        <f t="shared" si="152"/>
        <v>#VALUE!</v>
      </c>
      <c r="E1088" s="25" t="e">
        <f t="shared" si="153"/>
        <v>#VALUE!</v>
      </c>
      <c r="F1088" s="25" t="e">
        <f t="shared" ca="1" si="154"/>
        <v>#VALUE!</v>
      </c>
      <c r="G1088" s="25"/>
      <c r="H1088" s="25" t="e">
        <f t="shared" si="158"/>
        <v>#VALUE!</v>
      </c>
      <c r="I1088" s="25">
        <f t="shared" si="155"/>
        <v>573.99999999998317</v>
      </c>
      <c r="J1088" s="25" t="e">
        <f t="shared" si="156"/>
        <v>#VALUE!</v>
      </c>
    </row>
    <row r="1089" spans="1:10" x14ac:dyDescent="0.25">
      <c r="A1089" s="25">
        <f t="shared" si="157"/>
        <v>0.74999999999983158</v>
      </c>
      <c r="B1089" s="25">
        <f t="shared" ca="1" si="150"/>
        <v>-0.10339081625335089</v>
      </c>
      <c r="C1089" s="25" t="e">
        <f t="shared" si="151"/>
        <v>#VALUE!</v>
      </c>
      <c r="D1089" s="74" t="e">
        <f t="shared" si="152"/>
        <v>#VALUE!</v>
      </c>
      <c r="E1089" s="25" t="e">
        <f t="shared" si="153"/>
        <v>#VALUE!</v>
      </c>
      <c r="F1089" s="25" t="e">
        <f t="shared" ca="1" si="154"/>
        <v>#VALUE!</v>
      </c>
      <c r="G1089" s="25"/>
      <c r="H1089" s="25" t="e">
        <f t="shared" si="158"/>
        <v>#VALUE!</v>
      </c>
      <c r="I1089" s="25">
        <f t="shared" si="155"/>
        <v>574.99999999998306</v>
      </c>
      <c r="J1089" s="25" t="e">
        <f t="shared" si="156"/>
        <v>#VALUE!</v>
      </c>
    </row>
    <row r="1090" spans="1:10" x14ac:dyDescent="0.25">
      <c r="A1090" s="25">
        <f t="shared" si="157"/>
        <v>0.75999999999983159</v>
      </c>
      <c r="B1090" s="25">
        <f t="shared" ca="1" si="150"/>
        <v>-0.14453797360713808</v>
      </c>
      <c r="C1090" s="25" t="e">
        <f t="shared" si="151"/>
        <v>#VALUE!</v>
      </c>
      <c r="D1090" s="74" t="e">
        <f t="shared" si="152"/>
        <v>#VALUE!</v>
      </c>
      <c r="E1090" s="25" t="e">
        <f t="shared" si="153"/>
        <v>#VALUE!</v>
      </c>
      <c r="F1090" s="25" t="e">
        <f t="shared" ca="1" si="154"/>
        <v>#VALUE!</v>
      </c>
      <c r="G1090" s="25"/>
      <c r="H1090" s="25" t="e">
        <f t="shared" si="158"/>
        <v>#VALUE!</v>
      </c>
      <c r="I1090" s="25">
        <f t="shared" si="155"/>
        <v>575.99999999998317</v>
      </c>
      <c r="J1090" s="25" t="e">
        <f t="shared" si="156"/>
        <v>#VALUE!</v>
      </c>
    </row>
    <row r="1091" spans="1:10" x14ac:dyDescent="0.25">
      <c r="A1091" s="25">
        <f t="shared" si="157"/>
        <v>0.7699999999998316</v>
      </c>
      <c r="B1091" s="25">
        <f t="shared" ca="1" si="150"/>
        <v>-0.11561668500574585</v>
      </c>
      <c r="C1091" s="25" t="e">
        <f t="shared" si="151"/>
        <v>#VALUE!</v>
      </c>
      <c r="D1091" s="74" t="e">
        <f t="shared" si="152"/>
        <v>#VALUE!</v>
      </c>
      <c r="E1091" s="25" t="e">
        <f t="shared" si="153"/>
        <v>#VALUE!</v>
      </c>
      <c r="F1091" s="25" t="e">
        <f t="shared" ca="1" si="154"/>
        <v>#VALUE!</v>
      </c>
      <c r="G1091" s="25"/>
      <c r="H1091" s="25" t="e">
        <f t="shared" si="158"/>
        <v>#VALUE!</v>
      </c>
      <c r="I1091" s="25">
        <f t="shared" si="155"/>
        <v>576.99999999998317</v>
      </c>
      <c r="J1091" s="25" t="e">
        <f t="shared" si="156"/>
        <v>#VALUE!</v>
      </c>
    </row>
    <row r="1092" spans="1:10" x14ac:dyDescent="0.25">
      <c r="A1092" s="25">
        <f t="shared" si="157"/>
        <v>0.77999999999983161</v>
      </c>
      <c r="B1092" s="25">
        <f t="shared" ca="1" si="150"/>
        <v>-4.1315937320502288E-2</v>
      </c>
      <c r="C1092" s="25" t="e">
        <f t="shared" si="151"/>
        <v>#VALUE!</v>
      </c>
      <c r="D1092" s="74" t="e">
        <f t="shared" si="152"/>
        <v>#VALUE!</v>
      </c>
      <c r="E1092" s="25" t="e">
        <f t="shared" si="153"/>
        <v>#VALUE!</v>
      </c>
      <c r="F1092" s="25" t="e">
        <f t="shared" ca="1" si="154"/>
        <v>#VALUE!</v>
      </c>
      <c r="G1092" s="25"/>
      <c r="H1092" s="25" t="e">
        <f t="shared" si="158"/>
        <v>#VALUE!</v>
      </c>
      <c r="I1092" s="25">
        <f t="shared" si="155"/>
        <v>577.99999999998317</v>
      </c>
      <c r="J1092" s="25" t="e">
        <f t="shared" si="156"/>
        <v>#VALUE!</v>
      </c>
    </row>
    <row r="1093" spans="1:10" x14ac:dyDescent="0.25">
      <c r="A1093" s="25">
        <f t="shared" si="157"/>
        <v>0.78999999999983161</v>
      </c>
      <c r="B1093" s="25">
        <f t="shared" ca="1" si="150"/>
        <v>-8.61508530671381E-2</v>
      </c>
      <c r="C1093" s="25" t="e">
        <f t="shared" si="151"/>
        <v>#VALUE!</v>
      </c>
      <c r="D1093" s="74" t="e">
        <f t="shared" si="152"/>
        <v>#VALUE!</v>
      </c>
      <c r="E1093" s="25" t="e">
        <f t="shared" si="153"/>
        <v>#VALUE!</v>
      </c>
      <c r="F1093" s="25" t="e">
        <f t="shared" ca="1" si="154"/>
        <v>#VALUE!</v>
      </c>
      <c r="G1093" s="25"/>
      <c r="H1093" s="25" t="e">
        <f t="shared" si="158"/>
        <v>#VALUE!</v>
      </c>
      <c r="I1093" s="25">
        <f t="shared" si="155"/>
        <v>578.99999999998306</v>
      </c>
      <c r="J1093" s="25" t="e">
        <f t="shared" si="156"/>
        <v>#VALUE!</v>
      </c>
    </row>
    <row r="1094" spans="1:10" x14ac:dyDescent="0.25">
      <c r="A1094" s="25">
        <f t="shared" si="157"/>
        <v>0.79999999999983162</v>
      </c>
      <c r="B1094" s="25">
        <f t="shared" ca="1" si="150"/>
        <v>-0.17549284331875037</v>
      </c>
      <c r="C1094" s="25" t="e">
        <f t="shared" si="151"/>
        <v>#VALUE!</v>
      </c>
      <c r="D1094" s="74" t="e">
        <f t="shared" si="152"/>
        <v>#VALUE!</v>
      </c>
      <c r="E1094" s="25" t="e">
        <f t="shared" si="153"/>
        <v>#VALUE!</v>
      </c>
      <c r="F1094" s="25" t="e">
        <f t="shared" ca="1" si="154"/>
        <v>#VALUE!</v>
      </c>
      <c r="G1094" s="25"/>
      <c r="H1094" s="25" t="e">
        <f t="shared" si="158"/>
        <v>#VALUE!</v>
      </c>
      <c r="I1094" s="25">
        <f t="shared" si="155"/>
        <v>579.99999999998317</v>
      </c>
      <c r="J1094" s="25" t="e">
        <f t="shared" si="156"/>
        <v>#VALUE!</v>
      </c>
    </row>
    <row r="1095" spans="1:10" x14ac:dyDescent="0.25">
      <c r="A1095" s="25">
        <f t="shared" si="157"/>
        <v>0.80999999999983163</v>
      </c>
      <c r="B1095" s="25">
        <f t="shared" ca="1" si="150"/>
        <v>-3.5493773783742966E-4</v>
      </c>
      <c r="C1095" s="25" t="e">
        <f t="shared" si="151"/>
        <v>#VALUE!</v>
      </c>
      <c r="D1095" s="74" t="e">
        <f t="shared" si="152"/>
        <v>#VALUE!</v>
      </c>
      <c r="E1095" s="25" t="e">
        <f t="shared" si="153"/>
        <v>#VALUE!</v>
      </c>
      <c r="F1095" s="25" t="e">
        <f t="shared" ca="1" si="154"/>
        <v>#VALUE!</v>
      </c>
      <c r="G1095" s="25"/>
      <c r="H1095" s="25" t="e">
        <f t="shared" si="158"/>
        <v>#VALUE!</v>
      </c>
      <c r="I1095" s="25">
        <f t="shared" si="155"/>
        <v>580.99999999998317</v>
      </c>
      <c r="J1095" s="25" t="e">
        <f t="shared" si="156"/>
        <v>#VALUE!</v>
      </c>
    </row>
    <row r="1096" spans="1:10" x14ac:dyDescent="0.25">
      <c r="A1096" s="25">
        <f t="shared" si="157"/>
        <v>0.81999999999983164</v>
      </c>
      <c r="B1096" s="25">
        <f t="shared" ca="1" si="150"/>
        <v>-0.19469700859150244</v>
      </c>
      <c r="C1096" s="25" t="e">
        <f t="shared" si="151"/>
        <v>#VALUE!</v>
      </c>
      <c r="D1096" s="74" t="e">
        <f t="shared" si="152"/>
        <v>#VALUE!</v>
      </c>
      <c r="E1096" s="25" t="e">
        <f t="shared" si="153"/>
        <v>#VALUE!</v>
      </c>
      <c r="F1096" s="25" t="e">
        <f t="shared" ca="1" si="154"/>
        <v>#VALUE!</v>
      </c>
      <c r="G1096" s="25"/>
      <c r="H1096" s="25" t="e">
        <f t="shared" si="158"/>
        <v>#VALUE!</v>
      </c>
      <c r="I1096" s="25">
        <f t="shared" si="155"/>
        <v>581.99999999998317</v>
      </c>
      <c r="J1096" s="25" t="e">
        <f t="shared" si="156"/>
        <v>#VALUE!</v>
      </c>
    </row>
    <row r="1097" spans="1:10" x14ac:dyDescent="0.25">
      <c r="A1097" s="25">
        <f t="shared" si="157"/>
        <v>0.82999999999983165</v>
      </c>
      <c r="B1097" s="25">
        <f t="shared" ca="1" si="150"/>
        <v>-6.3639058150505343E-2</v>
      </c>
      <c r="C1097" s="25" t="e">
        <f t="shared" si="151"/>
        <v>#VALUE!</v>
      </c>
      <c r="D1097" s="74" t="e">
        <f t="shared" si="152"/>
        <v>#VALUE!</v>
      </c>
      <c r="E1097" s="25" t="e">
        <f t="shared" si="153"/>
        <v>#VALUE!</v>
      </c>
      <c r="F1097" s="25" t="e">
        <f t="shared" ca="1" si="154"/>
        <v>#VALUE!</v>
      </c>
      <c r="G1097" s="25"/>
      <c r="H1097" s="25" t="e">
        <f t="shared" si="158"/>
        <v>#VALUE!</v>
      </c>
      <c r="I1097" s="25">
        <f t="shared" si="155"/>
        <v>582.99999999998317</v>
      </c>
      <c r="J1097" s="25" t="e">
        <f t="shared" si="156"/>
        <v>#VALUE!</v>
      </c>
    </row>
    <row r="1098" spans="1:10" x14ac:dyDescent="0.25">
      <c r="A1098" s="25">
        <f t="shared" si="157"/>
        <v>0.83999999999983166</v>
      </c>
      <c r="B1098" s="25">
        <f t="shared" ca="1" si="150"/>
        <v>7.7666615259618565E-4</v>
      </c>
      <c r="C1098" s="25" t="e">
        <f t="shared" si="151"/>
        <v>#VALUE!</v>
      </c>
      <c r="D1098" s="74" t="e">
        <f t="shared" si="152"/>
        <v>#VALUE!</v>
      </c>
      <c r="E1098" s="25" t="e">
        <f t="shared" si="153"/>
        <v>#VALUE!</v>
      </c>
      <c r="F1098" s="25" t="e">
        <f t="shared" ca="1" si="154"/>
        <v>#VALUE!</v>
      </c>
      <c r="G1098" s="25"/>
      <c r="H1098" s="25" t="e">
        <f t="shared" si="158"/>
        <v>#VALUE!</v>
      </c>
      <c r="I1098" s="25">
        <f t="shared" si="155"/>
        <v>583.99999999998317</v>
      </c>
      <c r="J1098" s="25" t="e">
        <f t="shared" si="156"/>
        <v>#VALUE!</v>
      </c>
    </row>
    <row r="1099" spans="1:10" x14ac:dyDescent="0.25">
      <c r="A1099" s="25">
        <f t="shared" si="157"/>
        <v>0.84999999999983167</v>
      </c>
      <c r="B1099" s="25">
        <f t="shared" ca="1" si="150"/>
        <v>6.2099018044697189E-2</v>
      </c>
      <c r="C1099" s="25" t="e">
        <f t="shared" si="151"/>
        <v>#VALUE!</v>
      </c>
      <c r="D1099" s="74" t="e">
        <f t="shared" si="152"/>
        <v>#VALUE!</v>
      </c>
      <c r="E1099" s="25" t="e">
        <f t="shared" si="153"/>
        <v>#VALUE!</v>
      </c>
      <c r="F1099" s="25" t="e">
        <f t="shared" ca="1" si="154"/>
        <v>#VALUE!</v>
      </c>
      <c r="G1099" s="25"/>
      <c r="H1099" s="25" t="e">
        <f t="shared" si="158"/>
        <v>#VALUE!</v>
      </c>
      <c r="I1099" s="25">
        <f t="shared" si="155"/>
        <v>584.99999999998317</v>
      </c>
      <c r="J1099" s="25" t="e">
        <f t="shared" si="156"/>
        <v>#VALUE!</v>
      </c>
    </row>
    <row r="1100" spans="1:10" x14ac:dyDescent="0.25">
      <c r="A1100" s="25">
        <f t="shared" si="157"/>
        <v>0.85999999999983168</v>
      </c>
      <c r="B1100" s="25">
        <f t="shared" ca="1" si="150"/>
        <v>-0.15094880077215619</v>
      </c>
      <c r="C1100" s="25" t="e">
        <f t="shared" si="151"/>
        <v>#VALUE!</v>
      </c>
      <c r="D1100" s="74" t="e">
        <f t="shared" si="152"/>
        <v>#VALUE!</v>
      </c>
      <c r="E1100" s="25" t="e">
        <f t="shared" si="153"/>
        <v>#VALUE!</v>
      </c>
      <c r="F1100" s="25" t="e">
        <f t="shared" ca="1" si="154"/>
        <v>#VALUE!</v>
      </c>
      <c r="G1100" s="25"/>
      <c r="H1100" s="25" t="e">
        <f t="shared" si="158"/>
        <v>#VALUE!</v>
      </c>
      <c r="I1100" s="25">
        <f t="shared" si="155"/>
        <v>585.99999999998317</v>
      </c>
      <c r="J1100" s="25" t="e">
        <f t="shared" si="156"/>
        <v>#VALUE!</v>
      </c>
    </row>
    <row r="1101" spans="1:10" x14ac:dyDescent="0.25">
      <c r="A1101" s="25">
        <f t="shared" si="157"/>
        <v>0.86999999999983169</v>
      </c>
      <c r="B1101" s="25">
        <f t="shared" ca="1" si="150"/>
        <v>6.6146664473644173E-2</v>
      </c>
      <c r="C1101" s="25" t="e">
        <f t="shared" si="151"/>
        <v>#VALUE!</v>
      </c>
      <c r="D1101" s="74" t="e">
        <f t="shared" si="152"/>
        <v>#VALUE!</v>
      </c>
      <c r="E1101" s="25" t="e">
        <f t="shared" si="153"/>
        <v>#VALUE!</v>
      </c>
      <c r="F1101" s="25" t="e">
        <f t="shared" ca="1" si="154"/>
        <v>#VALUE!</v>
      </c>
      <c r="G1101" s="25"/>
      <c r="H1101" s="25" t="e">
        <f t="shared" si="158"/>
        <v>#VALUE!</v>
      </c>
      <c r="I1101" s="25">
        <f t="shared" si="155"/>
        <v>586.99999999998317</v>
      </c>
      <c r="J1101" s="25" t="e">
        <f t="shared" si="156"/>
        <v>#VALUE!</v>
      </c>
    </row>
    <row r="1102" spans="1:10" x14ac:dyDescent="0.25">
      <c r="A1102" s="25">
        <f t="shared" si="157"/>
        <v>0.87999999999983169</v>
      </c>
      <c r="B1102" s="25">
        <f t="shared" ref="B1102:B1165" ca="1" si="159">(RAND()-0.5-$B$7)/$B$5</f>
        <v>-5.9421051323914259E-2</v>
      </c>
      <c r="C1102" s="25" t="e">
        <f t="shared" ref="C1102:C1165" si="160">IF(ABS(A1102)&lt;=($D$3/2),1,IF(ABS(A1102)&lt;=($B$4/2),IF(A1102&gt;0,A1102*(4/(1-2*$B$4))+(2*$B$4/(2*$B$4-1)),(-A1102*(4/(1-2*$B$4))+(2*$B$4/(2*$B$4-1)))),0))</f>
        <v>#VALUE!</v>
      </c>
      <c r="D1102" s="74" t="e">
        <f t="shared" ref="D1102:D1165" si="161">IF(ABS(A1102)&lt;=($D$3/4+$B$4/4),1,IF(ABS(A1102)&lt;=($B$4/2),(IF(A1102&gt;0,A1102*(8/(1-2*$B$4))+(4*$B$4)/(2*$B$4-1),(-A1102*(8/(1-2*$B$4))+(4*$B$4)/(2*$B$4-1)))),0))</f>
        <v>#VALUE!</v>
      </c>
      <c r="E1102" s="25" t="e">
        <f t="shared" ref="E1102:E1165" si="162">IF(ABS(A1102)&lt;($B$4/2), 1, 0)</f>
        <v>#VALUE!</v>
      </c>
      <c r="F1102" s="25" t="e">
        <f t="shared" ref="F1102:F1165" ca="1" si="163">C1102+B1102</f>
        <v>#VALUE!</v>
      </c>
      <c r="G1102" s="25"/>
      <c r="H1102" s="25" t="e">
        <f t="shared" si="158"/>
        <v>#VALUE!</v>
      </c>
      <c r="I1102" s="25">
        <f t="shared" ref="I1102:I1165" si="164">$I$3*(A1102-$G$3)/($H$3-$G$3)</f>
        <v>587.99999999998317</v>
      </c>
      <c r="J1102" s="25" t="e">
        <f t="shared" ref="J1102:J1165" si="165">H1102</f>
        <v>#VALUE!</v>
      </c>
    </row>
    <row r="1103" spans="1:10" x14ac:dyDescent="0.25">
      <c r="A1103" s="25">
        <f t="shared" ref="A1103:A1166" si="166">A1102+0.01</f>
        <v>0.8899999999998317</v>
      </c>
      <c r="B1103" s="25">
        <f t="shared" ca="1" si="159"/>
        <v>-7.0623731750443827E-2</v>
      </c>
      <c r="C1103" s="25" t="e">
        <f t="shared" si="160"/>
        <v>#VALUE!</v>
      </c>
      <c r="D1103" s="74" t="e">
        <f t="shared" si="161"/>
        <v>#VALUE!</v>
      </c>
      <c r="E1103" s="25" t="e">
        <f t="shared" si="162"/>
        <v>#VALUE!</v>
      </c>
      <c r="F1103" s="25" t="e">
        <f t="shared" ca="1" si="163"/>
        <v>#VALUE!</v>
      </c>
      <c r="G1103" s="25"/>
      <c r="H1103" s="25" t="e">
        <f t="shared" si="158"/>
        <v>#VALUE!</v>
      </c>
      <c r="I1103" s="25">
        <f t="shared" si="164"/>
        <v>588.99999999998317</v>
      </c>
      <c r="J1103" s="25" t="e">
        <f t="shared" si="165"/>
        <v>#VALUE!</v>
      </c>
    </row>
    <row r="1104" spans="1:10" x14ac:dyDescent="0.25">
      <c r="A1104" s="25">
        <f t="shared" si="166"/>
        <v>0.89999999999983171</v>
      </c>
      <c r="B1104" s="25">
        <f t="shared" ca="1" si="159"/>
        <v>-4.4042060030837486E-2</v>
      </c>
      <c r="C1104" s="25" t="e">
        <f t="shared" si="160"/>
        <v>#VALUE!</v>
      </c>
      <c r="D1104" s="74" t="e">
        <f t="shared" si="161"/>
        <v>#VALUE!</v>
      </c>
      <c r="E1104" s="25" t="e">
        <f t="shared" si="162"/>
        <v>#VALUE!</v>
      </c>
      <c r="F1104" s="25" t="e">
        <f t="shared" ca="1" si="163"/>
        <v>#VALUE!</v>
      </c>
      <c r="G1104" s="25"/>
      <c r="H1104" s="25" t="e">
        <f t="shared" si="158"/>
        <v>#VALUE!</v>
      </c>
      <c r="I1104" s="25">
        <f t="shared" si="164"/>
        <v>589.99999999998317</v>
      </c>
      <c r="J1104" s="25" t="e">
        <f t="shared" si="165"/>
        <v>#VALUE!</v>
      </c>
    </row>
    <row r="1105" spans="1:10" x14ac:dyDescent="0.25">
      <c r="A1105" s="25">
        <f t="shared" si="166"/>
        <v>0.90999999999983172</v>
      </c>
      <c r="B1105" s="25">
        <f t="shared" ca="1" si="159"/>
        <v>1.1367241960570216E-2</v>
      </c>
      <c r="C1105" s="25" t="e">
        <f t="shared" si="160"/>
        <v>#VALUE!</v>
      </c>
      <c r="D1105" s="74" t="e">
        <f t="shared" si="161"/>
        <v>#VALUE!</v>
      </c>
      <c r="E1105" s="25" t="e">
        <f t="shared" si="162"/>
        <v>#VALUE!</v>
      </c>
      <c r="F1105" s="25" t="e">
        <f t="shared" ca="1" si="163"/>
        <v>#VALUE!</v>
      </c>
      <c r="G1105" s="25"/>
      <c r="H1105" s="25" t="e">
        <f t="shared" si="158"/>
        <v>#VALUE!</v>
      </c>
      <c r="I1105" s="25">
        <f t="shared" si="164"/>
        <v>590.99999999998317</v>
      </c>
      <c r="J1105" s="25" t="e">
        <f t="shared" si="165"/>
        <v>#VALUE!</v>
      </c>
    </row>
    <row r="1106" spans="1:10" x14ac:dyDescent="0.25">
      <c r="A1106" s="25">
        <f t="shared" si="166"/>
        <v>0.91999999999983173</v>
      </c>
      <c r="B1106" s="25">
        <f t="shared" ca="1" si="159"/>
        <v>8.2851652777527068E-2</v>
      </c>
      <c r="C1106" s="25" t="e">
        <f t="shared" si="160"/>
        <v>#VALUE!</v>
      </c>
      <c r="D1106" s="74" t="e">
        <f t="shared" si="161"/>
        <v>#VALUE!</v>
      </c>
      <c r="E1106" s="25" t="e">
        <f t="shared" si="162"/>
        <v>#VALUE!</v>
      </c>
      <c r="F1106" s="25" t="e">
        <f t="shared" ca="1" si="163"/>
        <v>#VALUE!</v>
      </c>
      <c r="G1106" s="25"/>
      <c r="H1106" s="25" t="e">
        <f t="shared" si="158"/>
        <v>#VALUE!</v>
      </c>
      <c r="I1106" s="25">
        <f t="shared" si="164"/>
        <v>591.99999999998317</v>
      </c>
      <c r="J1106" s="25" t="e">
        <f t="shared" si="165"/>
        <v>#VALUE!</v>
      </c>
    </row>
    <row r="1107" spans="1:10" x14ac:dyDescent="0.25">
      <c r="A1107" s="25">
        <f t="shared" si="166"/>
        <v>0.92999999999983174</v>
      </c>
      <c r="B1107" s="25">
        <f t="shared" ca="1" si="159"/>
        <v>-0.18427894397832048</v>
      </c>
      <c r="C1107" s="25" t="e">
        <f t="shared" si="160"/>
        <v>#VALUE!</v>
      </c>
      <c r="D1107" s="74" t="e">
        <f t="shared" si="161"/>
        <v>#VALUE!</v>
      </c>
      <c r="E1107" s="25" t="e">
        <f t="shared" si="162"/>
        <v>#VALUE!</v>
      </c>
      <c r="F1107" s="25" t="e">
        <f t="shared" ca="1" si="163"/>
        <v>#VALUE!</v>
      </c>
      <c r="G1107" s="25"/>
      <c r="H1107" s="25" t="e">
        <f t="shared" si="158"/>
        <v>#VALUE!</v>
      </c>
      <c r="I1107" s="25">
        <f t="shared" si="164"/>
        <v>592.99999999998317</v>
      </c>
      <c r="J1107" s="25" t="e">
        <f t="shared" si="165"/>
        <v>#VALUE!</v>
      </c>
    </row>
    <row r="1108" spans="1:10" x14ac:dyDescent="0.25">
      <c r="A1108" s="25">
        <f t="shared" si="166"/>
        <v>0.93999999999983175</v>
      </c>
      <c r="B1108" s="25">
        <f t="shared" ca="1" si="159"/>
        <v>-7.6018754467716124E-2</v>
      </c>
      <c r="C1108" s="25" t="e">
        <f t="shared" si="160"/>
        <v>#VALUE!</v>
      </c>
      <c r="D1108" s="74" t="e">
        <f t="shared" si="161"/>
        <v>#VALUE!</v>
      </c>
      <c r="E1108" s="25" t="e">
        <f t="shared" si="162"/>
        <v>#VALUE!</v>
      </c>
      <c r="F1108" s="25" t="e">
        <f t="shared" ca="1" si="163"/>
        <v>#VALUE!</v>
      </c>
      <c r="G1108" s="25"/>
      <c r="H1108" s="25" t="e">
        <f t="shared" si="158"/>
        <v>#VALUE!</v>
      </c>
      <c r="I1108" s="25">
        <f t="shared" si="164"/>
        <v>593.99999999998317</v>
      </c>
      <c r="J1108" s="25" t="e">
        <f t="shared" si="165"/>
        <v>#VALUE!</v>
      </c>
    </row>
    <row r="1109" spans="1:10" x14ac:dyDescent="0.25">
      <c r="A1109" s="25">
        <f t="shared" si="166"/>
        <v>0.94999999999983176</v>
      </c>
      <c r="B1109" s="25">
        <f t="shared" ca="1" si="159"/>
        <v>1.5250214781420255E-2</v>
      </c>
      <c r="C1109" s="25" t="e">
        <f t="shared" si="160"/>
        <v>#VALUE!</v>
      </c>
      <c r="D1109" s="74" t="e">
        <f t="shared" si="161"/>
        <v>#VALUE!</v>
      </c>
      <c r="E1109" s="25" t="e">
        <f t="shared" si="162"/>
        <v>#VALUE!</v>
      </c>
      <c r="F1109" s="25" t="e">
        <f t="shared" ca="1" si="163"/>
        <v>#VALUE!</v>
      </c>
      <c r="G1109" s="25"/>
      <c r="H1109" s="25" t="e">
        <f t="shared" si="158"/>
        <v>#VALUE!</v>
      </c>
      <c r="I1109" s="25">
        <f t="shared" si="164"/>
        <v>594.99999999998317</v>
      </c>
      <c r="J1109" s="25" t="e">
        <f t="shared" si="165"/>
        <v>#VALUE!</v>
      </c>
    </row>
    <row r="1110" spans="1:10" x14ac:dyDescent="0.25">
      <c r="A1110" s="25">
        <f t="shared" si="166"/>
        <v>0.95999999999983177</v>
      </c>
      <c r="B1110" s="25">
        <f t="shared" ca="1" si="159"/>
        <v>7.7623052731301725E-2</v>
      </c>
      <c r="C1110" s="25" t="e">
        <f t="shared" si="160"/>
        <v>#VALUE!</v>
      </c>
      <c r="D1110" s="74" t="e">
        <f t="shared" si="161"/>
        <v>#VALUE!</v>
      </c>
      <c r="E1110" s="25" t="e">
        <f t="shared" si="162"/>
        <v>#VALUE!</v>
      </c>
      <c r="F1110" s="25" t="e">
        <f t="shared" ca="1" si="163"/>
        <v>#VALUE!</v>
      </c>
      <c r="G1110" s="25"/>
      <c r="H1110" s="25" t="e">
        <f t="shared" si="158"/>
        <v>#VALUE!</v>
      </c>
      <c r="I1110" s="25">
        <f t="shared" si="164"/>
        <v>595.99999999998317</v>
      </c>
      <c r="J1110" s="25" t="e">
        <f t="shared" si="165"/>
        <v>#VALUE!</v>
      </c>
    </row>
    <row r="1111" spans="1:10" x14ac:dyDescent="0.25">
      <c r="A1111" s="25">
        <f t="shared" si="166"/>
        <v>0.96999999999983177</v>
      </c>
      <c r="B1111" s="25">
        <f t="shared" ca="1" si="159"/>
        <v>8.0081469345098952E-2</v>
      </c>
      <c r="C1111" s="25" t="e">
        <f t="shared" si="160"/>
        <v>#VALUE!</v>
      </c>
      <c r="D1111" s="74" t="e">
        <f t="shared" si="161"/>
        <v>#VALUE!</v>
      </c>
      <c r="E1111" s="25" t="e">
        <f t="shared" si="162"/>
        <v>#VALUE!</v>
      </c>
      <c r="F1111" s="25" t="e">
        <f t="shared" ca="1" si="163"/>
        <v>#VALUE!</v>
      </c>
      <c r="G1111" s="25"/>
      <c r="H1111" s="25" t="e">
        <f t="shared" si="158"/>
        <v>#VALUE!</v>
      </c>
      <c r="I1111" s="25">
        <f t="shared" si="164"/>
        <v>596.99999999998317</v>
      </c>
      <c r="J1111" s="25" t="e">
        <f t="shared" si="165"/>
        <v>#VALUE!</v>
      </c>
    </row>
    <row r="1112" spans="1:10" x14ac:dyDescent="0.25">
      <c r="A1112" s="25">
        <f t="shared" si="166"/>
        <v>0.97999999999983178</v>
      </c>
      <c r="B1112" s="25">
        <f t="shared" ca="1" si="159"/>
        <v>5.4802890505068202E-3</v>
      </c>
      <c r="C1112" s="25" t="e">
        <f t="shared" si="160"/>
        <v>#VALUE!</v>
      </c>
      <c r="D1112" s="74" t="e">
        <f t="shared" si="161"/>
        <v>#VALUE!</v>
      </c>
      <c r="E1112" s="25" t="e">
        <f t="shared" si="162"/>
        <v>#VALUE!</v>
      </c>
      <c r="F1112" s="25" t="e">
        <f t="shared" ca="1" si="163"/>
        <v>#VALUE!</v>
      </c>
      <c r="G1112" s="25"/>
      <c r="H1112" s="25" t="e">
        <f t="shared" si="158"/>
        <v>#VALUE!</v>
      </c>
      <c r="I1112" s="25">
        <f t="shared" si="164"/>
        <v>597.99999999998317</v>
      </c>
      <c r="J1112" s="25" t="e">
        <f t="shared" si="165"/>
        <v>#VALUE!</v>
      </c>
    </row>
    <row r="1113" spans="1:10" x14ac:dyDescent="0.25">
      <c r="A1113" s="25">
        <f t="shared" si="166"/>
        <v>0.98999999999983179</v>
      </c>
      <c r="B1113" s="25">
        <f t="shared" ca="1" si="159"/>
        <v>-0.17370011575395247</v>
      </c>
      <c r="C1113" s="25" t="e">
        <f t="shared" si="160"/>
        <v>#VALUE!</v>
      </c>
      <c r="D1113" s="74" t="e">
        <f t="shared" si="161"/>
        <v>#VALUE!</v>
      </c>
      <c r="E1113" s="25" t="e">
        <f t="shared" si="162"/>
        <v>#VALUE!</v>
      </c>
      <c r="F1113" s="25" t="e">
        <f t="shared" ca="1" si="163"/>
        <v>#VALUE!</v>
      </c>
      <c r="G1113" s="25"/>
      <c r="H1113" s="25" t="e">
        <f t="shared" si="158"/>
        <v>#VALUE!</v>
      </c>
      <c r="I1113" s="25">
        <f t="shared" si="164"/>
        <v>598.99999999998317</v>
      </c>
      <c r="J1113" s="25" t="e">
        <f t="shared" si="165"/>
        <v>#VALUE!</v>
      </c>
    </row>
    <row r="1114" spans="1:10" x14ac:dyDescent="0.25">
      <c r="A1114" s="25">
        <f t="shared" si="166"/>
        <v>0.9999999999998318</v>
      </c>
      <c r="B1114" s="25">
        <f t="shared" ca="1" si="159"/>
        <v>7.9918012230116173E-2</v>
      </c>
      <c r="C1114" s="25" t="e">
        <f t="shared" si="160"/>
        <v>#VALUE!</v>
      </c>
      <c r="D1114" s="74" t="e">
        <f t="shared" si="161"/>
        <v>#VALUE!</v>
      </c>
      <c r="E1114" s="25" t="e">
        <f t="shared" si="162"/>
        <v>#VALUE!</v>
      </c>
      <c r="F1114" s="25" t="e">
        <f t="shared" ca="1" si="163"/>
        <v>#VALUE!</v>
      </c>
      <c r="G1114" s="25"/>
      <c r="H1114" s="25" t="e">
        <f t="shared" si="158"/>
        <v>#VALUE!</v>
      </c>
      <c r="I1114" s="25">
        <f t="shared" si="164"/>
        <v>599.99999999998317</v>
      </c>
      <c r="J1114" s="25" t="e">
        <f t="shared" si="165"/>
        <v>#VALUE!</v>
      </c>
    </row>
    <row r="1115" spans="1:10" x14ac:dyDescent="0.25">
      <c r="A1115" s="25">
        <f t="shared" si="166"/>
        <v>1.0099999999998317</v>
      </c>
      <c r="B1115" s="25">
        <f t="shared" ca="1" si="159"/>
        <v>-2.0858104214040673E-2</v>
      </c>
      <c r="C1115" s="25" t="e">
        <f t="shared" si="160"/>
        <v>#VALUE!</v>
      </c>
      <c r="D1115" s="74" t="e">
        <f t="shared" si="161"/>
        <v>#VALUE!</v>
      </c>
      <c r="E1115" s="25" t="e">
        <f t="shared" si="162"/>
        <v>#VALUE!</v>
      </c>
      <c r="F1115" s="25" t="e">
        <f t="shared" ca="1" si="163"/>
        <v>#VALUE!</v>
      </c>
      <c r="G1115" s="25"/>
      <c r="H1115" s="25" t="e">
        <f t="shared" si="158"/>
        <v>#VALUE!</v>
      </c>
      <c r="I1115" s="25">
        <f t="shared" si="164"/>
        <v>600.99999999998317</v>
      </c>
      <c r="J1115" s="25" t="e">
        <f t="shared" si="165"/>
        <v>#VALUE!</v>
      </c>
    </row>
    <row r="1116" spans="1:10" x14ac:dyDescent="0.25">
      <c r="A1116" s="25">
        <f t="shared" si="166"/>
        <v>1.0199999999998317</v>
      </c>
      <c r="B1116" s="25">
        <f t="shared" ca="1" si="159"/>
        <v>-3.4185133770831218E-2</v>
      </c>
      <c r="C1116" s="25" t="e">
        <f t="shared" si="160"/>
        <v>#VALUE!</v>
      </c>
      <c r="D1116" s="74" t="e">
        <f t="shared" si="161"/>
        <v>#VALUE!</v>
      </c>
      <c r="E1116" s="25" t="e">
        <f t="shared" si="162"/>
        <v>#VALUE!</v>
      </c>
      <c r="F1116" s="25" t="e">
        <f t="shared" ca="1" si="163"/>
        <v>#VALUE!</v>
      </c>
      <c r="G1116" s="25"/>
      <c r="H1116" s="25" t="e">
        <f t="shared" si="158"/>
        <v>#VALUE!</v>
      </c>
      <c r="I1116" s="25">
        <f t="shared" si="164"/>
        <v>601.99999999998317</v>
      </c>
      <c r="J1116" s="25" t="e">
        <f t="shared" si="165"/>
        <v>#VALUE!</v>
      </c>
    </row>
    <row r="1117" spans="1:10" x14ac:dyDescent="0.25">
      <c r="A1117" s="25">
        <f t="shared" si="166"/>
        <v>1.0299999999998317</v>
      </c>
      <c r="B1117" s="25">
        <f t="shared" ca="1" si="159"/>
        <v>-6.1043876852307881E-2</v>
      </c>
      <c r="C1117" s="25" t="e">
        <f t="shared" si="160"/>
        <v>#VALUE!</v>
      </c>
      <c r="D1117" s="74" t="e">
        <f t="shared" si="161"/>
        <v>#VALUE!</v>
      </c>
      <c r="E1117" s="25" t="e">
        <f t="shared" si="162"/>
        <v>#VALUE!</v>
      </c>
      <c r="F1117" s="25" t="e">
        <f t="shared" ca="1" si="163"/>
        <v>#VALUE!</v>
      </c>
      <c r="G1117" s="25"/>
      <c r="H1117" s="25" t="e">
        <f t="shared" si="158"/>
        <v>#VALUE!</v>
      </c>
      <c r="I1117" s="25">
        <f t="shared" si="164"/>
        <v>602.99999999998317</v>
      </c>
      <c r="J1117" s="25" t="e">
        <f t="shared" si="165"/>
        <v>#VALUE!</v>
      </c>
    </row>
    <row r="1118" spans="1:10" x14ac:dyDescent="0.25">
      <c r="A1118" s="25">
        <f t="shared" si="166"/>
        <v>1.0399999999998317</v>
      </c>
      <c r="B1118" s="25">
        <f t="shared" ca="1" si="159"/>
        <v>-4.1992971764671032E-2</v>
      </c>
      <c r="C1118" s="25" t="e">
        <f t="shared" si="160"/>
        <v>#VALUE!</v>
      </c>
      <c r="D1118" s="74" t="e">
        <f t="shared" si="161"/>
        <v>#VALUE!</v>
      </c>
      <c r="E1118" s="25" t="e">
        <f t="shared" si="162"/>
        <v>#VALUE!</v>
      </c>
      <c r="F1118" s="25" t="e">
        <f t="shared" ca="1" si="163"/>
        <v>#VALUE!</v>
      </c>
      <c r="G1118" s="25"/>
      <c r="H1118" s="25" t="e">
        <f t="shared" ref="H1118:H1181" si="167">IF(PeakShape=$O$3,C1118,IF(PeakShape=O1120,D1118,E1118))</f>
        <v>#VALUE!</v>
      </c>
      <c r="I1118" s="25">
        <f t="shared" si="164"/>
        <v>603.99999999998317</v>
      </c>
      <c r="J1118" s="25" t="e">
        <f t="shared" si="165"/>
        <v>#VALUE!</v>
      </c>
    </row>
    <row r="1119" spans="1:10" x14ac:dyDescent="0.25">
      <c r="A1119" s="25">
        <f t="shared" si="166"/>
        <v>1.0499999999998317</v>
      </c>
      <c r="B1119" s="25">
        <f t="shared" ca="1" si="159"/>
        <v>-3.2839640065706992E-2</v>
      </c>
      <c r="C1119" s="25" t="e">
        <f t="shared" si="160"/>
        <v>#VALUE!</v>
      </c>
      <c r="D1119" s="74" t="e">
        <f t="shared" si="161"/>
        <v>#VALUE!</v>
      </c>
      <c r="E1119" s="25" t="e">
        <f t="shared" si="162"/>
        <v>#VALUE!</v>
      </c>
      <c r="F1119" s="25" t="e">
        <f t="shared" ca="1" si="163"/>
        <v>#VALUE!</v>
      </c>
      <c r="G1119" s="25"/>
      <c r="H1119" s="25" t="e">
        <f t="shared" si="167"/>
        <v>#VALUE!</v>
      </c>
      <c r="I1119" s="25">
        <f t="shared" si="164"/>
        <v>604.99999999998317</v>
      </c>
      <c r="J1119" s="25" t="e">
        <f t="shared" si="165"/>
        <v>#VALUE!</v>
      </c>
    </row>
    <row r="1120" spans="1:10" x14ac:dyDescent="0.25">
      <c r="A1120" s="25">
        <f t="shared" si="166"/>
        <v>1.0599999999998317</v>
      </c>
      <c r="B1120" s="25">
        <f t="shared" ca="1" si="159"/>
        <v>0.12024429367050941</v>
      </c>
      <c r="C1120" s="25" t="e">
        <f t="shared" si="160"/>
        <v>#VALUE!</v>
      </c>
      <c r="D1120" s="74" t="e">
        <f t="shared" si="161"/>
        <v>#VALUE!</v>
      </c>
      <c r="E1120" s="25" t="e">
        <f t="shared" si="162"/>
        <v>#VALUE!</v>
      </c>
      <c r="F1120" s="25" t="e">
        <f t="shared" ca="1" si="163"/>
        <v>#VALUE!</v>
      </c>
      <c r="G1120" s="25"/>
      <c r="H1120" s="25" t="e">
        <f t="shared" si="167"/>
        <v>#VALUE!</v>
      </c>
      <c r="I1120" s="25">
        <f t="shared" si="164"/>
        <v>605.99999999998317</v>
      </c>
      <c r="J1120" s="25" t="e">
        <f t="shared" si="165"/>
        <v>#VALUE!</v>
      </c>
    </row>
    <row r="1121" spans="1:10" x14ac:dyDescent="0.25">
      <c r="A1121" s="25">
        <f t="shared" si="166"/>
        <v>1.0699999999998318</v>
      </c>
      <c r="B1121" s="25">
        <f t="shared" ca="1" si="159"/>
        <v>-0.14608762858150895</v>
      </c>
      <c r="C1121" s="25" t="e">
        <f t="shared" si="160"/>
        <v>#VALUE!</v>
      </c>
      <c r="D1121" s="74" t="e">
        <f t="shared" si="161"/>
        <v>#VALUE!</v>
      </c>
      <c r="E1121" s="25" t="e">
        <f t="shared" si="162"/>
        <v>#VALUE!</v>
      </c>
      <c r="F1121" s="25" t="e">
        <f t="shared" ca="1" si="163"/>
        <v>#VALUE!</v>
      </c>
      <c r="G1121" s="25"/>
      <c r="H1121" s="25" t="e">
        <f t="shared" si="167"/>
        <v>#VALUE!</v>
      </c>
      <c r="I1121" s="25">
        <f t="shared" si="164"/>
        <v>606.99999999998317</v>
      </c>
      <c r="J1121" s="25" t="e">
        <f t="shared" si="165"/>
        <v>#VALUE!</v>
      </c>
    </row>
    <row r="1122" spans="1:10" x14ac:dyDescent="0.25">
      <c r="A1122" s="25">
        <f t="shared" si="166"/>
        <v>1.0799999999998318</v>
      </c>
      <c r="B1122" s="25">
        <f t="shared" ca="1" si="159"/>
        <v>-7.1658065619110492E-2</v>
      </c>
      <c r="C1122" s="25" t="e">
        <f t="shared" si="160"/>
        <v>#VALUE!</v>
      </c>
      <c r="D1122" s="74" t="e">
        <f t="shared" si="161"/>
        <v>#VALUE!</v>
      </c>
      <c r="E1122" s="25" t="e">
        <f t="shared" si="162"/>
        <v>#VALUE!</v>
      </c>
      <c r="F1122" s="25" t="e">
        <f t="shared" ca="1" si="163"/>
        <v>#VALUE!</v>
      </c>
      <c r="G1122" s="25"/>
      <c r="H1122" s="25" t="e">
        <f t="shared" si="167"/>
        <v>#VALUE!</v>
      </c>
      <c r="I1122" s="25">
        <f t="shared" si="164"/>
        <v>607.99999999998317</v>
      </c>
      <c r="J1122" s="25" t="e">
        <f t="shared" si="165"/>
        <v>#VALUE!</v>
      </c>
    </row>
    <row r="1123" spans="1:10" x14ac:dyDescent="0.25">
      <c r="A1123" s="25">
        <f t="shared" si="166"/>
        <v>1.0899999999998318</v>
      </c>
      <c r="B1123" s="25">
        <f t="shared" ca="1" si="159"/>
        <v>-0.11368029047738833</v>
      </c>
      <c r="C1123" s="25" t="e">
        <f t="shared" si="160"/>
        <v>#VALUE!</v>
      </c>
      <c r="D1123" s="74" t="e">
        <f t="shared" si="161"/>
        <v>#VALUE!</v>
      </c>
      <c r="E1123" s="25" t="e">
        <f t="shared" si="162"/>
        <v>#VALUE!</v>
      </c>
      <c r="F1123" s="25" t="e">
        <f t="shared" ca="1" si="163"/>
        <v>#VALUE!</v>
      </c>
      <c r="G1123" s="25"/>
      <c r="H1123" s="25" t="e">
        <f t="shared" si="167"/>
        <v>#VALUE!</v>
      </c>
      <c r="I1123" s="25">
        <f t="shared" si="164"/>
        <v>608.99999999998317</v>
      </c>
      <c r="J1123" s="25" t="e">
        <f t="shared" si="165"/>
        <v>#VALUE!</v>
      </c>
    </row>
    <row r="1124" spans="1:10" x14ac:dyDescent="0.25">
      <c r="A1124" s="25">
        <f t="shared" si="166"/>
        <v>1.0999999999998318</v>
      </c>
      <c r="B1124" s="25">
        <f t="shared" ca="1" si="159"/>
        <v>-0.17136769240526681</v>
      </c>
      <c r="C1124" s="25" t="e">
        <f t="shared" si="160"/>
        <v>#VALUE!</v>
      </c>
      <c r="D1124" s="74" t="e">
        <f t="shared" si="161"/>
        <v>#VALUE!</v>
      </c>
      <c r="E1124" s="25" t="e">
        <f t="shared" si="162"/>
        <v>#VALUE!</v>
      </c>
      <c r="F1124" s="25" t="e">
        <f t="shared" ca="1" si="163"/>
        <v>#VALUE!</v>
      </c>
      <c r="G1124" s="25"/>
      <c r="H1124" s="25" t="e">
        <f t="shared" si="167"/>
        <v>#VALUE!</v>
      </c>
      <c r="I1124" s="25">
        <f t="shared" si="164"/>
        <v>609.99999999998317</v>
      </c>
      <c r="J1124" s="25" t="e">
        <f t="shared" si="165"/>
        <v>#VALUE!</v>
      </c>
    </row>
    <row r="1125" spans="1:10" x14ac:dyDescent="0.25">
      <c r="A1125" s="25">
        <f t="shared" si="166"/>
        <v>1.1099999999998318</v>
      </c>
      <c r="B1125" s="25">
        <f t="shared" ca="1" si="159"/>
        <v>-3.0682612749583515E-2</v>
      </c>
      <c r="C1125" s="25" t="e">
        <f t="shared" si="160"/>
        <v>#VALUE!</v>
      </c>
      <c r="D1125" s="74" t="e">
        <f t="shared" si="161"/>
        <v>#VALUE!</v>
      </c>
      <c r="E1125" s="25" t="e">
        <f t="shared" si="162"/>
        <v>#VALUE!</v>
      </c>
      <c r="F1125" s="25" t="e">
        <f t="shared" ca="1" si="163"/>
        <v>#VALUE!</v>
      </c>
      <c r="G1125" s="25"/>
      <c r="H1125" s="25" t="e">
        <f t="shared" si="167"/>
        <v>#VALUE!</v>
      </c>
      <c r="I1125" s="25">
        <f t="shared" si="164"/>
        <v>610.99999999998317</v>
      </c>
      <c r="J1125" s="25" t="e">
        <f t="shared" si="165"/>
        <v>#VALUE!</v>
      </c>
    </row>
    <row r="1126" spans="1:10" x14ac:dyDescent="0.25">
      <c r="A1126" s="25">
        <f t="shared" si="166"/>
        <v>1.1199999999998318</v>
      </c>
      <c r="B1126" s="25">
        <f t="shared" ca="1" si="159"/>
        <v>-0.13426437198726257</v>
      </c>
      <c r="C1126" s="25" t="e">
        <f t="shared" si="160"/>
        <v>#VALUE!</v>
      </c>
      <c r="D1126" s="74" t="e">
        <f t="shared" si="161"/>
        <v>#VALUE!</v>
      </c>
      <c r="E1126" s="25" t="e">
        <f t="shared" si="162"/>
        <v>#VALUE!</v>
      </c>
      <c r="F1126" s="25" t="e">
        <f t="shared" ca="1" si="163"/>
        <v>#VALUE!</v>
      </c>
      <c r="G1126" s="25"/>
      <c r="H1126" s="25" t="e">
        <f t="shared" si="167"/>
        <v>#VALUE!</v>
      </c>
      <c r="I1126" s="25">
        <f t="shared" si="164"/>
        <v>611.99999999998329</v>
      </c>
      <c r="J1126" s="25" t="e">
        <f t="shared" si="165"/>
        <v>#VALUE!</v>
      </c>
    </row>
    <row r="1127" spans="1:10" x14ac:dyDescent="0.25">
      <c r="A1127" s="25">
        <f t="shared" si="166"/>
        <v>1.1299999999998318</v>
      </c>
      <c r="B1127" s="25">
        <f t="shared" ca="1" si="159"/>
        <v>-8.8780583374632863E-2</v>
      </c>
      <c r="C1127" s="25" t="e">
        <f t="shared" si="160"/>
        <v>#VALUE!</v>
      </c>
      <c r="D1127" s="74" t="e">
        <f t="shared" si="161"/>
        <v>#VALUE!</v>
      </c>
      <c r="E1127" s="25" t="e">
        <f t="shared" si="162"/>
        <v>#VALUE!</v>
      </c>
      <c r="F1127" s="25" t="e">
        <f t="shared" ca="1" si="163"/>
        <v>#VALUE!</v>
      </c>
      <c r="G1127" s="25"/>
      <c r="H1127" s="25" t="e">
        <f t="shared" si="167"/>
        <v>#VALUE!</v>
      </c>
      <c r="I1127" s="25">
        <f t="shared" si="164"/>
        <v>612.99999999998317</v>
      </c>
      <c r="J1127" s="25" t="e">
        <f t="shared" si="165"/>
        <v>#VALUE!</v>
      </c>
    </row>
    <row r="1128" spans="1:10" x14ac:dyDescent="0.25">
      <c r="A1128" s="25">
        <f t="shared" si="166"/>
        <v>1.1399999999998318</v>
      </c>
      <c r="B1128" s="25">
        <f t="shared" ca="1" si="159"/>
        <v>0.12332935397996836</v>
      </c>
      <c r="C1128" s="25" t="e">
        <f t="shared" si="160"/>
        <v>#VALUE!</v>
      </c>
      <c r="D1128" s="74" t="e">
        <f t="shared" si="161"/>
        <v>#VALUE!</v>
      </c>
      <c r="E1128" s="25" t="e">
        <f t="shared" si="162"/>
        <v>#VALUE!</v>
      </c>
      <c r="F1128" s="25" t="e">
        <f t="shared" ca="1" si="163"/>
        <v>#VALUE!</v>
      </c>
      <c r="G1128" s="25"/>
      <c r="H1128" s="25" t="e">
        <f t="shared" si="167"/>
        <v>#VALUE!</v>
      </c>
      <c r="I1128" s="25">
        <f t="shared" si="164"/>
        <v>613.99999999998317</v>
      </c>
      <c r="J1128" s="25" t="e">
        <f t="shared" si="165"/>
        <v>#VALUE!</v>
      </c>
    </row>
    <row r="1129" spans="1:10" x14ac:dyDescent="0.25">
      <c r="A1129" s="25">
        <f t="shared" si="166"/>
        <v>1.1499999999998318</v>
      </c>
      <c r="B1129" s="25">
        <f t="shared" ca="1" si="159"/>
        <v>-0.11739704671708662</v>
      </c>
      <c r="C1129" s="25" t="e">
        <f t="shared" si="160"/>
        <v>#VALUE!</v>
      </c>
      <c r="D1129" s="74" t="e">
        <f t="shared" si="161"/>
        <v>#VALUE!</v>
      </c>
      <c r="E1129" s="25" t="e">
        <f t="shared" si="162"/>
        <v>#VALUE!</v>
      </c>
      <c r="F1129" s="25" t="e">
        <f t="shared" ca="1" si="163"/>
        <v>#VALUE!</v>
      </c>
      <c r="G1129" s="25"/>
      <c r="H1129" s="25" t="e">
        <f t="shared" si="167"/>
        <v>#VALUE!</v>
      </c>
      <c r="I1129" s="25">
        <f t="shared" si="164"/>
        <v>614.99999999998317</v>
      </c>
      <c r="J1129" s="25" t="e">
        <f t="shared" si="165"/>
        <v>#VALUE!</v>
      </c>
    </row>
    <row r="1130" spans="1:10" x14ac:dyDescent="0.25">
      <c r="A1130" s="25">
        <f t="shared" si="166"/>
        <v>1.1599999999998318</v>
      </c>
      <c r="B1130" s="25">
        <f t="shared" ca="1" si="159"/>
        <v>-0.11120740067228903</v>
      </c>
      <c r="C1130" s="25" t="e">
        <f t="shared" si="160"/>
        <v>#VALUE!</v>
      </c>
      <c r="D1130" s="74" t="e">
        <f t="shared" si="161"/>
        <v>#VALUE!</v>
      </c>
      <c r="E1130" s="25" t="e">
        <f t="shared" si="162"/>
        <v>#VALUE!</v>
      </c>
      <c r="F1130" s="25" t="e">
        <f t="shared" ca="1" si="163"/>
        <v>#VALUE!</v>
      </c>
      <c r="G1130" s="25"/>
      <c r="H1130" s="25" t="e">
        <f t="shared" si="167"/>
        <v>#VALUE!</v>
      </c>
      <c r="I1130" s="25">
        <f t="shared" si="164"/>
        <v>615.99999999998317</v>
      </c>
      <c r="J1130" s="25" t="e">
        <f t="shared" si="165"/>
        <v>#VALUE!</v>
      </c>
    </row>
    <row r="1131" spans="1:10" x14ac:dyDescent="0.25">
      <c r="A1131" s="25">
        <f t="shared" si="166"/>
        <v>1.1699999999998318</v>
      </c>
      <c r="B1131" s="25">
        <f t="shared" ca="1" si="159"/>
        <v>-0.18890394504117314</v>
      </c>
      <c r="C1131" s="25" t="e">
        <f t="shared" si="160"/>
        <v>#VALUE!</v>
      </c>
      <c r="D1131" s="74" t="e">
        <f t="shared" si="161"/>
        <v>#VALUE!</v>
      </c>
      <c r="E1131" s="25" t="e">
        <f t="shared" si="162"/>
        <v>#VALUE!</v>
      </c>
      <c r="F1131" s="25" t="e">
        <f t="shared" ca="1" si="163"/>
        <v>#VALUE!</v>
      </c>
      <c r="G1131" s="25"/>
      <c r="H1131" s="25" t="e">
        <f t="shared" si="167"/>
        <v>#VALUE!</v>
      </c>
      <c r="I1131" s="25">
        <f t="shared" si="164"/>
        <v>616.99999999998317</v>
      </c>
      <c r="J1131" s="25" t="e">
        <f t="shared" si="165"/>
        <v>#VALUE!</v>
      </c>
    </row>
    <row r="1132" spans="1:10" x14ac:dyDescent="0.25">
      <c r="A1132" s="25">
        <f t="shared" si="166"/>
        <v>1.1799999999998319</v>
      </c>
      <c r="B1132" s="25">
        <f t="shared" ca="1" si="159"/>
        <v>-5.0512667974509567E-2</v>
      </c>
      <c r="C1132" s="25" t="e">
        <f t="shared" si="160"/>
        <v>#VALUE!</v>
      </c>
      <c r="D1132" s="74" t="e">
        <f t="shared" si="161"/>
        <v>#VALUE!</v>
      </c>
      <c r="E1132" s="25" t="e">
        <f t="shared" si="162"/>
        <v>#VALUE!</v>
      </c>
      <c r="F1132" s="25" t="e">
        <f t="shared" ca="1" si="163"/>
        <v>#VALUE!</v>
      </c>
      <c r="G1132" s="25"/>
      <c r="H1132" s="25" t="e">
        <f t="shared" si="167"/>
        <v>#VALUE!</v>
      </c>
      <c r="I1132" s="25">
        <f t="shared" si="164"/>
        <v>617.99999999998317</v>
      </c>
      <c r="J1132" s="25" t="e">
        <f t="shared" si="165"/>
        <v>#VALUE!</v>
      </c>
    </row>
    <row r="1133" spans="1:10" x14ac:dyDescent="0.25">
      <c r="A1133" s="25">
        <f t="shared" si="166"/>
        <v>1.1899999999998319</v>
      </c>
      <c r="B1133" s="25">
        <f t="shared" ca="1" si="159"/>
        <v>-0.18417269989223597</v>
      </c>
      <c r="C1133" s="25" t="e">
        <f t="shared" si="160"/>
        <v>#VALUE!</v>
      </c>
      <c r="D1133" s="74" t="e">
        <f t="shared" si="161"/>
        <v>#VALUE!</v>
      </c>
      <c r="E1133" s="25" t="e">
        <f t="shared" si="162"/>
        <v>#VALUE!</v>
      </c>
      <c r="F1133" s="25" t="e">
        <f t="shared" ca="1" si="163"/>
        <v>#VALUE!</v>
      </c>
      <c r="G1133" s="25"/>
      <c r="H1133" s="25" t="e">
        <f t="shared" si="167"/>
        <v>#VALUE!</v>
      </c>
      <c r="I1133" s="25">
        <f t="shared" si="164"/>
        <v>618.99999999998317</v>
      </c>
      <c r="J1133" s="25" t="e">
        <f t="shared" si="165"/>
        <v>#VALUE!</v>
      </c>
    </row>
    <row r="1134" spans="1:10" x14ac:dyDescent="0.25">
      <c r="A1134" s="25">
        <f t="shared" si="166"/>
        <v>1.1999999999998319</v>
      </c>
      <c r="B1134" s="25">
        <f t="shared" ca="1" si="159"/>
        <v>-0.13028358935527948</v>
      </c>
      <c r="C1134" s="25" t="e">
        <f t="shared" si="160"/>
        <v>#VALUE!</v>
      </c>
      <c r="D1134" s="74" t="e">
        <f t="shared" si="161"/>
        <v>#VALUE!</v>
      </c>
      <c r="E1134" s="25" t="e">
        <f t="shared" si="162"/>
        <v>#VALUE!</v>
      </c>
      <c r="F1134" s="25" t="e">
        <f t="shared" ca="1" si="163"/>
        <v>#VALUE!</v>
      </c>
      <c r="G1134" s="25"/>
      <c r="H1134" s="25" t="e">
        <f t="shared" si="167"/>
        <v>#VALUE!</v>
      </c>
      <c r="I1134" s="25">
        <f t="shared" si="164"/>
        <v>619.99999999998329</v>
      </c>
      <c r="J1134" s="25" t="e">
        <f t="shared" si="165"/>
        <v>#VALUE!</v>
      </c>
    </row>
    <row r="1135" spans="1:10" x14ac:dyDescent="0.25">
      <c r="A1135" s="25">
        <f t="shared" si="166"/>
        <v>1.2099999999998319</v>
      </c>
      <c r="B1135" s="25">
        <f t="shared" ca="1" si="159"/>
        <v>-5.9480324406311062E-2</v>
      </c>
      <c r="C1135" s="25" t="e">
        <f t="shared" si="160"/>
        <v>#VALUE!</v>
      </c>
      <c r="D1135" s="74" t="e">
        <f t="shared" si="161"/>
        <v>#VALUE!</v>
      </c>
      <c r="E1135" s="25" t="e">
        <f t="shared" si="162"/>
        <v>#VALUE!</v>
      </c>
      <c r="F1135" s="25" t="e">
        <f t="shared" ca="1" si="163"/>
        <v>#VALUE!</v>
      </c>
      <c r="G1135" s="25"/>
      <c r="H1135" s="25" t="e">
        <f t="shared" si="167"/>
        <v>#VALUE!</v>
      </c>
      <c r="I1135" s="25">
        <f t="shared" si="164"/>
        <v>620.99999999998317</v>
      </c>
      <c r="J1135" s="25" t="e">
        <f t="shared" si="165"/>
        <v>#VALUE!</v>
      </c>
    </row>
    <row r="1136" spans="1:10" x14ac:dyDescent="0.25">
      <c r="A1136" s="25">
        <f t="shared" si="166"/>
        <v>1.2199999999998319</v>
      </c>
      <c r="B1136" s="25">
        <f t="shared" ca="1" si="159"/>
        <v>1.2217691431222264E-2</v>
      </c>
      <c r="C1136" s="25" t="e">
        <f t="shared" si="160"/>
        <v>#VALUE!</v>
      </c>
      <c r="D1136" s="74" t="e">
        <f t="shared" si="161"/>
        <v>#VALUE!</v>
      </c>
      <c r="E1136" s="25" t="e">
        <f t="shared" si="162"/>
        <v>#VALUE!</v>
      </c>
      <c r="F1136" s="25" t="e">
        <f t="shared" ca="1" si="163"/>
        <v>#VALUE!</v>
      </c>
      <c r="G1136" s="25"/>
      <c r="H1136" s="25" t="e">
        <f t="shared" si="167"/>
        <v>#VALUE!</v>
      </c>
      <c r="I1136" s="25">
        <f t="shared" si="164"/>
        <v>621.99999999998317</v>
      </c>
      <c r="J1136" s="25" t="e">
        <f t="shared" si="165"/>
        <v>#VALUE!</v>
      </c>
    </row>
    <row r="1137" spans="1:10" x14ac:dyDescent="0.25">
      <c r="A1137" s="25">
        <f t="shared" si="166"/>
        <v>1.2299999999998319</v>
      </c>
      <c r="B1137" s="25">
        <f t="shared" ca="1" si="159"/>
        <v>7.488562579542056E-2</v>
      </c>
      <c r="C1137" s="25" t="e">
        <f t="shared" si="160"/>
        <v>#VALUE!</v>
      </c>
      <c r="D1137" s="74" t="e">
        <f t="shared" si="161"/>
        <v>#VALUE!</v>
      </c>
      <c r="E1137" s="25" t="e">
        <f t="shared" si="162"/>
        <v>#VALUE!</v>
      </c>
      <c r="F1137" s="25" t="e">
        <f t="shared" ca="1" si="163"/>
        <v>#VALUE!</v>
      </c>
      <c r="G1137" s="25"/>
      <c r="H1137" s="25" t="e">
        <f t="shared" si="167"/>
        <v>#VALUE!</v>
      </c>
      <c r="I1137" s="25">
        <f t="shared" si="164"/>
        <v>622.99999999998317</v>
      </c>
      <c r="J1137" s="25" t="e">
        <f t="shared" si="165"/>
        <v>#VALUE!</v>
      </c>
    </row>
    <row r="1138" spans="1:10" x14ac:dyDescent="0.25">
      <c r="A1138" s="25">
        <f t="shared" si="166"/>
        <v>1.2399999999998319</v>
      </c>
      <c r="B1138" s="25">
        <f t="shared" ca="1" si="159"/>
        <v>-0.19618854298272906</v>
      </c>
      <c r="C1138" s="25" t="e">
        <f t="shared" si="160"/>
        <v>#VALUE!</v>
      </c>
      <c r="D1138" s="74" t="e">
        <f t="shared" si="161"/>
        <v>#VALUE!</v>
      </c>
      <c r="E1138" s="25" t="e">
        <f t="shared" si="162"/>
        <v>#VALUE!</v>
      </c>
      <c r="F1138" s="25" t="e">
        <f t="shared" ca="1" si="163"/>
        <v>#VALUE!</v>
      </c>
      <c r="G1138" s="25"/>
      <c r="H1138" s="25" t="e">
        <f t="shared" si="167"/>
        <v>#VALUE!</v>
      </c>
      <c r="I1138" s="25">
        <f t="shared" si="164"/>
        <v>623.99999999998317</v>
      </c>
      <c r="J1138" s="25" t="e">
        <f t="shared" si="165"/>
        <v>#VALUE!</v>
      </c>
    </row>
    <row r="1139" spans="1:10" x14ac:dyDescent="0.25">
      <c r="A1139" s="25">
        <f t="shared" si="166"/>
        <v>1.2499999999998319</v>
      </c>
      <c r="B1139" s="25">
        <f t="shared" ca="1" si="159"/>
        <v>8.8662161985422649E-2</v>
      </c>
      <c r="C1139" s="25" t="e">
        <f t="shared" si="160"/>
        <v>#VALUE!</v>
      </c>
      <c r="D1139" s="74" t="e">
        <f t="shared" si="161"/>
        <v>#VALUE!</v>
      </c>
      <c r="E1139" s="25" t="e">
        <f t="shared" si="162"/>
        <v>#VALUE!</v>
      </c>
      <c r="F1139" s="25" t="e">
        <f t="shared" ca="1" si="163"/>
        <v>#VALUE!</v>
      </c>
      <c r="G1139" s="25"/>
      <c r="H1139" s="25" t="e">
        <f t="shared" si="167"/>
        <v>#VALUE!</v>
      </c>
      <c r="I1139" s="25">
        <f t="shared" si="164"/>
        <v>624.99999999998317</v>
      </c>
      <c r="J1139" s="25" t="e">
        <f t="shared" si="165"/>
        <v>#VALUE!</v>
      </c>
    </row>
    <row r="1140" spans="1:10" x14ac:dyDescent="0.25">
      <c r="A1140" s="25">
        <f t="shared" si="166"/>
        <v>1.2599999999998319</v>
      </c>
      <c r="B1140" s="25">
        <f t="shared" ca="1" si="159"/>
        <v>-9.7314188000117777E-2</v>
      </c>
      <c r="C1140" s="25" t="e">
        <f t="shared" si="160"/>
        <v>#VALUE!</v>
      </c>
      <c r="D1140" s="74" t="e">
        <f t="shared" si="161"/>
        <v>#VALUE!</v>
      </c>
      <c r="E1140" s="25" t="e">
        <f t="shared" si="162"/>
        <v>#VALUE!</v>
      </c>
      <c r="F1140" s="25" t="e">
        <f t="shared" ca="1" si="163"/>
        <v>#VALUE!</v>
      </c>
      <c r="G1140" s="25"/>
      <c r="H1140" s="25" t="e">
        <f t="shared" si="167"/>
        <v>#VALUE!</v>
      </c>
      <c r="I1140" s="25">
        <f t="shared" si="164"/>
        <v>625.99999999998317</v>
      </c>
      <c r="J1140" s="25" t="e">
        <f t="shared" si="165"/>
        <v>#VALUE!</v>
      </c>
    </row>
    <row r="1141" spans="1:10" x14ac:dyDescent="0.25">
      <c r="A1141" s="25">
        <f t="shared" si="166"/>
        <v>1.2699999999998319</v>
      </c>
      <c r="B1141" s="25">
        <f t="shared" ca="1" si="159"/>
        <v>9.2280883033911798E-2</v>
      </c>
      <c r="C1141" s="25" t="e">
        <f t="shared" si="160"/>
        <v>#VALUE!</v>
      </c>
      <c r="D1141" s="74" t="e">
        <f t="shared" si="161"/>
        <v>#VALUE!</v>
      </c>
      <c r="E1141" s="25" t="e">
        <f t="shared" si="162"/>
        <v>#VALUE!</v>
      </c>
      <c r="F1141" s="25" t="e">
        <f t="shared" ca="1" si="163"/>
        <v>#VALUE!</v>
      </c>
      <c r="G1141" s="25"/>
      <c r="H1141" s="25" t="e">
        <f t="shared" si="167"/>
        <v>#VALUE!</v>
      </c>
      <c r="I1141" s="25">
        <f t="shared" si="164"/>
        <v>626.99999999998317</v>
      </c>
      <c r="J1141" s="25" t="e">
        <f t="shared" si="165"/>
        <v>#VALUE!</v>
      </c>
    </row>
    <row r="1142" spans="1:10" x14ac:dyDescent="0.25">
      <c r="A1142" s="25">
        <f t="shared" si="166"/>
        <v>1.2799999999998319</v>
      </c>
      <c r="B1142" s="25">
        <f t="shared" ca="1" si="159"/>
        <v>-0.16967156332168101</v>
      </c>
      <c r="C1142" s="25" t="e">
        <f t="shared" si="160"/>
        <v>#VALUE!</v>
      </c>
      <c r="D1142" s="74" t="e">
        <f t="shared" si="161"/>
        <v>#VALUE!</v>
      </c>
      <c r="E1142" s="25" t="e">
        <f t="shared" si="162"/>
        <v>#VALUE!</v>
      </c>
      <c r="F1142" s="25" t="e">
        <f t="shared" ca="1" si="163"/>
        <v>#VALUE!</v>
      </c>
      <c r="G1142" s="25"/>
      <c r="H1142" s="25" t="e">
        <f t="shared" si="167"/>
        <v>#VALUE!</v>
      </c>
      <c r="I1142" s="25">
        <f t="shared" si="164"/>
        <v>627.99999999998329</v>
      </c>
      <c r="J1142" s="25" t="e">
        <f t="shared" si="165"/>
        <v>#VALUE!</v>
      </c>
    </row>
    <row r="1143" spans="1:10" x14ac:dyDescent="0.25">
      <c r="A1143" s="25">
        <f t="shared" si="166"/>
        <v>1.2899999999998319</v>
      </c>
      <c r="B1143" s="25">
        <f t="shared" ca="1" si="159"/>
        <v>4.3946954460176484E-2</v>
      </c>
      <c r="C1143" s="25" t="e">
        <f t="shared" si="160"/>
        <v>#VALUE!</v>
      </c>
      <c r="D1143" s="74" t="e">
        <f t="shared" si="161"/>
        <v>#VALUE!</v>
      </c>
      <c r="E1143" s="25" t="e">
        <f t="shared" si="162"/>
        <v>#VALUE!</v>
      </c>
      <c r="F1143" s="25" t="e">
        <f t="shared" ca="1" si="163"/>
        <v>#VALUE!</v>
      </c>
      <c r="G1143" s="25"/>
      <c r="H1143" s="25" t="e">
        <f t="shared" si="167"/>
        <v>#VALUE!</v>
      </c>
      <c r="I1143" s="25">
        <f t="shared" si="164"/>
        <v>628.99999999998317</v>
      </c>
      <c r="J1143" s="25" t="e">
        <f t="shared" si="165"/>
        <v>#VALUE!</v>
      </c>
    </row>
    <row r="1144" spans="1:10" x14ac:dyDescent="0.25">
      <c r="A1144" s="25">
        <f t="shared" si="166"/>
        <v>1.299999999999832</v>
      </c>
      <c r="B1144" s="25">
        <f t="shared" ca="1" si="159"/>
        <v>9.3761358755437049E-2</v>
      </c>
      <c r="C1144" s="25" t="e">
        <f t="shared" si="160"/>
        <v>#VALUE!</v>
      </c>
      <c r="D1144" s="74" t="e">
        <f t="shared" si="161"/>
        <v>#VALUE!</v>
      </c>
      <c r="E1144" s="25" t="e">
        <f t="shared" si="162"/>
        <v>#VALUE!</v>
      </c>
      <c r="F1144" s="25" t="e">
        <f t="shared" ca="1" si="163"/>
        <v>#VALUE!</v>
      </c>
      <c r="G1144" s="25"/>
      <c r="H1144" s="25" t="e">
        <f t="shared" si="167"/>
        <v>#VALUE!</v>
      </c>
      <c r="I1144" s="25">
        <f t="shared" si="164"/>
        <v>629.99999999998317</v>
      </c>
      <c r="J1144" s="25" t="e">
        <f t="shared" si="165"/>
        <v>#VALUE!</v>
      </c>
    </row>
    <row r="1145" spans="1:10" x14ac:dyDescent="0.25">
      <c r="A1145" s="25">
        <f t="shared" si="166"/>
        <v>1.309999999999832</v>
      </c>
      <c r="B1145" s="25">
        <f t="shared" ca="1" si="159"/>
        <v>-0.15355470627000997</v>
      </c>
      <c r="C1145" s="25" t="e">
        <f t="shared" si="160"/>
        <v>#VALUE!</v>
      </c>
      <c r="D1145" s="74" t="e">
        <f t="shared" si="161"/>
        <v>#VALUE!</v>
      </c>
      <c r="E1145" s="25" t="e">
        <f t="shared" si="162"/>
        <v>#VALUE!</v>
      </c>
      <c r="F1145" s="25" t="e">
        <f t="shared" ca="1" si="163"/>
        <v>#VALUE!</v>
      </c>
      <c r="G1145" s="25"/>
      <c r="H1145" s="25" t="e">
        <f t="shared" si="167"/>
        <v>#VALUE!</v>
      </c>
      <c r="I1145" s="25">
        <f t="shared" si="164"/>
        <v>630.99999999998317</v>
      </c>
      <c r="J1145" s="25" t="e">
        <f t="shared" si="165"/>
        <v>#VALUE!</v>
      </c>
    </row>
    <row r="1146" spans="1:10" x14ac:dyDescent="0.25">
      <c r="A1146" s="25">
        <f t="shared" si="166"/>
        <v>1.319999999999832</v>
      </c>
      <c r="B1146" s="25">
        <f t="shared" ca="1" si="159"/>
        <v>-9.6294136952241982E-2</v>
      </c>
      <c r="C1146" s="25" t="e">
        <f t="shared" si="160"/>
        <v>#VALUE!</v>
      </c>
      <c r="D1146" s="74" t="e">
        <f t="shared" si="161"/>
        <v>#VALUE!</v>
      </c>
      <c r="E1146" s="25" t="e">
        <f t="shared" si="162"/>
        <v>#VALUE!</v>
      </c>
      <c r="F1146" s="25" t="e">
        <f t="shared" ca="1" si="163"/>
        <v>#VALUE!</v>
      </c>
      <c r="G1146" s="25"/>
      <c r="H1146" s="25" t="e">
        <f t="shared" si="167"/>
        <v>#VALUE!</v>
      </c>
      <c r="I1146" s="25">
        <f t="shared" si="164"/>
        <v>631.99999999998317</v>
      </c>
      <c r="J1146" s="25" t="e">
        <f t="shared" si="165"/>
        <v>#VALUE!</v>
      </c>
    </row>
    <row r="1147" spans="1:10" x14ac:dyDescent="0.25">
      <c r="A1147" s="25">
        <f t="shared" si="166"/>
        <v>1.329999999999832</v>
      </c>
      <c r="B1147" s="25">
        <f t="shared" ca="1" si="159"/>
        <v>1.0178449243836698E-2</v>
      </c>
      <c r="C1147" s="25" t="e">
        <f t="shared" si="160"/>
        <v>#VALUE!</v>
      </c>
      <c r="D1147" s="74" t="e">
        <f t="shared" si="161"/>
        <v>#VALUE!</v>
      </c>
      <c r="E1147" s="25" t="e">
        <f t="shared" si="162"/>
        <v>#VALUE!</v>
      </c>
      <c r="F1147" s="25" t="e">
        <f t="shared" ca="1" si="163"/>
        <v>#VALUE!</v>
      </c>
      <c r="G1147" s="25"/>
      <c r="H1147" s="25" t="e">
        <f t="shared" si="167"/>
        <v>#VALUE!</v>
      </c>
      <c r="I1147" s="25">
        <f t="shared" si="164"/>
        <v>632.99999999998329</v>
      </c>
      <c r="J1147" s="25" t="e">
        <f t="shared" si="165"/>
        <v>#VALUE!</v>
      </c>
    </row>
    <row r="1148" spans="1:10" x14ac:dyDescent="0.25">
      <c r="A1148" s="25">
        <f t="shared" si="166"/>
        <v>1.339999999999832</v>
      </c>
      <c r="B1148" s="25">
        <f t="shared" ca="1" si="159"/>
        <v>7.4649515751966572E-2</v>
      </c>
      <c r="C1148" s="25" t="e">
        <f t="shared" si="160"/>
        <v>#VALUE!</v>
      </c>
      <c r="D1148" s="74" t="e">
        <f t="shared" si="161"/>
        <v>#VALUE!</v>
      </c>
      <c r="E1148" s="25" t="e">
        <f t="shared" si="162"/>
        <v>#VALUE!</v>
      </c>
      <c r="F1148" s="25" t="e">
        <f t="shared" ca="1" si="163"/>
        <v>#VALUE!</v>
      </c>
      <c r="G1148" s="25"/>
      <c r="H1148" s="25" t="e">
        <f t="shared" si="167"/>
        <v>#VALUE!</v>
      </c>
      <c r="I1148" s="25">
        <f t="shared" si="164"/>
        <v>633.99999999998317</v>
      </c>
      <c r="J1148" s="25" t="e">
        <f t="shared" si="165"/>
        <v>#VALUE!</v>
      </c>
    </row>
    <row r="1149" spans="1:10" x14ac:dyDescent="0.25">
      <c r="A1149" s="25">
        <f t="shared" si="166"/>
        <v>1.349999999999832</v>
      </c>
      <c r="B1149" s="25">
        <f t="shared" ca="1" si="159"/>
        <v>0.10455579835386701</v>
      </c>
      <c r="C1149" s="25" t="e">
        <f t="shared" si="160"/>
        <v>#VALUE!</v>
      </c>
      <c r="D1149" s="74" t="e">
        <f t="shared" si="161"/>
        <v>#VALUE!</v>
      </c>
      <c r="E1149" s="25" t="e">
        <f t="shared" si="162"/>
        <v>#VALUE!</v>
      </c>
      <c r="F1149" s="25" t="e">
        <f t="shared" ca="1" si="163"/>
        <v>#VALUE!</v>
      </c>
      <c r="G1149" s="25"/>
      <c r="H1149" s="25" t="e">
        <f t="shared" si="167"/>
        <v>#VALUE!</v>
      </c>
      <c r="I1149" s="25">
        <f t="shared" si="164"/>
        <v>634.99999999998317</v>
      </c>
      <c r="J1149" s="25" t="e">
        <f t="shared" si="165"/>
        <v>#VALUE!</v>
      </c>
    </row>
    <row r="1150" spans="1:10" x14ac:dyDescent="0.25">
      <c r="A1150" s="25">
        <f t="shared" si="166"/>
        <v>1.359999999999832</v>
      </c>
      <c r="B1150" s="25">
        <f t="shared" ca="1" si="159"/>
        <v>-0.12155880711218807</v>
      </c>
      <c r="C1150" s="25" t="e">
        <f t="shared" si="160"/>
        <v>#VALUE!</v>
      </c>
      <c r="D1150" s="74" t="e">
        <f t="shared" si="161"/>
        <v>#VALUE!</v>
      </c>
      <c r="E1150" s="25" t="e">
        <f t="shared" si="162"/>
        <v>#VALUE!</v>
      </c>
      <c r="F1150" s="25" t="e">
        <f t="shared" ca="1" si="163"/>
        <v>#VALUE!</v>
      </c>
      <c r="G1150" s="25"/>
      <c r="H1150" s="25" t="e">
        <f t="shared" si="167"/>
        <v>#VALUE!</v>
      </c>
      <c r="I1150" s="25">
        <f t="shared" si="164"/>
        <v>635.99999999998329</v>
      </c>
      <c r="J1150" s="25" t="e">
        <f t="shared" si="165"/>
        <v>#VALUE!</v>
      </c>
    </row>
    <row r="1151" spans="1:10" x14ac:dyDescent="0.25">
      <c r="A1151" s="25">
        <f t="shared" si="166"/>
        <v>1.369999999999832</v>
      </c>
      <c r="B1151" s="25">
        <f t="shared" ca="1" si="159"/>
        <v>-0.10860061916148822</v>
      </c>
      <c r="C1151" s="25" t="e">
        <f t="shared" si="160"/>
        <v>#VALUE!</v>
      </c>
      <c r="D1151" s="74" t="e">
        <f t="shared" si="161"/>
        <v>#VALUE!</v>
      </c>
      <c r="E1151" s="25" t="e">
        <f t="shared" si="162"/>
        <v>#VALUE!</v>
      </c>
      <c r="F1151" s="25" t="e">
        <f t="shared" ca="1" si="163"/>
        <v>#VALUE!</v>
      </c>
      <c r="G1151" s="25"/>
      <c r="H1151" s="25" t="e">
        <f t="shared" si="167"/>
        <v>#VALUE!</v>
      </c>
      <c r="I1151" s="25">
        <f t="shared" si="164"/>
        <v>636.99999999998329</v>
      </c>
      <c r="J1151" s="25" t="e">
        <f t="shared" si="165"/>
        <v>#VALUE!</v>
      </c>
    </row>
    <row r="1152" spans="1:10" x14ac:dyDescent="0.25">
      <c r="A1152" s="25">
        <f t="shared" si="166"/>
        <v>1.379999999999832</v>
      </c>
      <c r="B1152" s="25">
        <f t="shared" ca="1" si="159"/>
        <v>-9.6280847282552262E-2</v>
      </c>
      <c r="C1152" s="25" t="e">
        <f t="shared" si="160"/>
        <v>#VALUE!</v>
      </c>
      <c r="D1152" s="74" t="e">
        <f t="shared" si="161"/>
        <v>#VALUE!</v>
      </c>
      <c r="E1152" s="25" t="e">
        <f t="shared" si="162"/>
        <v>#VALUE!</v>
      </c>
      <c r="F1152" s="25" t="e">
        <f t="shared" ca="1" si="163"/>
        <v>#VALUE!</v>
      </c>
      <c r="G1152" s="25"/>
      <c r="H1152" s="25" t="e">
        <f t="shared" si="167"/>
        <v>#VALUE!</v>
      </c>
      <c r="I1152" s="25">
        <f t="shared" si="164"/>
        <v>637.99999999998317</v>
      </c>
      <c r="J1152" s="25" t="e">
        <f t="shared" si="165"/>
        <v>#VALUE!</v>
      </c>
    </row>
    <row r="1153" spans="1:10" x14ac:dyDescent="0.25">
      <c r="A1153" s="25">
        <f t="shared" si="166"/>
        <v>1.389999999999832</v>
      </c>
      <c r="B1153" s="25">
        <f t="shared" ca="1" si="159"/>
        <v>-4.9064272322270293E-2</v>
      </c>
      <c r="C1153" s="25" t="e">
        <f t="shared" si="160"/>
        <v>#VALUE!</v>
      </c>
      <c r="D1153" s="74" t="e">
        <f t="shared" si="161"/>
        <v>#VALUE!</v>
      </c>
      <c r="E1153" s="25" t="e">
        <f t="shared" si="162"/>
        <v>#VALUE!</v>
      </c>
      <c r="F1153" s="25" t="e">
        <f t="shared" ca="1" si="163"/>
        <v>#VALUE!</v>
      </c>
      <c r="G1153" s="25"/>
      <c r="H1153" s="25" t="e">
        <f t="shared" si="167"/>
        <v>#VALUE!</v>
      </c>
      <c r="I1153" s="25">
        <f t="shared" si="164"/>
        <v>638.99999999998317</v>
      </c>
      <c r="J1153" s="25" t="e">
        <f t="shared" si="165"/>
        <v>#VALUE!</v>
      </c>
    </row>
    <row r="1154" spans="1:10" x14ac:dyDescent="0.25">
      <c r="A1154" s="25">
        <f t="shared" si="166"/>
        <v>1.399999999999832</v>
      </c>
      <c r="B1154" s="25">
        <f t="shared" ca="1" si="159"/>
        <v>0.10289138633102524</v>
      </c>
      <c r="C1154" s="25" t="e">
        <f t="shared" si="160"/>
        <v>#VALUE!</v>
      </c>
      <c r="D1154" s="74" t="e">
        <f t="shared" si="161"/>
        <v>#VALUE!</v>
      </c>
      <c r="E1154" s="25" t="e">
        <f t="shared" si="162"/>
        <v>#VALUE!</v>
      </c>
      <c r="F1154" s="25" t="e">
        <f t="shared" ca="1" si="163"/>
        <v>#VALUE!</v>
      </c>
      <c r="G1154" s="25"/>
      <c r="H1154" s="25" t="e">
        <f t="shared" si="167"/>
        <v>#VALUE!</v>
      </c>
      <c r="I1154" s="25">
        <f t="shared" si="164"/>
        <v>639.99999999998317</v>
      </c>
      <c r="J1154" s="25" t="e">
        <f t="shared" si="165"/>
        <v>#VALUE!</v>
      </c>
    </row>
    <row r="1155" spans="1:10" x14ac:dyDescent="0.25">
      <c r="A1155" s="25">
        <f t="shared" si="166"/>
        <v>1.4099999999998321</v>
      </c>
      <c r="B1155" s="25">
        <f t="shared" ca="1" si="159"/>
        <v>-0.18028739550576503</v>
      </c>
      <c r="C1155" s="25" t="e">
        <f t="shared" si="160"/>
        <v>#VALUE!</v>
      </c>
      <c r="D1155" s="74" t="e">
        <f t="shared" si="161"/>
        <v>#VALUE!</v>
      </c>
      <c r="E1155" s="25" t="e">
        <f t="shared" si="162"/>
        <v>#VALUE!</v>
      </c>
      <c r="F1155" s="25" t="e">
        <f t="shared" ca="1" si="163"/>
        <v>#VALUE!</v>
      </c>
      <c r="G1155" s="25"/>
      <c r="H1155" s="25" t="e">
        <f t="shared" si="167"/>
        <v>#VALUE!</v>
      </c>
      <c r="I1155" s="25">
        <f t="shared" si="164"/>
        <v>640.99999999998329</v>
      </c>
      <c r="J1155" s="25" t="e">
        <f t="shared" si="165"/>
        <v>#VALUE!</v>
      </c>
    </row>
    <row r="1156" spans="1:10" x14ac:dyDescent="0.25">
      <c r="A1156" s="25">
        <f t="shared" si="166"/>
        <v>1.4199999999998321</v>
      </c>
      <c r="B1156" s="25">
        <f t="shared" ca="1" si="159"/>
        <v>-0.11705828286265534</v>
      </c>
      <c r="C1156" s="25" t="e">
        <f t="shared" si="160"/>
        <v>#VALUE!</v>
      </c>
      <c r="D1156" s="74" t="e">
        <f t="shared" si="161"/>
        <v>#VALUE!</v>
      </c>
      <c r="E1156" s="25" t="e">
        <f t="shared" si="162"/>
        <v>#VALUE!</v>
      </c>
      <c r="F1156" s="25" t="e">
        <f t="shared" ca="1" si="163"/>
        <v>#VALUE!</v>
      </c>
      <c r="G1156" s="25"/>
      <c r="H1156" s="25" t="e">
        <f t="shared" si="167"/>
        <v>#VALUE!</v>
      </c>
      <c r="I1156" s="25">
        <f t="shared" si="164"/>
        <v>641.99999999998317</v>
      </c>
      <c r="J1156" s="25" t="e">
        <f t="shared" si="165"/>
        <v>#VALUE!</v>
      </c>
    </row>
    <row r="1157" spans="1:10" x14ac:dyDescent="0.25">
      <c r="A1157" s="25">
        <f t="shared" si="166"/>
        <v>1.4299999999998321</v>
      </c>
      <c r="B1157" s="25">
        <f t="shared" ca="1" si="159"/>
        <v>5.257797070184906E-2</v>
      </c>
      <c r="C1157" s="25" t="e">
        <f t="shared" si="160"/>
        <v>#VALUE!</v>
      </c>
      <c r="D1157" s="74" t="e">
        <f t="shared" si="161"/>
        <v>#VALUE!</v>
      </c>
      <c r="E1157" s="25" t="e">
        <f t="shared" si="162"/>
        <v>#VALUE!</v>
      </c>
      <c r="F1157" s="25" t="e">
        <f t="shared" ca="1" si="163"/>
        <v>#VALUE!</v>
      </c>
      <c r="G1157" s="25"/>
      <c r="H1157" s="25" t="e">
        <f t="shared" si="167"/>
        <v>#VALUE!</v>
      </c>
      <c r="I1157" s="25">
        <f t="shared" si="164"/>
        <v>642.99999999998317</v>
      </c>
      <c r="J1157" s="25" t="e">
        <f t="shared" si="165"/>
        <v>#VALUE!</v>
      </c>
    </row>
    <row r="1158" spans="1:10" x14ac:dyDescent="0.25">
      <c r="A1158" s="25">
        <f t="shared" si="166"/>
        <v>1.4399999999998321</v>
      </c>
      <c r="B1158" s="25">
        <f t="shared" ca="1" si="159"/>
        <v>-0.19750007322467203</v>
      </c>
      <c r="C1158" s="25" t="e">
        <f t="shared" si="160"/>
        <v>#VALUE!</v>
      </c>
      <c r="D1158" s="74" t="e">
        <f t="shared" si="161"/>
        <v>#VALUE!</v>
      </c>
      <c r="E1158" s="25" t="e">
        <f t="shared" si="162"/>
        <v>#VALUE!</v>
      </c>
      <c r="F1158" s="25" t="e">
        <f t="shared" ca="1" si="163"/>
        <v>#VALUE!</v>
      </c>
      <c r="G1158" s="25"/>
      <c r="H1158" s="25" t="e">
        <f t="shared" si="167"/>
        <v>#VALUE!</v>
      </c>
      <c r="I1158" s="25">
        <f t="shared" si="164"/>
        <v>643.99999999998329</v>
      </c>
      <c r="J1158" s="25" t="e">
        <f t="shared" si="165"/>
        <v>#VALUE!</v>
      </c>
    </row>
    <row r="1159" spans="1:10" x14ac:dyDescent="0.25">
      <c r="A1159" s="25">
        <f t="shared" si="166"/>
        <v>1.4499999999998321</v>
      </c>
      <c r="B1159" s="25">
        <f t="shared" ca="1" si="159"/>
        <v>-0.13763507940889852</v>
      </c>
      <c r="C1159" s="25" t="e">
        <f t="shared" si="160"/>
        <v>#VALUE!</v>
      </c>
      <c r="D1159" s="74" t="e">
        <f t="shared" si="161"/>
        <v>#VALUE!</v>
      </c>
      <c r="E1159" s="25" t="e">
        <f t="shared" si="162"/>
        <v>#VALUE!</v>
      </c>
      <c r="F1159" s="25" t="e">
        <f t="shared" ca="1" si="163"/>
        <v>#VALUE!</v>
      </c>
      <c r="G1159" s="25"/>
      <c r="H1159" s="25" t="e">
        <f t="shared" si="167"/>
        <v>#VALUE!</v>
      </c>
      <c r="I1159" s="25">
        <f t="shared" si="164"/>
        <v>644.99999999998329</v>
      </c>
      <c r="J1159" s="25" t="e">
        <f t="shared" si="165"/>
        <v>#VALUE!</v>
      </c>
    </row>
    <row r="1160" spans="1:10" x14ac:dyDescent="0.25">
      <c r="A1160" s="25">
        <f t="shared" si="166"/>
        <v>1.4599999999998321</v>
      </c>
      <c r="B1160" s="25">
        <f t="shared" ca="1" si="159"/>
        <v>4.0055541318748139E-2</v>
      </c>
      <c r="C1160" s="25" t="e">
        <f t="shared" si="160"/>
        <v>#VALUE!</v>
      </c>
      <c r="D1160" s="74" t="e">
        <f t="shared" si="161"/>
        <v>#VALUE!</v>
      </c>
      <c r="E1160" s="25" t="e">
        <f t="shared" si="162"/>
        <v>#VALUE!</v>
      </c>
      <c r="F1160" s="25" t="e">
        <f t="shared" ca="1" si="163"/>
        <v>#VALUE!</v>
      </c>
      <c r="G1160" s="25"/>
      <c r="H1160" s="25" t="e">
        <f t="shared" si="167"/>
        <v>#VALUE!</v>
      </c>
      <c r="I1160" s="25">
        <f t="shared" si="164"/>
        <v>645.99999999998317</v>
      </c>
      <c r="J1160" s="25" t="e">
        <f t="shared" si="165"/>
        <v>#VALUE!</v>
      </c>
    </row>
    <row r="1161" spans="1:10" x14ac:dyDescent="0.25">
      <c r="A1161" s="25">
        <f t="shared" si="166"/>
        <v>1.4699999999998321</v>
      </c>
      <c r="B1161" s="25">
        <f t="shared" ca="1" si="159"/>
        <v>-6.1107649436616812E-2</v>
      </c>
      <c r="C1161" s="25" t="e">
        <f t="shared" si="160"/>
        <v>#VALUE!</v>
      </c>
      <c r="D1161" s="74" t="e">
        <f t="shared" si="161"/>
        <v>#VALUE!</v>
      </c>
      <c r="E1161" s="25" t="e">
        <f t="shared" si="162"/>
        <v>#VALUE!</v>
      </c>
      <c r="F1161" s="25" t="e">
        <f t="shared" ca="1" si="163"/>
        <v>#VALUE!</v>
      </c>
      <c r="G1161" s="25"/>
      <c r="H1161" s="25" t="e">
        <f t="shared" si="167"/>
        <v>#VALUE!</v>
      </c>
      <c r="I1161" s="25">
        <f t="shared" si="164"/>
        <v>646.99999999998317</v>
      </c>
      <c r="J1161" s="25" t="e">
        <f t="shared" si="165"/>
        <v>#VALUE!</v>
      </c>
    </row>
    <row r="1162" spans="1:10" x14ac:dyDescent="0.25">
      <c r="A1162" s="25">
        <f t="shared" si="166"/>
        <v>1.4799999999998321</v>
      </c>
      <c r="B1162" s="25">
        <f t="shared" ca="1" si="159"/>
        <v>-0.10574619165283912</v>
      </c>
      <c r="C1162" s="25" t="e">
        <f t="shared" si="160"/>
        <v>#VALUE!</v>
      </c>
      <c r="D1162" s="74" t="e">
        <f t="shared" si="161"/>
        <v>#VALUE!</v>
      </c>
      <c r="E1162" s="25" t="e">
        <f t="shared" si="162"/>
        <v>#VALUE!</v>
      </c>
      <c r="F1162" s="25" t="e">
        <f t="shared" ca="1" si="163"/>
        <v>#VALUE!</v>
      </c>
      <c r="G1162" s="25"/>
      <c r="H1162" s="25" t="e">
        <f t="shared" si="167"/>
        <v>#VALUE!</v>
      </c>
      <c r="I1162" s="25">
        <f t="shared" si="164"/>
        <v>647.99999999998317</v>
      </c>
      <c r="J1162" s="25" t="e">
        <f t="shared" si="165"/>
        <v>#VALUE!</v>
      </c>
    </row>
    <row r="1163" spans="1:10" x14ac:dyDescent="0.25">
      <c r="A1163" s="25">
        <f t="shared" si="166"/>
        <v>1.4899999999998321</v>
      </c>
      <c r="B1163" s="25">
        <f t="shared" ca="1" si="159"/>
        <v>-3.2074910989352008E-2</v>
      </c>
      <c r="C1163" s="25" t="e">
        <f t="shared" si="160"/>
        <v>#VALUE!</v>
      </c>
      <c r="D1163" s="74" t="e">
        <f t="shared" si="161"/>
        <v>#VALUE!</v>
      </c>
      <c r="E1163" s="25" t="e">
        <f t="shared" si="162"/>
        <v>#VALUE!</v>
      </c>
      <c r="F1163" s="25" t="e">
        <f t="shared" ca="1" si="163"/>
        <v>#VALUE!</v>
      </c>
      <c r="G1163" s="25"/>
      <c r="H1163" s="25" t="e">
        <f t="shared" si="167"/>
        <v>#VALUE!</v>
      </c>
      <c r="I1163" s="25">
        <f t="shared" si="164"/>
        <v>648.99999999998329</v>
      </c>
      <c r="J1163" s="25" t="e">
        <f t="shared" si="165"/>
        <v>#VALUE!</v>
      </c>
    </row>
    <row r="1164" spans="1:10" x14ac:dyDescent="0.25">
      <c r="A1164" s="25">
        <f t="shared" si="166"/>
        <v>1.4999999999998321</v>
      </c>
      <c r="B1164" s="25">
        <f t="shared" ca="1" si="159"/>
        <v>1.2165312273916032E-2</v>
      </c>
      <c r="C1164" s="25" t="e">
        <f t="shared" si="160"/>
        <v>#VALUE!</v>
      </c>
      <c r="D1164" s="74" t="e">
        <f t="shared" si="161"/>
        <v>#VALUE!</v>
      </c>
      <c r="E1164" s="25" t="e">
        <f t="shared" si="162"/>
        <v>#VALUE!</v>
      </c>
      <c r="F1164" s="25" t="e">
        <f t="shared" ca="1" si="163"/>
        <v>#VALUE!</v>
      </c>
      <c r="G1164" s="25"/>
      <c r="H1164" s="25" t="e">
        <f t="shared" si="167"/>
        <v>#VALUE!</v>
      </c>
      <c r="I1164" s="25">
        <f t="shared" si="164"/>
        <v>649.99999999998317</v>
      </c>
      <c r="J1164" s="25" t="e">
        <f t="shared" si="165"/>
        <v>#VALUE!</v>
      </c>
    </row>
    <row r="1165" spans="1:10" x14ac:dyDescent="0.25">
      <c r="A1165" s="25">
        <f t="shared" si="166"/>
        <v>1.5099999999998321</v>
      </c>
      <c r="B1165" s="25">
        <f t="shared" ca="1" si="159"/>
        <v>-2.0249245923307541E-2</v>
      </c>
      <c r="C1165" s="25" t="e">
        <f t="shared" si="160"/>
        <v>#VALUE!</v>
      </c>
      <c r="D1165" s="74" t="e">
        <f t="shared" si="161"/>
        <v>#VALUE!</v>
      </c>
      <c r="E1165" s="25" t="e">
        <f t="shared" si="162"/>
        <v>#VALUE!</v>
      </c>
      <c r="F1165" s="25" t="e">
        <f t="shared" ca="1" si="163"/>
        <v>#VALUE!</v>
      </c>
      <c r="G1165" s="25"/>
      <c r="H1165" s="25" t="e">
        <f t="shared" si="167"/>
        <v>#VALUE!</v>
      </c>
      <c r="I1165" s="25">
        <f t="shared" si="164"/>
        <v>650.99999999998317</v>
      </c>
      <c r="J1165" s="25" t="e">
        <f t="shared" si="165"/>
        <v>#VALUE!</v>
      </c>
    </row>
    <row r="1166" spans="1:10" x14ac:dyDescent="0.25">
      <c r="A1166" s="25">
        <f t="shared" si="166"/>
        <v>1.5199999999998322</v>
      </c>
      <c r="B1166" s="25">
        <f t="shared" ref="B1166:B1229" ca="1" si="168">(RAND()-0.5-$B$7)/$B$5</f>
        <v>8.435248470570049E-2</v>
      </c>
      <c r="C1166" s="25" t="e">
        <f t="shared" ref="C1166:C1229" si="169">IF(ABS(A1166)&lt;=($D$3/2),1,IF(ABS(A1166)&lt;=($B$4/2),IF(A1166&gt;0,A1166*(4/(1-2*$B$4))+(2*$B$4/(2*$B$4-1)),(-A1166*(4/(1-2*$B$4))+(2*$B$4/(2*$B$4-1)))),0))</f>
        <v>#VALUE!</v>
      </c>
      <c r="D1166" s="74" t="e">
        <f t="shared" ref="D1166:D1229" si="170">IF(ABS(A1166)&lt;=($D$3/4+$B$4/4),1,IF(ABS(A1166)&lt;=($B$4/2),(IF(A1166&gt;0,A1166*(8/(1-2*$B$4))+(4*$B$4)/(2*$B$4-1),(-A1166*(8/(1-2*$B$4))+(4*$B$4)/(2*$B$4-1)))),0))</f>
        <v>#VALUE!</v>
      </c>
      <c r="E1166" s="25" t="e">
        <f t="shared" ref="E1166:E1229" si="171">IF(ABS(A1166)&lt;($B$4/2), 1, 0)</f>
        <v>#VALUE!</v>
      </c>
      <c r="F1166" s="25" t="e">
        <f t="shared" ref="F1166:F1229" ca="1" si="172">C1166+B1166</f>
        <v>#VALUE!</v>
      </c>
      <c r="G1166" s="25"/>
      <c r="H1166" s="25" t="e">
        <f t="shared" si="167"/>
        <v>#VALUE!</v>
      </c>
      <c r="I1166" s="25">
        <f t="shared" ref="I1166:I1229" si="173">$I$3*(A1166-$G$3)/($H$3-$G$3)</f>
        <v>651.99999999998329</v>
      </c>
      <c r="J1166" s="25" t="e">
        <f t="shared" ref="J1166:J1229" si="174">H1166</f>
        <v>#VALUE!</v>
      </c>
    </row>
    <row r="1167" spans="1:10" x14ac:dyDescent="0.25">
      <c r="A1167" s="25">
        <f t="shared" ref="A1167:A1230" si="175">A1166+0.01</f>
        <v>1.5299999999998322</v>
      </c>
      <c r="B1167" s="25">
        <f t="shared" ca="1" si="168"/>
        <v>-0.14005492647728898</v>
      </c>
      <c r="C1167" s="25" t="e">
        <f t="shared" si="169"/>
        <v>#VALUE!</v>
      </c>
      <c r="D1167" s="74" t="e">
        <f t="shared" si="170"/>
        <v>#VALUE!</v>
      </c>
      <c r="E1167" s="25" t="e">
        <f t="shared" si="171"/>
        <v>#VALUE!</v>
      </c>
      <c r="F1167" s="25" t="e">
        <f t="shared" ca="1" si="172"/>
        <v>#VALUE!</v>
      </c>
      <c r="G1167" s="25"/>
      <c r="H1167" s="25" t="e">
        <f t="shared" si="167"/>
        <v>#VALUE!</v>
      </c>
      <c r="I1167" s="25">
        <f t="shared" si="173"/>
        <v>652.99999999998329</v>
      </c>
      <c r="J1167" s="25" t="e">
        <f t="shared" si="174"/>
        <v>#VALUE!</v>
      </c>
    </row>
    <row r="1168" spans="1:10" x14ac:dyDescent="0.25">
      <c r="A1168" s="25">
        <f t="shared" si="175"/>
        <v>1.5399999999998322</v>
      </c>
      <c r="B1168" s="25">
        <f t="shared" ca="1" si="168"/>
        <v>-7.3524374655734068E-2</v>
      </c>
      <c r="C1168" s="25" t="e">
        <f t="shared" si="169"/>
        <v>#VALUE!</v>
      </c>
      <c r="D1168" s="74" t="e">
        <f t="shared" si="170"/>
        <v>#VALUE!</v>
      </c>
      <c r="E1168" s="25" t="e">
        <f t="shared" si="171"/>
        <v>#VALUE!</v>
      </c>
      <c r="F1168" s="25" t="e">
        <f t="shared" ca="1" si="172"/>
        <v>#VALUE!</v>
      </c>
      <c r="G1168" s="25"/>
      <c r="H1168" s="25" t="e">
        <f t="shared" si="167"/>
        <v>#VALUE!</v>
      </c>
      <c r="I1168" s="25">
        <f t="shared" si="173"/>
        <v>653.99999999998317</v>
      </c>
      <c r="J1168" s="25" t="e">
        <f t="shared" si="174"/>
        <v>#VALUE!</v>
      </c>
    </row>
    <row r="1169" spans="1:10" x14ac:dyDescent="0.25">
      <c r="A1169" s="25">
        <f t="shared" si="175"/>
        <v>1.5499999999998322</v>
      </c>
      <c r="B1169" s="25">
        <f t="shared" ca="1" si="168"/>
        <v>-0.15419053369814681</v>
      </c>
      <c r="C1169" s="25" t="e">
        <f t="shared" si="169"/>
        <v>#VALUE!</v>
      </c>
      <c r="D1169" s="74" t="e">
        <f t="shared" si="170"/>
        <v>#VALUE!</v>
      </c>
      <c r="E1169" s="25" t="e">
        <f t="shared" si="171"/>
        <v>#VALUE!</v>
      </c>
      <c r="F1169" s="25" t="e">
        <f t="shared" ca="1" si="172"/>
        <v>#VALUE!</v>
      </c>
      <c r="G1169" s="25"/>
      <c r="H1169" s="25" t="e">
        <f t="shared" si="167"/>
        <v>#VALUE!</v>
      </c>
      <c r="I1169" s="25">
        <f t="shared" si="173"/>
        <v>654.99999999998317</v>
      </c>
      <c r="J1169" s="25" t="e">
        <f t="shared" si="174"/>
        <v>#VALUE!</v>
      </c>
    </row>
    <row r="1170" spans="1:10" x14ac:dyDescent="0.25">
      <c r="A1170" s="25">
        <f t="shared" si="175"/>
        <v>1.5599999999998322</v>
      </c>
      <c r="B1170" s="25">
        <f t="shared" ca="1" si="168"/>
        <v>-9.1141466346499111E-2</v>
      </c>
      <c r="C1170" s="25" t="e">
        <f t="shared" si="169"/>
        <v>#VALUE!</v>
      </c>
      <c r="D1170" s="74" t="e">
        <f t="shared" si="170"/>
        <v>#VALUE!</v>
      </c>
      <c r="E1170" s="25" t="e">
        <f t="shared" si="171"/>
        <v>#VALUE!</v>
      </c>
      <c r="F1170" s="25" t="e">
        <f t="shared" ca="1" si="172"/>
        <v>#VALUE!</v>
      </c>
      <c r="G1170" s="25"/>
      <c r="H1170" s="25" t="e">
        <f t="shared" si="167"/>
        <v>#VALUE!</v>
      </c>
      <c r="I1170" s="25">
        <f t="shared" si="173"/>
        <v>655.99999999998317</v>
      </c>
      <c r="J1170" s="25" t="e">
        <f t="shared" si="174"/>
        <v>#VALUE!</v>
      </c>
    </row>
    <row r="1171" spans="1:10" x14ac:dyDescent="0.25">
      <c r="A1171" s="25">
        <f t="shared" si="175"/>
        <v>1.5699999999998322</v>
      </c>
      <c r="B1171" s="25">
        <f t="shared" ca="1" si="168"/>
        <v>0.12448676842260553</v>
      </c>
      <c r="C1171" s="25" t="e">
        <f t="shared" si="169"/>
        <v>#VALUE!</v>
      </c>
      <c r="D1171" s="74" t="e">
        <f t="shared" si="170"/>
        <v>#VALUE!</v>
      </c>
      <c r="E1171" s="25" t="e">
        <f t="shared" si="171"/>
        <v>#VALUE!</v>
      </c>
      <c r="F1171" s="25" t="e">
        <f t="shared" ca="1" si="172"/>
        <v>#VALUE!</v>
      </c>
      <c r="G1171" s="25"/>
      <c r="H1171" s="25" t="e">
        <f t="shared" si="167"/>
        <v>#VALUE!</v>
      </c>
      <c r="I1171" s="25">
        <f t="shared" si="173"/>
        <v>656.99999999998329</v>
      </c>
      <c r="J1171" s="25" t="e">
        <f t="shared" si="174"/>
        <v>#VALUE!</v>
      </c>
    </row>
    <row r="1172" spans="1:10" x14ac:dyDescent="0.25">
      <c r="A1172" s="25">
        <f t="shared" si="175"/>
        <v>1.5799999999998322</v>
      </c>
      <c r="B1172" s="25">
        <f t="shared" ca="1" si="168"/>
        <v>-0.1557202602807285</v>
      </c>
      <c r="C1172" s="25" t="e">
        <f t="shared" si="169"/>
        <v>#VALUE!</v>
      </c>
      <c r="D1172" s="74" t="e">
        <f t="shared" si="170"/>
        <v>#VALUE!</v>
      </c>
      <c r="E1172" s="25" t="e">
        <f t="shared" si="171"/>
        <v>#VALUE!</v>
      </c>
      <c r="F1172" s="25" t="e">
        <f t="shared" ca="1" si="172"/>
        <v>#VALUE!</v>
      </c>
      <c r="G1172" s="25"/>
      <c r="H1172" s="25" t="e">
        <f t="shared" si="167"/>
        <v>#VALUE!</v>
      </c>
      <c r="I1172" s="25">
        <f t="shared" si="173"/>
        <v>657.99999999998329</v>
      </c>
      <c r="J1172" s="25" t="e">
        <f t="shared" si="174"/>
        <v>#VALUE!</v>
      </c>
    </row>
    <row r="1173" spans="1:10" x14ac:dyDescent="0.25">
      <c r="A1173" s="25">
        <f t="shared" si="175"/>
        <v>1.5899999999998322</v>
      </c>
      <c r="B1173" s="25">
        <f t="shared" ca="1" si="168"/>
        <v>-0.13001184415899039</v>
      </c>
      <c r="C1173" s="25" t="e">
        <f t="shared" si="169"/>
        <v>#VALUE!</v>
      </c>
      <c r="D1173" s="74" t="e">
        <f t="shared" si="170"/>
        <v>#VALUE!</v>
      </c>
      <c r="E1173" s="25" t="e">
        <f t="shared" si="171"/>
        <v>#VALUE!</v>
      </c>
      <c r="F1173" s="25" t="e">
        <f t="shared" ca="1" si="172"/>
        <v>#VALUE!</v>
      </c>
      <c r="G1173" s="25"/>
      <c r="H1173" s="25" t="e">
        <f t="shared" si="167"/>
        <v>#VALUE!</v>
      </c>
      <c r="I1173" s="25">
        <f t="shared" si="173"/>
        <v>658.99999999998317</v>
      </c>
      <c r="J1173" s="25" t="e">
        <f t="shared" si="174"/>
        <v>#VALUE!</v>
      </c>
    </row>
    <row r="1174" spans="1:10" x14ac:dyDescent="0.25">
      <c r="A1174" s="25">
        <f t="shared" si="175"/>
        <v>1.5999999999998322</v>
      </c>
      <c r="B1174" s="25">
        <f t="shared" ca="1" si="168"/>
        <v>-2.6321358909701009E-2</v>
      </c>
      <c r="C1174" s="25" t="e">
        <f t="shared" si="169"/>
        <v>#VALUE!</v>
      </c>
      <c r="D1174" s="74" t="e">
        <f t="shared" si="170"/>
        <v>#VALUE!</v>
      </c>
      <c r="E1174" s="25" t="e">
        <f t="shared" si="171"/>
        <v>#VALUE!</v>
      </c>
      <c r="F1174" s="25" t="e">
        <f t="shared" ca="1" si="172"/>
        <v>#VALUE!</v>
      </c>
      <c r="G1174" s="25"/>
      <c r="H1174" s="25" t="e">
        <f t="shared" si="167"/>
        <v>#VALUE!</v>
      </c>
      <c r="I1174" s="25">
        <f t="shared" si="173"/>
        <v>659.99999999998329</v>
      </c>
      <c r="J1174" s="25" t="e">
        <f t="shared" si="174"/>
        <v>#VALUE!</v>
      </c>
    </row>
    <row r="1175" spans="1:10" x14ac:dyDescent="0.25">
      <c r="A1175" s="25">
        <f t="shared" si="175"/>
        <v>1.6099999999998322</v>
      </c>
      <c r="B1175" s="25">
        <f t="shared" ca="1" si="168"/>
        <v>6.859959475482727E-2</v>
      </c>
      <c r="C1175" s="25" t="e">
        <f t="shared" si="169"/>
        <v>#VALUE!</v>
      </c>
      <c r="D1175" s="74" t="e">
        <f t="shared" si="170"/>
        <v>#VALUE!</v>
      </c>
      <c r="E1175" s="25" t="e">
        <f t="shared" si="171"/>
        <v>#VALUE!</v>
      </c>
      <c r="F1175" s="25" t="e">
        <f t="shared" ca="1" si="172"/>
        <v>#VALUE!</v>
      </c>
      <c r="G1175" s="25"/>
      <c r="H1175" s="25" t="e">
        <f t="shared" si="167"/>
        <v>#VALUE!</v>
      </c>
      <c r="I1175" s="25">
        <f t="shared" si="173"/>
        <v>660.99999999998329</v>
      </c>
      <c r="J1175" s="25" t="e">
        <f t="shared" si="174"/>
        <v>#VALUE!</v>
      </c>
    </row>
    <row r="1176" spans="1:10" x14ac:dyDescent="0.25">
      <c r="A1176" s="25">
        <f t="shared" si="175"/>
        <v>1.6199999999998322</v>
      </c>
      <c r="B1176" s="25">
        <f t="shared" ca="1" si="168"/>
        <v>5.8922727160255588E-2</v>
      </c>
      <c r="C1176" s="25" t="e">
        <f t="shared" si="169"/>
        <v>#VALUE!</v>
      </c>
      <c r="D1176" s="74" t="e">
        <f t="shared" si="170"/>
        <v>#VALUE!</v>
      </c>
      <c r="E1176" s="25" t="e">
        <f t="shared" si="171"/>
        <v>#VALUE!</v>
      </c>
      <c r="F1176" s="25" t="e">
        <f t="shared" ca="1" si="172"/>
        <v>#VALUE!</v>
      </c>
      <c r="G1176" s="25"/>
      <c r="H1176" s="25" t="e">
        <f t="shared" si="167"/>
        <v>#VALUE!</v>
      </c>
      <c r="I1176" s="25">
        <f t="shared" si="173"/>
        <v>661.99999999998329</v>
      </c>
      <c r="J1176" s="25" t="e">
        <f t="shared" si="174"/>
        <v>#VALUE!</v>
      </c>
    </row>
    <row r="1177" spans="1:10" x14ac:dyDescent="0.25">
      <c r="A1177" s="25">
        <f t="shared" si="175"/>
        <v>1.6299999999998322</v>
      </c>
      <c r="B1177" s="25">
        <f t="shared" ca="1" si="168"/>
        <v>5.9851608538453345E-2</v>
      </c>
      <c r="C1177" s="25" t="e">
        <f t="shared" si="169"/>
        <v>#VALUE!</v>
      </c>
      <c r="D1177" s="74" t="e">
        <f t="shared" si="170"/>
        <v>#VALUE!</v>
      </c>
      <c r="E1177" s="25" t="e">
        <f t="shared" si="171"/>
        <v>#VALUE!</v>
      </c>
      <c r="F1177" s="25" t="e">
        <f t="shared" ca="1" si="172"/>
        <v>#VALUE!</v>
      </c>
      <c r="G1177" s="25"/>
      <c r="H1177" s="25" t="e">
        <f t="shared" si="167"/>
        <v>#VALUE!</v>
      </c>
      <c r="I1177" s="25">
        <f t="shared" si="173"/>
        <v>662.99999999998317</v>
      </c>
      <c r="J1177" s="25" t="e">
        <f t="shared" si="174"/>
        <v>#VALUE!</v>
      </c>
    </row>
    <row r="1178" spans="1:10" x14ac:dyDescent="0.25">
      <c r="A1178" s="25">
        <f t="shared" si="175"/>
        <v>1.6399999999998323</v>
      </c>
      <c r="B1178" s="25">
        <f t="shared" ca="1" si="168"/>
        <v>6.441673851033379E-2</v>
      </c>
      <c r="C1178" s="25" t="e">
        <f t="shared" si="169"/>
        <v>#VALUE!</v>
      </c>
      <c r="D1178" s="74" t="e">
        <f t="shared" si="170"/>
        <v>#VALUE!</v>
      </c>
      <c r="E1178" s="25" t="e">
        <f t="shared" si="171"/>
        <v>#VALUE!</v>
      </c>
      <c r="F1178" s="25" t="e">
        <f t="shared" ca="1" si="172"/>
        <v>#VALUE!</v>
      </c>
      <c r="G1178" s="25"/>
      <c r="H1178" s="25" t="e">
        <f t="shared" si="167"/>
        <v>#VALUE!</v>
      </c>
      <c r="I1178" s="25">
        <f t="shared" si="173"/>
        <v>663.99999999998317</v>
      </c>
      <c r="J1178" s="25" t="e">
        <f t="shared" si="174"/>
        <v>#VALUE!</v>
      </c>
    </row>
    <row r="1179" spans="1:10" x14ac:dyDescent="0.25">
      <c r="A1179" s="25">
        <f t="shared" si="175"/>
        <v>1.6499999999998323</v>
      </c>
      <c r="B1179" s="25">
        <f t="shared" ca="1" si="168"/>
        <v>-0.1862841934277791</v>
      </c>
      <c r="C1179" s="25" t="e">
        <f t="shared" si="169"/>
        <v>#VALUE!</v>
      </c>
      <c r="D1179" s="74" t="e">
        <f t="shared" si="170"/>
        <v>#VALUE!</v>
      </c>
      <c r="E1179" s="25" t="e">
        <f t="shared" si="171"/>
        <v>#VALUE!</v>
      </c>
      <c r="F1179" s="25" t="e">
        <f t="shared" ca="1" si="172"/>
        <v>#VALUE!</v>
      </c>
      <c r="G1179" s="25"/>
      <c r="H1179" s="25" t="e">
        <f t="shared" si="167"/>
        <v>#VALUE!</v>
      </c>
      <c r="I1179" s="25">
        <f t="shared" si="173"/>
        <v>664.99999999998329</v>
      </c>
      <c r="J1179" s="25" t="e">
        <f t="shared" si="174"/>
        <v>#VALUE!</v>
      </c>
    </row>
    <row r="1180" spans="1:10" x14ac:dyDescent="0.25">
      <c r="A1180" s="25">
        <f t="shared" si="175"/>
        <v>1.6599999999998323</v>
      </c>
      <c r="B1180" s="25">
        <f t="shared" ca="1" si="168"/>
        <v>6.582344512743353E-2</v>
      </c>
      <c r="C1180" s="25" t="e">
        <f t="shared" si="169"/>
        <v>#VALUE!</v>
      </c>
      <c r="D1180" s="74" t="e">
        <f t="shared" si="170"/>
        <v>#VALUE!</v>
      </c>
      <c r="E1180" s="25" t="e">
        <f t="shared" si="171"/>
        <v>#VALUE!</v>
      </c>
      <c r="F1180" s="25" t="e">
        <f t="shared" ca="1" si="172"/>
        <v>#VALUE!</v>
      </c>
      <c r="G1180" s="25"/>
      <c r="H1180" s="25" t="e">
        <f t="shared" si="167"/>
        <v>#VALUE!</v>
      </c>
      <c r="I1180" s="25">
        <f t="shared" si="173"/>
        <v>665.99999999998329</v>
      </c>
      <c r="J1180" s="25" t="e">
        <f t="shared" si="174"/>
        <v>#VALUE!</v>
      </c>
    </row>
    <row r="1181" spans="1:10" x14ac:dyDescent="0.25">
      <c r="A1181" s="25">
        <f t="shared" si="175"/>
        <v>1.6699999999998323</v>
      </c>
      <c r="B1181" s="25">
        <f t="shared" ca="1" si="168"/>
        <v>-9.7835586198828262E-2</v>
      </c>
      <c r="C1181" s="25" t="e">
        <f t="shared" si="169"/>
        <v>#VALUE!</v>
      </c>
      <c r="D1181" s="74" t="e">
        <f t="shared" si="170"/>
        <v>#VALUE!</v>
      </c>
      <c r="E1181" s="25" t="e">
        <f t="shared" si="171"/>
        <v>#VALUE!</v>
      </c>
      <c r="F1181" s="25" t="e">
        <f t="shared" ca="1" si="172"/>
        <v>#VALUE!</v>
      </c>
      <c r="G1181" s="25"/>
      <c r="H1181" s="25" t="e">
        <f t="shared" si="167"/>
        <v>#VALUE!</v>
      </c>
      <c r="I1181" s="25">
        <f t="shared" si="173"/>
        <v>666.99999999998317</v>
      </c>
      <c r="J1181" s="25" t="e">
        <f t="shared" si="174"/>
        <v>#VALUE!</v>
      </c>
    </row>
    <row r="1182" spans="1:10" x14ac:dyDescent="0.25">
      <c r="A1182" s="25">
        <f t="shared" si="175"/>
        <v>1.6799999999998323</v>
      </c>
      <c r="B1182" s="25">
        <f t="shared" ca="1" si="168"/>
        <v>-8.297969034237522E-2</v>
      </c>
      <c r="C1182" s="25" t="e">
        <f t="shared" si="169"/>
        <v>#VALUE!</v>
      </c>
      <c r="D1182" s="74" t="e">
        <f t="shared" si="170"/>
        <v>#VALUE!</v>
      </c>
      <c r="E1182" s="25" t="e">
        <f t="shared" si="171"/>
        <v>#VALUE!</v>
      </c>
      <c r="F1182" s="25" t="e">
        <f t="shared" ca="1" si="172"/>
        <v>#VALUE!</v>
      </c>
      <c r="G1182" s="25"/>
      <c r="H1182" s="25" t="e">
        <f t="shared" ref="H1182:H1245" si="176">IF(PeakShape=$O$3,C1182,IF(PeakShape=O1184,D1182,E1182))</f>
        <v>#VALUE!</v>
      </c>
      <c r="I1182" s="25">
        <f t="shared" si="173"/>
        <v>667.99999999998329</v>
      </c>
      <c r="J1182" s="25" t="e">
        <f t="shared" si="174"/>
        <v>#VALUE!</v>
      </c>
    </row>
    <row r="1183" spans="1:10" x14ac:dyDescent="0.25">
      <c r="A1183" s="25">
        <f t="shared" si="175"/>
        <v>1.6899999999998323</v>
      </c>
      <c r="B1183" s="25">
        <f t="shared" ca="1" si="168"/>
        <v>8.4687214609765003E-3</v>
      </c>
      <c r="C1183" s="25" t="e">
        <f t="shared" si="169"/>
        <v>#VALUE!</v>
      </c>
      <c r="D1183" s="74" t="e">
        <f t="shared" si="170"/>
        <v>#VALUE!</v>
      </c>
      <c r="E1183" s="25" t="e">
        <f t="shared" si="171"/>
        <v>#VALUE!</v>
      </c>
      <c r="F1183" s="25" t="e">
        <f t="shared" ca="1" si="172"/>
        <v>#VALUE!</v>
      </c>
      <c r="G1183" s="25"/>
      <c r="H1183" s="25" t="e">
        <f t="shared" si="176"/>
        <v>#VALUE!</v>
      </c>
      <c r="I1183" s="25">
        <f t="shared" si="173"/>
        <v>668.99999999998329</v>
      </c>
      <c r="J1183" s="25" t="e">
        <f t="shared" si="174"/>
        <v>#VALUE!</v>
      </c>
    </row>
    <row r="1184" spans="1:10" x14ac:dyDescent="0.25">
      <c r="A1184" s="25">
        <f t="shared" si="175"/>
        <v>1.6999999999998323</v>
      </c>
      <c r="B1184" s="25">
        <f t="shared" ca="1" si="168"/>
        <v>-0.15107293057879453</v>
      </c>
      <c r="C1184" s="25" t="e">
        <f t="shared" si="169"/>
        <v>#VALUE!</v>
      </c>
      <c r="D1184" s="74" t="e">
        <f t="shared" si="170"/>
        <v>#VALUE!</v>
      </c>
      <c r="E1184" s="25" t="e">
        <f t="shared" si="171"/>
        <v>#VALUE!</v>
      </c>
      <c r="F1184" s="25" t="e">
        <f t="shared" ca="1" si="172"/>
        <v>#VALUE!</v>
      </c>
      <c r="G1184" s="25"/>
      <c r="H1184" s="25" t="e">
        <f t="shared" si="176"/>
        <v>#VALUE!</v>
      </c>
      <c r="I1184" s="25">
        <f t="shared" si="173"/>
        <v>669.99999999998329</v>
      </c>
      <c r="J1184" s="25" t="e">
        <f t="shared" si="174"/>
        <v>#VALUE!</v>
      </c>
    </row>
    <row r="1185" spans="1:10" x14ac:dyDescent="0.25">
      <c r="A1185" s="25">
        <f t="shared" si="175"/>
        <v>1.7099999999998323</v>
      </c>
      <c r="B1185" s="25">
        <f t="shared" ca="1" si="168"/>
        <v>3.8537654872068235E-2</v>
      </c>
      <c r="C1185" s="25" t="e">
        <f t="shared" si="169"/>
        <v>#VALUE!</v>
      </c>
      <c r="D1185" s="74" t="e">
        <f t="shared" si="170"/>
        <v>#VALUE!</v>
      </c>
      <c r="E1185" s="25" t="e">
        <f t="shared" si="171"/>
        <v>#VALUE!</v>
      </c>
      <c r="F1185" s="25" t="e">
        <f t="shared" ca="1" si="172"/>
        <v>#VALUE!</v>
      </c>
      <c r="G1185" s="25"/>
      <c r="H1185" s="25" t="e">
        <f t="shared" si="176"/>
        <v>#VALUE!</v>
      </c>
      <c r="I1185" s="25">
        <f t="shared" si="173"/>
        <v>670.99999999998317</v>
      </c>
      <c r="J1185" s="25" t="e">
        <f t="shared" si="174"/>
        <v>#VALUE!</v>
      </c>
    </row>
    <row r="1186" spans="1:10" x14ac:dyDescent="0.25">
      <c r="A1186" s="25">
        <f t="shared" si="175"/>
        <v>1.7199999999998323</v>
      </c>
      <c r="B1186" s="25">
        <f t="shared" ca="1" si="168"/>
        <v>-0.16359272950627268</v>
      </c>
      <c r="C1186" s="25" t="e">
        <f t="shared" si="169"/>
        <v>#VALUE!</v>
      </c>
      <c r="D1186" s="74" t="e">
        <f t="shared" si="170"/>
        <v>#VALUE!</v>
      </c>
      <c r="E1186" s="25" t="e">
        <f t="shared" si="171"/>
        <v>#VALUE!</v>
      </c>
      <c r="F1186" s="25" t="e">
        <f t="shared" ca="1" si="172"/>
        <v>#VALUE!</v>
      </c>
      <c r="G1186" s="25"/>
      <c r="H1186" s="25" t="e">
        <f t="shared" si="176"/>
        <v>#VALUE!</v>
      </c>
      <c r="I1186" s="25">
        <f t="shared" si="173"/>
        <v>671.99999999998317</v>
      </c>
      <c r="J1186" s="25" t="e">
        <f t="shared" si="174"/>
        <v>#VALUE!</v>
      </c>
    </row>
    <row r="1187" spans="1:10" x14ac:dyDescent="0.25">
      <c r="A1187" s="25">
        <f t="shared" si="175"/>
        <v>1.7299999999998323</v>
      </c>
      <c r="B1187" s="25">
        <f t="shared" ca="1" si="168"/>
        <v>-7.2284135178975334E-2</v>
      </c>
      <c r="C1187" s="25" t="e">
        <f t="shared" si="169"/>
        <v>#VALUE!</v>
      </c>
      <c r="D1187" s="74" t="e">
        <f t="shared" si="170"/>
        <v>#VALUE!</v>
      </c>
      <c r="E1187" s="25" t="e">
        <f t="shared" si="171"/>
        <v>#VALUE!</v>
      </c>
      <c r="F1187" s="25" t="e">
        <f t="shared" ca="1" si="172"/>
        <v>#VALUE!</v>
      </c>
      <c r="G1187" s="25"/>
      <c r="H1187" s="25" t="e">
        <f t="shared" si="176"/>
        <v>#VALUE!</v>
      </c>
      <c r="I1187" s="25">
        <f t="shared" si="173"/>
        <v>672.99999999998329</v>
      </c>
      <c r="J1187" s="25" t="e">
        <f t="shared" si="174"/>
        <v>#VALUE!</v>
      </c>
    </row>
    <row r="1188" spans="1:10" x14ac:dyDescent="0.25">
      <c r="A1188" s="25">
        <f t="shared" si="175"/>
        <v>1.7399999999998323</v>
      </c>
      <c r="B1188" s="25">
        <f t="shared" ca="1" si="168"/>
        <v>0.12147435492257141</v>
      </c>
      <c r="C1188" s="25" t="e">
        <f t="shared" si="169"/>
        <v>#VALUE!</v>
      </c>
      <c r="D1188" s="74" t="e">
        <f t="shared" si="170"/>
        <v>#VALUE!</v>
      </c>
      <c r="E1188" s="25" t="e">
        <f t="shared" si="171"/>
        <v>#VALUE!</v>
      </c>
      <c r="F1188" s="25" t="e">
        <f t="shared" ca="1" si="172"/>
        <v>#VALUE!</v>
      </c>
      <c r="G1188" s="25"/>
      <c r="H1188" s="25" t="e">
        <f t="shared" si="176"/>
        <v>#VALUE!</v>
      </c>
      <c r="I1188" s="25">
        <f t="shared" si="173"/>
        <v>673.99999999998329</v>
      </c>
      <c r="J1188" s="25" t="e">
        <f t="shared" si="174"/>
        <v>#VALUE!</v>
      </c>
    </row>
    <row r="1189" spans="1:10" x14ac:dyDescent="0.25">
      <c r="A1189" s="25">
        <f t="shared" si="175"/>
        <v>1.7499999999998324</v>
      </c>
      <c r="B1189" s="25">
        <f t="shared" ca="1" si="168"/>
        <v>-0.16355486549216469</v>
      </c>
      <c r="C1189" s="25" t="e">
        <f t="shared" si="169"/>
        <v>#VALUE!</v>
      </c>
      <c r="D1189" s="74" t="e">
        <f t="shared" si="170"/>
        <v>#VALUE!</v>
      </c>
      <c r="E1189" s="25" t="e">
        <f t="shared" si="171"/>
        <v>#VALUE!</v>
      </c>
      <c r="F1189" s="25" t="e">
        <f t="shared" ca="1" si="172"/>
        <v>#VALUE!</v>
      </c>
      <c r="G1189" s="25"/>
      <c r="H1189" s="25" t="e">
        <f t="shared" si="176"/>
        <v>#VALUE!</v>
      </c>
      <c r="I1189" s="25">
        <f t="shared" si="173"/>
        <v>674.99999999998317</v>
      </c>
      <c r="J1189" s="25" t="e">
        <f t="shared" si="174"/>
        <v>#VALUE!</v>
      </c>
    </row>
    <row r="1190" spans="1:10" x14ac:dyDescent="0.25">
      <c r="A1190" s="25">
        <f t="shared" si="175"/>
        <v>1.7599999999998324</v>
      </c>
      <c r="B1190" s="25">
        <f t="shared" ca="1" si="168"/>
        <v>-8.456499535979807E-2</v>
      </c>
      <c r="C1190" s="25" t="e">
        <f t="shared" si="169"/>
        <v>#VALUE!</v>
      </c>
      <c r="D1190" s="74" t="e">
        <f t="shared" si="170"/>
        <v>#VALUE!</v>
      </c>
      <c r="E1190" s="25" t="e">
        <f t="shared" si="171"/>
        <v>#VALUE!</v>
      </c>
      <c r="F1190" s="25" t="e">
        <f t="shared" ca="1" si="172"/>
        <v>#VALUE!</v>
      </c>
      <c r="G1190" s="25"/>
      <c r="H1190" s="25" t="e">
        <f t="shared" si="176"/>
        <v>#VALUE!</v>
      </c>
      <c r="I1190" s="25">
        <f t="shared" si="173"/>
        <v>675.99999999998329</v>
      </c>
      <c r="J1190" s="25" t="e">
        <f t="shared" si="174"/>
        <v>#VALUE!</v>
      </c>
    </row>
    <row r="1191" spans="1:10" x14ac:dyDescent="0.25">
      <c r="A1191" s="25">
        <f t="shared" si="175"/>
        <v>1.7699999999998324</v>
      </c>
      <c r="B1191" s="25">
        <f t="shared" ca="1" si="168"/>
        <v>-8.0336387512467716E-2</v>
      </c>
      <c r="C1191" s="25" t="e">
        <f t="shared" si="169"/>
        <v>#VALUE!</v>
      </c>
      <c r="D1191" s="74" t="e">
        <f t="shared" si="170"/>
        <v>#VALUE!</v>
      </c>
      <c r="E1191" s="25" t="e">
        <f t="shared" si="171"/>
        <v>#VALUE!</v>
      </c>
      <c r="F1191" s="25" t="e">
        <f t="shared" ca="1" si="172"/>
        <v>#VALUE!</v>
      </c>
      <c r="G1191" s="25"/>
      <c r="H1191" s="25" t="e">
        <f t="shared" si="176"/>
        <v>#VALUE!</v>
      </c>
      <c r="I1191" s="25">
        <f t="shared" si="173"/>
        <v>676.99999999998329</v>
      </c>
      <c r="J1191" s="25" t="e">
        <f t="shared" si="174"/>
        <v>#VALUE!</v>
      </c>
    </row>
    <row r="1192" spans="1:10" x14ac:dyDescent="0.25">
      <c r="A1192" s="25">
        <f t="shared" si="175"/>
        <v>1.7799999999998324</v>
      </c>
      <c r="B1192" s="25">
        <f t="shared" ca="1" si="168"/>
        <v>-7.4014153099614316E-2</v>
      </c>
      <c r="C1192" s="25" t="e">
        <f t="shared" si="169"/>
        <v>#VALUE!</v>
      </c>
      <c r="D1192" s="74" t="e">
        <f t="shared" si="170"/>
        <v>#VALUE!</v>
      </c>
      <c r="E1192" s="25" t="e">
        <f t="shared" si="171"/>
        <v>#VALUE!</v>
      </c>
      <c r="F1192" s="25" t="e">
        <f t="shared" ca="1" si="172"/>
        <v>#VALUE!</v>
      </c>
      <c r="G1192" s="25"/>
      <c r="H1192" s="25" t="e">
        <f t="shared" si="176"/>
        <v>#VALUE!</v>
      </c>
      <c r="I1192" s="25">
        <f t="shared" si="173"/>
        <v>677.99999999998329</v>
      </c>
      <c r="J1192" s="25" t="e">
        <f t="shared" si="174"/>
        <v>#VALUE!</v>
      </c>
    </row>
    <row r="1193" spans="1:10" x14ac:dyDescent="0.25">
      <c r="A1193" s="25">
        <f t="shared" si="175"/>
        <v>1.7899999999998324</v>
      </c>
      <c r="B1193" s="25">
        <f t="shared" ca="1" si="168"/>
        <v>-0.15043186807005218</v>
      </c>
      <c r="C1193" s="25" t="e">
        <f t="shared" si="169"/>
        <v>#VALUE!</v>
      </c>
      <c r="D1193" s="74" t="e">
        <f t="shared" si="170"/>
        <v>#VALUE!</v>
      </c>
      <c r="E1193" s="25" t="e">
        <f t="shared" si="171"/>
        <v>#VALUE!</v>
      </c>
      <c r="F1193" s="25" t="e">
        <f t="shared" ca="1" si="172"/>
        <v>#VALUE!</v>
      </c>
      <c r="G1193" s="25"/>
      <c r="H1193" s="25" t="e">
        <f t="shared" si="176"/>
        <v>#VALUE!</v>
      </c>
      <c r="I1193" s="25">
        <f t="shared" si="173"/>
        <v>678.99999999998317</v>
      </c>
      <c r="J1193" s="25" t="e">
        <f t="shared" si="174"/>
        <v>#VALUE!</v>
      </c>
    </row>
    <row r="1194" spans="1:10" x14ac:dyDescent="0.25">
      <c r="A1194" s="25">
        <f t="shared" si="175"/>
        <v>1.7999999999998324</v>
      </c>
      <c r="B1194" s="25">
        <f t="shared" ca="1" si="168"/>
        <v>-7.9218138947074104E-3</v>
      </c>
      <c r="C1194" s="25" t="e">
        <f t="shared" si="169"/>
        <v>#VALUE!</v>
      </c>
      <c r="D1194" s="74" t="e">
        <f t="shared" si="170"/>
        <v>#VALUE!</v>
      </c>
      <c r="E1194" s="25" t="e">
        <f t="shared" si="171"/>
        <v>#VALUE!</v>
      </c>
      <c r="F1194" s="25" t="e">
        <f t="shared" ca="1" si="172"/>
        <v>#VALUE!</v>
      </c>
      <c r="G1194" s="25"/>
      <c r="H1194" s="25" t="e">
        <f t="shared" si="176"/>
        <v>#VALUE!</v>
      </c>
      <c r="I1194" s="25">
        <f t="shared" si="173"/>
        <v>679.99999999998317</v>
      </c>
      <c r="J1194" s="25" t="e">
        <f t="shared" si="174"/>
        <v>#VALUE!</v>
      </c>
    </row>
    <row r="1195" spans="1:10" x14ac:dyDescent="0.25">
      <c r="A1195" s="25">
        <f t="shared" si="175"/>
        <v>1.8099999999998324</v>
      </c>
      <c r="B1195" s="25">
        <f t="shared" ca="1" si="168"/>
        <v>-0.16510775381954743</v>
      </c>
      <c r="C1195" s="25" t="e">
        <f t="shared" si="169"/>
        <v>#VALUE!</v>
      </c>
      <c r="D1195" s="74" t="e">
        <f t="shared" si="170"/>
        <v>#VALUE!</v>
      </c>
      <c r="E1195" s="25" t="e">
        <f t="shared" si="171"/>
        <v>#VALUE!</v>
      </c>
      <c r="F1195" s="25" t="e">
        <f t="shared" ca="1" si="172"/>
        <v>#VALUE!</v>
      </c>
      <c r="G1195" s="25"/>
      <c r="H1195" s="25" t="e">
        <f t="shared" si="176"/>
        <v>#VALUE!</v>
      </c>
      <c r="I1195" s="25">
        <f t="shared" si="173"/>
        <v>680.99999999998329</v>
      </c>
      <c r="J1195" s="25" t="e">
        <f t="shared" si="174"/>
        <v>#VALUE!</v>
      </c>
    </row>
    <row r="1196" spans="1:10" x14ac:dyDescent="0.25">
      <c r="A1196" s="25">
        <f t="shared" si="175"/>
        <v>1.8199999999998324</v>
      </c>
      <c r="B1196" s="25">
        <f t="shared" ca="1" si="168"/>
        <v>0.12985715554375898</v>
      </c>
      <c r="C1196" s="25" t="e">
        <f t="shared" si="169"/>
        <v>#VALUE!</v>
      </c>
      <c r="D1196" s="74" t="e">
        <f t="shared" si="170"/>
        <v>#VALUE!</v>
      </c>
      <c r="E1196" s="25" t="e">
        <f t="shared" si="171"/>
        <v>#VALUE!</v>
      </c>
      <c r="F1196" s="25" t="e">
        <f t="shared" ca="1" si="172"/>
        <v>#VALUE!</v>
      </c>
      <c r="G1196" s="25"/>
      <c r="H1196" s="25" t="e">
        <f t="shared" si="176"/>
        <v>#VALUE!</v>
      </c>
      <c r="I1196" s="25">
        <f t="shared" si="173"/>
        <v>681.99999999998329</v>
      </c>
      <c r="J1196" s="25" t="e">
        <f t="shared" si="174"/>
        <v>#VALUE!</v>
      </c>
    </row>
    <row r="1197" spans="1:10" x14ac:dyDescent="0.25">
      <c r="A1197" s="25">
        <f t="shared" si="175"/>
        <v>1.8299999999998324</v>
      </c>
      <c r="B1197" s="25">
        <f t="shared" ca="1" si="168"/>
        <v>-6.7169409954570922E-2</v>
      </c>
      <c r="C1197" s="25" t="e">
        <f t="shared" si="169"/>
        <v>#VALUE!</v>
      </c>
      <c r="D1197" s="74" t="e">
        <f t="shared" si="170"/>
        <v>#VALUE!</v>
      </c>
      <c r="E1197" s="25" t="e">
        <f t="shared" si="171"/>
        <v>#VALUE!</v>
      </c>
      <c r="F1197" s="25" t="e">
        <f t="shared" ca="1" si="172"/>
        <v>#VALUE!</v>
      </c>
      <c r="G1197" s="25"/>
      <c r="H1197" s="25" t="e">
        <f t="shared" si="176"/>
        <v>#VALUE!</v>
      </c>
      <c r="I1197" s="25">
        <f t="shared" si="173"/>
        <v>682.99999999998329</v>
      </c>
      <c r="J1197" s="25" t="e">
        <f t="shared" si="174"/>
        <v>#VALUE!</v>
      </c>
    </row>
    <row r="1198" spans="1:10" x14ac:dyDescent="0.25">
      <c r="A1198" s="25">
        <f t="shared" si="175"/>
        <v>1.8399999999998324</v>
      </c>
      <c r="B1198" s="25">
        <f t="shared" ca="1" si="168"/>
        <v>-2.8107610766688041E-2</v>
      </c>
      <c r="C1198" s="25" t="e">
        <f t="shared" si="169"/>
        <v>#VALUE!</v>
      </c>
      <c r="D1198" s="74" t="e">
        <f t="shared" si="170"/>
        <v>#VALUE!</v>
      </c>
      <c r="E1198" s="25" t="e">
        <f t="shared" si="171"/>
        <v>#VALUE!</v>
      </c>
      <c r="F1198" s="25" t="e">
        <f t="shared" ca="1" si="172"/>
        <v>#VALUE!</v>
      </c>
      <c r="G1198" s="25"/>
      <c r="H1198" s="25" t="e">
        <f t="shared" si="176"/>
        <v>#VALUE!</v>
      </c>
      <c r="I1198" s="25">
        <f t="shared" si="173"/>
        <v>683.99999999998329</v>
      </c>
      <c r="J1198" s="25" t="e">
        <f t="shared" si="174"/>
        <v>#VALUE!</v>
      </c>
    </row>
    <row r="1199" spans="1:10" x14ac:dyDescent="0.25">
      <c r="A1199" s="25">
        <f t="shared" si="175"/>
        <v>1.8499999999998324</v>
      </c>
      <c r="B1199" s="25">
        <f t="shared" ca="1" si="168"/>
        <v>-4.0534913586071182E-3</v>
      </c>
      <c r="C1199" s="25" t="e">
        <f t="shared" si="169"/>
        <v>#VALUE!</v>
      </c>
      <c r="D1199" s="74" t="e">
        <f t="shared" si="170"/>
        <v>#VALUE!</v>
      </c>
      <c r="E1199" s="25" t="e">
        <f t="shared" si="171"/>
        <v>#VALUE!</v>
      </c>
      <c r="F1199" s="25" t="e">
        <f t="shared" ca="1" si="172"/>
        <v>#VALUE!</v>
      </c>
      <c r="G1199" s="25"/>
      <c r="H1199" s="25" t="e">
        <f t="shared" si="176"/>
        <v>#VALUE!</v>
      </c>
      <c r="I1199" s="25">
        <f t="shared" si="173"/>
        <v>684.99999999998329</v>
      </c>
      <c r="J1199" s="25" t="e">
        <f t="shared" si="174"/>
        <v>#VALUE!</v>
      </c>
    </row>
    <row r="1200" spans="1:10" x14ac:dyDescent="0.25">
      <c r="A1200" s="25">
        <f t="shared" si="175"/>
        <v>1.8599999999998325</v>
      </c>
      <c r="B1200" s="25">
        <f t="shared" ca="1" si="168"/>
        <v>-0.19435582902068263</v>
      </c>
      <c r="C1200" s="25" t="e">
        <f t="shared" si="169"/>
        <v>#VALUE!</v>
      </c>
      <c r="D1200" s="74" t="e">
        <f t="shared" si="170"/>
        <v>#VALUE!</v>
      </c>
      <c r="E1200" s="25" t="e">
        <f t="shared" si="171"/>
        <v>#VALUE!</v>
      </c>
      <c r="F1200" s="25" t="e">
        <f t="shared" ca="1" si="172"/>
        <v>#VALUE!</v>
      </c>
      <c r="G1200" s="25"/>
      <c r="H1200" s="25" t="e">
        <f t="shared" si="176"/>
        <v>#VALUE!</v>
      </c>
      <c r="I1200" s="25">
        <f t="shared" si="173"/>
        <v>685.99999999998329</v>
      </c>
      <c r="J1200" s="25" t="e">
        <f t="shared" si="174"/>
        <v>#VALUE!</v>
      </c>
    </row>
    <row r="1201" spans="1:10" x14ac:dyDescent="0.25">
      <c r="A1201" s="25">
        <f t="shared" si="175"/>
        <v>1.8699999999998325</v>
      </c>
      <c r="B1201" s="25">
        <f t="shared" ca="1" si="168"/>
        <v>6.2736865399679778E-2</v>
      </c>
      <c r="C1201" s="25" t="e">
        <f t="shared" si="169"/>
        <v>#VALUE!</v>
      </c>
      <c r="D1201" s="74" t="e">
        <f t="shared" si="170"/>
        <v>#VALUE!</v>
      </c>
      <c r="E1201" s="25" t="e">
        <f t="shared" si="171"/>
        <v>#VALUE!</v>
      </c>
      <c r="F1201" s="25" t="e">
        <f t="shared" ca="1" si="172"/>
        <v>#VALUE!</v>
      </c>
      <c r="G1201" s="25"/>
      <c r="H1201" s="25" t="e">
        <f t="shared" si="176"/>
        <v>#VALUE!</v>
      </c>
      <c r="I1201" s="25">
        <f t="shared" si="173"/>
        <v>686.99999999998329</v>
      </c>
      <c r="J1201" s="25" t="e">
        <f t="shared" si="174"/>
        <v>#VALUE!</v>
      </c>
    </row>
    <row r="1202" spans="1:10" x14ac:dyDescent="0.25">
      <c r="A1202" s="25">
        <f t="shared" si="175"/>
        <v>1.8799999999998325</v>
      </c>
      <c r="B1202" s="25">
        <f t="shared" ca="1" si="168"/>
        <v>-1.6246277902224521E-2</v>
      </c>
      <c r="C1202" s="25" t="e">
        <f t="shared" si="169"/>
        <v>#VALUE!</v>
      </c>
      <c r="D1202" s="74" t="e">
        <f t="shared" si="170"/>
        <v>#VALUE!</v>
      </c>
      <c r="E1202" s="25" t="e">
        <f t="shared" si="171"/>
        <v>#VALUE!</v>
      </c>
      <c r="F1202" s="25" t="e">
        <f t="shared" ca="1" si="172"/>
        <v>#VALUE!</v>
      </c>
      <c r="G1202" s="25"/>
      <c r="H1202" s="25" t="e">
        <f t="shared" si="176"/>
        <v>#VALUE!</v>
      </c>
      <c r="I1202" s="25">
        <f t="shared" si="173"/>
        <v>687.99999999998317</v>
      </c>
      <c r="J1202" s="25" t="e">
        <f t="shared" si="174"/>
        <v>#VALUE!</v>
      </c>
    </row>
    <row r="1203" spans="1:10" x14ac:dyDescent="0.25">
      <c r="A1203" s="25">
        <f t="shared" si="175"/>
        <v>1.8899999999998325</v>
      </c>
      <c r="B1203" s="25">
        <f t="shared" ca="1" si="168"/>
        <v>5.6686490323235278E-2</v>
      </c>
      <c r="C1203" s="25" t="e">
        <f t="shared" si="169"/>
        <v>#VALUE!</v>
      </c>
      <c r="D1203" s="74" t="e">
        <f t="shared" si="170"/>
        <v>#VALUE!</v>
      </c>
      <c r="E1203" s="25" t="e">
        <f t="shared" si="171"/>
        <v>#VALUE!</v>
      </c>
      <c r="F1203" s="25" t="e">
        <f t="shared" ca="1" si="172"/>
        <v>#VALUE!</v>
      </c>
      <c r="G1203" s="25"/>
      <c r="H1203" s="25" t="e">
        <f t="shared" si="176"/>
        <v>#VALUE!</v>
      </c>
      <c r="I1203" s="25">
        <f t="shared" si="173"/>
        <v>688.99999999998329</v>
      </c>
      <c r="J1203" s="25" t="e">
        <f t="shared" si="174"/>
        <v>#VALUE!</v>
      </c>
    </row>
    <row r="1204" spans="1:10" x14ac:dyDescent="0.25">
      <c r="A1204" s="25">
        <f t="shared" si="175"/>
        <v>1.8999999999998325</v>
      </c>
      <c r="B1204" s="25">
        <f t="shared" ca="1" si="168"/>
        <v>-0.14836484002302178</v>
      </c>
      <c r="C1204" s="25" t="e">
        <f t="shared" si="169"/>
        <v>#VALUE!</v>
      </c>
      <c r="D1204" s="74" t="e">
        <f t="shared" si="170"/>
        <v>#VALUE!</v>
      </c>
      <c r="E1204" s="25" t="e">
        <f t="shared" si="171"/>
        <v>#VALUE!</v>
      </c>
      <c r="F1204" s="25" t="e">
        <f t="shared" ca="1" si="172"/>
        <v>#VALUE!</v>
      </c>
      <c r="G1204" s="25"/>
      <c r="H1204" s="25" t="e">
        <f t="shared" si="176"/>
        <v>#VALUE!</v>
      </c>
      <c r="I1204" s="25">
        <f t="shared" si="173"/>
        <v>689.99999999998329</v>
      </c>
      <c r="J1204" s="25" t="e">
        <f t="shared" si="174"/>
        <v>#VALUE!</v>
      </c>
    </row>
    <row r="1205" spans="1:10" x14ac:dyDescent="0.25">
      <c r="A1205" s="25">
        <f t="shared" si="175"/>
        <v>1.9099999999998325</v>
      </c>
      <c r="B1205" s="25">
        <f t="shared" ca="1" si="168"/>
        <v>0.11406673677836295</v>
      </c>
      <c r="C1205" s="25" t="e">
        <f t="shared" si="169"/>
        <v>#VALUE!</v>
      </c>
      <c r="D1205" s="74" t="e">
        <f t="shared" si="170"/>
        <v>#VALUE!</v>
      </c>
      <c r="E1205" s="25" t="e">
        <f t="shared" si="171"/>
        <v>#VALUE!</v>
      </c>
      <c r="F1205" s="25" t="e">
        <f t="shared" ca="1" si="172"/>
        <v>#VALUE!</v>
      </c>
      <c r="G1205" s="25"/>
      <c r="H1205" s="25" t="e">
        <f t="shared" si="176"/>
        <v>#VALUE!</v>
      </c>
      <c r="I1205" s="25">
        <f t="shared" si="173"/>
        <v>690.99999999998329</v>
      </c>
      <c r="J1205" s="25" t="e">
        <f t="shared" si="174"/>
        <v>#VALUE!</v>
      </c>
    </row>
    <row r="1206" spans="1:10" x14ac:dyDescent="0.25">
      <c r="A1206" s="25">
        <f t="shared" si="175"/>
        <v>1.9199999999998325</v>
      </c>
      <c r="B1206" s="25">
        <f t="shared" ca="1" si="168"/>
        <v>-5.9254078626150369E-2</v>
      </c>
      <c r="C1206" s="25" t="e">
        <f t="shared" si="169"/>
        <v>#VALUE!</v>
      </c>
      <c r="D1206" s="74" t="e">
        <f t="shared" si="170"/>
        <v>#VALUE!</v>
      </c>
      <c r="E1206" s="25" t="e">
        <f t="shared" si="171"/>
        <v>#VALUE!</v>
      </c>
      <c r="F1206" s="25" t="e">
        <f t="shared" ca="1" si="172"/>
        <v>#VALUE!</v>
      </c>
      <c r="G1206" s="25"/>
      <c r="H1206" s="25" t="e">
        <f t="shared" si="176"/>
        <v>#VALUE!</v>
      </c>
      <c r="I1206" s="25">
        <f t="shared" si="173"/>
        <v>691.99999999998329</v>
      </c>
      <c r="J1206" s="25" t="e">
        <f t="shared" si="174"/>
        <v>#VALUE!</v>
      </c>
    </row>
    <row r="1207" spans="1:10" x14ac:dyDescent="0.25">
      <c r="A1207" s="25">
        <f t="shared" si="175"/>
        <v>1.9299999999998325</v>
      </c>
      <c r="B1207" s="25">
        <f t="shared" ca="1" si="168"/>
        <v>-0.10874757794405739</v>
      </c>
      <c r="C1207" s="25" t="e">
        <f t="shared" si="169"/>
        <v>#VALUE!</v>
      </c>
      <c r="D1207" s="74" t="e">
        <f t="shared" si="170"/>
        <v>#VALUE!</v>
      </c>
      <c r="E1207" s="25" t="e">
        <f t="shared" si="171"/>
        <v>#VALUE!</v>
      </c>
      <c r="F1207" s="25" t="e">
        <f t="shared" ca="1" si="172"/>
        <v>#VALUE!</v>
      </c>
      <c r="G1207" s="25"/>
      <c r="H1207" s="25" t="e">
        <f t="shared" si="176"/>
        <v>#VALUE!</v>
      </c>
      <c r="I1207" s="25">
        <f t="shared" si="173"/>
        <v>692.99999999998329</v>
      </c>
      <c r="J1207" s="25" t="e">
        <f t="shared" si="174"/>
        <v>#VALUE!</v>
      </c>
    </row>
    <row r="1208" spans="1:10" x14ac:dyDescent="0.25">
      <c r="A1208" s="25">
        <f t="shared" si="175"/>
        <v>1.9399999999998325</v>
      </c>
      <c r="B1208" s="25">
        <f t="shared" ca="1" si="168"/>
        <v>3.0303906840718587E-2</v>
      </c>
      <c r="C1208" s="25" t="e">
        <f t="shared" si="169"/>
        <v>#VALUE!</v>
      </c>
      <c r="D1208" s="74" t="e">
        <f t="shared" si="170"/>
        <v>#VALUE!</v>
      </c>
      <c r="E1208" s="25" t="e">
        <f t="shared" si="171"/>
        <v>#VALUE!</v>
      </c>
      <c r="F1208" s="25" t="e">
        <f t="shared" ca="1" si="172"/>
        <v>#VALUE!</v>
      </c>
      <c r="G1208" s="25"/>
      <c r="H1208" s="25" t="e">
        <f t="shared" si="176"/>
        <v>#VALUE!</v>
      </c>
      <c r="I1208" s="25">
        <f t="shared" si="173"/>
        <v>693.99999999998329</v>
      </c>
      <c r="J1208" s="25" t="e">
        <f t="shared" si="174"/>
        <v>#VALUE!</v>
      </c>
    </row>
    <row r="1209" spans="1:10" x14ac:dyDescent="0.25">
      <c r="A1209" s="25">
        <f t="shared" si="175"/>
        <v>1.9499999999998325</v>
      </c>
      <c r="B1209" s="25">
        <f t="shared" ca="1" si="168"/>
        <v>-3.6817592974392251E-2</v>
      </c>
      <c r="C1209" s="25" t="e">
        <f t="shared" si="169"/>
        <v>#VALUE!</v>
      </c>
      <c r="D1209" s="74" t="e">
        <f t="shared" si="170"/>
        <v>#VALUE!</v>
      </c>
      <c r="E1209" s="25" t="e">
        <f t="shared" si="171"/>
        <v>#VALUE!</v>
      </c>
      <c r="F1209" s="25" t="e">
        <f t="shared" ca="1" si="172"/>
        <v>#VALUE!</v>
      </c>
      <c r="G1209" s="25"/>
      <c r="H1209" s="25" t="e">
        <f t="shared" si="176"/>
        <v>#VALUE!</v>
      </c>
      <c r="I1209" s="25">
        <f t="shared" si="173"/>
        <v>694.99999999998329</v>
      </c>
      <c r="J1209" s="25" t="e">
        <f t="shared" si="174"/>
        <v>#VALUE!</v>
      </c>
    </row>
    <row r="1210" spans="1:10" x14ac:dyDescent="0.25">
      <c r="A1210" s="25">
        <f t="shared" si="175"/>
        <v>1.9599999999998325</v>
      </c>
      <c r="B1210" s="25">
        <f t="shared" ca="1" si="168"/>
        <v>-0.10804079269094413</v>
      </c>
      <c r="C1210" s="25" t="e">
        <f t="shared" si="169"/>
        <v>#VALUE!</v>
      </c>
      <c r="D1210" s="74" t="e">
        <f t="shared" si="170"/>
        <v>#VALUE!</v>
      </c>
      <c r="E1210" s="25" t="e">
        <f t="shared" si="171"/>
        <v>#VALUE!</v>
      </c>
      <c r="F1210" s="25" t="e">
        <f t="shared" ca="1" si="172"/>
        <v>#VALUE!</v>
      </c>
      <c r="G1210" s="25"/>
      <c r="H1210" s="25" t="e">
        <f t="shared" si="176"/>
        <v>#VALUE!</v>
      </c>
      <c r="I1210" s="25">
        <f t="shared" si="173"/>
        <v>695.99999999998317</v>
      </c>
      <c r="J1210" s="25" t="e">
        <f t="shared" si="174"/>
        <v>#VALUE!</v>
      </c>
    </row>
    <row r="1211" spans="1:10" x14ac:dyDescent="0.25">
      <c r="A1211" s="25">
        <f t="shared" si="175"/>
        <v>1.9699999999998326</v>
      </c>
      <c r="B1211" s="25">
        <f t="shared" ca="1" si="168"/>
        <v>-1.2353173092317473E-2</v>
      </c>
      <c r="C1211" s="25" t="e">
        <f t="shared" si="169"/>
        <v>#VALUE!</v>
      </c>
      <c r="D1211" s="74" t="e">
        <f t="shared" si="170"/>
        <v>#VALUE!</v>
      </c>
      <c r="E1211" s="25" t="e">
        <f t="shared" si="171"/>
        <v>#VALUE!</v>
      </c>
      <c r="F1211" s="25" t="e">
        <f t="shared" ca="1" si="172"/>
        <v>#VALUE!</v>
      </c>
      <c r="G1211" s="25"/>
      <c r="H1211" s="25" t="e">
        <f t="shared" si="176"/>
        <v>#VALUE!</v>
      </c>
      <c r="I1211" s="25">
        <f t="shared" si="173"/>
        <v>696.99999999998329</v>
      </c>
      <c r="J1211" s="25" t="e">
        <f t="shared" si="174"/>
        <v>#VALUE!</v>
      </c>
    </row>
    <row r="1212" spans="1:10" x14ac:dyDescent="0.25">
      <c r="A1212" s="25">
        <f t="shared" si="175"/>
        <v>1.9799999999998326</v>
      </c>
      <c r="B1212" s="25">
        <f t="shared" ca="1" si="168"/>
        <v>-0.19919551992299253</v>
      </c>
      <c r="C1212" s="25" t="e">
        <f t="shared" si="169"/>
        <v>#VALUE!</v>
      </c>
      <c r="D1212" s="74" t="e">
        <f t="shared" si="170"/>
        <v>#VALUE!</v>
      </c>
      <c r="E1212" s="25" t="e">
        <f t="shared" si="171"/>
        <v>#VALUE!</v>
      </c>
      <c r="F1212" s="25" t="e">
        <f t="shared" ca="1" si="172"/>
        <v>#VALUE!</v>
      </c>
      <c r="G1212" s="25"/>
      <c r="H1212" s="25" t="e">
        <f t="shared" si="176"/>
        <v>#VALUE!</v>
      </c>
      <c r="I1212" s="25">
        <f t="shared" si="173"/>
        <v>697.99999999998329</v>
      </c>
      <c r="J1212" s="25" t="e">
        <f t="shared" si="174"/>
        <v>#VALUE!</v>
      </c>
    </row>
    <row r="1213" spans="1:10" x14ac:dyDescent="0.25">
      <c r="A1213" s="25">
        <f t="shared" si="175"/>
        <v>1.9899999999998326</v>
      </c>
      <c r="B1213" s="25">
        <f t="shared" ca="1" si="168"/>
        <v>-4.0134000143430833E-2</v>
      </c>
      <c r="C1213" s="25" t="e">
        <f t="shared" si="169"/>
        <v>#VALUE!</v>
      </c>
      <c r="D1213" s="74" t="e">
        <f t="shared" si="170"/>
        <v>#VALUE!</v>
      </c>
      <c r="E1213" s="25" t="e">
        <f t="shared" si="171"/>
        <v>#VALUE!</v>
      </c>
      <c r="F1213" s="25" t="e">
        <f t="shared" ca="1" si="172"/>
        <v>#VALUE!</v>
      </c>
      <c r="G1213" s="25"/>
      <c r="H1213" s="25" t="e">
        <f t="shared" si="176"/>
        <v>#VALUE!</v>
      </c>
      <c r="I1213" s="25">
        <f t="shared" si="173"/>
        <v>698.99999999998329</v>
      </c>
      <c r="J1213" s="25" t="e">
        <f t="shared" si="174"/>
        <v>#VALUE!</v>
      </c>
    </row>
    <row r="1214" spans="1:10" x14ac:dyDescent="0.25">
      <c r="A1214" s="25">
        <f t="shared" si="175"/>
        <v>1.9999999999998326</v>
      </c>
      <c r="B1214" s="25">
        <f t="shared" ca="1" si="168"/>
        <v>7.4525564800253991E-2</v>
      </c>
      <c r="C1214" s="25" t="e">
        <f t="shared" si="169"/>
        <v>#VALUE!</v>
      </c>
      <c r="D1214" s="74" t="e">
        <f t="shared" si="170"/>
        <v>#VALUE!</v>
      </c>
      <c r="E1214" s="25" t="e">
        <f t="shared" si="171"/>
        <v>#VALUE!</v>
      </c>
      <c r="F1214" s="25" t="e">
        <f t="shared" ca="1" si="172"/>
        <v>#VALUE!</v>
      </c>
      <c r="G1214" s="25"/>
      <c r="H1214" s="25" t="e">
        <f t="shared" si="176"/>
        <v>#VALUE!</v>
      </c>
      <c r="I1214" s="25">
        <f t="shared" si="173"/>
        <v>699.99999999998329</v>
      </c>
      <c r="J1214" s="25" t="e">
        <f t="shared" si="174"/>
        <v>#VALUE!</v>
      </c>
    </row>
    <row r="1215" spans="1:10" x14ac:dyDescent="0.25">
      <c r="A1215" s="25">
        <f t="shared" si="175"/>
        <v>2.0099999999998324</v>
      </c>
      <c r="B1215" s="25">
        <f t="shared" ca="1" si="168"/>
        <v>-0.1624825518241618</v>
      </c>
      <c r="C1215" s="25" t="e">
        <f t="shared" si="169"/>
        <v>#VALUE!</v>
      </c>
      <c r="D1215" s="74" t="e">
        <f t="shared" si="170"/>
        <v>#VALUE!</v>
      </c>
      <c r="E1215" s="25" t="e">
        <f t="shared" si="171"/>
        <v>#VALUE!</v>
      </c>
      <c r="F1215" s="25" t="e">
        <f t="shared" ca="1" si="172"/>
        <v>#VALUE!</v>
      </c>
      <c r="G1215" s="25"/>
      <c r="H1215" s="25" t="e">
        <f t="shared" si="176"/>
        <v>#VALUE!</v>
      </c>
      <c r="I1215" s="25">
        <f t="shared" si="173"/>
        <v>700.99999999998329</v>
      </c>
      <c r="J1215" s="25" t="e">
        <f t="shared" si="174"/>
        <v>#VALUE!</v>
      </c>
    </row>
    <row r="1216" spans="1:10" x14ac:dyDescent="0.25">
      <c r="A1216" s="25">
        <f t="shared" si="175"/>
        <v>2.0199999999998322</v>
      </c>
      <c r="B1216" s="25">
        <f t="shared" ca="1" si="168"/>
        <v>-8.4769043172946132E-2</v>
      </c>
      <c r="C1216" s="25" t="e">
        <f t="shared" si="169"/>
        <v>#VALUE!</v>
      </c>
      <c r="D1216" s="74" t="e">
        <f t="shared" si="170"/>
        <v>#VALUE!</v>
      </c>
      <c r="E1216" s="25" t="e">
        <f t="shared" si="171"/>
        <v>#VALUE!</v>
      </c>
      <c r="F1216" s="25" t="e">
        <f t="shared" ca="1" si="172"/>
        <v>#VALUE!</v>
      </c>
      <c r="G1216" s="25"/>
      <c r="H1216" s="25" t="e">
        <f t="shared" si="176"/>
        <v>#VALUE!</v>
      </c>
      <c r="I1216" s="25">
        <f t="shared" si="173"/>
        <v>701.99999999998329</v>
      </c>
      <c r="J1216" s="25" t="e">
        <f t="shared" si="174"/>
        <v>#VALUE!</v>
      </c>
    </row>
    <row r="1217" spans="1:10" x14ac:dyDescent="0.25">
      <c r="A1217" s="25">
        <f t="shared" si="175"/>
        <v>2.0299999999998319</v>
      </c>
      <c r="B1217" s="25">
        <f t="shared" ca="1" si="168"/>
        <v>-0.12224446351547176</v>
      </c>
      <c r="C1217" s="25" t="e">
        <f t="shared" si="169"/>
        <v>#VALUE!</v>
      </c>
      <c r="D1217" s="74" t="e">
        <f t="shared" si="170"/>
        <v>#VALUE!</v>
      </c>
      <c r="E1217" s="25" t="e">
        <f t="shared" si="171"/>
        <v>#VALUE!</v>
      </c>
      <c r="F1217" s="25" t="e">
        <f t="shared" ca="1" si="172"/>
        <v>#VALUE!</v>
      </c>
      <c r="G1217" s="25"/>
      <c r="H1217" s="25" t="e">
        <f t="shared" si="176"/>
        <v>#VALUE!</v>
      </c>
      <c r="I1217" s="25">
        <f t="shared" si="173"/>
        <v>702.99999999998329</v>
      </c>
      <c r="J1217" s="25" t="e">
        <f t="shared" si="174"/>
        <v>#VALUE!</v>
      </c>
    </row>
    <row r="1218" spans="1:10" x14ac:dyDescent="0.25">
      <c r="A1218" s="25">
        <f t="shared" si="175"/>
        <v>2.0399999999998317</v>
      </c>
      <c r="B1218" s="25">
        <f t="shared" ca="1" si="168"/>
        <v>-0.12745436084730499</v>
      </c>
      <c r="C1218" s="25" t="e">
        <f t="shared" si="169"/>
        <v>#VALUE!</v>
      </c>
      <c r="D1218" s="74" t="e">
        <f t="shared" si="170"/>
        <v>#VALUE!</v>
      </c>
      <c r="E1218" s="25" t="e">
        <f t="shared" si="171"/>
        <v>#VALUE!</v>
      </c>
      <c r="F1218" s="25" t="e">
        <f t="shared" ca="1" si="172"/>
        <v>#VALUE!</v>
      </c>
      <c r="G1218" s="25"/>
      <c r="H1218" s="25" t="e">
        <f t="shared" si="176"/>
        <v>#VALUE!</v>
      </c>
      <c r="I1218" s="25">
        <f t="shared" si="173"/>
        <v>703.99999999998317</v>
      </c>
      <c r="J1218" s="25" t="e">
        <f t="shared" si="174"/>
        <v>#VALUE!</v>
      </c>
    </row>
    <row r="1219" spans="1:10" x14ac:dyDescent="0.25">
      <c r="A1219" s="25">
        <f t="shared" si="175"/>
        <v>2.0499999999998315</v>
      </c>
      <c r="B1219" s="25">
        <f t="shared" ca="1" si="168"/>
        <v>-0.1610752165774679</v>
      </c>
      <c r="C1219" s="25" t="e">
        <f t="shared" si="169"/>
        <v>#VALUE!</v>
      </c>
      <c r="D1219" s="74" t="e">
        <f t="shared" si="170"/>
        <v>#VALUE!</v>
      </c>
      <c r="E1219" s="25" t="e">
        <f t="shared" si="171"/>
        <v>#VALUE!</v>
      </c>
      <c r="F1219" s="25" t="e">
        <f t="shared" ca="1" si="172"/>
        <v>#VALUE!</v>
      </c>
      <c r="G1219" s="25"/>
      <c r="H1219" s="25" t="e">
        <f t="shared" si="176"/>
        <v>#VALUE!</v>
      </c>
      <c r="I1219" s="25">
        <f t="shared" si="173"/>
        <v>704.99999999998317</v>
      </c>
      <c r="J1219" s="25" t="e">
        <f t="shared" si="174"/>
        <v>#VALUE!</v>
      </c>
    </row>
    <row r="1220" spans="1:10" x14ac:dyDescent="0.25">
      <c r="A1220" s="25">
        <f t="shared" si="175"/>
        <v>2.0599999999998313</v>
      </c>
      <c r="B1220" s="25">
        <f t="shared" ca="1" si="168"/>
        <v>-0.17433891836132001</v>
      </c>
      <c r="C1220" s="25" t="e">
        <f t="shared" si="169"/>
        <v>#VALUE!</v>
      </c>
      <c r="D1220" s="74" t="e">
        <f t="shared" si="170"/>
        <v>#VALUE!</v>
      </c>
      <c r="E1220" s="25" t="e">
        <f t="shared" si="171"/>
        <v>#VALUE!</v>
      </c>
      <c r="F1220" s="25" t="e">
        <f t="shared" ca="1" si="172"/>
        <v>#VALUE!</v>
      </c>
      <c r="G1220" s="25"/>
      <c r="H1220" s="25" t="e">
        <f t="shared" si="176"/>
        <v>#VALUE!</v>
      </c>
      <c r="I1220" s="25">
        <f t="shared" si="173"/>
        <v>705.99999999998317</v>
      </c>
      <c r="J1220" s="25" t="e">
        <f t="shared" si="174"/>
        <v>#VALUE!</v>
      </c>
    </row>
    <row r="1221" spans="1:10" x14ac:dyDescent="0.25">
      <c r="A1221" s="25">
        <f t="shared" si="175"/>
        <v>2.0699999999998311</v>
      </c>
      <c r="B1221" s="25">
        <f t="shared" ca="1" si="168"/>
        <v>-0.15587293373332997</v>
      </c>
      <c r="C1221" s="25" t="e">
        <f t="shared" si="169"/>
        <v>#VALUE!</v>
      </c>
      <c r="D1221" s="74" t="e">
        <f t="shared" si="170"/>
        <v>#VALUE!</v>
      </c>
      <c r="E1221" s="25" t="e">
        <f t="shared" si="171"/>
        <v>#VALUE!</v>
      </c>
      <c r="F1221" s="25" t="e">
        <f t="shared" ca="1" si="172"/>
        <v>#VALUE!</v>
      </c>
      <c r="G1221" s="25"/>
      <c r="H1221" s="25" t="e">
        <f t="shared" si="176"/>
        <v>#VALUE!</v>
      </c>
      <c r="I1221" s="25">
        <f t="shared" si="173"/>
        <v>706.99999999998317</v>
      </c>
      <c r="J1221" s="25" t="e">
        <f t="shared" si="174"/>
        <v>#VALUE!</v>
      </c>
    </row>
    <row r="1222" spans="1:10" x14ac:dyDescent="0.25">
      <c r="A1222" s="25">
        <f t="shared" si="175"/>
        <v>2.0799999999998309</v>
      </c>
      <c r="B1222" s="25">
        <f t="shared" ca="1" si="168"/>
        <v>-0.16819454399737702</v>
      </c>
      <c r="C1222" s="25" t="e">
        <f t="shared" si="169"/>
        <v>#VALUE!</v>
      </c>
      <c r="D1222" s="74" t="e">
        <f t="shared" si="170"/>
        <v>#VALUE!</v>
      </c>
      <c r="E1222" s="25" t="e">
        <f t="shared" si="171"/>
        <v>#VALUE!</v>
      </c>
      <c r="F1222" s="25" t="e">
        <f t="shared" ca="1" si="172"/>
        <v>#VALUE!</v>
      </c>
      <c r="G1222" s="25"/>
      <c r="H1222" s="25" t="e">
        <f t="shared" si="176"/>
        <v>#VALUE!</v>
      </c>
      <c r="I1222" s="25">
        <f t="shared" si="173"/>
        <v>707.99999999998317</v>
      </c>
      <c r="J1222" s="25" t="e">
        <f t="shared" si="174"/>
        <v>#VALUE!</v>
      </c>
    </row>
    <row r="1223" spans="1:10" x14ac:dyDescent="0.25">
      <c r="A1223" s="25">
        <f t="shared" si="175"/>
        <v>2.0899999999998307</v>
      </c>
      <c r="B1223" s="25">
        <f t="shared" ca="1" si="168"/>
        <v>-3.4177647343677322E-3</v>
      </c>
      <c r="C1223" s="25" t="e">
        <f t="shared" si="169"/>
        <v>#VALUE!</v>
      </c>
      <c r="D1223" s="74" t="e">
        <f t="shared" si="170"/>
        <v>#VALUE!</v>
      </c>
      <c r="E1223" s="25" t="e">
        <f t="shared" si="171"/>
        <v>#VALUE!</v>
      </c>
      <c r="F1223" s="25" t="e">
        <f t="shared" ca="1" si="172"/>
        <v>#VALUE!</v>
      </c>
      <c r="G1223" s="25"/>
      <c r="H1223" s="25" t="e">
        <f t="shared" si="176"/>
        <v>#VALUE!</v>
      </c>
      <c r="I1223" s="25">
        <f t="shared" si="173"/>
        <v>708.99999999998306</v>
      </c>
      <c r="J1223" s="25" t="e">
        <f t="shared" si="174"/>
        <v>#VALUE!</v>
      </c>
    </row>
    <row r="1224" spans="1:10" x14ac:dyDescent="0.25">
      <c r="A1224" s="25">
        <f t="shared" si="175"/>
        <v>2.0999999999998304</v>
      </c>
      <c r="B1224" s="25">
        <f t="shared" ca="1" si="168"/>
        <v>-0.11314053176592749</v>
      </c>
      <c r="C1224" s="25" t="e">
        <f t="shared" si="169"/>
        <v>#VALUE!</v>
      </c>
      <c r="D1224" s="74" t="e">
        <f t="shared" si="170"/>
        <v>#VALUE!</v>
      </c>
      <c r="E1224" s="25" t="e">
        <f t="shared" si="171"/>
        <v>#VALUE!</v>
      </c>
      <c r="F1224" s="25" t="e">
        <f t="shared" ca="1" si="172"/>
        <v>#VALUE!</v>
      </c>
      <c r="G1224" s="25"/>
      <c r="H1224" s="25" t="e">
        <f t="shared" si="176"/>
        <v>#VALUE!</v>
      </c>
      <c r="I1224" s="25">
        <f t="shared" si="173"/>
        <v>709.99999999998306</v>
      </c>
      <c r="J1224" s="25" t="e">
        <f t="shared" si="174"/>
        <v>#VALUE!</v>
      </c>
    </row>
    <row r="1225" spans="1:10" x14ac:dyDescent="0.25">
      <c r="A1225" s="25">
        <f t="shared" si="175"/>
        <v>2.1099999999998302</v>
      </c>
      <c r="B1225" s="25">
        <f t="shared" ca="1" si="168"/>
        <v>-0.19664990937426244</v>
      </c>
      <c r="C1225" s="25" t="e">
        <f t="shared" si="169"/>
        <v>#VALUE!</v>
      </c>
      <c r="D1225" s="74" t="e">
        <f t="shared" si="170"/>
        <v>#VALUE!</v>
      </c>
      <c r="E1225" s="25" t="e">
        <f t="shared" si="171"/>
        <v>#VALUE!</v>
      </c>
      <c r="F1225" s="25" t="e">
        <f t="shared" ca="1" si="172"/>
        <v>#VALUE!</v>
      </c>
      <c r="G1225" s="25"/>
      <c r="H1225" s="25" t="e">
        <f t="shared" si="176"/>
        <v>#VALUE!</v>
      </c>
      <c r="I1225" s="25">
        <f t="shared" si="173"/>
        <v>710.99999999998306</v>
      </c>
      <c r="J1225" s="25" t="e">
        <f t="shared" si="174"/>
        <v>#VALUE!</v>
      </c>
    </row>
    <row r="1226" spans="1:10" x14ac:dyDescent="0.25">
      <c r="A1226" s="25">
        <f t="shared" si="175"/>
        <v>2.11999999999983</v>
      </c>
      <c r="B1226" s="25">
        <f t="shared" ca="1" si="168"/>
        <v>-7.0050323238260256E-2</v>
      </c>
      <c r="C1226" s="25" t="e">
        <f t="shared" si="169"/>
        <v>#VALUE!</v>
      </c>
      <c r="D1226" s="74" t="e">
        <f t="shared" si="170"/>
        <v>#VALUE!</v>
      </c>
      <c r="E1226" s="25" t="e">
        <f t="shared" si="171"/>
        <v>#VALUE!</v>
      </c>
      <c r="F1226" s="25" t="e">
        <f t="shared" ca="1" si="172"/>
        <v>#VALUE!</v>
      </c>
      <c r="G1226" s="25"/>
      <c r="H1226" s="25" t="e">
        <f t="shared" si="176"/>
        <v>#VALUE!</v>
      </c>
      <c r="I1226" s="25">
        <f t="shared" si="173"/>
        <v>711.99999999998306</v>
      </c>
      <c r="J1226" s="25" t="e">
        <f t="shared" si="174"/>
        <v>#VALUE!</v>
      </c>
    </row>
    <row r="1227" spans="1:10" x14ac:dyDescent="0.25">
      <c r="A1227" s="25">
        <f t="shared" si="175"/>
        <v>2.1299999999998298</v>
      </c>
      <c r="B1227" s="25">
        <f t="shared" ca="1" si="168"/>
        <v>-0.16560611448491802</v>
      </c>
      <c r="C1227" s="25" t="e">
        <f t="shared" si="169"/>
        <v>#VALUE!</v>
      </c>
      <c r="D1227" s="74" t="e">
        <f t="shared" si="170"/>
        <v>#VALUE!</v>
      </c>
      <c r="E1227" s="25" t="e">
        <f t="shared" si="171"/>
        <v>#VALUE!</v>
      </c>
      <c r="F1227" s="25" t="e">
        <f t="shared" ca="1" si="172"/>
        <v>#VALUE!</v>
      </c>
      <c r="G1227" s="25"/>
      <c r="H1227" s="25" t="e">
        <f t="shared" si="176"/>
        <v>#VALUE!</v>
      </c>
      <c r="I1227" s="25">
        <f t="shared" si="173"/>
        <v>712.99999999998295</v>
      </c>
      <c r="J1227" s="25" t="e">
        <f t="shared" si="174"/>
        <v>#VALUE!</v>
      </c>
    </row>
    <row r="1228" spans="1:10" x14ac:dyDescent="0.25">
      <c r="A1228" s="25">
        <f t="shared" si="175"/>
        <v>2.1399999999998296</v>
      </c>
      <c r="B1228" s="25">
        <f t="shared" ca="1" si="168"/>
        <v>-0.12355280640499781</v>
      </c>
      <c r="C1228" s="25" t="e">
        <f t="shared" si="169"/>
        <v>#VALUE!</v>
      </c>
      <c r="D1228" s="74" t="e">
        <f t="shared" si="170"/>
        <v>#VALUE!</v>
      </c>
      <c r="E1228" s="25" t="e">
        <f t="shared" si="171"/>
        <v>#VALUE!</v>
      </c>
      <c r="F1228" s="25" t="e">
        <f t="shared" ca="1" si="172"/>
        <v>#VALUE!</v>
      </c>
      <c r="G1228" s="25"/>
      <c r="H1228" s="25" t="e">
        <f t="shared" si="176"/>
        <v>#VALUE!</v>
      </c>
      <c r="I1228" s="25">
        <f t="shared" si="173"/>
        <v>713.99999999998295</v>
      </c>
      <c r="J1228" s="25" t="e">
        <f t="shared" si="174"/>
        <v>#VALUE!</v>
      </c>
    </row>
    <row r="1229" spans="1:10" x14ac:dyDescent="0.25">
      <c r="A1229" s="25">
        <f t="shared" si="175"/>
        <v>2.1499999999998294</v>
      </c>
      <c r="B1229" s="25">
        <f t="shared" ca="1" si="168"/>
        <v>0.12759387347738541</v>
      </c>
      <c r="C1229" s="25" t="e">
        <f t="shared" si="169"/>
        <v>#VALUE!</v>
      </c>
      <c r="D1229" s="74" t="e">
        <f t="shared" si="170"/>
        <v>#VALUE!</v>
      </c>
      <c r="E1229" s="25" t="e">
        <f t="shared" si="171"/>
        <v>#VALUE!</v>
      </c>
      <c r="F1229" s="25" t="e">
        <f t="shared" ca="1" si="172"/>
        <v>#VALUE!</v>
      </c>
      <c r="G1229" s="25"/>
      <c r="H1229" s="25" t="e">
        <f t="shared" si="176"/>
        <v>#VALUE!</v>
      </c>
      <c r="I1229" s="25">
        <f t="shared" si="173"/>
        <v>714.99999999998295</v>
      </c>
      <c r="J1229" s="25" t="e">
        <f t="shared" si="174"/>
        <v>#VALUE!</v>
      </c>
    </row>
    <row r="1230" spans="1:10" x14ac:dyDescent="0.25">
      <c r="A1230" s="25">
        <f t="shared" si="175"/>
        <v>2.1599999999998292</v>
      </c>
      <c r="B1230" s="25">
        <f t="shared" ref="B1230:B1293" ca="1" si="177">(RAND()-0.5-$B$7)/$B$5</f>
        <v>0.13230480372031406</v>
      </c>
      <c r="C1230" s="25" t="e">
        <f t="shared" ref="C1230:C1293" si="178">IF(ABS(A1230)&lt;=($D$3/2),1,IF(ABS(A1230)&lt;=($B$4/2),IF(A1230&gt;0,A1230*(4/(1-2*$B$4))+(2*$B$4/(2*$B$4-1)),(-A1230*(4/(1-2*$B$4))+(2*$B$4/(2*$B$4-1)))),0))</f>
        <v>#VALUE!</v>
      </c>
      <c r="D1230" s="74" t="e">
        <f t="shared" ref="D1230:D1293" si="179">IF(ABS(A1230)&lt;=($D$3/4+$B$4/4),1,IF(ABS(A1230)&lt;=($B$4/2),(IF(A1230&gt;0,A1230*(8/(1-2*$B$4))+(4*$B$4)/(2*$B$4-1),(-A1230*(8/(1-2*$B$4))+(4*$B$4)/(2*$B$4-1)))),0))</f>
        <v>#VALUE!</v>
      </c>
      <c r="E1230" s="25" t="e">
        <f t="shared" ref="E1230:E1293" si="180">IF(ABS(A1230)&lt;($B$4/2), 1, 0)</f>
        <v>#VALUE!</v>
      </c>
      <c r="F1230" s="25" t="e">
        <f t="shared" ref="F1230:F1293" ca="1" si="181">C1230+B1230</f>
        <v>#VALUE!</v>
      </c>
      <c r="G1230" s="25"/>
      <c r="H1230" s="25" t="e">
        <f t="shared" si="176"/>
        <v>#VALUE!</v>
      </c>
      <c r="I1230" s="25">
        <f t="shared" ref="I1230:I1293" si="182">$I$3*(A1230-$G$3)/($H$3-$G$3)</f>
        <v>715.99999999998295</v>
      </c>
      <c r="J1230" s="25" t="e">
        <f t="shared" ref="J1230:J1293" si="183">H1230</f>
        <v>#VALUE!</v>
      </c>
    </row>
    <row r="1231" spans="1:10" x14ac:dyDescent="0.25">
      <c r="A1231" s="25">
        <f t="shared" ref="A1231:A1294" si="184">A1230+0.01</f>
        <v>2.169999999999829</v>
      </c>
      <c r="B1231" s="25">
        <f t="shared" ca="1" si="177"/>
        <v>0.10642354400960456</v>
      </c>
      <c r="C1231" s="25" t="e">
        <f t="shared" si="178"/>
        <v>#VALUE!</v>
      </c>
      <c r="D1231" s="74" t="e">
        <f t="shared" si="179"/>
        <v>#VALUE!</v>
      </c>
      <c r="E1231" s="25" t="e">
        <f t="shared" si="180"/>
        <v>#VALUE!</v>
      </c>
      <c r="F1231" s="25" t="e">
        <f t="shared" ca="1" si="181"/>
        <v>#VALUE!</v>
      </c>
      <c r="G1231" s="25"/>
      <c r="H1231" s="25" t="e">
        <f t="shared" si="176"/>
        <v>#VALUE!</v>
      </c>
      <c r="I1231" s="25">
        <f t="shared" si="182"/>
        <v>716.99999999998295</v>
      </c>
      <c r="J1231" s="25" t="e">
        <f t="shared" si="183"/>
        <v>#VALUE!</v>
      </c>
    </row>
    <row r="1232" spans="1:10" x14ac:dyDescent="0.25">
      <c r="A1232" s="25">
        <f t="shared" si="184"/>
        <v>2.1799999999998287</v>
      </c>
      <c r="B1232" s="25">
        <f t="shared" ca="1" si="177"/>
        <v>0.10653290733241701</v>
      </c>
      <c r="C1232" s="25" t="e">
        <f t="shared" si="178"/>
        <v>#VALUE!</v>
      </c>
      <c r="D1232" s="74" t="e">
        <f t="shared" si="179"/>
        <v>#VALUE!</v>
      </c>
      <c r="E1232" s="25" t="e">
        <f t="shared" si="180"/>
        <v>#VALUE!</v>
      </c>
      <c r="F1232" s="25" t="e">
        <f t="shared" ca="1" si="181"/>
        <v>#VALUE!</v>
      </c>
      <c r="G1232" s="25"/>
      <c r="H1232" s="25" t="e">
        <f t="shared" si="176"/>
        <v>#VALUE!</v>
      </c>
      <c r="I1232" s="25">
        <f t="shared" si="182"/>
        <v>717.99999999998295</v>
      </c>
      <c r="J1232" s="25" t="e">
        <f t="shared" si="183"/>
        <v>#VALUE!</v>
      </c>
    </row>
    <row r="1233" spans="1:10" x14ac:dyDescent="0.25">
      <c r="A1233" s="25">
        <f t="shared" si="184"/>
        <v>2.1899999999998285</v>
      </c>
      <c r="B1233" s="25">
        <f t="shared" ca="1" si="177"/>
        <v>-0.15963424864005485</v>
      </c>
      <c r="C1233" s="25" t="e">
        <f t="shared" si="178"/>
        <v>#VALUE!</v>
      </c>
      <c r="D1233" s="74" t="e">
        <f t="shared" si="179"/>
        <v>#VALUE!</v>
      </c>
      <c r="E1233" s="25" t="e">
        <f t="shared" si="180"/>
        <v>#VALUE!</v>
      </c>
      <c r="F1233" s="25" t="e">
        <f t="shared" ca="1" si="181"/>
        <v>#VALUE!</v>
      </c>
      <c r="G1233" s="25"/>
      <c r="H1233" s="25" t="e">
        <f t="shared" si="176"/>
        <v>#VALUE!</v>
      </c>
      <c r="I1233" s="25">
        <f t="shared" si="182"/>
        <v>718.99999999998295</v>
      </c>
      <c r="J1233" s="25" t="e">
        <f t="shared" si="183"/>
        <v>#VALUE!</v>
      </c>
    </row>
    <row r="1234" spans="1:10" x14ac:dyDescent="0.25">
      <c r="A1234" s="25">
        <f t="shared" si="184"/>
        <v>2.1999999999998283</v>
      </c>
      <c r="B1234" s="25">
        <f t="shared" ca="1" si="177"/>
        <v>-0.13290300104909672</v>
      </c>
      <c r="C1234" s="25" t="e">
        <f t="shared" si="178"/>
        <v>#VALUE!</v>
      </c>
      <c r="D1234" s="74" t="e">
        <f t="shared" si="179"/>
        <v>#VALUE!</v>
      </c>
      <c r="E1234" s="25" t="e">
        <f t="shared" si="180"/>
        <v>#VALUE!</v>
      </c>
      <c r="F1234" s="25" t="e">
        <f t="shared" ca="1" si="181"/>
        <v>#VALUE!</v>
      </c>
      <c r="G1234" s="25"/>
      <c r="H1234" s="25" t="e">
        <f t="shared" si="176"/>
        <v>#VALUE!</v>
      </c>
      <c r="I1234" s="25">
        <f t="shared" si="182"/>
        <v>719.99999999998295</v>
      </c>
      <c r="J1234" s="25" t="e">
        <f t="shared" si="183"/>
        <v>#VALUE!</v>
      </c>
    </row>
    <row r="1235" spans="1:10" x14ac:dyDescent="0.25">
      <c r="A1235" s="25">
        <f t="shared" si="184"/>
        <v>2.2099999999998281</v>
      </c>
      <c r="B1235" s="25">
        <f t="shared" ca="1" si="177"/>
        <v>-2.8753960283178569E-2</v>
      </c>
      <c r="C1235" s="25" t="e">
        <f t="shared" si="178"/>
        <v>#VALUE!</v>
      </c>
      <c r="D1235" s="74" t="e">
        <f t="shared" si="179"/>
        <v>#VALUE!</v>
      </c>
      <c r="E1235" s="25" t="e">
        <f t="shared" si="180"/>
        <v>#VALUE!</v>
      </c>
      <c r="F1235" s="25" t="e">
        <f t="shared" ca="1" si="181"/>
        <v>#VALUE!</v>
      </c>
      <c r="G1235" s="25"/>
      <c r="H1235" s="25" t="e">
        <f t="shared" si="176"/>
        <v>#VALUE!</v>
      </c>
      <c r="I1235" s="25">
        <f t="shared" si="182"/>
        <v>720.99999999998283</v>
      </c>
      <c r="J1235" s="25" t="e">
        <f t="shared" si="183"/>
        <v>#VALUE!</v>
      </c>
    </row>
    <row r="1236" spans="1:10" x14ac:dyDescent="0.25">
      <c r="A1236" s="25">
        <f t="shared" si="184"/>
        <v>2.2199999999998279</v>
      </c>
      <c r="B1236" s="25">
        <f t="shared" ca="1" si="177"/>
        <v>-4.0501427646800543E-2</v>
      </c>
      <c r="C1236" s="25" t="e">
        <f t="shared" si="178"/>
        <v>#VALUE!</v>
      </c>
      <c r="D1236" s="74" t="e">
        <f t="shared" si="179"/>
        <v>#VALUE!</v>
      </c>
      <c r="E1236" s="25" t="e">
        <f t="shared" si="180"/>
        <v>#VALUE!</v>
      </c>
      <c r="F1236" s="25" t="e">
        <f t="shared" ca="1" si="181"/>
        <v>#VALUE!</v>
      </c>
      <c r="G1236" s="25"/>
      <c r="H1236" s="25" t="e">
        <f t="shared" si="176"/>
        <v>#VALUE!</v>
      </c>
      <c r="I1236" s="25">
        <f t="shared" si="182"/>
        <v>721.99999999998283</v>
      </c>
      <c r="J1236" s="25" t="e">
        <f t="shared" si="183"/>
        <v>#VALUE!</v>
      </c>
    </row>
    <row r="1237" spans="1:10" x14ac:dyDescent="0.25">
      <c r="A1237" s="25">
        <f t="shared" si="184"/>
        <v>2.2299999999998277</v>
      </c>
      <c r="B1237" s="25">
        <f t="shared" ca="1" si="177"/>
        <v>-0.14508478627917301</v>
      </c>
      <c r="C1237" s="25" t="e">
        <f t="shared" si="178"/>
        <v>#VALUE!</v>
      </c>
      <c r="D1237" s="74" t="e">
        <f t="shared" si="179"/>
        <v>#VALUE!</v>
      </c>
      <c r="E1237" s="25" t="e">
        <f t="shared" si="180"/>
        <v>#VALUE!</v>
      </c>
      <c r="F1237" s="25" t="e">
        <f t="shared" ca="1" si="181"/>
        <v>#VALUE!</v>
      </c>
      <c r="G1237" s="25"/>
      <c r="H1237" s="25" t="e">
        <f t="shared" si="176"/>
        <v>#VALUE!</v>
      </c>
      <c r="I1237" s="25">
        <f t="shared" si="182"/>
        <v>722.99999999998283</v>
      </c>
      <c r="J1237" s="25" t="e">
        <f t="shared" si="183"/>
        <v>#VALUE!</v>
      </c>
    </row>
    <row r="1238" spans="1:10" x14ac:dyDescent="0.25">
      <c r="A1238" s="25">
        <f t="shared" si="184"/>
        <v>2.2399999999998275</v>
      </c>
      <c r="B1238" s="25">
        <f t="shared" ca="1" si="177"/>
        <v>-0.15340251524212578</v>
      </c>
      <c r="C1238" s="25" t="e">
        <f t="shared" si="178"/>
        <v>#VALUE!</v>
      </c>
      <c r="D1238" s="74" t="e">
        <f t="shared" si="179"/>
        <v>#VALUE!</v>
      </c>
      <c r="E1238" s="25" t="e">
        <f t="shared" si="180"/>
        <v>#VALUE!</v>
      </c>
      <c r="F1238" s="25" t="e">
        <f t="shared" ca="1" si="181"/>
        <v>#VALUE!</v>
      </c>
      <c r="G1238" s="25"/>
      <c r="H1238" s="25" t="e">
        <f t="shared" si="176"/>
        <v>#VALUE!</v>
      </c>
      <c r="I1238" s="25">
        <f t="shared" si="182"/>
        <v>723.99999999998283</v>
      </c>
      <c r="J1238" s="25" t="e">
        <f t="shared" si="183"/>
        <v>#VALUE!</v>
      </c>
    </row>
    <row r="1239" spans="1:10" x14ac:dyDescent="0.25">
      <c r="A1239" s="25">
        <f t="shared" si="184"/>
        <v>2.2499999999998272</v>
      </c>
      <c r="B1239" s="25">
        <f t="shared" ca="1" si="177"/>
        <v>4.0622064858818657E-4</v>
      </c>
      <c r="C1239" s="25" t="e">
        <f t="shared" si="178"/>
        <v>#VALUE!</v>
      </c>
      <c r="D1239" s="74" t="e">
        <f t="shared" si="179"/>
        <v>#VALUE!</v>
      </c>
      <c r="E1239" s="25" t="e">
        <f t="shared" si="180"/>
        <v>#VALUE!</v>
      </c>
      <c r="F1239" s="25" t="e">
        <f t="shared" ca="1" si="181"/>
        <v>#VALUE!</v>
      </c>
      <c r="G1239" s="25"/>
      <c r="H1239" s="25" t="e">
        <f t="shared" si="176"/>
        <v>#VALUE!</v>
      </c>
      <c r="I1239" s="25">
        <f t="shared" si="182"/>
        <v>724.99999999998283</v>
      </c>
      <c r="J1239" s="25" t="e">
        <f t="shared" si="183"/>
        <v>#VALUE!</v>
      </c>
    </row>
    <row r="1240" spans="1:10" x14ac:dyDescent="0.25">
      <c r="A1240" s="25">
        <f t="shared" si="184"/>
        <v>2.259999999999827</v>
      </c>
      <c r="B1240" s="25">
        <f t="shared" ca="1" si="177"/>
        <v>1.0797043200515879E-2</v>
      </c>
      <c r="C1240" s="25" t="e">
        <f t="shared" si="178"/>
        <v>#VALUE!</v>
      </c>
      <c r="D1240" s="74" t="e">
        <f t="shared" si="179"/>
        <v>#VALUE!</v>
      </c>
      <c r="E1240" s="25" t="e">
        <f t="shared" si="180"/>
        <v>#VALUE!</v>
      </c>
      <c r="F1240" s="25" t="e">
        <f t="shared" ca="1" si="181"/>
        <v>#VALUE!</v>
      </c>
      <c r="G1240" s="25"/>
      <c r="H1240" s="25" t="e">
        <f t="shared" si="176"/>
        <v>#VALUE!</v>
      </c>
      <c r="I1240" s="25">
        <f t="shared" si="182"/>
        <v>725.99999999998272</v>
      </c>
      <c r="J1240" s="25" t="e">
        <f t="shared" si="183"/>
        <v>#VALUE!</v>
      </c>
    </row>
    <row r="1241" spans="1:10" x14ac:dyDescent="0.25">
      <c r="A1241" s="25">
        <f t="shared" si="184"/>
        <v>2.2699999999998268</v>
      </c>
      <c r="B1241" s="25">
        <f t="shared" ca="1" si="177"/>
        <v>1.2943140242823494E-2</v>
      </c>
      <c r="C1241" s="25" t="e">
        <f t="shared" si="178"/>
        <v>#VALUE!</v>
      </c>
      <c r="D1241" s="74" t="e">
        <f t="shared" si="179"/>
        <v>#VALUE!</v>
      </c>
      <c r="E1241" s="25" t="e">
        <f t="shared" si="180"/>
        <v>#VALUE!</v>
      </c>
      <c r="F1241" s="25" t="e">
        <f t="shared" ca="1" si="181"/>
        <v>#VALUE!</v>
      </c>
      <c r="G1241" s="25"/>
      <c r="H1241" s="25" t="e">
        <f t="shared" si="176"/>
        <v>#VALUE!</v>
      </c>
      <c r="I1241" s="25">
        <f t="shared" si="182"/>
        <v>726.99999999998272</v>
      </c>
      <c r="J1241" s="25" t="e">
        <f t="shared" si="183"/>
        <v>#VALUE!</v>
      </c>
    </row>
    <row r="1242" spans="1:10" x14ac:dyDescent="0.25">
      <c r="A1242" s="25">
        <f t="shared" si="184"/>
        <v>2.2799999999998266</v>
      </c>
      <c r="B1242" s="25">
        <f t="shared" ca="1" si="177"/>
        <v>4.2329373132959619E-2</v>
      </c>
      <c r="C1242" s="25" t="e">
        <f t="shared" si="178"/>
        <v>#VALUE!</v>
      </c>
      <c r="D1242" s="74" t="e">
        <f t="shared" si="179"/>
        <v>#VALUE!</v>
      </c>
      <c r="E1242" s="25" t="e">
        <f t="shared" si="180"/>
        <v>#VALUE!</v>
      </c>
      <c r="F1242" s="25" t="e">
        <f t="shared" ca="1" si="181"/>
        <v>#VALUE!</v>
      </c>
      <c r="G1242" s="25"/>
      <c r="H1242" s="25" t="e">
        <f t="shared" si="176"/>
        <v>#VALUE!</v>
      </c>
      <c r="I1242" s="25">
        <f t="shared" si="182"/>
        <v>727.99999999998272</v>
      </c>
      <c r="J1242" s="25" t="e">
        <f t="shared" si="183"/>
        <v>#VALUE!</v>
      </c>
    </row>
    <row r="1243" spans="1:10" x14ac:dyDescent="0.25">
      <c r="A1243" s="25">
        <f t="shared" si="184"/>
        <v>2.2899999999998264</v>
      </c>
      <c r="B1243" s="25">
        <f t="shared" ca="1" si="177"/>
        <v>0.11629610580122252</v>
      </c>
      <c r="C1243" s="25" t="e">
        <f t="shared" si="178"/>
        <v>#VALUE!</v>
      </c>
      <c r="D1243" s="74" t="e">
        <f t="shared" si="179"/>
        <v>#VALUE!</v>
      </c>
      <c r="E1243" s="25" t="e">
        <f t="shared" si="180"/>
        <v>#VALUE!</v>
      </c>
      <c r="F1243" s="25" t="e">
        <f t="shared" ca="1" si="181"/>
        <v>#VALUE!</v>
      </c>
      <c r="G1243" s="25"/>
      <c r="H1243" s="25" t="e">
        <f t="shared" si="176"/>
        <v>#VALUE!</v>
      </c>
      <c r="I1243" s="25">
        <f t="shared" si="182"/>
        <v>728.99999999998272</v>
      </c>
      <c r="J1243" s="25" t="e">
        <f t="shared" si="183"/>
        <v>#VALUE!</v>
      </c>
    </row>
    <row r="1244" spans="1:10" x14ac:dyDescent="0.25">
      <c r="A1244" s="25">
        <f t="shared" si="184"/>
        <v>2.2999999999998262</v>
      </c>
      <c r="B1244" s="25">
        <f t="shared" ca="1" si="177"/>
        <v>-0.17682135132476418</v>
      </c>
      <c r="C1244" s="25" t="e">
        <f t="shared" si="178"/>
        <v>#VALUE!</v>
      </c>
      <c r="D1244" s="74" t="e">
        <f t="shared" si="179"/>
        <v>#VALUE!</v>
      </c>
      <c r="E1244" s="25" t="e">
        <f t="shared" si="180"/>
        <v>#VALUE!</v>
      </c>
      <c r="F1244" s="25" t="e">
        <f t="shared" ca="1" si="181"/>
        <v>#VALUE!</v>
      </c>
      <c r="G1244" s="25"/>
      <c r="H1244" s="25" t="e">
        <f t="shared" si="176"/>
        <v>#VALUE!</v>
      </c>
      <c r="I1244" s="25">
        <f t="shared" si="182"/>
        <v>729.99999999998261</v>
      </c>
      <c r="J1244" s="25" t="e">
        <f t="shared" si="183"/>
        <v>#VALUE!</v>
      </c>
    </row>
    <row r="1245" spans="1:10" x14ac:dyDescent="0.25">
      <c r="A1245" s="25">
        <f t="shared" si="184"/>
        <v>2.309999999999826</v>
      </c>
      <c r="B1245" s="25">
        <f t="shared" ca="1" si="177"/>
        <v>-0.14805657899818372</v>
      </c>
      <c r="C1245" s="25" t="e">
        <f t="shared" si="178"/>
        <v>#VALUE!</v>
      </c>
      <c r="D1245" s="74" t="e">
        <f t="shared" si="179"/>
        <v>#VALUE!</v>
      </c>
      <c r="E1245" s="25" t="e">
        <f t="shared" si="180"/>
        <v>#VALUE!</v>
      </c>
      <c r="F1245" s="25" t="e">
        <f t="shared" ca="1" si="181"/>
        <v>#VALUE!</v>
      </c>
      <c r="G1245" s="25"/>
      <c r="H1245" s="25" t="e">
        <f t="shared" si="176"/>
        <v>#VALUE!</v>
      </c>
      <c r="I1245" s="25">
        <f t="shared" si="182"/>
        <v>730.99999999998261</v>
      </c>
      <c r="J1245" s="25" t="e">
        <f t="shared" si="183"/>
        <v>#VALUE!</v>
      </c>
    </row>
    <row r="1246" spans="1:10" x14ac:dyDescent="0.25">
      <c r="A1246" s="25">
        <f t="shared" si="184"/>
        <v>2.3199999999998258</v>
      </c>
      <c r="B1246" s="25">
        <f t="shared" ca="1" si="177"/>
        <v>-0.17100426285770506</v>
      </c>
      <c r="C1246" s="25" t="e">
        <f t="shared" si="178"/>
        <v>#VALUE!</v>
      </c>
      <c r="D1246" s="74" t="e">
        <f t="shared" si="179"/>
        <v>#VALUE!</v>
      </c>
      <c r="E1246" s="25" t="e">
        <f t="shared" si="180"/>
        <v>#VALUE!</v>
      </c>
      <c r="F1246" s="25" t="e">
        <f t="shared" ca="1" si="181"/>
        <v>#VALUE!</v>
      </c>
      <c r="G1246" s="25"/>
      <c r="H1246" s="25" t="e">
        <f t="shared" ref="H1246:H1309" si="185">IF(PeakShape=$O$3,C1246,IF(PeakShape=O1248,D1246,E1246))</f>
        <v>#VALUE!</v>
      </c>
      <c r="I1246" s="25">
        <f t="shared" si="182"/>
        <v>731.99999999998261</v>
      </c>
      <c r="J1246" s="25" t="e">
        <f t="shared" si="183"/>
        <v>#VALUE!</v>
      </c>
    </row>
    <row r="1247" spans="1:10" x14ac:dyDescent="0.25">
      <c r="A1247" s="25">
        <f t="shared" si="184"/>
        <v>2.3299999999998255</v>
      </c>
      <c r="B1247" s="25">
        <f t="shared" ca="1" si="177"/>
        <v>0.10918350948167858</v>
      </c>
      <c r="C1247" s="25" t="e">
        <f t="shared" si="178"/>
        <v>#VALUE!</v>
      </c>
      <c r="D1247" s="74" t="e">
        <f t="shared" si="179"/>
        <v>#VALUE!</v>
      </c>
      <c r="E1247" s="25" t="e">
        <f t="shared" si="180"/>
        <v>#VALUE!</v>
      </c>
      <c r="F1247" s="25" t="e">
        <f t="shared" ca="1" si="181"/>
        <v>#VALUE!</v>
      </c>
      <c r="G1247" s="25"/>
      <c r="H1247" s="25" t="e">
        <f t="shared" si="185"/>
        <v>#VALUE!</v>
      </c>
      <c r="I1247" s="25">
        <f t="shared" si="182"/>
        <v>732.99999999998261</v>
      </c>
      <c r="J1247" s="25" t="e">
        <f t="shared" si="183"/>
        <v>#VALUE!</v>
      </c>
    </row>
    <row r="1248" spans="1:10" x14ac:dyDescent="0.25">
      <c r="A1248" s="25">
        <f t="shared" si="184"/>
        <v>2.3399999999998253</v>
      </c>
      <c r="B1248" s="25">
        <f t="shared" ca="1" si="177"/>
        <v>4.1150617941688832E-2</v>
      </c>
      <c r="C1248" s="25" t="e">
        <f t="shared" si="178"/>
        <v>#VALUE!</v>
      </c>
      <c r="D1248" s="74" t="e">
        <f t="shared" si="179"/>
        <v>#VALUE!</v>
      </c>
      <c r="E1248" s="25" t="e">
        <f t="shared" si="180"/>
        <v>#VALUE!</v>
      </c>
      <c r="F1248" s="25" t="e">
        <f t="shared" ca="1" si="181"/>
        <v>#VALUE!</v>
      </c>
      <c r="G1248" s="25"/>
      <c r="H1248" s="25" t="e">
        <f t="shared" si="185"/>
        <v>#VALUE!</v>
      </c>
      <c r="I1248" s="25">
        <f t="shared" si="182"/>
        <v>733.99999999998249</v>
      </c>
      <c r="J1248" s="25" t="e">
        <f t="shared" si="183"/>
        <v>#VALUE!</v>
      </c>
    </row>
    <row r="1249" spans="1:10" x14ac:dyDescent="0.25">
      <c r="A1249" s="25">
        <f t="shared" si="184"/>
        <v>2.3499999999998251</v>
      </c>
      <c r="B1249" s="25">
        <f t="shared" ca="1" si="177"/>
        <v>6.8469150636387505E-2</v>
      </c>
      <c r="C1249" s="25" t="e">
        <f t="shared" si="178"/>
        <v>#VALUE!</v>
      </c>
      <c r="D1249" s="74" t="e">
        <f t="shared" si="179"/>
        <v>#VALUE!</v>
      </c>
      <c r="E1249" s="25" t="e">
        <f t="shared" si="180"/>
        <v>#VALUE!</v>
      </c>
      <c r="F1249" s="25" t="e">
        <f t="shared" ca="1" si="181"/>
        <v>#VALUE!</v>
      </c>
      <c r="G1249" s="25"/>
      <c r="H1249" s="25" t="e">
        <f t="shared" si="185"/>
        <v>#VALUE!</v>
      </c>
      <c r="I1249" s="25">
        <f t="shared" si="182"/>
        <v>734.99999999998249</v>
      </c>
      <c r="J1249" s="25" t="e">
        <f t="shared" si="183"/>
        <v>#VALUE!</v>
      </c>
    </row>
    <row r="1250" spans="1:10" x14ac:dyDescent="0.25">
      <c r="A1250" s="25">
        <f t="shared" si="184"/>
        <v>2.3599999999998249</v>
      </c>
      <c r="B1250" s="25">
        <f t="shared" ca="1" si="177"/>
        <v>-9.2818440188091197E-2</v>
      </c>
      <c r="C1250" s="25" t="e">
        <f t="shared" si="178"/>
        <v>#VALUE!</v>
      </c>
      <c r="D1250" s="74" t="e">
        <f t="shared" si="179"/>
        <v>#VALUE!</v>
      </c>
      <c r="E1250" s="25" t="e">
        <f t="shared" si="180"/>
        <v>#VALUE!</v>
      </c>
      <c r="F1250" s="25" t="e">
        <f t="shared" ca="1" si="181"/>
        <v>#VALUE!</v>
      </c>
      <c r="G1250" s="25"/>
      <c r="H1250" s="25" t="e">
        <f t="shared" si="185"/>
        <v>#VALUE!</v>
      </c>
      <c r="I1250" s="25">
        <f t="shared" si="182"/>
        <v>735.99999999998249</v>
      </c>
      <c r="J1250" s="25" t="e">
        <f t="shared" si="183"/>
        <v>#VALUE!</v>
      </c>
    </row>
    <row r="1251" spans="1:10" x14ac:dyDescent="0.25">
      <c r="A1251" s="25">
        <f t="shared" si="184"/>
        <v>2.3699999999998247</v>
      </c>
      <c r="B1251" s="25">
        <f t="shared" ca="1" si="177"/>
        <v>2.8793885352296832E-2</v>
      </c>
      <c r="C1251" s="25" t="e">
        <f t="shared" si="178"/>
        <v>#VALUE!</v>
      </c>
      <c r="D1251" s="74" t="e">
        <f t="shared" si="179"/>
        <v>#VALUE!</v>
      </c>
      <c r="E1251" s="25" t="e">
        <f t="shared" si="180"/>
        <v>#VALUE!</v>
      </c>
      <c r="F1251" s="25" t="e">
        <f t="shared" ca="1" si="181"/>
        <v>#VALUE!</v>
      </c>
      <c r="G1251" s="25"/>
      <c r="H1251" s="25" t="e">
        <f t="shared" si="185"/>
        <v>#VALUE!</v>
      </c>
      <c r="I1251" s="25">
        <f t="shared" si="182"/>
        <v>736.99999999998249</v>
      </c>
      <c r="J1251" s="25" t="e">
        <f t="shared" si="183"/>
        <v>#VALUE!</v>
      </c>
    </row>
    <row r="1252" spans="1:10" x14ac:dyDescent="0.25">
      <c r="A1252" s="25">
        <f t="shared" si="184"/>
        <v>2.3799999999998245</v>
      </c>
      <c r="B1252" s="25">
        <f t="shared" ca="1" si="177"/>
        <v>3.0739400171321069E-2</v>
      </c>
      <c r="C1252" s="25" t="e">
        <f t="shared" si="178"/>
        <v>#VALUE!</v>
      </c>
      <c r="D1252" s="74" t="e">
        <f t="shared" si="179"/>
        <v>#VALUE!</v>
      </c>
      <c r="E1252" s="25" t="e">
        <f t="shared" si="180"/>
        <v>#VALUE!</v>
      </c>
      <c r="F1252" s="25" t="e">
        <f t="shared" ca="1" si="181"/>
        <v>#VALUE!</v>
      </c>
      <c r="G1252" s="25"/>
      <c r="H1252" s="25" t="e">
        <f t="shared" si="185"/>
        <v>#VALUE!</v>
      </c>
      <c r="I1252" s="25">
        <f t="shared" si="182"/>
        <v>737.99999999998249</v>
      </c>
      <c r="J1252" s="25" t="e">
        <f t="shared" si="183"/>
        <v>#VALUE!</v>
      </c>
    </row>
    <row r="1253" spans="1:10" x14ac:dyDescent="0.25">
      <c r="A1253" s="25">
        <f t="shared" si="184"/>
        <v>2.3899999999998243</v>
      </c>
      <c r="B1253" s="25">
        <f t="shared" ca="1" si="177"/>
        <v>7.1917191932260455E-2</v>
      </c>
      <c r="C1253" s="25" t="e">
        <f t="shared" si="178"/>
        <v>#VALUE!</v>
      </c>
      <c r="D1253" s="74" t="e">
        <f t="shared" si="179"/>
        <v>#VALUE!</v>
      </c>
      <c r="E1253" s="25" t="e">
        <f t="shared" si="180"/>
        <v>#VALUE!</v>
      </c>
      <c r="F1253" s="25" t="e">
        <f t="shared" ca="1" si="181"/>
        <v>#VALUE!</v>
      </c>
      <c r="G1253" s="25"/>
      <c r="H1253" s="25" t="e">
        <f t="shared" si="185"/>
        <v>#VALUE!</v>
      </c>
      <c r="I1253" s="25">
        <f t="shared" si="182"/>
        <v>738.99999999998249</v>
      </c>
      <c r="J1253" s="25" t="e">
        <f t="shared" si="183"/>
        <v>#VALUE!</v>
      </c>
    </row>
    <row r="1254" spans="1:10" x14ac:dyDescent="0.25">
      <c r="A1254" s="25">
        <f t="shared" si="184"/>
        <v>2.3999999999998241</v>
      </c>
      <c r="B1254" s="25">
        <f t="shared" ca="1" si="177"/>
        <v>1.327656535906006E-3</v>
      </c>
      <c r="C1254" s="25" t="e">
        <f t="shared" si="178"/>
        <v>#VALUE!</v>
      </c>
      <c r="D1254" s="74" t="e">
        <f t="shared" si="179"/>
        <v>#VALUE!</v>
      </c>
      <c r="E1254" s="25" t="e">
        <f t="shared" si="180"/>
        <v>#VALUE!</v>
      </c>
      <c r="F1254" s="25" t="e">
        <f t="shared" ca="1" si="181"/>
        <v>#VALUE!</v>
      </c>
      <c r="G1254" s="25"/>
      <c r="H1254" s="25" t="e">
        <f t="shared" si="185"/>
        <v>#VALUE!</v>
      </c>
      <c r="I1254" s="25">
        <f t="shared" si="182"/>
        <v>739.99999999998249</v>
      </c>
      <c r="J1254" s="25" t="e">
        <f t="shared" si="183"/>
        <v>#VALUE!</v>
      </c>
    </row>
    <row r="1255" spans="1:10" x14ac:dyDescent="0.25">
      <c r="A1255" s="25">
        <f t="shared" si="184"/>
        <v>2.4099999999998238</v>
      </c>
      <c r="B1255" s="25">
        <f t="shared" ca="1" si="177"/>
        <v>-0.19506772985133733</v>
      </c>
      <c r="C1255" s="25" t="e">
        <f t="shared" si="178"/>
        <v>#VALUE!</v>
      </c>
      <c r="D1255" s="74" t="e">
        <f t="shared" si="179"/>
        <v>#VALUE!</v>
      </c>
      <c r="E1255" s="25" t="e">
        <f t="shared" si="180"/>
        <v>#VALUE!</v>
      </c>
      <c r="F1255" s="25" t="e">
        <f t="shared" ca="1" si="181"/>
        <v>#VALUE!</v>
      </c>
      <c r="G1255" s="25"/>
      <c r="H1255" s="25" t="e">
        <f t="shared" si="185"/>
        <v>#VALUE!</v>
      </c>
      <c r="I1255" s="25">
        <f t="shared" si="182"/>
        <v>740.99999999998249</v>
      </c>
      <c r="J1255" s="25" t="e">
        <f t="shared" si="183"/>
        <v>#VALUE!</v>
      </c>
    </row>
    <row r="1256" spans="1:10" x14ac:dyDescent="0.25">
      <c r="A1256" s="25">
        <f t="shared" si="184"/>
        <v>2.4199999999998236</v>
      </c>
      <c r="B1256" s="25">
        <f t="shared" ca="1" si="177"/>
        <v>6.1055132238998049E-2</v>
      </c>
      <c r="C1256" s="25" t="e">
        <f t="shared" si="178"/>
        <v>#VALUE!</v>
      </c>
      <c r="D1256" s="74" t="e">
        <f t="shared" si="179"/>
        <v>#VALUE!</v>
      </c>
      <c r="E1256" s="25" t="e">
        <f t="shared" si="180"/>
        <v>#VALUE!</v>
      </c>
      <c r="F1256" s="25" t="e">
        <f t="shared" ca="1" si="181"/>
        <v>#VALUE!</v>
      </c>
      <c r="G1256" s="25"/>
      <c r="H1256" s="25" t="e">
        <f t="shared" si="185"/>
        <v>#VALUE!</v>
      </c>
      <c r="I1256" s="25">
        <f t="shared" si="182"/>
        <v>741.99999999998249</v>
      </c>
      <c r="J1256" s="25" t="e">
        <f t="shared" si="183"/>
        <v>#VALUE!</v>
      </c>
    </row>
    <row r="1257" spans="1:10" x14ac:dyDescent="0.25">
      <c r="A1257" s="25">
        <f t="shared" si="184"/>
        <v>2.4299999999998234</v>
      </c>
      <c r="B1257" s="25">
        <f t="shared" ca="1" si="177"/>
        <v>-9.6073141745718016E-2</v>
      </c>
      <c r="C1257" s="25" t="e">
        <f t="shared" si="178"/>
        <v>#VALUE!</v>
      </c>
      <c r="D1257" s="74" t="e">
        <f t="shared" si="179"/>
        <v>#VALUE!</v>
      </c>
      <c r="E1257" s="25" t="e">
        <f t="shared" si="180"/>
        <v>#VALUE!</v>
      </c>
      <c r="F1257" s="25" t="e">
        <f t="shared" ca="1" si="181"/>
        <v>#VALUE!</v>
      </c>
      <c r="G1257" s="25"/>
      <c r="H1257" s="25" t="e">
        <f t="shared" si="185"/>
        <v>#VALUE!</v>
      </c>
      <c r="I1257" s="25">
        <f t="shared" si="182"/>
        <v>742.99999999998238</v>
      </c>
      <c r="J1257" s="25" t="e">
        <f t="shared" si="183"/>
        <v>#VALUE!</v>
      </c>
    </row>
    <row r="1258" spans="1:10" x14ac:dyDescent="0.25">
      <c r="A1258" s="25">
        <f t="shared" si="184"/>
        <v>2.4399999999998232</v>
      </c>
      <c r="B1258" s="25">
        <f t="shared" ca="1" si="177"/>
        <v>8.9415951700206955E-2</v>
      </c>
      <c r="C1258" s="25" t="e">
        <f t="shared" si="178"/>
        <v>#VALUE!</v>
      </c>
      <c r="D1258" s="74" t="e">
        <f t="shared" si="179"/>
        <v>#VALUE!</v>
      </c>
      <c r="E1258" s="25" t="e">
        <f t="shared" si="180"/>
        <v>#VALUE!</v>
      </c>
      <c r="F1258" s="25" t="e">
        <f t="shared" ca="1" si="181"/>
        <v>#VALUE!</v>
      </c>
      <c r="G1258" s="25"/>
      <c r="H1258" s="25" t="e">
        <f t="shared" si="185"/>
        <v>#VALUE!</v>
      </c>
      <c r="I1258" s="25">
        <f t="shared" si="182"/>
        <v>743.99999999998238</v>
      </c>
      <c r="J1258" s="25" t="e">
        <f t="shared" si="183"/>
        <v>#VALUE!</v>
      </c>
    </row>
    <row r="1259" spans="1:10" x14ac:dyDescent="0.25">
      <c r="A1259" s="25">
        <f t="shared" si="184"/>
        <v>2.449999999999823</v>
      </c>
      <c r="B1259" s="25">
        <f t="shared" ca="1" si="177"/>
        <v>2.2986249817555621E-2</v>
      </c>
      <c r="C1259" s="25" t="e">
        <f t="shared" si="178"/>
        <v>#VALUE!</v>
      </c>
      <c r="D1259" s="74" t="e">
        <f t="shared" si="179"/>
        <v>#VALUE!</v>
      </c>
      <c r="E1259" s="25" t="e">
        <f t="shared" si="180"/>
        <v>#VALUE!</v>
      </c>
      <c r="F1259" s="25" t="e">
        <f t="shared" ca="1" si="181"/>
        <v>#VALUE!</v>
      </c>
      <c r="G1259" s="25"/>
      <c r="H1259" s="25" t="e">
        <f t="shared" si="185"/>
        <v>#VALUE!</v>
      </c>
      <c r="I1259" s="25">
        <f t="shared" si="182"/>
        <v>744.99999999998238</v>
      </c>
      <c r="J1259" s="25" t="e">
        <f t="shared" si="183"/>
        <v>#VALUE!</v>
      </c>
    </row>
    <row r="1260" spans="1:10" x14ac:dyDescent="0.25">
      <c r="A1260" s="25">
        <f t="shared" si="184"/>
        <v>2.4599999999998228</v>
      </c>
      <c r="B1260" s="25">
        <f t="shared" ca="1" si="177"/>
        <v>5.3801914317466275E-2</v>
      </c>
      <c r="C1260" s="25" t="e">
        <f t="shared" si="178"/>
        <v>#VALUE!</v>
      </c>
      <c r="D1260" s="74" t="e">
        <f t="shared" si="179"/>
        <v>#VALUE!</v>
      </c>
      <c r="E1260" s="25" t="e">
        <f t="shared" si="180"/>
        <v>#VALUE!</v>
      </c>
      <c r="F1260" s="25" t="e">
        <f t="shared" ca="1" si="181"/>
        <v>#VALUE!</v>
      </c>
      <c r="G1260" s="25"/>
      <c r="H1260" s="25" t="e">
        <f t="shared" si="185"/>
        <v>#VALUE!</v>
      </c>
      <c r="I1260" s="25">
        <f t="shared" si="182"/>
        <v>745.99999999998238</v>
      </c>
      <c r="J1260" s="25" t="e">
        <f t="shared" si="183"/>
        <v>#VALUE!</v>
      </c>
    </row>
    <row r="1261" spans="1:10" x14ac:dyDescent="0.25">
      <c r="A1261" s="25">
        <f t="shared" si="184"/>
        <v>2.4699999999998226</v>
      </c>
      <c r="B1261" s="25">
        <f t="shared" ca="1" si="177"/>
        <v>2.5125934671180211E-2</v>
      </c>
      <c r="C1261" s="25" t="e">
        <f t="shared" si="178"/>
        <v>#VALUE!</v>
      </c>
      <c r="D1261" s="74" t="e">
        <f t="shared" si="179"/>
        <v>#VALUE!</v>
      </c>
      <c r="E1261" s="25" t="e">
        <f t="shared" si="180"/>
        <v>#VALUE!</v>
      </c>
      <c r="F1261" s="25" t="e">
        <f t="shared" ca="1" si="181"/>
        <v>#VALUE!</v>
      </c>
      <c r="G1261" s="25"/>
      <c r="H1261" s="25" t="e">
        <f t="shared" si="185"/>
        <v>#VALUE!</v>
      </c>
      <c r="I1261" s="25">
        <f t="shared" si="182"/>
        <v>746.99999999998226</v>
      </c>
      <c r="J1261" s="25" t="e">
        <f t="shared" si="183"/>
        <v>#VALUE!</v>
      </c>
    </row>
    <row r="1262" spans="1:10" x14ac:dyDescent="0.25">
      <c r="A1262" s="25">
        <f t="shared" si="184"/>
        <v>2.4799999999998223</v>
      </c>
      <c r="B1262" s="25">
        <f t="shared" ca="1" si="177"/>
        <v>5.3628101973187299E-2</v>
      </c>
      <c r="C1262" s="25" t="e">
        <f t="shared" si="178"/>
        <v>#VALUE!</v>
      </c>
      <c r="D1262" s="74" t="e">
        <f t="shared" si="179"/>
        <v>#VALUE!</v>
      </c>
      <c r="E1262" s="25" t="e">
        <f t="shared" si="180"/>
        <v>#VALUE!</v>
      </c>
      <c r="F1262" s="25" t="e">
        <f t="shared" ca="1" si="181"/>
        <v>#VALUE!</v>
      </c>
      <c r="G1262" s="25"/>
      <c r="H1262" s="25" t="e">
        <f t="shared" si="185"/>
        <v>#VALUE!</v>
      </c>
      <c r="I1262" s="25">
        <f t="shared" si="182"/>
        <v>747.99999999998226</v>
      </c>
      <c r="J1262" s="25" t="e">
        <f t="shared" si="183"/>
        <v>#VALUE!</v>
      </c>
    </row>
    <row r="1263" spans="1:10" x14ac:dyDescent="0.25">
      <c r="A1263" s="25">
        <f t="shared" si="184"/>
        <v>2.4899999999998221</v>
      </c>
      <c r="B1263" s="25">
        <f t="shared" ca="1" si="177"/>
        <v>0.12108424660542554</v>
      </c>
      <c r="C1263" s="25" t="e">
        <f t="shared" si="178"/>
        <v>#VALUE!</v>
      </c>
      <c r="D1263" s="74" t="e">
        <f t="shared" si="179"/>
        <v>#VALUE!</v>
      </c>
      <c r="E1263" s="25" t="e">
        <f t="shared" si="180"/>
        <v>#VALUE!</v>
      </c>
      <c r="F1263" s="25" t="e">
        <f t="shared" ca="1" si="181"/>
        <v>#VALUE!</v>
      </c>
      <c r="G1263" s="25"/>
      <c r="H1263" s="25" t="e">
        <f t="shared" si="185"/>
        <v>#VALUE!</v>
      </c>
      <c r="I1263" s="25">
        <f t="shared" si="182"/>
        <v>748.99999999998226</v>
      </c>
      <c r="J1263" s="25" t="e">
        <f t="shared" si="183"/>
        <v>#VALUE!</v>
      </c>
    </row>
    <row r="1264" spans="1:10" x14ac:dyDescent="0.25">
      <c r="A1264" s="25">
        <f t="shared" si="184"/>
        <v>2.4999999999998219</v>
      </c>
      <c r="B1264" s="25">
        <f t="shared" ca="1" si="177"/>
        <v>4.268299560794056E-2</v>
      </c>
      <c r="C1264" s="25" t="e">
        <f t="shared" si="178"/>
        <v>#VALUE!</v>
      </c>
      <c r="D1264" s="74" t="e">
        <f t="shared" si="179"/>
        <v>#VALUE!</v>
      </c>
      <c r="E1264" s="25" t="e">
        <f t="shared" si="180"/>
        <v>#VALUE!</v>
      </c>
      <c r="F1264" s="25" t="e">
        <f t="shared" ca="1" si="181"/>
        <v>#VALUE!</v>
      </c>
      <c r="G1264" s="25"/>
      <c r="H1264" s="25" t="e">
        <f t="shared" si="185"/>
        <v>#VALUE!</v>
      </c>
      <c r="I1264" s="25">
        <f t="shared" si="182"/>
        <v>749.99999999998226</v>
      </c>
      <c r="J1264" s="25" t="e">
        <f t="shared" si="183"/>
        <v>#VALUE!</v>
      </c>
    </row>
    <row r="1265" spans="1:10" x14ac:dyDescent="0.25">
      <c r="A1265" s="25">
        <f t="shared" si="184"/>
        <v>2.5099999999998217</v>
      </c>
      <c r="B1265" s="25">
        <f t="shared" ca="1" si="177"/>
        <v>3.6426529293309758E-2</v>
      </c>
      <c r="C1265" s="25" t="e">
        <f t="shared" si="178"/>
        <v>#VALUE!</v>
      </c>
      <c r="D1265" s="74" t="e">
        <f t="shared" si="179"/>
        <v>#VALUE!</v>
      </c>
      <c r="E1265" s="25" t="e">
        <f t="shared" si="180"/>
        <v>#VALUE!</v>
      </c>
      <c r="F1265" s="25" t="e">
        <f t="shared" ca="1" si="181"/>
        <v>#VALUE!</v>
      </c>
      <c r="G1265" s="25"/>
      <c r="H1265" s="25" t="e">
        <f t="shared" si="185"/>
        <v>#VALUE!</v>
      </c>
      <c r="I1265" s="25">
        <f t="shared" si="182"/>
        <v>750.99999999998215</v>
      </c>
      <c r="J1265" s="25" t="e">
        <f t="shared" si="183"/>
        <v>#VALUE!</v>
      </c>
    </row>
    <row r="1266" spans="1:10" x14ac:dyDescent="0.25">
      <c r="A1266" s="25">
        <f t="shared" si="184"/>
        <v>2.5199999999998215</v>
      </c>
      <c r="B1266" s="25">
        <f t="shared" ca="1" si="177"/>
        <v>-0.1048447452550777</v>
      </c>
      <c r="C1266" s="25" t="e">
        <f t="shared" si="178"/>
        <v>#VALUE!</v>
      </c>
      <c r="D1266" s="74" t="e">
        <f t="shared" si="179"/>
        <v>#VALUE!</v>
      </c>
      <c r="E1266" s="25" t="e">
        <f t="shared" si="180"/>
        <v>#VALUE!</v>
      </c>
      <c r="F1266" s="25" t="e">
        <f t="shared" ca="1" si="181"/>
        <v>#VALUE!</v>
      </c>
      <c r="G1266" s="25"/>
      <c r="H1266" s="25" t="e">
        <f t="shared" si="185"/>
        <v>#VALUE!</v>
      </c>
      <c r="I1266" s="25">
        <f t="shared" si="182"/>
        <v>751.99999999998215</v>
      </c>
      <c r="J1266" s="25" t="e">
        <f t="shared" si="183"/>
        <v>#VALUE!</v>
      </c>
    </row>
    <row r="1267" spans="1:10" x14ac:dyDescent="0.25">
      <c r="A1267" s="25">
        <f t="shared" si="184"/>
        <v>2.5299999999998213</v>
      </c>
      <c r="B1267" s="25">
        <f t="shared" ca="1" si="177"/>
        <v>0.12563955800960155</v>
      </c>
      <c r="C1267" s="25" t="e">
        <f t="shared" si="178"/>
        <v>#VALUE!</v>
      </c>
      <c r="D1267" s="74" t="e">
        <f t="shared" si="179"/>
        <v>#VALUE!</v>
      </c>
      <c r="E1267" s="25" t="e">
        <f t="shared" si="180"/>
        <v>#VALUE!</v>
      </c>
      <c r="F1267" s="25" t="e">
        <f t="shared" ca="1" si="181"/>
        <v>#VALUE!</v>
      </c>
      <c r="G1267" s="25"/>
      <c r="H1267" s="25" t="e">
        <f t="shared" si="185"/>
        <v>#VALUE!</v>
      </c>
      <c r="I1267" s="25">
        <f t="shared" si="182"/>
        <v>752.99999999998215</v>
      </c>
      <c r="J1267" s="25" t="e">
        <f t="shared" si="183"/>
        <v>#VALUE!</v>
      </c>
    </row>
    <row r="1268" spans="1:10" x14ac:dyDescent="0.25">
      <c r="A1268" s="25">
        <f t="shared" si="184"/>
        <v>2.5399999999998211</v>
      </c>
      <c r="B1268" s="25">
        <f t="shared" ca="1" si="177"/>
        <v>6.980070685859166E-2</v>
      </c>
      <c r="C1268" s="25" t="e">
        <f t="shared" si="178"/>
        <v>#VALUE!</v>
      </c>
      <c r="D1268" s="74" t="e">
        <f t="shared" si="179"/>
        <v>#VALUE!</v>
      </c>
      <c r="E1268" s="25" t="e">
        <f t="shared" si="180"/>
        <v>#VALUE!</v>
      </c>
      <c r="F1268" s="25" t="e">
        <f t="shared" ca="1" si="181"/>
        <v>#VALUE!</v>
      </c>
      <c r="G1268" s="25"/>
      <c r="H1268" s="25" t="e">
        <f t="shared" si="185"/>
        <v>#VALUE!</v>
      </c>
      <c r="I1268" s="25">
        <f t="shared" si="182"/>
        <v>753.99999999998215</v>
      </c>
      <c r="J1268" s="25" t="e">
        <f t="shared" si="183"/>
        <v>#VALUE!</v>
      </c>
    </row>
    <row r="1269" spans="1:10" x14ac:dyDescent="0.25">
      <c r="A1269" s="25">
        <f t="shared" si="184"/>
        <v>2.5499999999998209</v>
      </c>
      <c r="B1269" s="25">
        <f t="shared" ca="1" si="177"/>
        <v>6.0668069761599837E-2</v>
      </c>
      <c r="C1269" s="25" t="e">
        <f t="shared" si="178"/>
        <v>#VALUE!</v>
      </c>
      <c r="D1269" s="74" t="e">
        <f t="shared" si="179"/>
        <v>#VALUE!</v>
      </c>
      <c r="E1269" s="25" t="e">
        <f t="shared" si="180"/>
        <v>#VALUE!</v>
      </c>
      <c r="F1269" s="25" t="e">
        <f t="shared" ca="1" si="181"/>
        <v>#VALUE!</v>
      </c>
      <c r="G1269" s="25"/>
      <c r="H1269" s="25" t="e">
        <f t="shared" si="185"/>
        <v>#VALUE!</v>
      </c>
      <c r="I1269" s="25">
        <f t="shared" si="182"/>
        <v>754.99999999998215</v>
      </c>
      <c r="J1269" s="25" t="e">
        <f t="shared" si="183"/>
        <v>#VALUE!</v>
      </c>
    </row>
    <row r="1270" spans="1:10" x14ac:dyDescent="0.25">
      <c r="A1270" s="25">
        <f t="shared" si="184"/>
        <v>2.5599999999998206</v>
      </c>
      <c r="B1270" s="25">
        <f t="shared" ca="1" si="177"/>
        <v>1.0474182160688508E-2</v>
      </c>
      <c r="C1270" s="25" t="e">
        <f t="shared" si="178"/>
        <v>#VALUE!</v>
      </c>
      <c r="D1270" s="74" t="e">
        <f t="shared" si="179"/>
        <v>#VALUE!</v>
      </c>
      <c r="E1270" s="25" t="e">
        <f t="shared" si="180"/>
        <v>#VALUE!</v>
      </c>
      <c r="F1270" s="25" t="e">
        <f t="shared" ca="1" si="181"/>
        <v>#VALUE!</v>
      </c>
      <c r="G1270" s="25"/>
      <c r="H1270" s="25" t="e">
        <f t="shared" si="185"/>
        <v>#VALUE!</v>
      </c>
      <c r="I1270" s="25">
        <f t="shared" si="182"/>
        <v>755.99999999998204</v>
      </c>
      <c r="J1270" s="25" t="e">
        <f t="shared" si="183"/>
        <v>#VALUE!</v>
      </c>
    </row>
    <row r="1271" spans="1:10" x14ac:dyDescent="0.25">
      <c r="A1271" s="25">
        <f t="shared" si="184"/>
        <v>2.5699999999998204</v>
      </c>
      <c r="B1271" s="25">
        <f t="shared" ca="1" si="177"/>
        <v>-0.11052871573080192</v>
      </c>
      <c r="C1271" s="25" t="e">
        <f t="shared" si="178"/>
        <v>#VALUE!</v>
      </c>
      <c r="D1271" s="74" t="e">
        <f t="shared" si="179"/>
        <v>#VALUE!</v>
      </c>
      <c r="E1271" s="25" t="e">
        <f t="shared" si="180"/>
        <v>#VALUE!</v>
      </c>
      <c r="F1271" s="25" t="e">
        <f t="shared" ca="1" si="181"/>
        <v>#VALUE!</v>
      </c>
      <c r="G1271" s="25"/>
      <c r="H1271" s="25" t="e">
        <f t="shared" si="185"/>
        <v>#VALUE!</v>
      </c>
      <c r="I1271" s="25">
        <f t="shared" si="182"/>
        <v>756.99999999998204</v>
      </c>
      <c r="J1271" s="25" t="e">
        <f t="shared" si="183"/>
        <v>#VALUE!</v>
      </c>
    </row>
    <row r="1272" spans="1:10" x14ac:dyDescent="0.25">
      <c r="A1272" s="25">
        <f t="shared" si="184"/>
        <v>2.5799999999998202</v>
      </c>
      <c r="B1272" s="25">
        <f t="shared" ca="1" si="177"/>
        <v>-0.18715532610123628</v>
      </c>
      <c r="C1272" s="25" t="e">
        <f t="shared" si="178"/>
        <v>#VALUE!</v>
      </c>
      <c r="D1272" s="74" t="e">
        <f t="shared" si="179"/>
        <v>#VALUE!</v>
      </c>
      <c r="E1272" s="25" t="e">
        <f t="shared" si="180"/>
        <v>#VALUE!</v>
      </c>
      <c r="F1272" s="25" t="e">
        <f t="shared" ca="1" si="181"/>
        <v>#VALUE!</v>
      </c>
      <c r="G1272" s="25"/>
      <c r="H1272" s="25" t="e">
        <f t="shared" si="185"/>
        <v>#VALUE!</v>
      </c>
      <c r="I1272" s="25">
        <f t="shared" si="182"/>
        <v>757.99999999998204</v>
      </c>
      <c r="J1272" s="25" t="e">
        <f t="shared" si="183"/>
        <v>#VALUE!</v>
      </c>
    </row>
    <row r="1273" spans="1:10" x14ac:dyDescent="0.25">
      <c r="A1273" s="25">
        <f t="shared" si="184"/>
        <v>2.58999999999982</v>
      </c>
      <c r="B1273" s="25">
        <f t="shared" ca="1" si="177"/>
        <v>5.0740828041925361E-2</v>
      </c>
      <c r="C1273" s="25" t="e">
        <f t="shared" si="178"/>
        <v>#VALUE!</v>
      </c>
      <c r="D1273" s="74" t="e">
        <f t="shared" si="179"/>
        <v>#VALUE!</v>
      </c>
      <c r="E1273" s="25" t="e">
        <f t="shared" si="180"/>
        <v>#VALUE!</v>
      </c>
      <c r="F1273" s="25" t="e">
        <f t="shared" ca="1" si="181"/>
        <v>#VALUE!</v>
      </c>
      <c r="G1273" s="25"/>
      <c r="H1273" s="25" t="e">
        <f t="shared" si="185"/>
        <v>#VALUE!</v>
      </c>
      <c r="I1273" s="25">
        <f t="shared" si="182"/>
        <v>758.99999999998204</v>
      </c>
      <c r="J1273" s="25" t="e">
        <f t="shared" si="183"/>
        <v>#VALUE!</v>
      </c>
    </row>
    <row r="1274" spans="1:10" x14ac:dyDescent="0.25">
      <c r="A1274" s="25">
        <f t="shared" si="184"/>
        <v>2.5999999999998198</v>
      </c>
      <c r="B1274" s="25">
        <f t="shared" ca="1" si="177"/>
        <v>-4.3949768845268918E-2</v>
      </c>
      <c r="C1274" s="25" t="e">
        <f t="shared" si="178"/>
        <v>#VALUE!</v>
      </c>
      <c r="D1274" s="74" t="e">
        <f t="shared" si="179"/>
        <v>#VALUE!</v>
      </c>
      <c r="E1274" s="25" t="e">
        <f t="shared" si="180"/>
        <v>#VALUE!</v>
      </c>
      <c r="F1274" s="25" t="e">
        <f t="shared" ca="1" si="181"/>
        <v>#VALUE!</v>
      </c>
      <c r="G1274" s="25"/>
      <c r="H1274" s="25" t="e">
        <f t="shared" si="185"/>
        <v>#VALUE!</v>
      </c>
      <c r="I1274" s="25">
        <f t="shared" si="182"/>
        <v>759.99999999998204</v>
      </c>
      <c r="J1274" s="25" t="e">
        <f t="shared" si="183"/>
        <v>#VALUE!</v>
      </c>
    </row>
    <row r="1275" spans="1:10" x14ac:dyDescent="0.25">
      <c r="A1275" s="25">
        <f t="shared" si="184"/>
        <v>2.6099999999998196</v>
      </c>
      <c r="B1275" s="25">
        <f t="shared" ca="1" si="177"/>
        <v>5.8332643222611474E-2</v>
      </c>
      <c r="C1275" s="25" t="e">
        <f t="shared" si="178"/>
        <v>#VALUE!</v>
      </c>
      <c r="D1275" s="74" t="e">
        <f t="shared" si="179"/>
        <v>#VALUE!</v>
      </c>
      <c r="E1275" s="25" t="e">
        <f t="shared" si="180"/>
        <v>#VALUE!</v>
      </c>
      <c r="F1275" s="25" t="e">
        <f t="shared" ca="1" si="181"/>
        <v>#VALUE!</v>
      </c>
      <c r="G1275" s="25"/>
      <c r="H1275" s="25" t="e">
        <f t="shared" si="185"/>
        <v>#VALUE!</v>
      </c>
      <c r="I1275" s="25">
        <f t="shared" si="182"/>
        <v>760.99999999998204</v>
      </c>
      <c r="J1275" s="25" t="e">
        <f t="shared" si="183"/>
        <v>#VALUE!</v>
      </c>
    </row>
    <row r="1276" spans="1:10" x14ac:dyDescent="0.25">
      <c r="A1276" s="25">
        <f t="shared" si="184"/>
        <v>2.6199999999998194</v>
      </c>
      <c r="B1276" s="25">
        <f t="shared" ca="1" si="177"/>
        <v>6.730576962441355E-2</v>
      </c>
      <c r="C1276" s="25" t="e">
        <f t="shared" si="178"/>
        <v>#VALUE!</v>
      </c>
      <c r="D1276" s="74" t="e">
        <f t="shared" si="179"/>
        <v>#VALUE!</v>
      </c>
      <c r="E1276" s="25" t="e">
        <f t="shared" si="180"/>
        <v>#VALUE!</v>
      </c>
      <c r="F1276" s="25" t="e">
        <f t="shared" ca="1" si="181"/>
        <v>#VALUE!</v>
      </c>
      <c r="G1276" s="25"/>
      <c r="H1276" s="25" t="e">
        <f t="shared" si="185"/>
        <v>#VALUE!</v>
      </c>
      <c r="I1276" s="25">
        <f t="shared" si="182"/>
        <v>761.99999999998204</v>
      </c>
      <c r="J1276" s="25" t="e">
        <f t="shared" si="183"/>
        <v>#VALUE!</v>
      </c>
    </row>
    <row r="1277" spans="1:10" x14ac:dyDescent="0.25">
      <c r="A1277" s="25">
        <f t="shared" si="184"/>
        <v>2.6299999999998191</v>
      </c>
      <c r="B1277" s="25">
        <f t="shared" ca="1" si="177"/>
        <v>-4.3069963043377485E-2</v>
      </c>
      <c r="C1277" s="25" t="e">
        <f t="shared" si="178"/>
        <v>#VALUE!</v>
      </c>
      <c r="D1277" s="74" t="e">
        <f t="shared" si="179"/>
        <v>#VALUE!</v>
      </c>
      <c r="E1277" s="25" t="e">
        <f t="shared" si="180"/>
        <v>#VALUE!</v>
      </c>
      <c r="F1277" s="25" t="e">
        <f t="shared" ca="1" si="181"/>
        <v>#VALUE!</v>
      </c>
      <c r="G1277" s="25"/>
      <c r="H1277" s="25" t="e">
        <f t="shared" si="185"/>
        <v>#VALUE!</v>
      </c>
      <c r="I1277" s="25">
        <f t="shared" si="182"/>
        <v>762.99999999998204</v>
      </c>
      <c r="J1277" s="25" t="e">
        <f t="shared" si="183"/>
        <v>#VALUE!</v>
      </c>
    </row>
    <row r="1278" spans="1:10" x14ac:dyDescent="0.25">
      <c r="A1278" s="25">
        <f t="shared" si="184"/>
        <v>2.6399999999998189</v>
      </c>
      <c r="B1278" s="25">
        <f t="shared" ca="1" si="177"/>
        <v>-9.0073417104117384E-2</v>
      </c>
      <c r="C1278" s="25" t="e">
        <f t="shared" si="178"/>
        <v>#VALUE!</v>
      </c>
      <c r="D1278" s="74" t="e">
        <f t="shared" si="179"/>
        <v>#VALUE!</v>
      </c>
      <c r="E1278" s="25" t="e">
        <f t="shared" si="180"/>
        <v>#VALUE!</v>
      </c>
      <c r="F1278" s="25" t="e">
        <f t="shared" ca="1" si="181"/>
        <v>#VALUE!</v>
      </c>
      <c r="G1278" s="25"/>
      <c r="H1278" s="25" t="e">
        <f t="shared" si="185"/>
        <v>#VALUE!</v>
      </c>
      <c r="I1278" s="25">
        <f t="shared" si="182"/>
        <v>763.99999999998192</v>
      </c>
      <c r="J1278" s="25" t="e">
        <f t="shared" si="183"/>
        <v>#VALUE!</v>
      </c>
    </row>
    <row r="1279" spans="1:10" x14ac:dyDescent="0.25">
      <c r="A1279" s="25">
        <f t="shared" si="184"/>
        <v>2.6499999999998187</v>
      </c>
      <c r="B1279" s="25">
        <f t="shared" ca="1" si="177"/>
        <v>0.11787933333052592</v>
      </c>
      <c r="C1279" s="25" t="e">
        <f t="shared" si="178"/>
        <v>#VALUE!</v>
      </c>
      <c r="D1279" s="74" t="e">
        <f t="shared" si="179"/>
        <v>#VALUE!</v>
      </c>
      <c r="E1279" s="25" t="e">
        <f t="shared" si="180"/>
        <v>#VALUE!</v>
      </c>
      <c r="F1279" s="25" t="e">
        <f t="shared" ca="1" si="181"/>
        <v>#VALUE!</v>
      </c>
      <c r="G1279" s="25"/>
      <c r="H1279" s="25" t="e">
        <f t="shared" si="185"/>
        <v>#VALUE!</v>
      </c>
      <c r="I1279" s="25">
        <f t="shared" si="182"/>
        <v>764.99999999998192</v>
      </c>
      <c r="J1279" s="25" t="e">
        <f t="shared" si="183"/>
        <v>#VALUE!</v>
      </c>
    </row>
    <row r="1280" spans="1:10" x14ac:dyDescent="0.25">
      <c r="A1280" s="25">
        <f t="shared" si="184"/>
        <v>2.6599999999998185</v>
      </c>
      <c r="B1280" s="25">
        <f t="shared" ca="1" si="177"/>
        <v>5.9416233369170741E-2</v>
      </c>
      <c r="C1280" s="25" t="e">
        <f t="shared" si="178"/>
        <v>#VALUE!</v>
      </c>
      <c r="D1280" s="74" t="e">
        <f t="shared" si="179"/>
        <v>#VALUE!</v>
      </c>
      <c r="E1280" s="25" t="e">
        <f t="shared" si="180"/>
        <v>#VALUE!</v>
      </c>
      <c r="F1280" s="25" t="e">
        <f t="shared" ca="1" si="181"/>
        <v>#VALUE!</v>
      </c>
      <c r="G1280" s="25"/>
      <c r="H1280" s="25" t="e">
        <f t="shared" si="185"/>
        <v>#VALUE!</v>
      </c>
      <c r="I1280" s="25">
        <f t="shared" si="182"/>
        <v>765.99999999998192</v>
      </c>
      <c r="J1280" s="25" t="e">
        <f t="shared" si="183"/>
        <v>#VALUE!</v>
      </c>
    </row>
    <row r="1281" spans="1:10" x14ac:dyDescent="0.25">
      <c r="A1281" s="25">
        <f t="shared" si="184"/>
        <v>2.6699999999998183</v>
      </c>
      <c r="B1281" s="25">
        <f t="shared" ca="1" si="177"/>
        <v>-0.14875951520147226</v>
      </c>
      <c r="C1281" s="25" t="e">
        <f t="shared" si="178"/>
        <v>#VALUE!</v>
      </c>
      <c r="D1281" s="74" t="e">
        <f t="shared" si="179"/>
        <v>#VALUE!</v>
      </c>
      <c r="E1281" s="25" t="e">
        <f t="shared" si="180"/>
        <v>#VALUE!</v>
      </c>
      <c r="F1281" s="25" t="e">
        <f t="shared" ca="1" si="181"/>
        <v>#VALUE!</v>
      </c>
      <c r="G1281" s="25"/>
      <c r="H1281" s="25" t="e">
        <f t="shared" si="185"/>
        <v>#VALUE!</v>
      </c>
      <c r="I1281" s="25">
        <f t="shared" si="182"/>
        <v>766.99999999998192</v>
      </c>
      <c r="J1281" s="25" t="e">
        <f t="shared" si="183"/>
        <v>#VALUE!</v>
      </c>
    </row>
    <row r="1282" spans="1:10" x14ac:dyDescent="0.25">
      <c r="A1282" s="25">
        <f t="shared" si="184"/>
        <v>2.6799999999998181</v>
      </c>
      <c r="B1282" s="25">
        <f t="shared" ca="1" si="177"/>
        <v>-9.8849875716066848E-2</v>
      </c>
      <c r="C1282" s="25" t="e">
        <f t="shared" si="178"/>
        <v>#VALUE!</v>
      </c>
      <c r="D1282" s="74" t="e">
        <f t="shared" si="179"/>
        <v>#VALUE!</v>
      </c>
      <c r="E1282" s="25" t="e">
        <f t="shared" si="180"/>
        <v>#VALUE!</v>
      </c>
      <c r="F1282" s="25" t="e">
        <f t="shared" ca="1" si="181"/>
        <v>#VALUE!</v>
      </c>
      <c r="G1282" s="25"/>
      <c r="H1282" s="25" t="e">
        <f t="shared" si="185"/>
        <v>#VALUE!</v>
      </c>
      <c r="I1282" s="25">
        <f t="shared" si="182"/>
        <v>767.99999999998181</v>
      </c>
      <c r="J1282" s="25" t="e">
        <f t="shared" si="183"/>
        <v>#VALUE!</v>
      </c>
    </row>
    <row r="1283" spans="1:10" x14ac:dyDescent="0.25">
      <c r="A1283" s="25">
        <f t="shared" si="184"/>
        <v>2.6899999999998179</v>
      </c>
      <c r="B1283" s="25">
        <f t="shared" ca="1" si="177"/>
        <v>-0.13535817488813626</v>
      </c>
      <c r="C1283" s="25" t="e">
        <f t="shared" si="178"/>
        <v>#VALUE!</v>
      </c>
      <c r="D1283" s="74" t="e">
        <f t="shared" si="179"/>
        <v>#VALUE!</v>
      </c>
      <c r="E1283" s="25" t="e">
        <f t="shared" si="180"/>
        <v>#VALUE!</v>
      </c>
      <c r="F1283" s="25" t="e">
        <f t="shared" ca="1" si="181"/>
        <v>#VALUE!</v>
      </c>
      <c r="G1283" s="25"/>
      <c r="H1283" s="25" t="e">
        <f t="shared" si="185"/>
        <v>#VALUE!</v>
      </c>
      <c r="I1283" s="25">
        <f t="shared" si="182"/>
        <v>768.99999999998181</v>
      </c>
      <c r="J1283" s="25" t="e">
        <f t="shared" si="183"/>
        <v>#VALUE!</v>
      </c>
    </row>
    <row r="1284" spans="1:10" x14ac:dyDescent="0.25">
      <c r="A1284" s="25">
        <f t="shared" si="184"/>
        <v>2.6999999999998177</v>
      </c>
      <c r="B1284" s="25">
        <f t="shared" ca="1" si="177"/>
        <v>-8.3890042650818966E-2</v>
      </c>
      <c r="C1284" s="25" t="e">
        <f t="shared" si="178"/>
        <v>#VALUE!</v>
      </c>
      <c r="D1284" s="74" t="e">
        <f t="shared" si="179"/>
        <v>#VALUE!</v>
      </c>
      <c r="E1284" s="25" t="e">
        <f t="shared" si="180"/>
        <v>#VALUE!</v>
      </c>
      <c r="F1284" s="25" t="e">
        <f t="shared" ca="1" si="181"/>
        <v>#VALUE!</v>
      </c>
      <c r="G1284" s="25"/>
      <c r="H1284" s="25" t="e">
        <f t="shared" si="185"/>
        <v>#VALUE!</v>
      </c>
      <c r="I1284" s="25">
        <f t="shared" si="182"/>
        <v>769.99999999998181</v>
      </c>
      <c r="J1284" s="25" t="e">
        <f t="shared" si="183"/>
        <v>#VALUE!</v>
      </c>
    </row>
    <row r="1285" spans="1:10" x14ac:dyDescent="0.25">
      <c r="A1285" s="25">
        <f t="shared" si="184"/>
        <v>2.7099999999998174</v>
      </c>
      <c r="B1285" s="25">
        <f t="shared" ca="1" si="177"/>
        <v>-0.17082363247426782</v>
      </c>
      <c r="C1285" s="25" t="e">
        <f t="shared" si="178"/>
        <v>#VALUE!</v>
      </c>
      <c r="D1285" s="74" t="e">
        <f t="shared" si="179"/>
        <v>#VALUE!</v>
      </c>
      <c r="E1285" s="25" t="e">
        <f t="shared" si="180"/>
        <v>#VALUE!</v>
      </c>
      <c r="F1285" s="25" t="e">
        <f t="shared" ca="1" si="181"/>
        <v>#VALUE!</v>
      </c>
      <c r="G1285" s="25"/>
      <c r="H1285" s="25" t="e">
        <f t="shared" si="185"/>
        <v>#VALUE!</v>
      </c>
      <c r="I1285" s="25">
        <f t="shared" si="182"/>
        <v>770.99999999998181</v>
      </c>
      <c r="J1285" s="25" t="e">
        <f t="shared" si="183"/>
        <v>#VALUE!</v>
      </c>
    </row>
    <row r="1286" spans="1:10" x14ac:dyDescent="0.25">
      <c r="A1286" s="25">
        <f t="shared" si="184"/>
        <v>2.7199999999998172</v>
      </c>
      <c r="B1286" s="25">
        <f t="shared" ca="1" si="177"/>
        <v>-1.2289211488419263E-2</v>
      </c>
      <c r="C1286" s="25" t="e">
        <f t="shared" si="178"/>
        <v>#VALUE!</v>
      </c>
      <c r="D1286" s="74" t="e">
        <f t="shared" si="179"/>
        <v>#VALUE!</v>
      </c>
      <c r="E1286" s="25" t="e">
        <f t="shared" si="180"/>
        <v>#VALUE!</v>
      </c>
      <c r="F1286" s="25" t="e">
        <f t="shared" ca="1" si="181"/>
        <v>#VALUE!</v>
      </c>
      <c r="G1286" s="25"/>
      <c r="H1286" s="25" t="e">
        <f t="shared" si="185"/>
        <v>#VALUE!</v>
      </c>
      <c r="I1286" s="25">
        <f t="shared" si="182"/>
        <v>771.99999999998181</v>
      </c>
      <c r="J1286" s="25" t="e">
        <f t="shared" si="183"/>
        <v>#VALUE!</v>
      </c>
    </row>
    <row r="1287" spans="1:10" x14ac:dyDescent="0.25">
      <c r="A1287" s="25">
        <f t="shared" si="184"/>
        <v>2.729999999999817</v>
      </c>
      <c r="B1287" s="25">
        <f t="shared" ca="1" si="177"/>
        <v>1.398541452661827E-2</v>
      </c>
      <c r="C1287" s="25" t="e">
        <f t="shared" si="178"/>
        <v>#VALUE!</v>
      </c>
      <c r="D1287" s="74" t="e">
        <f t="shared" si="179"/>
        <v>#VALUE!</v>
      </c>
      <c r="E1287" s="25" t="e">
        <f t="shared" si="180"/>
        <v>#VALUE!</v>
      </c>
      <c r="F1287" s="25" t="e">
        <f t="shared" ca="1" si="181"/>
        <v>#VALUE!</v>
      </c>
      <c r="G1287" s="25"/>
      <c r="H1287" s="25" t="e">
        <f t="shared" si="185"/>
        <v>#VALUE!</v>
      </c>
      <c r="I1287" s="25">
        <f t="shared" si="182"/>
        <v>772.9999999999817</v>
      </c>
      <c r="J1287" s="25" t="e">
        <f t="shared" si="183"/>
        <v>#VALUE!</v>
      </c>
    </row>
    <row r="1288" spans="1:10" x14ac:dyDescent="0.25">
      <c r="A1288" s="25">
        <f t="shared" si="184"/>
        <v>2.7399999999998168</v>
      </c>
      <c r="B1288" s="25">
        <f t="shared" ca="1" si="177"/>
        <v>-2.1538449014330451E-2</v>
      </c>
      <c r="C1288" s="25" t="e">
        <f t="shared" si="178"/>
        <v>#VALUE!</v>
      </c>
      <c r="D1288" s="74" t="e">
        <f t="shared" si="179"/>
        <v>#VALUE!</v>
      </c>
      <c r="E1288" s="25" t="e">
        <f t="shared" si="180"/>
        <v>#VALUE!</v>
      </c>
      <c r="F1288" s="25" t="e">
        <f t="shared" ca="1" si="181"/>
        <v>#VALUE!</v>
      </c>
      <c r="G1288" s="25"/>
      <c r="H1288" s="25" t="e">
        <f t="shared" si="185"/>
        <v>#VALUE!</v>
      </c>
      <c r="I1288" s="25">
        <f t="shared" si="182"/>
        <v>773.9999999999817</v>
      </c>
      <c r="J1288" s="25" t="e">
        <f t="shared" si="183"/>
        <v>#VALUE!</v>
      </c>
    </row>
    <row r="1289" spans="1:10" x14ac:dyDescent="0.25">
      <c r="A1289" s="25">
        <f t="shared" si="184"/>
        <v>2.7499999999998166</v>
      </c>
      <c r="B1289" s="25">
        <f t="shared" ca="1" si="177"/>
        <v>-0.11370144590649549</v>
      </c>
      <c r="C1289" s="25" t="e">
        <f t="shared" si="178"/>
        <v>#VALUE!</v>
      </c>
      <c r="D1289" s="74" t="e">
        <f t="shared" si="179"/>
        <v>#VALUE!</v>
      </c>
      <c r="E1289" s="25" t="e">
        <f t="shared" si="180"/>
        <v>#VALUE!</v>
      </c>
      <c r="F1289" s="25" t="e">
        <f t="shared" ca="1" si="181"/>
        <v>#VALUE!</v>
      </c>
      <c r="G1289" s="25"/>
      <c r="H1289" s="25" t="e">
        <f t="shared" si="185"/>
        <v>#VALUE!</v>
      </c>
      <c r="I1289" s="25">
        <f t="shared" si="182"/>
        <v>774.9999999999817</v>
      </c>
      <c r="J1289" s="25" t="e">
        <f t="shared" si="183"/>
        <v>#VALUE!</v>
      </c>
    </row>
    <row r="1290" spans="1:10" x14ac:dyDescent="0.25">
      <c r="A1290" s="25">
        <f t="shared" si="184"/>
        <v>2.7599999999998164</v>
      </c>
      <c r="B1290" s="25">
        <f t="shared" ca="1" si="177"/>
        <v>7.5744562744122765E-2</v>
      </c>
      <c r="C1290" s="25" t="e">
        <f t="shared" si="178"/>
        <v>#VALUE!</v>
      </c>
      <c r="D1290" s="74" t="e">
        <f t="shared" si="179"/>
        <v>#VALUE!</v>
      </c>
      <c r="E1290" s="25" t="e">
        <f t="shared" si="180"/>
        <v>#VALUE!</v>
      </c>
      <c r="F1290" s="25" t="e">
        <f t="shared" ca="1" si="181"/>
        <v>#VALUE!</v>
      </c>
      <c r="G1290" s="25"/>
      <c r="H1290" s="25" t="e">
        <f t="shared" si="185"/>
        <v>#VALUE!</v>
      </c>
      <c r="I1290" s="25">
        <f t="shared" si="182"/>
        <v>775.9999999999817</v>
      </c>
      <c r="J1290" s="25" t="e">
        <f t="shared" si="183"/>
        <v>#VALUE!</v>
      </c>
    </row>
    <row r="1291" spans="1:10" x14ac:dyDescent="0.25">
      <c r="A1291" s="25">
        <f t="shared" si="184"/>
        <v>2.7699999999998162</v>
      </c>
      <c r="B1291" s="25">
        <f t="shared" ca="1" si="177"/>
        <v>-3.6744073139438775E-2</v>
      </c>
      <c r="C1291" s="25" t="e">
        <f t="shared" si="178"/>
        <v>#VALUE!</v>
      </c>
      <c r="D1291" s="74" t="e">
        <f t="shared" si="179"/>
        <v>#VALUE!</v>
      </c>
      <c r="E1291" s="25" t="e">
        <f t="shared" si="180"/>
        <v>#VALUE!</v>
      </c>
      <c r="F1291" s="25" t="e">
        <f t="shared" ca="1" si="181"/>
        <v>#VALUE!</v>
      </c>
      <c r="G1291" s="25"/>
      <c r="H1291" s="25" t="e">
        <f t="shared" si="185"/>
        <v>#VALUE!</v>
      </c>
      <c r="I1291" s="25">
        <f t="shared" si="182"/>
        <v>776.99999999998158</v>
      </c>
      <c r="J1291" s="25" t="e">
        <f t="shared" si="183"/>
        <v>#VALUE!</v>
      </c>
    </row>
    <row r="1292" spans="1:10" x14ac:dyDescent="0.25">
      <c r="A1292" s="25">
        <f t="shared" si="184"/>
        <v>2.779999999999816</v>
      </c>
      <c r="B1292" s="25">
        <f t="shared" ca="1" si="177"/>
        <v>-3.2725398254440624E-2</v>
      </c>
      <c r="C1292" s="25" t="e">
        <f t="shared" si="178"/>
        <v>#VALUE!</v>
      </c>
      <c r="D1292" s="74" t="e">
        <f t="shared" si="179"/>
        <v>#VALUE!</v>
      </c>
      <c r="E1292" s="25" t="e">
        <f t="shared" si="180"/>
        <v>#VALUE!</v>
      </c>
      <c r="F1292" s="25" t="e">
        <f t="shared" ca="1" si="181"/>
        <v>#VALUE!</v>
      </c>
      <c r="G1292" s="25"/>
      <c r="H1292" s="25" t="e">
        <f t="shared" si="185"/>
        <v>#VALUE!</v>
      </c>
      <c r="I1292" s="25">
        <f t="shared" si="182"/>
        <v>777.99999999998158</v>
      </c>
      <c r="J1292" s="25" t="e">
        <f t="shared" si="183"/>
        <v>#VALUE!</v>
      </c>
    </row>
    <row r="1293" spans="1:10" x14ac:dyDescent="0.25">
      <c r="A1293" s="25">
        <f t="shared" si="184"/>
        <v>2.7899999999998157</v>
      </c>
      <c r="B1293" s="25">
        <f t="shared" ca="1" si="177"/>
        <v>1.5059698192421358E-2</v>
      </c>
      <c r="C1293" s="25" t="e">
        <f t="shared" si="178"/>
        <v>#VALUE!</v>
      </c>
      <c r="D1293" s="74" t="e">
        <f t="shared" si="179"/>
        <v>#VALUE!</v>
      </c>
      <c r="E1293" s="25" t="e">
        <f t="shared" si="180"/>
        <v>#VALUE!</v>
      </c>
      <c r="F1293" s="25" t="e">
        <f t="shared" ca="1" si="181"/>
        <v>#VALUE!</v>
      </c>
      <c r="G1293" s="25"/>
      <c r="H1293" s="25" t="e">
        <f t="shared" si="185"/>
        <v>#VALUE!</v>
      </c>
      <c r="I1293" s="25">
        <f t="shared" si="182"/>
        <v>778.99999999998158</v>
      </c>
      <c r="J1293" s="25" t="e">
        <f t="shared" si="183"/>
        <v>#VALUE!</v>
      </c>
    </row>
    <row r="1294" spans="1:10" x14ac:dyDescent="0.25">
      <c r="A1294" s="25">
        <f t="shared" si="184"/>
        <v>2.7999999999998155</v>
      </c>
      <c r="B1294" s="25">
        <f t="shared" ref="B1294:B1357" ca="1" si="186">(RAND()-0.5-$B$7)/$B$5</f>
        <v>-3.7692220338110122E-2</v>
      </c>
      <c r="C1294" s="25" t="e">
        <f t="shared" ref="C1294:C1357" si="187">IF(ABS(A1294)&lt;=($D$3/2),1,IF(ABS(A1294)&lt;=($B$4/2),IF(A1294&gt;0,A1294*(4/(1-2*$B$4))+(2*$B$4/(2*$B$4-1)),(-A1294*(4/(1-2*$B$4))+(2*$B$4/(2*$B$4-1)))),0))</f>
        <v>#VALUE!</v>
      </c>
      <c r="D1294" s="74" t="e">
        <f t="shared" ref="D1294:D1357" si="188">IF(ABS(A1294)&lt;=($D$3/4+$B$4/4),1,IF(ABS(A1294)&lt;=($B$4/2),(IF(A1294&gt;0,A1294*(8/(1-2*$B$4))+(4*$B$4)/(2*$B$4-1),(-A1294*(8/(1-2*$B$4))+(4*$B$4)/(2*$B$4-1)))),0))</f>
        <v>#VALUE!</v>
      </c>
      <c r="E1294" s="25" t="e">
        <f t="shared" ref="E1294:E1357" si="189">IF(ABS(A1294)&lt;($B$4/2), 1, 0)</f>
        <v>#VALUE!</v>
      </c>
      <c r="F1294" s="25" t="e">
        <f t="shared" ref="F1294:F1357" ca="1" si="190">C1294+B1294</f>
        <v>#VALUE!</v>
      </c>
      <c r="G1294" s="25"/>
      <c r="H1294" s="25" t="e">
        <f t="shared" si="185"/>
        <v>#VALUE!</v>
      </c>
      <c r="I1294" s="25">
        <f t="shared" ref="I1294:I1357" si="191">$I$3*(A1294-$G$3)/($H$3-$G$3)</f>
        <v>779.99999999998158</v>
      </c>
      <c r="J1294" s="25" t="e">
        <f t="shared" ref="J1294:J1357" si="192">H1294</f>
        <v>#VALUE!</v>
      </c>
    </row>
    <row r="1295" spans="1:10" x14ac:dyDescent="0.25">
      <c r="A1295" s="25">
        <f t="shared" ref="A1295:A1358" si="193">A1294+0.01</f>
        <v>2.8099999999998153</v>
      </c>
      <c r="B1295" s="25">
        <f t="shared" ca="1" si="186"/>
        <v>-6.5560588437644091E-2</v>
      </c>
      <c r="C1295" s="25" t="e">
        <f t="shared" si="187"/>
        <v>#VALUE!</v>
      </c>
      <c r="D1295" s="74" t="e">
        <f t="shared" si="188"/>
        <v>#VALUE!</v>
      </c>
      <c r="E1295" s="25" t="e">
        <f t="shared" si="189"/>
        <v>#VALUE!</v>
      </c>
      <c r="F1295" s="25" t="e">
        <f t="shared" ca="1" si="190"/>
        <v>#VALUE!</v>
      </c>
      <c r="G1295" s="25"/>
      <c r="H1295" s="25" t="e">
        <f t="shared" si="185"/>
        <v>#VALUE!</v>
      </c>
      <c r="I1295" s="25">
        <f t="shared" si="191"/>
        <v>780.99999999998158</v>
      </c>
      <c r="J1295" s="25" t="e">
        <f t="shared" si="192"/>
        <v>#VALUE!</v>
      </c>
    </row>
    <row r="1296" spans="1:10" x14ac:dyDescent="0.25">
      <c r="A1296" s="25">
        <f t="shared" si="193"/>
        <v>2.8199999999998151</v>
      </c>
      <c r="B1296" s="25">
        <f t="shared" ca="1" si="186"/>
        <v>9.656295511942499E-2</v>
      </c>
      <c r="C1296" s="25" t="e">
        <f t="shared" si="187"/>
        <v>#VALUE!</v>
      </c>
      <c r="D1296" s="74" t="e">
        <f t="shared" si="188"/>
        <v>#VALUE!</v>
      </c>
      <c r="E1296" s="25" t="e">
        <f t="shared" si="189"/>
        <v>#VALUE!</v>
      </c>
      <c r="F1296" s="25" t="e">
        <f t="shared" ca="1" si="190"/>
        <v>#VALUE!</v>
      </c>
      <c r="G1296" s="25"/>
      <c r="H1296" s="25" t="e">
        <f t="shared" si="185"/>
        <v>#VALUE!</v>
      </c>
      <c r="I1296" s="25">
        <f t="shared" si="191"/>
        <v>781.99999999998158</v>
      </c>
      <c r="J1296" s="25" t="e">
        <f t="shared" si="192"/>
        <v>#VALUE!</v>
      </c>
    </row>
    <row r="1297" spans="1:10" x14ac:dyDescent="0.25">
      <c r="A1297" s="25">
        <f t="shared" si="193"/>
        <v>2.8299999999998149</v>
      </c>
      <c r="B1297" s="25">
        <f t="shared" ca="1" si="186"/>
        <v>-0.17874086260705835</v>
      </c>
      <c r="C1297" s="25" t="e">
        <f t="shared" si="187"/>
        <v>#VALUE!</v>
      </c>
      <c r="D1297" s="74" t="e">
        <f t="shared" si="188"/>
        <v>#VALUE!</v>
      </c>
      <c r="E1297" s="25" t="e">
        <f t="shared" si="189"/>
        <v>#VALUE!</v>
      </c>
      <c r="F1297" s="25" t="e">
        <f t="shared" ca="1" si="190"/>
        <v>#VALUE!</v>
      </c>
      <c r="G1297" s="25"/>
      <c r="H1297" s="25" t="e">
        <f t="shared" si="185"/>
        <v>#VALUE!</v>
      </c>
      <c r="I1297" s="25">
        <f t="shared" si="191"/>
        <v>782.99999999998158</v>
      </c>
      <c r="J1297" s="25" t="e">
        <f t="shared" si="192"/>
        <v>#VALUE!</v>
      </c>
    </row>
    <row r="1298" spans="1:10" x14ac:dyDescent="0.25">
      <c r="A1298" s="25">
        <f t="shared" si="193"/>
        <v>2.8399999999998147</v>
      </c>
      <c r="B1298" s="25">
        <f t="shared" ca="1" si="186"/>
        <v>0.11031597398767867</v>
      </c>
      <c r="C1298" s="25" t="e">
        <f t="shared" si="187"/>
        <v>#VALUE!</v>
      </c>
      <c r="D1298" s="74" t="e">
        <f t="shared" si="188"/>
        <v>#VALUE!</v>
      </c>
      <c r="E1298" s="25" t="e">
        <f t="shared" si="189"/>
        <v>#VALUE!</v>
      </c>
      <c r="F1298" s="25" t="e">
        <f t="shared" ca="1" si="190"/>
        <v>#VALUE!</v>
      </c>
      <c r="G1298" s="25"/>
      <c r="H1298" s="25" t="e">
        <f t="shared" si="185"/>
        <v>#VALUE!</v>
      </c>
      <c r="I1298" s="25">
        <f t="shared" si="191"/>
        <v>783.99999999998158</v>
      </c>
      <c r="J1298" s="25" t="e">
        <f t="shared" si="192"/>
        <v>#VALUE!</v>
      </c>
    </row>
    <row r="1299" spans="1:10" x14ac:dyDescent="0.25">
      <c r="A1299" s="25">
        <f t="shared" si="193"/>
        <v>2.8499999999998145</v>
      </c>
      <c r="B1299" s="25">
        <f t="shared" ca="1" si="186"/>
        <v>-4.3920551816232827E-2</v>
      </c>
      <c r="C1299" s="25" t="e">
        <f t="shared" si="187"/>
        <v>#VALUE!</v>
      </c>
      <c r="D1299" s="74" t="e">
        <f t="shared" si="188"/>
        <v>#VALUE!</v>
      </c>
      <c r="E1299" s="25" t="e">
        <f t="shared" si="189"/>
        <v>#VALUE!</v>
      </c>
      <c r="F1299" s="25" t="e">
        <f t="shared" ca="1" si="190"/>
        <v>#VALUE!</v>
      </c>
      <c r="G1299" s="25"/>
      <c r="H1299" s="25" t="e">
        <f t="shared" si="185"/>
        <v>#VALUE!</v>
      </c>
      <c r="I1299" s="25">
        <f t="shared" si="191"/>
        <v>784.99999999998147</v>
      </c>
      <c r="J1299" s="25" t="e">
        <f t="shared" si="192"/>
        <v>#VALUE!</v>
      </c>
    </row>
    <row r="1300" spans="1:10" x14ac:dyDescent="0.25">
      <c r="A1300" s="25">
        <f t="shared" si="193"/>
        <v>2.8599999999998142</v>
      </c>
      <c r="B1300" s="25">
        <f t="shared" ca="1" si="186"/>
        <v>-0.10851674496830777</v>
      </c>
      <c r="C1300" s="25" t="e">
        <f t="shared" si="187"/>
        <v>#VALUE!</v>
      </c>
      <c r="D1300" s="74" t="e">
        <f t="shared" si="188"/>
        <v>#VALUE!</v>
      </c>
      <c r="E1300" s="25" t="e">
        <f t="shared" si="189"/>
        <v>#VALUE!</v>
      </c>
      <c r="F1300" s="25" t="e">
        <f t="shared" ca="1" si="190"/>
        <v>#VALUE!</v>
      </c>
      <c r="G1300" s="25"/>
      <c r="H1300" s="25" t="e">
        <f t="shared" si="185"/>
        <v>#VALUE!</v>
      </c>
      <c r="I1300" s="25">
        <f t="shared" si="191"/>
        <v>785.99999999998147</v>
      </c>
      <c r="J1300" s="25" t="e">
        <f t="shared" si="192"/>
        <v>#VALUE!</v>
      </c>
    </row>
    <row r="1301" spans="1:10" x14ac:dyDescent="0.25">
      <c r="A1301" s="25">
        <f t="shared" si="193"/>
        <v>2.869999999999814</v>
      </c>
      <c r="B1301" s="25">
        <f t="shared" ca="1" si="186"/>
        <v>-0.18084291453484458</v>
      </c>
      <c r="C1301" s="25" t="e">
        <f t="shared" si="187"/>
        <v>#VALUE!</v>
      </c>
      <c r="D1301" s="74" t="e">
        <f t="shared" si="188"/>
        <v>#VALUE!</v>
      </c>
      <c r="E1301" s="25" t="e">
        <f t="shared" si="189"/>
        <v>#VALUE!</v>
      </c>
      <c r="F1301" s="25" t="e">
        <f t="shared" ca="1" si="190"/>
        <v>#VALUE!</v>
      </c>
      <c r="G1301" s="25"/>
      <c r="H1301" s="25" t="e">
        <f t="shared" si="185"/>
        <v>#VALUE!</v>
      </c>
      <c r="I1301" s="25">
        <f t="shared" si="191"/>
        <v>786.99999999998147</v>
      </c>
      <c r="J1301" s="25" t="e">
        <f t="shared" si="192"/>
        <v>#VALUE!</v>
      </c>
    </row>
    <row r="1302" spans="1:10" x14ac:dyDescent="0.25">
      <c r="A1302" s="25">
        <f t="shared" si="193"/>
        <v>2.8799999999998138</v>
      </c>
      <c r="B1302" s="25">
        <f t="shared" ca="1" si="186"/>
        <v>-3.3524998587492701E-2</v>
      </c>
      <c r="C1302" s="25" t="e">
        <f t="shared" si="187"/>
        <v>#VALUE!</v>
      </c>
      <c r="D1302" s="74" t="e">
        <f t="shared" si="188"/>
        <v>#VALUE!</v>
      </c>
      <c r="E1302" s="25" t="e">
        <f t="shared" si="189"/>
        <v>#VALUE!</v>
      </c>
      <c r="F1302" s="25" t="e">
        <f t="shared" ca="1" si="190"/>
        <v>#VALUE!</v>
      </c>
      <c r="G1302" s="25"/>
      <c r="H1302" s="25" t="e">
        <f t="shared" si="185"/>
        <v>#VALUE!</v>
      </c>
      <c r="I1302" s="25">
        <f t="shared" si="191"/>
        <v>787.99999999998147</v>
      </c>
      <c r="J1302" s="25" t="e">
        <f t="shared" si="192"/>
        <v>#VALUE!</v>
      </c>
    </row>
    <row r="1303" spans="1:10" x14ac:dyDescent="0.25">
      <c r="A1303" s="25">
        <f t="shared" si="193"/>
        <v>2.8899999999998136</v>
      </c>
      <c r="B1303" s="25">
        <f t="shared" ca="1" si="186"/>
        <v>-8.0056650247704267E-2</v>
      </c>
      <c r="C1303" s="25" t="e">
        <f t="shared" si="187"/>
        <v>#VALUE!</v>
      </c>
      <c r="D1303" s="74" t="e">
        <f t="shared" si="188"/>
        <v>#VALUE!</v>
      </c>
      <c r="E1303" s="25" t="e">
        <f t="shared" si="189"/>
        <v>#VALUE!</v>
      </c>
      <c r="F1303" s="25" t="e">
        <f t="shared" ca="1" si="190"/>
        <v>#VALUE!</v>
      </c>
      <c r="G1303" s="25"/>
      <c r="H1303" s="25" t="e">
        <f t="shared" si="185"/>
        <v>#VALUE!</v>
      </c>
      <c r="I1303" s="25">
        <f t="shared" si="191"/>
        <v>788.99999999998147</v>
      </c>
      <c r="J1303" s="25" t="e">
        <f t="shared" si="192"/>
        <v>#VALUE!</v>
      </c>
    </row>
    <row r="1304" spans="1:10" x14ac:dyDescent="0.25">
      <c r="A1304" s="25">
        <f t="shared" si="193"/>
        <v>2.8999999999998134</v>
      </c>
      <c r="B1304" s="25">
        <f t="shared" ca="1" si="186"/>
        <v>0.11163805500001411</v>
      </c>
      <c r="C1304" s="25" t="e">
        <f t="shared" si="187"/>
        <v>#VALUE!</v>
      </c>
      <c r="D1304" s="74" t="e">
        <f t="shared" si="188"/>
        <v>#VALUE!</v>
      </c>
      <c r="E1304" s="25" t="e">
        <f t="shared" si="189"/>
        <v>#VALUE!</v>
      </c>
      <c r="F1304" s="25" t="e">
        <f t="shared" ca="1" si="190"/>
        <v>#VALUE!</v>
      </c>
      <c r="G1304" s="25"/>
      <c r="H1304" s="25" t="e">
        <f t="shared" si="185"/>
        <v>#VALUE!</v>
      </c>
      <c r="I1304" s="25">
        <f t="shared" si="191"/>
        <v>789.99999999998136</v>
      </c>
      <c r="J1304" s="25" t="e">
        <f t="shared" si="192"/>
        <v>#VALUE!</v>
      </c>
    </row>
    <row r="1305" spans="1:10" x14ac:dyDescent="0.25">
      <c r="A1305" s="25">
        <f t="shared" si="193"/>
        <v>2.9099999999998132</v>
      </c>
      <c r="B1305" s="25">
        <f t="shared" ca="1" si="186"/>
        <v>5.9324074556842694E-2</v>
      </c>
      <c r="C1305" s="25" t="e">
        <f t="shared" si="187"/>
        <v>#VALUE!</v>
      </c>
      <c r="D1305" s="74" t="e">
        <f t="shared" si="188"/>
        <v>#VALUE!</v>
      </c>
      <c r="E1305" s="25" t="e">
        <f t="shared" si="189"/>
        <v>#VALUE!</v>
      </c>
      <c r="F1305" s="25" t="e">
        <f t="shared" ca="1" si="190"/>
        <v>#VALUE!</v>
      </c>
      <c r="G1305" s="25"/>
      <c r="H1305" s="25" t="e">
        <f t="shared" si="185"/>
        <v>#VALUE!</v>
      </c>
      <c r="I1305" s="25">
        <f t="shared" si="191"/>
        <v>790.99999999998136</v>
      </c>
      <c r="J1305" s="25" t="e">
        <f t="shared" si="192"/>
        <v>#VALUE!</v>
      </c>
    </row>
    <row r="1306" spans="1:10" x14ac:dyDescent="0.25">
      <c r="A1306" s="25">
        <f t="shared" si="193"/>
        <v>2.919999999999813</v>
      </c>
      <c r="B1306" s="25">
        <f t="shared" ca="1" si="186"/>
        <v>-9.3867978574677255E-2</v>
      </c>
      <c r="C1306" s="25" t="e">
        <f t="shared" si="187"/>
        <v>#VALUE!</v>
      </c>
      <c r="D1306" s="74" t="e">
        <f t="shared" si="188"/>
        <v>#VALUE!</v>
      </c>
      <c r="E1306" s="25" t="e">
        <f t="shared" si="189"/>
        <v>#VALUE!</v>
      </c>
      <c r="F1306" s="25" t="e">
        <f t="shared" ca="1" si="190"/>
        <v>#VALUE!</v>
      </c>
      <c r="G1306" s="25"/>
      <c r="H1306" s="25" t="e">
        <f t="shared" si="185"/>
        <v>#VALUE!</v>
      </c>
      <c r="I1306" s="25">
        <f t="shared" si="191"/>
        <v>791.99999999998136</v>
      </c>
      <c r="J1306" s="25" t="e">
        <f t="shared" si="192"/>
        <v>#VALUE!</v>
      </c>
    </row>
    <row r="1307" spans="1:10" x14ac:dyDescent="0.25">
      <c r="A1307" s="25">
        <f t="shared" si="193"/>
        <v>2.9299999999998128</v>
      </c>
      <c r="B1307" s="25">
        <f t="shared" ca="1" si="186"/>
        <v>-0.14260642229520124</v>
      </c>
      <c r="C1307" s="25" t="e">
        <f t="shared" si="187"/>
        <v>#VALUE!</v>
      </c>
      <c r="D1307" s="74" t="e">
        <f t="shared" si="188"/>
        <v>#VALUE!</v>
      </c>
      <c r="E1307" s="25" t="e">
        <f t="shared" si="189"/>
        <v>#VALUE!</v>
      </c>
      <c r="F1307" s="25" t="e">
        <f t="shared" ca="1" si="190"/>
        <v>#VALUE!</v>
      </c>
      <c r="G1307" s="25"/>
      <c r="H1307" s="25" t="e">
        <f t="shared" si="185"/>
        <v>#VALUE!</v>
      </c>
      <c r="I1307" s="25">
        <f t="shared" si="191"/>
        <v>792.99999999998136</v>
      </c>
      <c r="J1307" s="25" t="e">
        <f t="shared" si="192"/>
        <v>#VALUE!</v>
      </c>
    </row>
    <row r="1308" spans="1:10" x14ac:dyDescent="0.25">
      <c r="A1308" s="25">
        <f t="shared" si="193"/>
        <v>2.9399999999998125</v>
      </c>
      <c r="B1308" s="25">
        <f t="shared" ca="1" si="186"/>
        <v>-7.9721255065927837E-2</v>
      </c>
      <c r="C1308" s="25" t="e">
        <f t="shared" si="187"/>
        <v>#VALUE!</v>
      </c>
      <c r="D1308" s="74" t="e">
        <f t="shared" si="188"/>
        <v>#VALUE!</v>
      </c>
      <c r="E1308" s="25" t="e">
        <f t="shared" si="189"/>
        <v>#VALUE!</v>
      </c>
      <c r="F1308" s="25" t="e">
        <f t="shared" ca="1" si="190"/>
        <v>#VALUE!</v>
      </c>
      <c r="G1308" s="25"/>
      <c r="H1308" s="25" t="e">
        <f t="shared" si="185"/>
        <v>#VALUE!</v>
      </c>
      <c r="I1308" s="25">
        <f t="shared" si="191"/>
        <v>793.99999999998124</v>
      </c>
      <c r="J1308" s="25" t="e">
        <f t="shared" si="192"/>
        <v>#VALUE!</v>
      </c>
    </row>
    <row r="1309" spans="1:10" x14ac:dyDescent="0.25">
      <c r="A1309" s="25">
        <f t="shared" si="193"/>
        <v>2.9499999999998123</v>
      </c>
      <c r="B1309" s="25">
        <f t="shared" ca="1" si="186"/>
        <v>-0.17570795998431935</v>
      </c>
      <c r="C1309" s="25" t="e">
        <f t="shared" si="187"/>
        <v>#VALUE!</v>
      </c>
      <c r="D1309" s="74" t="e">
        <f t="shared" si="188"/>
        <v>#VALUE!</v>
      </c>
      <c r="E1309" s="25" t="e">
        <f t="shared" si="189"/>
        <v>#VALUE!</v>
      </c>
      <c r="F1309" s="25" t="e">
        <f t="shared" ca="1" si="190"/>
        <v>#VALUE!</v>
      </c>
      <c r="G1309" s="25"/>
      <c r="H1309" s="25" t="e">
        <f t="shared" si="185"/>
        <v>#VALUE!</v>
      </c>
      <c r="I1309" s="25">
        <f t="shared" si="191"/>
        <v>794.99999999998124</v>
      </c>
      <c r="J1309" s="25" t="e">
        <f t="shared" si="192"/>
        <v>#VALUE!</v>
      </c>
    </row>
    <row r="1310" spans="1:10" x14ac:dyDescent="0.25">
      <c r="A1310" s="25">
        <f t="shared" si="193"/>
        <v>2.9599999999998121</v>
      </c>
      <c r="B1310" s="25">
        <f t="shared" ca="1" si="186"/>
        <v>-0.17646594003837981</v>
      </c>
      <c r="C1310" s="25" t="e">
        <f t="shared" si="187"/>
        <v>#VALUE!</v>
      </c>
      <c r="D1310" s="74" t="e">
        <f t="shared" si="188"/>
        <v>#VALUE!</v>
      </c>
      <c r="E1310" s="25" t="e">
        <f t="shared" si="189"/>
        <v>#VALUE!</v>
      </c>
      <c r="F1310" s="25" t="e">
        <f t="shared" ca="1" si="190"/>
        <v>#VALUE!</v>
      </c>
      <c r="G1310" s="25"/>
      <c r="H1310" s="25" t="e">
        <f t="shared" ref="H1310:H1373" si="194">IF(PeakShape=$O$3,C1310,IF(PeakShape=O1312,D1310,E1310))</f>
        <v>#VALUE!</v>
      </c>
      <c r="I1310" s="25">
        <f t="shared" si="191"/>
        <v>795.99999999998124</v>
      </c>
      <c r="J1310" s="25" t="e">
        <f t="shared" si="192"/>
        <v>#VALUE!</v>
      </c>
    </row>
    <row r="1311" spans="1:10" x14ac:dyDescent="0.25">
      <c r="A1311" s="25">
        <f t="shared" si="193"/>
        <v>2.9699999999998119</v>
      </c>
      <c r="B1311" s="25">
        <f t="shared" ca="1" si="186"/>
        <v>-5.4148545201969996E-2</v>
      </c>
      <c r="C1311" s="25" t="e">
        <f t="shared" si="187"/>
        <v>#VALUE!</v>
      </c>
      <c r="D1311" s="74" t="e">
        <f t="shared" si="188"/>
        <v>#VALUE!</v>
      </c>
      <c r="E1311" s="25" t="e">
        <f t="shared" si="189"/>
        <v>#VALUE!</v>
      </c>
      <c r="F1311" s="25" t="e">
        <f t="shared" ca="1" si="190"/>
        <v>#VALUE!</v>
      </c>
      <c r="G1311" s="25"/>
      <c r="H1311" s="25" t="e">
        <f t="shared" si="194"/>
        <v>#VALUE!</v>
      </c>
      <c r="I1311" s="25">
        <f t="shared" si="191"/>
        <v>796.99999999998124</v>
      </c>
      <c r="J1311" s="25" t="e">
        <f t="shared" si="192"/>
        <v>#VALUE!</v>
      </c>
    </row>
    <row r="1312" spans="1:10" x14ac:dyDescent="0.25">
      <c r="A1312" s="25">
        <f t="shared" si="193"/>
        <v>2.9799999999998117</v>
      </c>
      <c r="B1312" s="25">
        <f t="shared" ca="1" si="186"/>
        <v>-2.0845216719440774E-2</v>
      </c>
      <c r="C1312" s="25" t="e">
        <f t="shared" si="187"/>
        <v>#VALUE!</v>
      </c>
      <c r="D1312" s="74" t="e">
        <f t="shared" si="188"/>
        <v>#VALUE!</v>
      </c>
      <c r="E1312" s="25" t="e">
        <f t="shared" si="189"/>
        <v>#VALUE!</v>
      </c>
      <c r="F1312" s="25" t="e">
        <f t="shared" ca="1" si="190"/>
        <v>#VALUE!</v>
      </c>
      <c r="G1312" s="25"/>
      <c r="H1312" s="25" t="e">
        <f t="shared" si="194"/>
        <v>#VALUE!</v>
      </c>
      <c r="I1312" s="25">
        <f t="shared" si="191"/>
        <v>797.99999999998113</v>
      </c>
      <c r="J1312" s="25" t="e">
        <f t="shared" si="192"/>
        <v>#VALUE!</v>
      </c>
    </row>
    <row r="1313" spans="1:10" x14ac:dyDescent="0.25">
      <c r="A1313" s="25">
        <f t="shared" si="193"/>
        <v>2.9899999999998115</v>
      </c>
      <c r="B1313" s="25">
        <f t="shared" ca="1" si="186"/>
        <v>7.6144738006348897E-2</v>
      </c>
      <c r="C1313" s="25" t="e">
        <f t="shared" si="187"/>
        <v>#VALUE!</v>
      </c>
      <c r="D1313" s="74" t="e">
        <f t="shared" si="188"/>
        <v>#VALUE!</v>
      </c>
      <c r="E1313" s="25" t="e">
        <f t="shared" si="189"/>
        <v>#VALUE!</v>
      </c>
      <c r="F1313" s="25" t="e">
        <f t="shared" ca="1" si="190"/>
        <v>#VALUE!</v>
      </c>
      <c r="G1313" s="25"/>
      <c r="H1313" s="25" t="e">
        <f t="shared" si="194"/>
        <v>#VALUE!</v>
      </c>
      <c r="I1313" s="25">
        <f t="shared" si="191"/>
        <v>798.99999999998113</v>
      </c>
      <c r="J1313" s="25" t="e">
        <f t="shared" si="192"/>
        <v>#VALUE!</v>
      </c>
    </row>
    <row r="1314" spans="1:10" x14ac:dyDescent="0.25">
      <c r="A1314" s="25">
        <f t="shared" si="193"/>
        <v>2.9999999999998113</v>
      </c>
      <c r="B1314" s="25">
        <f t="shared" ca="1" si="186"/>
        <v>-9.2028120876916211E-2</v>
      </c>
      <c r="C1314" s="25" t="e">
        <f t="shared" si="187"/>
        <v>#VALUE!</v>
      </c>
      <c r="D1314" s="74" t="e">
        <f t="shared" si="188"/>
        <v>#VALUE!</v>
      </c>
      <c r="E1314" s="25" t="e">
        <f t="shared" si="189"/>
        <v>#VALUE!</v>
      </c>
      <c r="F1314" s="25" t="e">
        <f t="shared" ca="1" si="190"/>
        <v>#VALUE!</v>
      </c>
      <c r="G1314" s="25"/>
      <c r="H1314" s="25" t="e">
        <f t="shared" si="194"/>
        <v>#VALUE!</v>
      </c>
      <c r="I1314" s="25">
        <f t="shared" si="191"/>
        <v>799.99999999998113</v>
      </c>
      <c r="J1314" s="25" t="e">
        <f t="shared" si="192"/>
        <v>#VALUE!</v>
      </c>
    </row>
    <row r="1315" spans="1:10" x14ac:dyDescent="0.25">
      <c r="A1315" s="25">
        <f t="shared" si="193"/>
        <v>3.009999999999811</v>
      </c>
      <c r="B1315" s="25">
        <f t="shared" ca="1" si="186"/>
        <v>-0.14081875756187121</v>
      </c>
      <c r="C1315" s="25" t="e">
        <f t="shared" si="187"/>
        <v>#VALUE!</v>
      </c>
      <c r="D1315" s="74" t="e">
        <f t="shared" si="188"/>
        <v>#VALUE!</v>
      </c>
      <c r="E1315" s="25" t="e">
        <f t="shared" si="189"/>
        <v>#VALUE!</v>
      </c>
      <c r="F1315" s="25" t="e">
        <f t="shared" ca="1" si="190"/>
        <v>#VALUE!</v>
      </c>
      <c r="G1315" s="25"/>
      <c r="H1315" s="25" t="e">
        <f t="shared" si="194"/>
        <v>#VALUE!</v>
      </c>
      <c r="I1315" s="25">
        <f t="shared" si="191"/>
        <v>800.99999999998113</v>
      </c>
      <c r="J1315" s="25" t="e">
        <f t="shared" si="192"/>
        <v>#VALUE!</v>
      </c>
    </row>
    <row r="1316" spans="1:10" x14ac:dyDescent="0.25">
      <c r="A1316" s="25">
        <f t="shared" si="193"/>
        <v>3.0199999999998108</v>
      </c>
      <c r="B1316" s="25">
        <f t="shared" ca="1" si="186"/>
        <v>-5.4902630160247962E-2</v>
      </c>
      <c r="C1316" s="25" t="e">
        <f t="shared" si="187"/>
        <v>#VALUE!</v>
      </c>
      <c r="D1316" s="74" t="e">
        <f t="shared" si="188"/>
        <v>#VALUE!</v>
      </c>
      <c r="E1316" s="25" t="e">
        <f t="shared" si="189"/>
        <v>#VALUE!</v>
      </c>
      <c r="F1316" s="25" t="e">
        <f t="shared" ca="1" si="190"/>
        <v>#VALUE!</v>
      </c>
      <c r="G1316" s="25"/>
      <c r="H1316" s="25" t="e">
        <f t="shared" si="194"/>
        <v>#VALUE!</v>
      </c>
      <c r="I1316" s="25">
        <f t="shared" si="191"/>
        <v>801.99999999998113</v>
      </c>
      <c r="J1316" s="25" t="e">
        <f t="shared" si="192"/>
        <v>#VALUE!</v>
      </c>
    </row>
    <row r="1317" spans="1:10" x14ac:dyDescent="0.25">
      <c r="A1317" s="25">
        <f t="shared" si="193"/>
        <v>3.0299999999998106</v>
      </c>
      <c r="B1317" s="25">
        <f t="shared" ca="1" si="186"/>
        <v>-6.5410014430590552E-2</v>
      </c>
      <c r="C1317" s="25" t="e">
        <f t="shared" si="187"/>
        <v>#VALUE!</v>
      </c>
      <c r="D1317" s="74" t="e">
        <f t="shared" si="188"/>
        <v>#VALUE!</v>
      </c>
      <c r="E1317" s="25" t="e">
        <f t="shared" si="189"/>
        <v>#VALUE!</v>
      </c>
      <c r="F1317" s="25" t="e">
        <f t="shared" ca="1" si="190"/>
        <v>#VALUE!</v>
      </c>
      <c r="G1317" s="25"/>
      <c r="H1317" s="25" t="e">
        <f t="shared" si="194"/>
        <v>#VALUE!</v>
      </c>
      <c r="I1317" s="25">
        <f t="shared" si="191"/>
        <v>802.99999999998113</v>
      </c>
      <c r="J1317" s="25" t="e">
        <f t="shared" si="192"/>
        <v>#VALUE!</v>
      </c>
    </row>
    <row r="1318" spans="1:10" x14ac:dyDescent="0.25">
      <c r="A1318" s="25">
        <f t="shared" si="193"/>
        <v>3.0399999999998104</v>
      </c>
      <c r="B1318" s="25">
        <f t="shared" ca="1" si="186"/>
        <v>-0.14232319400217738</v>
      </c>
      <c r="C1318" s="25" t="e">
        <f t="shared" si="187"/>
        <v>#VALUE!</v>
      </c>
      <c r="D1318" s="74" t="e">
        <f t="shared" si="188"/>
        <v>#VALUE!</v>
      </c>
      <c r="E1318" s="25" t="e">
        <f t="shared" si="189"/>
        <v>#VALUE!</v>
      </c>
      <c r="F1318" s="25" t="e">
        <f t="shared" ca="1" si="190"/>
        <v>#VALUE!</v>
      </c>
      <c r="G1318" s="25"/>
      <c r="H1318" s="25" t="e">
        <f t="shared" si="194"/>
        <v>#VALUE!</v>
      </c>
      <c r="I1318" s="25">
        <f t="shared" si="191"/>
        <v>803.99999999998113</v>
      </c>
      <c r="J1318" s="25" t="e">
        <f t="shared" si="192"/>
        <v>#VALUE!</v>
      </c>
    </row>
    <row r="1319" spans="1:10" x14ac:dyDescent="0.25">
      <c r="A1319" s="25">
        <f t="shared" si="193"/>
        <v>3.0499999999998102</v>
      </c>
      <c r="B1319" s="25">
        <f t="shared" ca="1" si="186"/>
        <v>0.11517836054319912</v>
      </c>
      <c r="C1319" s="25" t="e">
        <f t="shared" si="187"/>
        <v>#VALUE!</v>
      </c>
      <c r="D1319" s="74" t="e">
        <f t="shared" si="188"/>
        <v>#VALUE!</v>
      </c>
      <c r="E1319" s="25" t="e">
        <f t="shared" si="189"/>
        <v>#VALUE!</v>
      </c>
      <c r="F1319" s="25" t="e">
        <f t="shared" ca="1" si="190"/>
        <v>#VALUE!</v>
      </c>
      <c r="G1319" s="25"/>
      <c r="H1319" s="25" t="e">
        <f t="shared" si="194"/>
        <v>#VALUE!</v>
      </c>
      <c r="I1319" s="25">
        <f t="shared" si="191"/>
        <v>804.99999999998113</v>
      </c>
      <c r="J1319" s="25" t="e">
        <f t="shared" si="192"/>
        <v>#VALUE!</v>
      </c>
    </row>
    <row r="1320" spans="1:10" x14ac:dyDescent="0.25">
      <c r="A1320" s="25">
        <f t="shared" si="193"/>
        <v>3.05999999999981</v>
      </c>
      <c r="B1320" s="25">
        <f t="shared" ca="1" si="186"/>
        <v>-0.11295177041127465</v>
      </c>
      <c r="C1320" s="25" t="e">
        <f t="shared" si="187"/>
        <v>#VALUE!</v>
      </c>
      <c r="D1320" s="74" t="e">
        <f t="shared" si="188"/>
        <v>#VALUE!</v>
      </c>
      <c r="E1320" s="25" t="e">
        <f t="shared" si="189"/>
        <v>#VALUE!</v>
      </c>
      <c r="F1320" s="25" t="e">
        <f t="shared" ca="1" si="190"/>
        <v>#VALUE!</v>
      </c>
      <c r="G1320" s="25"/>
      <c r="H1320" s="25" t="e">
        <f t="shared" si="194"/>
        <v>#VALUE!</v>
      </c>
      <c r="I1320" s="25">
        <f t="shared" si="191"/>
        <v>805.99999999998113</v>
      </c>
      <c r="J1320" s="25" t="e">
        <f t="shared" si="192"/>
        <v>#VALUE!</v>
      </c>
    </row>
    <row r="1321" spans="1:10" x14ac:dyDescent="0.25">
      <c r="A1321" s="25">
        <f t="shared" si="193"/>
        <v>3.0699999999998098</v>
      </c>
      <c r="B1321" s="25">
        <f t="shared" ca="1" si="186"/>
        <v>-1.2495992501666007E-2</v>
      </c>
      <c r="C1321" s="25" t="e">
        <f t="shared" si="187"/>
        <v>#VALUE!</v>
      </c>
      <c r="D1321" s="74" t="e">
        <f t="shared" si="188"/>
        <v>#VALUE!</v>
      </c>
      <c r="E1321" s="25" t="e">
        <f t="shared" si="189"/>
        <v>#VALUE!</v>
      </c>
      <c r="F1321" s="25" t="e">
        <f t="shared" ca="1" si="190"/>
        <v>#VALUE!</v>
      </c>
      <c r="G1321" s="25"/>
      <c r="H1321" s="25" t="e">
        <f t="shared" si="194"/>
        <v>#VALUE!</v>
      </c>
      <c r="I1321" s="25">
        <f t="shared" si="191"/>
        <v>806.99999999998101</v>
      </c>
      <c r="J1321" s="25" t="e">
        <f t="shared" si="192"/>
        <v>#VALUE!</v>
      </c>
    </row>
    <row r="1322" spans="1:10" x14ac:dyDescent="0.25">
      <c r="A1322" s="25">
        <f t="shared" si="193"/>
        <v>3.0799999999998096</v>
      </c>
      <c r="B1322" s="25">
        <f t="shared" ca="1" si="186"/>
        <v>-2.1756130730815403E-2</v>
      </c>
      <c r="C1322" s="25" t="e">
        <f t="shared" si="187"/>
        <v>#VALUE!</v>
      </c>
      <c r="D1322" s="74" t="e">
        <f t="shared" si="188"/>
        <v>#VALUE!</v>
      </c>
      <c r="E1322" s="25" t="e">
        <f t="shared" si="189"/>
        <v>#VALUE!</v>
      </c>
      <c r="F1322" s="25" t="e">
        <f t="shared" ca="1" si="190"/>
        <v>#VALUE!</v>
      </c>
      <c r="G1322" s="25"/>
      <c r="H1322" s="25" t="e">
        <f t="shared" si="194"/>
        <v>#VALUE!</v>
      </c>
      <c r="I1322" s="25">
        <f t="shared" si="191"/>
        <v>807.99999999998101</v>
      </c>
      <c r="J1322" s="25" t="e">
        <f t="shared" si="192"/>
        <v>#VALUE!</v>
      </c>
    </row>
    <row r="1323" spans="1:10" x14ac:dyDescent="0.25">
      <c r="A1323" s="25">
        <f t="shared" si="193"/>
        <v>3.0899999999998093</v>
      </c>
      <c r="B1323" s="25">
        <f t="shared" ca="1" si="186"/>
        <v>-8.6111802576634242E-2</v>
      </c>
      <c r="C1323" s="25" t="e">
        <f t="shared" si="187"/>
        <v>#VALUE!</v>
      </c>
      <c r="D1323" s="74" t="e">
        <f t="shared" si="188"/>
        <v>#VALUE!</v>
      </c>
      <c r="E1323" s="25" t="e">
        <f t="shared" si="189"/>
        <v>#VALUE!</v>
      </c>
      <c r="F1323" s="25" t="e">
        <f t="shared" ca="1" si="190"/>
        <v>#VALUE!</v>
      </c>
      <c r="G1323" s="25"/>
      <c r="H1323" s="25" t="e">
        <f t="shared" si="194"/>
        <v>#VALUE!</v>
      </c>
      <c r="I1323" s="25">
        <f t="shared" si="191"/>
        <v>808.99999999998101</v>
      </c>
      <c r="J1323" s="25" t="e">
        <f t="shared" si="192"/>
        <v>#VALUE!</v>
      </c>
    </row>
    <row r="1324" spans="1:10" x14ac:dyDescent="0.25">
      <c r="A1324" s="25">
        <f t="shared" si="193"/>
        <v>3.0999999999998091</v>
      </c>
      <c r="B1324" s="25">
        <f t="shared" ca="1" si="186"/>
        <v>-0.10985773573263213</v>
      </c>
      <c r="C1324" s="25" t="e">
        <f t="shared" si="187"/>
        <v>#VALUE!</v>
      </c>
      <c r="D1324" s="74" t="e">
        <f t="shared" si="188"/>
        <v>#VALUE!</v>
      </c>
      <c r="E1324" s="25" t="e">
        <f t="shared" si="189"/>
        <v>#VALUE!</v>
      </c>
      <c r="F1324" s="25" t="e">
        <f t="shared" ca="1" si="190"/>
        <v>#VALUE!</v>
      </c>
      <c r="G1324" s="25"/>
      <c r="H1324" s="25" t="e">
        <f t="shared" si="194"/>
        <v>#VALUE!</v>
      </c>
      <c r="I1324" s="25">
        <f t="shared" si="191"/>
        <v>809.99999999998101</v>
      </c>
      <c r="J1324" s="25" t="e">
        <f t="shared" si="192"/>
        <v>#VALUE!</v>
      </c>
    </row>
    <row r="1325" spans="1:10" x14ac:dyDescent="0.25">
      <c r="A1325" s="25">
        <f t="shared" si="193"/>
        <v>3.1099999999998089</v>
      </c>
      <c r="B1325" s="25">
        <f t="shared" ca="1" si="186"/>
        <v>7.3442228331671314E-2</v>
      </c>
      <c r="C1325" s="25" t="e">
        <f t="shared" si="187"/>
        <v>#VALUE!</v>
      </c>
      <c r="D1325" s="74" t="e">
        <f t="shared" si="188"/>
        <v>#VALUE!</v>
      </c>
      <c r="E1325" s="25" t="e">
        <f t="shared" si="189"/>
        <v>#VALUE!</v>
      </c>
      <c r="F1325" s="25" t="e">
        <f t="shared" ca="1" si="190"/>
        <v>#VALUE!</v>
      </c>
      <c r="G1325" s="25"/>
      <c r="H1325" s="25" t="e">
        <f t="shared" si="194"/>
        <v>#VALUE!</v>
      </c>
      <c r="I1325" s="25">
        <f t="shared" si="191"/>
        <v>810.9999999999809</v>
      </c>
      <c r="J1325" s="25" t="e">
        <f t="shared" si="192"/>
        <v>#VALUE!</v>
      </c>
    </row>
    <row r="1326" spans="1:10" x14ac:dyDescent="0.25">
      <c r="A1326" s="25">
        <f t="shared" si="193"/>
        <v>3.1199999999998087</v>
      </c>
      <c r="B1326" s="25">
        <f t="shared" ca="1" si="186"/>
        <v>3.8295223640613503E-2</v>
      </c>
      <c r="C1326" s="25" t="e">
        <f t="shared" si="187"/>
        <v>#VALUE!</v>
      </c>
      <c r="D1326" s="74" t="e">
        <f t="shared" si="188"/>
        <v>#VALUE!</v>
      </c>
      <c r="E1326" s="25" t="e">
        <f t="shared" si="189"/>
        <v>#VALUE!</v>
      </c>
      <c r="F1326" s="25" t="e">
        <f t="shared" ca="1" si="190"/>
        <v>#VALUE!</v>
      </c>
      <c r="G1326" s="25"/>
      <c r="H1326" s="25" t="e">
        <f t="shared" si="194"/>
        <v>#VALUE!</v>
      </c>
      <c r="I1326" s="25">
        <f t="shared" si="191"/>
        <v>811.9999999999809</v>
      </c>
      <c r="J1326" s="25" t="e">
        <f t="shared" si="192"/>
        <v>#VALUE!</v>
      </c>
    </row>
    <row r="1327" spans="1:10" x14ac:dyDescent="0.25">
      <c r="A1327" s="25">
        <f t="shared" si="193"/>
        <v>3.1299999999998085</v>
      </c>
      <c r="B1327" s="25">
        <f t="shared" ca="1" si="186"/>
        <v>-2.758147610902666E-2</v>
      </c>
      <c r="C1327" s="25" t="e">
        <f t="shared" si="187"/>
        <v>#VALUE!</v>
      </c>
      <c r="D1327" s="74" t="e">
        <f t="shared" si="188"/>
        <v>#VALUE!</v>
      </c>
      <c r="E1327" s="25" t="e">
        <f t="shared" si="189"/>
        <v>#VALUE!</v>
      </c>
      <c r="F1327" s="25" t="e">
        <f t="shared" ca="1" si="190"/>
        <v>#VALUE!</v>
      </c>
      <c r="G1327" s="25"/>
      <c r="H1327" s="25" t="e">
        <f t="shared" si="194"/>
        <v>#VALUE!</v>
      </c>
      <c r="I1327" s="25">
        <f t="shared" si="191"/>
        <v>812.9999999999809</v>
      </c>
      <c r="J1327" s="25" t="e">
        <f t="shared" si="192"/>
        <v>#VALUE!</v>
      </c>
    </row>
    <row r="1328" spans="1:10" x14ac:dyDescent="0.25">
      <c r="A1328" s="25">
        <f t="shared" si="193"/>
        <v>3.1399999999998083</v>
      </c>
      <c r="B1328" s="25">
        <f t="shared" ca="1" si="186"/>
        <v>0.10313902450026309</v>
      </c>
      <c r="C1328" s="25" t="e">
        <f t="shared" si="187"/>
        <v>#VALUE!</v>
      </c>
      <c r="D1328" s="74" t="e">
        <f t="shared" si="188"/>
        <v>#VALUE!</v>
      </c>
      <c r="E1328" s="25" t="e">
        <f t="shared" si="189"/>
        <v>#VALUE!</v>
      </c>
      <c r="F1328" s="25" t="e">
        <f t="shared" ca="1" si="190"/>
        <v>#VALUE!</v>
      </c>
      <c r="G1328" s="25"/>
      <c r="H1328" s="25" t="e">
        <f t="shared" si="194"/>
        <v>#VALUE!</v>
      </c>
      <c r="I1328" s="25">
        <f t="shared" si="191"/>
        <v>813.9999999999809</v>
      </c>
      <c r="J1328" s="25" t="e">
        <f t="shared" si="192"/>
        <v>#VALUE!</v>
      </c>
    </row>
    <row r="1329" spans="1:10" x14ac:dyDescent="0.25">
      <c r="A1329" s="25">
        <f t="shared" si="193"/>
        <v>3.1499999999998081</v>
      </c>
      <c r="B1329" s="25">
        <f t="shared" ca="1" si="186"/>
        <v>1.8170902577290659E-2</v>
      </c>
      <c r="C1329" s="25" t="e">
        <f t="shared" si="187"/>
        <v>#VALUE!</v>
      </c>
      <c r="D1329" s="74" t="e">
        <f t="shared" si="188"/>
        <v>#VALUE!</v>
      </c>
      <c r="E1329" s="25" t="e">
        <f t="shared" si="189"/>
        <v>#VALUE!</v>
      </c>
      <c r="F1329" s="25" t="e">
        <f t="shared" ca="1" si="190"/>
        <v>#VALUE!</v>
      </c>
      <c r="G1329" s="25"/>
      <c r="H1329" s="25" t="e">
        <f t="shared" si="194"/>
        <v>#VALUE!</v>
      </c>
      <c r="I1329" s="25">
        <f t="shared" si="191"/>
        <v>814.99999999998079</v>
      </c>
      <c r="J1329" s="25" t="e">
        <f t="shared" si="192"/>
        <v>#VALUE!</v>
      </c>
    </row>
    <row r="1330" spans="1:10" x14ac:dyDescent="0.25">
      <c r="A1330" s="25">
        <f t="shared" si="193"/>
        <v>3.1599999999998079</v>
      </c>
      <c r="B1330" s="25">
        <f t="shared" ca="1" si="186"/>
        <v>9.4799866435092126E-2</v>
      </c>
      <c r="C1330" s="25" t="e">
        <f t="shared" si="187"/>
        <v>#VALUE!</v>
      </c>
      <c r="D1330" s="74" t="e">
        <f t="shared" si="188"/>
        <v>#VALUE!</v>
      </c>
      <c r="E1330" s="25" t="e">
        <f t="shared" si="189"/>
        <v>#VALUE!</v>
      </c>
      <c r="F1330" s="25" t="e">
        <f t="shared" ca="1" si="190"/>
        <v>#VALUE!</v>
      </c>
      <c r="G1330" s="25"/>
      <c r="H1330" s="25" t="e">
        <f t="shared" si="194"/>
        <v>#VALUE!</v>
      </c>
      <c r="I1330" s="25">
        <f t="shared" si="191"/>
        <v>815.99999999998079</v>
      </c>
      <c r="J1330" s="25" t="e">
        <f t="shared" si="192"/>
        <v>#VALUE!</v>
      </c>
    </row>
    <row r="1331" spans="1:10" x14ac:dyDescent="0.25">
      <c r="A1331" s="25">
        <f t="shared" si="193"/>
        <v>3.1699999999998076</v>
      </c>
      <c r="B1331" s="25">
        <f t="shared" ca="1" si="186"/>
        <v>-1.1320771756534611E-2</v>
      </c>
      <c r="C1331" s="25" t="e">
        <f t="shared" si="187"/>
        <v>#VALUE!</v>
      </c>
      <c r="D1331" s="74" t="e">
        <f t="shared" si="188"/>
        <v>#VALUE!</v>
      </c>
      <c r="E1331" s="25" t="e">
        <f t="shared" si="189"/>
        <v>#VALUE!</v>
      </c>
      <c r="F1331" s="25" t="e">
        <f t="shared" ca="1" si="190"/>
        <v>#VALUE!</v>
      </c>
      <c r="G1331" s="25"/>
      <c r="H1331" s="25" t="e">
        <f t="shared" si="194"/>
        <v>#VALUE!</v>
      </c>
      <c r="I1331" s="25">
        <f t="shared" si="191"/>
        <v>816.99999999998079</v>
      </c>
      <c r="J1331" s="25" t="e">
        <f t="shared" si="192"/>
        <v>#VALUE!</v>
      </c>
    </row>
    <row r="1332" spans="1:10" x14ac:dyDescent="0.25">
      <c r="A1332" s="25">
        <f t="shared" si="193"/>
        <v>3.1799999999998074</v>
      </c>
      <c r="B1332" s="25">
        <f t="shared" ca="1" si="186"/>
        <v>-0.15323498827403226</v>
      </c>
      <c r="C1332" s="25" t="e">
        <f t="shared" si="187"/>
        <v>#VALUE!</v>
      </c>
      <c r="D1332" s="74" t="e">
        <f t="shared" si="188"/>
        <v>#VALUE!</v>
      </c>
      <c r="E1332" s="25" t="e">
        <f t="shared" si="189"/>
        <v>#VALUE!</v>
      </c>
      <c r="F1332" s="25" t="e">
        <f t="shared" ca="1" si="190"/>
        <v>#VALUE!</v>
      </c>
      <c r="G1332" s="25"/>
      <c r="H1332" s="25" t="e">
        <f t="shared" si="194"/>
        <v>#VALUE!</v>
      </c>
      <c r="I1332" s="25">
        <f t="shared" si="191"/>
        <v>817.99999999998079</v>
      </c>
      <c r="J1332" s="25" t="e">
        <f t="shared" si="192"/>
        <v>#VALUE!</v>
      </c>
    </row>
    <row r="1333" spans="1:10" x14ac:dyDescent="0.25">
      <c r="A1333" s="25">
        <f t="shared" si="193"/>
        <v>3.1899999999998072</v>
      </c>
      <c r="B1333" s="25">
        <f t="shared" ca="1" si="186"/>
        <v>8.2116084862755775E-2</v>
      </c>
      <c r="C1333" s="25" t="e">
        <f t="shared" si="187"/>
        <v>#VALUE!</v>
      </c>
      <c r="D1333" s="74" t="e">
        <f t="shared" si="188"/>
        <v>#VALUE!</v>
      </c>
      <c r="E1333" s="25" t="e">
        <f t="shared" si="189"/>
        <v>#VALUE!</v>
      </c>
      <c r="F1333" s="25" t="e">
        <f t="shared" ca="1" si="190"/>
        <v>#VALUE!</v>
      </c>
      <c r="G1333" s="25"/>
      <c r="H1333" s="25" t="e">
        <f t="shared" si="194"/>
        <v>#VALUE!</v>
      </c>
      <c r="I1333" s="25">
        <f t="shared" si="191"/>
        <v>818.99999999998079</v>
      </c>
      <c r="J1333" s="25" t="e">
        <f t="shared" si="192"/>
        <v>#VALUE!</v>
      </c>
    </row>
    <row r="1334" spans="1:10" x14ac:dyDescent="0.25">
      <c r="A1334" s="25">
        <f t="shared" si="193"/>
        <v>3.199999999999807</v>
      </c>
      <c r="B1334" s="25">
        <f t="shared" ca="1" si="186"/>
        <v>-7.4305277623611804E-2</v>
      </c>
      <c r="C1334" s="25" t="e">
        <f t="shared" si="187"/>
        <v>#VALUE!</v>
      </c>
      <c r="D1334" s="74" t="e">
        <f t="shared" si="188"/>
        <v>#VALUE!</v>
      </c>
      <c r="E1334" s="25" t="e">
        <f t="shared" si="189"/>
        <v>#VALUE!</v>
      </c>
      <c r="F1334" s="25" t="e">
        <f t="shared" ca="1" si="190"/>
        <v>#VALUE!</v>
      </c>
      <c r="G1334" s="25"/>
      <c r="H1334" s="25" t="e">
        <f t="shared" si="194"/>
        <v>#VALUE!</v>
      </c>
      <c r="I1334" s="25">
        <f t="shared" si="191"/>
        <v>819.99999999998067</v>
      </c>
      <c r="J1334" s="25" t="e">
        <f t="shared" si="192"/>
        <v>#VALUE!</v>
      </c>
    </row>
    <row r="1335" spans="1:10" x14ac:dyDescent="0.25">
      <c r="A1335" s="25">
        <f t="shared" si="193"/>
        <v>3.2099999999998068</v>
      </c>
      <c r="B1335" s="25">
        <f t="shared" ca="1" si="186"/>
        <v>-0.14751155617975995</v>
      </c>
      <c r="C1335" s="25" t="e">
        <f t="shared" si="187"/>
        <v>#VALUE!</v>
      </c>
      <c r="D1335" s="74" t="e">
        <f t="shared" si="188"/>
        <v>#VALUE!</v>
      </c>
      <c r="E1335" s="25" t="e">
        <f t="shared" si="189"/>
        <v>#VALUE!</v>
      </c>
      <c r="F1335" s="25" t="e">
        <f t="shared" ca="1" si="190"/>
        <v>#VALUE!</v>
      </c>
      <c r="G1335" s="25"/>
      <c r="H1335" s="25" t="e">
        <f t="shared" si="194"/>
        <v>#VALUE!</v>
      </c>
      <c r="I1335" s="25">
        <f t="shared" si="191"/>
        <v>820.99999999998067</v>
      </c>
      <c r="J1335" s="25" t="e">
        <f t="shared" si="192"/>
        <v>#VALUE!</v>
      </c>
    </row>
    <row r="1336" spans="1:10" x14ac:dyDescent="0.25">
      <c r="A1336" s="25">
        <f t="shared" si="193"/>
        <v>3.2199999999998066</v>
      </c>
      <c r="B1336" s="25">
        <f t="shared" ca="1" si="186"/>
        <v>3.5741284375911835E-2</v>
      </c>
      <c r="C1336" s="25" t="e">
        <f t="shared" si="187"/>
        <v>#VALUE!</v>
      </c>
      <c r="D1336" s="74" t="e">
        <f t="shared" si="188"/>
        <v>#VALUE!</v>
      </c>
      <c r="E1336" s="25" t="e">
        <f t="shared" si="189"/>
        <v>#VALUE!</v>
      </c>
      <c r="F1336" s="25" t="e">
        <f t="shared" ca="1" si="190"/>
        <v>#VALUE!</v>
      </c>
      <c r="G1336" s="25"/>
      <c r="H1336" s="25" t="e">
        <f t="shared" si="194"/>
        <v>#VALUE!</v>
      </c>
      <c r="I1336" s="25">
        <f t="shared" si="191"/>
        <v>821.99999999998067</v>
      </c>
      <c r="J1336" s="25" t="e">
        <f t="shared" si="192"/>
        <v>#VALUE!</v>
      </c>
    </row>
    <row r="1337" spans="1:10" x14ac:dyDescent="0.25">
      <c r="A1337" s="25">
        <f t="shared" si="193"/>
        <v>3.2299999999998064</v>
      </c>
      <c r="B1337" s="25">
        <f t="shared" ca="1" si="186"/>
        <v>-0.18032684246087491</v>
      </c>
      <c r="C1337" s="25" t="e">
        <f t="shared" si="187"/>
        <v>#VALUE!</v>
      </c>
      <c r="D1337" s="74" t="e">
        <f t="shared" si="188"/>
        <v>#VALUE!</v>
      </c>
      <c r="E1337" s="25" t="e">
        <f t="shared" si="189"/>
        <v>#VALUE!</v>
      </c>
      <c r="F1337" s="25" t="e">
        <f t="shared" ca="1" si="190"/>
        <v>#VALUE!</v>
      </c>
      <c r="G1337" s="25"/>
      <c r="H1337" s="25" t="e">
        <f t="shared" si="194"/>
        <v>#VALUE!</v>
      </c>
      <c r="I1337" s="25">
        <f t="shared" si="191"/>
        <v>822.99999999998067</v>
      </c>
      <c r="J1337" s="25" t="e">
        <f t="shared" si="192"/>
        <v>#VALUE!</v>
      </c>
    </row>
    <row r="1338" spans="1:10" x14ac:dyDescent="0.25">
      <c r="A1338" s="25">
        <f t="shared" si="193"/>
        <v>3.2399999999998061</v>
      </c>
      <c r="B1338" s="25">
        <f t="shared" ca="1" si="186"/>
        <v>1.2284919961709986E-2</v>
      </c>
      <c r="C1338" s="25" t="e">
        <f t="shared" si="187"/>
        <v>#VALUE!</v>
      </c>
      <c r="D1338" s="74" t="e">
        <f t="shared" si="188"/>
        <v>#VALUE!</v>
      </c>
      <c r="E1338" s="25" t="e">
        <f t="shared" si="189"/>
        <v>#VALUE!</v>
      </c>
      <c r="F1338" s="25" t="e">
        <f t="shared" ca="1" si="190"/>
        <v>#VALUE!</v>
      </c>
      <c r="G1338" s="25"/>
      <c r="H1338" s="25" t="e">
        <f t="shared" si="194"/>
        <v>#VALUE!</v>
      </c>
      <c r="I1338" s="25">
        <f t="shared" si="191"/>
        <v>823.99999999998067</v>
      </c>
      <c r="J1338" s="25" t="e">
        <f t="shared" si="192"/>
        <v>#VALUE!</v>
      </c>
    </row>
    <row r="1339" spans="1:10" x14ac:dyDescent="0.25">
      <c r="A1339" s="25">
        <f t="shared" si="193"/>
        <v>3.2499999999998059</v>
      </c>
      <c r="B1339" s="25">
        <f t="shared" ca="1" si="186"/>
        <v>6.1272236253240103E-2</v>
      </c>
      <c r="C1339" s="25" t="e">
        <f t="shared" si="187"/>
        <v>#VALUE!</v>
      </c>
      <c r="D1339" s="74" t="e">
        <f t="shared" si="188"/>
        <v>#VALUE!</v>
      </c>
      <c r="E1339" s="25" t="e">
        <f t="shared" si="189"/>
        <v>#VALUE!</v>
      </c>
      <c r="F1339" s="25" t="e">
        <f t="shared" ca="1" si="190"/>
        <v>#VALUE!</v>
      </c>
      <c r="G1339" s="25"/>
      <c r="H1339" s="25" t="e">
        <f t="shared" si="194"/>
        <v>#VALUE!</v>
      </c>
      <c r="I1339" s="25">
        <f t="shared" si="191"/>
        <v>824.99999999998067</v>
      </c>
      <c r="J1339" s="25" t="e">
        <f t="shared" si="192"/>
        <v>#VALUE!</v>
      </c>
    </row>
    <row r="1340" spans="1:10" x14ac:dyDescent="0.25">
      <c r="A1340" s="25">
        <f t="shared" si="193"/>
        <v>3.2599999999998057</v>
      </c>
      <c r="B1340" s="25">
        <f t="shared" ca="1" si="186"/>
        <v>-0.17404925038922545</v>
      </c>
      <c r="C1340" s="25" t="e">
        <f t="shared" si="187"/>
        <v>#VALUE!</v>
      </c>
      <c r="D1340" s="74" t="e">
        <f t="shared" si="188"/>
        <v>#VALUE!</v>
      </c>
      <c r="E1340" s="25" t="e">
        <f t="shared" si="189"/>
        <v>#VALUE!</v>
      </c>
      <c r="F1340" s="25" t="e">
        <f t="shared" ca="1" si="190"/>
        <v>#VALUE!</v>
      </c>
      <c r="G1340" s="25"/>
      <c r="H1340" s="25" t="e">
        <f t="shared" si="194"/>
        <v>#VALUE!</v>
      </c>
      <c r="I1340" s="25">
        <f t="shared" si="191"/>
        <v>825.99999999998056</v>
      </c>
      <c r="J1340" s="25" t="e">
        <f t="shared" si="192"/>
        <v>#VALUE!</v>
      </c>
    </row>
    <row r="1341" spans="1:10" x14ac:dyDescent="0.25">
      <c r="A1341" s="25">
        <f t="shared" si="193"/>
        <v>3.2699999999998055</v>
      </c>
      <c r="B1341" s="25">
        <f t="shared" ca="1" si="186"/>
        <v>-0.16122391745425646</v>
      </c>
      <c r="C1341" s="25" t="e">
        <f t="shared" si="187"/>
        <v>#VALUE!</v>
      </c>
      <c r="D1341" s="74" t="e">
        <f t="shared" si="188"/>
        <v>#VALUE!</v>
      </c>
      <c r="E1341" s="25" t="e">
        <f t="shared" si="189"/>
        <v>#VALUE!</v>
      </c>
      <c r="F1341" s="25" t="e">
        <f t="shared" ca="1" si="190"/>
        <v>#VALUE!</v>
      </c>
      <c r="G1341" s="25"/>
      <c r="H1341" s="25" t="e">
        <f t="shared" si="194"/>
        <v>#VALUE!</v>
      </c>
      <c r="I1341" s="25">
        <f t="shared" si="191"/>
        <v>826.99999999998056</v>
      </c>
      <c r="J1341" s="25" t="e">
        <f t="shared" si="192"/>
        <v>#VALUE!</v>
      </c>
    </row>
    <row r="1342" spans="1:10" x14ac:dyDescent="0.25">
      <c r="A1342" s="25">
        <f t="shared" si="193"/>
        <v>3.2799999999998053</v>
      </c>
      <c r="B1342" s="25">
        <f t="shared" ca="1" si="186"/>
        <v>6.5626047922248715E-2</v>
      </c>
      <c r="C1342" s="25" t="e">
        <f t="shared" si="187"/>
        <v>#VALUE!</v>
      </c>
      <c r="D1342" s="74" t="e">
        <f t="shared" si="188"/>
        <v>#VALUE!</v>
      </c>
      <c r="E1342" s="25" t="e">
        <f t="shared" si="189"/>
        <v>#VALUE!</v>
      </c>
      <c r="F1342" s="25" t="e">
        <f t="shared" ca="1" si="190"/>
        <v>#VALUE!</v>
      </c>
      <c r="G1342" s="25"/>
      <c r="H1342" s="25" t="e">
        <f t="shared" si="194"/>
        <v>#VALUE!</v>
      </c>
      <c r="I1342" s="25">
        <f t="shared" si="191"/>
        <v>827.99999999998056</v>
      </c>
      <c r="J1342" s="25" t="e">
        <f t="shared" si="192"/>
        <v>#VALUE!</v>
      </c>
    </row>
    <row r="1343" spans="1:10" x14ac:dyDescent="0.25">
      <c r="A1343" s="25">
        <f t="shared" si="193"/>
        <v>3.2899999999998051</v>
      </c>
      <c r="B1343" s="25">
        <f t="shared" ca="1" si="186"/>
        <v>-7.3341756607445144E-2</v>
      </c>
      <c r="C1343" s="25" t="e">
        <f t="shared" si="187"/>
        <v>#VALUE!</v>
      </c>
      <c r="D1343" s="74" t="e">
        <f t="shared" si="188"/>
        <v>#VALUE!</v>
      </c>
      <c r="E1343" s="25" t="e">
        <f t="shared" si="189"/>
        <v>#VALUE!</v>
      </c>
      <c r="F1343" s="25" t="e">
        <f t="shared" ca="1" si="190"/>
        <v>#VALUE!</v>
      </c>
      <c r="G1343" s="25"/>
      <c r="H1343" s="25" t="e">
        <f t="shared" si="194"/>
        <v>#VALUE!</v>
      </c>
      <c r="I1343" s="25">
        <f t="shared" si="191"/>
        <v>828.99999999998056</v>
      </c>
      <c r="J1343" s="25" t="e">
        <f t="shared" si="192"/>
        <v>#VALUE!</v>
      </c>
    </row>
    <row r="1344" spans="1:10" x14ac:dyDescent="0.25">
      <c r="A1344" s="25">
        <f t="shared" si="193"/>
        <v>3.2999999999998049</v>
      </c>
      <c r="B1344" s="25">
        <f t="shared" ca="1" si="186"/>
        <v>-5.9891070490592439E-2</v>
      </c>
      <c r="C1344" s="25" t="e">
        <f t="shared" si="187"/>
        <v>#VALUE!</v>
      </c>
      <c r="D1344" s="74" t="e">
        <f t="shared" si="188"/>
        <v>#VALUE!</v>
      </c>
      <c r="E1344" s="25" t="e">
        <f t="shared" si="189"/>
        <v>#VALUE!</v>
      </c>
      <c r="F1344" s="25" t="e">
        <f t="shared" ca="1" si="190"/>
        <v>#VALUE!</v>
      </c>
      <c r="G1344" s="25"/>
      <c r="H1344" s="25" t="e">
        <f t="shared" si="194"/>
        <v>#VALUE!</v>
      </c>
      <c r="I1344" s="25">
        <f t="shared" si="191"/>
        <v>829.99999999998056</v>
      </c>
      <c r="J1344" s="25" t="e">
        <f t="shared" si="192"/>
        <v>#VALUE!</v>
      </c>
    </row>
    <row r="1345" spans="1:10" x14ac:dyDescent="0.25">
      <c r="A1345" s="25">
        <f t="shared" si="193"/>
        <v>3.3099999999998047</v>
      </c>
      <c r="B1345" s="25">
        <f t="shared" ca="1" si="186"/>
        <v>-0.16692477675521053</v>
      </c>
      <c r="C1345" s="25" t="e">
        <f t="shared" si="187"/>
        <v>#VALUE!</v>
      </c>
      <c r="D1345" s="74" t="e">
        <f t="shared" si="188"/>
        <v>#VALUE!</v>
      </c>
      <c r="E1345" s="25" t="e">
        <f t="shared" si="189"/>
        <v>#VALUE!</v>
      </c>
      <c r="F1345" s="25" t="e">
        <f t="shared" ca="1" si="190"/>
        <v>#VALUE!</v>
      </c>
      <c r="G1345" s="25"/>
      <c r="H1345" s="25" t="e">
        <f t="shared" si="194"/>
        <v>#VALUE!</v>
      </c>
      <c r="I1345" s="25">
        <f t="shared" si="191"/>
        <v>830.99999999998056</v>
      </c>
      <c r="J1345" s="25" t="e">
        <f t="shared" si="192"/>
        <v>#VALUE!</v>
      </c>
    </row>
    <row r="1346" spans="1:10" x14ac:dyDescent="0.25">
      <c r="A1346" s="25">
        <f t="shared" si="193"/>
        <v>3.3199999999998044</v>
      </c>
      <c r="B1346" s="25">
        <f t="shared" ca="1" si="186"/>
        <v>8.0162129783807573E-2</v>
      </c>
      <c r="C1346" s="25" t="e">
        <f t="shared" si="187"/>
        <v>#VALUE!</v>
      </c>
      <c r="D1346" s="74" t="e">
        <f t="shared" si="188"/>
        <v>#VALUE!</v>
      </c>
      <c r="E1346" s="25" t="e">
        <f t="shared" si="189"/>
        <v>#VALUE!</v>
      </c>
      <c r="F1346" s="25" t="e">
        <f t="shared" ca="1" si="190"/>
        <v>#VALUE!</v>
      </c>
      <c r="G1346" s="25"/>
      <c r="H1346" s="25" t="e">
        <f t="shared" si="194"/>
        <v>#VALUE!</v>
      </c>
      <c r="I1346" s="25">
        <f t="shared" si="191"/>
        <v>831.99999999998056</v>
      </c>
      <c r="J1346" s="25" t="e">
        <f t="shared" si="192"/>
        <v>#VALUE!</v>
      </c>
    </row>
    <row r="1347" spans="1:10" x14ac:dyDescent="0.25">
      <c r="A1347" s="25">
        <f t="shared" si="193"/>
        <v>3.3299999999998042</v>
      </c>
      <c r="B1347" s="25">
        <f t="shared" ca="1" si="186"/>
        <v>-2.1646533661932931E-2</v>
      </c>
      <c r="C1347" s="25" t="e">
        <f t="shared" si="187"/>
        <v>#VALUE!</v>
      </c>
      <c r="D1347" s="74" t="e">
        <f t="shared" si="188"/>
        <v>#VALUE!</v>
      </c>
      <c r="E1347" s="25" t="e">
        <f t="shared" si="189"/>
        <v>#VALUE!</v>
      </c>
      <c r="F1347" s="25" t="e">
        <f t="shared" ca="1" si="190"/>
        <v>#VALUE!</v>
      </c>
      <c r="G1347" s="25"/>
      <c r="H1347" s="25" t="e">
        <f t="shared" si="194"/>
        <v>#VALUE!</v>
      </c>
      <c r="I1347" s="25">
        <f t="shared" si="191"/>
        <v>832.99999999998056</v>
      </c>
      <c r="J1347" s="25" t="e">
        <f t="shared" si="192"/>
        <v>#VALUE!</v>
      </c>
    </row>
    <row r="1348" spans="1:10" x14ac:dyDescent="0.25">
      <c r="A1348" s="25">
        <f t="shared" si="193"/>
        <v>3.339999999999804</v>
      </c>
      <c r="B1348" s="25">
        <f t="shared" ca="1" si="186"/>
        <v>-0.16485471256979176</v>
      </c>
      <c r="C1348" s="25" t="e">
        <f t="shared" si="187"/>
        <v>#VALUE!</v>
      </c>
      <c r="D1348" s="74" t="e">
        <f t="shared" si="188"/>
        <v>#VALUE!</v>
      </c>
      <c r="E1348" s="25" t="e">
        <f t="shared" si="189"/>
        <v>#VALUE!</v>
      </c>
      <c r="F1348" s="25" t="e">
        <f t="shared" ca="1" si="190"/>
        <v>#VALUE!</v>
      </c>
      <c r="G1348" s="25"/>
      <c r="H1348" s="25" t="e">
        <f t="shared" si="194"/>
        <v>#VALUE!</v>
      </c>
      <c r="I1348" s="25">
        <f t="shared" si="191"/>
        <v>833.99999999998033</v>
      </c>
      <c r="J1348" s="25" t="e">
        <f t="shared" si="192"/>
        <v>#VALUE!</v>
      </c>
    </row>
    <row r="1349" spans="1:10" x14ac:dyDescent="0.25">
      <c r="A1349" s="25">
        <f t="shared" si="193"/>
        <v>3.3499999999998038</v>
      </c>
      <c r="B1349" s="25">
        <f t="shared" ca="1" si="186"/>
        <v>-2.8769205153403504E-2</v>
      </c>
      <c r="C1349" s="25" t="e">
        <f t="shared" si="187"/>
        <v>#VALUE!</v>
      </c>
      <c r="D1349" s="74" t="e">
        <f t="shared" si="188"/>
        <v>#VALUE!</v>
      </c>
      <c r="E1349" s="25" t="e">
        <f t="shared" si="189"/>
        <v>#VALUE!</v>
      </c>
      <c r="F1349" s="25" t="e">
        <f t="shared" ca="1" si="190"/>
        <v>#VALUE!</v>
      </c>
      <c r="G1349" s="25"/>
      <c r="H1349" s="25" t="e">
        <f t="shared" si="194"/>
        <v>#VALUE!</v>
      </c>
      <c r="I1349" s="25">
        <f t="shared" si="191"/>
        <v>834.99999999998033</v>
      </c>
      <c r="J1349" s="25" t="e">
        <f t="shared" si="192"/>
        <v>#VALUE!</v>
      </c>
    </row>
    <row r="1350" spans="1:10" x14ac:dyDescent="0.25">
      <c r="A1350" s="25">
        <f t="shared" si="193"/>
        <v>3.3599999999998036</v>
      </c>
      <c r="B1350" s="25">
        <f t="shared" ca="1" si="186"/>
        <v>-0.1218181420161167</v>
      </c>
      <c r="C1350" s="25" t="e">
        <f t="shared" si="187"/>
        <v>#VALUE!</v>
      </c>
      <c r="D1350" s="74" t="e">
        <f t="shared" si="188"/>
        <v>#VALUE!</v>
      </c>
      <c r="E1350" s="25" t="e">
        <f t="shared" si="189"/>
        <v>#VALUE!</v>
      </c>
      <c r="F1350" s="25" t="e">
        <f t="shared" ca="1" si="190"/>
        <v>#VALUE!</v>
      </c>
      <c r="G1350" s="25"/>
      <c r="H1350" s="25" t="e">
        <f t="shared" si="194"/>
        <v>#VALUE!</v>
      </c>
      <c r="I1350" s="25">
        <f t="shared" si="191"/>
        <v>835.99999999998033</v>
      </c>
      <c r="J1350" s="25" t="e">
        <f t="shared" si="192"/>
        <v>#VALUE!</v>
      </c>
    </row>
    <row r="1351" spans="1:10" x14ac:dyDescent="0.25">
      <c r="A1351" s="25">
        <f t="shared" si="193"/>
        <v>3.3699999999998034</v>
      </c>
      <c r="B1351" s="25">
        <f t="shared" ca="1" si="186"/>
        <v>-0.10883598451793226</v>
      </c>
      <c r="C1351" s="25" t="e">
        <f t="shared" si="187"/>
        <v>#VALUE!</v>
      </c>
      <c r="D1351" s="74" t="e">
        <f t="shared" si="188"/>
        <v>#VALUE!</v>
      </c>
      <c r="E1351" s="25" t="e">
        <f t="shared" si="189"/>
        <v>#VALUE!</v>
      </c>
      <c r="F1351" s="25" t="e">
        <f t="shared" ca="1" si="190"/>
        <v>#VALUE!</v>
      </c>
      <c r="G1351" s="25"/>
      <c r="H1351" s="25" t="e">
        <f t="shared" si="194"/>
        <v>#VALUE!</v>
      </c>
      <c r="I1351" s="25">
        <f t="shared" si="191"/>
        <v>836.99999999998033</v>
      </c>
      <c r="J1351" s="25" t="e">
        <f t="shared" si="192"/>
        <v>#VALUE!</v>
      </c>
    </row>
    <row r="1352" spans="1:10" x14ac:dyDescent="0.25">
      <c r="A1352" s="25">
        <f t="shared" si="193"/>
        <v>3.3799999999998032</v>
      </c>
      <c r="B1352" s="25">
        <f t="shared" ca="1" si="186"/>
        <v>0.12842326588183947</v>
      </c>
      <c r="C1352" s="25" t="e">
        <f t="shared" si="187"/>
        <v>#VALUE!</v>
      </c>
      <c r="D1352" s="74" t="e">
        <f t="shared" si="188"/>
        <v>#VALUE!</v>
      </c>
      <c r="E1352" s="25" t="e">
        <f t="shared" si="189"/>
        <v>#VALUE!</v>
      </c>
      <c r="F1352" s="25" t="e">
        <f t="shared" ca="1" si="190"/>
        <v>#VALUE!</v>
      </c>
      <c r="G1352" s="25"/>
      <c r="H1352" s="25" t="e">
        <f t="shared" si="194"/>
        <v>#VALUE!</v>
      </c>
      <c r="I1352" s="25">
        <f t="shared" si="191"/>
        <v>837.99999999998033</v>
      </c>
      <c r="J1352" s="25" t="e">
        <f t="shared" si="192"/>
        <v>#VALUE!</v>
      </c>
    </row>
    <row r="1353" spans="1:10" x14ac:dyDescent="0.25">
      <c r="A1353" s="25">
        <f t="shared" si="193"/>
        <v>3.3899999999998029</v>
      </c>
      <c r="B1353" s="25">
        <f t="shared" ca="1" si="186"/>
        <v>0.11011031908590341</v>
      </c>
      <c r="C1353" s="25" t="e">
        <f t="shared" si="187"/>
        <v>#VALUE!</v>
      </c>
      <c r="D1353" s="74" t="e">
        <f t="shared" si="188"/>
        <v>#VALUE!</v>
      </c>
      <c r="E1353" s="25" t="e">
        <f t="shared" si="189"/>
        <v>#VALUE!</v>
      </c>
      <c r="F1353" s="25" t="e">
        <f t="shared" ca="1" si="190"/>
        <v>#VALUE!</v>
      </c>
      <c r="G1353" s="25"/>
      <c r="H1353" s="25" t="e">
        <f t="shared" si="194"/>
        <v>#VALUE!</v>
      </c>
      <c r="I1353" s="25">
        <f t="shared" si="191"/>
        <v>838.99999999998033</v>
      </c>
      <c r="J1353" s="25" t="e">
        <f t="shared" si="192"/>
        <v>#VALUE!</v>
      </c>
    </row>
    <row r="1354" spans="1:10" x14ac:dyDescent="0.25">
      <c r="A1354" s="25">
        <f t="shared" si="193"/>
        <v>3.3999999999998027</v>
      </c>
      <c r="B1354" s="25">
        <f t="shared" ca="1" si="186"/>
        <v>0.10950183991839169</v>
      </c>
      <c r="C1354" s="25" t="e">
        <f t="shared" si="187"/>
        <v>#VALUE!</v>
      </c>
      <c r="D1354" s="74" t="e">
        <f t="shared" si="188"/>
        <v>#VALUE!</v>
      </c>
      <c r="E1354" s="25" t="e">
        <f t="shared" si="189"/>
        <v>#VALUE!</v>
      </c>
      <c r="F1354" s="25" t="e">
        <f t="shared" ca="1" si="190"/>
        <v>#VALUE!</v>
      </c>
      <c r="G1354" s="25"/>
      <c r="H1354" s="25" t="e">
        <f t="shared" si="194"/>
        <v>#VALUE!</v>
      </c>
      <c r="I1354" s="25">
        <f t="shared" si="191"/>
        <v>839.99999999998033</v>
      </c>
      <c r="J1354" s="25" t="e">
        <f t="shared" si="192"/>
        <v>#VALUE!</v>
      </c>
    </row>
    <row r="1355" spans="1:10" x14ac:dyDescent="0.25">
      <c r="A1355" s="25">
        <f t="shared" si="193"/>
        <v>3.4099999999998025</v>
      </c>
      <c r="B1355" s="25">
        <f t="shared" ca="1" si="186"/>
        <v>-3.5185955764021441E-2</v>
      </c>
      <c r="C1355" s="25" t="e">
        <f t="shared" si="187"/>
        <v>#VALUE!</v>
      </c>
      <c r="D1355" s="74" t="e">
        <f t="shared" si="188"/>
        <v>#VALUE!</v>
      </c>
      <c r="E1355" s="25" t="e">
        <f t="shared" si="189"/>
        <v>#VALUE!</v>
      </c>
      <c r="F1355" s="25" t="e">
        <f t="shared" ca="1" si="190"/>
        <v>#VALUE!</v>
      </c>
      <c r="G1355" s="25"/>
      <c r="H1355" s="25" t="e">
        <f t="shared" si="194"/>
        <v>#VALUE!</v>
      </c>
      <c r="I1355" s="25">
        <f t="shared" si="191"/>
        <v>840.99999999998033</v>
      </c>
      <c r="J1355" s="25" t="e">
        <f t="shared" si="192"/>
        <v>#VALUE!</v>
      </c>
    </row>
    <row r="1356" spans="1:10" x14ac:dyDescent="0.25">
      <c r="A1356" s="25">
        <f t="shared" si="193"/>
        <v>3.4199999999998023</v>
      </c>
      <c r="B1356" s="25">
        <f t="shared" ca="1" si="186"/>
        <v>2.3518218028398291E-2</v>
      </c>
      <c r="C1356" s="25" t="e">
        <f t="shared" si="187"/>
        <v>#VALUE!</v>
      </c>
      <c r="D1356" s="74" t="e">
        <f t="shared" si="188"/>
        <v>#VALUE!</v>
      </c>
      <c r="E1356" s="25" t="e">
        <f t="shared" si="189"/>
        <v>#VALUE!</v>
      </c>
      <c r="F1356" s="25" t="e">
        <f t="shared" ca="1" si="190"/>
        <v>#VALUE!</v>
      </c>
      <c r="G1356" s="25"/>
      <c r="H1356" s="25" t="e">
        <f t="shared" si="194"/>
        <v>#VALUE!</v>
      </c>
      <c r="I1356" s="25">
        <f t="shared" si="191"/>
        <v>841.99999999998033</v>
      </c>
      <c r="J1356" s="25" t="e">
        <f t="shared" si="192"/>
        <v>#VALUE!</v>
      </c>
    </row>
    <row r="1357" spans="1:10" x14ac:dyDescent="0.25">
      <c r="A1357" s="25">
        <f t="shared" si="193"/>
        <v>3.4299999999998021</v>
      </c>
      <c r="B1357" s="25">
        <f t="shared" ca="1" si="186"/>
        <v>-0.1272153500006917</v>
      </c>
      <c r="C1357" s="25" t="e">
        <f t="shared" si="187"/>
        <v>#VALUE!</v>
      </c>
      <c r="D1357" s="74" t="e">
        <f t="shared" si="188"/>
        <v>#VALUE!</v>
      </c>
      <c r="E1357" s="25" t="e">
        <f t="shared" si="189"/>
        <v>#VALUE!</v>
      </c>
      <c r="F1357" s="25" t="e">
        <f t="shared" ca="1" si="190"/>
        <v>#VALUE!</v>
      </c>
      <c r="G1357" s="25"/>
      <c r="H1357" s="25" t="e">
        <f t="shared" si="194"/>
        <v>#VALUE!</v>
      </c>
      <c r="I1357" s="25">
        <f t="shared" si="191"/>
        <v>842.99999999998022</v>
      </c>
      <c r="J1357" s="25" t="e">
        <f t="shared" si="192"/>
        <v>#VALUE!</v>
      </c>
    </row>
    <row r="1358" spans="1:10" x14ac:dyDescent="0.25">
      <c r="A1358" s="25">
        <f t="shared" si="193"/>
        <v>3.4399999999998019</v>
      </c>
      <c r="B1358" s="25">
        <f t="shared" ref="B1358:B1421" ca="1" si="195">(RAND()-0.5-$B$7)/$B$5</f>
        <v>-5.5708112321748897E-3</v>
      </c>
      <c r="C1358" s="25" t="e">
        <f t="shared" ref="C1358:C1421" si="196">IF(ABS(A1358)&lt;=($D$3/2),1,IF(ABS(A1358)&lt;=($B$4/2),IF(A1358&gt;0,A1358*(4/(1-2*$B$4))+(2*$B$4/(2*$B$4-1)),(-A1358*(4/(1-2*$B$4))+(2*$B$4/(2*$B$4-1)))),0))</f>
        <v>#VALUE!</v>
      </c>
      <c r="D1358" s="74" t="e">
        <f t="shared" ref="D1358:D1421" si="197">IF(ABS(A1358)&lt;=($D$3/4+$B$4/4),1,IF(ABS(A1358)&lt;=($B$4/2),(IF(A1358&gt;0,A1358*(8/(1-2*$B$4))+(4*$B$4)/(2*$B$4-1),(-A1358*(8/(1-2*$B$4))+(4*$B$4)/(2*$B$4-1)))),0))</f>
        <v>#VALUE!</v>
      </c>
      <c r="E1358" s="25" t="e">
        <f t="shared" ref="E1358:E1421" si="198">IF(ABS(A1358)&lt;($B$4/2), 1, 0)</f>
        <v>#VALUE!</v>
      </c>
      <c r="F1358" s="25" t="e">
        <f t="shared" ref="F1358:F1421" ca="1" si="199">C1358+B1358</f>
        <v>#VALUE!</v>
      </c>
      <c r="G1358" s="25"/>
      <c r="H1358" s="25" t="e">
        <f t="shared" si="194"/>
        <v>#VALUE!</v>
      </c>
      <c r="I1358" s="25">
        <f t="shared" ref="I1358:I1421" si="200">$I$3*(A1358-$G$3)/($H$3-$G$3)</f>
        <v>843.99999999998022</v>
      </c>
      <c r="J1358" s="25" t="e">
        <f t="shared" ref="J1358:J1421" si="201">H1358</f>
        <v>#VALUE!</v>
      </c>
    </row>
    <row r="1359" spans="1:10" x14ac:dyDescent="0.25">
      <c r="A1359" s="25">
        <f t="shared" ref="A1359:A1422" si="202">A1358+0.01</f>
        <v>3.4499999999998017</v>
      </c>
      <c r="B1359" s="25">
        <f t="shared" ca="1" si="195"/>
        <v>-8.8937843936772579E-2</v>
      </c>
      <c r="C1359" s="25" t="e">
        <f t="shared" si="196"/>
        <v>#VALUE!</v>
      </c>
      <c r="D1359" s="74" t="e">
        <f t="shared" si="197"/>
        <v>#VALUE!</v>
      </c>
      <c r="E1359" s="25" t="e">
        <f t="shared" si="198"/>
        <v>#VALUE!</v>
      </c>
      <c r="F1359" s="25" t="e">
        <f t="shared" ca="1" si="199"/>
        <v>#VALUE!</v>
      </c>
      <c r="G1359" s="25"/>
      <c r="H1359" s="25" t="e">
        <f t="shared" si="194"/>
        <v>#VALUE!</v>
      </c>
      <c r="I1359" s="25">
        <f t="shared" si="200"/>
        <v>844.99999999998022</v>
      </c>
      <c r="J1359" s="25" t="e">
        <f t="shared" si="201"/>
        <v>#VALUE!</v>
      </c>
    </row>
    <row r="1360" spans="1:10" x14ac:dyDescent="0.25">
      <c r="A1360" s="25">
        <f t="shared" si="202"/>
        <v>3.4599999999998015</v>
      </c>
      <c r="B1360" s="25">
        <f t="shared" ca="1" si="195"/>
        <v>-5.8743317136305102E-2</v>
      </c>
      <c r="C1360" s="25" t="e">
        <f t="shared" si="196"/>
        <v>#VALUE!</v>
      </c>
      <c r="D1360" s="74" t="e">
        <f t="shared" si="197"/>
        <v>#VALUE!</v>
      </c>
      <c r="E1360" s="25" t="e">
        <f t="shared" si="198"/>
        <v>#VALUE!</v>
      </c>
      <c r="F1360" s="25" t="e">
        <f t="shared" ca="1" si="199"/>
        <v>#VALUE!</v>
      </c>
      <c r="G1360" s="25"/>
      <c r="H1360" s="25" t="e">
        <f t="shared" si="194"/>
        <v>#VALUE!</v>
      </c>
      <c r="I1360" s="25">
        <f t="shared" si="200"/>
        <v>845.99999999998022</v>
      </c>
      <c r="J1360" s="25" t="e">
        <f t="shared" si="201"/>
        <v>#VALUE!</v>
      </c>
    </row>
    <row r="1361" spans="1:10" x14ac:dyDescent="0.25">
      <c r="A1361" s="25">
        <f t="shared" si="202"/>
        <v>3.4699999999998012</v>
      </c>
      <c r="B1361" s="25">
        <f t="shared" ca="1" si="195"/>
        <v>2.7990747379853253E-2</v>
      </c>
      <c r="C1361" s="25" t="e">
        <f t="shared" si="196"/>
        <v>#VALUE!</v>
      </c>
      <c r="D1361" s="74" t="e">
        <f t="shared" si="197"/>
        <v>#VALUE!</v>
      </c>
      <c r="E1361" s="25" t="e">
        <f t="shared" si="198"/>
        <v>#VALUE!</v>
      </c>
      <c r="F1361" s="25" t="e">
        <f t="shared" ca="1" si="199"/>
        <v>#VALUE!</v>
      </c>
      <c r="G1361" s="25"/>
      <c r="H1361" s="25" t="e">
        <f t="shared" si="194"/>
        <v>#VALUE!</v>
      </c>
      <c r="I1361" s="25">
        <f t="shared" si="200"/>
        <v>846.99999999998022</v>
      </c>
      <c r="J1361" s="25" t="e">
        <f t="shared" si="201"/>
        <v>#VALUE!</v>
      </c>
    </row>
    <row r="1362" spans="1:10" x14ac:dyDescent="0.25">
      <c r="A1362" s="25">
        <f t="shared" si="202"/>
        <v>3.479999999999801</v>
      </c>
      <c r="B1362" s="25">
        <f t="shared" ca="1" si="195"/>
        <v>-0.135526848666953</v>
      </c>
      <c r="C1362" s="25" t="e">
        <f t="shared" si="196"/>
        <v>#VALUE!</v>
      </c>
      <c r="D1362" s="74" t="e">
        <f t="shared" si="197"/>
        <v>#VALUE!</v>
      </c>
      <c r="E1362" s="25" t="e">
        <f t="shared" si="198"/>
        <v>#VALUE!</v>
      </c>
      <c r="F1362" s="25" t="e">
        <f t="shared" ca="1" si="199"/>
        <v>#VALUE!</v>
      </c>
      <c r="G1362" s="25"/>
      <c r="H1362" s="25" t="e">
        <f t="shared" si="194"/>
        <v>#VALUE!</v>
      </c>
      <c r="I1362" s="25">
        <f t="shared" si="200"/>
        <v>847.99999999998022</v>
      </c>
      <c r="J1362" s="25" t="e">
        <f t="shared" si="201"/>
        <v>#VALUE!</v>
      </c>
    </row>
    <row r="1363" spans="1:10" x14ac:dyDescent="0.25">
      <c r="A1363" s="25">
        <f t="shared" si="202"/>
        <v>3.4899999999998008</v>
      </c>
      <c r="B1363" s="25">
        <f t="shared" ca="1" si="195"/>
        <v>-6.5463674488062756E-2</v>
      </c>
      <c r="C1363" s="25" t="e">
        <f t="shared" si="196"/>
        <v>#VALUE!</v>
      </c>
      <c r="D1363" s="74" t="e">
        <f t="shared" si="197"/>
        <v>#VALUE!</v>
      </c>
      <c r="E1363" s="25" t="e">
        <f t="shared" si="198"/>
        <v>#VALUE!</v>
      </c>
      <c r="F1363" s="25" t="e">
        <f t="shared" ca="1" si="199"/>
        <v>#VALUE!</v>
      </c>
      <c r="G1363" s="25"/>
      <c r="H1363" s="25" t="e">
        <f t="shared" si="194"/>
        <v>#VALUE!</v>
      </c>
      <c r="I1363" s="25">
        <f t="shared" si="200"/>
        <v>848.99999999998022</v>
      </c>
      <c r="J1363" s="25" t="e">
        <f t="shared" si="201"/>
        <v>#VALUE!</v>
      </c>
    </row>
    <row r="1364" spans="1:10" x14ac:dyDescent="0.25">
      <c r="A1364" s="25">
        <f t="shared" si="202"/>
        <v>3.4999999999998006</v>
      </c>
      <c r="B1364" s="25">
        <f t="shared" ca="1" si="195"/>
        <v>-0.19577134623620807</v>
      </c>
      <c r="C1364" s="25" t="e">
        <f t="shared" si="196"/>
        <v>#VALUE!</v>
      </c>
      <c r="D1364" s="74" t="e">
        <f t="shared" si="197"/>
        <v>#VALUE!</v>
      </c>
      <c r="E1364" s="25" t="e">
        <f t="shared" si="198"/>
        <v>#VALUE!</v>
      </c>
      <c r="F1364" s="25" t="e">
        <f t="shared" ca="1" si="199"/>
        <v>#VALUE!</v>
      </c>
      <c r="G1364" s="25"/>
      <c r="H1364" s="25" t="e">
        <f t="shared" si="194"/>
        <v>#VALUE!</v>
      </c>
      <c r="I1364" s="25">
        <f t="shared" si="200"/>
        <v>849.99999999998022</v>
      </c>
      <c r="J1364" s="25" t="e">
        <f t="shared" si="201"/>
        <v>#VALUE!</v>
      </c>
    </row>
    <row r="1365" spans="1:10" x14ac:dyDescent="0.25">
      <c r="A1365" s="25">
        <f t="shared" si="202"/>
        <v>3.5099999999998004</v>
      </c>
      <c r="B1365" s="25">
        <f t="shared" ca="1" si="195"/>
        <v>0.12556547628373235</v>
      </c>
      <c r="C1365" s="25" t="e">
        <f t="shared" si="196"/>
        <v>#VALUE!</v>
      </c>
      <c r="D1365" s="74" t="e">
        <f t="shared" si="197"/>
        <v>#VALUE!</v>
      </c>
      <c r="E1365" s="25" t="e">
        <f t="shared" si="198"/>
        <v>#VALUE!</v>
      </c>
      <c r="F1365" s="25" t="e">
        <f t="shared" ca="1" si="199"/>
        <v>#VALUE!</v>
      </c>
      <c r="G1365" s="25"/>
      <c r="H1365" s="25" t="e">
        <f t="shared" si="194"/>
        <v>#VALUE!</v>
      </c>
      <c r="I1365" s="25">
        <f t="shared" si="200"/>
        <v>850.99999999998022</v>
      </c>
      <c r="J1365" s="25" t="e">
        <f t="shared" si="201"/>
        <v>#VALUE!</v>
      </c>
    </row>
    <row r="1366" spans="1:10" x14ac:dyDescent="0.25">
      <c r="A1366" s="25">
        <f t="shared" si="202"/>
        <v>3.5199999999998002</v>
      </c>
      <c r="B1366" s="25">
        <f t="shared" ca="1" si="195"/>
        <v>-5.268025403559156E-2</v>
      </c>
      <c r="C1366" s="25" t="e">
        <f t="shared" si="196"/>
        <v>#VALUE!</v>
      </c>
      <c r="D1366" s="74" t="e">
        <f t="shared" si="197"/>
        <v>#VALUE!</v>
      </c>
      <c r="E1366" s="25" t="e">
        <f t="shared" si="198"/>
        <v>#VALUE!</v>
      </c>
      <c r="F1366" s="25" t="e">
        <f t="shared" ca="1" si="199"/>
        <v>#VALUE!</v>
      </c>
      <c r="G1366" s="25"/>
      <c r="H1366" s="25" t="e">
        <f t="shared" si="194"/>
        <v>#VALUE!</v>
      </c>
      <c r="I1366" s="25">
        <f t="shared" si="200"/>
        <v>851.99999999997999</v>
      </c>
      <c r="J1366" s="25" t="e">
        <f t="shared" si="201"/>
        <v>#VALUE!</v>
      </c>
    </row>
    <row r="1367" spans="1:10" x14ac:dyDescent="0.25">
      <c r="A1367" s="25">
        <f t="shared" si="202"/>
        <v>3.5299999999998</v>
      </c>
      <c r="B1367" s="25">
        <f t="shared" ca="1" si="195"/>
        <v>-0.11739298052472295</v>
      </c>
      <c r="C1367" s="25" t="e">
        <f t="shared" si="196"/>
        <v>#VALUE!</v>
      </c>
      <c r="D1367" s="74" t="e">
        <f t="shared" si="197"/>
        <v>#VALUE!</v>
      </c>
      <c r="E1367" s="25" t="e">
        <f t="shared" si="198"/>
        <v>#VALUE!</v>
      </c>
      <c r="F1367" s="25" t="e">
        <f t="shared" ca="1" si="199"/>
        <v>#VALUE!</v>
      </c>
      <c r="G1367" s="25"/>
      <c r="H1367" s="25" t="e">
        <f t="shared" si="194"/>
        <v>#VALUE!</v>
      </c>
      <c r="I1367" s="25">
        <f t="shared" si="200"/>
        <v>852.99999999997999</v>
      </c>
      <c r="J1367" s="25" t="e">
        <f t="shared" si="201"/>
        <v>#VALUE!</v>
      </c>
    </row>
    <row r="1368" spans="1:10" x14ac:dyDescent="0.25">
      <c r="A1368" s="25">
        <f t="shared" si="202"/>
        <v>3.5399999999997998</v>
      </c>
      <c r="B1368" s="25">
        <f t="shared" ca="1" si="195"/>
        <v>-0.18402355557959135</v>
      </c>
      <c r="C1368" s="25" t="e">
        <f t="shared" si="196"/>
        <v>#VALUE!</v>
      </c>
      <c r="D1368" s="74" t="e">
        <f t="shared" si="197"/>
        <v>#VALUE!</v>
      </c>
      <c r="E1368" s="25" t="e">
        <f t="shared" si="198"/>
        <v>#VALUE!</v>
      </c>
      <c r="F1368" s="25" t="e">
        <f t="shared" ca="1" si="199"/>
        <v>#VALUE!</v>
      </c>
      <c r="G1368" s="25"/>
      <c r="H1368" s="25" t="e">
        <f t="shared" si="194"/>
        <v>#VALUE!</v>
      </c>
      <c r="I1368" s="25">
        <f t="shared" si="200"/>
        <v>853.99999999997999</v>
      </c>
      <c r="J1368" s="25" t="e">
        <f t="shared" si="201"/>
        <v>#VALUE!</v>
      </c>
    </row>
    <row r="1369" spans="1:10" x14ac:dyDescent="0.25">
      <c r="A1369" s="25">
        <f t="shared" si="202"/>
        <v>3.5499999999997995</v>
      </c>
      <c r="B1369" s="25">
        <f t="shared" ca="1" si="195"/>
        <v>5.360358224120833E-3</v>
      </c>
      <c r="C1369" s="25" t="e">
        <f t="shared" si="196"/>
        <v>#VALUE!</v>
      </c>
      <c r="D1369" s="74" t="e">
        <f t="shared" si="197"/>
        <v>#VALUE!</v>
      </c>
      <c r="E1369" s="25" t="e">
        <f t="shared" si="198"/>
        <v>#VALUE!</v>
      </c>
      <c r="F1369" s="25" t="e">
        <f t="shared" ca="1" si="199"/>
        <v>#VALUE!</v>
      </c>
      <c r="G1369" s="25"/>
      <c r="H1369" s="25" t="e">
        <f t="shared" si="194"/>
        <v>#VALUE!</v>
      </c>
      <c r="I1369" s="25">
        <f t="shared" si="200"/>
        <v>854.99999999997999</v>
      </c>
      <c r="J1369" s="25" t="e">
        <f t="shared" si="201"/>
        <v>#VALUE!</v>
      </c>
    </row>
    <row r="1370" spans="1:10" x14ac:dyDescent="0.25">
      <c r="A1370" s="25">
        <f t="shared" si="202"/>
        <v>3.5599999999997993</v>
      </c>
      <c r="B1370" s="25">
        <f t="shared" ca="1" si="195"/>
        <v>3.8363213736948724E-2</v>
      </c>
      <c r="C1370" s="25" t="e">
        <f t="shared" si="196"/>
        <v>#VALUE!</v>
      </c>
      <c r="D1370" s="74" t="e">
        <f t="shared" si="197"/>
        <v>#VALUE!</v>
      </c>
      <c r="E1370" s="25" t="e">
        <f t="shared" si="198"/>
        <v>#VALUE!</v>
      </c>
      <c r="F1370" s="25" t="e">
        <f t="shared" ca="1" si="199"/>
        <v>#VALUE!</v>
      </c>
      <c r="G1370" s="25"/>
      <c r="H1370" s="25" t="e">
        <f t="shared" si="194"/>
        <v>#VALUE!</v>
      </c>
      <c r="I1370" s="25">
        <f t="shared" si="200"/>
        <v>855.99999999997999</v>
      </c>
      <c r="J1370" s="25" t="e">
        <f t="shared" si="201"/>
        <v>#VALUE!</v>
      </c>
    </row>
    <row r="1371" spans="1:10" x14ac:dyDescent="0.25">
      <c r="A1371" s="25">
        <f t="shared" si="202"/>
        <v>3.5699999999997991</v>
      </c>
      <c r="B1371" s="25">
        <f t="shared" ca="1" si="195"/>
        <v>3.4613768121240347E-2</v>
      </c>
      <c r="C1371" s="25" t="e">
        <f t="shared" si="196"/>
        <v>#VALUE!</v>
      </c>
      <c r="D1371" s="74" t="e">
        <f t="shared" si="197"/>
        <v>#VALUE!</v>
      </c>
      <c r="E1371" s="25" t="e">
        <f t="shared" si="198"/>
        <v>#VALUE!</v>
      </c>
      <c r="F1371" s="25" t="e">
        <f t="shared" ca="1" si="199"/>
        <v>#VALUE!</v>
      </c>
      <c r="G1371" s="25"/>
      <c r="H1371" s="25" t="e">
        <f t="shared" si="194"/>
        <v>#VALUE!</v>
      </c>
      <c r="I1371" s="25">
        <f t="shared" si="200"/>
        <v>856.99999999997999</v>
      </c>
      <c r="J1371" s="25" t="e">
        <f t="shared" si="201"/>
        <v>#VALUE!</v>
      </c>
    </row>
    <row r="1372" spans="1:10" x14ac:dyDescent="0.25">
      <c r="A1372" s="25">
        <f t="shared" si="202"/>
        <v>3.5799999999997989</v>
      </c>
      <c r="B1372" s="25">
        <f t="shared" ca="1" si="195"/>
        <v>-5.132518823551014E-2</v>
      </c>
      <c r="C1372" s="25" t="e">
        <f t="shared" si="196"/>
        <v>#VALUE!</v>
      </c>
      <c r="D1372" s="74" t="e">
        <f t="shared" si="197"/>
        <v>#VALUE!</v>
      </c>
      <c r="E1372" s="25" t="e">
        <f t="shared" si="198"/>
        <v>#VALUE!</v>
      </c>
      <c r="F1372" s="25" t="e">
        <f t="shared" ca="1" si="199"/>
        <v>#VALUE!</v>
      </c>
      <c r="G1372" s="25"/>
      <c r="H1372" s="25" t="e">
        <f t="shared" si="194"/>
        <v>#VALUE!</v>
      </c>
      <c r="I1372" s="25">
        <f t="shared" si="200"/>
        <v>857.99999999997999</v>
      </c>
      <c r="J1372" s="25" t="e">
        <f t="shared" si="201"/>
        <v>#VALUE!</v>
      </c>
    </row>
    <row r="1373" spans="1:10" x14ac:dyDescent="0.25">
      <c r="A1373" s="25">
        <f t="shared" si="202"/>
        <v>3.5899999999997987</v>
      </c>
      <c r="B1373" s="25">
        <f t="shared" ca="1" si="195"/>
        <v>8.0175402191851555E-2</v>
      </c>
      <c r="C1373" s="25" t="e">
        <f t="shared" si="196"/>
        <v>#VALUE!</v>
      </c>
      <c r="D1373" s="74" t="e">
        <f t="shared" si="197"/>
        <v>#VALUE!</v>
      </c>
      <c r="E1373" s="25" t="e">
        <f t="shared" si="198"/>
        <v>#VALUE!</v>
      </c>
      <c r="F1373" s="25" t="e">
        <f t="shared" ca="1" si="199"/>
        <v>#VALUE!</v>
      </c>
      <c r="G1373" s="25"/>
      <c r="H1373" s="25" t="e">
        <f t="shared" si="194"/>
        <v>#VALUE!</v>
      </c>
      <c r="I1373" s="25">
        <f t="shared" si="200"/>
        <v>858.99999999997999</v>
      </c>
      <c r="J1373" s="25" t="e">
        <f t="shared" si="201"/>
        <v>#VALUE!</v>
      </c>
    </row>
    <row r="1374" spans="1:10" x14ac:dyDescent="0.25">
      <c r="A1374" s="25">
        <f t="shared" si="202"/>
        <v>3.5999999999997985</v>
      </c>
      <c r="B1374" s="25">
        <f t="shared" ca="1" si="195"/>
        <v>-0.19439430578141692</v>
      </c>
      <c r="C1374" s="25" t="e">
        <f t="shared" si="196"/>
        <v>#VALUE!</v>
      </c>
      <c r="D1374" s="74" t="e">
        <f t="shared" si="197"/>
        <v>#VALUE!</v>
      </c>
      <c r="E1374" s="25" t="e">
        <f t="shared" si="198"/>
        <v>#VALUE!</v>
      </c>
      <c r="F1374" s="25" t="e">
        <f t="shared" ca="1" si="199"/>
        <v>#VALUE!</v>
      </c>
      <c r="G1374" s="25"/>
      <c r="H1374" s="25" t="e">
        <f t="shared" ref="H1374:H1437" si="203">IF(PeakShape=$O$3,C1374,IF(PeakShape=O1376,D1374,E1374))</f>
        <v>#VALUE!</v>
      </c>
      <c r="I1374" s="25">
        <f t="shared" si="200"/>
        <v>859.99999999997976</v>
      </c>
      <c r="J1374" s="25" t="e">
        <f t="shared" si="201"/>
        <v>#VALUE!</v>
      </c>
    </row>
    <row r="1375" spans="1:10" x14ac:dyDescent="0.25">
      <c r="A1375" s="25">
        <f t="shared" si="202"/>
        <v>3.6099999999997983</v>
      </c>
      <c r="B1375" s="25">
        <f t="shared" ca="1" si="195"/>
        <v>-0.12945702944937851</v>
      </c>
      <c r="C1375" s="25" t="e">
        <f t="shared" si="196"/>
        <v>#VALUE!</v>
      </c>
      <c r="D1375" s="74" t="e">
        <f t="shared" si="197"/>
        <v>#VALUE!</v>
      </c>
      <c r="E1375" s="25" t="e">
        <f t="shared" si="198"/>
        <v>#VALUE!</v>
      </c>
      <c r="F1375" s="25" t="e">
        <f t="shared" ca="1" si="199"/>
        <v>#VALUE!</v>
      </c>
      <c r="G1375" s="25"/>
      <c r="H1375" s="25" t="e">
        <f t="shared" si="203"/>
        <v>#VALUE!</v>
      </c>
      <c r="I1375" s="25">
        <f t="shared" si="200"/>
        <v>860.99999999997976</v>
      </c>
      <c r="J1375" s="25" t="e">
        <f t="shared" si="201"/>
        <v>#VALUE!</v>
      </c>
    </row>
    <row r="1376" spans="1:10" x14ac:dyDescent="0.25">
      <c r="A1376" s="25">
        <f t="shared" si="202"/>
        <v>3.619999999999798</v>
      </c>
      <c r="B1376" s="25">
        <f t="shared" ca="1" si="195"/>
        <v>-9.1017494663130138E-2</v>
      </c>
      <c r="C1376" s="25" t="e">
        <f t="shared" si="196"/>
        <v>#VALUE!</v>
      </c>
      <c r="D1376" s="74" t="e">
        <f t="shared" si="197"/>
        <v>#VALUE!</v>
      </c>
      <c r="E1376" s="25" t="e">
        <f t="shared" si="198"/>
        <v>#VALUE!</v>
      </c>
      <c r="F1376" s="25" t="e">
        <f t="shared" ca="1" si="199"/>
        <v>#VALUE!</v>
      </c>
      <c r="G1376" s="25"/>
      <c r="H1376" s="25" t="e">
        <f t="shared" si="203"/>
        <v>#VALUE!</v>
      </c>
      <c r="I1376" s="25">
        <f t="shared" si="200"/>
        <v>861.99999999997976</v>
      </c>
      <c r="J1376" s="25" t="e">
        <f t="shared" si="201"/>
        <v>#VALUE!</v>
      </c>
    </row>
    <row r="1377" spans="1:10" x14ac:dyDescent="0.25">
      <c r="A1377" s="25">
        <f t="shared" si="202"/>
        <v>3.6299999999997978</v>
      </c>
      <c r="B1377" s="25">
        <f t="shared" ca="1" si="195"/>
        <v>-8.546394198729805E-2</v>
      </c>
      <c r="C1377" s="25" t="e">
        <f t="shared" si="196"/>
        <v>#VALUE!</v>
      </c>
      <c r="D1377" s="74" t="e">
        <f t="shared" si="197"/>
        <v>#VALUE!</v>
      </c>
      <c r="E1377" s="25" t="e">
        <f t="shared" si="198"/>
        <v>#VALUE!</v>
      </c>
      <c r="F1377" s="25" t="e">
        <f t="shared" ca="1" si="199"/>
        <v>#VALUE!</v>
      </c>
      <c r="G1377" s="25"/>
      <c r="H1377" s="25" t="e">
        <f t="shared" si="203"/>
        <v>#VALUE!</v>
      </c>
      <c r="I1377" s="25">
        <f t="shared" si="200"/>
        <v>862.99999999997976</v>
      </c>
      <c r="J1377" s="25" t="e">
        <f t="shared" si="201"/>
        <v>#VALUE!</v>
      </c>
    </row>
    <row r="1378" spans="1:10" x14ac:dyDescent="0.25">
      <c r="A1378" s="25">
        <f t="shared" si="202"/>
        <v>3.6399999999997976</v>
      </c>
      <c r="B1378" s="25">
        <f t="shared" ca="1" si="195"/>
        <v>-0.17483080054906772</v>
      </c>
      <c r="C1378" s="25" t="e">
        <f t="shared" si="196"/>
        <v>#VALUE!</v>
      </c>
      <c r="D1378" s="74" t="e">
        <f t="shared" si="197"/>
        <v>#VALUE!</v>
      </c>
      <c r="E1378" s="25" t="e">
        <f t="shared" si="198"/>
        <v>#VALUE!</v>
      </c>
      <c r="F1378" s="25" t="e">
        <f t="shared" ca="1" si="199"/>
        <v>#VALUE!</v>
      </c>
      <c r="G1378" s="25"/>
      <c r="H1378" s="25" t="e">
        <f t="shared" si="203"/>
        <v>#VALUE!</v>
      </c>
      <c r="I1378" s="25">
        <f t="shared" si="200"/>
        <v>863.99999999997976</v>
      </c>
      <c r="J1378" s="25" t="e">
        <f t="shared" si="201"/>
        <v>#VALUE!</v>
      </c>
    </row>
    <row r="1379" spans="1:10" x14ac:dyDescent="0.25">
      <c r="A1379" s="25">
        <f t="shared" si="202"/>
        <v>3.6499999999997974</v>
      </c>
      <c r="B1379" s="25">
        <f t="shared" ca="1" si="195"/>
        <v>-0.16082774263894362</v>
      </c>
      <c r="C1379" s="25" t="e">
        <f t="shared" si="196"/>
        <v>#VALUE!</v>
      </c>
      <c r="D1379" s="74" t="e">
        <f t="shared" si="197"/>
        <v>#VALUE!</v>
      </c>
      <c r="E1379" s="25" t="e">
        <f t="shared" si="198"/>
        <v>#VALUE!</v>
      </c>
      <c r="F1379" s="25" t="e">
        <f t="shared" ca="1" si="199"/>
        <v>#VALUE!</v>
      </c>
      <c r="G1379" s="25"/>
      <c r="H1379" s="25" t="e">
        <f t="shared" si="203"/>
        <v>#VALUE!</v>
      </c>
      <c r="I1379" s="25">
        <f t="shared" si="200"/>
        <v>864.99999999997976</v>
      </c>
      <c r="J1379" s="25" t="e">
        <f t="shared" si="201"/>
        <v>#VALUE!</v>
      </c>
    </row>
    <row r="1380" spans="1:10" x14ac:dyDescent="0.25">
      <c r="A1380" s="25">
        <f t="shared" si="202"/>
        <v>3.6599999999997972</v>
      </c>
      <c r="B1380" s="25">
        <f t="shared" ca="1" si="195"/>
        <v>-9.2431318166470253E-2</v>
      </c>
      <c r="C1380" s="25" t="e">
        <f t="shared" si="196"/>
        <v>#VALUE!</v>
      </c>
      <c r="D1380" s="74" t="e">
        <f t="shared" si="197"/>
        <v>#VALUE!</v>
      </c>
      <c r="E1380" s="25" t="e">
        <f t="shared" si="198"/>
        <v>#VALUE!</v>
      </c>
      <c r="F1380" s="25" t="e">
        <f t="shared" ca="1" si="199"/>
        <v>#VALUE!</v>
      </c>
      <c r="G1380" s="25"/>
      <c r="H1380" s="25" t="e">
        <f t="shared" si="203"/>
        <v>#VALUE!</v>
      </c>
      <c r="I1380" s="25">
        <f t="shared" si="200"/>
        <v>865.99999999997976</v>
      </c>
      <c r="J1380" s="25" t="e">
        <f t="shared" si="201"/>
        <v>#VALUE!</v>
      </c>
    </row>
    <row r="1381" spans="1:10" x14ac:dyDescent="0.25">
      <c r="A1381" s="25">
        <f t="shared" si="202"/>
        <v>3.669999999999797</v>
      </c>
      <c r="B1381" s="25">
        <f t="shared" ca="1" si="195"/>
        <v>-0.15273619546488879</v>
      </c>
      <c r="C1381" s="25" t="e">
        <f t="shared" si="196"/>
        <v>#VALUE!</v>
      </c>
      <c r="D1381" s="74" t="e">
        <f t="shared" si="197"/>
        <v>#VALUE!</v>
      </c>
      <c r="E1381" s="25" t="e">
        <f t="shared" si="198"/>
        <v>#VALUE!</v>
      </c>
      <c r="F1381" s="25" t="e">
        <f t="shared" ca="1" si="199"/>
        <v>#VALUE!</v>
      </c>
      <c r="G1381" s="25"/>
      <c r="H1381" s="25" t="e">
        <f t="shared" si="203"/>
        <v>#VALUE!</v>
      </c>
      <c r="I1381" s="25">
        <f t="shared" si="200"/>
        <v>866.99999999997976</v>
      </c>
      <c r="J1381" s="25" t="e">
        <f t="shared" si="201"/>
        <v>#VALUE!</v>
      </c>
    </row>
    <row r="1382" spans="1:10" x14ac:dyDescent="0.25">
      <c r="A1382" s="25">
        <f t="shared" si="202"/>
        <v>3.6799999999997968</v>
      </c>
      <c r="B1382" s="25">
        <f t="shared" ca="1" si="195"/>
        <v>9.583455504593108E-2</v>
      </c>
      <c r="C1382" s="25" t="e">
        <f t="shared" si="196"/>
        <v>#VALUE!</v>
      </c>
      <c r="D1382" s="74" t="e">
        <f t="shared" si="197"/>
        <v>#VALUE!</v>
      </c>
      <c r="E1382" s="25" t="e">
        <f t="shared" si="198"/>
        <v>#VALUE!</v>
      </c>
      <c r="F1382" s="25" t="e">
        <f t="shared" ca="1" si="199"/>
        <v>#VALUE!</v>
      </c>
      <c r="G1382" s="25"/>
      <c r="H1382" s="25" t="e">
        <f t="shared" si="203"/>
        <v>#VALUE!</v>
      </c>
      <c r="I1382" s="25">
        <f t="shared" si="200"/>
        <v>867.99999999997976</v>
      </c>
      <c r="J1382" s="25" t="e">
        <f t="shared" si="201"/>
        <v>#VALUE!</v>
      </c>
    </row>
    <row r="1383" spans="1:10" x14ac:dyDescent="0.25">
      <c r="A1383" s="25">
        <f t="shared" si="202"/>
        <v>3.6899999999997966</v>
      </c>
      <c r="B1383" s="25">
        <f t="shared" ca="1" si="195"/>
        <v>-0.15367120979534135</v>
      </c>
      <c r="C1383" s="25" t="e">
        <f t="shared" si="196"/>
        <v>#VALUE!</v>
      </c>
      <c r="D1383" s="74" t="e">
        <f t="shared" si="197"/>
        <v>#VALUE!</v>
      </c>
      <c r="E1383" s="25" t="e">
        <f t="shared" si="198"/>
        <v>#VALUE!</v>
      </c>
      <c r="F1383" s="25" t="e">
        <f t="shared" ca="1" si="199"/>
        <v>#VALUE!</v>
      </c>
      <c r="G1383" s="25"/>
      <c r="H1383" s="25" t="e">
        <f t="shared" si="203"/>
        <v>#VALUE!</v>
      </c>
      <c r="I1383" s="25">
        <f t="shared" si="200"/>
        <v>868.99999999997965</v>
      </c>
      <c r="J1383" s="25" t="e">
        <f t="shared" si="201"/>
        <v>#VALUE!</v>
      </c>
    </row>
    <row r="1384" spans="1:10" x14ac:dyDescent="0.25">
      <c r="A1384" s="25">
        <f t="shared" si="202"/>
        <v>3.6999999999997963</v>
      </c>
      <c r="B1384" s="25">
        <f t="shared" ca="1" si="195"/>
        <v>-4.7686625464404102E-2</v>
      </c>
      <c r="C1384" s="25" t="e">
        <f t="shared" si="196"/>
        <v>#VALUE!</v>
      </c>
      <c r="D1384" s="74" t="e">
        <f t="shared" si="197"/>
        <v>#VALUE!</v>
      </c>
      <c r="E1384" s="25" t="e">
        <f t="shared" si="198"/>
        <v>#VALUE!</v>
      </c>
      <c r="F1384" s="25" t="e">
        <f t="shared" ca="1" si="199"/>
        <v>#VALUE!</v>
      </c>
      <c r="G1384" s="25"/>
      <c r="H1384" s="25" t="e">
        <f t="shared" si="203"/>
        <v>#VALUE!</v>
      </c>
      <c r="I1384" s="25">
        <f t="shared" si="200"/>
        <v>869.99999999997965</v>
      </c>
      <c r="J1384" s="25" t="e">
        <f t="shared" si="201"/>
        <v>#VALUE!</v>
      </c>
    </row>
    <row r="1385" spans="1:10" x14ac:dyDescent="0.25">
      <c r="A1385" s="25">
        <f t="shared" si="202"/>
        <v>3.7099999999997961</v>
      </c>
      <c r="B1385" s="25">
        <f t="shared" ca="1" si="195"/>
        <v>8.2767220169585473E-2</v>
      </c>
      <c r="C1385" s="25" t="e">
        <f t="shared" si="196"/>
        <v>#VALUE!</v>
      </c>
      <c r="D1385" s="74" t="e">
        <f t="shared" si="197"/>
        <v>#VALUE!</v>
      </c>
      <c r="E1385" s="25" t="e">
        <f t="shared" si="198"/>
        <v>#VALUE!</v>
      </c>
      <c r="F1385" s="25" t="e">
        <f t="shared" ca="1" si="199"/>
        <v>#VALUE!</v>
      </c>
      <c r="G1385" s="25"/>
      <c r="H1385" s="25" t="e">
        <f t="shared" si="203"/>
        <v>#VALUE!</v>
      </c>
      <c r="I1385" s="25">
        <f t="shared" si="200"/>
        <v>870.99999999997965</v>
      </c>
      <c r="J1385" s="25" t="e">
        <f t="shared" si="201"/>
        <v>#VALUE!</v>
      </c>
    </row>
    <row r="1386" spans="1:10" x14ac:dyDescent="0.25">
      <c r="A1386" s="25">
        <f t="shared" si="202"/>
        <v>3.7199999999997959</v>
      </c>
      <c r="B1386" s="25">
        <f t="shared" ca="1" si="195"/>
        <v>7.8718721088989876E-2</v>
      </c>
      <c r="C1386" s="25" t="e">
        <f t="shared" si="196"/>
        <v>#VALUE!</v>
      </c>
      <c r="D1386" s="74" t="e">
        <f t="shared" si="197"/>
        <v>#VALUE!</v>
      </c>
      <c r="E1386" s="25" t="e">
        <f t="shared" si="198"/>
        <v>#VALUE!</v>
      </c>
      <c r="F1386" s="25" t="e">
        <f t="shared" ca="1" si="199"/>
        <v>#VALUE!</v>
      </c>
      <c r="G1386" s="25"/>
      <c r="H1386" s="25" t="e">
        <f t="shared" si="203"/>
        <v>#VALUE!</v>
      </c>
      <c r="I1386" s="25">
        <f t="shared" si="200"/>
        <v>871.99999999997965</v>
      </c>
      <c r="J1386" s="25" t="e">
        <f t="shared" si="201"/>
        <v>#VALUE!</v>
      </c>
    </row>
    <row r="1387" spans="1:10" x14ac:dyDescent="0.25">
      <c r="A1387" s="25">
        <f t="shared" si="202"/>
        <v>3.7299999999997957</v>
      </c>
      <c r="B1387" s="25">
        <f t="shared" ca="1" si="195"/>
        <v>-0.10500637167205944</v>
      </c>
      <c r="C1387" s="25" t="e">
        <f t="shared" si="196"/>
        <v>#VALUE!</v>
      </c>
      <c r="D1387" s="74" t="e">
        <f t="shared" si="197"/>
        <v>#VALUE!</v>
      </c>
      <c r="E1387" s="25" t="e">
        <f t="shared" si="198"/>
        <v>#VALUE!</v>
      </c>
      <c r="F1387" s="25" t="e">
        <f t="shared" ca="1" si="199"/>
        <v>#VALUE!</v>
      </c>
      <c r="G1387" s="25"/>
      <c r="H1387" s="25" t="e">
        <f t="shared" si="203"/>
        <v>#VALUE!</v>
      </c>
      <c r="I1387" s="25">
        <f t="shared" si="200"/>
        <v>872.99999999997965</v>
      </c>
      <c r="J1387" s="25" t="e">
        <f t="shared" si="201"/>
        <v>#VALUE!</v>
      </c>
    </row>
    <row r="1388" spans="1:10" x14ac:dyDescent="0.25">
      <c r="A1388" s="25">
        <f t="shared" si="202"/>
        <v>3.7399999999997955</v>
      </c>
      <c r="B1388" s="25">
        <f t="shared" ca="1" si="195"/>
        <v>-0.16209723751883987</v>
      </c>
      <c r="C1388" s="25" t="e">
        <f t="shared" si="196"/>
        <v>#VALUE!</v>
      </c>
      <c r="D1388" s="74" t="e">
        <f t="shared" si="197"/>
        <v>#VALUE!</v>
      </c>
      <c r="E1388" s="25" t="e">
        <f t="shared" si="198"/>
        <v>#VALUE!</v>
      </c>
      <c r="F1388" s="25" t="e">
        <f t="shared" ca="1" si="199"/>
        <v>#VALUE!</v>
      </c>
      <c r="G1388" s="25"/>
      <c r="H1388" s="25" t="e">
        <f t="shared" si="203"/>
        <v>#VALUE!</v>
      </c>
      <c r="I1388" s="25">
        <f t="shared" si="200"/>
        <v>873.99999999997965</v>
      </c>
      <c r="J1388" s="25" t="e">
        <f t="shared" si="201"/>
        <v>#VALUE!</v>
      </c>
    </row>
    <row r="1389" spans="1:10" x14ac:dyDescent="0.25">
      <c r="A1389" s="25">
        <f t="shared" si="202"/>
        <v>3.7499999999997953</v>
      </c>
      <c r="B1389" s="25">
        <f t="shared" ca="1" si="195"/>
        <v>8.093242257555236E-2</v>
      </c>
      <c r="C1389" s="25" t="e">
        <f t="shared" si="196"/>
        <v>#VALUE!</v>
      </c>
      <c r="D1389" s="74" t="e">
        <f t="shared" si="197"/>
        <v>#VALUE!</v>
      </c>
      <c r="E1389" s="25" t="e">
        <f t="shared" si="198"/>
        <v>#VALUE!</v>
      </c>
      <c r="F1389" s="25" t="e">
        <f t="shared" ca="1" si="199"/>
        <v>#VALUE!</v>
      </c>
      <c r="G1389" s="25"/>
      <c r="H1389" s="25" t="e">
        <f t="shared" si="203"/>
        <v>#VALUE!</v>
      </c>
      <c r="I1389" s="25">
        <f t="shared" si="200"/>
        <v>874.99999999997965</v>
      </c>
      <c r="J1389" s="25" t="e">
        <f t="shared" si="201"/>
        <v>#VALUE!</v>
      </c>
    </row>
    <row r="1390" spans="1:10" x14ac:dyDescent="0.25">
      <c r="A1390" s="25">
        <f t="shared" si="202"/>
        <v>3.7599999999997951</v>
      </c>
      <c r="B1390" s="25">
        <f t="shared" ca="1" si="195"/>
        <v>-7.6176590430062877E-2</v>
      </c>
      <c r="C1390" s="25" t="e">
        <f t="shared" si="196"/>
        <v>#VALUE!</v>
      </c>
      <c r="D1390" s="74" t="e">
        <f t="shared" si="197"/>
        <v>#VALUE!</v>
      </c>
      <c r="E1390" s="25" t="e">
        <f t="shared" si="198"/>
        <v>#VALUE!</v>
      </c>
      <c r="F1390" s="25" t="e">
        <f t="shared" ca="1" si="199"/>
        <v>#VALUE!</v>
      </c>
      <c r="G1390" s="25"/>
      <c r="H1390" s="25" t="e">
        <f t="shared" si="203"/>
        <v>#VALUE!</v>
      </c>
      <c r="I1390" s="25">
        <f t="shared" si="200"/>
        <v>875.99999999997965</v>
      </c>
      <c r="J1390" s="25" t="e">
        <f t="shared" si="201"/>
        <v>#VALUE!</v>
      </c>
    </row>
    <row r="1391" spans="1:10" x14ac:dyDescent="0.25">
      <c r="A1391" s="25">
        <f t="shared" si="202"/>
        <v>3.7699999999997948</v>
      </c>
      <c r="B1391" s="25">
        <f t="shared" ca="1" si="195"/>
        <v>5.2983433432653611E-2</v>
      </c>
      <c r="C1391" s="25" t="e">
        <f t="shared" si="196"/>
        <v>#VALUE!</v>
      </c>
      <c r="D1391" s="74" t="e">
        <f t="shared" si="197"/>
        <v>#VALUE!</v>
      </c>
      <c r="E1391" s="25" t="e">
        <f t="shared" si="198"/>
        <v>#VALUE!</v>
      </c>
      <c r="F1391" s="25" t="e">
        <f t="shared" ca="1" si="199"/>
        <v>#VALUE!</v>
      </c>
      <c r="G1391" s="25"/>
      <c r="H1391" s="25" t="e">
        <f t="shared" si="203"/>
        <v>#VALUE!</v>
      </c>
      <c r="I1391" s="25">
        <f t="shared" si="200"/>
        <v>876.99999999997942</v>
      </c>
      <c r="J1391" s="25" t="e">
        <f t="shared" si="201"/>
        <v>#VALUE!</v>
      </c>
    </row>
    <row r="1392" spans="1:10" x14ac:dyDescent="0.25">
      <c r="A1392" s="25">
        <f t="shared" si="202"/>
        <v>3.7799999999997946</v>
      </c>
      <c r="B1392" s="25">
        <f t="shared" ca="1" si="195"/>
        <v>-6.3021609959729316E-2</v>
      </c>
      <c r="C1392" s="25" t="e">
        <f t="shared" si="196"/>
        <v>#VALUE!</v>
      </c>
      <c r="D1392" s="74" t="e">
        <f t="shared" si="197"/>
        <v>#VALUE!</v>
      </c>
      <c r="E1392" s="25" t="e">
        <f t="shared" si="198"/>
        <v>#VALUE!</v>
      </c>
      <c r="F1392" s="25" t="e">
        <f t="shared" ca="1" si="199"/>
        <v>#VALUE!</v>
      </c>
      <c r="G1392" s="25"/>
      <c r="H1392" s="25" t="e">
        <f t="shared" si="203"/>
        <v>#VALUE!</v>
      </c>
      <c r="I1392" s="25">
        <f t="shared" si="200"/>
        <v>877.99999999997942</v>
      </c>
      <c r="J1392" s="25" t="e">
        <f t="shared" si="201"/>
        <v>#VALUE!</v>
      </c>
    </row>
    <row r="1393" spans="1:10" x14ac:dyDescent="0.25">
      <c r="A1393" s="25">
        <f t="shared" si="202"/>
        <v>3.7899999999997944</v>
      </c>
      <c r="B1393" s="25">
        <f t="shared" ca="1" si="195"/>
        <v>0.13274843031455916</v>
      </c>
      <c r="C1393" s="25" t="e">
        <f t="shared" si="196"/>
        <v>#VALUE!</v>
      </c>
      <c r="D1393" s="74" t="e">
        <f t="shared" si="197"/>
        <v>#VALUE!</v>
      </c>
      <c r="E1393" s="25" t="e">
        <f t="shared" si="198"/>
        <v>#VALUE!</v>
      </c>
      <c r="F1393" s="25" t="e">
        <f t="shared" ca="1" si="199"/>
        <v>#VALUE!</v>
      </c>
      <c r="G1393" s="25"/>
      <c r="H1393" s="25" t="e">
        <f t="shared" si="203"/>
        <v>#VALUE!</v>
      </c>
      <c r="I1393" s="25">
        <f t="shared" si="200"/>
        <v>878.99999999997942</v>
      </c>
      <c r="J1393" s="25" t="e">
        <f t="shared" si="201"/>
        <v>#VALUE!</v>
      </c>
    </row>
    <row r="1394" spans="1:10" x14ac:dyDescent="0.25">
      <c r="A1394" s="25">
        <f t="shared" si="202"/>
        <v>3.7999999999997942</v>
      </c>
      <c r="B1394" s="25">
        <f t="shared" ca="1" si="195"/>
        <v>-7.7145889166155918E-2</v>
      </c>
      <c r="C1394" s="25" t="e">
        <f t="shared" si="196"/>
        <v>#VALUE!</v>
      </c>
      <c r="D1394" s="74" t="e">
        <f t="shared" si="197"/>
        <v>#VALUE!</v>
      </c>
      <c r="E1394" s="25" t="e">
        <f t="shared" si="198"/>
        <v>#VALUE!</v>
      </c>
      <c r="F1394" s="25" t="e">
        <f t="shared" ca="1" si="199"/>
        <v>#VALUE!</v>
      </c>
      <c r="G1394" s="25"/>
      <c r="H1394" s="25" t="e">
        <f t="shared" si="203"/>
        <v>#VALUE!</v>
      </c>
      <c r="I1394" s="25">
        <f t="shared" si="200"/>
        <v>879.99999999997942</v>
      </c>
      <c r="J1394" s="25" t="e">
        <f t="shared" si="201"/>
        <v>#VALUE!</v>
      </c>
    </row>
    <row r="1395" spans="1:10" x14ac:dyDescent="0.25">
      <c r="A1395" s="25">
        <f t="shared" si="202"/>
        <v>3.809999999999794</v>
      </c>
      <c r="B1395" s="25">
        <f t="shared" ca="1" si="195"/>
        <v>-3.8395222898726107E-2</v>
      </c>
      <c r="C1395" s="25" t="e">
        <f t="shared" si="196"/>
        <v>#VALUE!</v>
      </c>
      <c r="D1395" s="74" t="e">
        <f t="shared" si="197"/>
        <v>#VALUE!</v>
      </c>
      <c r="E1395" s="25" t="e">
        <f t="shared" si="198"/>
        <v>#VALUE!</v>
      </c>
      <c r="F1395" s="25" t="e">
        <f t="shared" ca="1" si="199"/>
        <v>#VALUE!</v>
      </c>
      <c r="G1395" s="25"/>
      <c r="H1395" s="25" t="e">
        <f t="shared" si="203"/>
        <v>#VALUE!</v>
      </c>
      <c r="I1395" s="25">
        <f t="shared" si="200"/>
        <v>880.99999999997942</v>
      </c>
      <c r="J1395" s="25" t="e">
        <f t="shared" si="201"/>
        <v>#VALUE!</v>
      </c>
    </row>
    <row r="1396" spans="1:10" x14ac:dyDescent="0.25">
      <c r="A1396" s="25">
        <f t="shared" si="202"/>
        <v>3.8199999999997938</v>
      </c>
      <c r="B1396" s="25">
        <f t="shared" ca="1" si="195"/>
        <v>-0.14975583549616375</v>
      </c>
      <c r="C1396" s="25" t="e">
        <f t="shared" si="196"/>
        <v>#VALUE!</v>
      </c>
      <c r="D1396" s="74" t="e">
        <f t="shared" si="197"/>
        <v>#VALUE!</v>
      </c>
      <c r="E1396" s="25" t="e">
        <f t="shared" si="198"/>
        <v>#VALUE!</v>
      </c>
      <c r="F1396" s="25" t="e">
        <f t="shared" ca="1" si="199"/>
        <v>#VALUE!</v>
      </c>
      <c r="G1396" s="25"/>
      <c r="H1396" s="25" t="e">
        <f t="shared" si="203"/>
        <v>#VALUE!</v>
      </c>
      <c r="I1396" s="25">
        <f t="shared" si="200"/>
        <v>881.99999999997942</v>
      </c>
      <c r="J1396" s="25" t="e">
        <f t="shared" si="201"/>
        <v>#VALUE!</v>
      </c>
    </row>
    <row r="1397" spans="1:10" x14ac:dyDescent="0.25">
      <c r="A1397" s="25">
        <f t="shared" si="202"/>
        <v>3.8299999999997936</v>
      </c>
      <c r="B1397" s="25">
        <f t="shared" ca="1" si="195"/>
        <v>-0.19666657492229209</v>
      </c>
      <c r="C1397" s="25" t="e">
        <f t="shared" si="196"/>
        <v>#VALUE!</v>
      </c>
      <c r="D1397" s="74" t="e">
        <f t="shared" si="197"/>
        <v>#VALUE!</v>
      </c>
      <c r="E1397" s="25" t="e">
        <f t="shared" si="198"/>
        <v>#VALUE!</v>
      </c>
      <c r="F1397" s="25" t="e">
        <f t="shared" ca="1" si="199"/>
        <v>#VALUE!</v>
      </c>
      <c r="G1397" s="25"/>
      <c r="H1397" s="25" t="e">
        <f t="shared" si="203"/>
        <v>#VALUE!</v>
      </c>
      <c r="I1397" s="25">
        <f t="shared" si="200"/>
        <v>882.99999999997942</v>
      </c>
      <c r="J1397" s="25" t="e">
        <f t="shared" si="201"/>
        <v>#VALUE!</v>
      </c>
    </row>
    <row r="1398" spans="1:10" x14ac:dyDescent="0.25">
      <c r="A1398" s="25">
        <f t="shared" si="202"/>
        <v>3.8399999999997934</v>
      </c>
      <c r="B1398" s="25">
        <f t="shared" ca="1" si="195"/>
        <v>-0.16960516217007907</v>
      </c>
      <c r="C1398" s="25" t="e">
        <f t="shared" si="196"/>
        <v>#VALUE!</v>
      </c>
      <c r="D1398" s="74" t="e">
        <f t="shared" si="197"/>
        <v>#VALUE!</v>
      </c>
      <c r="E1398" s="25" t="e">
        <f t="shared" si="198"/>
        <v>#VALUE!</v>
      </c>
      <c r="F1398" s="25" t="e">
        <f t="shared" ca="1" si="199"/>
        <v>#VALUE!</v>
      </c>
      <c r="G1398" s="25"/>
      <c r="H1398" s="25" t="e">
        <f t="shared" si="203"/>
        <v>#VALUE!</v>
      </c>
      <c r="I1398" s="25">
        <f t="shared" si="200"/>
        <v>883.99999999997942</v>
      </c>
      <c r="J1398" s="25" t="e">
        <f t="shared" si="201"/>
        <v>#VALUE!</v>
      </c>
    </row>
    <row r="1399" spans="1:10" x14ac:dyDescent="0.25">
      <c r="A1399" s="25">
        <f t="shared" si="202"/>
        <v>3.8499999999997931</v>
      </c>
      <c r="B1399" s="25">
        <f t="shared" ca="1" si="195"/>
        <v>5.2115223981854301E-2</v>
      </c>
      <c r="C1399" s="25" t="e">
        <f t="shared" si="196"/>
        <v>#VALUE!</v>
      </c>
      <c r="D1399" s="74" t="e">
        <f t="shared" si="197"/>
        <v>#VALUE!</v>
      </c>
      <c r="E1399" s="25" t="e">
        <f t="shared" si="198"/>
        <v>#VALUE!</v>
      </c>
      <c r="F1399" s="25" t="e">
        <f t="shared" ca="1" si="199"/>
        <v>#VALUE!</v>
      </c>
      <c r="G1399" s="25"/>
      <c r="H1399" s="25" t="e">
        <f t="shared" si="203"/>
        <v>#VALUE!</v>
      </c>
      <c r="I1399" s="25">
        <f t="shared" si="200"/>
        <v>884.99999999997942</v>
      </c>
      <c r="J1399" s="25" t="e">
        <f t="shared" si="201"/>
        <v>#VALUE!</v>
      </c>
    </row>
    <row r="1400" spans="1:10" x14ac:dyDescent="0.25">
      <c r="A1400" s="25">
        <f t="shared" si="202"/>
        <v>3.8599999999997929</v>
      </c>
      <c r="B1400" s="25">
        <f t="shared" ca="1" si="195"/>
        <v>-3.8312883135532654E-2</v>
      </c>
      <c r="C1400" s="25" t="e">
        <f t="shared" si="196"/>
        <v>#VALUE!</v>
      </c>
      <c r="D1400" s="74" t="e">
        <f t="shared" si="197"/>
        <v>#VALUE!</v>
      </c>
      <c r="E1400" s="25" t="e">
        <f t="shared" si="198"/>
        <v>#VALUE!</v>
      </c>
      <c r="F1400" s="25" t="e">
        <f t="shared" ca="1" si="199"/>
        <v>#VALUE!</v>
      </c>
      <c r="G1400" s="25"/>
      <c r="H1400" s="25" t="e">
        <f t="shared" si="203"/>
        <v>#VALUE!</v>
      </c>
      <c r="I1400" s="25">
        <f t="shared" si="200"/>
        <v>885.99999999997931</v>
      </c>
      <c r="J1400" s="25" t="e">
        <f t="shared" si="201"/>
        <v>#VALUE!</v>
      </c>
    </row>
    <row r="1401" spans="1:10" x14ac:dyDescent="0.25">
      <c r="A1401" s="25">
        <f t="shared" si="202"/>
        <v>3.8699999999997927</v>
      </c>
      <c r="B1401" s="25">
        <f t="shared" ca="1" si="195"/>
        <v>-0.16723775211861838</v>
      </c>
      <c r="C1401" s="25" t="e">
        <f t="shared" si="196"/>
        <v>#VALUE!</v>
      </c>
      <c r="D1401" s="74" t="e">
        <f t="shared" si="197"/>
        <v>#VALUE!</v>
      </c>
      <c r="E1401" s="25" t="e">
        <f t="shared" si="198"/>
        <v>#VALUE!</v>
      </c>
      <c r="F1401" s="25" t="e">
        <f t="shared" ca="1" si="199"/>
        <v>#VALUE!</v>
      </c>
      <c r="G1401" s="25"/>
      <c r="H1401" s="25" t="e">
        <f t="shared" si="203"/>
        <v>#VALUE!</v>
      </c>
      <c r="I1401" s="25">
        <f t="shared" si="200"/>
        <v>886.99999999997931</v>
      </c>
      <c r="J1401" s="25" t="e">
        <f t="shared" si="201"/>
        <v>#VALUE!</v>
      </c>
    </row>
    <row r="1402" spans="1:10" x14ac:dyDescent="0.25">
      <c r="A1402" s="25">
        <f t="shared" si="202"/>
        <v>3.8799999999997925</v>
      </c>
      <c r="B1402" s="25">
        <f t="shared" ca="1" si="195"/>
        <v>5.7701188205624671E-2</v>
      </c>
      <c r="C1402" s="25" t="e">
        <f t="shared" si="196"/>
        <v>#VALUE!</v>
      </c>
      <c r="D1402" s="74" t="e">
        <f t="shared" si="197"/>
        <v>#VALUE!</v>
      </c>
      <c r="E1402" s="25" t="e">
        <f t="shared" si="198"/>
        <v>#VALUE!</v>
      </c>
      <c r="F1402" s="25" t="e">
        <f t="shared" ca="1" si="199"/>
        <v>#VALUE!</v>
      </c>
      <c r="G1402" s="25"/>
      <c r="H1402" s="25" t="e">
        <f t="shared" si="203"/>
        <v>#VALUE!</v>
      </c>
      <c r="I1402" s="25">
        <f t="shared" si="200"/>
        <v>887.99999999997931</v>
      </c>
      <c r="J1402" s="25" t="e">
        <f t="shared" si="201"/>
        <v>#VALUE!</v>
      </c>
    </row>
    <row r="1403" spans="1:10" x14ac:dyDescent="0.25">
      <c r="A1403" s="25">
        <f t="shared" si="202"/>
        <v>3.8899999999997923</v>
      </c>
      <c r="B1403" s="25">
        <f t="shared" ca="1" si="195"/>
        <v>3.0841801173208699E-2</v>
      </c>
      <c r="C1403" s="25" t="e">
        <f t="shared" si="196"/>
        <v>#VALUE!</v>
      </c>
      <c r="D1403" s="74" t="e">
        <f t="shared" si="197"/>
        <v>#VALUE!</v>
      </c>
      <c r="E1403" s="25" t="e">
        <f t="shared" si="198"/>
        <v>#VALUE!</v>
      </c>
      <c r="F1403" s="25" t="e">
        <f t="shared" ca="1" si="199"/>
        <v>#VALUE!</v>
      </c>
      <c r="G1403" s="25"/>
      <c r="H1403" s="25" t="e">
        <f t="shared" si="203"/>
        <v>#VALUE!</v>
      </c>
      <c r="I1403" s="25">
        <f t="shared" si="200"/>
        <v>888.99999999997931</v>
      </c>
      <c r="J1403" s="25" t="e">
        <f t="shared" si="201"/>
        <v>#VALUE!</v>
      </c>
    </row>
    <row r="1404" spans="1:10" x14ac:dyDescent="0.25">
      <c r="A1404" s="25">
        <f t="shared" si="202"/>
        <v>3.8999999999997921</v>
      </c>
      <c r="B1404" s="25">
        <f t="shared" ca="1" si="195"/>
        <v>-0.12980287516139125</v>
      </c>
      <c r="C1404" s="25" t="e">
        <f t="shared" si="196"/>
        <v>#VALUE!</v>
      </c>
      <c r="D1404" s="74" t="e">
        <f t="shared" si="197"/>
        <v>#VALUE!</v>
      </c>
      <c r="E1404" s="25" t="e">
        <f t="shared" si="198"/>
        <v>#VALUE!</v>
      </c>
      <c r="F1404" s="25" t="e">
        <f t="shared" ca="1" si="199"/>
        <v>#VALUE!</v>
      </c>
      <c r="G1404" s="25"/>
      <c r="H1404" s="25" t="e">
        <f t="shared" si="203"/>
        <v>#VALUE!</v>
      </c>
      <c r="I1404" s="25">
        <f t="shared" si="200"/>
        <v>889.99999999997931</v>
      </c>
      <c r="J1404" s="25" t="e">
        <f t="shared" si="201"/>
        <v>#VALUE!</v>
      </c>
    </row>
    <row r="1405" spans="1:10" x14ac:dyDescent="0.25">
      <c r="A1405" s="25">
        <f t="shared" si="202"/>
        <v>3.9099999999997919</v>
      </c>
      <c r="B1405" s="25">
        <f t="shared" ca="1" si="195"/>
        <v>-0.1595558409971897</v>
      </c>
      <c r="C1405" s="25" t="e">
        <f t="shared" si="196"/>
        <v>#VALUE!</v>
      </c>
      <c r="D1405" s="74" t="e">
        <f t="shared" si="197"/>
        <v>#VALUE!</v>
      </c>
      <c r="E1405" s="25" t="e">
        <f t="shared" si="198"/>
        <v>#VALUE!</v>
      </c>
      <c r="F1405" s="25" t="e">
        <f t="shared" ca="1" si="199"/>
        <v>#VALUE!</v>
      </c>
      <c r="G1405" s="25"/>
      <c r="H1405" s="25" t="e">
        <f t="shared" si="203"/>
        <v>#VALUE!</v>
      </c>
      <c r="I1405" s="25">
        <f t="shared" si="200"/>
        <v>890.99999999997931</v>
      </c>
      <c r="J1405" s="25" t="e">
        <f t="shared" si="201"/>
        <v>#VALUE!</v>
      </c>
    </row>
    <row r="1406" spans="1:10" x14ac:dyDescent="0.25">
      <c r="A1406" s="25">
        <f t="shared" si="202"/>
        <v>3.9199999999997917</v>
      </c>
      <c r="B1406" s="25">
        <f t="shared" ca="1" si="195"/>
        <v>-6.330061380893405E-2</v>
      </c>
      <c r="C1406" s="25" t="e">
        <f t="shared" si="196"/>
        <v>#VALUE!</v>
      </c>
      <c r="D1406" s="74" t="e">
        <f t="shared" si="197"/>
        <v>#VALUE!</v>
      </c>
      <c r="E1406" s="25" t="e">
        <f t="shared" si="198"/>
        <v>#VALUE!</v>
      </c>
      <c r="F1406" s="25" t="e">
        <f t="shared" ca="1" si="199"/>
        <v>#VALUE!</v>
      </c>
      <c r="G1406" s="25"/>
      <c r="H1406" s="25" t="e">
        <f t="shared" si="203"/>
        <v>#VALUE!</v>
      </c>
      <c r="I1406" s="25">
        <f t="shared" si="200"/>
        <v>891.99999999997931</v>
      </c>
      <c r="J1406" s="25" t="e">
        <f t="shared" si="201"/>
        <v>#VALUE!</v>
      </c>
    </row>
    <row r="1407" spans="1:10" x14ac:dyDescent="0.25">
      <c r="A1407" s="25">
        <f t="shared" si="202"/>
        <v>3.9299999999997914</v>
      </c>
      <c r="B1407" s="25">
        <f t="shared" ca="1" si="195"/>
        <v>8.5661905971712582E-3</v>
      </c>
      <c r="C1407" s="25" t="e">
        <f t="shared" si="196"/>
        <v>#VALUE!</v>
      </c>
      <c r="D1407" s="74" t="e">
        <f t="shared" si="197"/>
        <v>#VALUE!</v>
      </c>
      <c r="E1407" s="25" t="e">
        <f t="shared" si="198"/>
        <v>#VALUE!</v>
      </c>
      <c r="F1407" s="25" t="e">
        <f t="shared" ca="1" si="199"/>
        <v>#VALUE!</v>
      </c>
      <c r="G1407" s="25"/>
      <c r="H1407" s="25" t="e">
        <f t="shared" si="203"/>
        <v>#VALUE!</v>
      </c>
      <c r="I1407" s="25">
        <f t="shared" si="200"/>
        <v>892.99999999997931</v>
      </c>
      <c r="J1407" s="25" t="e">
        <f t="shared" si="201"/>
        <v>#VALUE!</v>
      </c>
    </row>
    <row r="1408" spans="1:10" x14ac:dyDescent="0.25">
      <c r="A1408" s="25">
        <f t="shared" si="202"/>
        <v>3.9399999999997912</v>
      </c>
      <c r="B1408" s="25">
        <f t="shared" ca="1" si="195"/>
        <v>5.3892583713449842E-2</v>
      </c>
      <c r="C1408" s="25" t="e">
        <f t="shared" si="196"/>
        <v>#VALUE!</v>
      </c>
      <c r="D1408" s="74" t="e">
        <f t="shared" si="197"/>
        <v>#VALUE!</v>
      </c>
      <c r="E1408" s="25" t="e">
        <f t="shared" si="198"/>
        <v>#VALUE!</v>
      </c>
      <c r="F1408" s="25" t="e">
        <f t="shared" ca="1" si="199"/>
        <v>#VALUE!</v>
      </c>
      <c r="G1408" s="25"/>
      <c r="H1408" s="25" t="e">
        <f t="shared" si="203"/>
        <v>#VALUE!</v>
      </c>
      <c r="I1408" s="25">
        <f t="shared" si="200"/>
        <v>893.99999999997908</v>
      </c>
      <c r="J1408" s="25" t="e">
        <f t="shared" si="201"/>
        <v>#VALUE!</v>
      </c>
    </row>
    <row r="1409" spans="1:10" x14ac:dyDescent="0.25">
      <c r="A1409" s="25">
        <f t="shared" si="202"/>
        <v>3.949999999999791</v>
      </c>
      <c r="B1409" s="25">
        <f t="shared" ca="1" si="195"/>
        <v>9.5228684493589122E-2</v>
      </c>
      <c r="C1409" s="25" t="e">
        <f t="shared" si="196"/>
        <v>#VALUE!</v>
      </c>
      <c r="D1409" s="74" t="e">
        <f t="shared" si="197"/>
        <v>#VALUE!</v>
      </c>
      <c r="E1409" s="25" t="e">
        <f t="shared" si="198"/>
        <v>#VALUE!</v>
      </c>
      <c r="F1409" s="25" t="e">
        <f t="shared" ca="1" si="199"/>
        <v>#VALUE!</v>
      </c>
      <c r="G1409" s="25"/>
      <c r="H1409" s="25" t="e">
        <f t="shared" si="203"/>
        <v>#VALUE!</v>
      </c>
      <c r="I1409" s="25">
        <f t="shared" si="200"/>
        <v>894.99999999997908</v>
      </c>
      <c r="J1409" s="25" t="e">
        <f t="shared" si="201"/>
        <v>#VALUE!</v>
      </c>
    </row>
    <row r="1410" spans="1:10" x14ac:dyDescent="0.25">
      <c r="A1410" s="25">
        <f t="shared" si="202"/>
        <v>3.9599999999997908</v>
      </c>
      <c r="B1410" s="25">
        <f t="shared" ca="1" si="195"/>
        <v>-9.519759839284421E-2</v>
      </c>
      <c r="C1410" s="25" t="e">
        <f t="shared" si="196"/>
        <v>#VALUE!</v>
      </c>
      <c r="D1410" s="74" t="e">
        <f t="shared" si="197"/>
        <v>#VALUE!</v>
      </c>
      <c r="E1410" s="25" t="e">
        <f t="shared" si="198"/>
        <v>#VALUE!</v>
      </c>
      <c r="F1410" s="25" t="e">
        <f t="shared" ca="1" si="199"/>
        <v>#VALUE!</v>
      </c>
      <c r="G1410" s="25"/>
      <c r="H1410" s="25" t="e">
        <f t="shared" si="203"/>
        <v>#VALUE!</v>
      </c>
      <c r="I1410" s="25">
        <f t="shared" si="200"/>
        <v>895.99999999997908</v>
      </c>
      <c r="J1410" s="25" t="e">
        <f t="shared" si="201"/>
        <v>#VALUE!</v>
      </c>
    </row>
    <row r="1411" spans="1:10" x14ac:dyDescent="0.25">
      <c r="A1411" s="25">
        <f t="shared" si="202"/>
        <v>3.9699999999997906</v>
      </c>
      <c r="B1411" s="25">
        <f t="shared" ca="1" si="195"/>
        <v>0.13264568205089655</v>
      </c>
      <c r="C1411" s="25" t="e">
        <f t="shared" si="196"/>
        <v>#VALUE!</v>
      </c>
      <c r="D1411" s="74" t="e">
        <f t="shared" si="197"/>
        <v>#VALUE!</v>
      </c>
      <c r="E1411" s="25" t="e">
        <f t="shared" si="198"/>
        <v>#VALUE!</v>
      </c>
      <c r="F1411" s="25" t="e">
        <f t="shared" ca="1" si="199"/>
        <v>#VALUE!</v>
      </c>
      <c r="G1411" s="25"/>
      <c r="H1411" s="25" t="e">
        <f t="shared" si="203"/>
        <v>#VALUE!</v>
      </c>
      <c r="I1411" s="25">
        <f t="shared" si="200"/>
        <v>896.99999999997908</v>
      </c>
      <c r="J1411" s="25" t="e">
        <f t="shared" si="201"/>
        <v>#VALUE!</v>
      </c>
    </row>
    <row r="1412" spans="1:10" x14ac:dyDescent="0.25">
      <c r="A1412" s="25">
        <f t="shared" si="202"/>
        <v>3.9799999999997904</v>
      </c>
      <c r="B1412" s="25">
        <f t="shared" ca="1" si="195"/>
        <v>-0.10677589602005222</v>
      </c>
      <c r="C1412" s="25" t="e">
        <f t="shared" si="196"/>
        <v>#VALUE!</v>
      </c>
      <c r="D1412" s="74" t="e">
        <f t="shared" si="197"/>
        <v>#VALUE!</v>
      </c>
      <c r="E1412" s="25" t="e">
        <f t="shared" si="198"/>
        <v>#VALUE!</v>
      </c>
      <c r="F1412" s="25" t="e">
        <f t="shared" ca="1" si="199"/>
        <v>#VALUE!</v>
      </c>
      <c r="G1412" s="25"/>
      <c r="H1412" s="25" t="e">
        <f t="shared" si="203"/>
        <v>#VALUE!</v>
      </c>
      <c r="I1412" s="25">
        <f t="shared" si="200"/>
        <v>897.99999999997908</v>
      </c>
      <c r="J1412" s="25" t="e">
        <f t="shared" si="201"/>
        <v>#VALUE!</v>
      </c>
    </row>
    <row r="1413" spans="1:10" x14ac:dyDescent="0.25">
      <c r="A1413" s="25">
        <f t="shared" si="202"/>
        <v>3.9899999999997902</v>
      </c>
      <c r="B1413" s="25">
        <f t="shared" ca="1" si="195"/>
        <v>7.7678962644689722E-2</v>
      </c>
      <c r="C1413" s="25" t="e">
        <f t="shared" si="196"/>
        <v>#VALUE!</v>
      </c>
      <c r="D1413" s="74" t="e">
        <f t="shared" si="197"/>
        <v>#VALUE!</v>
      </c>
      <c r="E1413" s="25" t="e">
        <f t="shared" si="198"/>
        <v>#VALUE!</v>
      </c>
      <c r="F1413" s="25" t="e">
        <f t="shared" ca="1" si="199"/>
        <v>#VALUE!</v>
      </c>
      <c r="G1413" s="25"/>
      <c r="H1413" s="25" t="e">
        <f t="shared" si="203"/>
        <v>#VALUE!</v>
      </c>
      <c r="I1413" s="25">
        <f t="shared" si="200"/>
        <v>898.99999999997908</v>
      </c>
      <c r="J1413" s="25" t="e">
        <f t="shared" si="201"/>
        <v>#VALUE!</v>
      </c>
    </row>
    <row r="1414" spans="1:10" x14ac:dyDescent="0.25">
      <c r="A1414" s="25">
        <f t="shared" si="202"/>
        <v>3.9999999999997899</v>
      </c>
      <c r="B1414" s="25">
        <f t="shared" ca="1" si="195"/>
        <v>-2.2678797992073305E-3</v>
      </c>
      <c r="C1414" s="25" t="e">
        <f t="shared" si="196"/>
        <v>#VALUE!</v>
      </c>
      <c r="D1414" s="74" t="e">
        <f t="shared" si="197"/>
        <v>#VALUE!</v>
      </c>
      <c r="E1414" s="25" t="e">
        <f t="shared" si="198"/>
        <v>#VALUE!</v>
      </c>
      <c r="F1414" s="25" t="e">
        <f t="shared" ca="1" si="199"/>
        <v>#VALUE!</v>
      </c>
      <c r="G1414" s="25"/>
      <c r="H1414" s="25" t="e">
        <f t="shared" si="203"/>
        <v>#VALUE!</v>
      </c>
      <c r="I1414" s="25">
        <f t="shared" si="200"/>
        <v>899.99999999997908</v>
      </c>
      <c r="J1414" s="25" t="e">
        <f t="shared" si="201"/>
        <v>#VALUE!</v>
      </c>
    </row>
    <row r="1415" spans="1:10" x14ac:dyDescent="0.25">
      <c r="A1415" s="25">
        <f t="shared" si="202"/>
        <v>4.0099999999997902</v>
      </c>
      <c r="B1415" s="25">
        <f t="shared" ca="1" si="195"/>
        <v>-1.4933284552224211E-2</v>
      </c>
      <c r="C1415" s="25" t="e">
        <f t="shared" si="196"/>
        <v>#VALUE!</v>
      </c>
      <c r="D1415" s="74" t="e">
        <f t="shared" si="197"/>
        <v>#VALUE!</v>
      </c>
      <c r="E1415" s="25" t="e">
        <f t="shared" si="198"/>
        <v>#VALUE!</v>
      </c>
      <c r="F1415" s="25" t="e">
        <f t="shared" ca="1" si="199"/>
        <v>#VALUE!</v>
      </c>
      <c r="G1415" s="25"/>
      <c r="H1415" s="25" t="e">
        <f t="shared" si="203"/>
        <v>#VALUE!</v>
      </c>
      <c r="I1415" s="25">
        <f t="shared" si="200"/>
        <v>900.99999999997908</v>
      </c>
      <c r="J1415" s="25" t="e">
        <f t="shared" si="201"/>
        <v>#VALUE!</v>
      </c>
    </row>
    <row r="1416" spans="1:10" x14ac:dyDescent="0.25">
      <c r="A1416" s="25">
        <f t="shared" si="202"/>
        <v>4.01999999999979</v>
      </c>
      <c r="B1416" s="25">
        <f t="shared" ca="1" si="195"/>
        <v>-2.6595491664697334E-2</v>
      </c>
      <c r="C1416" s="25" t="e">
        <f t="shared" si="196"/>
        <v>#VALUE!</v>
      </c>
      <c r="D1416" s="74" t="e">
        <f t="shared" si="197"/>
        <v>#VALUE!</v>
      </c>
      <c r="E1416" s="25" t="e">
        <f t="shared" si="198"/>
        <v>#VALUE!</v>
      </c>
      <c r="F1416" s="25" t="e">
        <f t="shared" ca="1" si="199"/>
        <v>#VALUE!</v>
      </c>
      <c r="G1416" s="25"/>
      <c r="H1416" s="25" t="e">
        <f t="shared" si="203"/>
        <v>#VALUE!</v>
      </c>
      <c r="I1416" s="25">
        <f t="shared" si="200"/>
        <v>901.99999999997908</v>
      </c>
      <c r="J1416" s="25" t="e">
        <f t="shared" si="201"/>
        <v>#VALUE!</v>
      </c>
    </row>
    <row r="1417" spans="1:10" x14ac:dyDescent="0.25">
      <c r="A1417" s="25">
        <f t="shared" si="202"/>
        <v>4.0299999999997898</v>
      </c>
      <c r="B1417" s="25">
        <f t="shared" ca="1" si="195"/>
        <v>-0.16174888514107677</v>
      </c>
      <c r="C1417" s="25" t="e">
        <f t="shared" si="196"/>
        <v>#VALUE!</v>
      </c>
      <c r="D1417" s="74" t="e">
        <f t="shared" si="197"/>
        <v>#VALUE!</v>
      </c>
      <c r="E1417" s="25" t="e">
        <f t="shared" si="198"/>
        <v>#VALUE!</v>
      </c>
      <c r="F1417" s="25" t="e">
        <f t="shared" ca="1" si="199"/>
        <v>#VALUE!</v>
      </c>
      <c r="G1417" s="25"/>
      <c r="H1417" s="25" t="e">
        <f t="shared" si="203"/>
        <v>#VALUE!</v>
      </c>
      <c r="I1417" s="25">
        <f t="shared" si="200"/>
        <v>902.99999999997885</v>
      </c>
      <c r="J1417" s="25" t="e">
        <f t="shared" si="201"/>
        <v>#VALUE!</v>
      </c>
    </row>
    <row r="1418" spans="1:10" x14ac:dyDescent="0.25">
      <c r="A1418" s="25">
        <f t="shared" si="202"/>
        <v>4.0399999999997895</v>
      </c>
      <c r="B1418" s="25">
        <f t="shared" ca="1" si="195"/>
        <v>-1.685502093644628E-2</v>
      </c>
      <c r="C1418" s="25" t="e">
        <f t="shared" si="196"/>
        <v>#VALUE!</v>
      </c>
      <c r="D1418" s="74" t="e">
        <f t="shared" si="197"/>
        <v>#VALUE!</v>
      </c>
      <c r="E1418" s="25" t="e">
        <f t="shared" si="198"/>
        <v>#VALUE!</v>
      </c>
      <c r="F1418" s="25" t="e">
        <f t="shared" ca="1" si="199"/>
        <v>#VALUE!</v>
      </c>
      <c r="G1418" s="25"/>
      <c r="H1418" s="25" t="e">
        <f t="shared" si="203"/>
        <v>#VALUE!</v>
      </c>
      <c r="I1418" s="25">
        <f t="shared" si="200"/>
        <v>903.99999999997885</v>
      </c>
      <c r="J1418" s="25" t="e">
        <f t="shared" si="201"/>
        <v>#VALUE!</v>
      </c>
    </row>
    <row r="1419" spans="1:10" x14ac:dyDescent="0.25">
      <c r="A1419" s="25">
        <f t="shared" si="202"/>
        <v>4.0499999999997893</v>
      </c>
      <c r="B1419" s="25">
        <f t="shared" ca="1" si="195"/>
        <v>-1.0333906559793873E-2</v>
      </c>
      <c r="C1419" s="25" t="e">
        <f t="shared" si="196"/>
        <v>#VALUE!</v>
      </c>
      <c r="D1419" s="74" t="e">
        <f t="shared" si="197"/>
        <v>#VALUE!</v>
      </c>
      <c r="E1419" s="25" t="e">
        <f t="shared" si="198"/>
        <v>#VALUE!</v>
      </c>
      <c r="F1419" s="25" t="e">
        <f t="shared" ca="1" si="199"/>
        <v>#VALUE!</v>
      </c>
      <c r="G1419" s="25"/>
      <c r="H1419" s="25" t="e">
        <f t="shared" si="203"/>
        <v>#VALUE!</v>
      </c>
      <c r="I1419" s="25">
        <f t="shared" si="200"/>
        <v>904.99999999997885</v>
      </c>
      <c r="J1419" s="25" t="e">
        <f t="shared" si="201"/>
        <v>#VALUE!</v>
      </c>
    </row>
    <row r="1420" spans="1:10" x14ac:dyDescent="0.25">
      <c r="A1420" s="25">
        <f t="shared" si="202"/>
        <v>4.0599999999997891</v>
      </c>
      <c r="B1420" s="25">
        <f t="shared" ca="1" si="195"/>
        <v>0.13019552473819615</v>
      </c>
      <c r="C1420" s="25" t="e">
        <f t="shared" si="196"/>
        <v>#VALUE!</v>
      </c>
      <c r="D1420" s="74" t="e">
        <f t="shared" si="197"/>
        <v>#VALUE!</v>
      </c>
      <c r="E1420" s="25" t="e">
        <f t="shared" si="198"/>
        <v>#VALUE!</v>
      </c>
      <c r="F1420" s="25" t="e">
        <f t="shared" ca="1" si="199"/>
        <v>#VALUE!</v>
      </c>
      <c r="G1420" s="25"/>
      <c r="H1420" s="25" t="e">
        <f t="shared" si="203"/>
        <v>#VALUE!</v>
      </c>
      <c r="I1420" s="25">
        <f t="shared" si="200"/>
        <v>905.99999999997885</v>
      </c>
      <c r="J1420" s="25" t="e">
        <f t="shared" si="201"/>
        <v>#VALUE!</v>
      </c>
    </row>
    <row r="1421" spans="1:10" x14ac:dyDescent="0.25">
      <c r="A1421" s="25">
        <f t="shared" si="202"/>
        <v>4.0699999999997889</v>
      </c>
      <c r="B1421" s="25">
        <f t="shared" ca="1" si="195"/>
        <v>-9.3928211063277114E-3</v>
      </c>
      <c r="C1421" s="25" t="e">
        <f t="shared" si="196"/>
        <v>#VALUE!</v>
      </c>
      <c r="D1421" s="74" t="e">
        <f t="shared" si="197"/>
        <v>#VALUE!</v>
      </c>
      <c r="E1421" s="25" t="e">
        <f t="shared" si="198"/>
        <v>#VALUE!</v>
      </c>
      <c r="F1421" s="25" t="e">
        <f t="shared" ca="1" si="199"/>
        <v>#VALUE!</v>
      </c>
      <c r="G1421" s="25"/>
      <c r="H1421" s="25" t="e">
        <f t="shared" si="203"/>
        <v>#VALUE!</v>
      </c>
      <c r="I1421" s="25">
        <f t="shared" si="200"/>
        <v>906.99999999997885</v>
      </c>
      <c r="J1421" s="25" t="e">
        <f t="shared" si="201"/>
        <v>#VALUE!</v>
      </c>
    </row>
    <row r="1422" spans="1:10" x14ac:dyDescent="0.25">
      <c r="A1422" s="25">
        <f t="shared" si="202"/>
        <v>4.0799999999997887</v>
      </c>
      <c r="B1422" s="25">
        <f t="shared" ref="B1422:B1485" ca="1" si="204">(RAND()-0.5-$B$7)/$B$5</f>
        <v>-9.8899553409484045E-2</v>
      </c>
      <c r="C1422" s="25" t="e">
        <f t="shared" ref="C1422:C1485" si="205">IF(ABS(A1422)&lt;=($D$3/2),1,IF(ABS(A1422)&lt;=($B$4/2),IF(A1422&gt;0,A1422*(4/(1-2*$B$4))+(2*$B$4/(2*$B$4-1)),(-A1422*(4/(1-2*$B$4))+(2*$B$4/(2*$B$4-1)))),0))</f>
        <v>#VALUE!</v>
      </c>
      <c r="D1422" s="74" t="e">
        <f t="shared" ref="D1422:D1485" si="206">IF(ABS(A1422)&lt;=($D$3/4+$B$4/4),1,IF(ABS(A1422)&lt;=($B$4/2),(IF(A1422&gt;0,A1422*(8/(1-2*$B$4))+(4*$B$4)/(2*$B$4-1),(-A1422*(8/(1-2*$B$4))+(4*$B$4)/(2*$B$4-1)))),0))</f>
        <v>#VALUE!</v>
      </c>
      <c r="E1422" s="25" t="e">
        <f t="shared" ref="E1422:E1485" si="207">IF(ABS(A1422)&lt;($B$4/2), 1, 0)</f>
        <v>#VALUE!</v>
      </c>
      <c r="F1422" s="25" t="e">
        <f t="shared" ref="F1422:F1485" ca="1" si="208">C1422+B1422</f>
        <v>#VALUE!</v>
      </c>
      <c r="G1422" s="25"/>
      <c r="H1422" s="25" t="e">
        <f t="shared" si="203"/>
        <v>#VALUE!</v>
      </c>
      <c r="I1422" s="25">
        <f t="shared" ref="I1422:I1485" si="209">$I$3*(A1422-$G$3)/($H$3-$G$3)</f>
        <v>907.99999999997885</v>
      </c>
      <c r="J1422" s="25" t="e">
        <f t="shared" ref="J1422:J1485" si="210">H1422</f>
        <v>#VALUE!</v>
      </c>
    </row>
    <row r="1423" spans="1:10" x14ac:dyDescent="0.25">
      <c r="A1423" s="25">
        <f t="shared" ref="A1423:A1486" si="211">A1422+0.01</f>
        <v>4.0899999999997885</v>
      </c>
      <c r="B1423" s="25">
        <f t="shared" ca="1" si="204"/>
        <v>8.0363080858827401E-2</v>
      </c>
      <c r="C1423" s="25" t="e">
        <f t="shared" si="205"/>
        <v>#VALUE!</v>
      </c>
      <c r="D1423" s="74" t="e">
        <f t="shared" si="206"/>
        <v>#VALUE!</v>
      </c>
      <c r="E1423" s="25" t="e">
        <f t="shared" si="207"/>
        <v>#VALUE!</v>
      </c>
      <c r="F1423" s="25" t="e">
        <f t="shared" ca="1" si="208"/>
        <v>#VALUE!</v>
      </c>
      <c r="G1423" s="25"/>
      <c r="H1423" s="25" t="e">
        <f t="shared" si="203"/>
        <v>#VALUE!</v>
      </c>
      <c r="I1423" s="25">
        <f t="shared" si="209"/>
        <v>908.99999999997885</v>
      </c>
      <c r="J1423" s="25" t="e">
        <f t="shared" si="210"/>
        <v>#VALUE!</v>
      </c>
    </row>
    <row r="1424" spans="1:10" x14ac:dyDescent="0.25">
      <c r="A1424" s="25">
        <f t="shared" si="211"/>
        <v>4.0999999999997883</v>
      </c>
      <c r="B1424" s="25">
        <f t="shared" ca="1" si="204"/>
        <v>-3.7484075303307378E-2</v>
      </c>
      <c r="C1424" s="25" t="e">
        <f t="shared" si="205"/>
        <v>#VALUE!</v>
      </c>
      <c r="D1424" s="74" t="e">
        <f t="shared" si="206"/>
        <v>#VALUE!</v>
      </c>
      <c r="E1424" s="25" t="e">
        <f t="shared" si="207"/>
        <v>#VALUE!</v>
      </c>
      <c r="F1424" s="25" t="e">
        <f t="shared" ca="1" si="208"/>
        <v>#VALUE!</v>
      </c>
      <c r="G1424" s="25"/>
      <c r="H1424" s="25" t="e">
        <f t="shared" si="203"/>
        <v>#VALUE!</v>
      </c>
      <c r="I1424" s="25">
        <f t="shared" si="209"/>
        <v>909.99999999997885</v>
      </c>
      <c r="J1424" s="25" t="e">
        <f t="shared" si="210"/>
        <v>#VALUE!</v>
      </c>
    </row>
    <row r="1425" spans="1:10" x14ac:dyDescent="0.25">
      <c r="A1425" s="25">
        <f t="shared" si="211"/>
        <v>4.109999999999788</v>
      </c>
      <c r="B1425" s="25">
        <f t="shared" ca="1" si="204"/>
        <v>0.10894919983647262</v>
      </c>
      <c r="C1425" s="25" t="e">
        <f t="shared" si="205"/>
        <v>#VALUE!</v>
      </c>
      <c r="D1425" s="74" t="e">
        <f t="shared" si="206"/>
        <v>#VALUE!</v>
      </c>
      <c r="E1425" s="25" t="e">
        <f t="shared" si="207"/>
        <v>#VALUE!</v>
      </c>
      <c r="F1425" s="25" t="e">
        <f t="shared" ca="1" si="208"/>
        <v>#VALUE!</v>
      </c>
      <c r="G1425" s="25"/>
      <c r="H1425" s="25" t="e">
        <f t="shared" si="203"/>
        <v>#VALUE!</v>
      </c>
      <c r="I1425" s="25">
        <f t="shared" si="209"/>
        <v>910.99999999997874</v>
      </c>
      <c r="J1425" s="25" t="e">
        <f t="shared" si="210"/>
        <v>#VALUE!</v>
      </c>
    </row>
    <row r="1426" spans="1:10" x14ac:dyDescent="0.25">
      <c r="A1426" s="25">
        <f t="shared" si="211"/>
        <v>4.1199999999997878</v>
      </c>
      <c r="B1426" s="25">
        <f t="shared" ca="1" si="204"/>
        <v>-0.18905372345873128</v>
      </c>
      <c r="C1426" s="25" t="e">
        <f t="shared" si="205"/>
        <v>#VALUE!</v>
      </c>
      <c r="D1426" s="74" t="e">
        <f t="shared" si="206"/>
        <v>#VALUE!</v>
      </c>
      <c r="E1426" s="25" t="e">
        <f t="shared" si="207"/>
        <v>#VALUE!</v>
      </c>
      <c r="F1426" s="25" t="e">
        <f t="shared" ca="1" si="208"/>
        <v>#VALUE!</v>
      </c>
      <c r="G1426" s="25"/>
      <c r="H1426" s="25" t="e">
        <f t="shared" si="203"/>
        <v>#VALUE!</v>
      </c>
      <c r="I1426" s="25">
        <f t="shared" si="209"/>
        <v>911.99999999997874</v>
      </c>
      <c r="J1426" s="25" t="e">
        <f t="shared" si="210"/>
        <v>#VALUE!</v>
      </c>
    </row>
    <row r="1427" spans="1:10" x14ac:dyDescent="0.25">
      <c r="A1427" s="25">
        <f t="shared" si="211"/>
        <v>4.1299999999997876</v>
      </c>
      <c r="B1427" s="25">
        <f t="shared" ca="1" si="204"/>
        <v>-0.19656197351597857</v>
      </c>
      <c r="C1427" s="25" t="e">
        <f t="shared" si="205"/>
        <v>#VALUE!</v>
      </c>
      <c r="D1427" s="74" t="e">
        <f t="shared" si="206"/>
        <v>#VALUE!</v>
      </c>
      <c r="E1427" s="25" t="e">
        <f t="shared" si="207"/>
        <v>#VALUE!</v>
      </c>
      <c r="F1427" s="25" t="e">
        <f t="shared" ca="1" si="208"/>
        <v>#VALUE!</v>
      </c>
      <c r="G1427" s="25"/>
      <c r="H1427" s="25" t="e">
        <f t="shared" si="203"/>
        <v>#VALUE!</v>
      </c>
      <c r="I1427" s="25">
        <f t="shared" si="209"/>
        <v>912.99999999997874</v>
      </c>
      <c r="J1427" s="25" t="e">
        <f t="shared" si="210"/>
        <v>#VALUE!</v>
      </c>
    </row>
    <row r="1428" spans="1:10" x14ac:dyDescent="0.25">
      <c r="A1428" s="25">
        <f t="shared" si="211"/>
        <v>4.1399999999997874</v>
      </c>
      <c r="B1428" s="25">
        <f t="shared" ca="1" si="204"/>
        <v>-0.17654585374843987</v>
      </c>
      <c r="C1428" s="25" t="e">
        <f t="shared" si="205"/>
        <v>#VALUE!</v>
      </c>
      <c r="D1428" s="74" t="e">
        <f t="shared" si="206"/>
        <v>#VALUE!</v>
      </c>
      <c r="E1428" s="25" t="e">
        <f t="shared" si="207"/>
        <v>#VALUE!</v>
      </c>
      <c r="F1428" s="25" t="e">
        <f t="shared" ca="1" si="208"/>
        <v>#VALUE!</v>
      </c>
      <c r="G1428" s="25"/>
      <c r="H1428" s="25" t="e">
        <f t="shared" si="203"/>
        <v>#VALUE!</v>
      </c>
      <c r="I1428" s="25">
        <f t="shared" si="209"/>
        <v>913.99999999997874</v>
      </c>
      <c r="J1428" s="25" t="e">
        <f t="shared" si="210"/>
        <v>#VALUE!</v>
      </c>
    </row>
    <row r="1429" spans="1:10" x14ac:dyDescent="0.25">
      <c r="A1429" s="25">
        <f t="shared" si="211"/>
        <v>4.1499999999997872</v>
      </c>
      <c r="B1429" s="25">
        <f t="shared" ca="1" si="204"/>
        <v>4.7615644383411954E-2</v>
      </c>
      <c r="C1429" s="25" t="e">
        <f t="shared" si="205"/>
        <v>#VALUE!</v>
      </c>
      <c r="D1429" s="74" t="e">
        <f t="shared" si="206"/>
        <v>#VALUE!</v>
      </c>
      <c r="E1429" s="25" t="e">
        <f t="shared" si="207"/>
        <v>#VALUE!</v>
      </c>
      <c r="F1429" s="25" t="e">
        <f t="shared" ca="1" si="208"/>
        <v>#VALUE!</v>
      </c>
      <c r="G1429" s="25"/>
      <c r="H1429" s="25" t="e">
        <f t="shared" si="203"/>
        <v>#VALUE!</v>
      </c>
      <c r="I1429" s="25">
        <f t="shared" si="209"/>
        <v>914.99999999997874</v>
      </c>
      <c r="J1429" s="25" t="e">
        <f t="shared" si="210"/>
        <v>#VALUE!</v>
      </c>
    </row>
    <row r="1430" spans="1:10" x14ac:dyDescent="0.25">
      <c r="A1430" s="25">
        <f t="shared" si="211"/>
        <v>4.159999999999787</v>
      </c>
      <c r="B1430" s="25">
        <f t="shared" ca="1" si="204"/>
        <v>-0.17557679560502359</v>
      </c>
      <c r="C1430" s="25" t="e">
        <f t="shared" si="205"/>
        <v>#VALUE!</v>
      </c>
      <c r="D1430" s="74" t="e">
        <f t="shared" si="206"/>
        <v>#VALUE!</v>
      </c>
      <c r="E1430" s="25" t="e">
        <f t="shared" si="207"/>
        <v>#VALUE!</v>
      </c>
      <c r="F1430" s="25" t="e">
        <f t="shared" ca="1" si="208"/>
        <v>#VALUE!</v>
      </c>
      <c r="G1430" s="25"/>
      <c r="H1430" s="25" t="e">
        <f t="shared" si="203"/>
        <v>#VALUE!</v>
      </c>
      <c r="I1430" s="25">
        <f t="shared" si="209"/>
        <v>915.99999999997874</v>
      </c>
      <c r="J1430" s="25" t="e">
        <f t="shared" si="210"/>
        <v>#VALUE!</v>
      </c>
    </row>
    <row r="1431" spans="1:10" x14ac:dyDescent="0.25">
      <c r="A1431" s="25">
        <f t="shared" si="211"/>
        <v>4.1699999999997868</v>
      </c>
      <c r="B1431" s="25">
        <f t="shared" ca="1" si="204"/>
        <v>7.5316842192561767E-2</v>
      </c>
      <c r="C1431" s="25" t="e">
        <f t="shared" si="205"/>
        <v>#VALUE!</v>
      </c>
      <c r="D1431" s="74" t="e">
        <f t="shared" si="206"/>
        <v>#VALUE!</v>
      </c>
      <c r="E1431" s="25" t="e">
        <f t="shared" si="207"/>
        <v>#VALUE!</v>
      </c>
      <c r="F1431" s="25" t="e">
        <f t="shared" ca="1" si="208"/>
        <v>#VALUE!</v>
      </c>
      <c r="G1431" s="25"/>
      <c r="H1431" s="25" t="e">
        <f t="shared" si="203"/>
        <v>#VALUE!</v>
      </c>
      <c r="I1431" s="25">
        <f t="shared" si="209"/>
        <v>916.99999999997874</v>
      </c>
      <c r="J1431" s="25" t="e">
        <f t="shared" si="210"/>
        <v>#VALUE!</v>
      </c>
    </row>
    <row r="1432" spans="1:10" x14ac:dyDescent="0.25">
      <c r="A1432" s="25">
        <f t="shared" si="211"/>
        <v>4.1799999999997866</v>
      </c>
      <c r="B1432" s="25">
        <f t="shared" ca="1" si="204"/>
        <v>9.4553852296145324E-2</v>
      </c>
      <c r="C1432" s="25" t="e">
        <f t="shared" si="205"/>
        <v>#VALUE!</v>
      </c>
      <c r="D1432" s="74" t="e">
        <f t="shared" si="206"/>
        <v>#VALUE!</v>
      </c>
      <c r="E1432" s="25" t="e">
        <f t="shared" si="207"/>
        <v>#VALUE!</v>
      </c>
      <c r="F1432" s="25" t="e">
        <f t="shared" ca="1" si="208"/>
        <v>#VALUE!</v>
      </c>
      <c r="G1432" s="25"/>
      <c r="H1432" s="25" t="e">
        <f t="shared" si="203"/>
        <v>#VALUE!</v>
      </c>
      <c r="I1432" s="25">
        <f t="shared" si="209"/>
        <v>917.99999999997874</v>
      </c>
      <c r="J1432" s="25" t="e">
        <f t="shared" si="210"/>
        <v>#VALUE!</v>
      </c>
    </row>
    <row r="1433" spans="1:10" x14ac:dyDescent="0.25">
      <c r="A1433" s="25">
        <f t="shared" si="211"/>
        <v>4.1899999999997863</v>
      </c>
      <c r="B1433" s="25">
        <f t="shared" ca="1" si="204"/>
        <v>-9.1682950796844145E-2</v>
      </c>
      <c r="C1433" s="25" t="e">
        <f t="shared" si="205"/>
        <v>#VALUE!</v>
      </c>
      <c r="D1433" s="74" t="e">
        <f t="shared" si="206"/>
        <v>#VALUE!</v>
      </c>
      <c r="E1433" s="25" t="e">
        <f t="shared" si="207"/>
        <v>#VALUE!</v>
      </c>
      <c r="F1433" s="25" t="e">
        <f t="shared" ca="1" si="208"/>
        <v>#VALUE!</v>
      </c>
      <c r="G1433" s="25"/>
      <c r="H1433" s="25" t="e">
        <f t="shared" si="203"/>
        <v>#VALUE!</v>
      </c>
      <c r="I1433" s="25">
        <f t="shared" si="209"/>
        <v>918.99999999997874</v>
      </c>
      <c r="J1433" s="25" t="e">
        <f t="shared" si="210"/>
        <v>#VALUE!</v>
      </c>
    </row>
    <row r="1434" spans="1:10" x14ac:dyDescent="0.25">
      <c r="A1434" s="25">
        <f t="shared" si="211"/>
        <v>4.1999999999997861</v>
      </c>
      <c r="B1434" s="25">
        <f t="shared" ca="1" si="204"/>
        <v>-0.19401281060578465</v>
      </c>
      <c r="C1434" s="25" t="e">
        <f t="shared" si="205"/>
        <v>#VALUE!</v>
      </c>
      <c r="D1434" s="74" t="e">
        <f t="shared" si="206"/>
        <v>#VALUE!</v>
      </c>
      <c r="E1434" s="25" t="e">
        <f t="shared" si="207"/>
        <v>#VALUE!</v>
      </c>
      <c r="F1434" s="25" t="e">
        <f t="shared" ca="1" si="208"/>
        <v>#VALUE!</v>
      </c>
      <c r="G1434" s="25"/>
      <c r="H1434" s="25" t="e">
        <f t="shared" si="203"/>
        <v>#VALUE!</v>
      </c>
      <c r="I1434" s="25">
        <f t="shared" si="209"/>
        <v>919.99999999997851</v>
      </c>
      <c r="J1434" s="25" t="e">
        <f t="shared" si="210"/>
        <v>#VALUE!</v>
      </c>
    </row>
    <row r="1435" spans="1:10" x14ac:dyDescent="0.25">
      <c r="A1435" s="25">
        <f t="shared" si="211"/>
        <v>4.2099999999997859</v>
      </c>
      <c r="B1435" s="25">
        <f t="shared" ca="1" si="204"/>
        <v>-3.117381359846887E-2</v>
      </c>
      <c r="C1435" s="25" t="e">
        <f t="shared" si="205"/>
        <v>#VALUE!</v>
      </c>
      <c r="D1435" s="74" t="e">
        <f t="shared" si="206"/>
        <v>#VALUE!</v>
      </c>
      <c r="E1435" s="25" t="e">
        <f t="shared" si="207"/>
        <v>#VALUE!</v>
      </c>
      <c r="F1435" s="25" t="e">
        <f t="shared" ca="1" si="208"/>
        <v>#VALUE!</v>
      </c>
      <c r="G1435" s="25"/>
      <c r="H1435" s="25" t="e">
        <f t="shared" si="203"/>
        <v>#VALUE!</v>
      </c>
      <c r="I1435" s="25">
        <f t="shared" si="209"/>
        <v>920.99999999997851</v>
      </c>
      <c r="J1435" s="25" t="e">
        <f t="shared" si="210"/>
        <v>#VALUE!</v>
      </c>
    </row>
    <row r="1436" spans="1:10" x14ac:dyDescent="0.25">
      <c r="A1436" s="25">
        <f t="shared" si="211"/>
        <v>4.2199999999997857</v>
      </c>
      <c r="B1436" s="25">
        <f t="shared" ca="1" si="204"/>
        <v>-0.10762058763269571</v>
      </c>
      <c r="C1436" s="25" t="e">
        <f t="shared" si="205"/>
        <v>#VALUE!</v>
      </c>
      <c r="D1436" s="74" t="e">
        <f t="shared" si="206"/>
        <v>#VALUE!</v>
      </c>
      <c r="E1436" s="25" t="e">
        <f t="shared" si="207"/>
        <v>#VALUE!</v>
      </c>
      <c r="F1436" s="25" t="e">
        <f t="shared" ca="1" si="208"/>
        <v>#VALUE!</v>
      </c>
      <c r="G1436" s="25"/>
      <c r="H1436" s="25" t="e">
        <f t="shared" si="203"/>
        <v>#VALUE!</v>
      </c>
      <c r="I1436" s="25">
        <f t="shared" si="209"/>
        <v>921.99999999997851</v>
      </c>
      <c r="J1436" s="25" t="e">
        <f t="shared" si="210"/>
        <v>#VALUE!</v>
      </c>
    </row>
    <row r="1437" spans="1:10" x14ac:dyDescent="0.25">
      <c r="A1437" s="25">
        <f t="shared" si="211"/>
        <v>4.2299999999997855</v>
      </c>
      <c r="B1437" s="25">
        <f t="shared" ca="1" si="204"/>
        <v>-3.7820366077113081E-2</v>
      </c>
      <c r="C1437" s="25" t="e">
        <f t="shared" si="205"/>
        <v>#VALUE!</v>
      </c>
      <c r="D1437" s="74" t="e">
        <f t="shared" si="206"/>
        <v>#VALUE!</v>
      </c>
      <c r="E1437" s="25" t="e">
        <f t="shared" si="207"/>
        <v>#VALUE!</v>
      </c>
      <c r="F1437" s="25" t="e">
        <f t="shared" ca="1" si="208"/>
        <v>#VALUE!</v>
      </c>
      <c r="G1437" s="25"/>
      <c r="H1437" s="25" t="e">
        <f t="shared" si="203"/>
        <v>#VALUE!</v>
      </c>
      <c r="I1437" s="25">
        <f t="shared" si="209"/>
        <v>922.99999999997851</v>
      </c>
      <c r="J1437" s="25" t="e">
        <f t="shared" si="210"/>
        <v>#VALUE!</v>
      </c>
    </row>
    <row r="1438" spans="1:10" x14ac:dyDescent="0.25">
      <c r="A1438" s="25">
        <f t="shared" si="211"/>
        <v>4.2399999999997853</v>
      </c>
      <c r="B1438" s="25">
        <f t="shared" ca="1" si="204"/>
        <v>5.515793371834616E-2</v>
      </c>
      <c r="C1438" s="25" t="e">
        <f t="shared" si="205"/>
        <v>#VALUE!</v>
      </c>
      <c r="D1438" s="74" t="e">
        <f t="shared" si="206"/>
        <v>#VALUE!</v>
      </c>
      <c r="E1438" s="25" t="e">
        <f t="shared" si="207"/>
        <v>#VALUE!</v>
      </c>
      <c r="F1438" s="25" t="e">
        <f t="shared" ca="1" si="208"/>
        <v>#VALUE!</v>
      </c>
      <c r="G1438" s="25"/>
      <c r="H1438" s="25" t="e">
        <f t="shared" ref="H1438:H1501" si="212">IF(PeakShape=$O$3,C1438,IF(PeakShape=O1440,D1438,E1438))</f>
        <v>#VALUE!</v>
      </c>
      <c r="I1438" s="25">
        <f t="shared" si="209"/>
        <v>923.99999999997851</v>
      </c>
      <c r="J1438" s="25" t="e">
        <f t="shared" si="210"/>
        <v>#VALUE!</v>
      </c>
    </row>
    <row r="1439" spans="1:10" x14ac:dyDescent="0.25">
      <c r="A1439" s="25">
        <f t="shared" si="211"/>
        <v>4.2499999999997851</v>
      </c>
      <c r="B1439" s="25">
        <f t="shared" ca="1" si="204"/>
        <v>-0.15244790505583003</v>
      </c>
      <c r="C1439" s="25" t="e">
        <f t="shared" si="205"/>
        <v>#VALUE!</v>
      </c>
      <c r="D1439" s="74" t="e">
        <f t="shared" si="206"/>
        <v>#VALUE!</v>
      </c>
      <c r="E1439" s="25" t="e">
        <f t="shared" si="207"/>
        <v>#VALUE!</v>
      </c>
      <c r="F1439" s="25" t="e">
        <f t="shared" ca="1" si="208"/>
        <v>#VALUE!</v>
      </c>
      <c r="G1439" s="25"/>
      <c r="H1439" s="25" t="e">
        <f t="shared" si="212"/>
        <v>#VALUE!</v>
      </c>
      <c r="I1439" s="25">
        <f t="shared" si="209"/>
        <v>924.99999999997851</v>
      </c>
      <c r="J1439" s="25" t="e">
        <f t="shared" si="210"/>
        <v>#VALUE!</v>
      </c>
    </row>
    <row r="1440" spans="1:10" x14ac:dyDescent="0.25">
      <c r="A1440" s="25">
        <f t="shared" si="211"/>
        <v>4.2599999999997848</v>
      </c>
      <c r="B1440" s="25">
        <f t="shared" ca="1" si="204"/>
        <v>-0.17448339620112407</v>
      </c>
      <c r="C1440" s="25" t="e">
        <f t="shared" si="205"/>
        <v>#VALUE!</v>
      </c>
      <c r="D1440" s="74" t="e">
        <f t="shared" si="206"/>
        <v>#VALUE!</v>
      </c>
      <c r="E1440" s="25" t="e">
        <f t="shared" si="207"/>
        <v>#VALUE!</v>
      </c>
      <c r="F1440" s="25" t="e">
        <f t="shared" ca="1" si="208"/>
        <v>#VALUE!</v>
      </c>
      <c r="G1440" s="25"/>
      <c r="H1440" s="25" t="e">
        <f t="shared" si="212"/>
        <v>#VALUE!</v>
      </c>
      <c r="I1440" s="25">
        <f t="shared" si="209"/>
        <v>925.99999999997851</v>
      </c>
      <c r="J1440" s="25" t="e">
        <f t="shared" si="210"/>
        <v>#VALUE!</v>
      </c>
    </row>
    <row r="1441" spans="1:10" x14ac:dyDescent="0.25">
      <c r="A1441" s="25">
        <f t="shared" si="211"/>
        <v>4.2699999999997846</v>
      </c>
      <c r="B1441" s="25">
        <f t="shared" ca="1" si="204"/>
        <v>-6.4860402396804434E-2</v>
      </c>
      <c r="C1441" s="25" t="e">
        <f t="shared" si="205"/>
        <v>#VALUE!</v>
      </c>
      <c r="D1441" s="74" t="e">
        <f t="shared" si="206"/>
        <v>#VALUE!</v>
      </c>
      <c r="E1441" s="25" t="e">
        <f t="shared" si="207"/>
        <v>#VALUE!</v>
      </c>
      <c r="F1441" s="25" t="e">
        <f t="shared" ca="1" si="208"/>
        <v>#VALUE!</v>
      </c>
      <c r="G1441" s="25"/>
      <c r="H1441" s="25" t="e">
        <f t="shared" si="212"/>
        <v>#VALUE!</v>
      </c>
      <c r="I1441" s="25">
        <f t="shared" si="209"/>
        <v>926.99999999997851</v>
      </c>
      <c r="J1441" s="25" t="e">
        <f t="shared" si="210"/>
        <v>#VALUE!</v>
      </c>
    </row>
    <row r="1442" spans="1:10" x14ac:dyDescent="0.25">
      <c r="A1442" s="25">
        <f t="shared" si="211"/>
        <v>4.2799999999997844</v>
      </c>
      <c r="B1442" s="25">
        <f t="shared" ca="1" si="204"/>
        <v>0.12653697677718215</v>
      </c>
      <c r="C1442" s="25" t="e">
        <f t="shared" si="205"/>
        <v>#VALUE!</v>
      </c>
      <c r="D1442" s="74" t="e">
        <f t="shared" si="206"/>
        <v>#VALUE!</v>
      </c>
      <c r="E1442" s="25" t="e">
        <f t="shared" si="207"/>
        <v>#VALUE!</v>
      </c>
      <c r="F1442" s="25" t="e">
        <f t="shared" ca="1" si="208"/>
        <v>#VALUE!</v>
      </c>
      <c r="G1442" s="25"/>
      <c r="H1442" s="25" t="e">
        <f t="shared" si="212"/>
        <v>#VALUE!</v>
      </c>
      <c r="I1442" s="25">
        <f t="shared" si="209"/>
        <v>927.9999999999784</v>
      </c>
      <c r="J1442" s="25" t="e">
        <f t="shared" si="210"/>
        <v>#VALUE!</v>
      </c>
    </row>
    <row r="1443" spans="1:10" x14ac:dyDescent="0.25">
      <c r="A1443" s="25">
        <f t="shared" si="211"/>
        <v>4.2899999999997842</v>
      </c>
      <c r="B1443" s="25">
        <f t="shared" ca="1" si="204"/>
        <v>3.9579451429818141E-2</v>
      </c>
      <c r="C1443" s="25" t="e">
        <f t="shared" si="205"/>
        <v>#VALUE!</v>
      </c>
      <c r="D1443" s="74" t="e">
        <f t="shared" si="206"/>
        <v>#VALUE!</v>
      </c>
      <c r="E1443" s="25" t="e">
        <f t="shared" si="207"/>
        <v>#VALUE!</v>
      </c>
      <c r="F1443" s="25" t="e">
        <f t="shared" ca="1" si="208"/>
        <v>#VALUE!</v>
      </c>
      <c r="G1443" s="25"/>
      <c r="H1443" s="25" t="e">
        <f t="shared" si="212"/>
        <v>#VALUE!</v>
      </c>
      <c r="I1443" s="25">
        <f t="shared" si="209"/>
        <v>928.9999999999784</v>
      </c>
      <c r="J1443" s="25" t="e">
        <f t="shared" si="210"/>
        <v>#VALUE!</v>
      </c>
    </row>
    <row r="1444" spans="1:10" x14ac:dyDescent="0.25">
      <c r="A1444" s="25">
        <f t="shared" si="211"/>
        <v>4.299999999999784</v>
      </c>
      <c r="B1444" s="25">
        <f t="shared" ca="1" si="204"/>
        <v>-1.0658698460460239E-2</v>
      </c>
      <c r="C1444" s="25" t="e">
        <f t="shared" si="205"/>
        <v>#VALUE!</v>
      </c>
      <c r="D1444" s="74" t="e">
        <f t="shared" si="206"/>
        <v>#VALUE!</v>
      </c>
      <c r="E1444" s="25" t="e">
        <f t="shared" si="207"/>
        <v>#VALUE!</v>
      </c>
      <c r="F1444" s="25" t="e">
        <f t="shared" ca="1" si="208"/>
        <v>#VALUE!</v>
      </c>
      <c r="G1444" s="25"/>
      <c r="H1444" s="25" t="e">
        <f t="shared" si="212"/>
        <v>#VALUE!</v>
      </c>
      <c r="I1444" s="25">
        <f t="shared" si="209"/>
        <v>929.9999999999784</v>
      </c>
      <c r="J1444" s="25" t="e">
        <f t="shared" si="210"/>
        <v>#VALUE!</v>
      </c>
    </row>
    <row r="1445" spans="1:10" x14ac:dyDescent="0.25">
      <c r="A1445" s="25">
        <f t="shared" si="211"/>
        <v>4.3099999999997838</v>
      </c>
      <c r="B1445" s="25">
        <f t="shared" ca="1" si="204"/>
        <v>-6.1338822183687552E-2</v>
      </c>
      <c r="C1445" s="25" t="e">
        <f t="shared" si="205"/>
        <v>#VALUE!</v>
      </c>
      <c r="D1445" s="74" t="e">
        <f t="shared" si="206"/>
        <v>#VALUE!</v>
      </c>
      <c r="E1445" s="25" t="e">
        <f t="shared" si="207"/>
        <v>#VALUE!</v>
      </c>
      <c r="F1445" s="25" t="e">
        <f t="shared" ca="1" si="208"/>
        <v>#VALUE!</v>
      </c>
      <c r="G1445" s="25"/>
      <c r="H1445" s="25" t="e">
        <f t="shared" si="212"/>
        <v>#VALUE!</v>
      </c>
      <c r="I1445" s="25">
        <f t="shared" si="209"/>
        <v>930.9999999999784</v>
      </c>
      <c r="J1445" s="25" t="e">
        <f t="shared" si="210"/>
        <v>#VALUE!</v>
      </c>
    </row>
    <row r="1446" spans="1:10" x14ac:dyDescent="0.25">
      <c r="A1446" s="25">
        <f t="shared" si="211"/>
        <v>4.3199999999997836</v>
      </c>
      <c r="B1446" s="25">
        <f t="shared" ca="1" si="204"/>
        <v>-0.10510407916011429</v>
      </c>
      <c r="C1446" s="25" t="e">
        <f t="shared" si="205"/>
        <v>#VALUE!</v>
      </c>
      <c r="D1446" s="74" t="e">
        <f t="shared" si="206"/>
        <v>#VALUE!</v>
      </c>
      <c r="E1446" s="25" t="e">
        <f t="shared" si="207"/>
        <v>#VALUE!</v>
      </c>
      <c r="F1446" s="25" t="e">
        <f t="shared" ca="1" si="208"/>
        <v>#VALUE!</v>
      </c>
      <c r="G1446" s="25"/>
      <c r="H1446" s="25" t="e">
        <f t="shared" si="212"/>
        <v>#VALUE!</v>
      </c>
      <c r="I1446" s="25">
        <f t="shared" si="209"/>
        <v>931.9999999999784</v>
      </c>
      <c r="J1446" s="25" t="e">
        <f t="shared" si="210"/>
        <v>#VALUE!</v>
      </c>
    </row>
    <row r="1447" spans="1:10" x14ac:dyDescent="0.25">
      <c r="A1447" s="25">
        <f t="shared" si="211"/>
        <v>4.3299999999997834</v>
      </c>
      <c r="B1447" s="25">
        <f t="shared" ca="1" si="204"/>
        <v>-4.4034382576449704E-3</v>
      </c>
      <c r="C1447" s="25" t="e">
        <f t="shared" si="205"/>
        <v>#VALUE!</v>
      </c>
      <c r="D1447" s="74" t="e">
        <f t="shared" si="206"/>
        <v>#VALUE!</v>
      </c>
      <c r="E1447" s="25" t="e">
        <f t="shared" si="207"/>
        <v>#VALUE!</v>
      </c>
      <c r="F1447" s="25" t="e">
        <f t="shared" ca="1" si="208"/>
        <v>#VALUE!</v>
      </c>
      <c r="G1447" s="25"/>
      <c r="H1447" s="25" t="e">
        <f t="shared" si="212"/>
        <v>#VALUE!</v>
      </c>
      <c r="I1447" s="25">
        <f t="shared" si="209"/>
        <v>932.9999999999784</v>
      </c>
      <c r="J1447" s="25" t="e">
        <f t="shared" si="210"/>
        <v>#VALUE!</v>
      </c>
    </row>
    <row r="1448" spans="1:10" x14ac:dyDescent="0.25">
      <c r="A1448" s="25">
        <f t="shared" si="211"/>
        <v>4.3399999999997831</v>
      </c>
      <c r="B1448" s="25">
        <f t="shared" ca="1" si="204"/>
        <v>2.6143255445794461E-2</v>
      </c>
      <c r="C1448" s="25" t="e">
        <f t="shared" si="205"/>
        <v>#VALUE!</v>
      </c>
      <c r="D1448" s="74" t="e">
        <f t="shared" si="206"/>
        <v>#VALUE!</v>
      </c>
      <c r="E1448" s="25" t="e">
        <f t="shared" si="207"/>
        <v>#VALUE!</v>
      </c>
      <c r="F1448" s="25" t="e">
        <f t="shared" ca="1" si="208"/>
        <v>#VALUE!</v>
      </c>
      <c r="G1448" s="25"/>
      <c r="H1448" s="25" t="e">
        <f t="shared" si="212"/>
        <v>#VALUE!</v>
      </c>
      <c r="I1448" s="25">
        <f t="shared" si="209"/>
        <v>933.9999999999784</v>
      </c>
      <c r="J1448" s="25" t="e">
        <f t="shared" si="210"/>
        <v>#VALUE!</v>
      </c>
    </row>
    <row r="1449" spans="1:10" x14ac:dyDescent="0.25">
      <c r="A1449" s="25">
        <f t="shared" si="211"/>
        <v>4.3499999999997829</v>
      </c>
      <c r="B1449" s="25">
        <f t="shared" ca="1" si="204"/>
        <v>8.8434471746165366E-2</v>
      </c>
      <c r="C1449" s="25" t="e">
        <f t="shared" si="205"/>
        <v>#VALUE!</v>
      </c>
      <c r="D1449" s="74" t="e">
        <f t="shared" si="206"/>
        <v>#VALUE!</v>
      </c>
      <c r="E1449" s="25" t="e">
        <f t="shared" si="207"/>
        <v>#VALUE!</v>
      </c>
      <c r="F1449" s="25" t="e">
        <f t="shared" ca="1" si="208"/>
        <v>#VALUE!</v>
      </c>
      <c r="G1449" s="25"/>
      <c r="H1449" s="25" t="e">
        <f t="shared" si="212"/>
        <v>#VALUE!</v>
      </c>
      <c r="I1449" s="25">
        <f t="shared" si="209"/>
        <v>934.9999999999784</v>
      </c>
      <c r="J1449" s="25" t="e">
        <f t="shared" si="210"/>
        <v>#VALUE!</v>
      </c>
    </row>
    <row r="1450" spans="1:10" x14ac:dyDescent="0.25">
      <c r="A1450" s="25">
        <f t="shared" si="211"/>
        <v>4.3599999999997827</v>
      </c>
      <c r="B1450" s="25">
        <f t="shared" ca="1" si="204"/>
        <v>-0.10740439555138304</v>
      </c>
      <c r="C1450" s="25" t="e">
        <f t="shared" si="205"/>
        <v>#VALUE!</v>
      </c>
      <c r="D1450" s="74" t="e">
        <f t="shared" si="206"/>
        <v>#VALUE!</v>
      </c>
      <c r="E1450" s="25" t="e">
        <f t="shared" si="207"/>
        <v>#VALUE!</v>
      </c>
      <c r="F1450" s="25" t="e">
        <f t="shared" ca="1" si="208"/>
        <v>#VALUE!</v>
      </c>
      <c r="G1450" s="25"/>
      <c r="H1450" s="25" t="e">
        <f t="shared" si="212"/>
        <v>#VALUE!</v>
      </c>
      <c r="I1450" s="25">
        <f t="shared" si="209"/>
        <v>935.9999999999784</v>
      </c>
      <c r="J1450" s="25" t="e">
        <f t="shared" si="210"/>
        <v>#VALUE!</v>
      </c>
    </row>
    <row r="1451" spans="1:10" x14ac:dyDescent="0.25">
      <c r="A1451" s="25">
        <f t="shared" si="211"/>
        <v>4.3699999999997825</v>
      </c>
      <c r="B1451" s="25">
        <f t="shared" ca="1" si="204"/>
        <v>-2.4965650726356675E-2</v>
      </c>
      <c r="C1451" s="25" t="e">
        <f t="shared" si="205"/>
        <v>#VALUE!</v>
      </c>
      <c r="D1451" s="74" t="e">
        <f t="shared" si="206"/>
        <v>#VALUE!</v>
      </c>
      <c r="E1451" s="25" t="e">
        <f t="shared" si="207"/>
        <v>#VALUE!</v>
      </c>
      <c r="F1451" s="25" t="e">
        <f t="shared" ca="1" si="208"/>
        <v>#VALUE!</v>
      </c>
      <c r="G1451" s="25"/>
      <c r="H1451" s="25" t="e">
        <f t="shared" si="212"/>
        <v>#VALUE!</v>
      </c>
      <c r="I1451" s="25">
        <f t="shared" si="209"/>
        <v>936.99999999997817</v>
      </c>
      <c r="J1451" s="25" t="e">
        <f t="shared" si="210"/>
        <v>#VALUE!</v>
      </c>
    </row>
    <row r="1452" spans="1:10" x14ac:dyDescent="0.25">
      <c r="A1452" s="25">
        <f t="shared" si="211"/>
        <v>4.3799999999997823</v>
      </c>
      <c r="B1452" s="25">
        <f t="shared" ca="1" si="204"/>
        <v>-5.3769686040811275E-2</v>
      </c>
      <c r="C1452" s="25" t="e">
        <f t="shared" si="205"/>
        <v>#VALUE!</v>
      </c>
      <c r="D1452" s="74" t="e">
        <f t="shared" si="206"/>
        <v>#VALUE!</v>
      </c>
      <c r="E1452" s="25" t="e">
        <f t="shared" si="207"/>
        <v>#VALUE!</v>
      </c>
      <c r="F1452" s="25" t="e">
        <f t="shared" ca="1" si="208"/>
        <v>#VALUE!</v>
      </c>
      <c r="G1452" s="25"/>
      <c r="H1452" s="25" t="e">
        <f t="shared" si="212"/>
        <v>#VALUE!</v>
      </c>
      <c r="I1452" s="25">
        <f t="shared" si="209"/>
        <v>937.99999999997817</v>
      </c>
      <c r="J1452" s="25" t="e">
        <f t="shared" si="210"/>
        <v>#VALUE!</v>
      </c>
    </row>
    <row r="1453" spans="1:10" x14ac:dyDescent="0.25">
      <c r="A1453" s="25">
        <f t="shared" si="211"/>
        <v>4.3899999999997821</v>
      </c>
      <c r="B1453" s="25">
        <f t="shared" ca="1" si="204"/>
        <v>0.1263935347251133</v>
      </c>
      <c r="C1453" s="25" t="e">
        <f t="shared" si="205"/>
        <v>#VALUE!</v>
      </c>
      <c r="D1453" s="74" t="e">
        <f t="shared" si="206"/>
        <v>#VALUE!</v>
      </c>
      <c r="E1453" s="25" t="e">
        <f t="shared" si="207"/>
        <v>#VALUE!</v>
      </c>
      <c r="F1453" s="25" t="e">
        <f t="shared" ca="1" si="208"/>
        <v>#VALUE!</v>
      </c>
      <c r="G1453" s="25"/>
      <c r="H1453" s="25" t="e">
        <f t="shared" si="212"/>
        <v>#VALUE!</v>
      </c>
      <c r="I1453" s="25">
        <f t="shared" si="209"/>
        <v>938.99999999997817</v>
      </c>
      <c r="J1453" s="25" t="e">
        <f t="shared" si="210"/>
        <v>#VALUE!</v>
      </c>
    </row>
    <row r="1454" spans="1:10" x14ac:dyDescent="0.25">
      <c r="A1454" s="25">
        <f t="shared" si="211"/>
        <v>4.3999999999997819</v>
      </c>
      <c r="B1454" s="25">
        <f t="shared" ca="1" si="204"/>
        <v>3.5818097064573312E-2</v>
      </c>
      <c r="C1454" s="25" t="e">
        <f t="shared" si="205"/>
        <v>#VALUE!</v>
      </c>
      <c r="D1454" s="74" t="e">
        <f t="shared" si="206"/>
        <v>#VALUE!</v>
      </c>
      <c r="E1454" s="25" t="e">
        <f t="shared" si="207"/>
        <v>#VALUE!</v>
      </c>
      <c r="F1454" s="25" t="e">
        <f t="shared" ca="1" si="208"/>
        <v>#VALUE!</v>
      </c>
      <c r="G1454" s="25"/>
      <c r="H1454" s="25" t="e">
        <f t="shared" si="212"/>
        <v>#VALUE!</v>
      </c>
      <c r="I1454" s="25">
        <f t="shared" si="209"/>
        <v>939.99999999997817</v>
      </c>
      <c r="J1454" s="25" t="e">
        <f t="shared" si="210"/>
        <v>#VALUE!</v>
      </c>
    </row>
    <row r="1455" spans="1:10" x14ac:dyDescent="0.25">
      <c r="A1455" s="25">
        <f t="shared" si="211"/>
        <v>4.4099999999997817</v>
      </c>
      <c r="B1455" s="25">
        <f t="shared" ca="1" si="204"/>
        <v>-0.11646653486575564</v>
      </c>
      <c r="C1455" s="25" t="e">
        <f t="shared" si="205"/>
        <v>#VALUE!</v>
      </c>
      <c r="D1455" s="74" t="e">
        <f t="shared" si="206"/>
        <v>#VALUE!</v>
      </c>
      <c r="E1455" s="25" t="e">
        <f t="shared" si="207"/>
        <v>#VALUE!</v>
      </c>
      <c r="F1455" s="25" t="e">
        <f t="shared" ca="1" si="208"/>
        <v>#VALUE!</v>
      </c>
      <c r="G1455" s="25"/>
      <c r="H1455" s="25" t="e">
        <f t="shared" si="212"/>
        <v>#VALUE!</v>
      </c>
      <c r="I1455" s="25">
        <f t="shared" si="209"/>
        <v>940.99999999997817</v>
      </c>
      <c r="J1455" s="25" t="e">
        <f t="shared" si="210"/>
        <v>#VALUE!</v>
      </c>
    </row>
    <row r="1456" spans="1:10" x14ac:dyDescent="0.25">
      <c r="A1456" s="25">
        <f t="shared" si="211"/>
        <v>4.4199999999997814</v>
      </c>
      <c r="B1456" s="25">
        <f t="shared" ca="1" si="204"/>
        <v>-0.11227648650103061</v>
      </c>
      <c r="C1456" s="25" t="e">
        <f t="shared" si="205"/>
        <v>#VALUE!</v>
      </c>
      <c r="D1456" s="74" t="e">
        <f t="shared" si="206"/>
        <v>#VALUE!</v>
      </c>
      <c r="E1456" s="25" t="e">
        <f t="shared" si="207"/>
        <v>#VALUE!</v>
      </c>
      <c r="F1456" s="25" t="e">
        <f t="shared" ca="1" si="208"/>
        <v>#VALUE!</v>
      </c>
      <c r="G1456" s="25"/>
      <c r="H1456" s="25" t="e">
        <f t="shared" si="212"/>
        <v>#VALUE!</v>
      </c>
      <c r="I1456" s="25">
        <f t="shared" si="209"/>
        <v>941.99999999997817</v>
      </c>
      <c r="J1456" s="25" t="e">
        <f t="shared" si="210"/>
        <v>#VALUE!</v>
      </c>
    </row>
    <row r="1457" spans="1:10" x14ac:dyDescent="0.25">
      <c r="A1457" s="25">
        <f t="shared" si="211"/>
        <v>4.4299999999997812</v>
      </c>
      <c r="B1457" s="25">
        <f t="shared" ca="1" si="204"/>
        <v>8.9744829079148339E-2</v>
      </c>
      <c r="C1457" s="25" t="e">
        <f t="shared" si="205"/>
        <v>#VALUE!</v>
      </c>
      <c r="D1457" s="74" t="e">
        <f t="shared" si="206"/>
        <v>#VALUE!</v>
      </c>
      <c r="E1457" s="25" t="e">
        <f t="shared" si="207"/>
        <v>#VALUE!</v>
      </c>
      <c r="F1457" s="25" t="e">
        <f t="shared" ca="1" si="208"/>
        <v>#VALUE!</v>
      </c>
      <c r="G1457" s="25"/>
      <c r="H1457" s="25" t="e">
        <f t="shared" si="212"/>
        <v>#VALUE!</v>
      </c>
      <c r="I1457" s="25">
        <f t="shared" si="209"/>
        <v>942.99999999997817</v>
      </c>
      <c r="J1457" s="25" t="e">
        <f t="shared" si="210"/>
        <v>#VALUE!</v>
      </c>
    </row>
    <row r="1458" spans="1:10" x14ac:dyDescent="0.25">
      <c r="A1458" s="25">
        <f t="shared" si="211"/>
        <v>4.439999999999781</v>
      </c>
      <c r="B1458" s="25">
        <f t="shared" ca="1" si="204"/>
        <v>6.1044887944576916E-2</v>
      </c>
      <c r="C1458" s="25" t="e">
        <f t="shared" si="205"/>
        <v>#VALUE!</v>
      </c>
      <c r="D1458" s="74" t="e">
        <f t="shared" si="206"/>
        <v>#VALUE!</v>
      </c>
      <c r="E1458" s="25" t="e">
        <f t="shared" si="207"/>
        <v>#VALUE!</v>
      </c>
      <c r="F1458" s="25" t="e">
        <f t="shared" ca="1" si="208"/>
        <v>#VALUE!</v>
      </c>
      <c r="G1458" s="25"/>
      <c r="H1458" s="25" t="e">
        <f t="shared" si="212"/>
        <v>#VALUE!</v>
      </c>
      <c r="I1458" s="25">
        <f t="shared" si="209"/>
        <v>943.99999999997817</v>
      </c>
      <c r="J1458" s="25" t="e">
        <f t="shared" si="210"/>
        <v>#VALUE!</v>
      </c>
    </row>
    <row r="1459" spans="1:10" x14ac:dyDescent="0.25">
      <c r="A1459" s="25">
        <f t="shared" si="211"/>
        <v>4.4499999999997808</v>
      </c>
      <c r="B1459" s="25">
        <f t="shared" ca="1" si="204"/>
        <v>6.9948621508764533E-2</v>
      </c>
      <c r="C1459" s="25" t="e">
        <f t="shared" si="205"/>
        <v>#VALUE!</v>
      </c>
      <c r="D1459" s="74" t="e">
        <f t="shared" si="206"/>
        <v>#VALUE!</v>
      </c>
      <c r="E1459" s="25" t="e">
        <f t="shared" si="207"/>
        <v>#VALUE!</v>
      </c>
      <c r="F1459" s="25" t="e">
        <f t="shared" ca="1" si="208"/>
        <v>#VALUE!</v>
      </c>
      <c r="G1459" s="25"/>
      <c r="H1459" s="25" t="e">
        <f t="shared" si="212"/>
        <v>#VALUE!</v>
      </c>
      <c r="I1459" s="25">
        <f t="shared" si="209"/>
        <v>944.99999999997794</v>
      </c>
      <c r="J1459" s="25" t="e">
        <f t="shared" si="210"/>
        <v>#VALUE!</v>
      </c>
    </row>
    <row r="1460" spans="1:10" x14ac:dyDescent="0.25">
      <c r="A1460" s="25">
        <f t="shared" si="211"/>
        <v>4.4599999999997806</v>
      </c>
      <c r="B1460" s="25">
        <f t="shared" ca="1" si="204"/>
        <v>0.12741401482588821</v>
      </c>
      <c r="C1460" s="25" t="e">
        <f t="shared" si="205"/>
        <v>#VALUE!</v>
      </c>
      <c r="D1460" s="74" t="e">
        <f t="shared" si="206"/>
        <v>#VALUE!</v>
      </c>
      <c r="E1460" s="25" t="e">
        <f t="shared" si="207"/>
        <v>#VALUE!</v>
      </c>
      <c r="F1460" s="25" t="e">
        <f t="shared" ca="1" si="208"/>
        <v>#VALUE!</v>
      </c>
      <c r="G1460" s="25"/>
      <c r="H1460" s="25" t="e">
        <f t="shared" si="212"/>
        <v>#VALUE!</v>
      </c>
      <c r="I1460" s="25">
        <f t="shared" si="209"/>
        <v>945.99999999997794</v>
      </c>
      <c r="J1460" s="25" t="e">
        <f t="shared" si="210"/>
        <v>#VALUE!</v>
      </c>
    </row>
    <row r="1461" spans="1:10" x14ac:dyDescent="0.25">
      <c r="A1461" s="25">
        <f t="shared" si="211"/>
        <v>4.4699999999997804</v>
      </c>
      <c r="B1461" s="25">
        <f t="shared" ca="1" si="204"/>
        <v>8.4019585050814749E-2</v>
      </c>
      <c r="C1461" s="25" t="e">
        <f t="shared" si="205"/>
        <v>#VALUE!</v>
      </c>
      <c r="D1461" s="74" t="e">
        <f t="shared" si="206"/>
        <v>#VALUE!</v>
      </c>
      <c r="E1461" s="25" t="e">
        <f t="shared" si="207"/>
        <v>#VALUE!</v>
      </c>
      <c r="F1461" s="25" t="e">
        <f t="shared" ca="1" si="208"/>
        <v>#VALUE!</v>
      </c>
      <c r="G1461" s="25"/>
      <c r="H1461" s="25" t="e">
        <f t="shared" si="212"/>
        <v>#VALUE!</v>
      </c>
      <c r="I1461" s="25">
        <f t="shared" si="209"/>
        <v>946.99999999997794</v>
      </c>
      <c r="J1461" s="25" t="e">
        <f t="shared" si="210"/>
        <v>#VALUE!</v>
      </c>
    </row>
    <row r="1462" spans="1:10" x14ac:dyDescent="0.25">
      <c r="A1462" s="25">
        <f t="shared" si="211"/>
        <v>4.4799999999997802</v>
      </c>
      <c r="B1462" s="25">
        <f t="shared" ca="1" si="204"/>
        <v>6.8975525251632183E-2</v>
      </c>
      <c r="C1462" s="25" t="e">
        <f t="shared" si="205"/>
        <v>#VALUE!</v>
      </c>
      <c r="D1462" s="74" t="e">
        <f t="shared" si="206"/>
        <v>#VALUE!</v>
      </c>
      <c r="E1462" s="25" t="e">
        <f t="shared" si="207"/>
        <v>#VALUE!</v>
      </c>
      <c r="F1462" s="25" t="e">
        <f t="shared" ca="1" si="208"/>
        <v>#VALUE!</v>
      </c>
      <c r="G1462" s="25"/>
      <c r="H1462" s="25" t="e">
        <f t="shared" si="212"/>
        <v>#VALUE!</v>
      </c>
      <c r="I1462" s="25">
        <f t="shared" si="209"/>
        <v>947.99999999997794</v>
      </c>
      <c r="J1462" s="25" t="e">
        <f t="shared" si="210"/>
        <v>#VALUE!</v>
      </c>
    </row>
    <row r="1463" spans="1:10" x14ac:dyDescent="0.25">
      <c r="A1463" s="25">
        <f t="shared" si="211"/>
        <v>4.4899999999997799</v>
      </c>
      <c r="B1463" s="25">
        <f t="shared" ca="1" si="204"/>
        <v>-0.18083259578148525</v>
      </c>
      <c r="C1463" s="25" t="e">
        <f t="shared" si="205"/>
        <v>#VALUE!</v>
      </c>
      <c r="D1463" s="74" t="e">
        <f t="shared" si="206"/>
        <v>#VALUE!</v>
      </c>
      <c r="E1463" s="25" t="e">
        <f t="shared" si="207"/>
        <v>#VALUE!</v>
      </c>
      <c r="F1463" s="25" t="e">
        <f t="shared" ca="1" si="208"/>
        <v>#VALUE!</v>
      </c>
      <c r="G1463" s="25"/>
      <c r="H1463" s="25" t="e">
        <f t="shared" si="212"/>
        <v>#VALUE!</v>
      </c>
      <c r="I1463" s="25">
        <f t="shared" si="209"/>
        <v>948.99999999997794</v>
      </c>
      <c r="J1463" s="25" t="e">
        <f t="shared" si="210"/>
        <v>#VALUE!</v>
      </c>
    </row>
    <row r="1464" spans="1:10" x14ac:dyDescent="0.25">
      <c r="A1464" s="25">
        <f t="shared" si="211"/>
        <v>4.4999999999997797</v>
      </c>
      <c r="B1464" s="25">
        <f t="shared" ca="1" si="204"/>
        <v>-1.4831650761286314E-2</v>
      </c>
      <c r="C1464" s="25" t="e">
        <f t="shared" si="205"/>
        <v>#VALUE!</v>
      </c>
      <c r="D1464" s="74" t="e">
        <f t="shared" si="206"/>
        <v>#VALUE!</v>
      </c>
      <c r="E1464" s="25" t="e">
        <f t="shared" si="207"/>
        <v>#VALUE!</v>
      </c>
      <c r="F1464" s="25" t="e">
        <f t="shared" ca="1" si="208"/>
        <v>#VALUE!</v>
      </c>
      <c r="G1464" s="25"/>
      <c r="H1464" s="25" t="e">
        <f t="shared" si="212"/>
        <v>#VALUE!</v>
      </c>
      <c r="I1464" s="25">
        <f t="shared" si="209"/>
        <v>949.99999999997794</v>
      </c>
      <c r="J1464" s="25" t="e">
        <f t="shared" si="210"/>
        <v>#VALUE!</v>
      </c>
    </row>
    <row r="1465" spans="1:10" x14ac:dyDescent="0.25">
      <c r="A1465" s="25">
        <f t="shared" si="211"/>
        <v>4.5099999999997795</v>
      </c>
      <c r="B1465" s="25">
        <f t="shared" ca="1" si="204"/>
        <v>-0.19967872074565296</v>
      </c>
      <c r="C1465" s="25" t="e">
        <f t="shared" si="205"/>
        <v>#VALUE!</v>
      </c>
      <c r="D1465" s="74" t="e">
        <f t="shared" si="206"/>
        <v>#VALUE!</v>
      </c>
      <c r="E1465" s="25" t="e">
        <f t="shared" si="207"/>
        <v>#VALUE!</v>
      </c>
      <c r="F1465" s="25" t="e">
        <f t="shared" ca="1" si="208"/>
        <v>#VALUE!</v>
      </c>
      <c r="G1465" s="25"/>
      <c r="H1465" s="25" t="e">
        <f t="shared" si="212"/>
        <v>#VALUE!</v>
      </c>
      <c r="I1465" s="25">
        <f t="shared" si="209"/>
        <v>950.99999999997794</v>
      </c>
      <c r="J1465" s="25" t="e">
        <f t="shared" si="210"/>
        <v>#VALUE!</v>
      </c>
    </row>
    <row r="1466" spans="1:10" x14ac:dyDescent="0.25">
      <c r="A1466" s="25">
        <f t="shared" si="211"/>
        <v>4.5199999999997793</v>
      </c>
      <c r="B1466" s="25">
        <f t="shared" ca="1" si="204"/>
        <v>-0.17479441227477202</v>
      </c>
      <c r="C1466" s="25" t="e">
        <f t="shared" si="205"/>
        <v>#VALUE!</v>
      </c>
      <c r="D1466" s="74" t="e">
        <f t="shared" si="206"/>
        <v>#VALUE!</v>
      </c>
      <c r="E1466" s="25" t="e">
        <f t="shared" si="207"/>
        <v>#VALUE!</v>
      </c>
      <c r="F1466" s="25" t="e">
        <f t="shared" ca="1" si="208"/>
        <v>#VALUE!</v>
      </c>
      <c r="G1466" s="25"/>
      <c r="H1466" s="25" t="e">
        <f t="shared" si="212"/>
        <v>#VALUE!</v>
      </c>
      <c r="I1466" s="25">
        <f t="shared" si="209"/>
        <v>951.99999999997794</v>
      </c>
      <c r="J1466" s="25" t="e">
        <f t="shared" si="210"/>
        <v>#VALUE!</v>
      </c>
    </row>
    <row r="1467" spans="1:10" x14ac:dyDescent="0.25">
      <c r="A1467" s="25">
        <f t="shared" si="211"/>
        <v>4.5299999999997791</v>
      </c>
      <c r="B1467" s="25">
        <f t="shared" ca="1" si="204"/>
        <v>-5.2191116904126783E-2</v>
      </c>
      <c r="C1467" s="25" t="e">
        <f t="shared" si="205"/>
        <v>#VALUE!</v>
      </c>
      <c r="D1467" s="74" t="e">
        <f t="shared" si="206"/>
        <v>#VALUE!</v>
      </c>
      <c r="E1467" s="25" t="e">
        <f t="shared" si="207"/>
        <v>#VALUE!</v>
      </c>
      <c r="F1467" s="25" t="e">
        <f t="shared" ca="1" si="208"/>
        <v>#VALUE!</v>
      </c>
      <c r="G1467" s="25"/>
      <c r="H1467" s="25" t="e">
        <f t="shared" si="212"/>
        <v>#VALUE!</v>
      </c>
      <c r="I1467" s="25">
        <f t="shared" si="209"/>
        <v>952.99999999997794</v>
      </c>
      <c r="J1467" s="25" t="e">
        <f t="shared" si="210"/>
        <v>#VALUE!</v>
      </c>
    </row>
    <row r="1468" spans="1:10" x14ac:dyDescent="0.25">
      <c r="A1468" s="25">
        <f t="shared" si="211"/>
        <v>4.5399999999997789</v>
      </c>
      <c r="B1468" s="25">
        <f t="shared" ca="1" si="204"/>
        <v>-0.19274946892235231</v>
      </c>
      <c r="C1468" s="25" t="e">
        <f t="shared" si="205"/>
        <v>#VALUE!</v>
      </c>
      <c r="D1468" s="74" t="e">
        <f t="shared" si="206"/>
        <v>#VALUE!</v>
      </c>
      <c r="E1468" s="25" t="e">
        <f t="shared" si="207"/>
        <v>#VALUE!</v>
      </c>
      <c r="F1468" s="25" t="e">
        <f t="shared" ca="1" si="208"/>
        <v>#VALUE!</v>
      </c>
      <c r="G1468" s="25"/>
      <c r="H1468" s="25" t="e">
        <f t="shared" si="212"/>
        <v>#VALUE!</v>
      </c>
      <c r="I1468" s="25">
        <f t="shared" si="209"/>
        <v>953.99999999997783</v>
      </c>
      <c r="J1468" s="25" t="e">
        <f t="shared" si="210"/>
        <v>#VALUE!</v>
      </c>
    </row>
    <row r="1469" spans="1:10" x14ac:dyDescent="0.25">
      <c r="A1469" s="25">
        <f t="shared" si="211"/>
        <v>4.5499999999997787</v>
      </c>
      <c r="B1469" s="25">
        <f t="shared" ca="1" si="204"/>
        <v>-6.1667724727228083E-2</v>
      </c>
      <c r="C1469" s="25" t="e">
        <f t="shared" si="205"/>
        <v>#VALUE!</v>
      </c>
      <c r="D1469" s="74" t="e">
        <f t="shared" si="206"/>
        <v>#VALUE!</v>
      </c>
      <c r="E1469" s="25" t="e">
        <f t="shared" si="207"/>
        <v>#VALUE!</v>
      </c>
      <c r="F1469" s="25" t="e">
        <f t="shared" ca="1" si="208"/>
        <v>#VALUE!</v>
      </c>
      <c r="G1469" s="25"/>
      <c r="H1469" s="25" t="e">
        <f t="shared" si="212"/>
        <v>#VALUE!</v>
      </c>
      <c r="I1469" s="25">
        <f t="shared" si="209"/>
        <v>954.99999999997783</v>
      </c>
      <c r="J1469" s="25" t="e">
        <f t="shared" si="210"/>
        <v>#VALUE!</v>
      </c>
    </row>
    <row r="1470" spans="1:10" x14ac:dyDescent="0.25">
      <c r="A1470" s="25">
        <f t="shared" si="211"/>
        <v>4.5599999999997785</v>
      </c>
      <c r="B1470" s="25">
        <f t="shared" ca="1" si="204"/>
        <v>0.10309658771804468</v>
      </c>
      <c r="C1470" s="25" t="e">
        <f t="shared" si="205"/>
        <v>#VALUE!</v>
      </c>
      <c r="D1470" s="74" t="e">
        <f t="shared" si="206"/>
        <v>#VALUE!</v>
      </c>
      <c r="E1470" s="25" t="e">
        <f t="shared" si="207"/>
        <v>#VALUE!</v>
      </c>
      <c r="F1470" s="25" t="e">
        <f t="shared" ca="1" si="208"/>
        <v>#VALUE!</v>
      </c>
      <c r="G1470" s="25"/>
      <c r="H1470" s="25" t="e">
        <f t="shared" si="212"/>
        <v>#VALUE!</v>
      </c>
      <c r="I1470" s="25">
        <f t="shared" si="209"/>
        <v>955.99999999997783</v>
      </c>
      <c r="J1470" s="25" t="e">
        <f t="shared" si="210"/>
        <v>#VALUE!</v>
      </c>
    </row>
    <row r="1471" spans="1:10" x14ac:dyDescent="0.25">
      <c r="A1471" s="25">
        <f t="shared" si="211"/>
        <v>4.5699999999997782</v>
      </c>
      <c r="B1471" s="25">
        <f t="shared" ca="1" si="204"/>
        <v>-0.16910064554316351</v>
      </c>
      <c r="C1471" s="25" t="e">
        <f t="shared" si="205"/>
        <v>#VALUE!</v>
      </c>
      <c r="D1471" s="74" t="e">
        <f t="shared" si="206"/>
        <v>#VALUE!</v>
      </c>
      <c r="E1471" s="25" t="e">
        <f t="shared" si="207"/>
        <v>#VALUE!</v>
      </c>
      <c r="F1471" s="25" t="e">
        <f t="shared" ca="1" si="208"/>
        <v>#VALUE!</v>
      </c>
      <c r="G1471" s="25"/>
      <c r="H1471" s="25" t="e">
        <f t="shared" si="212"/>
        <v>#VALUE!</v>
      </c>
      <c r="I1471" s="25">
        <f t="shared" si="209"/>
        <v>956.99999999997783</v>
      </c>
      <c r="J1471" s="25" t="e">
        <f t="shared" si="210"/>
        <v>#VALUE!</v>
      </c>
    </row>
    <row r="1472" spans="1:10" x14ac:dyDescent="0.25">
      <c r="A1472" s="25">
        <f t="shared" si="211"/>
        <v>4.579999999999778</v>
      </c>
      <c r="B1472" s="25">
        <f t="shared" ca="1" si="204"/>
        <v>0.11076800842624353</v>
      </c>
      <c r="C1472" s="25" t="e">
        <f t="shared" si="205"/>
        <v>#VALUE!</v>
      </c>
      <c r="D1472" s="74" t="e">
        <f t="shared" si="206"/>
        <v>#VALUE!</v>
      </c>
      <c r="E1472" s="25" t="e">
        <f t="shared" si="207"/>
        <v>#VALUE!</v>
      </c>
      <c r="F1472" s="25" t="e">
        <f t="shared" ca="1" si="208"/>
        <v>#VALUE!</v>
      </c>
      <c r="G1472" s="25"/>
      <c r="H1472" s="25" t="e">
        <f t="shared" si="212"/>
        <v>#VALUE!</v>
      </c>
      <c r="I1472" s="25">
        <f t="shared" si="209"/>
        <v>957.99999999997783</v>
      </c>
      <c r="J1472" s="25" t="e">
        <f t="shared" si="210"/>
        <v>#VALUE!</v>
      </c>
    </row>
    <row r="1473" spans="1:10" x14ac:dyDescent="0.25">
      <c r="A1473" s="25">
        <f t="shared" si="211"/>
        <v>4.5899999999997778</v>
      </c>
      <c r="B1473" s="25">
        <f t="shared" ca="1" si="204"/>
        <v>-9.3074401435664103E-2</v>
      </c>
      <c r="C1473" s="25" t="e">
        <f t="shared" si="205"/>
        <v>#VALUE!</v>
      </c>
      <c r="D1473" s="74" t="e">
        <f t="shared" si="206"/>
        <v>#VALUE!</v>
      </c>
      <c r="E1473" s="25" t="e">
        <f t="shared" si="207"/>
        <v>#VALUE!</v>
      </c>
      <c r="F1473" s="25" t="e">
        <f t="shared" ca="1" si="208"/>
        <v>#VALUE!</v>
      </c>
      <c r="G1473" s="25"/>
      <c r="H1473" s="25" t="e">
        <f t="shared" si="212"/>
        <v>#VALUE!</v>
      </c>
      <c r="I1473" s="25">
        <f t="shared" si="209"/>
        <v>958.99999999997783</v>
      </c>
      <c r="J1473" s="25" t="e">
        <f t="shared" si="210"/>
        <v>#VALUE!</v>
      </c>
    </row>
    <row r="1474" spans="1:10" x14ac:dyDescent="0.25">
      <c r="A1474" s="25">
        <f t="shared" si="211"/>
        <v>4.5999999999997776</v>
      </c>
      <c r="B1474" s="25">
        <f t="shared" ca="1" si="204"/>
        <v>0.13288874828471942</v>
      </c>
      <c r="C1474" s="25" t="e">
        <f t="shared" si="205"/>
        <v>#VALUE!</v>
      </c>
      <c r="D1474" s="74" t="e">
        <f t="shared" si="206"/>
        <v>#VALUE!</v>
      </c>
      <c r="E1474" s="25" t="e">
        <f t="shared" si="207"/>
        <v>#VALUE!</v>
      </c>
      <c r="F1474" s="25" t="e">
        <f t="shared" ca="1" si="208"/>
        <v>#VALUE!</v>
      </c>
      <c r="G1474" s="25"/>
      <c r="H1474" s="25" t="e">
        <f t="shared" si="212"/>
        <v>#VALUE!</v>
      </c>
      <c r="I1474" s="25">
        <f t="shared" si="209"/>
        <v>959.99999999997783</v>
      </c>
      <c r="J1474" s="25" t="e">
        <f t="shared" si="210"/>
        <v>#VALUE!</v>
      </c>
    </row>
    <row r="1475" spans="1:10" x14ac:dyDescent="0.25">
      <c r="A1475" s="25">
        <f t="shared" si="211"/>
        <v>4.6099999999997774</v>
      </c>
      <c r="B1475" s="25">
        <f t="shared" ca="1" si="204"/>
        <v>-0.13509512183781713</v>
      </c>
      <c r="C1475" s="25" t="e">
        <f t="shared" si="205"/>
        <v>#VALUE!</v>
      </c>
      <c r="D1475" s="74" t="e">
        <f t="shared" si="206"/>
        <v>#VALUE!</v>
      </c>
      <c r="E1475" s="25" t="e">
        <f t="shared" si="207"/>
        <v>#VALUE!</v>
      </c>
      <c r="F1475" s="25" t="e">
        <f t="shared" ca="1" si="208"/>
        <v>#VALUE!</v>
      </c>
      <c r="G1475" s="25"/>
      <c r="H1475" s="25" t="e">
        <f t="shared" si="212"/>
        <v>#VALUE!</v>
      </c>
      <c r="I1475" s="25">
        <f t="shared" si="209"/>
        <v>960.99999999997783</v>
      </c>
      <c r="J1475" s="25" t="e">
        <f t="shared" si="210"/>
        <v>#VALUE!</v>
      </c>
    </row>
    <row r="1476" spans="1:10" x14ac:dyDescent="0.25">
      <c r="A1476" s="25">
        <f t="shared" si="211"/>
        <v>4.6199999999997772</v>
      </c>
      <c r="B1476" s="25">
        <f t="shared" ca="1" si="204"/>
        <v>-2.3932813951911733E-3</v>
      </c>
      <c r="C1476" s="25" t="e">
        <f t="shared" si="205"/>
        <v>#VALUE!</v>
      </c>
      <c r="D1476" s="74" t="e">
        <f t="shared" si="206"/>
        <v>#VALUE!</v>
      </c>
      <c r="E1476" s="25" t="e">
        <f t="shared" si="207"/>
        <v>#VALUE!</v>
      </c>
      <c r="F1476" s="25" t="e">
        <f t="shared" ca="1" si="208"/>
        <v>#VALUE!</v>
      </c>
      <c r="G1476" s="25"/>
      <c r="H1476" s="25" t="e">
        <f t="shared" si="212"/>
        <v>#VALUE!</v>
      </c>
      <c r="I1476" s="25">
        <f t="shared" si="209"/>
        <v>961.99999999997783</v>
      </c>
      <c r="J1476" s="25" t="e">
        <f t="shared" si="210"/>
        <v>#VALUE!</v>
      </c>
    </row>
    <row r="1477" spans="1:10" x14ac:dyDescent="0.25">
      <c r="A1477" s="25">
        <f t="shared" si="211"/>
        <v>4.629999999999777</v>
      </c>
      <c r="B1477" s="25">
        <f t="shared" ca="1" si="204"/>
        <v>0.13173735944177659</v>
      </c>
      <c r="C1477" s="25" t="e">
        <f t="shared" si="205"/>
        <v>#VALUE!</v>
      </c>
      <c r="D1477" s="74" t="e">
        <f t="shared" si="206"/>
        <v>#VALUE!</v>
      </c>
      <c r="E1477" s="25" t="e">
        <f t="shared" si="207"/>
        <v>#VALUE!</v>
      </c>
      <c r="F1477" s="25" t="e">
        <f t="shared" ca="1" si="208"/>
        <v>#VALUE!</v>
      </c>
      <c r="G1477" s="25"/>
      <c r="H1477" s="25" t="e">
        <f t="shared" si="212"/>
        <v>#VALUE!</v>
      </c>
      <c r="I1477" s="25">
        <f t="shared" si="209"/>
        <v>962.9999999999776</v>
      </c>
      <c r="J1477" s="25" t="e">
        <f t="shared" si="210"/>
        <v>#VALUE!</v>
      </c>
    </row>
    <row r="1478" spans="1:10" x14ac:dyDescent="0.25">
      <c r="A1478" s="25">
        <f t="shared" si="211"/>
        <v>4.6399999999997767</v>
      </c>
      <c r="B1478" s="25">
        <f t="shared" ca="1" si="204"/>
        <v>-0.13913117186030763</v>
      </c>
      <c r="C1478" s="25" t="e">
        <f t="shared" si="205"/>
        <v>#VALUE!</v>
      </c>
      <c r="D1478" s="74" t="e">
        <f t="shared" si="206"/>
        <v>#VALUE!</v>
      </c>
      <c r="E1478" s="25" t="e">
        <f t="shared" si="207"/>
        <v>#VALUE!</v>
      </c>
      <c r="F1478" s="25" t="e">
        <f t="shared" ca="1" si="208"/>
        <v>#VALUE!</v>
      </c>
      <c r="G1478" s="25"/>
      <c r="H1478" s="25" t="e">
        <f t="shared" si="212"/>
        <v>#VALUE!</v>
      </c>
      <c r="I1478" s="25">
        <f t="shared" si="209"/>
        <v>963.9999999999776</v>
      </c>
      <c r="J1478" s="25" t="e">
        <f t="shared" si="210"/>
        <v>#VALUE!</v>
      </c>
    </row>
    <row r="1479" spans="1:10" x14ac:dyDescent="0.25">
      <c r="A1479" s="25">
        <f t="shared" si="211"/>
        <v>4.6499999999997765</v>
      </c>
      <c r="B1479" s="25">
        <f t="shared" ca="1" si="204"/>
        <v>-7.25996689963231E-2</v>
      </c>
      <c r="C1479" s="25" t="e">
        <f t="shared" si="205"/>
        <v>#VALUE!</v>
      </c>
      <c r="D1479" s="74" t="e">
        <f t="shared" si="206"/>
        <v>#VALUE!</v>
      </c>
      <c r="E1479" s="25" t="e">
        <f t="shared" si="207"/>
        <v>#VALUE!</v>
      </c>
      <c r="F1479" s="25" t="e">
        <f t="shared" ca="1" si="208"/>
        <v>#VALUE!</v>
      </c>
      <c r="G1479" s="25"/>
      <c r="H1479" s="25" t="e">
        <f t="shared" si="212"/>
        <v>#VALUE!</v>
      </c>
      <c r="I1479" s="25">
        <f t="shared" si="209"/>
        <v>964.9999999999776</v>
      </c>
      <c r="J1479" s="25" t="e">
        <f t="shared" si="210"/>
        <v>#VALUE!</v>
      </c>
    </row>
    <row r="1480" spans="1:10" x14ac:dyDescent="0.25">
      <c r="A1480" s="25">
        <f t="shared" si="211"/>
        <v>4.6599999999997763</v>
      </c>
      <c r="B1480" s="25">
        <f t="shared" ca="1" si="204"/>
        <v>-0.12663586726668452</v>
      </c>
      <c r="C1480" s="25" t="e">
        <f t="shared" si="205"/>
        <v>#VALUE!</v>
      </c>
      <c r="D1480" s="74" t="e">
        <f t="shared" si="206"/>
        <v>#VALUE!</v>
      </c>
      <c r="E1480" s="25" t="e">
        <f t="shared" si="207"/>
        <v>#VALUE!</v>
      </c>
      <c r="F1480" s="25" t="e">
        <f t="shared" ca="1" si="208"/>
        <v>#VALUE!</v>
      </c>
      <c r="G1480" s="25"/>
      <c r="H1480" s="25" t="e">
        <f t="shared" si="212"/>
        <v>#VALUE!</v>
      </c>
      <c r="I1480" s="25">
        <f t="shared" si="209"/>
        <v>965.9999999999776</v>
      </c>
      <c r="J1480" s="25" t="e">
        <f t="shared" si="210"/>
        <v>#VALUE!</v>
      </c>
    </row>
    <row r="1481" spans="1:10" x14ac:dyDescent="0.25">
      <c r="A1481" s="25">
        <f t="shared" si="211"/>
        <v>4.6699999999997761</v>
      </c>
      <c r="B1481" s="25">
        <f t="shared" ca="1" si="204"/>
        <v>0.11992776481809479</v>
      </c>
      <c r="C1481" s="25" t="e">
        <f t="shared" si="205"/>
        <v>#VALUE!</v>
      </c>
      <c r="D1481" s="74" t="e">
        <f t="shared" si="206"/>
        <v>#VALUE!</v>
      </c>
      <c r="E1481" s="25" t="e">
        <f t="shared" si="207"/>
        <v>#VALUE!</v>
      </c>
      <c r="F1481" s="25" t="e">
        <f t="shared" ca="1" si="208"/>
        <v>#VALUE!</v>
      </c>
      <c r="G1481" s="25"/>
      <c r="H1481" s="25" t="e">
        <f t="shared" si="212"/>
        <v>#VALUE!</v>
      </c>
      <c r="I1481" s="25">
        <f t="shared" si="209"/>
        <v>966.9999999999776</v>
      </c>
      <c r="J1481" s="25" t="e">
        <f t="shared" si="210"/>
        <v>#VALUE!</v>
      </c>
    </row>
    <row r="1482" spans="1:10" x14ac:dyDescent="0.25">
      <c r="A1482" s="25">
        <f t="shared" si="211"/>
        <v>4.6799999999997759</v>
      </c>
      <c r="B1482" s="25">
        <f t="shared" ca="1" si="204"/>
        <v>-5.7292571963030919E-2</v>
      </c>
      <c r="C1482" s="25" t="e">
        <f t="shared" si="205"/>
        <v>#VALUE!</v>
      </c>
      <c r="D1482" s="74" t="e">
        <f t="shared" si="206"/>
        <v>#VALUE!</v>
      </c>
      <c r="E1482" s="25" t="e">
        <f t="shared" si="207"/>
        <v>#VALUE!</v>
      </c>
      <c r="F1482" s="25" t="e">
        <f t="shared" ca="1" si="208"/>
        <v>#VALUE!</v>
      </c>
      <c r="G1482" s="25"/>
      <c r="H1482" s="25" t="e">
        <f t="shared" si="212"/>
        <v>#VALUE!</v>
      </c>
      <c r="I1482" s="25">
        <f t="shared" si="209"/>
        <v>967.9999999999776</v>
      </c>
      <c r="J1482" s="25" t="e">
        <f t="shared" si="210"/>
        <v>#VALUE!</v>
      </c>
    </row>
    <row r="1483" spans="1:10" x14ac:dyDescent="0.25">
      <c r="A1483" s="25">
        <f t="shared" si="211"/>
        <v>4.6899999999997757</v>
      </c>
      <c r="B1483" s="25">
        <f t="shared" ca="1" si="204"/>
        <v>-8.6317891159833904E-2</v>
      </c>
      <c r="C1483" s="25" t="e">
        <f t="shared" si="205"/>
        <v>#VALUE!</v>
      </c>
      <c r="D1483" s="74" t="e">
        <f t="shared" si="206"/>
        <v>#VALUE!</v>
      </c>
      <c r="E1483" s="25" t="e">
        <f t="shared" si="207"/>
        <v>#VALUE!</v>
      </c>
      <c r="F1483" s="25" t="e">
        <f t="shared" ca="1" si="208"/>
        <v>#VALUE!</v>
      </c>
      <c r="G1483" s="25"/>
      <c r="H1483" s="25" t="e">
        <f t="shared" si="212"/>
        <v>#VALUE!</v>
      </c>
      <c r="I1483" s="25">
        <f t="shared" si="209"/>
        <v>968.9999999999776</v>
      </c>
      <c r="J1483" s="25" t="e">
        <f t="shared" si="210"/>
        <v>#VALUE!</v>
      </c>
    </row>
    <row r="1484" spans="1:10" x14ac:dyDescent="0.25">
      <c r="A1484" s="25">
        <f t="shared" si="211"/>
        <v>4.6999999999997755</v>
      </c>
      <c r="B1484" s="25">
        <f t="shared" ca="1" si="204"/>
        <v>-8.1838356102712367E-2</v>
      </c>
      <c r="C1484" s="25" t="e">
        <f t="shared" si="205"/>
        <v>#VALUE!</v>
      </c>
      <c r="D1484" s="74" t="e">
        <f t="shared" si="206"/>
        <v>#VALUE!</v>
      </c>
      <c r="E1484" s="25" t="e">
        <f t="shared" si="207"/>
        <v>#VALUE!</v>
      </c>
      <c r="F1484" s="25" t="e">
        <f t="shared" ca="1" si="208"/>
        <v>#VALUE!</v>
      </c>
      <c r="G1484" s="25"/>
      <c r="H1484" s="25" t="e">
        <f t="shared" si="212"/>
        <v>#VALUE!</v>
      </c>
      <c r="I1484" s="25">
        <f t="shared" si="209"/>
        <v>969.9999999999776</v>
      </c>
      <c r="J1484" s="25" t="e">
        <f t="shared" si="210"/>
        <v>#VALUE!</v>
      </c>
    </row>
    <row r="1485" spans="1:10" x14ac:dyDescent="0.25">
      <c r="A1485" s="25">
        <f t="shared" si="211"/>
        <v>4.7099999999997753</v>
      </c>
      <c r="B1485" s="25">
        <f t="shared" ca="1" si="204"/>
        <v>2.1721518084531405E-2</v>
      </c>
      <c r="C1485" s="25" t="e">
        <f t="shared" si="205"/>
        <v>#VALUE!</v>
      </c>
      <c r="D1485" s="74" t="e">
        <f t="shared" si="206"/>
        <v>#VALUE!</v>
      </c>
      <c r="E1485" s="25" t="e">
        <f t="shared" si="207"/>
        <v>#VALUE!</v>
      </c>
      <c r="F1485" s="25" t="e">
        <f t="shared" ca="1" si="208"/>
        <v>#VALUE!</v>
      </c>
      <c r="G1485" s="25"/>
      <c r="H1485" s="25" t="e">
        <f t="shared" si="212"/>
        <v>#VALUE!</v>
      </c>
      <c r="I1485" s="25">
        <f t="shared" si="209"/>
        <v>970.99999999997749</v>
      </c>
      <c r="J1485" s="25" t="e">
        <f t="shared" si="210"/>
        <v>#VALUE!</v>
      </c>
    </row>
    <row r="1486" spans="1:10" x14ac:dyDescent="0.25">
      <c r="A1486" s="25">
        <f t="shared" si="211"/>
        <v>4.719999999999775</v>
      </c>
      <c r="B1486" s="25">
        <f t="shared" ref="B1486:B1549" ca="1" si="213">(RAND()-0.5-$B$7)/$B$5</f>
        <v>0.12352254431902525</v>
      </c>
      <c r="C1486" s="25" t="e">
        <f t="shared" ref="C1486:C1549" si="214">IF(ABS(A1486)&lt;=($D$3/2),1,IF(ABS(A1486)&lt;=($B$4/2),IF(A1486&gt;0,A1486*(4/(1-2*$B$4))+(2*$B$4/(2*$B$4-1)),(-A1486*(4/(1-2*$B$4))+(2*$B$4/(2*$B$4-1)))),0))</f>
        <v>#VALUE!</v>
      </c>
      <c r="D1486" s="74" t="e">
        <f t="shared" ref="D1486:D1549" si="215">IF(ABS(A1486)&lt;=($D$3/4+$B$4/4),1,IF(ABS(A1486)&lt;=($B$4/2),(IF(A1486&gt;0,A1486*(8/(1-2*$B$4))+(4*$B$4)/(2*$B$4-1),(-A1486*(8/(1-2*$B$4))+(4*$B$4)/(2*$B$4-1)))),0))</f>
        <v>#VALUE!</v>
      </c>
      <c r="E1486" s="25" t="e">
        <f t="shared" ref="E1486:E1549" si="216">IF(ABS(A1486)&lt;($B$4/2), 1, 0)</f>
        <v>#VALUE!</v>
      </c>
      <c r="F1486" s="25" t="e">
        <f t="shared" ref="F1486:F1549" ca="1" si="217">C1486+B1486</f>
        <v>#VALUE!</v>
      </c>
      <c r="G1486" s="25"/>
      <c r="H1486" s="25" t="e">
        <f t="shared" si="212"/>
        <v>#VALUE!</v>
      </c>
      <c r="I1486" s="25">
        <f t="shared" ref="I1486:I1549" si="218">$I$3*(A1486-$G$3)/($H$3-$G$3)</f>
        <v>971.99999999997749</v>
      </c>
      <c r="J1486" s="25" t="e">
        <f t="shared" ref="J1486:J1549" si="219">H1486</f>
        <v>#VALUE!</v>
      </c>
    </row>
    <row r="1487" spans="1:10" x14ac:dyDescent="0.25">
      <c r="A1487" s="25">
        <f t="shared" ref="A1487:A1550" si="220">A1486+0.01</f>
        <v>4.7299999999997748</v>
      </c>
      <c r="B1487" s="25">
        <f t="shared" ca="1" si="213"/>
        <v>1.7495800923747352E-2</v>
      </c>
      <c r="C1487" s="25" t="e">
        <f t="shared" si="214"/>
        <v>#VALUE!</v>
      </c>
      <c r="D1487" s="74" t="e">
        <f t="shared" si="215"/>
        <v>#VALUE!</v>
      </c>
      <c r="E1487" s="25" t="e">
        <f t="shared" si="216"/>
        <v>#VALUE!</v>
      </c>
      <c r="F1487" s="25" t="e">
        <f t="shared" ca="1" si="217"/>
        <v>#VALUE!</v>
      </c>
      <c r="G1487" s="25"/>
      <c r="H1487" s="25" t="e">
        <f t="shared" si="212"/>
        <v>#VALUE!</v>
      </c>
      <c r="I1487" s="25">
        <f t="shared" si="218"/>
        <v>972.99999999997749</v>
      </c>
      <c r="J1487" s="25" t="e">
        <f t="shared" si="219"/>
        <v>#VALUE!</v>
      </c>
    </row>
    <row r="1488" spans="1:10" x14ac:dyDescent="0.25">
      <c r="A1488" s="25">
        <f t="shared" si="220"/>
        <v>4.7399999999997746</v>
      </c>
      <c r="B1488" s="25">
        <f t="shared" ca="1" si="213"/>
        <v>5.4431315504180892E-2</v>
      </c>
      <c r="C1488" s="25" t="e">
        <f t="shared" si="214"/>
        <v>#VALUE!</v>
      </c>
      <c r="D1488" s="74" t="e">
        <f t="shared" si="215"/>
        <v>#VALUE!</v>
      </c>
      <c r="E1488" s="25" t="e">
        <f t="shared" si="216"/>
        <v>#VALUE!</v>
      </c>
      <c r="F1488" s="25" t="e">
        <f t="shared" ca="1" si="217"/>
        <v>#VALUE!</v>
      </c>
      <c r="G1488" s="25"/>
      <c r="H1488" s="25" t="e">
        <f t="shared" si="212"/>
        <v>#VALUE!</v>
      </c>
      <c r="I1488" s="25">
        <f t="shared" si="218"/>
        <v>973.99999999997749</v>
      </c>
      <c r="J1488" s="25" t="e">
        <f t="shared" si="219"/>
        <v>#VALUE!</v>
      </c>
    </row>
    <row r="1489" spans="1:10" x14ac:dyDescent="0.25">
      <c r="A1489" s="25">
        <f t="shared" si="220"/>
        <v>4.7499999999997744</v>
      </c>
      <c r="B1489" s="25">
        <f t="shared" ca="1" si="213"/>
        <v>-0.17434615149175881</v>
      </c>
      <c r="C1489" s="25" t="e">
        <f t="shared" si="214"/>
        <v>#VALUE!</v>
      </c>
      <c r="D1489" s="74" t="e">
        <f t="shared" si="215"/>
        <v>#VALUE!</v>
      </c>
      <c r="E1489" s="25" t="e">
        <f t="shared" si="216"/>
        <v>#VALUE!</v>
      </c>
      <c r="F1489" s="25" t="e">
        <f t="shared" ca="1" si="217"/>
        <v>#VALUE!</v>
      </c>
      <c r="G1489" s="25"/>
      <c r="H1489" s="25" t="e">
        <f t="shared" si="212"/>
        <v>#VALUE!</v>
      </c>
      <c r="I1489" s="25">
        <f t="shared" si="218"/>
        <v>974.99999999997749</v>
      </c>
      <c r="J1489" s="25" t="e">
        <f t="shared" si="219"/>
        <v>#VALUE!</v>
      </c>
    </row>
    <row r="1490" spans="1:10" x14ac:dyDescent="0.25">
      <c r="A1490" s="25">
        <f t="shared" si="220"/>
        <v>4.7599999999997742</v>
      </c>
      <c r="B1490" s="25">
        <f t="shared" ca="1" si="213"/>
        <v>-0.16273775200095378</v>
      </c>
      <c r="C1490" s="25" t="e">
        <f t="shared" si="214"/>
        <v>#VALUE!</v>
      </c>
      <c r="D1490" s="74" t="e">
        <f t="shared" si="215"/>
        <v>#VALUE!</v>
      </c>
      <c r="E1490" s="25" t="e">
        <f t="shared" si="216"/>
        <v>#VALUE!</v>
      </c>
      <c r="F1490" s="25" t="e">
        <f t="shared" ca="1" si="217"/>
        <v>#VALUE!</v>
      </c>
      <c r="G1490" s="25"/>
      <c r="H1490" s="25" t="e">
        <f t="shared" si="212"/>
        <v>#VALUE!</v>
      </c>
      <c r="I1490" s="25">
        <f t="shared" si="218"/>
        <v>975.99999999997749</v>
      </c>
      <c r="J1490" s="25" t="e">
        <f t="shared" si="219"/>
        <v>#VALUE!</v>
      </c>
    </row>
    <row r="1491" spans="1:10" x14ac:dyDescent="0.25">
      <c r="A1491" s="25">
        <f t="shared" si="220"/>
        <v>4.769999999999774</v>
      </c>
      <c r="B1491" s="25">
        <f t="shared" ca="1" si="213"/>
        <v>-0.15960974827013272</v>
      </c>
      <c r="C1491" s="25" t="e">
        <f t="shared" si="214"/>
        <v>#VALUE!</v>
      </c>
      <c r="D1491" s="74" t="e">
        <f t="shared" si="215"/>
        <v>#VALUE!</v>
      </c>
      <c r="E1491" s="25" t="e">
        <f t="shared" si="216"/>
        <v>#VALUE!</v>
      </c>
      <c r="F1491" s="25" t="e">
        <f t="shared" ca="1" si="217"/>
        <v>#VALUE!</v>
      </c>
      <c r="G1491" s="25"/>
      <c r="H1491" s="25" t="e">
        <f t="shared" si="212"/>
        <v>#VALUE!</v>
      </c>
      <c r="I1491" s="25">
        <f t="shared" si="218"/>
        <v>976.99999999997749</v>
      </c>
      <c r="J1491" s="25" t="e">
        <f t="shared" si="219"/>
        <v>#VALUE!</v>
      </c>
    </row>
    <row r="1492" spans="1:10" x14ac:dyDescent="0.25">
      <c r="A1492" s="25">
        <f t="shared" si="220"/>
        <v>4.7799999999997738</v>
      </c>
      <c r="B1492" s="25">
        <f t="shared" ca="1" si="213"/>
        <v>8.8090957373249831E-2</v>
      </c>
      <c r="C1492" s="25" t="e">
        <f t="shared" si="214"/>
        <v>#VALUE!</v>
      </c>
      <c r="D1492" s="74" t="e">
        <f t="shared" si="215"/>
        <v>#VALUE!</v>
      </c>
      <c r="E1492" s="25" t="e">
        <f t="shared" si="216"/>
        <v>#VALUE!</v>
      </c>
      <c r="F1492" s="25" t="e">
        <f t="shared" ca="1" si="217"/>
        <v>#VALUE!</v>
      </c>
      <c r="G1492" s="25"/>
      <c r="H1492" s="25" t="e">
        <f t="shared" si="212"/>
        <v>#VALUE!</v>
      </c>
      <c r="I1492" s="25">
        <f t="shared" si="218"/>
        <v>977.99999999997749</v>
      </c>
      <c r="J1492" s="25" t="e">
        <f t="shared" si="219"/>
        <v>#VALUE!</v>
      </c>
    </row>
    <row r="1493" spans="1:10" x14ac:dyDescent="0.25">
      <c r="A1493" s="25">
        <f t="shared" si="220"/>
        <v>4.7899999999997736</v>
      </c>
      <c r="B1493" s="25">
        <f t="shared" ca="1" si="213"/>
        <v>-3.3454810666228851E-3</v>
      </c>
      <c r="C1493" s="25" t="e">
        <f t="shared" si="214"/>
        <v>#VALUE!</v>
      </c>
      <c r="D1493" s="74" t="e">
        <f t="shared" si="215"/>
        <v>#VALUE!</v>
      </c>
      <c r="E1493" s="25" t="e">
        <f t="shared" si="216"/>
        <v>#VALUE!</v>
      </c>
      <c r="F1493" s="25" t="e">
        <f t="shared" ca="1" si="217"/>
        <v>#VALUE!</v>
      </c>
      <c r="G1493" s="25"/>
      <c r="H1493" s="25" t="e">
        <f t="shared" si="212"/>
        <v>#VALUE!</v>
      </c>
      <c r="I1493" s="25">
        <f t="shared" si="218"/>
        <v>978.99999999997749</v>
      </c>
      <c r="J1493" s="25" t="e">
        <f t="shared" si="219"/>
        <v>#VALUE!</v>
      </c>
    </row>
    <row r="1494" spans="1:10" x14ac:dyDescent="0.25">
      <c r="A1494" s="25">
        <f t="shared" si="220"/>
        <v>4.7999999999997733</v>
      </c>
      <c r="B1494" s="25">
        <f t="shared" ca="1" si="213"/>
        <v>-9.6443770482761912E-2</v>
      </c>
      <c r="C1494" s="25" t="e">
        <f t="shared" si="214"/>
        <v>#VALUE!</v>
      </c>
      <c r="D1494" s="74" t="e">
        <f t="shared" si="215"/>
        <v>#VALUE!</v>
      </c>
      <c r="E1494" s="25" t="e">
        <f t="shared" si="216"/>
        <v>#VALUE!</v>
      </c>
      <c r="F1494" s="25" t="e">
        <f t="shared" ca="1" si="217"/>
        <v>#VALUE!</v>
      </c>
      <c r="G1494" s="25"/>
      <c r="H1494" s="25" t="e">
        <f t="shared" si="212"/>
        <v>#VALUE!</v>
      </c>
      <c r="I1494" s="25">
        <f t="shared" si="218"/>
        <v>979.99999999997726</v>
      </c>
      <c r="J1494" s="25" t="e">
        <f t="shared" si="219"/>
        <v>#VALUE!</v>
      </c>
    </row>
    <row r="1495" spans="1:10" x14ac:dyDescent="0.25">
      <c r="A1495" s="25">
        <f t="shared" si="220"/>
        <v>4.8099999999997731</v>
      </c>
      <c r="B1495" s="25">
        <f t="shared" ca="1" si="213"/>
        <v>7.948825450459536E-2</v>
      </c>
      <c r="C1495" s="25" t="e">
        <f t="shared" si="214"/>
        <v>#VALUE!</v>
      </c>
      <c r="D1495" s="74" t="e">
        <f t="shared" si="215"/>
        <v>#VALUE!</v>
      </c>
      <c r="E1495" s="25" t="e">
        <f t="shared" si="216"/>
        <v>#VALUE!</v>
      </c>
      <c r="F1495" s="25" t="e">
        <f t="shared" ca="1" si="217"/>
        <v>#VALUE!</v>
      </c>
      <c r="G1495" s="25"/>
      <c r="H1495" s="25" t="e">
        <f t="shared" si="212"/>
        <v>#VALUE!</v>
      </c>
      <c r="I1495" s="25">
        <f t="shared" si="218"/>
        <v>980.99999999997726</v>
      </c>
      <c r="J1495" s="25" t="e">
        <f t="shared" si="219"/>
        <v>#VALUE!</v>
      </c>
    </row>
    <row r="1496" spans="1:10" x14ac:dyDescent="0.25">
      <c r="A1496" s="25">
        <f t="shared" si="220"/>
        <v>4.8199999999997729</v>
      </c>
      <c r="B1496" s="25">
        <f t="shared" ca="1" si="213"/>
        <v>-1.0672066409863077E-2</v>
      </c>
      <c r="C1496" s="25" t="e">
        <f t="shared" si="214"/>
        <v>#VALUE!</v>
      </c>
      <c r="D1496" s="74" t="e">
        <f t="shared" si="215"/>
        <v>#VALUE!</v>
      </c>
      <c r="E1496" s="25" t="e">
        <f t="shared" si="216"/>
        <v>#VALUE!</v>
      </c>
      <c r="F1496" s="25" t="e">
        <f t="shared" ca="1" si="217"/>
        <v>#VALUE!</v>
      </c>
      <c r="G1496" s="25"/>
      <c r="H1496" s="25" t="e">
        <f t="shared" si="212"/>
        <v>#VALUE!</v>
      </c>
      <c r="I1496" s="25">
        <f t="shared" si="218"/>
        <v>981.99999999997726</v>
      </c>
      <c r="J1496" s="25" t="e">
        <f t="shared" si="219"/>
        <v>#VALUE!</v>
      </c>
    </row>
    <row r="1497" spans="1:10" x14ac:dyDescent="0.25">
      <c r="A1497" s="25">
        <f t="shared" si="220"/>
        <v>4.8299999999997727</v>
      </c>
      <c r="B1497" s="25">
        <f t="shared" ca="1" si="213"/>
        <v>-2.0301988484105703E-2</v>
      </c>
      <c r="C1497" s="25" t="e">
        <f t="shared" si="214"/>
        <v>#VALUE!</v>
      </c>
      <c r="D1497" s="74" t="e">
        <f t="shared" si="215"/>
        <v>#VALUE!</v>
      </c>
      <c r="E1497" s="25" t="e">
        <f t="shared" si="216"/>
        <v>#VALUE!</v>
      </c>
      <c r="F1497" s="25" t="e">
        <f t="shared" ca="1" si="217"/>
        <v>#VALUE!</v>
      </c>
      <c r="G1497" s="25"/>
      <c r="H1497" s="25" t="e">
        <f t="shared" si="212"/>
        <v>#VALUE!</v>
      </c>
      <c r="I1497" s="25">
        <f t="shared" si="218"/>
        <v>982.99999999997726</v>
      </c>
      <c r="J1497" s="25" t="e">
        <f t="shared" si="219"/>
        <v>#VALUE!</v>
      </c>
    </row>
    <row r="1498" spans="1:10" x14ac:dyDescent="0.25">
      <c r="A1498" s="25">
        <f t="shared" si="220"/>
        <v>4.8399999999997725</v>
      </c>
      <c r="B1498" s="25">
        <f t="shared" ca="1" si="213"/>
        <v>-0.12895799526967769</v>
      </c>
      <c r="C1498" s="25" t="e">
        <f t="shared" si="214"/>
        <v>#VALUE!</v>
      </c>
      <c r="D1498" s="74" t="e">
        <f t="shared" si="215"/>
        <v>#VALUE!</v>
      </c>
      <c r="E1498" s="25" t="e">
        <f t="shared" si="216"/>
        <v>#VALUE!</v>
      </c>
      <c r="F1498" s="25" t="e">
        <f t="shared" ca="1" si="217"/>
        <v>#VALUE!</v>
      </c>
      <c r="G1498" s="25"/>
      <c r="H1498" s="25" t="e">
        <f t="shared" si="212"/>
        <v>#VALUE!</v>
      </c>
      <c r="I1498" s="25">
        <f t="shared" si="218"/>
        <v>983.99999999997726</v>
      </c>
      <c r="J1498" s="25" t="e">
        <f t="shared" si="219"/>
        <v>#VALUE!</v>
      </c>
    </row>
    <row r="1499" spans="1:10" x14ac:dyDescent="0.25">
      <c r="A1499" s="25">
        <f t="shared" si="220"/>
        <v>4.8499999999997723</v>
      </c>
      <c r="B1499" s="25">
        <f t="shared" ca="1" si="213"/>
        <v>-0.1655107738516387</v>
      </c>
      <c r="C1499" s="25" t="e">
        <f t="shared" si="214"/>
        <v>#VALUE!</v>
      </c>
      <c r="D1499" s="74" t="e">
        <f t="shared" si="215"/>
        <v>#VALUE!</v>
      </c>
      <c r="E1499" s="25" t="e">
        <f t="shared" si="216"/>
        <v>#VALUE!</v>
      </c>
      <c r="F1499" s="25" t="e">
        <f t="shared" ca="1" si="217"/>
        <v>#VALUE!</v>
      </c>
      <c r="G1499" s="25"/>
      <c r="H1499" s="25" t="e">
        <f t="shared" si="212"/>
        <v>#VALUE!</v>
      </c>
      <c r="I1499" s="25">
        <f t="shared" si="218"/>
        <v>984.99999999997726</v>
      </c>
      <c r="J1499" s="25" t="e">
        <f t="shared" si="219"/>
        <v>#VALUE!</v>
      </c>
    </row>
    <row r="1500" spans="1:10" x14ac:dyDescent="0.25">
      <c r="A1500" s="25">
        <f t="shared" si="220"/>
        <v>4.8599999999997721</v>
      </c>
      <c r="B1500" s="25">
        <f t="shared" ca="1" si="213"/>
        <v>4.4726954712974228E-2</v>
      </c>
      <c r="C1500" s="25" t="e">
        <f t="shared" si="214"/>
        <v>#VALUE!</v>
      </c>
      <c r="D1500" s="74" t="e">
        <f t="shared" si="215"/>
        <v>#VALUE!</v>
      </c>
      <c r="E1500" s="25" t="e">
        <f t="shared" si="216"/>
        <v>#VALUE!</v>
      </c>
      <c r="F1500" s="25" t="e">
        <f t="shared" ca="1" si="217"/>
        <v>#VALUE!</v>
      </c>
      <c r="G1500" s="25"/>
      <c r="H1500" s="25" t="e">
        <f t="shared" si="212"/>
        <v>#VALUE!</v>
      </c>
      <c r="I1500" s="25">
        <f t="shared" si="218"/>
        <v>985.99999999997726</v>
      </c>
      <c r="J1500" s="25" t="e">
        <f t="shared" si="219"/>
        <v>#VALUE!</v>
      </c>
    </row>
    <row r="1501" spans="1:10" x14ac:dyDescent="0.25">
      <c r="A1501" s="25">
        <f t="shared" si="220"/>
        <v>4.8699999999997718</v>
      </c>
      <c r="B1501" s="25">
        <f t="shared" ca="1" si="213"/>
        <v>-0.11818458547598139</v>
      </c>
      <c r="C1501" s="25" t="e">
        <f t="shared" si="214"/>
        <v>#VALUE!</v>
      </c>
      <c r="D1501" s="74" t="e">
        <f t="shared" si="215"/>
        <v>#VALUE!</v>
      </c>
      <c r="E1501" s="25" t="e">
        <f t="shared" si="216"/>
        <v>#VALUE!</v>
      </c>
      <c r="F1501" s="25" t="e">
        <f t="shared" ca="1" si="217"/>
        <v>#VALUE!</v>
      </c>
      <c r="G1501" s="25"/>
      <c r="H1501" s="25" t="e">
        <f t="shared" si="212"/>
        <v>#VALUE!</v>
      </c>
      <c r="I1501" s="25">
        <f t="shared" si="218"/>
        <v>986.99999999997726</v>
      </c>
      <c r="J1501" s="25" t="e">
        <f t="shared" si="219"/>
        <v>#VALUE!</v>
      </c>
    </row>
    <row r="1502" spans="1:10" x14ac:dyDescent="0.25">
      <c r="A1502" s="25">
        <f t="shared" si="220"/>
        <v>4.8799999999997716</v>
      </c>
      <c r="B1502" s="25">
        <f t="shared" ca="1" si="213"/>
        <v>-9.1510548901856545E-2</v>
      </c>
      <c r="C1502" s="25" t="e">
        <f t="shared" si="214"/>
        <v>#VALUE!</v>
      </c>
      <c r="D1502" s="74" t="e">
        <f t="shared" si="215"/>
        <v>#VALUE!</v>
      </c>
      <c r="E1502" s="25" t="e">
        <f t="shared" si="216"/>
        <v>#VALUE!</v>
      </c>
      <c r="F1502" s="25" t="e">
        <f t="shared" ca="1" si="217"/>
        <v>#VALUE!</v>
      </c>
      <c r="G1502" s="25"/>
      <c r="H1502" s="25" t="e">
        <f t="shared" ref="H1502:H1565" si="221">IF(PeakShape=$O$3,C1502,IF(PeakShape=O1504,D1502,E1502))</f>
        <v>#VALUE!</v>
      </c>
      <c r="I1502" s="25">
        <f t="shared" si="218"/>
        <v>987.99999999997704</v>
      </c>
      <c r="J1502" s="25" t="e">
        <f t="shared" si="219"/>
        <v>#VALUE!</v>
      </c>
    </row>
    <row r="1503" spans="1:10" x14ac:dyDescent="0.25">
      <c r="A1503" s="25">
        <f t="shared" si="220"/>
        <v>4.8899999999997714</v>
      </c>
      <c r="B1503" s="25">
        <f t="shared" ca="1" si="213"/>
        <v>7.2734277030002528E-2</v>
      </c>
      <c r="C1503" s="25" t="e">
        <f t="shared" si="214"/>
        <v>#VALUE!</v>
      </c>
      <c r="D1503" s="74" t="e">
        <f t="shared" si="215"/>
        <v>#VALUE!</v>
      </c>
      <c r="E1503" s="25" t="e">
        <f t="shared" si="216"/>
        <v>#VALUE!</v>
      </c>
      <c r="F1503" s="25" t="e">
        <f t="shared" ca="1" si="217"/>
        <v>#VALUE!</v>
      </c>
      <c r="G1503" s="25"/>
      <c r="H1503" s="25" t="e">
        <f t="shared" si="221"/>
        <v>#VALUE!</v>
      </c>
      <c r="I1503" s="25">
        <f t="shared" si="218"/>
        <v>988.99999999997704</v>
      </c>
      <c r="J1503" s="25" t="e">
        <f t="shared" si="219"/>
        <v>#VALUE!</v>
      </c>
    </row>
    <row r="1504" spans="1:10" x14ac:dyDescent="0.25">
      <c r="A1504" s="25">
        <f t="shared" si="220"/>
        <v>4.8999999999997712</v>
      </c>
      <c r="B1504" s="25">
        <f t="shared" ca="1" si="213"/>
        <v>-3.5102059146710503E-2</v>
      </c>
      <c r="C1504" s="25" t="e">
        <f t="shared" si="214"/>
        <v>#VALUE!</v>
      </c>
      <c r="D1504" s="74" t="e">
        <f t="shared" si="215"/>
        <v>#VALUE!</v>
      </c>
      <c r="E1504" s="25" t="e">
        <f t="shared" si="216"/>
        <v>#VALUE!</v>
      </c>
      <c r="F1504" s="25" t="e">
        <f t="shared" ca="1" si="217"/>
        <v>#VALUE!</v>
      </c>
      <c r="G1504" s="25"/>
      <c r="H1504" s="25" t="e">
        <f t="shared" si="221"/>
        <v>#VALUE!</v>
      </c>
      <c r="I1504" s="25">
        <f t="shared" si="218"/>
        <v>989.99999999997704</v>
      </c>
      <c r="J1504" s="25" t="e">
        <f t="shared" si="219"/>
        <v>#VALUE!</v>
      </c>
    </row>
    <row r="1505" spans="1:10" x14ac:dyDescent="0.25">
      <c r="A1505" s="25">
        <f t="shared" si="220"/>
        <v>4.909999999999771</v>
      </c>
      <c r="B1505" s="25">
        <f t="shared" ca="1" si="213"/>
        <v>6.7970211603057787E-2</v>
      </c>
      <c r="C1505" s="25" t="e">
        <f t="shared" si="214"/>
        <v>#VALUE!</v>
      </c>
      <c r="D1505" s="74" t="e">
        <f t="shared" si="215"/>
        <v>#VALUE!</v>
      </c>
      <c r="E1505" s="25" t="e">
        <f t="shared" si="216"/>
        <v>#VALUE!</v>
      </c>
      <c r="F1505" s="25" t="e">
        <f t="shared" ca="1" si="217"/>
        <v>#VALUE!</v>
      </c>
      <c r="G1505" s="25"/>
      <c r="H1505" s="25" t="e">
        <f t="shared" si="221"/>
        <v>#VALUE!</v>
      </c>
      <c r="I1505" s="25">
        <f t="shared" si="218"/>
        <v>990.99999999997704</v>
      </c>
      <c r="J1505" s="25" t="e">
        <f t="shared" si="219"/>
        <v>#VALUE!</v>
      </c>
    </row>
    <row r="1506" spans="1:10" x14ac:dyDescent="0.25">
      <c r="A1506" s="25">
        <f t="shared" si="220"/>
        <v>4.9199999999997708</v>
      </c>
      <c r="B1506" s="25">
        <f t="shared" ca="1" si="213"/>
        <v>0.11754171217007241</v>
      </c>
      <c r="C1506" s="25" t="e">
        <f t="shared" si="214"/>
        <v>#VALUE!</v>
      </c>
      <c r="D1506" s="74" t="e">
        <f t="shared" si="215"/>
        <v>#VALUE!</v>
      </c>
      <c r="E1506" s="25" t="e">
        <f t="shared" si="216"/>
        <v>#VALUE!</v>
      </c>
      <c r="F1506" s="25" t="e">
        <f t="shared" ca="1" si="217"/>
        <v>#VALUE!</v>
      </c>
      <c r="G1506" s="25"/>
      <c r="H1506" s="25" t="e">
        <f t="shared" si="221"/>
        <v>#VALUE!</v>
      </c>
      <c r="I1506" s="25">
        <f t="shared" si="218"/>
        <v>991.99999999997704</v>
      </c>
      <c r="J1506" s="25" t="e">
        <f t="shared" si="219"/>
        <v>#VALUE!</v>
      </c>
    </row>
    <row r="1507" spans="1:10" x14ac:dyDescent="0.25">
      <c r="A1507" s="25">
        <f t="shared" si="220"/>
        <v>4.9299999999997706</v>
      </c>
      <c r="B1507" s="25">
        <f t="shared" ca="1" si="213"/>
        <v>5.6759376608889883E-2</v>
      </c>
      <c r="C1507" s="25" t="e">
        <f t="shared" si="214"/>
        <v>#VALUE!</v>
      </c>
      <c r="D1507" s="74" t="e">
        <f t="shared" si="215"/>
        <v>#VALUE!</v>
      </c>
      <c r="E1507" s="25" t="e">
        <f t="shared" si="216"/>
        <v>#VALUE!</v>
      </c>
      <c r="F1507" s="25" t="e">
        <f t="shared" ca="1" si="217"/>
        <v>#VALUE!</v>
      </c>
      <c r="G1507" s="25"/>
      <c r="H1507" s="25" t="e">
        <f t="shared" si="221"/>
        <v>#VALUE!</v>
      </c>
      <c r="I1507" s="25">
        <f t="shared" si="218"/>
        <v>992.99999999997704</v>
      </c>
      <c r="J1507" s="25" t="e">
        <f t="shared" si="219"/>
        <v>#VALUE!</v>
      </c>
    </row>
    <row r="1508" spans="1:10" x14ac:dyDescent="0.25">
      <c r="A1508" s="25">
        <f t="shared" si="220"/>
        <v>4.9399999999997704</v>
      </c>
      <c r="B1508" s="25">
        <f t="shared" ca="1" si="213"/>
        <v>-0.15817019098996665</v>
      </c>
      <c r="C1508" s="25" t="e">
        <f t="shared" si="214"/>
        <v>#VALUE!</v>
      </c>
      <c r="D1508" s="74" t="e">
        <f t="shared" si="215"/>
        <v>#VALUE!</v>
      </c>
      <c r="E1508" s="25" t="e">
        <f t="shared" si="216"/>
        <v>#VALUE!</v>
      </c>
      <c r="F1508" s="25" t="e">
        <f t="shared" ca="1" si="217"/>
        <v>#VALUE!</v>
      </c>
      <c r="G1508" s="25"/>
      <c r="H1508" s="25" t="e">
        <f t="shared" si="221"/>
        <v>#VALUE!</v>
      </c>
      <c r="I1508" s="25">
        <f t="shared" si="218"/>
        <v>993.99999999997704</v>
      </c>
      <c r="J1508" s="25" t="e">
        <f t="shared" si="219"/>
        <v>#VALUE!</v>
      </c>
    </row>
    <row r="1509" spans="1:10" x14ac:dyDescent="0.25">
      <c r="A1509" s="25">
        <f t="shared" si="220"/>
        <v>4.9499999999997701</v>
      </c>
      <c r="B1509" s="25">
        <f t="shared" ca="1" si="213"/>
        <v>-0.11146704668034209</v>
      </c>
      <c r="C1509" s="25" t="e">
        <f t="shared" si="214"/>
        <v>#VALUE!</v>
      </c>
      <c r="D1509" s="74" t="e">
        <f t="shared" si="215"/>
        <v>#VALUE!</v>
      </c>
      <c r="E1509" s="25" t="e">
        <f t="shared" si="216"/>
        <v>#VALUE!</v>
      </c>
      <c r="F1509" s="25" t="e">
        <f t="shared" ca="1" si="217"/>
        <v>#VALUE!</v>
      </c>
      <c r="G1509" s="25"/>
      <c r="H1509" s="25" t="e">
        <f t="shared" si="221"/>
        <v>#VALUE!</v>
      </c>
      <c r="I1509" s="25">
        <f t="shared" si="218"/>
        <v>994.99999999997704</v>
      </c>
      <c r="J1509" s="25" t="e">
        <f t="shared" si="219"/>
        <v>#VALUE!</v>
      </c>
    </row>
    <row r="1510" spans="1:10" x14ac:dyDescent="0.25">
      <c r="A1510" s="25">
        <f t="shared" si="220"/>
        <v>4.9599999999997699</v>
      </c>
      <c r="B1510" s="25">
        <f t="shared" ca="1" si="213"/>
        <v>-0.18005474221245868</v>
      </c>
      <c r="C1510" s="25" t="e">
        <f t="shared" si="214"/>
        <v>#VALUE!</v>
      </c>
      <c r="D1510" s="74" t="e">
        <f t="shared" si="215"/>
        <v>#VALUE!</v>
      </c>
      <c r="E1510" s="25" t="e">
        <f t="shared" si="216"/>
        <v>#VALUE!</v>
      </c>
      <c r="F1510" s="25" t="e">
        <f t="shared" ca="1" si="217"/>
        <v>#VALUE!</v>
      </c>
      <c r="G1510" s="25"/>
      <c r="H1510" s="25" t="e">
        <f t="shared" si="221"/>
        <v>#VALUE!</v>
      </c>
      <c r="I1510" s="25">
        <f t="shared" si="218"/>
        <v>995.99999999997704</v>
      </c>
      <c r="J1510" s="25" t="e">
        <f t="shared" si="219"/>
        <v>#VALUE!</v>
      </c>
    </row>
    <row r="1511" spans="1:10" x14ac:dyDescent="0.25">
      <c r="A1511" s="25">
        <f t="shared" si="220"/>
        <v>4.9699999999997697</v>
      </c>
      <c r="B1511" s="25">
        <f t="shared" ca="1" si="213"/>
        <v>-0.14926201679063469</v>
      </c>
      <c r="C1511" s="25" t="e">
        <f t="shared" si="214"/>
        <v>#VALUE!</v>
      </c>
      <c r="D1511" s="74" t="e">
        <f t="shared" si="215"/>
        <v>#VALUE!</v>
      </c>
      <c r="E1511" s="25" t="e">
        <f t="shared" si="216"/>
        <v>#VALUE!</v>
      </c>
      <c r="F1511" s="25" t="e">
        <f t="shared" ca="1" si="217"/>
        <v>#VALUE!</v>
      </c>
      <c r="G1511" s="25"/>
      <c r="H1511" s="25" t="e">
        <f t="shared" si="221"/>
        <v>#VALUE!</v>
      </c>
      <c r="I1511" s="25">
        <f t="shared" si="218"/>
        <v>996.99999999997692</v>
      </c>
      <c r="J1511" s="25" t="e">
        <f t="shared" si="219"/>
        <v>#VALUE!</v>
      </c>
    </row>
    <row r="1512" spans="1:10" x14ac:dyDescent="0.25">
      <c r="A1512" s="25">
        <f t="shared" si="220"/>
        <v>4.9799999999997695</v>
      </c>
      <c r="B1512" s="25">
        <f t="shared" ca="1" si="213"/>
        <v>-4.3059190752440808E-2</v>
      </c>
      <c r="C1512" s="25" t="e">
        <f t="shared" si="214"/>
        <v>#VALUE!</v>
      </c>
      <c r="D1512" s="74" t="e">
        <f t="shared" si="215"/>
        <v>#VALUE!</v>
      </c>
      <c r="E1512" s="25" t="e">
        <f t="shared" si="216"/>
        <v>#VALUE!</v>
      </c>
      <c r="F1512" s="25" t="e">
        <f t="shared" ca="1" si="217"/>
        <v>#VALUE!</v>
      </c>
      <c r="G1512" s="25"/>
      <c r="H1512" s="25" t="e">
        <f t="shared" si="221"/>
        <v>#VALUE!</v>
      </c>
      <c r="I1512" s="25">
        <f t="shared" si="218"/>
        <v>997.99999999997692</v>
      </c>
      <c r="J1512" s="25" t="e">
        <f t="shared" si="219"/>
        <v>#VALUE!</v>
      </c>
    </row>
    <row r="1513" spans="1:10" x14ac:dyDescent="0.25">
      <c r="A1513" s="25">
        <f t="shared" si="220"/>
        <v>4.9899999999997693</v>
      </c>
      <c r="B1513" s="25">
        <f t="shared" ca="1" si="213"/>
        <v>-0.1141377332985728</v>
      </c>
      <c r="C1513" s="25" t="e">
        <f t="shared" si="214"/>
        <v>#VALUE!</v>
      </c>
      <c r="D1513" s="74" t="e">
        <f t="shared" si="215"/>
        <v>#VALUE!</v>
      </c>
      <c r="E1513" s="25" t="e">
        <f t="shared" si="216"/>
        <v>#VALUE!</v>
      </c>
      <c r="F1513" s="25" t="e">
        <f t="shared" ca="1" si="217"/>
        <v>#VALUE!</v>
      </c>
      <c r="G1513" s="25"/>
      <c r="H1513" s="25" t="e">
        <f t="shared" si="221"/>
        <v>#VALUE!</v>
      </c>
      <c r="I1513" s="25">
        <f t="shared" si="218"/>
        <v>998.99999999997692</v>
      </c>
      <c r="J1513" s="25" t="e">
        <f t="shared" si="219"/>
        <v>#VALUE!</v>
      </c>
    </row>
    <row r="1514" spans="1:10" x14ac:dyDescent="0.25">
      <c r="A1514" s="25">
        <f t="shared" si="220"/>
        <v>4.9999999999997691</v>
      </c>
      <c r="B1514" s="25">
        <f t="shared" ca="1" si="213"/>
        <v>-0.15119484161639773</v>
      </c>
      <c r="C1514" s="25" t="e">
        <f t="shared" si="214"/>
        <v>#VALUE!</v>
      </c>
      <c r="D1514" s="74" t="e">
        <f t="shared" si="215"/>
        <v>#VALUE!</v>
      </c>
      <c r="E1514" s="25" t="e">
        <f t="shared" si="216"/>
        <v>#VALUE!</v>
      </c>
      <c r="F1514" s="25" t="e">
        <f t="shared" ca="1" si="217"/>
        <v>#VALUE!</v>
      </c>
      <c r="G1514" s="25"/>
      <c r="H1514" s="25" t="e">
        <f t="shared" si="221"/>
        <v>#VALUE!</v>
      </c>
      <c r="I1514" s="25">
        <f t="shared" si="218"/>
        <v>999.99999999997692</v>
      </c>
      <c r="J1514" s="25" t="e">
        <f t="shared" si="219"/>
        <v>#VALUE!</v>
      </c>
    </row>
    <row r="1515" spans="1:10" x14ac:dyDescent="0.25">
      <c r="A1515" s="25">
        <f t="shared" si="220"/>
        <v>5.0099999999997689</v>
      </c>
      <c r="B1515" s="25">
        <f t="shared" ca="1" si="213"/>
        <v>4.8091939959185953E-2</v>
      </c>
      <c r="C1515" s="25" t="e">
        <f t="shared" si="214"/>
        <v>#VALUE!</v>
      </c>
      <c r="D1515" s="74" t="e">
        <f t="shared" si="215"/>
        <v>#VALUE!</v>
      </c>
      <c r="E1515" s="25" t="e">
        <f t="shared" si="216"/>
        <v>#VALUE!</v>
      </c>
      <c r="F1515" s="25" t="e">
        <f t="shared" ca="1" si="217"/>
        <v>#VALUE!</v>
      </c>
      <c r="G1515" s="25"/>
      <c r="H1515" s="25" t="e">
        <f t="shared" si="221"/>
        <v>#VALUE!</v>
      </c>
      <c r="I1515" s="25">
        <f t="shared" si="218"/>
        <v>1000.9999999999769</v>
      </c>
      <c r="J1515" s="25" t="e">
        <f t="shared" si="219"/>
        <v>#VALUE!</v>
      </c>
    </row>
    <row r="1516" spans="1:10" x14ac:dyDescent="0.25">
      <c r="A1516" s="25">
        <f t="shared" si="220"/>
        <v>5.0199999999997686</v>
      </c>
      <c r="B1516" s="25">
        <f t="shared" ca="1" si="213"/>
        <v>6.3878902013088573E-2</v>
      </c>
      <c r="C1516" s="25" t="e">
        <f t="shared" si="214"/>
        <v>#VALUE!</v>
      </c>
      <c r="D1516" s="74" t="e">
        <f t="shared" si="215"/>
        <v>#VALUE!</v>
      </c>
      <c r="E1516" s="25" t="e">
        <f t="shared" si="216"/>
        <v>#VALUE!</v>
      </c>
      <c r="F1516" s="25" t="e">
        <f t="shared" ca="1" si="217"/>
        <v>#VALUE!</v>
      </c>
      <c r="G1516" s="25"/>
      <c r="H1516" s="25" t="e">
        <f t="shared" si="221"/>
        <v>#VALUE!</v>
      </c>
      <c r="I1516" s="25">
        <f t="shared" si="218"/>
        <v>1001.9999999999769</v>
      </c>
      <c r="J1516" s="25" t="e">
        <f t="shared" si="219"/>
        <v>#VALUE!</v>
      </c>
    </row>
    <row r="1517" spans="1:10" x14ac:dyDescent="0.25">
      <c r="A1517" s="25">
        <f t="shared" si="220"/>
        <v>5.0299999999997684</v>
      </c>
      <c r="B1517" s="25">
        <f t="shared" ca="1" si="213"/>
        <v>0.1321577916834685</v>
      </c>
      <c r="C1517" s="25" t="e">
        <f t="shared" si="214"/>
        <v>#VALUE!</v>
      </c>
      <c r="D1517" s="74" t="e">
        <f t="shared" si="215"/>
        <v>#VALUE!</v>
      </c>
      <c r="E1517" s="25" t="e">
        <f t="shared" si="216"/>
        <v>#VALUE!</v>
      </c>
      <c r="F1517" s="25" t="e">
        <f t="shared" ca="1" si="217"/>
        <v>#VALUE!</v>
      </c>
      <c r="G1517" s="25"/>
      <c r="H1517" s="25" t="e">
        <f t="shared" si="221"/>
        <v>#VALUE!</v>
      </c>
      <c r="I1517" s="25">
        <f t="shared" si="218"/>
        <v>1002.9999999999769</v>
      </c>
      <c r="J1517" s="25" t="e">
        <f t="shared" si="219"/>
        <v>#VALUE!</v>
      </c>
    </row>
    <row r="1518" spans="1:10" x14ac:dyDescent="0.25">
      <c r="A1518" s="25">
        <f t="shared" si="220"/>
        <v>5.0399999999997682</v>
      </c>
      <c r="B1518" s="25">
        <f t="shared" ca="1" si="213"/>
        <v>8.3933794305159973E-2</v>
      </c>
      <c r="C1518" s="25" t="e">
        <f t="shared" si="214"/>
        <v>#VALUE!</v>
      </c>
      <c r="D1518" s="74" t="e">
        <f t="shared" si="215"/>
        <v>#VALUE!</v>
      </c>
      <c r="E1518" s="25" t="e">
        <f t="shared" si="216"/>
        <v>#VALUE!</v>
      </c>
      <c r="F1518" s="25" t="e">
        <f t="shared" ca="1" si="217"/>
        <v>#VALUE!</v>
      </c>
      <c r="G1518" s="25"/>
      <c r="H1518" s="25" t="e">
        <f t="shared" si="221"/>
        <v>#VALUE!</v>
      </c>
      <c r="I1518" s="25">
        <f t="shared" si="218"/>
        <v>1003.9999999999769</v>
      </c>
      <c r="J1518" s="25" t="e">
        <f t="shared" si="219"/>
        <v>#VALUE!</v>
      </c>
    </row>
    <row r="1519" spans="1:10" x14ac:dyDescent="0.25">
      <c r="A1519" s="25">
        <f t="shared" si="220"/>
        <v>5.049999999999768</v>
      </c>
      <c r="B1519" s="25">
        <f t="shared" ca="1" si="213"/>
        <v>-0.18298250795342827</v>
      </c>
      <c r="C1519" s="25" t="e">
        <f t="shared" si="214"/>
        <v>#VALUE!</v>
      </c>
      <c r="D1519" s="74" t="e">
        <f t="shared" si="215"/>
        <v>#VALUE!</v>
      </c>
      <c r="E1519" s="25" t="e">
        <f t="shared" si="216"/>
        <v>#VALUE!</v>
      </c>
      <c r="F1519" s="25" t="e">
        <f t="shared" ca="1" si="217"/>
        <v>#VALUE!</v>
      </c>
      <c r="G1519" s="25"/>
      <c r="H1519" s="25" t="e">
        <f t="shared" si="221"/>
        <v>#VALUE!</v>
      </c>
      <c r="I1519" s="25">
        <f t="shared" si="218"/>
        <v>1004.9999999999767</v>
      </c>
      <c r="J1519" s="25" t="e">
        <f t="shared" si="219"/>
        <v>#VALUE!</v>
      </c>
    </row>
    <row r="1520" spans="1:10" x14ac:dyDescent="0.25">
      <c r="A1520" s="25">
        <f t="shared" si="220"/>
        <v>5.0599999999997678</v>
      </c>
      <c r="B1520" s="25">
        <f t="shared" ca="1" si="213"/>
        <v>-8.2014425202895272E-2</v>
      </c>
      <c r="C1520" s="25" t="e">
        <f t="shared" si="214"/>
        <v>#VALUE!</v>
      </c>
      <c r="D1520" s="74" t="e">
        <f t="shared" si="215"/>
        <v>#VALUE!</v>
      </c>
      <c r="E1520" s="25" t="e">
        <f t="shared" si="216"/>
        <v>#VALUE!</v>
      </c>
      <c r="F1520" s="25" t="e">
        <f t="shared" ca="1" si="217"/>
        <v>#VALUE!</v>
      </c>
      <c r="G1520" s="25"/>
      <c r="H1520" s="25" t="e">
        <f t="shared" si="221"/>
        <v>#VALUE!</v>
      </c>
      <c r="I1520" s="25">
        <f t="shared" si="218"/>
        <v>1005.9999999999767</v>
      </c>
      <c r="J1520" s="25" t="e">
        <f t="shared" si="219"/>
        <v>#VALUE!</v>
      </c>
    </row>
    <row r="1521" spans="1:10" x14ac:dyDescent="0.25">
      <c r="A1521" s="25">
        <f t="shared" si="220"/>
        <v>5.0699999999997676</v>
      </c>
      <c r="B1521" s="25">
        <f t="shared" ca="1" si="213"/>
        <v>-4.9715968567371566E-2</v>
      </c>
      <c r="C1521" s="25" t="e">
        <f t="shared" si="214"/>
        <v>#VALUE!</v>
      </c>
      <c r="D1521" s="74" t="e">
        <f t="shared" si="215"/>
        <v>#VALUE!</v>
      </c>
      <c r="E1521" s="25" t="e">
        <f t="shared" si="216"/>
        <v>#VALUE!</v>
      </c>
      <c r="F1521" s="25" t="e">
        <f t="shared" ca="1" si="217"/>
        <v>#VALUE!</v>
      </c>
      <c r="G1521" s="25"/>
      <c r="H1521" s="25" t="e">
        <f t="shared" si="221"/>
        <v>#VALUE!</v>
      </c>
      <c r="I1521" s="25">
        <f t="shared" si="218"/>
        <v>1006.9999999999767</v>
      </c>
      <c r="J1521" s="25" t="e">
        <f t="shared" si="219"/>
        <v>#VALUE!</v>
      </c>
    </row>
    <row r="1522" spans="1:10" x14ac:dyDescent="0.25">
      <c r="A1522" s="25">
        <f t="shared" si="220"/>
        <v>5.0799999999997674</v>
      </c>
      <c r="B1522" s="25">
        <f t="shared" ca="1" si="213"/>
        <v>-9.1610964125047656E-2</v>
      </c>
      <c r="C1522" s="25" t="e">
        <f t="shared" si="214"/>
        <v>#VALUE!</v>
      </c>
      <c r="D1522" s="74" t="e">
        <f t="shared" si="215"/>
        <v>#VALUE!</v>
      </c>
      <c r="E1522" s="25" t="e">
        <f t="shared" si="216"/>
        <v>#VALUE!</v>
      </c>
      <c r="F1522" s="25" t="e">
        <f t="shared" ca="1" si="217"/>
        <v>#VALUE!</v>
      </c>
      <c r="G1522" s="25"/>
      <c r="H1522" s="25" t="e">
        <f t="shared" si="221"/>
        <v>#VALUE!</v>
      </c>
      <c r="I1522" s="25">
        <f t="shared" si="218"/>
        <v>1007.9999999999767</v>
      </c>
      <c r="J1522" s="25" t="e">
        <f t="shared" si="219"/>
        <v>#VALUE!</v>
      </c>
    </row>
    <row r="1523" spans="1:10" x14ac:dyDescent="0.25">
      <c r="A1523" s="25">
        <f t="shared" si="220"/>
        <v>5.0899999999997672</v>
      </c>
      <c r="B1523" s="25">
        <f t="shared" ca="1" si="213"/>
        <v>-7.787308002139863E-2</v>
      </c>
      <c r="C1523" s="25" t="e">
        <f t="shared" si="214"/>
        <v>#VALUE!</v>
      </c>
      <c r="D1523" s="74" t="e">
        <f t="shared" si="215"/>
        <v>#VALUE!</v>
      </c>
      <c r="E1523" s="25" t="e">
        <f t="shared" si="216"/>
        <v>#VALUE!</v>
      </c>
      <c r="F1523" s="25" t="e">
        <f t="shared" ca="1" si="217"/>
        <v>#VALUE!</v>
      </c>
      <c r="G1523" s="25"/>
      <c r="H1523" s="25" t="e">
        <f t="shared" si="221"/>
        <v>#VALUE!</v>
      </c>
      <c r="I1523" s="25">
        <f t="shared" si="218"/>
        <v>1008.9999999999767</v>
      </c>
      <c r="J1523" s="25" t="e">
        <f t="shared" si="219"/>
        <v>#VALUE!</v>
      </c>
    </row>
    <row r="1524" spans="1:10" x14ac:dyDescent="0.25">
      <c r="A1524" s="25">
        <f t="shared" si="220"/>
        <v>5.0999999999997669</v>
      </c>
      <c r="B1524" s="25">
        <f t="shared" ca="1" si="213"/>
        <v>-8.0830496017921818E-2</v>
      </c>
      <c r="C1524" s="25" t="e">
        <f t="shared" si="214"/>
        <v>#VALUE!</v>
      </c>
      <c r="D1524" s="74" t="e">
        <f t="shared" si="215"/>
        <v>#VALUE!</v>
      </c>
      <c r="E1524" s="25" t="e">
        <f t="shared" si="216"/>
        <v>#VALUE!</v>
      </c>
      <c r="F1524" s="25" t="e">
        <f t="shared" ca="1" si="217"/>
        <v>#VALUE!</v>
      </c>
      <c r="G1524" s="25"/>
      <c r="H1524" s="25" t="e">
        <f t="shared" si="221"/>
        <v>#VALUE!</v>
      </c>
      <c r="I1524" s="25">
        <f t="shared" si="218"/>
        <v>1009.9999999999767</v>
      </c>
      <c r="J1524" s="25" t="e">
        <f t="shared" si="219"/>
        <v>#VALUE!</v>
      </c>
    </row>
    <row r="1525" spans="1:10" x14ac:dyDescent="0.25">
      <c r="A1525" s="25">
        <f t="shared" si="220"/>
        <v>5.1099999999997667</v>
      </c>
      <c r="B1525" s="25">
        <f t="shared" ca="1" si="213"/>
        <v>-4.4796796830386627E-2</v>
      </c>
      <c r="C1525" s="25" t="e">
        <f t="shared" si="214"/>
        <v>#VALUE!</v>
      </c>
      <c r="D1525" s="74" t="e">
        <f t="shared" si="215"/>
        <v>#VALUE!</v>
      </c>
      <c r="E1525" s="25" t="e">
        <f t="shared" si="216"/>
        <v>#VALUE!</v>
      </c>
      <c r="F1525" s="25" t="e">
        <f t="shared" ca="1" si="217"/>
        <v>#VALUE!</v>
      </c>
      <c r="G1525" s="25"/>
      <c r="H1525" s="25" t="e">
        <f t="shared" si="221"/>
        <v>#VALUE!</v>
      </c>
      <c r="I1525" s="25">
        <f t="shared" si="218"/>
        <v>1010.9999999999767</v>
      </c>
      <c r="J1525" s="25" t="e">
        <f t="shared" si="219"/>
        <v>#VALUE!</v>
      </c>
    </row>
    <row r="1526" spans="1:10" x14ac:dyDescent="0.25">
      <c r="A1526" s="25">
        <f t="shared" si="220"/>
        <v>5.1199999999997665</v>
      </c>
      <c r="B1526" s="25">
        <f t="shared" ca="1" si="213"/>
        <v>-0.13590748550277956</v>
      </c>
      <c r="C1526" s="25" t="e">
        <f t="shared" si="214"/>
        <v>#VALUE!</v>
      </c>
      <c r="D1526" s="74" t="e">
        <f t="shared" si="215"/>
        <v>#VALUE!</v>
      </c>
      <c r="E1526" s="25" t="e">
        <f t="shared" si="216"/>
        <v>#VALUE!</v>
      </c>
      <c r="F1526" s="25" t="e">
        <f t="shared" ca="1" si="217"/>
        <v>#VALUE!</v>
      </c>
      <c r="G1526" s="25"/>
      <c r="H1526" s="25" t="e">
        <f t="shared" si="221"/>
        <v>#VALUE!</v>
      </c>
      <c r="I1526" s="25">
        <f t="shared" si="218"/>
        <v>1011.9999999999767</v>
      </c>
      <c r="J1526" s="25" t="e">
        <f t="shared" si="219"/>
        <v>#VALUE!</v>
      </c>
    </row>
    <row r="1527" spans="1:10" x14ac:dyDescent="0.25">
      <c r="A1527" s="25">
        <f t="shared" si="220"/>
        <v>5.1299999999997663</v>
      </c>
      <c r="B1527" s="25">
        <f t="shared" ca="1" si="213"/>
        <v>-9.2698035760688691E-2</v>
      </c>
      <c r="C1527" s="25" t="e">
        <f t="shared" si="214"/>
        <v>#VALUE!</v>
      </c>
      <c r="D1527" s="74" t="e">
        <f t="shared" si="215"/>
        <v>#VALUE!</v>
      </c>
      <c r="E1527" s="25" t="e">
        <f t="shared" si="216"/>
        <v>#VALUE!</v>
      </c>
      <c r="F1527" s="25" t="e">
        <f t="shared" ca="1" si="217"/>
        <v>#VALUE!</v>
      </c>
      <c r="G1527" s="25"/>
      <c r="H1527" s="25" t="e">
        <f t="shared" si="221"/>
        <v>#VALUE!</v>
      </c>
      <c r="I1527" s="25">
        <f t="shared" si="218"/>
        <v>1012.9999999999767</v>
      </c>
      <c r="J1527" s="25" t="e">
        <f t="shared" si="219"/>
        <v>#VALUE!</v>
      </c>
    </row>
    <row r="1528" spans="1:10" x14ac:dyDescent="0.25">
      <c r="A1528" s="25">
        <f t="shared" si="220"/>
        <v>5.1399999999997661</v>
      </c>
      <c r="B1528" s="25">
        <f t="shared" ca="1" si="213"/>
        <v>-4.5580916314769356E-2</v>
      </c>
      <c r="C1528" s="25" t="e">
        <f t="shared" si="214"/>
        <v>#VALUE!</v>
      </c>
      <c r="D1528" s="74" t="e">
        <f t="shared" si="215"/>
        <v>#VALUE!</v>
      </c>
      <c r="E1528" s="25" t="e">
        <f t="shared" si="216"/>
        <v>#VALUE!</v>
      </c>
      <c r="F1528" s="25" t="e">
        <f t="shared" ca="1" si="217"/>
        <v>#VALUE!</v>
      </c>
      <c r="G1528" s="25"/>
      <c r="H1528" s="25" t="e">
        <f t="shared" si="221"/>
        <v>#VALUE!</v>
      </c>
      <c r="I1528" s="25">
        <f t="shared" si="218"/>
        <v>1013.9999999999766</v>
      </c>
      <c r="J1528" s="25" t="e">
        <f t="shared" si="219"/>
        <v>#VALUE!</v>
      </c>
    </row>
    <row r="1529" spans="1:10" x14ac:dyDescent="0.25">
      <c r="A1529" s="25">
        <f t="shared" si="220"/>
        <v>5.1499999999997659</v>
      </c>
      <c r="B1529" s="25">
        <f t="shared" ca="1" si="213"/>
        <v>5.7602045719699096E-2</v>
      </c>
      <c r="C1529" s="25" t="e">
        <f t="shared" si="214"/>
        <v>#VALUE!</v>
      </c>
      <c r="D1529" s="74" t="e">
        <f t="shared" si="215"/>
        <v>#VALUE!</v>
      </c>
      <c r="E1529" s="25" t="e">
        <f t="shared" si="216"/>
        <v>#VALUE!</v>
      </c>
      <c r="F1529" s="25" t="e">
        <f t="shared" ca="1" si="217"/>
        <v>#VALUE!</v>
      </c>
      <c r="G1529" s="25"/>
      <c r="H1529" s="25" t="e">
        <f t="shared" si="221"/>
        <v>#VALUE!</v>
      </c>
      <c r="I1529" s="25">
        <f t="shared" si="218"/>
        <v>1014.9999999999766</v>
      </c>
      <c r="J1529" s="25" t="e">
        <f t="shared" si="219"/>
        <v>#VALUE!</v>
      </c>
    </row>
    <row r="1530" spans="1:10" x14ac:dyDescent="0.25">
      <c r="A1530" s="25">
        <f t="shared" si="220"/>
        <v>5.1599999999997657</v>
      </c>
      <c r="B1530" s="25">
        <f t="shared" ca="1" si="213"/>
        <v>-9.4668503106669341E-2</v>
      </c>
      <c r="C1530" s="25" t="e">
        <f t="shared" si="214"/>
        <v>#VALUE!</v>
      </c>
      <c r="D1530" s="74" t="e">
        <f t="shared" si="215"/>
        <v>#VALUE!</v>
      </c>
      <c r="E1530" s="25" t="e">
        <f t="shared" si="216"/>
        <v>#VALUE!</v>
      </c>
      <c r="F1530" s="25" t="e">
        <f t="shared" ca="1" si="217"/>
        <v>#VALUE!</v>
      </c>
      <c r="G1530" s="25"/>
      <c r="H1530" s="25" t="e">
        <f t="shared" si="221"/>
        <v>#VALUE!</v>
      </c>
      <c r="I1530" s="25">
        <f t="shared" si="218"/>
        <v>1015.9999999999766</v>
      </c>
      <c r="J1530" s="25" t="e">
        <f t="shared" si="219"/>
        <v>#VALUE!</v>
      </c>
    </row>
    <row r="1531" spans="1:10" x14ac:dyDescent="0.25">
      <c r="A1531" s="25">
        <f t="shared" si="220"/>
        <v>5.1699999999997654</v>
      </c>
      <c r="B1531" s="25">
        <f t="shared" ca="1" si="213"/>
        <v>-3.0815662332257864E-2</v>
      </c>
      <c r="C1531" s="25" t="e">
        <f t="shared" si="214"/>
        <v>#VALUE!</v>
      </c>
      <c r="D1531" s="74" t="e">
        <f t="shared" si="215"/>
        <v>#VALUE!</v>
      </c>
      <c r="E1531" s="25" t="e">
        <f t="shared" si="216"/>
        <v>#VALUE!</v>
      </c>
      <c r="F1531" s="25" t="e">
        <f t="shared" ca="1" si="217"/>
        <v>#VALUE!</v>
      </c>
      <c r="G1531" s="25"/>
      <c r="H1531" s="25" t="e">
        <f t="shared" si="221"/>
        <v>#VALUE!</v>
      </c>
      <c r="I1531" s="25">
        <f t="shared" si="218"/>
        <v>1016.9999999999766</v>
      </c>
      <c r="J1531" s="25" t="e">
        <f t="shared" si="219"/>
        <v>#VALUE!</v>
      </c>
    </row>
    <row r="1532" spans="1:10" x14ac:dyDescent="0.25">
      <c r="A1532" s="25">
        <f t="shared" si="220"/>
        <v>5.1799999999997652</v>
      </c>
      <c r="B1532" s="25">
        <f t="shared" ca="1" si="213"/>
        <v>-0.16109582840752332</v>
      </c>
      <c r="C1532" s="25" t="e">
        <f t="shared" si="214"/>
        <v>#VALUE!</v>
      </c>
      <c r="D1532" s="74" t="e">
        <f t="shared" si="215"/>
        <v>#VALUE!</v>
      </c>
      <c r="E1532" s="25" t="e">
        <f t="shared" si="216"/>
        <v>#VALUE!</v>
      </c>
      <c r="F1532" s="25" t="e">
        <f t="shared" ca="1" si="217"/>
        <v>#VALUE!</v>
      </c>
      <c r="G1532" s="25"/>
      <c r="H1532" s="25" t="e">
        <f t="shared" si="221"/>
        <v>#VALUE!</v>
      </c>
      <c r="I1532" s="25">
        <f t="shared" si="218"/>
        <v>1017.9999999999766</v>
      </c>
      <c r="J1532" s="25" t="e">
        <f t="shared" si="219"/>
        <v>#VALUE!</v>
      </c>
    </row>
    <row r="1533" spans="1:10" x14ac:dyDescent="0.25">
      <c r="A1533" s="25">
        <f t="shared" si="220"/>
        <v>5.189999999999765</v>
      </c>
      <c r="B1533" s="25">
        <f t="shared" ca="1" si="213"/>
        <v>-0.17331918681097216</v>
      </c>
      <c r="C1533" s="25" t="e">
        <f t="shared" si="214"/>
        <v>#VALUE!</v>
      </c>
      <c r="D1533" s="74" t="e">
        <f t="shared" si="215"/>
        <v>#VALUE!</v>
      </c>
      <c r="E1533" s="25" t="e">
        <f t="shared" si="216"/>
        <v>#VALUE!</v>
      </c>
      <c r="F1533" s="25" t="e">
        <f t="shared" ca="1" si="217"/>
        <v>#VALUE!</v>
      </c>
      <c r="G1533" s="25"/>
      <c r="H1533" s="25" t="e">
        <f t="shared" si="221"/>
        <v>#VALUE!</v>
      </c>
      <c r="I1533" s="25">
        <f t="shared" si="218"/>
        <v>1018.9999999999766</v>
      </c>
      <c r="J1533" s="25" t="e">
        <f t="shared" si="219"/>
        <v>#VALUE!</v>
      </c>
    </row>
    <row r="1534" spans="1:10" x14ac:dyDescent="0.25">
      <c r="A1534" s="25">
        <f t="shared" si="220"/>
        <v>5.1999999999997648</v>
      </c>
      <c r="B1534" s="25">
        <f t="shared" ca="1" si="213"/>
        <v>-5.4869705491783022E-2</v>
      </c>
      <c r="C1534" s="25" t="e">
        <f t="shared" si="214"/>
        <v>#VALUE!</v>
      </c>
      <c r="D1534" s="74" t="e">
        <f t="shared" si="215"/>
        <v>#VALUE!</v>
      </c>
      <c r="E1534" s="25" t="e">
        <f t="shared" si="216"/>
        <v>#VALUE!</v>
      </c>
      <c r="F1534" s="25" t="e">
        <f t="shared" ca="1" si="217"/>
        <v>#VALUE!</v>
      </c>
      <c r="G1534" s="25"/>
      <c r="H1534" s="25" t="e">
        <f t="shared" si="221"/>
        <v>#VALUE!</v>
      </c>
      <c r="I1534" s="25">
        <f t="shared" si="218"/>
        <v>1019.9999999999766</v>
      </c>
      <c r="J1534" s="25" t="e">
        <f t="shared" si="219"/>
        <v>#VALUE!</v>
      </c>
    </row>
    <row r="1535" spans="1:10" x14ac:dyDescent="0.25">
      <c r="A1535" s="25">
        <f t="shared" si="220"/>
        <v>5.2099999999997646</v>
      </c>
      <c r="B1535" s="25">
        <f t="shared" ca="1" si="213"/>
        <v>-8.7634695641058677E-2</v>
      </c>
      <c r="C1535" s="25" t="e">
        <f t="shared" si="214"/>
        <v>#VALUE!</v>
      </c>
      <c r="D1535" s="74" t="e">
        <f t="shared" si="215"/>
        <v>#VALUE!</v>
      </c>
      <c r="E1535" s="25" t="e">
        <f t="shared" si="216"/>
        <v>#VALUE!</v>
      </c>
      <c r="F1535" s="25" t="e">
        <f t="shared" ca="1" si="217"/>
        <v>#VALUE!</v>
      </c>
      <c r="G1535" s="25"/>
      <c r="H1535" s="25" t="e">
        <f t="shared" si="221"/>
        <v>#VALUE!</v>
      </c>
      <c r="I1535" s="25">
        <f t="shared" si="218"/>
        <v>1020.9999999999766</v>
      </c>
      <c r="J1535" s="25" t="e">
        <f t="shared" si="219"/>
        <v>#VALUE!</v>
      </c>
    </row>
    <row r="1536" spans="1:10" x14ac:dyDescent="0.25">
      <c r="A1536" s="25">
        <f t="shared" si="220"/>
        <v>5.2199999999997644</v>
      </c>
      <c r="B1536" s="25">
        <f t="shared" ca="1" si="213"/>
        <v>0.10562010074641581</v>
      </c>
      <c r="C1536" s="25" t="e">
        <f t="shared" si="214"/>
        <v>#VALUE!</v>
      </c>
      <c r="D1536" s="74" t="e">
        <f t="shared" si="215"/>
        <v>#VALUE!</v>
      </c>
      <c r="E1536" s="25" t="e">
        <f t="shared" si="216"/>
        <v>#VALUE!</v>
      </c>
      <c r="F1536" s="25" t="e">
        <f t="shared" ca="1" si="217"/>
        <v>#VALUE!</v>
      </c>
      <c r="G1536" s="25"/>
      <c r="H1536" s="25" t="e">
        <f t="shared" si="221"/>
        <v>#VALUE!</v>
      </c>
      <c r="I1536" s="25">
        <f t="shared" si="218"/>
        <v>1021.9999999999764</v>
      </c>
      <c r="J1536" s="25" t="e">
        <f t="shared" si="219"/>
        <v>#VALUE!</v>
      </c>
    </row>
    <row r="1537" spans="1:10" x14ac:dyDescent="0.25">
      <c r="A1537" s="25">
        <f t="shared" si="220"/>
        <v>5.2299999999997642</v>
      </c>
      <c r="B1537" s="25">
        <f t="shared" ca="1" si="213"/>
        <v>-4.0200241030427047E-2</v>
      </c>
      <c r="C1537" s="25" t="e">
        <f t="shared" si="214"/>
        <v>#VALUE!</v>
      </c>
      <c r="D1537" s="74" t="e">
        <f t="shared" si="215"/>
        <v>#VALUE!</v>
      </c>
      <c r="E1537" s="25" t="e">
        <f t="shared" si="216"/>
        <v>#VALUE!</v>
      </c>
      <c r="F1537" s="25" t="e">
        <f t="shared" ca="1" si="217"/>
        <v>#VALUE!</v>
      </c>
      <c r="G1537" s="25"/>
      <c r="H1537" s="25" t="e">
        <f t="shared" si="221"/>
        <v>#VALUE!</v>
      </c>
      <c r="I1537" s="25">
        <f t="shared" si="218"/>
        <v>1022.9999999999764</v>
      </c>
      <c r="J1537" s="25" t="e">
        <f t="shared" si="219"/>
        <v>#VALUE!</v>
      </c>
    </row>
    <row r="1538" spans="1:10" x14ac:dyDescent="0.25">
      <c r="A1538" s="25">
        <f t="shared" si="220"/>
        <v>5.239999999999764</v>
      </c>
      <c r="B1538" s="25">
        <f t="shared" ca="1" si="213"/>
        <v>-0.13255610000757023</v>
      </c>
      <c r="C1538" s="25" t="e">
        <f t="shared" si="214"/>
        <v>#VALUE!</v>
      </c>
      <c r="D1538" s="74" t="e">
        <f t="shared" si="215"/>
        <v>#VALUE!</v>
      </c>
      <c r="E1538" s="25" t="e">
        <f t="shared" si="216"/>
        <v>#VALUE!</v>
      </c>
      <c r="F1538" s="25" t="e">
        <f t="shared" ca="1" si="217"/>
        <v>#VALUE!</v>
      </c>
      <c r="G1538" s="25"/>
      <c r="H1538" s="25" t="e">
        <f t="shared" si="221"/>
        <v>#VALUE!</v>
      </c>
      <c r="I1538" s="25">
        <f t="shared" si="218"/>
        <v>1023.9999999999764</v>
      </c>
      <c r="J1538" s="25" t="e">
        <f t="shared" si="219"/>
        <v>#VALUE!</v>
      </c>
    </row>
    <row r="1539" spans="1:10" x14ac:dyDescent="0.25">
      <c r="A1539" s="25">
        <f t="shared" si="220"/>
        <v>5.2499999999997637</v>
      </c>
      <c r="B1539" s="25">
        <f t="shared" ca="1" si="213"/>
        <v>-0.1123724344934411</v>
      </c>
      <c r="C1539" s="25" t="e">
        <f t="shared" si="214"/>
        <v>#VALUE!</v>
      </c>
      <c r="D1539" s="74" t="e">
        <f t="shared" si="215"/>
        <v>#VALUE!</v>
      </c>
      <c r="E1539" s="25" t="e">
        <f t="shared" si="216"/>
        <v>#VALUE!</v>
      </c>
      <c r="F1539" s="25" t="e">
        <f t="shared" ca="1" si="217"/>
        <v>#VALUE!</v>
      </c>
      <c r="G1539" s="25"/>
      <c r="H1539" s="25" t="e">
        <f t="shared" si="221"/>
        <v>#VALUE!</v>
      </c>
      <c r="I1539" s="25">
        <f t="shared" si="218"/>
        <v>1024.9999999999764</v>
      </c>
      <c r="J1539" s="25" t="e">
        <f t="shared" si="219"/>
        <v>#VALUE!</v>
      </c>
    </row>
    <row r="1540" spans="1:10" x14ac:dyDescent="0.25">
      <c r="A1540" s="25">
        <f t="shared" si="220"/>
        <v>5.2599999999997635</v>
      </c>
      <c r="B1540" s="25">
        <f t="shared" ca="1" si="213"/>
        <v>-1.219437974539688E-2</v>
      </c>
      <c r="C1540" s="25" t="e">
        <f t="shared" si="214"/>
        <v>#VALUE!</v>
      </c>
      <c r="D1540" s="74" t="e">
        <f t="shared" si="215"/>
        <v>#VALUE!</v>
      </c>
      <c r="E1540" s="25" t="e">
        <f t="shared" si="216"/>
        <v>#VALUE!</v>
      </c>
      <c r="F1540" s="25" t="e">
        <f t="shared" ca="1" si="217"/>
        <v>#VALUE!</v>
      </c>
      <c r="G1540" s="25"/>
      <c r="H1540" s="25" t="e">
        <f t="shared" si="221"/>
        <v>#VALUE!</v>
      </c>
      <c r="I1540" s="25">
        <f t="shared" si="218"/>
        <v>1025.9999999999764</v>
      </c>
      <c r="J1540" s="25" t="e">
        <f t="shared" si="219"/>
        <v>#VALUE!</v>
      </c>
    </row>
    <row r="1541" spans="1:10" x14ac:dyDescent="0.25">
      <c r="A1541" s="25">
        <f t="shared" si="220"/>
        <v>5.2699999999997633</v>
      </c>
      <c r="B1541" s="25">
        <f t="shared" ca="1" si="213"/>
        <v>-2.6320430454382714E-2</v>
      </c>
      <c r="C1541" s="25" t="e">
        <f t="shared" si="214"/>
        <v>#VALUE!</v>
      </c>
      <c r="D1541" s="74" t="e">
        <f t="shared" si="215"/>
        <v>#VALUE!</v>
      </c>
      <c r="E1541" s="25" t="e">
        <f t="shared" si="216"/>
        <v>#VALUE!</v>
      </c>
      <c r="F1541" s="25" t="e">
        <f t="shared" ca="1" si="217"/>
        <v>#VALUE!</v>
      </c>
      <c r="G1541" s="25"/>
      <c r="H1541" s="25" t="e">
        <f t="shared" si="221"/>
        <v>#VALUE!</v>
      </c>
      <c r="I1541" s="25">
        <f t="shared" si="218"/>
        <v>1026.9999999999764</v>
      </c>
      <c r="J1541" s="25" t="e">
        <f t="shared" si="219"/>
        <v>#VALUE!</v>
      </c>
    </row>
    <row r="1542" spans="1:10" x14ac:dyDescent="0.25">
      <c r="A1542" s="25">
        <f t="shared" si="220"/>
        <v>5.2799999999997631</v>
      </c>
      <c r="B1542" s="25">
        <f t="shared" ca="1" si="213"/>
        <v>-0.14704987937071615</v>
      </c>
      <c r="C1542" s="25" t="e">
        <f t="shared" si="214"/>
        <v>#VALUE!</v>
      </c>
      <c r="D1542" s="74" t="e">
        <f t="shared" si="215"/>
        <v>#VALUE!</v>
      </c>
      <c r="E1542" s="25" t="e">
        <f t="shared" si="216"/>
        <v>#VALUE!</v>
      </c>
      <c r="F1542" s="25" t="e">
        <f t="shared" ca="1" si="217"/>
        <v>#VALUE!</v>
      </c>
      <c r="G1542" s="25"/>
      <c r="H1542" s="25" t="e">
        <f t="shared" si="221"/>
        <v>#VALUE!</v>
      </c>
      <c r="I1542" s="25">
        <f t="shared" si="218"/>
        <v>1027.9999999999764</v>
      </c>
      <c r="J1542" s="25" t="e">
        <f t="shared" si="219"/>
        <v>#VALUE!</v>
      </c>
    </row>
    <row r="1543" spans="1:10" x14ac:dyDescent="0.25">
      <c r="A1543" s="25">
        <f t="shared" si="220"/>
        <v>5.2899999999997629</v>
      </c>
      <c r="B1543" s="25">
        <f t="shared" ca="1" si="213"/>
        <v>-5.3171690818318344E-2</v>
      </c>
      <c r="C1543" s="25" t="e">
        <f t="shared" si="214"/>
        <v>#VALUE!</v>
      </c>
      <c r="D1543" s="74" t="e">
        <f t="shared" si="215"/>
        <v>#VALUE!</v>
      </c>
      <c r="E1543" s="25" t="e">
        <f t="shared" si="216"/>
        <v>#VALUE!</v>
      </c>
      <c r="F1543" s="25" t="e">
        <f t="shared" ca="1" si="217"/>
        <v>#VALUE!</v>
      </c>
      <c r="G1543" s="25"/>
      <c r="H1543" s="25" t="e">
        <f t="shared" si="221"/>
        <v>#VALUE!</v>
      </c>
      <c r="I1543" s="25">
        <f t="shared" si="218"/>
        <v>1028.9999999999764</v>
      </c>
      <c r="J1543" s="25" t="e">
        <f t="shared" si="219"/>
        <v>#VALUE!</v>
      </c>
    </row>
    <row r="1544" spans="1:10" x14ac:dyDescent="0.25">
      <c r="A1544" s="25">
        <f t="shared" si="220"/>
        <v>5.2999999999997627</v>
      </c>
      <c r="B1544" s="25">
        <f t="shared" ca="1" si="213"/>
        <v>-0.1179012606038758</v>
      </c>
      <c r="C1544" s="25" t="e">
        <f t="shared" si="214"/>
        <v>#VALUE!</v>
      </c>
      <c r="D1544" s="74" t="e">
        <f t="shared" si="215"/>
        <v>#VALUE!</v>
      </c>
      <c r="E1544" s="25" t="e">
        <f t="shared" si="216"/>
        <v>#VALUE!</v>
      </c>
      <c r="F1544" s="25" t="e">
        <f t="shared" ca="1" si="217"/>
        <v>#VALUE!</v>
      </c>
      <c r="G1544" s="25"/>
      <c r="H1544" s="25" t="e">
        <f t="shared" si="221"/>
        <v>#VALUE!</v>
      </c>
      <c r="I1544" s="25">
        <f t="shared" si="218"/>
        <v>1029.9999999999764</v>
      </c>
      <c r="J1544" s="25" t="e">
        <f t="shared" si="219"/>
        <v>#VALUE!</v>
      </c>
    </row>
    <row r="1545" spans="1:10" x14ac:dyDescent="0.25">
      <c r="A1545" s="25">
        <f t="shared" si="220"/>
        <v>5.3099999999997625</v>
      </c>
      <c r="B1545" s="25">
        <f t="shared" ca="1" si="213"/>
        <v>-0.16001965017816011</v>
      </c>
      <c r="C1545" s="25" t="e">
        <f t="shared" si="214"/>
        <v>#VALUE!</v>
      </c>
      <c r="D1545" s="74" t="e">
        <f t="shared" si="215"/>
        <v>#VALUE!</v>
      </c>
      <c r="E1545" s="25" t="e">
        <f t="shared" si="216"/>
        <v>#VALUE!</v>
      </c>
      <c r="F1545" s="25" t="e">
        <f t="shared" ca="1" si="217"/>
        <v>#VALUE!</v>
      </c>
      <c r="G1545" s="25"/>
      <c r="H1545" s="25" t="e">
        <f t="shared" si="221"/>
        <v>#VALUE!</v>
      </c>
      <c r="I1545" s="25">
        <f t="shared" si="218"/>
        <v>1030.9999999999761</v>
      </c>
      <c r="J1545" s="25" t="e">
        <f t="shared" si="219"/>
        <v>#VALUE!</v>
      </c>
    </row>
    <row r="1546" spans="1:10" x14ac:dyDescent="0.25">
      <c r="A1546" s="25">
        <f t="shared" si="220"/>
        <v>5.3199999999997623</v>
      </c>
      <c r="B1546" s="25">
        <f t="shared" ca="1" si="213"/>
        <v>-6.5311172444310214E-2</v>
      </c>
      <c r="C1546" s="25" t="e">
        <f t="shared" si="214"/>
        <v>#VALUE!</v>
      </c>
      <c r="D1546" s="74" t="e">
        <f t="shared" si="215"/>
        <v>#VALUE!</v>
      </c>
      <c r="E1546" s="25" t="e">
        <f t="shared" si="216"/>
        <v>#VALUE!</v>
      </c>
      <c r="F1546" s="25" t="e">
        <f t="shared" ca="1" si="217"/>
        <v>#VALUE!</v>
      </c>
      <c r="G1546" s="25"/>
      <c r="H1546" s="25" t="e">
        <f t="shared" si="221"/>
        <v>#VALUE!</v>
      </c>
      <c r="I1546" s="25">
        <f t="shared" si="218"/>
        <v>1031.9999999999761</v>
      </c>
      <c r="J1546" s="25" t="e">
        <f t="shared" si="219"/>
        <v>#VALUE!</v>
      </c>
    </row>
    <row r="1547" spans="1:10" x14ac:dyDescent="0.25">
      <c r="A1547" s="25">
        <f t="shared" si="220"/>
        <v>5.329999999999762</v>
      </c>
      <c r="B1547" s="25">
        <f t="shared" ca="1" si="213"/>
        <v>-2.5045386729321086E-3</v>
      </c>
      <c r="C1547" s="25" t="e">
        <f t="shared" si="214"/>
        <v>#VALUE!</v>
      </c>
      <c r="D1547" s="74" t="e">
        <f t="shared" si="215"/>
        <v>#VALUE!</v>
      </c>
      <c r="E1547" s="25" t="e">
        <f t="shared" si="216"/>
        <v>#VALUE!</v>
      </c>
      <c r="F1547" s="25" t="e">
        <f t="shared" ca="1" si="217"/>
        <v>#VALUE!</v>
      </c>
      <c r="G1547" s="25"/>
      <c r="H1547" s="25" t="e">
        <f t="shared" si="221"/>
        <v>#VALUE!</v>
      </c>
      <c r="I1547" s="25">
        <f t="shared" si="218"/>
        <v>1032.9999999999761</v>
      </c>
      <c r="J1547" s="25" t="e">
        <f t="shared" si="219"/>
        <v>#VALUE!</v>
      </c>
    </row>
    <row r="1548" spans="1:10" x14ac:dyDescent="0.25">
      <c r="A1548" s="25">
        <f t="shared" si="220"/>
        <v>5.3399999999997618</v>
      </c>
      <c r="B1548" s="25">
        <f t="shared" ca="1" si="213"/>
        <v>4.7441458448921843E-2</v>
      </c>
      <c r="C1548" s="25" t="e">
        <f t="shared" si="214"/>
        <v>#VALUE!</v>
      </c>
      <c r="D1548" s="74" t="e">
        <f t="shared" si="215"/>
        <v>#VALUE!</v>
      </c>
      <c r="E1548" s="25" t="e">
        <f t="shared" si="216"/>
        <v>#VALUE!</v>
      </c>
      <c r="F1548" s="25" t="e">
        <f t="shared" ca="1" si="217"/>
        <v>#VALUE!</v>
      </c>
      <c r="G1548" s="25"/>
      <c r="H1548" s="25" t="e">
        <f t="shared" si="221"/>
        <v>#VALUE!</v>
      </c>
      <c r="I1548" s="25">
        <f t="shared" si="218"/>
        <v>1033.9999999999761</v>
      </c>
      <c r="J1548" s="25" t="e">
        <f t="shared" si="219"/>
        <v>#VALUE!</v>
      </c>
    </row>
    <row r="1549" spans="1:10" x14ac:dyDescent="0.25">
      <c r="A1549" s="25">
        <f t="shared" si="220"/>
        <v>5.3499999999997616</v>
      </c>
      <c r="B1549" s="25">
        <f t="shared" ca="1" si="213"/>
        <v>-7.5549287956870976E-3</v>
      </c>
      <c r="C1549" s="25" t="e">
        <f t="shared" si="214"/>
        <v>#VALUE!</v>
      </c>
      <c r="D1549" s="74" t="e">
        <f t="shared" si="215"/>
        <v>#VALUE!</v>
      </c>
      <c r="E1549" s="25" t="e">
        <f t="shared" si="216"/>
        <v>#VALUE!</v>
      </c>
      <c r="F1549" s="25" t="e">
        <f t="shared" ca="1" si="217"/>
        <v>#VALUE!</v>
      </c>
      <c r="G1549" s="25"/>
      <c r="H1549" s="25" t="e">
        <f t="shared" si="221"/>
        <v>#VALUE!</v>
      </c>
      <c r="I1549" s="25">
        <f t="shared" si="218"/>
        <v>1034.9999999999761</v>
      </c>
      <c r="J1549" s="25" t="e">
        <f t="shared" si="219"/>
        <v>#VALUE!</v>
      </c>
    </row>
    <row r="1550" spans="1:10" x14ac:dyDescent="0.25">
      <c r="A1550" s="25">
        <f t="shared" si="220"/>
        <v>5.3599999999997614</v>
      </c>
      <c r="B1550" s="25">
        <f t="shared" ref="B1550:B1613" ca="1" si="222">(RAND()-0.5-$B$7)/$B$5</f>
        <v>6.041378286495927E-2</v>
      </c>
      <c r="C1550" s="25" t="e">
        <f t="shared" ref="C1550:C1613" si="223">IF(ABS(A1550)&lt;=($D$3/2),1,IF(ABS(A1550)&lt;=($B$4/2),IF(A1550&gt;0,A1550*(4/(1-2*$B$4))+(2*$B$4/(2*$B$4-1)),(-A1550*(4/(1-2*$B$4))+(2*$B$4/(2*$B$4-1)))),0))</f>
        <v>#VALUE!</v>
      </c>
      <c r="D1550" s="74" t="e">
        <f t="shared" ref="D1550:D1613" si="224">IF(ABS(A1550)&lt;=($D$3/4+$B$4/4),1,IF(ABS(A1550)&lt;=($B$4/2),(IF(A1550&gt;0,A1550*(8/(1-2*$B$4))+(4*$B$4)/(2*$B$4-1),(-A1550*(8/(1-2*$B$4))+(4*$B$4)/(2*$B$4-1)))),0))</f>
        <v>#VALUE!</v>
      </c>
      <c r="E1550" s="25" t="e">
        <f t="shared" ref="E1550:E1613" si="225">IF(ABS(A1550)&lt;($B$4/2), 1, 0)</f>
        <v>#VALUE!</v>
      </c>
      <c r="F1550" s="25" t="e">
        <f t="shared" ref="F1550:F1613" ca="1" si="226">C1550+B1550</f>
        <v>#VALUE!</v>
      </c>
      <c r="G1550" s="25"/>
      <c r="H1550" s="25" t="e">
        <f t="shared" si="221"/>
        <v>#VALUE!</v>
      </c>
      <c r="I1550" s="25">
        <f t="shared" ref="I1550:I1613" si="227">$I$3*(A1550-$G$3)/($H$3-$G$3)</f>
        <v>1035.9999999999761</v>
      </c>
      <c r="J1550" s="25" t="e">
        <f t="shared" ref="J1550:J1613" si="228">H1550</f>
        <v>#VALUE!</v>
      </c>
    </row>
    <row r="1551" spans="1:10" x14ac:dyDescent="0.25">
      <c r="A1551" s="25">
        <f t="shared" ref="A1551:A1614" si="229">A1550+0.01</f>
        <v>5.3699999999997612</v>
      </c>
      <c r="B1551" s="25">
        <f t="shared" ca="1" si="222"/>
        <v>-3.2930144495569949E-3</v>
      </c>
      <c r="C1551" s="25" t="e">
        <f t="shared" si="223"/>
        <v>#VALUE!</v>
      </c>
      <c r="D1551" s="74" t="e">
        <f t="shared" si="224"/>
        <v>#VALUE!</v>
      </c>
      <c r="E1551" s="25" t="e">
        <f t="shared" si="225"/>
        <v>#VALUE!</v>
      </c>
      <c r="F1551" s="25" t="e">
        <f t="shared" ca="1" si="226"/>
        <v>#VALUE!</v>
      </c>
      <c r="G1551" s="25"/>
      <c r="H1551" s="25" t="e">
        <f t="shared" si="221"/>
        <v>#VALUE!</v>
      </c>
      <c r="I1551" s="25">
        <f t="shared" si="227"/>
        <v>1036.9999999999761</v>
      </c>
      <c r="J1551" s="25" t="e">
        <f t="shared" si="228"/>
        <v>#VALUE!</v>
      </c>
    </row>
    <row r="1552" spans="1:10" x14ac:dyDescent="0.25">
      <c r="A1552" s="25">
        <f t="shared" si="229"/>
        <v>5.379999999999761</v>
      </c>
      <c r="B1552" s="25">
        <f t="shared" ca="1" si="222"/>
        <v>-0.10953992954303993</v>
      </c>
      <c r="C1552" s="25" t="e">
        <f t="shared" si="223"/>
        <v>#VALUE!</v>
      </c>
      <c r="D1552" s="74" t="e">
        <f t="shared" si="224"/>
        <v>#VALUE!</v>
      </c>
      <c r="E1552" s="25" t="e">
        <f t="shared" si="225"/>
        <v>#VALUE!</v>
      </c>
      <c r="F1552" s="25" t="e">
        <f t="shared" ca="1" si="226"/>
        <v>#VALUE!</v>
      </c>
      <c r="G1552" s="25"/>
      <c r="H1552" s="25" t="e">
        <f t="shared" si="221"/>
        <v>#VALUE!</v>
      </c>
      <c r="I1552" s="25">
        <f t="shared" si="227"/>
        <v>1037.9999999999761</v>
      </c>
      <c r="J1552" s="25" t="e">
        <f t="shared" si="228"/>
        <v>#VALUE!</v>
      </c>
    </row>
    <row r="1553" spans="1:10" x14ac:dyDescent="0.25">
      <c r="A1553" s="25">
        <f t="shared" si="229"/>
        <v>5.3899999999997608</v>
      </c>
      <c r="B1553" s="25">
        <f t="shared" ca="1" si="222"/>
        <v>-0.12484233458892142</v>
      </c>
      <c r="C1553" s="25" t="e">
        <f t="shared" si="223"/>
        <v>#VALUE!</v>
      </c>
      <c r="D1553" s="74" t="e">
        <f t="shared" si="224"/>
        <v>#VALUE!</v>
      </c>
      <c r="E1553" s="25" t="e">
        <f t="shared" si="225"/>
        <v>#VALUE!</v>
      </c>
      <c r="F1553" s="25" t="e">
        <f t="shared" ca="1" si="226"/>
        <v>#VALUE!</v>
      </c>
      <c r="G1553" s="25"/>
      <c r="H1553" s="25" t="e">
        <f t="shared" si="221"/>
        <v>#VALUE!</v>
      </c>
      <c r="I1553" s="25">
        <f t="shared" si="227"/>
        <v>1038.9999999999759</v>
      </c>
      <c r="J1553" s="25" t="e">
        <f t="shared" si="228"/>
        <v>#VALUE!</v>
      </c>
    </row>
    <row r="1554" spans="1:10" x14ac:dyDescent="0.25">
      <c r="A1554" s="25">
        <f t="shared" si="229"/>
        <v>5.3999999999997605</v>
      </c>
      <c r="B1554" s="25">
        <f t="shared" ca="1" si="222"/>
        <v>-8.9565421279115376E-2</v>
      </c>
      <c r="C1554" s="25" t="e">
        <f t="shared" si="223"/>
        <v>#VALUE!</v>
      </c>
      <c r="D1554" s="74" t="e">
        <f t="shared" si="224"/>
        <v>#VALUE!</v>
      </c>
      <c r="E1554" s="25" t="e">
        <f t="shared" si="225"/>
        <v>#VALUE!</v>
      </c>
      <c r="F1554" s="25" t="e">
        <f t="shared" ca="1" si="226"/>
        <v>#VALUE!</v>
      </c>
      <c r="G1554" s="25"/>
      <c r="H1554" s="25" t="e">
        <f t="shared" si="221"/>
        <v>#VALUE!</v>
      </c>
      <c r="I1554" s="25">
        <f t="shared" si="227"/>
        <v>1039.9999999999759</v>
      </c>
      <c r="J1554" s="25" t="e">
        <f t="shared" si="228"/>
        <v>#VALUE!</v>
      </c>
    </row>
    <row r="1555" spans="1:10" x14ac:dyDescent="0.25">
      <c r="A1555" s="25">
        <f t="shared" si="229"/>
        <v>5.4099999999997603</v>
      </c>
      <c r="B1555" s="25">
        <f t="shared" ca="1" si="222"/>
        <v>-0.1677579456490513</v>
      </c>
      <c r="C1555" s="25" t="e">
        <f t="shared" si="223"/>
        <v>#VALUE!</v>
      </c>
      <c r="D1555" s="74" t="e">
        <f t="shared" si="224"/>
        <v>#VALUE!</v>
      </c>
      <c r="E1555" s="25" t="e">
        <f t="shared" si="225"/>
        <v>#VALUE!</v>
      </c>
      <c r="F1555" s="25" t="e">
        <f t="shared" ca="1" si="226"/>
        <v>#VALUE!</v>
      </c>
      <c r="G1555" s="25"/>
      <c r="H1555" s="25" t="e">
        <f t="shared" si="221"/>
        <v>#VALUE!</v>
      </c>
      <c r="I1555" s="25">
        <f t="shared" si="227"/>
        <v>1040.9999999999759</v>
      </c>
      <c r="J1555" s="25" t="e">
        <f t="shared" si="228"/>
        <v>#VALUE!</v>
      </c>
    </row>
    <row r="1556" spans="1:10" x14ac:dyDescent="0.25">
      <c r="A1556" s="25">
        <f t="shared" si="229"/>
        <v>5.4199999999997601</v>
      </c>
      <c r="B1556" s="25">
        <f t="shared" ca="1" si="222"/>
        <v>-4.1002940485273948E-2</v>
      </c>
      <c r="C1556" s="25" t="e">
        <f t="shared" si="223"/>
        <v>#VALUE!</v>
      </c>
      <c r="D1556" s="74" t="e">
        <f t="shared" si="224"/>
        <v>#VALUE!</v>
      </c>
      <c r="E1556" s="25" t="e">
        <f t="shared" si="225"/>
        <v>#VALUE!</v>
      </c>
      <c r="F1556" s="25" t="e">
        <f t="shared" ca="1" si="226"/>
        <v>#VALUE!</v>
      </c>
      <c r="G1556" s="25"/>
      <c r="H1556" s="25" t="e">
        <f t="shared" si="221"/>
        <v>#VALUE!</v>
      </c>
      <c r="I1556" s="25">
        <f t="shared" si="227"/>
        <v>1041.9999999999759</v>
      </c>
      <c r="J1556" s="25" t="e">
        <f t="shared" si="228"/>
        <v>#VALUE!</v>
      </c>
    </row>
    <row r="1557" spans="1:10" x14ac:dyDescent="0.25">
      <c r="A1557" s="25">
        <f t="shared" si="229"/>
        <v>5.4299999999997599</v>
      </c>
      <c r="B1557" s="25">
        <f t="shared" ca="1" si="222"/>
        <v>9.0948085568856543E-2</v>
      </c>
      <c r="C1557" s="25" t="e">
        <f t="shared" si="223"/>
        <v>#VALUE!</v>
      </c>
      <c r="D1557" s="74" t="e">
        <f t="shared" si="224"/>
        <v>#VALUE!</v>
      </c>
      <c r="E1557" s="25" t="e">
        <f t="shared" si="225"/>
        <v>#VALUE!</v>
      </c>
      <c r="F1557" s="25" t="e">
        <f t="shared" ca="1" si="226"/>
        <v>#VALUE!</v>
      </c>
      <c r="G1557" s="25"/>
      <c r="H1557" s="25" t="e">
        <f t="shared" si="221"/>
        <v>#VALUE!</v>
      </c>
      <c r="I1557" s="25">
        <f t="shared" si="227"/>
        <v>1042.9999999999759</v>
      </c>
      <c r="J1557" s="25" t="e">
        <f t="shared" si="228"/>
        <v>#VALUE!</v>
      </c>
    </row>
    <row r="1558" spans="1:10" x14ac:dyDescent="0.25">
      <c r="A1558" s="25">
        <f t="shared" si="229"/>
        <v>5.4399999999997597</v>
      </c>
      <c r="B1558" s="25">
        <f t="shared" ca="1" si="222"/>
        <v>-0.11653823686364762</v>
      </c>
      <c r="C1558" s="25" t="e">
        <f t="shared" si="223"/>
        <v>#VALUE!</v>
      </c>
      <c r="D1558" s="74" t="e">
        <f t="shared" si="224"/>
        <v>#VALUE!</v>
      </c>
      <c r="E1558" s="25" t="e">
        <f t="shared" si="225"/>
        <v>#VALUE!</v>
      </c>
      <c r="F1558" s="25" t="e">
        <f t="shared" ca="1" si="226"/>
        <v>#VALUE!</v>
      </c>
      <c r="G1558" s="25"/>
      <c r="H1558" s="25" t="e">
        <f t="shared" si="221"/>
        <v>#VALUE!</v>
      </c>
      <c r="I1558" s="25">
        <f t="shared" si="227"/>
        <v>1043.9999999999759</v>
      </c>
      <c r="J1558" s="25" t="e">
        <f t="shared" si="228"/>
        <v>#VALUE!</v>
      </c>
    </row>
    <row r="1559" spans="1:10" x14ac:dyDescent="0.25">
      <c r="A1559" s="25">
        <f t="shared" si="229"/>
        <v>5.4499999999997595</v>
      </c>
      <c r="B1559" s="25">
        <f t="shared" ca="1" si="222"/>
        <v>-9.3034713455096466E-2</v>
      </c>
      <c r="C1559" s="25" t="e">
        <f t="shared" si="223"/>
        <v>#VALUE!</v>
      </c>
      <c r="D1559" s="74" t="e">
        <f t="shared" si="224"/>
        <v>#VALUE!</v>
      </c>
      <c r="E1559" s="25" t="e">
        <f t="shared" si="225"/>
        <v>#VALUE!</v>
      </c>
      <c r="F1559" s="25" t="e">
        <f t="shared" ca="1" si="226"/>
        <v>#VALUE!</v>
      </c>
      <c r="G1559" s="25"/>
      <c r="H1559" s="25" t="e">
        <f t="shared" si="221"/>
        <v>#VALUE!</v>
      </c>
      <c r="I1559" s="25">
        <f t="shared" si="227"/>
        <v>1044.9999999999759</v>
      </c>
      <c r="J1559" s="25" t="e">
        <f t="shared" si="228"/>
        <v>#VALUE!</v>
      </c>
    </row>
    <row r="1560" spans="1:10" x14ac:dyDescent="0.25">
      <c r="A1560" s="25">
        <f t="shared" si="229"/>
        <v>5.4599999999997593</v>
      </c>
      <c r="B1560" s="25">
        <f t="shared" ca="1" si="222"/>
        <v>0.10606261678968736</v>
      </c>
      <c r="C1560" s="25" t="e">
        <f t="shared" si="223"/>
        <v>#VALUE!</v>
      </c>
      <c r="D1560" s="74" t="e">
        <f t="shared" si="224"/>
        <v>#VALUE!</v>
      </c>
      <c r="E1560" s="25" t="e">
        <f t="shared" si="225"/>
        <v>#VALUE!</v>
      </c>
      <c r="F1560" s="25" t="e">
        <f t="shared" ca="1" si="226"/>
        <v>#VALUE!</v>
      </c>
      <c r="G1560" s="25"/>
      <c r="H1560" s="25" t="e">
        <f t="shared" si="221"/>
        <v>#VALUE!</v>
      </c>
      <c r="I1560" s="25">
        <f t="shared" si="227"/>
        <v>1045.9999999999759</v>
      </c>
      <c r="J1560" s="25" t="e">
        <f t="shared" si="228"/>
        <v>#VALUE!</v>
      </c>
    </row>
    <row r="1561" spans="1:10" x14ac:dyDescent="0.25">
      <c r="A1561" s="25">
        <f t="shared" si="229"/>
        <v>5.4699999999997591</v>
      </c>
      <c r="B1561" s="25">
        <f t="shared" ca="1" si="222"/>
        <v>2.2172411120296137E-2</v>
      </c>
      <c r="C1561" s="25" t="e">
        <f t="shared" si="223"/>
        <v>#VALUE!</v>
      </c>
      <c r="D1561" s="74" t="e">
        <f t="shared" si="224"/>
        <v>#VALUE!</v>
      </c>
      <c r="E1561" s="25" t="e">
        <f t="shared" si="225"/>
        <v>#VALUE!</v>
      </c>
      <c r="F1561" s="25" t="e">
        <f t="shared" ca="1" si="226"/>
        <v>#VALUE!</v>
      </c>
      <c r="G1561" s="25"/>
      <c r="H1561" s="25" t="e">
        <f t="shared" si="221"/>
        <v>#VALUE!</v>
      </c>
      <c r="I1561" s="25">
        <f t="shared" si="227"/>
        <v>1046.9999999999759</v>
      </c>
      <c r="J1561" s="25" t="e">
        <f t="shared" si="228"/>
        <v>#VALUE!</v>
      </c>
    </row>
    <row r="1562" spans="1:10" x14ac:dyDescent="0.25">
      <c r="A1562" s="25">
        <f t="shared" si="229"/>
        <v>5.4799999999997588</v>
      </c>
      <c r="B1562" s="25">
        <f t="shared" ca="1" si="222"/>
        <v>-0.12987505226492554</v>
      </c>
      <c r="C1562" s="25" t="e">
        <f t="shared" si="223"/>
        <v>#VALUE!</v>
      </c>
      <c r="D1562" s="74" t="e">
        <f t="shared" si="224"/>
        <v>#VALUE!</v>
      </c>
      <c r="E1562" s="25" t="e">
        <f t="shared" si="225"/>
        <v>#VALUE!</v>
      </c>
      <c r="F1562" s="25" t="e">
        <f t="shared" ca="1" si="226"/>
        <v>#VALUE!</v>
      </c>
      <c r="G1562" s="25"/>
      <c r="H1562" s="25" t="e">
        <f t="shared" si="221"/>
        <v>#VALUE!</v>
      </c>
      <c r="I1562" s="25">
        <f t="shared" si="227"/>
        <v>1047.9999999999759</v>
      </c>
      <c r="J1562" s="25" t="e">
        <f t="shared" si="228"/>
        <v>#VALUE!</v>
      </c>
    </row>
    <row r="1563" spans="1:10" x14ac:dyDescent="0.25">
      <c r="A1563" s="25">
        <f t="shared" si="229"/>
        <v>5.4899999999997586</v>
      </c>
      <c r="B1563" s="25">
        <f t="shared" ca="1" si="222"/>
        <v>0.12957191360417727</v>
      </c>
      <c r="C1563" s="25" t="e">
        <f t="shared" si="223"/>
        <v>#VALUE!</v>
      </c>
      <c r="D1563" s="74" t="e">
        <f t="shared" si="224"/>
        <v>#VALUE!</v>
      </c>
      <c r="E1563" s="25" t="e">
        <f t="shared" si="225"/>
        <v>#VALUE!</v>
      </c>
      <c r="F1563" s="25" t="e">
        <f t="shared" ca="1" si="226"/>
        <v>#VALUE!</v>
      </c>
      <c r="G1563" s="25"/>
      <c r="H1563" s="25" t="e">
        <f t="shared" si="221"/>
        <v>#VALUE!</v>
      </c>
      <c r="I1563" s="25">
        <f t="shared" si="227"/>
        <v>1048.9999999999759</v>
      </c>
      <c r="J1563" s="25" t="e">
        <f t="shared" si="228"/>
        <v>#VALUE!</v>
      </c>
    </row>
    <row r="1564" spans="1:10" x14ac:dyDescent="0.25">
      <c r="A1564" s="25">
        <f t="shared" si="229"/>
        <v>5.4999999999997584</v>
      </c>
      <c r="B1564" s="25">
        <f t="shared" ca="1" si="222"/>
        <v>-0.13467914402410655</v>
      </c>
      <c r="C1564" s="25" t="e">
        <f t="shared" si="223"/>
        <v>#VALUE!</v>
      </c>
      <c r="D1564" s="74" t="e">
        <f t="shared" si="224"/>
        <v>#VALUE!</v>
      </c>
      <c r="E1564" s="25" t="e">
        <f t="shared" si="225"/>
        <v>#VALUE!</v>
      </c>
      <c r="F1564" s="25" t="e">
        <f t="shared" ca="1" si="226"/>
        <v>#VALUE!</v>
      </c>
      <c r="G1564" s="25"/>
      <c r="H1564" s="25" t="e">
        <f t="shared" si="221"/>
        <v>#VALUE!</v>
      </c>
      <c r="I1564" s="25">
        <f t="shared" si="227"/>
        <v>1049.9999999999759</v>
      </c>
      <c r="J1564" s="25" t="e">
        <f t="shared" si="228"/>
        <v>#VALUE!</v>
      </c>
    </row>
    <row r="1565" spans="1:10" x14ac:dyDescent="0.25">
      <c r="A1565" s="25">
        <f t="shared" si="229"/>
        <v>5.5099999999997582</v>
      </c>
      <c r="B1565" s="25">
        <f t="shared" ca="1" si="222"/>
        <v>7.8634461694152918E-2</v>
      </c>
      <c r="C1565" s="25" t="e">
        <f t="shared" si="223"/>
        <v>#VALUE!</v>
      </c>
      <c r="D1565" s="74" t="e">
        <f t="shared" si="224"/>
        <v>#VALUE!</v>
      </c>
      <c r="E1565" s="25" t="e">
        <f t="shared" si="225"/>
        <v>#VALUE!</v>
      </c>
      <c r="F1565" s="25" t="e">
        <f t="shared" ca="1" si="226"/>
        <v>#VALUE!</v>
      </c>
      <c r="G1565" s="25"/>
      <c r="H1565" s="25" t="e">
        <f t="shared" si="221"/>
        <v>#VALUE!</v>
      </c>
      <c r="I1565" s="25">
        <f t="shared" si="227"/>
        <v>1050.9999999999759</v>
      </c>
      <c r="J1565" s="25" t="e">
        <f t="shared" si="228"/>
        <v>#VALUE!</v>
      </c>
    </row>
    <row r="1566" spans="1:10" x14ac:dyDescent="0.25">
      <c r="A1566" s="25">
        <f t="shared" si="229"/>
        <v>5.519999999999758</v>
      </c>
      <c r="B1566" s="25">
        <f t="shared" ca="1" si="222"/>
        <v>-0.18539240019478551</v>
      </c>
      <c r="C1566" s="25" t="e">
        <f t="shared" si="223"/>
        <v>#VALUE!</v>
      </c>
      <c r="D1566" s="74" t="e">
        <f t="shared" si="224"/>
        <v>#VALUE!</v>
      </c>
      <c r="E1566" s="25" t="e">
        <f t="shared" si="225"/>
        <v>#VALUE!</v>
      </c>
      <c r="F1566" s="25" t="e">
        <f t="shared" ca="1" si="226"/>
        <v>#VALUE!</v>
      </c>
      <c r="G1566" s="25"/>
      <c r="H1566" s="25" t="e">
        <f t="shared" ref="H1566:H1629" si="230">IF(PeakShape=$O$3,C1566,IF(PeakShape=O1568,D1566,E1566))</f>
        <v>#VALUE!</v>
      </c>
      <c r="I1566" s="25">
        <f t="shared" si="227"/>
        <v>1051.9999999999759</v>
      </c>
      <c r="J1566" s="25" t="e">
        <f t="shared" si="228"/>
        <v>#VALUE!</v>
      </c>
    </row>
    <row r="1567" spans="1:10" x14ac:dyDescent="0.25">
      <c r="A1567" s="25">
        <f t="shared" si="229"/>
        <v>5.5299999999997578</v>
      </c>
      <c r="B1567" s="25">
        <f t="shared" ca="1" si="222"/>
        <v>2.5295121544654148E-4</v>
      </c>
      <c r="C1567" s="25" t="e">
        <f t="shared" si="223"/>
        <v>#VALUE!</v>
      </c>
      <c r="D1567" s="74" t="e">
        <f t="shared" si="224"/>
        <v>#VALUE!</v>
      </c>
      <c r="E1567" s="25" t="e">
        <f t="shared" si="225"/>
        <v>#VALUE!</v>
      </c>
      <c r="F1567" s="25" t="e">
        <f t="shared" ca="1" si="226"/>
        <v>#VALUE!</v>
      </c>
      <c r="G1567" s="25"/>
      <c r="H1567" s="25" t="e">
        <f t="shared" si="230"/>
        <v>#VALUE!</v>
      </c>
      <c r="I1567" s="25">
        <f t="shared" si="227"/>
        <v>1052.9999999999759</v>
      </c>
      <c r="J1567" s="25" t="e">
        <f t="shared" si="228"/>
        <v>#VALUE!</v>
      </c>
    </row>
    <row r="1568" spans="1:10" x14ac:dyDescent="0.25">
      <c r="A1568" s="25">
        <f t="shared" si="229"/>
        <v>5.5399999999997576</v>
      </c>
      <c r="B1568" s="25">
        <f t="shared" ca="1" si="222"/>
        <v>1.2524295336464625E-2</v>
      </c>
      <c r="C1568" s="25" t="e">
        <f t="shared" si="223"/>
        <v>#VALUE!</v>
      </c>
      <c r="D1568" s="74" t="e">
        <f t="shared" si="224"/>
        <v>#VALUE!</v>
      </c>
      <c r="E1568" s="25" t="e">
        <f t="shared" si="225"/>
        <v>#VALUE!</v>
      </c>
      <c r="F1568" s="25" t="e">
        <f t="shared" ca="1" si="226"/>
        <v>#VALUE!</v>
      </c>
      <c r="G1568" s="25"/>
      <c r="H1568" s="25" t="e">
        <f t="shared" si="230"/>
        <v>#VALUE!</v>
      </c>
      <c r="I1568" s="25">
        <f t="shared" si="227"/>
        <v>1053.9999999999759</v>
      </c>
      <c r="J1568" s="25" t="e">
        <f t="shared" si="228"/>
        <v>#VALUE!</v>
      </c>
    </row>
    <row r="1569" spans="1:10" x14ac:dyDescent="0.25">
      <c r="A1569" s="25">
        <f t="shared" si="229"/>
        <v>5.5499999999997573</v>
      </c>
      <c r="B1569" s="25">
        <f t="shared" ca="1" si="222"/>
        <v>-0.19188505009475085</v>
      </c>
      <c r="C1569" s="25" t="e">
        <f t="shared" si="223"/>
        <v>#VALUE!</v>
      </c>
      <c r="D1569" s="74" t="e">
        <f t="shared" si="224"/>
        <v>#VALUE!</v>
      </c>
      <c r="E1569" s="25" t="e">
        <f t="shared" si="225"/>
        <v>#VALUE!</v>
      </c>
      <c r="F1569" s="25" t="e">
        <f t="shared" ca="1" si="226"/>
        <v>#VALUE!</v>
      </c>
      <c r="G1569" s="25"/>
      <c r="H1569" s="25" t="e">
        <f t="shared" si="230"/>
        <v>#VALUE!</v>
      </c>
      <c r="I1569" s="25">
        <f t="shared" si="227"/>
        <v>1054.9999999999759</v>
      </c>
      <c r="J1569" s="25" t="e">
        <f t="shared" si="228"/>
        <v>#VALUE!</v>
      </c>
    </row>
    <row r="1570" spans="1:10" x14ac:dyDescent="0.25">
      <c r="A1570" s="25">
        <f t="shared" si="229"/>
        <v>5.5599999999997571</v>
      </c>
      <c r="B1570" s="25">
        <f t="shared" ca="1" si="222"/>
        <v>0.12780299148052884</v>
      </c>
      <c r="C1570" s="25" t="e">
        <f t="shared" si="223"/>
        <v>#VALUE!</v>
      </c>
      <c r="D1570" s="74" t="e">
        <f t="shared" si="224"/>
        <v>#VALUE!</v>
      </c>
      <c r="E1570" s="25" t="e">
        <f t="shared" si="225"/>
        <v>#VALUE!</v>
      </c>
      <c r="F1570" s="25" t="e">
        <f t="shared" ca="1" si="226"/>
        <v>#VALUE!</v>
      </c>
      <c r="G1570" s="25"/>
      <c r="H1570" s="25" t="e">
        <f t="shared" si="230"/>
        <v>#VALUE!</v>
      </c>
      <c r="I1570" s="25">
        <f t="shared" si="227"/>
        <v>1055.9999999999757</v>
      </c>
      <c r="J1570" s="25" t="e">
        <f t="shared" si="228"/>
        <v>#VALUE!</v>
      </c>
    </row>
    <row r="1571" spans="1:10" x14ac:dyDescent="0.25">
      <c r="A1571" s="25">
        <f t="shared" si="229"/>
        <v>5.5699999999997569</v>
      </c>
      <c r="B1571" s="25">
        <f t="shared" ca="1" si="222"/>
        <v>-0.11168239324525835</v>
      </c>
      <c r="C1571" s="25" t="e">
        <f t="shared" si="223"/>
        <v>#VALUE!</v>
      </c>
      <c r="D1571" s="74" t="e">
        <f t="shared" si="224"/>
        <v>#VALUE!</v>
      </c>
      <c r="E1571" s="25" t="e">
        <f t="shared" si="225"/>
        <v>#VALUE!</v>
      </c>
      <c r="F1571" s="25" t="e">
        <f t="shared" ca="1" si="226"/>
        <v>#VALUE!</v>
      </c>
      <c r="G1571" s="25"/>
      <c r="H1571" s="25" t="e">
        <f t="shared" si="230"/>
        <v>#VALUE!</v>
      </c>
      <c r="I1571" s="25">
        <f t="shared" si="227"/>
        <v>1056.9999999999757</v>
      </c>
      <c r="J1571" s="25" t="e">
        <f t="shared" si="228"/>
        <v>#VALUE!</v>
      </c>
    </row>
    <row r="1572" spans="1:10" x14ac:dyDescent="0.25">
      <c r="A1572" s="25">
        <f t="shared" si="229"/>
        <v>5.5799999999997567</v>
      </c>
      <c r="B1572" s="25">
        <f t="shared" ca="1" si="222"/>
        <v>4.8269271970830745E-2</v>
      </c>
      <c r="C1572" s="25" t="e">
        <f t="shared" si="223"/>
        <v>#VALUE!</v>
      </c>
      <c r="D1572" s="74" t="e">
        <f t="shared" si="224"/>
        <v>#VALUE!</v>
      </c>
      <c r="E1572" s="25" t="e">
        <f t="shared" si="225"/>
        <v>#VALUE!</v>
      </c>
      <c r="F1572" s="25" t="e">
        <f t="shared" ca="1" si="226"/>
        <v>#VALUE!</v>
      </c>
      <c r="G1572" s="25"/>
      <c r="H1572" s="25" t="e">
        <f t="shared" si="230"/>
        <v>#VALUE!</v>
      </c>
      <c r="I1572" s="25">
        <f t="shared" si="227"/>
        <v>1057.9999999999757</v>
      </c>
      <c r="J1572" s="25" t="e">
        <f t="shared" si="228"/>
        <v>#VALUE!</v>
      </c>
    </row>
    <row r="1573" spans="1:10" x14ac:dyDescent="0.25">
      <c r="A1573" s="25">
        <f t="shared" si="229"/>
        <v>5.5899999999997565</v>
      </c>
      <c r="B1573" s="25">
        <f t="shared" ca="1" si="222"/>
        <v>-0.1730738661413298</v>
      </c>
      <c r="C1573" s="25" t="e">
        <f t="shared" si="223"/>
        <v>#VALUE!</v>
      </c>
      <c r="D1573" s="74" t="e">
        <f t="shared" si="224"/>
        <v>#VALUE!</v>
      </c>
      <c r="E1573" s="25" t="e">
        <f t="shared" si="225"/>
        <v>#VALUE!</v>
      </c>
      <c r="F1573" s="25" t="e">
        <f t="shared" ca="1" si="226"/>
        <v>#VALUE!</v>
      </c>
      <c r="G1573" s="25"/>
      <c r="H1573" s="25" t="e">
        <f t="shared" si="230"/>
        <v>#VALUE!</v>
      </c>
      <c r="I1573" s="25">
        <f t="shared" si="227"/>
        <v>1058.9999999999757</v>
      </c>
      <c r="J1573" s="25" t="e">
        <f t="shared" si="228"/>
        <v>#VALUE!</v>
      </c>
    </row>
    <row r="1574" spans="1:10" x14ac:dyDescent="0.25">
      <c r="A1574" s="25">
        <f t="shared" si="229"/>
        <v>5.5999999999997563</v>
      </c>
      <c r="B1574" s="25">
        <f t="shared" ca="1" si="222"/>
        <v>3.4014642420417768E-2</v>
      </c>
      <c r="C1574" s="25" t="e">
        <f t="shared" si="223"/>
        <v>#VALUE!</v>
      </c>
      <c r="D1574" s="74" t="e">
        <f t="shared" si="224"/>
        <v>#VALUE!</v>
      </c>
      <c r="E1574" s="25" t="e">
        <f t="shared" si="225"/>
        <v>#VALUE!</v>
      </c>
      <c r="F1574" s="25" t="e">
        <f t="shared" ca="1" si="226"/>
        <v>#VALUE!</v>
      </c>
      <c r="G1574" s="25"/>
      <c r="H1574" s="25" t="e">
        <f t="shared" si="230"/>
        <v>#VALUE!</v>
      </c>
      <c r="I1574" s="25">
        <f t="shared" si="227"/>
        <v>1059.9999999999757</v>
      </c>
      <c r="J1574" s="25" t="e">
        <f t="shared" si="228"/>
        <v>#VALUE!</v>
      </c>
    </row>
    <row r="1575" spans="1:10" x14ac:dyDescent="0.25">
      <c r="A1575" s="25">
        <f t="shared" si="229"/>
        <v>5.6099999999997561</v>
      </c>
      <c r="B1575" s="25">
        <f t="shared" ca="1" si="222"/>
        <v>2.7070844266508142E-2</v>
      </c>
      <c r="C1575" s="25" t="e">
        <f t="shared" si="223"/>
        <v>#VALUE!</v>
      </c>
      <c r="D1575" s="74" t="e">
        <f t="shared" si="224"/>
        <v>#VALUE!</v>
      </c>
      <c r="E1575" s="25" t="e">
        <f t="shared" si="225"/>
        <v>#VALUE!</v>
      </c>
      <c r="F1575" s="25" t="e">
        <f t="shared" ca="1" si="226"/>
        <v>#VALUE!</v>
      </c>
      <c r="G1575" s="25"/>
      <c r="H1575" s="25" t="e">
        <f t="shared" si="230"/>
        <v>#VALUE!</v>
      </c>
      <c r="I1575" s="25">
        <f t="shared" si="227"/>
        <v>1060.9999999999757</v>
      </c>
      <c r="J1575" s="25" t="e">
        <f t="shared" si="228"/>
        <v>#VALUE!</v>
      </c>
    </row>
    <row r="1576" spans="1:10" x14ac:dyDescent="0.25">
      <c r="A1576" s="25">
        <f t="shared" si="229"/>
        <v>5.6199999999997559</v>
      </c>
      <c r="B1576" s="25">
        <f t="shared" ca="1" si="222"/>
        <v>2.9185976685579419E-2</v>
      </c>
      <c r="C1576" s="25" t="e">
        <f t="shared" si="223"/>
        <v>#VALUE!</v>
      </c>
      <c r="D1576" s="74" t="e">
        <f t="shared" si="224"/>
        <v>#VALUE!</v>
      </c>
      <c r="E1576" s="25" t="e">
        <f t="shared" si="225"/>
        <v>#VALUE!</v>
      </c>
      <c r="F1576" s="25" t="e">
        <f t="shared" ca="1" si="226"/>
        <v>#VALUE!</v>
      </c>
      <c r="G1576" s="25"/>
      <c r="H1576" s="25" t="e">
        <f t="shared" si="230"/>
        <v>#VALUE!</v>
      </c>
      <c r="I1576" s="25">
        <f t="shared" si="227"/>
        <v>1061.9999999999757</v>
      </c>
      <c r="J1576" s="25" t="e">
        <f t="shared" si="228"/>
        <v>#VALUE!</v>
      </c>
    </row>
    <row r="1577" spans="1:10" x14ac:dyDescent="0.25">
      <c r="A1577" s="25">
        <f t="shared" si="229"/>
        <v>5.6299999999997556</v>
      </c>
      <c r="B1577" s="25">
        <f t="shared" ca="1" si="222"/>
        <v>-6.2046736142098442E-2</v>
      </c>
      <c r="C1577" s="25" t="e">
        <f t="shared" si="223"/>
        <v>#VALUE!</v>
      </c>
      <c r="D1577" s="74" t="e">
        <f t="shared" si="224"/>
        <v>#VALUE!</v>
      </c>
      <c r="E1577" s="25" t="e">
        <f t="shared" si="225"/>
        <v>#VALUE!</v>
      </c>
      <c r="F1577" s="25" t="e">
        <f t="shared" ca="1" si="226"/>
        <v>#VALUE!</v>
      </c>
      <c r="G1577" s="25"/>
      <c r="H1577" s="25" t="e">
        <f t="shared" si="230"/>
        <v>#VALUE!</v>
      </c>
      <c r="I1577" s="25">
        <f t="shared" si="227"/>
        <v>1062.9999999999757</v>
      </c>
      <c r="J1577" s="25" t="e">
        <f t="shared" si="228"/>
        <v>#VALUE!</v>
      </c>
    </row>
    <row r="1578" spans="1:10" x14ac:dyDescent="0.25">
      <c r="A1578" s="25">
        <f t="shared" si="229"/>
        <v>5.6399999999997554</v>
      </c>
      <c r="B1578" s="25">
        <f t="shared" ca="1" si="222"/>
        <v>1.0056045493233792E-2</v>
      </c>
      <c r="C1578" s="25" t="e">
        <f t="shared" si="223"/>
        <v>#VALUE!</v>
      </c>
      <c r="D1578" s="74" t="e">
        <f t="shared" si="224"/>
        <v>#VALUE!</v>
      </c>
      <c r="E1578" s="25" t="e">
        <f t="shared" si="225"/>
        <v>#VALUE!</v>
      </c>
      <c r="F1578" s="25" t="e">
        <f t="shared" ca="1" si="226"/>
        <v>#VALUE!</v>
      </c>
      <c r="G1578" s="25"/>
      <c r="H1578" s="25" t="e">
        <f t="shared" si="230"/>
        <v>#VALUE!</v>
      </c>
      <c r="I1578" s="25">
        <f t="shared" si="227"/>
        <v>1063.9999999999757</v>
      </c>
      <c r="J1578" s="25" t="e">
        <f t="shared" si="228"/>
        <v>#VALUE!</v>
      </c>
    </row>
    <row r="1579" spans="1:10" x14ac:dyDescent="0.25">
      <c r="A1579" s="25">
        <f t="shared" si="229"/>
        <v>5.6499999999997552</v>
      </c>
      <c r="B1579" s="25">
        <f t="shared" ca="1" si="222"/>
        <v>1.8987823431340672E-2</v>
      </c>
      <c r="C1579" s="25" t="e">
        <f t="shared" si="223"/>
        <v>#VALUE!</v>
      </c>
      <c r="D1579" s="74" t="e">
        <f t="shared" si="224"/>
        <v>#VALUE!</v>
      </c>
      <c r="E1579" s="25" t="e">
        <f t="shared" si="225"/>
        <v>#VALUE!</v>
      </c>
      <c r="F1579" s="25" t="e">
        <f t="shared" ca="1" si="226"/>
        <v>#VALUE!</v>
      </c>
      <c r="G1579" s="25"/>
      <c r="H1579" s="25" t="e">
        <f t="shared" si="230"/>
        <v>#VALUE!</v>
      </c>
      <c r="I1579" s="25">
        <f t="shared" si="227"/>
        <v>1064.9999999999754</v>
      </c>
      <c r="J1579" s="25" t="e">
        <f t="shared" si="228"/>
        <v>#VALUE!</v>
      </c>
    </row>
    <row r="1580" spans="1:10" x14ac:dyDescent="0.25">
      <c r="A1580" s="25">
        <f t="shared" si="229"/>
        <v>5.659999999999755</v>
      </c>
      <c r="B1580" s="25">
        <f t="shared" ca="1" si="222"/>
        <v>-5.8391362278986829E-2</v>
      </c>
      <c r="C1580" s="25" t="e">
        <f t="shared" si="223"/>
        <v>#VALUE!</v>
      </c>
      <c r="D1580" s="74" t="e">
        <f t="shared" si="224"/>
        <v>#VALUE!</v>
      </c>
      <c r="E1580" s="25" t="e">
        <f t="shared" si="225"/>
        <v>#VALUE!</v>
      </c>
      <c r="F1580" s="25" t="e">
        <f t="shared" ca="1" si="226"/>
        <v>#VALUE!</v>
      </c>
      <c r="G1580" s="25"/>
      <c r="H1580" s="25" t="e">
        <f t="shared" si="230"/>
        <v>#VALUE!</v>
      </c>
      <c r="I1580" s="25">
        <f t="shared" si="227"/>
        <v>1065.9999999999754</v>
      </c>
      <c r="J1580" s="25" t="e">
        <f t="shared" si="228"/>
        <v>#VALUE!</v>
      </c>
    </row>
    <row r="1581" spans="1:10" x14ac:dyDescent="0.25">
      <c r="A1581" s="25">
        <f t="shared" si="229"/>
        <v>5.6699999999997548</v>
      </c>
      <c r="B1581" s="25">
        <f t="shared" ca="1" si="222"/>
        <v>-0.18270632656695229</v>
      </c>
      <c r="C1581" s="25" t="e">
        <f t="shared" si="223"/>
        <v>#VALUE!</v>
      </c>
      <c r="D1581" s="74" t="e">
        <f t="shared" si="224"/>
        <v>#VALUE!</v>
      </c>
      <c r="E1581" s="25" t="e">
        <f t="shared" si="225"/>
        <v>#VALUE!</v>
      </c>
      <c r="F1581" s="25" t="e">
        <f t="shared" ca="1" si="226"/>
        <v>#VALUE!</v>
      </c>
      <c r="G1581" s="25"/>
      <c r="H1581" s="25" t="e">
        <f t="shared" si="230"/>
        <v>#VALUE!</v>
      </c>
      <c r="I1581" s="25">
        <f t="shared" si="227"/>
        <v>1066.9999999999754</v>
      </c>
      <c r="J1581" s="25" t="e">
        <f t="shared" si="228"/>
        <v>#VALUE!</v>
      </c>
    </row>
    <row r="1582" spans="1:10" x14ac:dyDescent="0.25">
      <c r="A1582" s="25">
        <f t="shared" si="229"/>
        <v>5.6799999999997546</v>
      </c>
      <c r="B1582" s="25">
        <f t="shared" ca="1" si="222"/>
        <v>6.6418649110554411E-3</v>
      </c>
      <c r="C1582" s="25" t="e">
        <f t="shared" si="223"/>
        <v>#VALUE!</v>
      </c>
      <c r="D1582" s="74" t="e">
        <f t="shared" si="224"/>
        <v>#VALUE!</v>
      </c>
      <c r="E1582" s="25" t="e">
        <f t="shared" si="225"/>
        <v>#VALUE!</v>
      </c>
      <c r="F1582" s="25" t="e">
        <f t="shared" ca="1" si="226"/>
        <v>#VALUE!</v>
      </c>
      <c r="G1582" s="25"/>
      <c r="H1582" s="25" t="e">
        <f t="shared" si="230"/>
        <v>#VALUE!</v>
      </c>
      <c r="I1582" s="25">
        <f t="shared" si="227"/>
        <v>1067.9999999999754</v>
      </c>
      <c r="J1582" s="25" t="e">
        <f t="shared" si="228"/>
        <v>#VALUE!</v>
      </c>
    </row>
    <row r="1583" spans="1:10" x14ac:dyDescent="0.25">
      <c r="A1583" s="25">
        <f t="shared" si="229"/>
        <v>5.6899999999997544</v>
      </c>
      <c r="B1583" s="25">
        <f t="shared" ca="1" si="222"/>
        <v>-0.15278684803497575</v>
      </c>
      <c r="C1583" s="25" t="e">
        <f t="shared" si="223"/>
        <v>#VALUE!</v>
      </c>
      <c r="D1583" s="74" t="e">
        <f t="shared" si="224"/>
        <v>#VALUE!</v>
      </c>
      <c r="E1583" s="25" t="e">
        <f t="shared" si="225"/>
        <v>#VALUE!</v>
      </c>
      <c r="F1583" s="25" t="e">
        <f t="shared" ca="1" si="226"/>
        <v>#VALUE!</v>
      </c>
      <c r="G1583" s="25"/>
      <c r="H1583" s="25" t="e">
        <f t="shared" si="230"/>
        <v>#VALUE!</v>
      </c>
      <c r="I1583" s="25">
        <f t="shared" si="227"/>
        <v>1068.9999999999754</v>
      </c>
      <c r="J1583" s="25" t="e">
        <f t="shared" si="228"/>
        <v>#VALUE!</v>
      </c>
    </row>
    <row r="1584" spans="1:10" x14ac:dyDescent="0.25">
      <c r="A1584" s="25">
        <f t="shared" si="229"/>
        <v>5.6999999999997542</v>
      </c>
      <c r="B1584" s="25">
        <f t="shared" ca="1" si="222"/>
        <v>-8.2074147032299621E-2</v>
      </c>
      <c r="C1584" s="25" t="e">
        <f t="shared" si="223"/>
        <v>#VALUE!</v>
      </c>
      <c r="D1584" s="74" t="e">
        <f t="shared" si="224"/>
        <v>#VALUE!</v>
      </c>
      <c r="E1584" s="25" t="e">
        <f t="shared" si="225"/>
        <v>#VALUE!</v>
      </c>
      <c r="F1584" s="25" t="e">
        <f t="shared" ca="1" si="226"/>
        <v>#VALUE!</v>
      </c>
      <c r="G1584" s="25"/>
      <c r="H1584" s="25" t="e">
        <f t="shared" si="230"/>
        <v>#VALUE!</v>
      </c>
      <c r="I1584" s="25">
        <f t="shared" si="227"/>
        <v>1069.9999999999754</v>
      </c>
      <c r="J1584" s="25" t="e">
        <f t="shared" si="228"/>
        <v>#VALUE!</v>
      </c>
    </row>
    <row r="1585" spans="1:10" x14ac:dyDescent="0.25">
      <c r="A1585" s="25">
        <f t="shared" si="229"/>
        <v>5.7099999999997539</v>
      </c>
      <c r="B1585" s="25">
        <f t="shared" ca="1" si="222"/>
        <v>1.1467157479327833E-2</v>
      </c>
      <c r="C1585" s="25" t="e">
        <f t="shared" si="223"/>
        <v>#VALUE!</v>
      </c>
      <c r="D1585" s="74" t="e">
        <f t="shared" si="224"/>
        <v>#VALUE!</v>
      </c>
      <c r="E1585" s="25" t="e">
        <f t="shared" si="225"/>
        <v>#VALUE!</v>
      </c>
      <c r="F1585" s="25" t="e">
        <f t="shared" ca="1" si="226"/>
        <v>#VALUE!</v>
      </c>
      <c r="G1585" s="25"/>
      <c r="H1585" s="25" t="e">
        <f t="shared" si="230"/>
        <v>#VALUE!</v>
      </c>
      <c r="I1585" s="25">
        <f t="shared" si="227"/>
        <v>1070.9999999999754</v>
      </c>
      <c r="J1585" s="25" t="e">
        <f t="shared" si="228"/>
        <v>#VALUE!</v>
      </c>
    </row>
    <row r="1586" spans="1:10" x14ac:dyDescent="0.25">
      <c r="A1586" s="25">
        <f t="shared" si="229"/>
        <v>5.7199999999997537</v>
      </c>
      <c r="B1586" s="25">
        <f t="shared" ca="1" si="222"/>
        <v>7.4139734164097429E-2</v>
      </c>
      <c r="C1586" s="25" t="e">
        <f t="shared" si="223"/>
        <v>#VALUE!</v>
      </c>
      <c r="D1586" s="74" t="e">
        <f t="shared" si="224"/>
        <v>#VALUE!</v>
      </c>
      <c r="E1586" s="25" t="e">
        <f t="shared" si="225"/>
        <v>#VALUE!</v>
      </c>
      <c r="F1586" s="25" t="e">
        <f t="shared" ca="1" si="226"/>
        <v>#VALUE!</v>
      </c>
      <c r="G1586" s="25"/>
      <c r="H1586" s="25" t="e">
        <f t="shared" si="230"/>
        <v>#VALUE!</v>
      </c>
      <c r="I1586" s="25">
        <f t="shared" si="227"/>
        <v>1071.9999999999754</v>
      </c>
      <c r="J1586" s="25" t="e">
        <f t="shared" si="228"/>
        <v>#VALUE!</v>
      </c>
    </row>
    <row r="1587" spans="1:10" x14ac:dyDescent="0.25">
      <c r="A1587" s="25">
        <f t="shared" si="229"/>
        <v>5.7299999999997535</v>
      </c>
      <c r="B1587" s="25">
        <f t="shared" ca="1" si="222"/>
        <v>-4.699291727924871E-2</v>
      </c>
      <c r="C1587" s="25" t="e">
        <f t="shared" si="223"/>
        <v>#VALUE!</v>
      </c>
      <c r="D1587" s="74" t="e">
        <f t="shared" si="224"/>
        <v>#VALUE!</v>
      </c>
      <c r="E1587" s="25" t="e">
        <f t="shared" si="225"/>
        <v>#VALUE!</v>
      </c>
      <c r="F1587" s="25" t="e">
        <f t="shared" ca="1" si="226"/>
        <v>#VALUE!</v>
      </c>
      <c r="G1587" s="25"/>
      <c r="H1587" s="25" t="e">
        <f t="shared" si="230"/>
        <v>#VALUE!</v>
      </c>
      <c r="I1587" s="25">
        <f t="shared" si="227"/>
        <v>1072.9999999999752</v>
      </c>
      <c r="J1587" s="25" t="e">
        <f t="shared" si="228"/>
        <v>#VALUE!</v>
      </c>
    </row>
    <row r="1588" spans="1:10" x14ac:dyDescent="0.25">
      <c r="A1588" s="25">
        <f t="shared" si="229"/>
        <v>5.7399999999997533</v>
      </c>
      <c r="B1588" s="25">
        <f t="shared" ca="1" si="222"/>
        <v>-0.15836842676834575</v>
      </c>
      <c r="C1588" s="25" t="e">
        <f t="shared" si="223"/>
        <v>#VALUE!</v>
      </c>
      <c r="D1588" s="74" t="e">
        <f t="shared" si="224"/>
        <v>#VALUE!</v>
      </c>
      <c r="E1588" s="25" t="e">
        <f t="shared" si="225"/>
        <v>#VALUE!</v>
      </c>
      <c r="F1588" s="25" t="e">
        <f t="shared" ca="1" si="226"/>
        <v>#VALUE!</v>
      </c>
      <c r="G1588" s="25"/>
      <c r="H1588" s="25" t="e">
        <f t="shared" si="230"/>
        <v>#VALUE!</v>
      </c>
      <c r="I1588" s="25">
        <f t="shared" si="227"/>
        <v>1073.9999999999752</v>
      </c>
      <c r="J1588" s="25" t="e">
        <f t="shared" si="228"/>
        <v>#VALUE!</v>
      </c>
    </row>
    <row r="1589" spans="1:10" x14ac:dyDescent="0.25">
      <c r="A1589" s="25">
        <f t="shared" si="229"/>
        <v>5.7499999999997531</v>
      </c>
      <c r="B1589" s="25">
        <f t="shared" ca="1" si="222"/>
        <v>-6.1036089252312346E-2</v>
      </c>
      <c r="C1589" s="25" t="e">
        <f t="shared" si="223"/>
        <v>#VALUE!</v>
      </c>
      <c r="D1589" s="74" t="e">
        <f t="shared" si="224"/>
        <v>#VALUE!</v>
      </c>
      <c r="E1589" s="25" t="e">
        <f t="shared" si="225"/>
        <v>#VALUE!</v>
      </c>
      <c r="F1589" s="25" t="e">
        <f t="shared" ca="1" si="226"/>
        <v>#VALUE!</v>
      </c>
      <c r="G1589" s="25"/>
      <c r="H1589" s="25" t="e">
        <f t="shared" si="230"/>
        <v>#VALUE!</v>
      </c>
      <c r="I1589" s="25">
        <f t="shared" si="227"/>
        <v>1074.9999999999752</v>
      </c>
      <c r="J1589" s="25" t="e">
        <f t="shared" si="228"/>
        <v>#VALUE!</v>
      </c>
    </row>
    <row r="1590" spans="1:10" x14ac:dyDescent="0.25">
      <c r="A1590" s="25">
        <f t="shared" si="229"/>
        <v>5.7599999999997529</v>
      </c>
      <c r="B1590" s="25">
        <f t="shared" ca="1" si="222"/>
        <v>-0.1827461051839516</v>
      </c>
      <c r="C1590" s="25" t="e">
        <f t="shared" si="223"/>
        <v>#VALUE!</v>
      </c>
      <c r="D1590" s="74" t="e">
        <f t="shared" si="224"/>
        <v>#VALUE!</v>
      </c>
      <c r="E1590" s="25" t="e">
        <f t="shared" si="225"/>
        <v>#VALUE!</v>
      </c>
      <c r="F1590" s="25" t="e">
        <f t="shared" ca="1" si="226"/>
        <v>#VALUE!</v>
      </c>
      <c r="G1590" s="25"/>
      <c r="H1590" s="25" t="e">
        <f t="shared" si="230"/>
        <v>#VALUE!</v>
      </c>
      <c r="I1590" s="25">
        <f t="shared" si="227"/>
        <v>1075.9999999999752</v>
      </c>
      <c r="J1590" s="25" t="e">
        <f t="shared" si="228"/>
        <v>#VALUE!</v>
      </c>
    </row>
    <row r="1591" spans="1:10" x14ac:dyDescent="0.25">
      <c r="A1591" s="25">
        <f t="shared" si="229"/>
        <v>5.7699999999997527</v>
      </c>
      <c r="B1591" s="25">
        <f t="shared" ca="1" si="222"/>
        <v>-0.16083385454278434</v>
      </c>
      <c r="C1591" s="25" t="e">
        <f t="shared" si="223"/>
        <v>#VALUE!</v>
      </c>
      <c r="D1591" s="74" t="e">
        <f t="shared" si="224"/>
        <v>#VALUE!</v>
      </c>
      <c r="E1591" s="25" t="e">
        <f t="shared" si="225"/>
        <v>#VALUE!</v>
      </c>
      <c r="F1591" s="25" t="e">
        <f t="shared" ca="1" si="226"/>
        <v>#VALUE!</v>
      </c>
      <c r="G1591" s="25"/>
      <c r="H1591" s="25" t="e">
        <f t="shared" si="230"/>
        <v>#VALUE!</v>
      </c>
      <c r="I1591" s="25">
        <f t="shared" si="227"/>
        <v>1076.9999999999752</v>
      </c>
      <c r="J1591" s="25" t="e">
        <f t="shared" si="228"/>
        <v>#VALUE!</v>
      </c>
    </row>
    <row r="1592" spans="1:10" x14ac:dyDescent="0.25">
      <c r="A1592" s="25">
        <f t="shared" si="229"/>
        <v>5.7799999999997524</v>
      </c>
      <c r="B1592" s="25">
        <f t="shared" ca="1" si="222"/>
        <v>2.2619391673704137E-3</v>
      </c>
      <c r="C1592" s="25" t="e">
        <f t="shared" si="223"/>
        <v>#VALUE!</v>
      </c>
      <c r="D1592" s="74" t="e">
        <f t="shared" si="224"/>
        <v>#VALUE!</v>
      </c>
      <c r="E1592" s="25" t="e">
        <f t="shared" si="225"/>
        <v>#VALUE!</v>
      </c>
      <c r="F1592" s="25" t="e">
        <f t="shared" ca="1" si="226"/>
        <v>#VALUE!</v>
      </c>
      <c r="G1592" s="25"/>
      <c r="H1592" s="25" t="e">
        <f t="shared" si="230"/>
        <v>#VALUE!</v>
      </c>
      <c r="I1592" s="25">
        <f t="shared" si="227"/>
        <v>1077.9999999999752</v>
      </c>
      <c r="J1592" s="25" t="e">
        <f t="shared" si="228"/>
        <v>#VALUE!</v>
      </c>
    </row>
    <row r="1593" spans="1:10" x14ac:dyDescent="0.25">
      <c r="A1593" s="25">
        <f t="shared" si="229"/>
        <v>5.7899999999997522</v>
      </c>
      <c r="B1593" s="25">
        <f t="shared" ca="1" si="222"/>
        <v>1.3565024420669378E-2</v>
      </c>
      <c r="C1593" s="25" t="e">
        <f t="shared" si="223"/>
        <v>#VALUE!</v>
      </c>
      <c r="D1593" s="74" t="e">
        <f t="shared" si="224"/>
        <v>#VALUE!</v>
      </c>
      <c r="E1593" s="25" t="e">
        <f t="shared" si="225"/>
        <v>#VALUE!</v>
      </c>
      <c r="F1593" s="25" t="e">
        <f t="shared" ca="1" si="226"/>
        <v>#VALUE!</v>
      </c>
      <c r="G1593" s="25"/>
      <c r="H1593" s="25" t="e">
        <f t="shared" si="230"/>
        <v>#VALUE!</v>
      </c>
      <c r="I1593" s="25">
        <f t="shared" si="227"/>
        <v>1078.9999999999752</v>
      </c>
      <c r="J1593" s="25" t="e">
        <f t="shared" si="228"/>
        <v>#VALUE!</v>
      </c>
    </row>
    <row r="1594" spans="1:10" x14ac:dyDescent="0.25">
      <c r="A1594" s="25">
        <f t="shared" si="229"/>
        <v>5.799999999999752</v>
      </c>
      <c r="B1594" s="25">
        <f t="shared" ca="1" si="222"/>
        <v>-0.18115474647600582</v>
      </c>
      <c r="C1594" s="25" t="e">
        <f t="shared" si="223"/>
        <v>#VALUE!</v>
      </c>
      <c r="D1594" s="74" t="e">
        <f t="shared" si="224"/>
        <v>#VALUE!</v>
      </c>
      <c r="E1594" s="25" t="e">
        <f t="shared" si="225"/>
        <v>#VALUE!</v>
      </c>
      <c r="F1594" s="25" t="e">
        <f t="shared" ca="1" si="226"/>
        <v>#VALUE!</v>
      </c>
      <c r="G1594" s="25"/>
      <c r="H1594" s="25" t="e">
        <f t="shared" si="230"/>
        <v>#VALUE!</v>
      </c>
      <c r="I1594" s="25">
        <f t="shared" si="227"/>
        <v>1079.9999999999752</v>
      </c>
      <c r="J1594" s="25" t="e">
        <f t="shared" si="228"/>
        <v>#VALUE!</v>
      </c>
    </row>
    <row r="1595" spans="1:10" x14ac:dyDescent="0.25">
      <c r="A1595" s="25">
        <f t="shared" si="229"/>
        <v>5.8099999999997518</v>
      </c>
      <c r="B1595" s="25">
        <f t="shared" ca="1" si="222"/>
        <v>0.12526712480444455</v>
      </c>
      <c r="C1595" s="25" t="e">
        <f t="shared" si="223"/>
        <v>#VALUE!</v>
      </c>
      <c r="D1595" s="74" t="e">
        <f t="shared" si="224"/>
        <v>#VALUE!</v>
      </c>
      <c r="E1595" s="25" t="e">
        <f t="shared" si="225"/>
        <v>#VALUE!</v>
      </c>
      <c r="F1595" s="25" t="e">
        <f t="shared" ca="1" si="226"/>
        <v>#VALUE!</v>
      </c>
      <c r="G1595" s="25"/>
      <c r="H1595" s="25" t="e">
        <f t="shared" si="230"/>
        <v>#VALUE!</v>
      </c>
      <c r="I1595" s="25">
        <f t="shared" si="227"/>
        <v>1080.9999999999752</v>
      </c>
      <c r="J1595" s="25" t="e">
        <f t="shared" si="228"/>
        <v>#VALUE!</v>
      </c>
    </row>
    <row r="1596" spans="1:10" x14ac:dyDescent="0.25">
      <c r="A1596" s="25">
        <f t="shared" si="229"/>
        <v>5.8199999999997516</v>
      </c>
      <c r="B1596" s="25">
        <f t="shared" ca="1" si="222"/>
        <v>-3.2302097694693693E-2</v>
      </c>
      <c r="C1596" s="25" t="e">
        <f t="shared" si="223"/>
        <v>#VALUE!</v>
      </c>
      <c r="D1596" s="74" t="e">
        <f t="shared" si="224"/>
        <v>#VALUE!</v>
      </c>
      <c r="E1596" s="25" t="e">
        <f t="shared" si="225"/>
        <v>#VALUE!</v>
      </c>
      <c r="F1596" s="25" t="e">
        <f t="shared" ca="1" si="226"/>
        <v>#VALUE!</v>
      </c>
      <c r="G1596" s="25"/>
      <c r="H1596" s="25" t="e">
        <f t="shared" si="230"/>
        <v>#VALUE!</v>
      </c>
      <c r="I1596" s="25">
        <f t="shared" si="227"/>
        <v>1081.999999999975</v>
      </c>
      <c r="J1596" s="25" t="e">
        <f t="shared" si="228"/>
        <v>#VALUE!</v>
      </c>
    </row>
    <row r="1597" spans="1:10" x14ac:dyDescent="0.25">
      <c r="A1597" s="25">
        <f t="shared" si="229"/>
        <v>5.8299999999997514</v>
      </c>
      <c r="B1597" s="25">
        <f t="shared" ca="1" si="222"/>
        <v>0.10048472506100721</v>
      </c>
      <c r="C1597" s="25" t="e">
        <f t="shared" si="223"/>
        <v>#VALUE!</v>
      </c>
      <c r="D1597" s="74" t="e">
        <f t="shared" si="224"/>
        <v>#VALUE!</v>
      </c>
      <c r="E1597" s="25" t="e">
        <f t="shared" si="225"/>
        <v>#VALUE!</v>
      </c>
      <c r="F1597" s="25" t="e">
        <f t="shared" ca="1" si="226"/>
        <v>#VALUE!</v>
      </c>
      <c r="G1597" s="25"/>
      <c r="H1597" s="25" t="e">
        <f t="shared" si="230"/>
        <v>#VALUE!</v>
      </c>
      <c r="I1597" s="25">
        <f t="shared" si="227"/>
        <v>1082.999999999975</v>
      </c>
      <c r="J1597" s="25" t="e">
        <f t="shared" si="228"/>
        <v>#VALUE!</v>
      </c>
    </row>
    <row r="1598" spans="1:10" x14ac:dyDescent="0.25">
      <c r="A1598" s="25">
        <f t="shared" si="229"/>
        <v>5.8399999999997512</v>
      </c>
      <c r="B1598" s="25">
        <f t="shared" ca="1" si="222"/>
        <v>0.11639119351083367</v>
      </c>
      <c r="C1598" s="25" t="e">
        <f t="shared" si="223"/>
        <v>#VALUE!</v>
      </c>
      <c r="D1598" s="74" t="e">
        <f t="shared" si="224"/>
        <v>#VALUE!</v>
      </c>
      <c r="E1598" s="25" t="e">
        <f t="shared" si="225"/>
        <v>#VALUE!</v>
      </c>
      <c r="F1598" s="25" t="e">
        <f t="shared" ca="1" si="226"/>
        <v>#VALUE!</v>
      </c>
      <c r="G1598" s="25"/>
      <c r="H1598" s="25" t="e">
        <f t="shared" si="230"/>
        <v>#VALUE!</v>
      </c>
      <c r="I1598" s="25">
        <f t="shared" si="227"/>
        <v>1083.999999999975</v>
      </c>
      <c r="J1598" s="25" t="e">
        <f t="shared" si="228"/>
        <v>#VALUE!</v>
      </c>
    </row>
    <row r="1599" spans="1:10" x14ac:dyDescent="0.25">
      <c r="A1599" s="25">
        <f t="shared" si="229"/>
        <v>5.849999999999751</v>
      </c>
      <c r="B1599" s="25">
        <f t="shared" ca="1" si="222"/>
        <v>-0.16085562993244928</v>
      </c>
      <c r="C1599" s="25" t="e">
        <f t="shared" si="223"/>
        <v>#VALUE!</v>
      </c>
      <c r="D1599" s="74" t="e">
        <f t="shared" si="224"/>
        <v>#VALUE!</v>
      </c>
      <c r="E1599" s="25" t="e">
        <f t="shared" si="225"/>
        <v>#VALUE!</v>
      </c>
      <c r="F1599" s="25" t="e">
        <f t="shared" ca="1" si="226"/>
        <v>#VALUE!</v>
      </c>
      <c r="G1599" s="25"/>
      <c r="H1599" s="25" t="e">
        <f t="shared" si="230"/>
        <v>#VALUE!</v>
      </c>
      <c r="I1599" s="25">
        <f t="shared" si="227"/>
        <v>1084.999999999975</v>
      </c>
      <c r="J1599" s="25" t="e">
        <f t="shared" si="228"/>
        <v>#VALUE!</v>
      </c>
    </row>
    <row r="1600" spans="1:10" x14ac:dyDescent="0.25">
      <c r="A1600" s="25">
        <f t="shared" si="229"/>
        <v>5.8599999999997507</v>
      </c>
      <c r="B1600" s="25">
        <f t="shared" ca="1" si="222"/>
        <v>9.3626853618735753E-2</v>
      </c>
      <c r="C1600" s="25" t="e">
        <f t="shared" si="223"/>
        <v>#VALUE!</v>
      </c>
      <c r="D1600" s="74" t="e">
        <f t="shared" si="224"/>
        <v>#VALUE!</v>
      </c>
      <c r="E1600" s="25" t="e">
        <f t="shared" si="225"/>
        <v>#VALUE!</v>
      </c>
      <c r="F1600" s="25" t="e">
        <f t="shared" ca="1" si="226"/>
        <v>#VALUE!</v>
      </c>
      <c r="G1600" s="25"/>
      <c r="H1600" s="25" t="e">
        <f t="shared" si="230"/>
        <v>#VALUE!</v>
      </c>
      <c r="I1600" s="25">
        <f t="shared" si="227"/>
        <v>1085.999999999975</v>
      </c>
      <c r="J1600" s="25" t="e">
        <f t="shared" si="228"/>
        <v>#VALUE!</v>
      </c>
    </row>
    <row r="1601" spans="1:10" x14ac:dyDescent="0.25">
      <c r="A1601" s="25">
        <f t="shared" si="229"/>
        <v>5.8699999999997505</v>
      </c>
      <c r="B1601" s="25">
        <f t="shared" ca="1" si="222"/>
        <v>1.3923024197840037E-2</v>
      </c>
      <c r="C1601" s="25" t="e">
        <f t="shared" si="223"/>
        <v>#VALUE!</v>
      </c>
      <c r="D1601" s="74" t="e">
        <f t="shared" si="224"/>
        <v>#VALUE!</v>
      </c>
      <c r="E1601" s="25" t="e">
        <f t="shared" si="225"/>
        <v>#VALUE!</v>
      </c>
      <c r="F1601" s="25" t="e">
        <f t="shared" ca="1" si="226"/>
        <v>#VALUE!</v>
      </c>
      <c r="G1601" s="25"/>
      <c r="H1601" s="25" t="e">
        <f t="shared" si="230"/>
        <v>#VALUE!</v>
      </c>
      <c r="I1601" s="25">
        <f t="shared" si="227"/>
        <v>1086.999999999975</v>
      </c>
      <c r="J1601" s="25" t="e">
        <f t="shared" si="228"/>
        <v>#VALUE!</v>
      </c>
    </row>
    <row r="1602" spans="1:10" x14ac:dyDescent="0.25">
      <c r="A1602" s="25">
        <f t="shared" si="229"/>
        <v>5.8799999999997503</v>
      </c>
      <c r="B1602" s="25">
        <f t="shared" ca="1" si="222"/>
        <v>-0.16439674543326036</v>
      </c>
      <c r="C1602" s="25" t="e">
        <f t="shared" si="223"/>
        <v>#VALUE!</v>
      </c>
      <c r="D1602" s="74" t="e">
        <f t="shared" si="224"/>
        <v>#VALUE!</v>
      </c>
      <c r="E1602" s="25" t="e">
        <f t="shared" si="225"/>
        <v>#VALUE!</v>
      </c>
      <c r="F1602" s="25" t="e">
        <f t="shared" ca="1" si="226"/>
        <v>#VALUE!</v>
      </c>
      <c r="G1602" s="25"/>
      <c r="H1602" s="25" t="e">
        <f t="shared" si="230"/>
        <v>#VALUE!</v>
      </c>
      <c r="I1602" s="25">
        <f t="shared" si="227"/>
        <v>1087.999999999975</v>
      </c>
      <c r="J1602" s="25" t="e">
        <f t="shared" si="228"/>
        <v>#VALUE!</v>
      </c>
    </row>
    <row r="1603" spans="1:10" x14ac:dyDescent="0.25">
      <c r="A1603" s="25">
        <f t="shared" si="229"/>
        <v>5.8899999999997501</v>
      </c>
      <c r="B1603" s="25">
        <f t="shared" ca="1" si="222"/>
        <v>5.3881753128447479E-2</v>
      </c>
      <c r="C1603" s="25" t="e">
        <f t="shared" si="223"/>
        <v>#VALUE!</v>
      </c>
      <c r="D1603" s="74" t="e">
        <f t="shared" si="224"/>
        <v>#VALUE!</v>
      </c>
      <c r="E1603" s="25" t="e">
        <f t="shared" si="225"/>
        <v>#VALUE!</v>
      </c>
      <c r="F1603" s="25" t="e">
        <f t="shared" ca="1" si="226"/>
        <v>#VALUE!</v>
      </c>
      <c r="G1603" s="25"/>
      <c r="H1603" s="25" t="e">
        <f t="shared" si="230"/>
        <v>#VALUE!</v>
      </c>
      <c r="I1603" s="25">
        <f t="shared" si="227"/>
        <v>1088.999999999975</v>
      </c>
      <c r="J1603" s="25" t="e">
        <f t="shared" si="228"/>
        <v>#VALUE!</v>
      </c>
    </row>
    <row r="1604" spans="1:10" x14ac:dyDescent="0.25">
      <c r="A1604" s="25">
        <f t="shared" si="229"/>
        <v>5.8999999999997499</v>
      </c>
      <c r="B1604" s="25">
        <f t="shared" ca="1" si="222"/>
        <v>-0.18829849437240617</v>
      </c>
      <c r="C1604" s="25" t="e">
        <f t="shared" si="223"/>
        <v>#VALUE!</v>
      </c>
      <c r="D1604" s="74" t="e">
        <f t="shared" si="224"/>
        <v>#VALUE!</v>
      </c>
      <c r="E1604" s="25" t="e">
        <f t="shared" si="225"/>
        <v>#VALUE!</v>
      </c>
      <c r="F1604" s="25" t="e">
        <f t="shared" ca="1" si="226"/>
        <v>#VALUE!</v>
      </c>
      <c r="G1604" s="25"/>
      <c r="H1604" s="25" t="e">
        <f t="shared" si="230"/>
        <v>#VALUE!</v>
      </c>
      <c r="I1604" s="25">
        <f t="shared" si="227"/>
        <v>1089.999999999975</v>
      </c>
      <c r="J1604" s="25" t="e">
        <f t="shared" si="228"/>
        <v>#VALUE!</v>
      </c>
    </row>
    <row r="1605" spans="1:10" x14ac:dyDescent="0.25">
      <c r="A1605" s="25">
        <f t="shared" si="229"/>
        <v>5.9099999999997497</v>
      </c>
      <c r="B1605" s="25">
        <f t="shared" ca="1" si="222"/>
        <v>6.8264087003902726E-2</v>
      </c>
      <c r="C1605" s="25" t="e">
        <f t="shared" si="223"/>
        <v>#VALUE!</v>
      </c>
      <c r="D1605" s="74" t="e">
        <f t="shared" si="224"/>
        <v>#VALUE!</v>
      </c>
      <c r="E1605" s="25" t="e">
        <f t="shared" si="225"/>
        <v>#VALUE!</v>
      </c>
      <c r="F1605" s="25" t="e">
        <f t="shared" ca="1" si="226"/>
        <v>#VALUE!</v>
      </c>
      <c r="G1605" s="25"/>
      <c r="H1605" s="25" t="e">
        <f t="shared" si="230"/>
        <v>#VALUE!</v>
      </c>
      <c r="I1605" s="25">
        <f t="shared" si="227"/>
        <v>1090.999999999975</v>
      </c>
      <c r="J1605" s="25" t="e">
        <f t="shared" si="228"/>
        <v>#VALUE!</v>
      </c>
    </row>
    <row r="1606" spans="1:10" x14ac:dyDescent="0.25">
      <c r="A1606" s="25">
        <f t="shared" si="229"/>
        <v>5.9199999999997495</v>
      </c>
      <c r="B1606" s="25">
        <f t="shared" ca="1" si="222"/>
        <v>8.8594562332404883E-2</v>
      </c>
      <c r="C1606" s="25" t="e">
        <f t="shared" si="223"/>
        <v>#VALUE!</v>
      </c>
      <c r="D1606" s="74" t="e">
        <f t="shared" si="224"/>
        <v>#VALUE!</v>
      </c>
      <c r="E1606" s="25" t="e">
        <f t="shared" si="225"/>
        <v>#VALUE!</v>
      </c>
      <c r="F1606" s="25" t="e">
        <f t="shared" ca="1" si="226"/>
        <v>#VALUE!</v>
      </c>
      <c r="G1606" s="25"/>
      <c r="H1606" s="25" t="e">
        <f t="shared" si="230"/>
        <v>#VALUE!</v>
      </c>
      <c r="I1606" s="25">
        <f t="shared" si="227"/>
        <v>1091.999999999975</v>
      </c>
      <c r="J1606" s="25" t="e">
        <f t="shared" si="228"/>
        <v>#VALUE!</v>
      </c>
    </row>
    <row r="1607" spans="1:10" x14ac:dyDescent="0.25">
      <c r="A1607" s="25">
        <f t="shared" si="229"/>
        <v>5.9299999999997492</v>
      </c>
      <c r="B1607" s="25">
        <f t="shared" ca="1" si="222"/>
        <v>-1.8455985549998732E-2</v>
      </c>
      <c r="C1607" s="25" t="e">
        <f t="shared" si="223"/>
        <v>#VALUE!</v>
      </c>
      <c r="D1607" s="74" t="e">
        <f t="shared" si="224"/>
        <v>#VALUE!</v>
      </c>
      <c r="E1607" s="25" t="e">
        <f t="shared" si="225"/>
        <v>#VALUE!</v>
      </c>
      <c r="F1607" s="25" t="e">
        <f t="shared" ca="1" si="226"/>
        <v>#VALUE!</v>
      </c>
      <c r="G1607" s="25"/>
      <c r="H1607" s="25" t="e">
        <f t="shared" si="230"/>
        <v>#VALUE!</v>
      </c>
      <c r="I1607" s="25">
        <f t="shared" si="227"/>
        <v>1092.999999999975</v>
      </c>
      <c r="J1607" s="25" t="e">
        <f t="shared" si="228"/>
        <v>#VALUE!</v>
      </c>
    </row>
    <row r="1608" spans="1:10" x14ac:dyDescent="0.25">
      <c r="A1608" s="25">
        <f t="shared" si="229"/>
        <v>5.939999999999749</v>
      </c>
      <c r="B1608" s="25">
        <f t="shared" ca="1" si="222"/>
        <v>3.6412809544532514E-2</v>
      </c>
      <c r="C1608" s="25" t="e">
        <f t="shared" si="223"/>
        <v>#VALUE!</v>
      </c>
      <c r="D1608" s="74" t="e">
        <f t="shared" si="224"/>
        <v>#VALUE!</v>
      </c>
      <c r="E1608" s="25" t="e">
        <f t="shared" si="225"/>
        <v>#VALUE!</v>
      </c>
      <c r="F1608" s="25" t="e">
        <f t="shared" ca="1" si="226"/>
        <v>#VALUE!</v>
      </c>
      <c r="G1608" s="25"/>
      <c r="H1608" s="25" t="e">
        <f t="shared" si="230"/>
        <v>#VALUE!</v>
      </c>
      <c r="I1608" s="25">
        <f t="shared" si="227"/>
        <v>1093.999999999975</v>
      </c>
      <c r="J1608" s="25" t="e">
        <f t="shared" si="228"/>
        <v>#VALUE!</v>
      </c>
    </row>
    <row r="1609" spans="1:10" x14ac:dyDescent="0.25">
      <c r="A1609" s="25">
        <f t="shared" si="229"/>
        <v>5.9499999999997488</v>
      </c>
      <c r="B1609" s="25">
        <f t="shared" ca="1" si="222"/>
        <v>-0.11607744667576207</v>
      </c>
      <c r="C1609" s="25" t="e">
        <f t="shared" si="223"/>
        <v>#VALUE!</v>
      </c>
      <c r="D1609" s="74" t="e">
        <f t="shared" si="224"/>
        <v>#VALUE!</v>
      </c>
      <c r="E1609" s="25" t="e">
        <f t="shared" si="225"/>
        <v>#VALUE!</v>
      </c>
      <c r="F1609" s="25" t="e">
        <f t="shared" ca="1" si="226"/>
        <v>#VALUE!</v>
      </c>
      <c r="G1609" s="25"/>
      <c r="H1609" s="25" t="e">
        <f t="shared" si="230"/>
        <v>#VALUE!</v>
      </c>
      <c r="I1609" s="25">
        <f t="shared" si="227"/>
        <v>1094.999999999975</v>
      </c>
      <c r="J1609" s="25" t="e">
        <f t="shared" si="228"/>
        <v>#VALUE!</v>
      </c>
    </row>
    <row r="1610" spans="1:10" x14ac:dyDescent="0.25">
      <c r="A1610" s="25">
        <f t="shared" si="229"/>
        <v>5.9599999999997486</v>
      </c>
      <c r="B1610" s="25">
        <f t="shared" ca="1" si="222"/>
        <v>-7.4788770317360878E-2</v>
      </c>
      <c r="C1610" s="25" t="e">
        <f t="shared" si="223"/>
        <v>#VALUE!</v>
      </c>
      <c r="D1610" s="74" t="e">
        <f t="shared" si="224"/>
        <v>#VALUE!</v>
      </c>
      <c r="E1610" s="25" t="e">
        <f t="shared" si="225"/>
        <v>#VALUE!</v>
      </c>
      <c r="F1610" s="25" t="e">
        <f t="shared" ca="1" si="226"/>
        <v>#VALUE!</v>
      </c>
      <c r="G1610" s="25"/>
      <c r="H1610" s="25" t="e">
        <f t="shared" si="230"/>
        <v>#VALUE!</v>
      </c>
      <c r="I1610" s="25">
        <f t="shared" si="227"/>
        <v>1095.999999999975</v>
      </c>
      <c r="J1610" s="25" t="e">
        <f t="shared" si="228"/>
        <v>#VALUE!</v>
      </c>
    </row>
    <row r="1611" spans="1:10" x14ac:dyDescent="0.25">
      <c r="A1611" s="25">
        <f t="shared" si="229"/>
        <v>5.9699999999997484</v>
      </c>
      <c r="B1611" s="25">
        <f t="shared" ca="1" si="222"/>
        <v>-0.16429518468239898</v>
      </c>
      <c r="C1611" s="25" t="e">
        <f t="shared" si="223"/>
        <v>#VALUE!</v>
      </c>
      <c r="D1611" s="74" t="e">
        <f t="shared" si="224"/>
        <v>#VALUE!</v>
      </c>
      <c r="E1611" s="25" t="e">
        <f t="shared" si="225"/>
        <v>#VALUE!</v>
      </c>
      <c r="F1611" s="25" t="e">
        <f t="shared" ca="1" si="226"/>
        <v>#VALUE!</v>
      </c>
      <c r="G1611" s="25"/>
      <c r="H1611" s="25" t="e">
        <f t="shared" si="230"/>
        <v>#VALUE!</v>
      </c>
      <c r="I1611" s="25">
        <f t="shared" si="227"/>
        <v>1096.999999999975</v>
      </c>
      <c r="J1611" s="25" t="e">
        <f t="shared" si="228"/>
        <v>#VALUE!</v>
      </c>
    </row>
    <row r="1612" spans="1:10" x14ac:dyDescent="0.25">
      <c r="A1612" s="25">
        <f t="shared" si="229"/>
        <v>5.9799999999997482</v>
      </c>
      <c r="B1612" s="25">
        <f t="shared" ca="1" si="222"/>
        <v>-0.13663158194343961</v>
      </c>
      <c r="C1612" s="25" t="e">
        <f t="shared" si="223"/>
        <v>#VALUE!</v>
      </c>
      <c r="D1612" s="74" t="e">
        <f t="shared" si="224"/>
        <v>#VALUE!</v>
      </c>
      <c r="E1612" s="25" t="e">
        <f t="shared" si="225"/>
        <v>#VALUE!</v>
      </c>
      <c r="F1612" s="25" t="e">
        <f t="shared" ca="1" si="226"/>
        <v>#VALUE!</v>
      </c>
      <c r="G1612" s="25"/>
      <c r="H1612" s="25" t="e">
        <f t="shared" si="230"/>
        <v>#VALUE!</v>
      </c>
      <c r="I1612" s="25">
        <f t="shared" si="227"/>
        <v>1097.999999999975</v>
      </c>
      <c r="J1612" s="25" t="e">
        <f t="shared" si="228"/>
        <v>#VALUE!</v>
      </c>
    </row>
    <row r="1613" spans="1:10" x14ac:dyDescent="0.25">
      <c r="A1613" s="25">
        <f t="shared" si="229"/>
        <v>5.989999999999748</v>
      </c>
      <c r="B1613" s="25">
        <f t="shared" ca="1" si="222"/>
        <v>-0.16143563651719572</v>
      </c>
      <c r="C1613" s="25" t="e">
        <f t="shared" si="223"/>
        <v>#VALUE!</v>
      </c>
      <c r="D1613" s="74" t="e">
        <f t="shared" si="224"/>
        <v>#VALUE!</v>
      </c>
      <c r="E1613" s="25" t="e">
        <f t="shared" si="225"/>
        <v>#VALUE!</v>
      </c>
      <c r="F1613" s="25" t="e">
        <f t="shared" ca="1" si="226"/>
        <v>#VALUE!</v>
      </c>
      <c r="G1613" s="25"/>
      <c r="H1613" s="25" t="e">
        <f t="shared" si="230"/>
        <v>#VALUE!</v>
      </c>
      <c r="I1613" s="25">
        <f t="shared" si="227"/>
        <v>1098.9999999999748</v>
      </c>
      <c r="J1613" s="25" t="e">
        <f t="shared" si="228"/>
        <v>#VALUE!</v>
      </c>
    </row>
    <row r="1614" spans="1:10" x14ac:dyDescent="0.25">
      <c r="A1614" s="25">
        <f t="shared" si="229"/>
        <v>5.9999999999997478</v>
      </c>
      <c r="B1614" s="25">
        <f t="shared" ref="B1614:B1677" ca="1" si="231">(RAND()-0.5-$B$7)/$B$5</f>
        <v>7.1430429698205414E-2</v>
      </c>
      <c r="C1614" s="25" t="e">
        <f t="shared" ref="C1614:C1677" si="232">IF(ABS(A1614)&lt;=($D$3/2),1,IF(ABS(A1614)&lt;=($B$4/2),IF(A1614&gt;0,A1614*(4/(1-2*$B$4))+(2*$B$4/(2*$B$4-1)),(-A1614*(4/(1-2*$B$4))+(2*$B$4/(2*$B$4-1)))),0))</f>
        <v>#VALUE!</v>
      </c>
      <c r="D1614" s="74" t="e">
        <f t="shared" ref="D1614:D1677" si="233">IF(ABS(A1614)&lt;=($D$3/4+$B$4/4),1,IF(ABS(A1614)&lt;=($B$4/2),(IF(A1614&gt;0,A1614*(8/(1-2*$B$4))+(4*$B$4)/(2*$B$4-1),(-A1614*(8/(1-2*$B$4))+(4*$B$4)/(2*$B$4-1)))),0))</f>
        <v>#VALUE!</v>
      </c>
      <c r="E1614" s="25" t="e">
        <f t="shared" ref="E1614:E1677" si="234">IF(ABS(A1614)&lt;($B$4/2), 1, 0)</f>
        <v>#VALUE!</v>
      </c>
      <c r="F1614" s="25" t="e">
        <f t="shared" ref="F1614:F1677" ca="1" si="235">C1614+B1614</f>
        <v>#VALUE!</v>
      </c>
      <c r="G1614" s="25"/>
      <c r="H1614" s="25" t="e">
        <f t="shared" si="230"/>
        <v>#VALUE!</v>
      </c>
      <c r="I1614" s="25">
        <f t="shared" ref="I1614:I1677" si="236">$I$3*(A1614-$G$3)/($H$3-$G$3)</f>
        <v>1099.9999999999748</v>
      </c>
      <c r="J1614" s="25" t="e">
        <f t="shared" ref="J1614:J1677" si="237">H1614</f>
        <v>#VALUE!</v>
      </c>
    </row>
    <row r="1615" spans="1:10" x14ac:dyDescent="0.25">
      <c r="A1615" s="25">
        <f t="shared" ref="A1615:A1678" si="238">A1614+0.01</f>
        <v>6.0099999999997475</v>
      </c>
      <c r="B1615" s="25">
        <f t="shared" ca="1" si="231"/>
        <v>3.7895635746366146E-2</v>
      </c>
      <c r="C1615" s="25" t="e">
        <f t="shared" si="232"/>
        <v>#VALUE!</v>
      </c>
      <c r="D1615" s="74" t="e">
        <f t="shared" si="233"/>
        <v>#VALUE!</v>
      </c>
      <c r="E1615" s="25" t="e">
        <f t="shared" si="234"/>
        <v>#VALUE!</v>
      </c>
      <c r="F1615" s="25" t="e">
        <f t="shared" ca="1" si="235"/>
        <v>#VALUE!</v>
      </c>
      <c r="G1615" s="25"/>
      <c r="H1615" s="25" t="e">
        <f t="shared" si="230"/>
        <v>#VALUE!</v>
      </c>
      <c r="I1615" s="25">
        <f t="shared" si="236"/>
        <v>1100.9999999999748</v>
      </c>
      <c r="J1615" s="25" t="e">
        <f t="shared" si="237"/>
        <v>#VALUE!</v>
      </c>
    </row>
    <row r="1616" spans="1:10" x14ac:dyDescent="0.25">
      <c r="A1616" s="25">
        <f t="shared" si="238"/>
        <v>6.0199999999997473</v>
      </c>
      <c r="B1616" s="25">
        <f t="shared" ca="1" si="231"/>
        <v>-0.1922086988170624</v>
      </c>
      <c r="C1616" s="25" t="e">
        <f t="shared" si="232"/>
        <v>#VALUE!</v>
      </c>
      <c r="D1616" s="74" t="e">
        <f t="shared" si="233"/>
        <v>#VALUE!</v>
      </c>
      <c r="E1616" s="25" t="e">
        <f t="shared" si="234"/>
        <v>#VALUE!</v>
      </c>
      <c r="F1616" s="25" t="e">
        <f t="shared" ca="1" si="235"/>
        <v>#VALUE!</v>
      </c>
      <c r="G1616" s="25"/>
      <c r="H1616" s="25" t="e">
        <f t="shared" si="230"/>
        <v>#VALUE!</v>
      </c>
      <c r="I1616" s="25">
        <f t="shared" si="236"/>
        <v>1101.9999999999748</v>
      </c>
      <c r="J1616" s="25" t="e">
        <f t="shared" si="237"/>
        <v>#VALUE!</v>
      </c>
    </row>
    <row r="1617" spans="1:10" x14ac:dyDescent="0.25">
      <c r="A1617" s="25">
        <f t="shared" si="238"/>
        <v>6.0299999999997471</v>
      </c>
      <c r="B1617" s="25">
        <f t="shared" ca="1" si="231"/>
        <v>-4.0380992805890414E-3</v>
      </c>
      <c r="C1617" s="25" t="e">
        <f t="shared" si="232"/>
        <v>#VALUE!</v>
      </c>
      <c r="D1617" s="74" t="e">
        <f t="shared" si="233"/>
        <v>#VALUE!</v>
      </c>
      <c r="E1617" s="25" t="e">
        <f t="shared" si="234"/>
        <v>#VALUE!</v>
      </c>
      <c r="F1617" s="25" t="e">
        <f t="shared" ca="1" si="235"/>
        <v>#VALUE!</v>
      </c>
      <c r="G1617" s="25"/>
      <c r="H1617" s="25" t="e">
        <f t="shared" si="230"/>
        <v>#VALUE!</v>
      </c>
      <c r="I1617" s="25">
        <f t="shared" si="236"/>
        <v>1102.9999999999748</v>
      </c>
      <c r="J1617" s="25" t="e">
        <f t="shared" si="237"/>
        <v>#VALUE!</v>
      </c>
    </row>
    <row r="1618" spans="1:10" x14ac:dyDescent="0.25">
      <c r="A1618" s="25">
        <f t="shared" si="238"/>
        <v>6.0399999999997469</v>
      </c>
      <c r="B1618" s="25">
        <f t="shared" ca="1" si="231"/>
        <v>-0.10345498869153975</v>
      </c>
      <c r="C1618" s="25" t="e">
        <f t="shared" si="232"/>
        <v>#VALUE!</v>
      </c>
      <c r="D1618" s="74" t="e">
        <f t="shared" si="233"/>
        <v>#VALUE!</v>
      </c>
      <c r="E1618" s="25" t="e">
        <f t="shared" si="234"/>
        <v>#VALUE!</v>
      </c>
      <c r="F1618" s="25" t="e">
        <f t="shared" ca="1" si="235"/>
        <v>#VALUE!</v>
      </c>
      <c r="G1618" s="25"/>
      <c r="H1618" s="25" t="e">
        <f t="shared" si="230"/>
        <v>#VALUE!</v>
      </c>
      <c r="I1618" s="25">
        <f t="shared" si="236"/>
        <v>1103.9999999999748</v>
      </c>
      <c r="J1618" s="25" t="e">
        <f t="shared" si="237"/>
        <v>#VALUE!</v>
      </c>
    </row>
    <row r="1619" spans="1:10" x14ac:dyDescent="0.25">
      <c r="A1619" s="25">
        <f t="shared" si="238"/>
        <v>6.0499999999997467</v>
      </c>
      <c r="B1619" s="25">
        <f t="shared" ca="1" si="231"/>
        <v>-0.19622378457717629</v>
      </c>
      <c r="C1619" s="25" t="e">
        <f t="shared" si="232"/>
        <v>#VALUE!</v>
      </c>
      <c r="D1619" s="74" t="e">
        <f t="shared" si="233"/>
        <v>#VALUE!</v>
      </c>
      <c r="E1619" s="25" t="e">
        <f t="shared" si="234"/>
        <v>#VALUE!</v>
      </c>
      <c r="F1619" s="25" t="e">
        <f t="shared" ca="1" si="235"/>
        <v>#VALUE!</v>
      </c>
      <c r="G1619" s="25"/>
      <c r="H1619" s="25" t="e">
        <f t="shared" si="230"/>
        <v>#VALUE!</v>
      </c>
      <c r="I1619" s="25">
        <f t="shared" si="236"/>
        <v>1104.9999999999748</v>
      </c>
      <c r="J1619" s="25" t="e">
        <f t="shared" si="237"/>
        <v>#VALUE!</v>
      </c>
    </row>
    <row r="1620" spans="1:10" x14ac:dyDescent="0.25">
      <c r="A1620" s="25">
        <f t="shared" si="238"/>
        <v>6.0599999999997465</v>
      </c>
      <c r="B1620" s="25">
        <f t="shared" ca="1" si="231"/>
        <v>-7.2006491235179479E-2</v>
      </c>
      <c r="C1620" s="25" t="e">
        <f t="shared" si="232"/>
        <v>#VALUE!</v>
      </c>
      <c r="D1620" s="74" t="e">
        <f t="shared" si="233"/>
        <v>#VALUE!</v>
      </c>
      <c r="E1620" s="25" t="e">
        <f t="shared" si="234"/>
        <v>#VALUE!</v>
      </c>
      <c r="F1620" s="25" t="e">
        <f t="shared" ca="1" si="235"/>
        <v>#VALUE!</v>
      </c>
      <c r="G1620" s="25"/>
      <c r="H1620" s="25" t="e">
        <f t="shared" si="230"/>
        <v>#VALUE!</v>
      </c>
      <c r="I1620" s="25">
        <f t="shared" si="236"/>
        <v>1105.9999999999748</v>
      </c>
      <c r="J1620" s="25" t="e">
        <f t="shared" si="237"/>
        <v>#VALUE!</v>
      </c>
    </row>
    <row r="1621" spans="1:10" x14ac:dyDescent="0.25">
      <c r="A1621" s="25">
        <f t="shared" si="238"/>
        <v>6.0699999999997463</v>
      </c>
      <c r="B1621" s="25">
        <f t="shared" ca="1" si="231"/>
        <v>8.5886884986815473E-2</v>
      </c>
      <c r="C1621" s="25" t="e">
        <f t="shared" si="232"/>
        <v>#VALUE!</v>
      </c>
      <c r="D1621" s="74" t="e">
        <f t="shared" si="233"/>
        <v>#VALUE!</v>
      </c>
      <c r="E1621" s="25" t="e">
        <f t="shared" si="234"/>
        <v>#VALUE!</v>
      </c>
      <c r="F1621" s="25" t="e">
        <f t="shared" ca="1" si="235"/>
        <v>#VALUE!</v>
      </c>
      <c r="G1621" s="25"/>
      <c r="H1621" s="25" t="e">
        <f t="shared" si="230"/>
        <v>#VALUE!</v>
      </c>
      <c r="I1621" s="25">
        <f t="shared" si="236"/>
        <v>1106.9999999999748</v>
      </c>
      <c r="J1621" s="25" t="e">
        <f t="shared" si="237"/>
        <v>#VALUE!</v>
      </c>
    </row>
    <row r="1622" spans="1:10" x14ac:dyDescent="0.25">
      <c r="A1622" s="25">
        <f t="shared" si="238"/>
        <v>6.0799999999997461</v>
      </c>
      <c r="B1622" s="25">
        <f t="shared" ca="1" si="231"/>
        <v>4.5798761534001182E-3</v>
      </c>
      <c r="C1622" s="25" t="e">
        <f t="shared" si="232"/>
        <v>#VALUE!</v>
      </c>
      <c r="D1622" s="74" t="e">
        <f t="shared" si="233"/>
        <v>#VALUE!</v>
      </c>
      <c r="E1622" s="25" t="e">
        <f t="shared" si="234"/>
        <v>#VALUE!</v>
      </c>
      <c r="F1622" s="25" t="e">
        <f t="shared" ca="1" si="235"/>
        <v>#VALUE!</v>
      </c>
      <c r="G1622" s="25"/>
      <c r="H1622" s="25" t="e">
        <f t="shared" si="230"/>
        <v>#VALUE!</v>
      </c>
      <c r="I1622" s="25">
        <f t="shared" si="236"/>
        <v>1107.9999999999745</v>
      </c>
      <c r="J1622" s="25" t="e">
        <f t="shared" si="237"/>
        <v>#VALUE!</v>
      </c>
    </row>
    <row r="1623" spans="1:10" x14ac:dyDescent="0.25">
      <c r="A1623" s="25">
        <f t="shared" si="238"/>
        <v>6.0899999999997458</v>
      </c>
      <c r="B1623" s="25">
        <f t="shared" ca="1" si="231"/>
        <v>-5.8247353140889586E-2</v>
      </c>
      <c r="C1623" s="25" t="e">
        <f t="shared" si="232"/>
        <v>#VALUE!</v>
      </c>
      <c r="D1623" s="74" t="e">
        <f t="shared" si="233"/>
        <v>#VALUE!</v>
      </c>
      <c r="E1623" s="25" t="e">
        <f t="shared" si="234"/>
        <v>#VALUE!</v>
      </c>
      <c r="F1623" s="25" t="e">
        <f t="shared" ca="1" si="235"/>
        <v>#VALUE!</v>
      </c>
      <c r="G1623" s="25"/>
      <c r="H1623" s="25" t="e">
        <f t="shared" si="230"/>
        <v>#VALUE!</v>
      </c>
      <c r="I1623" s="25">
        <f t="shared" si="236"/>
        <v>1108.9999999999745</v>
      </c>
      <c r="J1623" s="25" t="e">
        <f t="shared" si="237"/>
        <v>#VALUE!</v>
      </c>
    </row>
    <row r="1624" spans="1:10" x14ac:dyDescent="0.25">
      <c r="A1624" s="25">
        <f t="shared" si="238"/>
        <v>6.0999999999997456</v>
      </c>
      <c r="B1624" s="25">
        <f t="shared" ca="1" si="231"/>
        <v>0.11781004212095096</v>
      </c>
      <c r="C1624" s="25" t="e">
        <f t="shared" si="232"/>
        <v>#VALUE!</v>
      </c>
      <c r="D1624" s="74" t="e">
        <f t="shared" si="233"/>
        <v>#VALUE!</v>
      </c>
      <c r="E1624" s="25" t="e">
        <f t="shared" si="234"/>
        <v>#VALUE!</v>
      </c>
      <c r="F1624" s="25" t="e">
        <f t="shared" ca="1" si="235"/>
        <v>#VALUE!</v>
      </c>
      <c r="G1624" s="25"/>
      <c r="H1624" s="25" t="e">
        <f t="shared" si="230"/>
        <v>#VALUE!</v>
      </c>
      <c r="I1624" s="25">
        <f t="shared" si="236"/>
        <v>1109.9999999999745</v>
      </c>
      <c r="J1624" s="25" t="e">
        <f t="shared" si="237"/>
        <v>#VALUE!</v>
      </c>
    </row>
    <row r="1625" spans="1:10" x14ac:dyDescent="0.25">
      <c r="A1625" s="25">
        <f t="shared" si="238"/>
        <v>6.1099999999997454</v>
      </c>
      <c r="B1625" s="25">
        <f t="shared" ca="1" si="231"/>
        <v>-6.8928393090206722E-2</v>
      </c>
      <c r="C1625" s="25" t="e">
        <f t="shared" si="232"/>
        <v>#VALUE!</v>
      </c>
      <c r="D1625" s="74" t="e">
        <f t="shared" si="233"/>
        <v>#VALUE!</v>
      </c>
      <c r="E1625" s="25" t="e">
        <f t="shared" si="234"/>
        <v>#VALUE!</v>
      </c>
      <c r="F1625" s="25" t="e">
        <f t="shared" ca="1" si="235"/>
        <v>#VALUE!</v>
      </c>
      <c r="G1625" s="25"/>
      <c r="H1625" s="25" t="e">
        <f t="shared" si="230"/>
        <v>#VALUE!</v>
      </c>
      <c r="I1625" s="25">
        <f t="shared" si="236"/>
        <v>1110.9999999999745</v>
      </c>
      <c r="J1625" s="25" t="e">
        <f t="shared" si="237"/>
        <v>#VALUE!</v>
      </c>
    </row>
    <row r="1626" spans="1:10" x14ac:dyDescent="0.25">
      <c r="A1626" s="25">
        <f t="shared" si="238"/>
        <v>6.1199999999997452</v>
      </c>
      <c r="B1626" s="25">
        <f t="shared" ca="1" si="231"/>
        <v>0.10623785467195505</v>
      </c>
      <c r="C1626" s="25" t="e">
        <f t="shared" si="232"/>
        <v>#VALUE!</v>
      </c>
      <c r="D1626" s="74" t="e">
        <f t="shared" si="233"/>
        <v>#VALUE!</v>
      </c>
      <c r="E1626" s="25" t="e">
        <f t="shared" si="234"/>
        <v>#VALUE!</v>
      </c>
      <c r="F1626" s="25" t="e">
        <f t="shared" ca="1" si="235"/>
        <v>#VALUE!</v>
      </c>
      <c r="G1626" s="25"/>
      <c r="H1626" s="25" t="e">
        <f t="shared" si="230"/>
        <v>#VALUE!</v>
      </c>
      <c r="I1626" s="25">
        <f t="shared" si="236"/>
        <v>1111.9999999999745</v>
      </c>
      <c r="J1626" s="25" t="e">
        <f t="shared" si="237"/>
        <v>#VALUE!</v>
      </c>
    </row>
    <row r="1627" spans="1:10" x14ac:dyDescent="0.25">
      <c r="A1627" s="25">
        <f t="shared" si="238"/>
        <v>6.129999999999745</v>
      </c>
      <c r="B1627" s="25">
        <f t="shared" ca="1" si="231"/>
        <v>5.0663577489861673E-2</v>
      </c>
      <c r="C1627" s="25" t="e">
        <f t="shared" si="232"/>
        <v>#VALUE!</v>
      </c>
      <c r="D1627" s="74" t="e">
        <f t="shared" si="233"/>
        <v>#VALUE!</v>
      </c>
      <c r="E1627" s="25" t="e">
        <f t="shared" si="234"/>
        <v>#VALUE!</v>
      </c>
      <c r="F1627" s="25" t="e">
        <f t="shared" ca="1" si="235"/>
        <v>#VALUE!</v>
      </c>
      <c r="G1627" s="25"/>
      <c r="H1627" s="25" t="e">
        <f t="shared" si="230"/>
        <v>#VALUE!</v>
      </c>
      <c r="I1627" s="25">
        <f t="shared" si="236"/>
        <v>1112.9999999999745</v>
      </c>
      <c r="J1627" s="25" t="e">
        <f t="shared" si="237"/>
        <v>#VALUE!</v>
      </c>
    </row>
    <row r="1628" spans="1:10" x14ac:dyDescent="0.25">
      <c r="A1628" s="25">
        <f t="shared" si="238"/>
        <v>6.1399999999997448</v>
      </c>
      <c r="B1628" s="25">
        <f t="shared" ca="1" si="231"/>
        <v>-0.14061350871858666</v>
      </c>
      <c r="C1628" s="25" t="e">
        <f t="shared" si="232"/>
        <v>#VALUE!</v>
      </c>
      <c r="D1628" s="74" t="e">
        <f t="shared" si="233"/>
        <v>#VALUE!</v>
      </c>
      <c r="E1628" s="25" t="e">
        <f t="shared" si="234"/>
        <v>#VALUE!</v>
      </c>
      <c r="F1628" s="25" t="e">
        <f t="shared" ca="1" si="235"/>
        <v>#VALUE!</v>
      </c>
      <c r="G1628" s="25"/>
      <c r="H1628" s="25" t="e">
        <f t="shared" si="230"/>
        <v>#VALUE!</v>
      </c>
      <c r="I1628" s="25">
        <f t="shared" si="236"/>
        <v>1113.9999999999745</v>
      </c>
      <c r="J1628" s="25" t="e">
        <f t="shared" si="237"/>
        <v>#VALUE!</v>
      </c>
    </row>
    <row r="1629" spans="1:10" x14ac:dyDescent="0.25">
      <c r="A1629" s="25">
        <f t="shared" si="238"/>
        <v>6.1499999999997446</v>
      </c>
      <c r="B1629" s="25">
        <f t="shared" ca="1" si="231"/>
        <v>-0.19314997677739551</v>
      </c>
      <c r="C1629" s="25" t="e">
        <f t="shared" si="232"/>
        <v>#VALUE!</v>
      </c>
      <c r="D1629" s="74" t="e">
        <f t="shared" si="233"/>
        <v>#VALUE!</v>
      </c>
      <c r="E1629" s="25" t="e">
        <f t="shared" si="234"/>
        <v>#VALUE!</v>
      </c>
      <c r="F1629" s="25" t="e">
        <f t="shared" ca="1" si="235"/>
        <v>#VALUE!</v>
      </c>
      <c r="G1629" s="25"/>
      <c r="H1629" s="25" t="e">
        <f t="shared" si="230"/>
        <v>#VALUE!</v>
      </c>
      <c r="I1629" s="25">
        <f t="shared" si="236"/>
        <v>1114.9999999999745</v>
      </c>
      <c r="J1629" s="25" t="e">
        <f t="shared" si="237"/>
        <v>#VALUE!</v>
      </c>
    </row>
    <row r="1630" spans="1:10" x14ac:dyDescent="0.25">
      <c r="A1630" s="25">
        <f t="shared" si="238"/>
        <v>6.1599999999997443</v>
      </c>
      <c r="B1630" s="25">
        <f t="shared" ca="1" si="231"/>
        <v>8.0689730845375104E-2</v>
      </c>
      <c r="C1630" s="25" t="e">
        <f t="shared" si="232"/>
        <v>#VALUE!</v>
      </c>
      <c r="D1630" s="74" t="e">
        <f t="shared" si="233"/>
        <v>#VALUE!</v>
      </c>
      <c r="E1630" s="25" t="e">
        <f t="shared" si="234"/>
        <v>#VALUE!</v>
      </c>
      <c r="F1630" s="25" t="e">
        <f t="shared" ca="1" si="235"/>
        <v>#VALUE!</v>
      </c>
      <c r="G1630" s="25"/>
      <c r="H1630" s="25" t="e">
        <f t="shared" ref="H1630:H1693" si="239">IF(PeakShape=$O$3,C1630,IF(PeakShape=O1632,D1630,E1630))</f>
        <v>#VALUE!</v>
      </c>
      <c r="I1630" s="25">
        <f t="shared" si="236"/>
        <v>1115.9999999999743</v>
      </c>
      <c r="J1630" s="25" t="e">
        <f t="shared" si="237"/>
        <v>#VALUE!</v>
      </c>
    </row>
    <row r="1631" spans="1:10" x14ac:dyDescent="0.25">
      <c r="A1631" s="25">
        <f t="shared" si="238"/>
        <v>6.1699999999997441</v>
      </c>
      <c r="B1631" s="25">
        <f t="shared" ca="1" si="231"/>
        <v>9.3181859925736757E-2</v>
      </c>
      <c r="C1631" s="25" t="e">
        <f t="shared" si="232"/>
        <v>#VALUE!</v>
      </c>
      <c r="D1631" s="74" t="e">
        <f t="shared" si="233"/>
        <v>#VALUE!</v>
      </c>
      <c r="E1631" s="25" t="e">
        <f t="shared" si="234"/>
        <v>#VALUE!</v>
      </c>
      <c r="F1631" s="25" t="e">
        <f t="shared" ca="1" si="235"/>
        <v>#VALUE!</v>
      </c>
      <c r="G1631" s="25"/>
      <c r="H1631" s="25" t="e">
        <f t="shared" si="239"/>
        <v>#VALUE!</v>
      </c>
      <c r="I1631" s="25">
        <f t="shared" si="236"/>
        <v>1116.9999999999743</v>
      </c>
      <c r="J1631" s="25" t="e">
        <f t="shared" si="237"/>
        <v>#VALUE!</v>
      </c>
    </row>
    <row r="1632" spans="1:10" x14ac:dyDescent="0.25">
      <c r="A1632" s="25">
        <f t="shared" si="238"/>
        <v>6.1799999999997439</v>
      </c>
      <c r="B1632" s="25">
        <f t="shared" ca="1" si="231"/>
        <v>-2.8540539839845586E-2</v>
      </c>
      <c r="C1632" s="25" t="e">
        <f t="shared" si="232"/>
        <v>#VALUE!</v>
      </c>
      <c r="D1632" s="74" t="e">
        <f t="shared" si="233"/>
        <v>#VALUE!</v>
      </c>
      <c r="E1632" s="25" t="e">
        <f t="shared" si="234"/>
        <v>#VALUE!</v>
      </c>
      <c r="F1632" s="25" t="e">
        <f t="shared" ca="1" si="235"/>
        <v>#VALUE!</v>
      </c>
      <c r="G1632" s="25"/>
      <c r="H1632" s="25" t="e">
        <f t="shared" si="239"/>
        <v>#VALUE!</v>
      </c>
      <c r="I1632" s="25">
        <f t="shared" si="236"/>
        <v>1117.9999999999743</v>
      </c>
      <c r="J1632" s="25" t="e">
        <f t="shared" si="237"/>
        <v>#VALUE!</v>
      </c>
    </row>
    <row r="1633" spans="1:10" x14ac:dyDescent="0.25">
      <c r="A1633" s="25">
        <f t="shared" si="238"/>
        <v>6.1899999999997437</v>
      </c>
      <c r="B1633" s="25">
        <f t="shared" ca="1" si="231"/>
        <v>-4.7794664122888519E-3</v>
      </c>
      <c r="C1633" s="25" t="e">
        <f t="shared" si="232"/>
        <v>#VALUE!</v>
      </c>
      <c r="D1633" s="74" t="e">
        <f t="shared" si="233"/>
        <v>#VALUE!</v>
      </c>
      <c r="E1633" s="25" t="e">
        <f t="shared" si="234"/>
        <v>#VALUE!</v>
      </c>
      <c r="F1633" s="25" t="e">
        <f t="shared" ca="1" si="235"/>
        <v>#VALUE!</v>
      </c>
      <c r="G1633" s="25"/>
      <c r="H1633" s="25" t="e">
        <f t="shared" si="239"/>
        <v>#VALUE!</v>
      </c>
      <c r="I1633" s="25">
        <f t="shared" si="236"/>
        <v>1118.9999999999743</v>
      </c>
      <c r="J1633" s="25" t="e">
        <f t="shared" si="237"/>
        <v>#VALUE!</v>
      </c>
    </row>
    <row r="1634" spans="1:10" x14ac:dyDescent="0.25">
      <c r="A1634" s="25">
        <f t="shared" si="238"/>
        <v>6.1999999999997435</v>
      </c>
      <c r="B1634" s="25">
        <f t="shared" ca="1" si="231"/>
        <v>-9.1468143600369659E-2</v>
      </c>
      <c r="C1634" s="25" t="e">
        <f t="shared" si="232"/>
        <v>#VALUE!</v>
      </c>
      <c r="D1634" s="74" t="e">
        <f t="shared" si="233"/>
        <v>#VALUE!</v>
      </c>
      <c r="E1634" s="25" t="e">
        <f t="shared" si="234"/>
        <v>#VALUE!</v>
      </c>
      <c r="F1634" s="25" t="e">
        <f t="shared" ca="1" si="235"/>
        <v>#VALUE!</v>
      </c>
      <c r="G1634" s="25"/>
      <c r="H1634" s="25" t="e">
        <f t="shared" si="239"/>
        <v>#VALUE!</v>
      </c>
      <c r="I1634" s="25">
        <f t="shared" si="236"/>
        <v>1119.9999999999743</v>
      </c>
      <c r="J1634" s="25" t="e">
        <f t="shared" si="237"/>
        <v>#VALUE!</v>
      </c>
    </row>
    <row r="1635" spans="1:10" x14ac:dyDescent="0.25">
      <c r="A1635" s="25">
        <f t="shared" si="238"/>
        <v>6.2099999999997433</v>
      </c>
      <c r="B1635" s="25">
        <f t="shared" ca="1" si="231"/>
        <v>-3.2163766697635592E-2</v>
      </c>
      <c r="C1635" s="25" t="e">
        <f t="shared" si="232"/>
        <v>#VALUE!</v>
      </c>
      <c r="D1635" s="74" t="e">
        <f t="shared" si="233"/>
        <v>#VALUE!</v>
      </c>
      <c r="E1635" s="25" t="e">
        <f t="shared" si="234"/>
        <v>#VALUE!</v>
      </c>
      <c r="F1635" s="25" t="e">
        <f t="shared" ca="1" si="235"/>
        <v>#VALUE!</v>
      </c>
      <c r="G1635" s="25"/>
      <c r="H1635" s="25" t="e">
        <f t="shared" si="239"/>
        <v>#VALUE!</v>
      </c>
      <c r="I1635" s="25">
        <f t="shared" si="236"/>
        <v>1120.9999999999743</v>
      </c>
      <c r="J1635" s="25" t="e">
        <f t="shared" si="237"/>
        <v>#VALUE!</v>
      </c>
    </row>
    <row r="1636" spans="1:10" x14ac:dyDescent="0.25">
      <c r="A1636" s="25">
        <f t="shared" si="238"/>
        <v>6.2199999999997431</v>
      </c>
      <c r="B1636" s="25">
        <f t="shared" ca="1" si="231"/>
        <v>-9.8063291337793859E-2</v>
      </c>
      <c r="C1636" s="25" t="e">
        <f t="shared" si="232"/>
        <v>#VALUE!</v>
      </c>
      <c r="D1636" s="74" t="e">
        <f t="shared" si="233"/>
        <v>#VALUE!</v>
      </c>
      <c r="E1636" s="25" t="e">
        <f t="shared" si="234"/>
        <v>#VALUE!</v>
      </c>
      <c r="F1636" s="25" t="e">
        <f t="shared" ca="1" si="235"/>
        <v>#VALUE!</v>
      </c>
      <c r="G1636" s="25"/>
      <c r="H1636" s="25" t="e">
        <f t="shared" si="239"/>
        <v>#VALUE!</v>
      </c>
      <c r="I1636" s="25">
        <f t="shared" si="236"/>
        <v>1121.9999999999743</v>
      </c>
      <c r="J1636" s="25" t="e">
        <f t="shared" si="237"/>
        <v>#VALUE!</v>
      </c>
    </row>
    <row r="1637" spans="1:10" x14ac:dyDescent="0.25">
      <c r="A1637" s="25">
        <f t="shared" si="238"/>
        <v>6.2299999999997429</v>
      </c>
      <c r="B1637" s="25">
        <f t="shared" ca="1" si="231"/>
        <v>-0.15698986699493964</v>
      </c>
      <c r="C1637" s="25" t="e">
        <f t="shared" si="232"/>
        <v>#VALUE!</v>
      </c>
      <c r="D1637" s="74" t="e">
        <f t="shared" si="233"/>
        <v>#VALUE!</v>
      </c>
      <c r="E1637" s="25" t="e">
        <f t="shared" si="234"/>
        <v>#VALUE!</v>
      </c>
      <c r="F1637" s="25" t="e">
        <f t="shared" ca="1" si="235"/>
        <v>#VALUE!</v>
      </c>
      <c r="G1637" s="25"/>
      <c r="H1637" s="25" t="e">
        <f t="shared" si="239"/>
        <v>#VALUE!</v>
      </c>
      <c r="I1637" s="25">
        <f t="shared" si="236"/>
        <v>1122.9999999999743</v>
      </c>
      <c r="J1637" s="25" t="e">
        <f t="shared" si="237"/>
        <v>#VALUE!</v>
      </c>
    </row>
    <row r="1638" spans="1:10" x14ac:dyDescent="0.25">
      <c r="A1638" s="25">
        <f t="shared" si="238"/>
        <v>6.2399999999997426</v>
      </c>
      <c r="B1638" s="25">
        <f t="shared" ca="1" si="231"/>
        <v>7.5232460166159726E-2</v>
      </c>
      <c r="C1638" s="25" t="e">
        <f t="shared" si="232"/>
        <v>#VALUE!</v>
      </c>
      <c r="D1638" s="74" t="e">
        <f t="shared" si="233"/>
        <v>#VALUE!</v>
      </c>
      <c r="E1638" s="25" t="e">
        <f t="shared" si="234"/>
        <v>#VALUE!</v>
      </c>
      <c r="F1638" s="25" t="e">
        <f t="shared" ca="1" si="235"/>
        <v>#VALUE!</v>
      </c>
      <c r="G1638" s="25"/>
      <c r="H1638" s="25" t="e">
        <f t="shared" si="239"/>
        <v>#VALUE!</v>
      </c>
      <c r="I1638" s="25">
        <f t="shared" si="236"/>
        <v>1123.9999999999743</v>
      </c>
      <c r="J1638" s="25" t="e">
        <f t="shared" si="237"/>
        <v>#VALUE!</v>
      </c>
    </row>
    <row r="1639" spans="1:10" x14ac:dyDescent="0.25">
      <c r="A1639" s="25">
        <f t="shared" si="238"/>
        <v>6.2499999999997424</v>
      </c>
      <c r="B1639" s="25">
        <f t="shared" ca="1" si="231"/>
        <v>6.9639307014064677E-3</v>
      </c>
      <c r="C1639" s="25" t="e">
        <f t="shared" si="232"/>
        <v>#VALUE!</v>
      </c>
      <c r="D1639" s="74" t="e">
        <f t="shared" si="233"/>
        <v>#VALUE!</v>
      </c>
      <c r="E1639" s="25" t="e">
        <f t="shared" si="234"/>
        <v>#VALUE!</v>
      </c>
      <c r="F1639" s="25" t="e">
        <f t="shared" ca="1" si="235"/>
        <v>#VALUE!</v>
      </c>
      <c r="G1639" s="25"/>
      <c r="H1639" s="25" t="e">
        <f t="shared" si="239"/>
        <v>#VALUE!</v>
      </c>
      <c r="I1639" s="25">
        <f t="shared" si="236"/>
        <v>1124.9999999999741</v>
      </c>
      <c r="J1639" s="25" t="e">
        <f t="shared" si="237"/>
        <v>#VALUE!</v>
      </c>
    </row>
    <row r="1640" spans="1:10" x14ac:dyDescent="0.25">
      <c r="A1640" s="25">
        <f t="shared" si="238"/>
        <v>6.2599999999997422</v>
      </c>
      <c r="B1640" s="25">
        <f t="shared" ca="1" si="231"/>
        <v>0.11809177303539498</v>
      </c>
      <c r="C1640" s="25" t="e">
        <f t="shared" si="232"/>
        <v>#VALUE!</v>
      </c>
      <c r="D1640" s="74" t="e">
        <f t="shared" si="233"/>
        <v>#VALUE!</v>
      </c>
      <c r="E1640" s="25" t="e">
        <f t="shared" si="234"/>
        <v>#VALUE!</v>
      </c>
      <c r="F1640" s="25" t="e">
        <f t="shared" ca="1" si="235"/>
        <v>#VALUE!</v>
      </c>
      <c r="G1640" s="25"/>
      <c r="H1640" s="25" t="e">
        <f t="shared" si="239"/>
        <v>#VALUE!</v>
      </c>
      <c r="I1640" s="25">
        <f t="shared" si="236"/>
        <v>1125.9999999999741</v>
      </c>
      <c r="J1640" s="25" t="e">
        <f t="shared" si="237"/>
        <v>#VALUE!</v>
      </c>
    </row>
    <row r="1641" spans="1:10" x14ac:dyDescent="0.25">
      <c r="A1641" s="25">
        <f t="shared" si="238"/>
        <v>6.269999999999742</v>
      </c>
      <c r="B1641" s="25">
        <f t="shared" ca="1" si="231"/>
        <v>-0.14288906119947761</v>
      </c>
      <c r="C1641" s="25" t="e">
        <f t="shared" si="232"/>
        <v>#VALUE!</v>
      </c>
      <c r="D1641" s="74" t="e">
        <f t="shared" si="233"/>
        <v>#VALUE!</v>
      </c>
      <c r="E1641" s="25" t="e">
        <f t="shared" si="234"/>
        <v>#VALUE!</v>
      </c>
      <c r="F1641" s="25" t="e">
        <f t="shared" ca="1" si="235"/>
        <v>#VALUE!</v>
      </c>
      <c r="G1641" s="25"/>
      <c r="H1641" s="25" t="e">
        <f t="shared" si="239"/>
        <v>#VALUE!</v>
      </c>
      <c r="I1641" s="25">
        <f t="shared" si="236"/>
        <v>1126.9999999999741</v>
      </c>
      <c r="J1641" s="25" t="e">
        <f t="shared" si="237"/>
        <v>#VALUE!</v>
      </c>
    </row>
    <row r="1642" spans="1:10" x14ac:dyDescent="0.25">
      <c r="A1642" s="25">
        <f t="shared" si="238"/>
        <v>6.2799999999997418</v>
      </c>
      <c r="B1642" s="25">
        <f t="shared" ca="1" si="231"/>
        <v>1.7266894148859652E-2</v>
      </c>
      <c r="C1642" s="25" t="e">
        <f t="shared" si="232"/>
        <v>#VALUE!</v>
      </c>
      <c r="D1642" s="74" t="e">
        <f t="shared" si="233"/>
        <v>#VALUE!</v>
      </c>
      <c r="E1642" s="25" t="e">
        <f t="shared" si="234"/>
        <v>#VALUE!</v>
      </c>
      <c r="F1642" s="25" t="e">
        <f t="shared" ca="1" si="235"/>
        <v>#VALUE!</v>
      </c>
      <c r="G1642" s="25"/>
      <c r="H1642" s="25" t="e">
        <f t="shared" si="239"/>
        <v>#VALUE!</v>
      </c>
      <c r="I1642" s="25">
        <f t="shared" si="236"/>
        <v>1127.9999999999741</v>
      </c>
      <c r="J1642" s="25" t="e">
        <f t="shared" si="237"/>
        <v>#VALUE!</v>
      </c>
    </row>
    <row r="1643" spans="1:10" x14ac:dyDescent="0.25">
      <c r="A1643" s="25">
        <f t="shared" si="238"/>
        <v>6.2899999999997416</v>
      </c>
      <c r="B1643" s="25">
        <f t="shared" ca="1" si="231"/>
        <v>3.2997605391057665E-2</v>
      </c>
      <c r="C1643" s="25" t="e">
        <f t="shared" si="232"/>
        <v>#VALUE!</v>
      </c>
      <c r="D1643" s="74" t="e">
        <f t="shared" si="233"/>
        <v>#VALUE!</v>
      </c>
      <c r="E1643" s="25" t="e">
        <f t="shared" si="234"/>
        <v>#VALUE!</v>
      </c>
      <c r="F1643" s="25" t="e">
        <f t="shared" ca="1" si="235"/>
        <v>#VALUE!</v>
      </c>
      <c r="G1643" s="25"/>
      <c r="H1643" s="25" t="e">
        <f t="shared" si="239"/>
        <v>#VALUE!</v>
      </c>
      <c r="I1643" s="25">
        <f t="shared" si="236"/>
        <v>1128.9999999999741</v>
      </c>
      <c r="J1643" s="25" t="e">
        <f t="shared" si="237"/>
        <v>#VALUE!</v>
      </c>
    </row>
    <row r="1644" spans="1:10" x14ac:dyDescent="0.25">
      <c r="A1644" s="25">
        <f t="shared" si="238"/>
        <v>6.2999999999997414</v>
      </c>
      <c r="B1644" s="25">
        <f t="shared" ca="1" si="231"/>
        <v>-0.18053635659100606</v>
      </c>
      <c r="C1644" s="25" t="e">
        <f t="shared" si="232"/>
        <v>#VALUE!</v>
      </c>
      <c r="D1644" s="74" t="e">
        <f t="shared" si="233"/>
        <v>#VALUE!</v>
      </c>
      <c r="E1644" s="25" t="e">
        <f t="shared" si="234"/>
        <v>#VALUE!</v>
      </c>
      <c r="F1644" s="25" t="e">
        <f t="shared" ca="1" si="235"/>
        <v>#VALUE!</v>
      </c>
      <c r="G1644" s="25"/>
      <c r="H1644" s="25" t="e">
        <f t="shared" si="239"/>
        <v>#VALUE!</v>
      </c>
      <c r="I1644" s="25">
        <f t="shared" si="236"/>
        <v>1129.9999999999741</v>
      </c>
      <c r="J1644" s="25" t="e">
        <f t="shared" si="237"/>
        <v>#VALUE!</v>
      </c>
    </row>
    <row r="1645" spans="1:10" x14ac:dyDescent="0.25">
      <c r="A1645" s="25">
        <f t="shared" si="238"/>
        <v>6.3099999999997411</v>
      </c>
      <c r="B1645" s="25">
        <f t="shared" ca="1" si="231"/>
        <v>6.0823224082897448E-2</v>
      </c>
      <c r="C1645" s="25" t="e">
        <f t="shared" si="232"/>
        <v>#VALUE!</v>
      </c>
      <c r="D1645" s="74" t="e">
        <f t="shared" si="233"/>
        <v>#VALUE!</v>
      </c>
      <c r="E1645" s="25" t="e">
        <f t="shared" si="234"/>
        <v>#VALUE!</v>
      </c>
      <c r="F1645" s="25" t="e">
        <f t="shared" ca="1" si="235"/>
        <v>#VALUE!</v>
      </c>
      <c r="G1645" s="25"/>
      <c r="H1645" s="25" t="e">
        <f t="shared" si="239"/>
        <v>#VALUE!</v>
      </c>
      <c r="I1645" s="25">
        <f t="shared" si="236"/>
        <v>1130.9999999999741</v>
      </c>
      <c r="J1645" s="25" t="e">
        <f t="shared" si="237"/>
        <v>#VALUE!</v>
      </c>
    </row>
    <row r="1646" spans="1:10" x14ac:dyDescent="0.25">
      <c r="A1646" s="25">
        <f t="shared" si="238"/>
        <v>6.3199999999997409</v>
      </c>
      <c r="B1646" s="25">
        <f t="shared" ca="1" si="231"/>
        <v>0.1264376049639232</v>
      </c>
      <c r="C1646" s="25" t="e">
        <f t="shared" si="232"/>
        <v>#VALUE!</v>
      </c>
      <c r="D1646" s="74" t="e">
        <f t="shared" si="233"/>
        <v>#VALUE!</v>
      </c>
      <c r="E1646" s="25" t="e">
        <f t="shared" si="234"/>
        <v>#VALUE!</v>
      </c>
      <c r="F1646" s="25" t="e">
        <f t="shared" ca="1" si="235"/>
        <v>#VALUE!</v>
      </c>
      <c r="G1646" s="25"/>
      <c r="H1646" s="25" t="e">
        <f t="shared" si="239"/>
        <v>#VALUE!</v>
      </c>
      <c r="I1646" s="25">
        <f t="shared" si="236"/>
        <v>1131.9999999999741</v>
      </c>
      <c r="J1646" s="25" t="e">
        <f t="shared" si="237"/>
        <v>#VALUE!</v>
      </c>
    </row>
    <row r="1647" spans="1:10" x14ac:dyDescent="0.25">
      <c r="A1647" s="25">
        <f t="shared" si="238"/>
        <v>6.3299999999997407</v>
      </c>
      <c r="B1647" s="25">
        <f t="shared" ca="1" si="231"/>
        <v>-0.12328590696791079</v>
      </c>
      <c r="C1647" s="25" t="e">
        <f t="shared" si="232"/>
        <v>#VALUE!</v>
      </c>
      <c r="D1647" s="74" t="e">
        <f t="shared" si="233"/>
        <v>#VALUE!</v>
      </c>
      <c r="E1647" s="25" t="e">
        <f t="shared" si="234"/>
        <v>#VALUE!</v>
      </c>
      <c r="F1647" s="25" t="e">
        <f t="shared" ca="1" si="235"/>
        <v>#VALUE!</v>
      </c>
      <c r="G1647" s="25"/>
      <c r="H1647" s="25" t="e">
        <f t="shared" si="239"/>
        <v>#VALUE!</v>
      </c>
      <c r="I1647" s="25">
        <f t="shared" si="236"/>
        <v>1132.9999999999741</v>
      </c>
      <c r="J1647" s="25" t="e">
        <f t="shared" si="237"/>
        <v>#VALUE!</v>
      </c>
    </row>
    <row r="1648" spans="1:10" x14ac:dyDescent="0.25">
      <c r="A1648" s="25">
        <f t="shared" si="238"/>
        <v>6.3399999999997405</v>
      </c>
      <c r="B1648" s="25">
        <f t="shared" ca="1" si="231"/>
        <v>-0.10733229825344219</v>
      </c>
      <c r="C1648" s="25" t="e">
        <f t="shared" si="232"/>
        <v>#VALUE!</v>
      </c>
      <c r="D1648" s="74" t="e">
        <f t="shared" si="233"/>
        <v>#VALUE!</v>
      </c>
      <c r="E1648" s="25" t="e">
        <f t="shared" si="234"/>
        <v>#VALUE!</v>
      </c>
      <c r="F1648" s="25" t="e">
        <f t="shared" ca="1" si="235"/>
        <v>#VALUE!</v>
      </c>
      <c r="G1648" s="25"/>
      <c r="H1648" s="25" t="e">
        <f t="shared" si="239"/>
        <v>#VALUE!</v>
      </c>
      <c r="I1648" s="25">
        <f t="shared" si="236"/>
        <v>1133.9999999999741</v>
      </c>
      <c r="J1648" s="25" t="e">
        <f t="shared" si="237"/>
        <v>#VALUE!</v>
      </c>
    </row>
    <row r="1649" spans="1:10" x14ac:dyDescent="0.25">
      <c r="A1649" s="25">
        <f t="shared" si="238"/>
        <v>6.3499999999997403</v>
      </c>
      <c r="B1649" s="25">
        <f t="shared" ca="1" si="231"/>
        <v>-1.4893304166864926E-5</v>
      </c>
      <c r="C1649" s="25" t="e">
        <f t="shared" si="232"/>
        <v>#VALUE!</v>
      </c>
      <c r="D1649" s="74" t="e">
        <f t="shared" si="233"/>
        <v>#VALUE!</v>
      </c>
      <c r="E1649" s="25" t="e">
        <f t="shared" si="234"/>
        <v>#VALUE!</v>
      </c>
      <c r="F1649" s="25" t="e">
        <f t="shared" ca="1" si="235"/>
        <v>#VALUE!</v>
      </c>
      <c r="G1649" s="25"/>
      <c r="H1649" s="25" t="e">
        <f t="shared" si="239"/>
        <v>#VALUE!</v>
      </c>
      <c r="I1649" s="25">
        <f t="shared" si="236"/>
        <v>1134.9999999999741</v>
      </c>
      <c r="J1649" s="25" t="e">
        <f t="shared" si="237"/>
        <v>#VALUE!</v>
      </c>
    </row>
    <row r="1650" spans="1:10" x14ac:dyDescent="0.25">
      <c r="A1650" s="25">
        <f t="shared" si="238"/>
        <v>6.3599999999997401</v>
      </c>
      <c r="B1650" s="25">
        <f t="shared" ca="1" si="231"/>
        <v>-5.9285797663123823E-3</v>
      </c>
      <c r="C1650" s="25" t="e">
        <f t="shared" si="232"/>
        <v>#VALUE!</v>
      </c>
      <c r="D1650" s="74" t="e">
        <f t="shared" si="233"/>
        <v>#VALUE!</v>
      </c>
      <c r="E1650" s="25" t="e">
        <f t="shared" si="234"/>
        <v>#VALUE!</v>
      </c>
      <c r="F1650" s="25" t="e">
        <f t="shared" ca="1" si="235"/>
        <v>#VALUE!</v>
      </c>
      <c r="G1650" s="25"/>
      <c r="H1650" s="25" t="e">
        <f t="shared" si="239"/>
        <v>#VALUE!</v>
      </c>
      <c r="I1650" s="25">
        <f t="shared" si="236"/>
        <v>1135.9999999999741</v>
      </c>
      <c r="J1650" s="25" t="e">
        <f t="shared" si="237"/>
        <v>#VALUE!</v>
      </c>
    </row>
    <row r="1651" spans="1:10" x14ac:dyDescent="0.25">
      <c r="A1651" s="25">
        <f t="shared" si="238"/>
        <v>6.3699999999997399</v>
      </c>
      <c r="B1651" s="25">
        <f t="shared" ca="1" si="231"/>
        <v>0.11150570139300815</v>
      </c>
      <c r="C1651" s="25" t="e">
        <f t="shared" si="232"/>
        <v>#VALUE!</v>
      </c>
      <c r="D1651" s="74" t="e">
        <f t="shared" si="233"/>
        <v>#VALUE!</v>
      </c>
      <c r="E1651" s="25" t="e">
        <f t="shared" si="234"/>
        <v>#VALUE!</v>
      </c>
      <c r="F1651" s="25" t="e">
        <f t="shared" ca="1" si="235"/>
        <v>#VALUE!</v>
      </c>
      <c r="G1651" s="25"/>
      <c r="H1651" s="25" t="e">
        <f t="shared" si="239"/>
        <v>#VALUE!</v>
      </c>
      <c r="I1651" s="25">
        <f t="shared" si="236"/>
        <v>1136.9999999999741</v>
      </c>
      <c r="J1651" s="25" t="e">
        <f t="shared" si="237"/>
        <v>#VALUE!</v>
      </c>
    </row>
    <row r="1652" spans="1:10" x14ac:dyDescent="0.25">
      <c r="A1652" s="25">
        <f t="shared" si="238"/>
        <v>6.3799999999997397</v>
      </c>
      <c r="B1652" s="25">
        <f t="shared" ca="1" si="231"/>
        <v>-0.1181968963208494</v>
      </c>
      <c r="C1652" s="25" t="e">
        <f t="shared" si="232"/>
        <v>#VALUE!</v>
      </c>
      <c r="D1652" s="74" t="e">
        <f t="shared" si="233"/>
        <v>#VALUE!</v>
      </c>
      <c r="E1652" s="25" t="e">
        <f t="shared" si="234"/>
        <v>#VALUE!</v>
      </c>
      <c r="F1652" s="25" t="e">
        <f t="shared" ca="1" si="235"/>
        <v>#VALUE!</v>
      </c>
      <c r="G1652" s="25"/>
      <c r="H1652" s="25" t="e">
        <f t="shared" si="239"/>
        <v>#VALUE!</v>
      </c>
      <c r="I1652" s="25">
        <f t="shared" si="236"/>
        <v>1137.9999999999741</v>
      </c>
      <c r="J1652" s="25" t="e">
        <f t="shared" si="237"/>
        <v>#VALUE!</v>
      </c>
    </row>
    <row r="1653" spans="1:10" x14ac:dyDescent="0.25">
      <c r="A1653" s="25">
        <f t="shared" si="238"/>
        <v>6.3899999999997394</v>
      </c>
      <c r="B1653" s="25">
        <f t="shared" ca="1" si="231"/>
        <v>-3.9914403169374529E-2</v>
      </c>
      <c r="C1653" s="25" t="e">
        <f t="shared" si="232"/>
        <v>#VALUE!</v>
      </c>
      <c r="D1653" s="74" t="e">
        <f t="shared" si="233"/>
        <v>#VALUE!</v>
      </c>
      <c r="E1653" s="25" t="e">
        <f t="shared" si="234"/>
        <v>#VALUE!</v>
      </c>
      <c r="F1653" s="25" t="e">
        <f t="shared" ca="1" si="235"/>
        <v>#VALUE!</v>
      </c>
      <c r="G1653" s="25"/>
      <c r="H1653" s="25" t="e">
        <f t="shared" si="239"/>
        <v>#VALUE!</v>
      </c>
      <c r="I1653" s="25">
        <f t="shared" si="236"/>
        <v>1138.9999999999741</v>
      </c>
      <c r="J1653" s="25" t="e">
        <f t="shared" si="237"/>
        <v>#VALUE!</v>
      </c>
    </row>
    <row r="1654" spans="1:10" x14ac:dyDescent="0.25">
      <c r="A1654" s="25">
        <f t="shared" si="238"/>
        <v>6.3999999999997392</v>
      </c>
      <c r="B1654" s="25">
        <f t="shared" ca="1" si="231"/>
        <v>0.10151190047292336</v>
      </c>
      <c r="C1654" s="25" t="e">
        <f t="shared" si="232"/>
        <v>#VALUE!</v>
      </c>
      <c r="D1654" s="74" t="e">
        <f t="shared" si="233"/>
        <v>#VALUE!</v>
      </c>
      <c r="E1654" s="25" t="e">
        <f t="shared" si="234"/>
        <v>#VALUE!</v>
      </c>
      <c r="F1654" s="25" t="e">
        <f t="shared" ca="1" si="235"/>
        <v>#VALUE!</v>
      </c>
      <c r="G1654" s="25"/>
      <c r="H1654" s="25" t="e">
        <f t="shared" si="239"/>
        <v>#VALUE!</v>
      </c>
      <c r="I1654" s="25">
        <f t="shared" si="236"/>
        <v>1139.9999999999741</v>
      </c>
      <c r="J1654" s="25" t="e">
        <f t="shared" si="237"/>
        <v>#VALUE!</v>
      </c>
    </row>
    <row r="1655" spans="1:10" x14ac:dyDescent="0.25">
      <c r="A1655" s="25">
        <f t="shared" si="238"/>
        <v>6.409999999999739</v>
      </c>
      <c r="B1655" s="25">
        <f t="shared" ca="1" si="231"/>
        <v>-0.16581906553877646</v>
      </c>
      <c r="C1655" s="25" t="e">
        <f t="shared" si="232"/>
        <v>#VALUE!</v>
      </c>
      <c r="D1655" s="74" t="e">
        <f t="shared" si="233"/>
        <v>#VALUE!</v>
      </c>
      <c r="E1655" s="25" t="e">
        <f t="shared" si="234"/>
        <v>#VALUE!</v>
      </c>
      <c r="F1655" s="25" t="e">
        <f t="shared" ca="1" si="235"/>
        <v>#VALUE!</v>
      </c>
      <c r="G1655" s="25"/>
      <c r="H1655" s="25" t="e">
        <f t="shared" si="239"/>
        <v>#VALUE!</v>
      </c>
      <c r="I1655" s="25">
        <f t="shared" si="236"/>
        <v>1140.9999999999741</v>
      </c>
      <c r="J1655" s="25" t="e">
        <f t="shared" si="237"/>
        <v>#VALUE!</v>
      </c>
    </row>
    <row r="1656" spans="1:10" x14ac:dyDescent="0.25">
      <c r="A1656" s="25">
        <f t="shared" si="238"/>
        <v>6.4199999999997388</v>
      </c>
      <c r="B1656" s="25">
        <f t="shared" ca="1" si="231"/>
        <v>-2.1092508571997265E-2</v>
      </c>
      <c r="C1656" s="25" t="e">
        <f t="shared" si="232"/>
        <v>#VALUE!</v>
      </c>
      <c r="D1656" s="74" t="e">
        <f t="shared" si="233"/>
        <v>#VALUE!</v>
      </c>
      <c r="E1656" s="25" t="e">
        <f t="shared" si="234"/>
        <v>#VALUE!</v>
      </c>
      <c r="F1656" s="25" t="e">
        <f t="shared" ca="1" si="235"/>
        <v>#VALUE!</v>
      </c>
      <c r="G1656" s="25"/>
      <c r="H1656" s="25" t="e">
        <f t="shared" si="239"/>
        <v>#VALUE!</v>
      </c>
      <c r="I1656" s="25">
        <f t="shared" si="236"/>
        <v>1141.9999999999739</v>
      </c>
      <c r="J1656" s="25" t="e">
        <f t="shared" si="237"/>
        <v>#VALUE!</v>
      </c>
    </row>
    <row r="1657" spans="1:10" x14ac:dyDescent="0.25">
      <c r="A1657" s="25">
        <f t="shared" si="238"/>
        <v>6.4299999999997386</v>
      </c>
      <c r="B1657" s="25">
        <f t="shared" ca="1" si="231"/>
        <v>-0.16943663029133596</v>
      </c>
      <c r="C1657" s="25" t="e">
        <f t="shared" si="232"/>
        <v>#VALUE!</v>
      </c>
      <c r="D1657" s="74" t="e">
        <f t="shared" si="233"/>
        <v>#VALUE!</v>
      </c>
      <c r="E1657" s="25" t="e">
        <f t="shared" si="234"/>
        <v>#VALUE!</v>
      </c>
      <c r="F1657" s="25" t="e">
        <f t="shared" ca="1" si="235"/>
        <v>#VALUE!</v>
      </c>
      <c r="G1657" s="25"/>
      <c r="H1657" s="25" t="e">
        <f t="shared" si="239"/>
        <v>#VALUE!</v>
      </c>
      <c r="I1657" s="25">
        <f t="shared" si="236"/>
        <v>1142.9999999999739</v>
      </c>
      <c r="J1657" s="25" t="e">
        <f t="shared" si="237"/>
        <v>#VALUE!</v>
      </c>
    </row>
    <row r="1658" spans="1:10" x14ac:dyDescent="0.25">
      <c r="A1658" s="25">
        <f t="shared" si="238"/>
        <v>6.4399999999997384</v>
      </c>
      <c r="B1658" s="25">
        <f t="shared" ca="1" si="231"/>
        <v>-1.3231831140963397E-3</v>
      </c>
      <c r="C1658" s="25" t="e">
        <f t="shared" si="232"/>
        <v>#VALUE!</v>
      </c>
      <c r="D1658" s="74" t="e">
        <f t="shared" si="233"/>
        <v>#VALUE!</v>
      </c>
      <c r="E1658" s="25" t="e">
        <f t="shared" si="234"/>
        <v>#VALUE!</v>
      </c>
      <c r="F1658" s="25" t="e">
        <f t="shared" ca="1" si="235"/>
        <v>#VALUE!</v>
      </c>
      <c r="G1658" s="25"/>
      <c r="H1658" s="25" t="e">
        <f t="shared" si="239"/>
        <v>#VALUE!</v>
      </c>
      <c r="I1658" s="25">
        <f t="shared" si="236"/>
        <v>1143.9999999999739</v>
      </c>
      <c r="J1658" s="25" t="e">
        <f t="shared" si="237"/>
        <v>#VALUE!</v>
      </c>
    </row>
    <row r="1659" spans="1:10" x14ac:dyDescent="0.25">
      <c r="A1659" s="25">
        <f t="shared" si="238"/>
        <v>6.4499999999997382</v>
      </c>
      <c r="B1659" s="25">
        <f t="shared" ca="1" si="231"/>
        <v>-3.9674553473084323E-2</v>
      </c>
      <c r="C1659" s="25" t="e">
        <f t="shared" si="232"/>
        <v>#VALUE!</v>
      </c>
      <c r="D1659" s="74" t="e">
        <f t="shared" si="233"/>
        <v>#VALUE!</v>
      </c>
      <c r="E1659" s="25" t="e">
        <f t="shared" si="234"/>
        <v>#VALUE!</v>
      </c>
      <c r="F1659" s="25" t="e">
        <f t="shared" ca="1" si="235"/>
        <v>#VALUE!</v>
      </c>
      <c r="G1659" s="25"/>
      <c r="H1659" s="25" t="e">
        <f t="shared" si="239"/>
        <v>#VALUE!</v>
      </c>
      <c r="I1659" s="25">
        <f t="shared" si="236"/>
        <v>1144.9999999999739</v>
      </c>
      <c r="J1659" s="25" t="e">
        <f t="shared" si="237"/>
        <v>#VALUE!</v>
      </c>
    </row>
    <row r="1660" spans="1:10" x14ac:dyDescent="0.25">
      <c r="A1660" s="25">
        <f t="shared" si="238"/>
        <v>6.459999999999738</v>
      </c>
      <c r="B1660" s="25">
        <f t="shared" ca="1" si="231"/>
        <v>-0.12258071589150139</v>
      </c>
      <c r="C1660" s="25" t="e">
        <f t="shared" si="232"/>
        <v>#VALUE!</v>
      </c>
      <c r="D1660" s="74" t="e">
        <f t="shared" si="233"/>
        <v>#VALUE!</v>
      </c>
      <c r="E1660" s="25" t="e">
        <f t="shared" si="234"/>
        <v>#VALUE!</v>
      </c>
      <c r="F1660" s="25" t="e">
        <f t="shared" ca="1" si="235"/>
        <v>#VALUE!</v>
      </c>
      <c r="G1660" s="25"/>
      <c r="H1660" s="25" t="e">
        <f t="shared" si="239"/>
        <v>#VALUE!</v>
      </c>
      <c r="I1660" s="25">
        <f t="shared" si="236"/>
        <v>1145.9999999999739</v>
      </c>
      <c r="J1660" s="25" t="e">
        <f t="shared" si="237"/>
        <v>#VALUE!</v>
      </c>
    </row>
    <row r="1661" spans="1:10" x14ac:dyDescent="0.25">
      <c r="A1661" s="25">
        <f t="shared" si="238"/>
        <v>6.4699999999997377</v>
      </c>
      <c r="B1661" s="25">
        <f t="shared" ca="1" si="231"/>
        <v>-2.9607547561221276E-2</v>
      </c>
      <c r="C1661" s="25" t="e">
        <f t="shared" si="232"/>
        <v>#VALUE!</v>
      </c>
      <c r="D1661" s="74" t="e">
        <f t="shared" si="233"/>
        <v>#VALUE!</v>
      </c>
      <c r="E1661" s="25" t="e">
        <f t="shared" si="234"/>
        <v>#VALUE!</v>
      </c>
      <c r="F1661" s="25" t="e">
        <f t="shared" ca="1" si="235"/>
        <v>#VALUE!</v>
      </c>
      <c r="G1661" s="25"/>
      <c r="H1661" s="25" t="e">
        <f t="shared" si="239"/>
        <v>#VALUE!</v>
      </c>
      <c r="I1661" s="25">
        <f t="shared" si="236"/>
        <v>1146.9999999999739</v>
      </c>
      <c r="J1661" s="25" t="e">
        <f t="shared" si="237"/>
        <v>#VALUE!</v>
      </c>
    </row>
    <row r="1662" spans="1:10" x14ac:dyDescent="0.25">
      <c r="A1662" s="25">
        <f t="shared" si="238"/>
        <v>6.4799999999997375</v>
      </c>
      <c r="B1662" s="25">
        <f t="shared" ca="1" si="231"/>
        <v>8.5956437915767389E-2</v>
      </c>
      <c r="C1662" s="25" t="e">
        <f t="shared" si="232"/>
        <v>#VALUE!</v>
      </c>
      <c r="D1662" s="74" t="e">
        <f t="shared" si="233"/>
        <v>#VALUE!</v>
      </c>
      <c r="E1662" s="25" t="e">
        <f t="shared" si="234"/>
        <v>#VALUE!</v>
      </c>
      <c r="F1662" s="25" t="e">
        <f t="shared" ca="1" si="235"/>
        <v>#VALUE!</v>
      </c>
      <c r="G1662" s="25"/>
      <c r="H1662" s="25" t="e">
        <f t="shared" si="239"/>
        <v>#VALUE!</v>
      </c>
      <c r="I1662" s="25">
        <f t="shared" si="236"/>
        <v>1147.9999999999739</v>
      </c>
      <c r="J1662" s="25" t="e">
        <f t="shared" si="237"/>
        <v>#VALUE!</v>
      </c>
    </row>
    <row r="1663" spans="1:10" x14ac:dyDescent="0.25">
      <c r="A1663" s="25">
        <f t="shared" si="238"/>
        <v>6.4899999999997373</v>
      </c>
      <c r="B1663" s="25">
        <f t="shared" ca="1" si="231"/>
        <v>6.4775666839505822E-2</v>
      </c>
      <c r="C1663" s="25" t="e">
        <f t="shared" si="232"/>
        <v>#VALUE!</v>
      </c>
      <c r="D1663" s="74" t="e">
        <f t="shared" si="233"/>
        <v>#VALUE!</v>
      </c>
      <c r="E1663" s="25" t="e">
        <f t="shared" si="234"/>
        <v>#VALUE!</v>
      </c>
      <c r="F1663" s="25" t="e">
        <f t="shared" ca="1" si="235"/>
        <v>#VALUE!</v>
      </c>
      <c r="G1663" s="25"/>
      <c r="H1663" s="25" t="e">
        <f t="shared" si="239"/>
        <v>#VALUE!</v>
      </c>
      <c r="I1663" s="25">
        <f t="shared" si="236"/>
        <v>1148.9999999999739</v>
      </c>
      <c r="J1663" s="25" t="e">
        <f t="shared" si="237"/>
        <v>#VALUE!</v>
      </c>
    </row>
    <row r="1664" spans="1:10" x14ac:dyDescent="0.25">
      <c r="A1664" s="25">
        <f t="shared" si="238"/>
        <v>6.4999999999997371</v>
      </c>
      <c r="B1664" s="25">
        <f t="shared" ca="1" si="231"/>
        <v>1.1018897048925835E-3</v>
      </c>
      <c r="C1664" s="25" t="e">
        <f t="shared" si="232"/>
        <v>#VALUE!</v>
      </c>
      <c r="D1664" s="74" t="e">
        <f t="shared" si="233"/>
        <v>#VALUE!</v>
      </c>
      <c r="E1664" s="25" t="e">
        <f t="shared" si="234"/>
        <v>#VALUE!</v>
      </c>
      <c r="F1664" s="25" t="e">
        <f t="shared" ca="1" si="235"/>
        <v>#VALUE!</v>
      </c>
      <c r="G1664" s="25"/>
      <c r="H1664" s="25" t="e">
        <f t="shared" si="239"/>
        <v>#VALUE!</v>
      </c>
      <c r="I1664" s="25">
        <f t="shared" si="236"/>
        <v>1149.9999999999736</v>
      </c>
      <c r="J1664" s="25" t="e">
        <f t="shared" si="237"/>
        <v>#VALUE!</v>
      </c>
    </row>
    <row r="1665" spans="1:10" x14ac:dyDescent="0.25">
      <c r="A1665" s="25">
        <f t="shared" si="238"/>
        <v>6.5099999999997369</v>
      </c>
      <c r="B1665" s="25">
        <f t="shared" ca="1" si="231"/>
        <v>3.2885447295824426E-2</v>
      </c>
      <c r="C1665" s="25" t="e">
        <f t="shared" si="232"/>
        <v>#VALUE!</v>
      </c>
      <c r="D1665" s="74" t="e">
        <f t="shared" si="233"/>
        <v>#VALUE!</v>
      </c>
      <c r="E1665" s="25" t="e">
        <f t="shared" si="234"/>
        <v>#VALUE!</v>
      </c>
      <c r="F1665" s="25" t="e">
        <f t="shared" ca="1" si="235"/>
        <v>#VALUE!</v>
      </c>
      <c r="G1665" s="25"/>
      <c r="H1665" s="25" t="e">
        <f t="shared" si="239"/>
        <v>#VALUE!</v>
      </c>
      <c r="I1665" s="25">
        <f t="shared" si="236"/>
        <v>1150.9999999999736</v>
      </c>
      <c r="J1665" s="25" t="e">
        <f t="shared" si="237"/>
        <v>#VALUE!</v>
      </c>
    </row>
    <row r="1666" spans="1:10" x14ac:dyDescent="0.25">
      <c r="A1666" s="25">
        <f t="shared" si="238"/>
        <v>6.5199999999997367</v>
      </c>
      <c r="B1666" s="25">
        <f t="shared" ca="1" si="231"/>
        <v>1.4325554299024148E-2</v>
      </c>
      <c r="C1666" s="25" t="e">
        <f t="shared" si="232"/>
        <v>#VALUE!</v>
      </c>
      <c r="D1666" s="74" t="e">
        <f t="shared" si="233"/>
        <v>#VALUE!</v>
      </c>
      <c r="E1666" s="25" t="e">
        <f t="shared" si="234"/>
        <v>#VALUE!</v>
      </c>
      <c r="F1666" s="25" t="e">
        <f t="shared" ca="1" si="235"/>
        <v>#VALUE!</v>
      </c>
      <c r="G1666" s="25"/>
      <c r="H1666" s="25" t="e">
        <f t="shared" si="239"/>
        <v>#VALUE!</v>
      </c>
      <c r="I1666" s="25">
        <f t="shared" si="236"/>
        <v>1151.9999999999736</v>
      </c>
      <c r="J1666" s="25" t="e">
        <f t="shared" si="237"/>
        <v>#VALUE!</v>
      </c>
    </row>
    <row r="1667" spans="1:10" x14ac:dyDescent="0.25">
      <c r="A1667" s="25">
        <f t="shared" si="238"/>
        <v>6.5299999999997365</v>
      </c>
      <c r="B1667" s="25">
        <f t="shared" ca="1" si="231"/>
        <v>0.12581166845094674</v>
      </c>
      <c r="C1667" s="25" t="e">
        <f t="shared" si="232"/>
        <v>#VALUE!</v>
      </c>
      <c r="D1667" s="74" t="e">
        <f t="shared" si="233"/>
        <v>#VALUE!</v>
      </c>
      <c r="E1667" s="25" t="e">
        <f t="shared" si="234"/>
        <v>#VALUE!</v>
      </c>
      <c r="F1667" s="25" t="e">
        <f t="shared" ca="1" si="235"/>
        <v>#VALUE!</v>
      </c>
      <c r="G1667" s="25"/>
      <c r="H1667" s="25" t="e">
        <f t="shared" si="239"/>
        <v>#VALUE!</v>
      </c>
      <c r="I1667" s="25">
        <f t="shared" si="236"/>
        <v>1152.9999999999736</v>
      </c>
      <c r="J1667" s="25" t="e">
        <f t="shared" si="237"/>
        <v>#VALUE!</v>
      </c>
    </row>
    <row r="1668" spans="1:10" x14ac:dyDescent="0.25">
      <c r="A1668" s="25">
        <f t="shared" si="238"/>
        <v>6.5399999999997362</v>
      </c>
      <c r="B1668" s="25">
        <f t="shared" ca="1" si="231"/>
        <v>0.12614734934297264</v>
      </c>
      <c r="C1668" s="25" t="e">
        <f t="shared" si="232"/>
        <v>#VALUE!</v>
      </c>
      <c r="D1668" s="74" t="e">
        <f t="shared" si="233"/>
        <v>#VALUE!</v>
      </c>
      <c r="E1668" s="25" t="e">
        <f t="shared" si="234"/>
        <v>#VALUE!</v>
      </c>
      <c r="F1668" s="25" t="e">
        <f t="shared" ca="1" si="235"/>
        <v>#VALUE!</v>
      </c>
      <c r="G1668" s="25"/>
      <c r="H1668" s="25" t="e">
        <f t="shared" si="239"/>
        <v>#VALUE!</v>
      </c>
      <c r="I1668" s="25">
        <f t="shared" si="236"/>
        <v>1153.9999999999736</v>
      </c>
      <c r="J1668" s="25" t="e">
        <f t="shared" si="237"/>
        <v>#VALUE!</v>
      </c>
    </row>
    <row r="1669" spans="1:10" x14ac:dyDescent="0.25">
      <c r="A1669" s="25">
        <f t="shared" si="238"/>
        <v>6.549999999999736</v>
      </c>
      <c r="B1669" s="25">
        <f t="shared" ca="1" si="231"/>
        <v>-0.13742280105227603</v>
      </c>
      <c r="C1669" s="25" t="e">
        <f t="shared" si="232"/>
        <v>#VALUE!</v>
      </c>
      <c r="D1669" s="74" t="e">
        <f t="shared" si="233"/>
        <v>#VALUE!</v>
      </c>
      <c r="E1669" s="25" t="e">
        <f t="shared" si="234"/>
        <v>#VALUE!</v>
      </c>
      <c r="F1669" s="25" t="e">
        <f t="shared" ca="1" si="235"/>
        <v>#VALUE!</v>
      </c>
      <c r="G1669" s="25"/>
      <c r="H1669" s="25" t="e">
        <f t="shared" si="239"/>
        <v>#VALUE!</v>
      </c>
      <c r="I1669" s="25">
        <f t="shared" si="236"/>
        <v>1154.9999999999736</v>
      </c>
      <c r="J1669" s="25" t="e">
        <f t="shared" si="237"/>
        <v>#VALUE!</v>
      </c>
    </row>
    <row r="1670" spans="1:10" x14ac:dyDescent="0.25">
      <c r="A1670" s="25">
        <f t="shared" si="238"/>
        <v>6.5599999999997358</v>
      </c>
      <c r="B1670" s="25">
        <f t="shared" ca="1" si="231"/>
        <v>-1.1663944508688842E-2</v>
      </c>
      <c r="C1670" s="25" t="e">
        <f t="shared" si="232"/>
        <v>#VALUE!</v>
      </c>
      <c r="D1670" s="74" t="e">
        <f t="shared" si="233"/>
        <v>#VALUE!</v>
      </c>
      <c r="E1670" s="25" t="e">
        <f t="shared" si="234"/>
        <v>#VALUE!</v>
      </c>
      <c r="F1670" s="25" t="e">
        <f t="shared" ca="1" si="235"/>
        <v>#VALUE!</v>
      </c>
      <c r="G1670" s="25"/>
      <c r="H1670" s="25" t="e">
        <f t="shared" si="239"/>
        <v>#VALUE!</v>
      </c>
      <c r="I1670" s="25">
        <f t="shared" si="236"/>
        <v>1155.9999999999736</v>
      </c>
      <c r="J1670" s="25" t="e">
        <f t="shared" si="237"/>
        <v>#VALUE!</v>
      </c>
    </row>
    <row r="1671" spans="1:10" x14ac:dyDescent="0.25">
      <c r="A1671" s="25">
        <f t="shared" si="238"/>
        <v>6.5699999999997356</v>
      </c>
      <c r="B1671" s="25">
        <f t="shared" ca="1" si="231"/>
        <v>0.1279008914354279</v>
      </c>
      <c r="C1671" s="25" t="e">
        <f t="shared" si="232"/>
        <v>#VALUE!</v>
      </c>
      <c r="D1671" s="74" t="e">
        <f t="shared" si="233"/>
        <v>#VALUE!</v>
      </c>
      <c r="E1671" s="25" t="e">
        <f t="shared" si="234"/>
        <v>#VALUE!</v>
      </c>
      <c r="F1671" s="25" t="e">
        <f t="shared" ca="1" si="235"/>
        <v>#VALUE!</v>
      </c>
      <c r="G1671" s="25"/>
      <c r="H1671" s="25" t="e">
        <f t="shared" si="239"/>
        <v>#VALUE!</v>
      </c>
      <c r="I1671" s="25">
        <f t="shared" si="236"/>
        <v>1156.9999999999736</v>
      </c>
      <c r="J1671" s="25" t="e">
        <f t="shared" si="237"/>
        <v>#VALUE!</v>
      </c>
    </row>
    <row r="1672" spans="1:10" x14ac:dyDescent="0.25">
      <c r="A1672" s="25">
        <f t="shared" si="238"/>
        <v>6.5799999999997354</v>
      </c>
      <c r="B1672" s="25">
        <f t="shared" ca="1" si="231"/>
        <v>-9.9428488154281555E-2</v>
      </c>
      <c r="C1672" s="25" t="e">
        <f t="shared" si="232"/>
        <v>#VALUE!</v>
      </c>
      <c r="D1672" s="74" t="e">
        <f t="shared" si="233"/>
        <v>#VALUE!</v>
      </c>
      <c r="E1672" s="25" t="e">
        <f t="shared" si="234"/>
        <v>#VALUE!</v>
      </c>
      <c r="F1672" s="25" t="e">
        <f t="shared" ca="1" si="235"/>
        <v>#VALUE!</v>
      </c>
      <c r="G1672" s="25"/>
      <c r="H1672" s="25" t="e">
        <f t="shared" si="239"/>
        <v>#VALUE!</v>
      </c>
      <c r="I1672" s="25">
        <f t="shared" si="236"/>
        <v>1157.9999999999736</v>
      </c>
      <c r="J1672" s="25" t="e">
        <f t="shared" si="237"/>
        <v>#VALUE!</v>
      </c>
    </row>
    <row r="1673" spans="1:10" x14ac:dyDescent="0.25">
      <c r="A1673" s="25">
        <f t="shared" si="238"/>
        <v>6.5899999999997352</v>
      </c>
      <c r="B1673" s="25">
        <f t="shared" ca="1" si="231"/>
        <v>-0.14130657756256967</v>
      </c>
      <c r="C1673" s="25" t="e">
        <f t="shared" si="232"/>
        <v>#VALUE!</v>
      </c>
      <c r="D1673" s="74" t="e">
        <f t="shared" si="233"/>
        <v>#VALUE!</v>
      </c>
      <c r="E1673" s="25" t="e">
        <f t="shared" si="234"/>
        <v>#VALUE!</v>
      </c>
      <c r="F1673" s="25" t="e">
        <f t="shared" ca="1" si="235"/>
        <v>#VALUE!</v>
      </c>
      <c r="G1673" s="25"/>
      <c r="H1673" s="25" t="e">
        <f t="shared" si="239"/>
        <v>#VALUE!</v>
      </c>
      <c r="I1673" s="25">
        <f t="shared" si="236"/>
        <v>1158.9999999999734</v>
      </c>
      <c r="J1673" s="25" t="e">
        <f t="shared" si="237"/>
        <v>#VALUE!</v>
      </c>
    </row>
    <row r="1674" spans="1:10" x14ac:dyDescent="0.25">
      <c r="A1674" s="25">
        <f t="shared" si="238"/>
        <v>6.599999999999735</v>
      </c>
      <c r="B1674" s="25">
        <f t="shared" ca="1" si="231"/>
        <v>-0.13592516074599317</v>
      </c>
      <c r="C1674" s="25" t="e">
        <f t="shared" si="232"/>
        <v>#VALUE!</v>
      </c>
      <c r="D1674" s="74" t="e">
        <f t="shared" si="233"/>
        <v>#VALUE!</v>
      </c>
      <c r="E1674" s="25" t="e">
        <f t="shared" si="234"/>
        <v>#VALUE!</v>
      </c>
      <c r="F1674" s="25" t="e">
        <f t="shared" ca="1" si="235"/>
        <v>#VALUE!</v>
      </c>
      <c r="G1674" s="25"/>
      <c r="H1674" s="25" t="e">
        <f t="shared" si="239"/>
        <v>#VALUE!</v>
      </c>
      <c r="I1674" s="25">
        <f t="shared" si="236"/>
        <v>1159.9999999999734</v>
      </c>
      <c r="J1674" s="25" t="e">
        <f t="shared" si="237"/>
        <v>#VALUE!</v>
      </c>
    </row>
    <row r="1675" spans="1:10" x14ac:dyDescent="0.25">
      <c r="A1675" s="25">
        <f t="shared" si="238"/>
        <v>6.6099999999997348</v>
      </c>
      <c r="B1675" s="25">
        <f t="shared" ca="1" si="231"/>
        <v>-0.17724122942689671</v>
      </c>
      <c r="C1675" s="25" t="e">
        <f t="shared" si="232"/>
        <v>#VALUE!</v>
      </c>
      <c r="D1675" s="74" t="e">
        <f t="shared" si="233"/>
        <v>#VALUE!</v>
      </c>
      <c r="E1675" s="25" t="e">
        <f t="shared" si="234"/>
        <v>#VALUE!</v>
      </c>
      <c r="F1675" s="25" t="e">
        <f t="shared" ca="1" si="235"/>
        <v>#VALUE!</v>
      </c>
      <c r="G1675" s="25"/>
      <c r="H1675" s="25" t="e">
        <f t="shared" si="239"/>
        <v>#VALUE!</v>
      </c>
      <c r="I1675" s="25">
        <f t="shared" si="236"/>
        <v>1160.9999999999734</v>
      </c>
      <c r="J1675" s="25" t="e">
        <f t="shared" si="237"/>
        <v>#VALUE!</v>
      </c>
    </row>
    <row r="1676" spans="1:10" x14ac:dyDescent="0.25">
      <c r="A1676" s="25">
        <f t="shared" si="238"/>
        <v>6.6199999999997345</v>
      </c>
      <c r="B1676" s="25">
        <f t="shared" ca="1" si="231"/>
        <v>0.11401138489368896</v>
      </c>
      <c r="C1676" s="25" t="e">
        <f t="shared" si="232"/>
        <v>#VALUE!</v>
      </c>
      <c r="D1676" s="74" t="e">
        <f t="shared" si="233"/>
        <v>#VALUE!</v>
      </c>
      <c r="E1676" s="25" t="e">
        <f t="shared" si="234"/>
        <v>#VALUE!</v>
      </c>
      <c r="F1676" s="25" t="e">
        <f t="shared" ca="1" si="235"/>
        <v>#VALUE!</v>
      </c>
      <c r="G1676" s="25"/>
      <c r="H1676" s="25" t="e">
        <f t="shared" si="239"/>
        <v>#VALUE!</v>
      </c>
      <c r="I1676" s="25">
        <f t="shared" si="236"/>
        <v>1161.9999999999734</v>
      </c>
      <c r="J1676" s="25" t="e">
        <f t="shared" si="237"/>
        <v>#VALUE!</v>
      </c>
    </row>
    <row r="1677" spans="1:10" x14ac:dyDescent="0.25">
      <c r="A1677" s="25">
        <f t="shared" si="238"/>
        <v>6.6299999999997343</v>
      </c>
      <c r="B1677" s="25">
        <f t="shared" ca="1" si="231"/>
        <v>-3.9458367300204959E-2</v>
      </c>
      <c r="C1677" s="25" t="e">
        <f t="shared" si="232"/>
        <v>#VALUE!</v>
      </c>
      <c r="D1677" s="74" t="e">
        <f t="shared" si="233"/>
        <v>#VALUE!</v>
      </c>
      <c r="E1677" s="25" t="e">
        <f t="shared" si="234"/>
        <v>#VALUE!</v>
      </c>
      <c r="F1677" s="25" t="e">
        <f t="shared" ca="1" si="235"/>
        <v>#VALUE!</v>
      </c>
      <c r="G1677" s="25"/>
      <c r="H1677" s="25" t="e">
        <f t="shared" si="239"/>
        <v>#VALUE!</v>
      </c>
      <c r="I1677" s="25">
        <f t="shared" si="236"/>
        <v>1162.9999999999734</v>
      </c>
      <c r="J1677" s="25" t="e">
        <f t="shared" si="237"/>
        <v>#VALUE!</v>
      </c>
    </row>
    <row r="1678" spans="1:10" x14ac:dyDescent="0.25">
      <c r="A1678" s="25">
        <f t="shared" si="238"/>
        <v>6.6399999999997341</v>
      </c>
      <c r="B1678" s="25">
        <f t="shared" ref="B1678:B1741" ca="1" si="240">(RAND()-0.5-$B$7)/$B$5</f>
        <v>0.12517556763582313</v>
      </c>
      <c r="C1678" s="25" t="e">
        <f t="shared" ref="C1678:C1741" si="241">IF(ABS(A1678)&lt;=($D$3/2),1,IF(ABS(A1678)&lt;=($B$4/2),IF(A1678&gt;0,A1678*(4/(1-2*$B$4))+(2*$B$4/(2*$B$4-1)),(-A1678*(4/(1-2*$B$4))+(2*$B$4/(2*$B$4-1)))),0))</f>
        <v>#VALUE!</v>
      </c>
      <c r="D1678" s="74" t="e">
        <f t="shared" ref="D1678:D1741" si="242">IF(ABS(A1678)&lt;=($D$3/4+$B$4/4),1,IF(ABS(A1678)&lt;=($B$4/2),(IF(A1678&gt;0,A1678*(8/(1-2*$B$4))+(4*$B$4)/(2*$B$4-1),(-A1678*(8/(1-2*$B$4))+(4*$B$4)/(2*$B$4-1)))),0))</f>
        <v>#VALUE!</v>
      </c>
      <c r="E1678" s="25" t="e">
        <f t="shared" ref="E1678:E1741" si="243">IF(ABS(A1678)&lt;($B$4/2), 1, 0)</f>
        <v>#VALUE!</v>
      </c>
      <c r="F1678" s="25" t="e">
        <f t="shared" ref="F1678:F1741" ca="1" si="244">C1678+B1678</f>
        <v>#VALUE!</v>
      </c>
      <c r="G1678" s="25"/>
      <c r="H1678" s="25" t="e">
        <f t="shared" si="239"/>
        <v>#VALUE!</v>
      </c>
      <c r="I1678" s="25">
        <f t="shared" ref="I1678:I1741" si="245">$I$3*(A1678-$G$3)/($H$3-$G$3)</f>
        <v>1163.9999999999734</v>
      </c>
      <c r="J1678" s="25" t="e">
        <f t="shared" ref="J1678:J1741" si="246">H1678</f>
        <v>#VALUE!</v>
      </c>
    </row>
    <row r="1679" spans="1:10" x14ac:dyDescent="0.25">
      <c r="A1679" s="25">
        <f t="shared" ref="A1679:A1742" si="247">A1678+0.01</f>
        <v>6.6499999999997339</v>
      </c>
      <c r="B1679" s="25">
        <f t="shared" ca="1" si="240"/>
        <v>-8.3395018981322108E-2</v>
      </c>
      <c r="C1679" s="25" t="e">
        <f t="shared" si="241"/>
        <v>#VALUE!</v>
      </c>
      <c r="D1679" s="74" t="e">
        <f t="shared" si="242"/>
        <v>#VALUE!</v>
      </c>
      <c r="E1679" s="25" t="e">
        <f t="shared" si="243"/>
        <v>#VALUE!</v>
      </c>
      <c r="F1679" s="25" t="e">
        <f t="shared" ca="1" si="244"/>
        <v>#VALUE!</v>
      </c>
      <c r="G1679" s="25"/>
      <c r="H1679" s="25" t="e">
        <f t="shared" si="239"/>
        <v>#VALUE!</v>
      </c>
      <c r="I1679" s="25">
        <f t="shared" si="245"/>
        <v>1164.9999999999734</v>
      </c>
      <c r="J1679" s="25" t="e">
        <f t="shared" si="246"/>
        <v>#VALUE!</v>
      </c>
    </row>
    <row r="1680" spans="1:10" x14ac:dyDescent="0.25">
      <c r="A1680" s="25">
        <f t="shared" si="247"/>
        <v>6.6599999999997337</v>
      </c>
      <c r="B1680" s="25">
        <f t="shared" ca="1" si="240"/>
        <v>2.0645925846167007E-2</v>
      </c>
      <c r="C1680" s="25" t="e">
        <f t="shared" si="241"/>
        <v>#VALUE!</v>
      </c>
      <c r="D1680" s="74" t="e">
        <f t="shared" si="242"/>
        <v>#VALUE!</v>
      </c>
      <c r="E1680" s="25" t="e">
        <f t="shared" si="243"/>
        <v>#VALUE!</v>
      </c>
      <c r="F1680" s="25" t="e">
        <f t="shared" ca="1" si="244"/>
        <v>#VALUE!</v>
      </c>
      <c r="G1680" s="25"/>
      <c r="H1680" s="25" t="e">
        <f t="shared" si="239"/>
        <v>#VALUE!</v>
      </c>
      <c r="I1680" s="25">
        <f t="shared" si="245"/>
        <v>1165.9999999999734</v>
      </c>
      <c r="J1680" s="25" t="e">
        <f t="shared" si="246"/>
        <v>#VALUE!</v>
      </c>
    </row>
    <row r="1681" spans="1:10" x14ac:dyDescent="0.25">
      <c r="A1681" s="25">
        <f t="shared" si="247"/>
        <v>6.6699999999997335</v>
      </c>
      <c r="B1681" s="25">
        <f t="shared" ca="1" si="240"/>
        <v>3.6851944609070403E-2</v>
      </c>
      <c r="C1681" s="25" t="e">
        <f t="shared" si="241"/>
        <v>#VALUE!</v>
      </c>
      <c r="D1681" s="74" t="e">
        <f t="shared" si="242"/>
        <v>#VALUE!</v>
      </c>
      <c r="E1681" s="25" t="e">
        <f t="shared" si="243"/>
        <v>#VALUE!</v>
      </c>
      <c r="F1681" s="25" t="e">
        <f t="shared" ca="1" si="244"/>
        <v>#VALUE!</v>
      </c>
      <c r="G1681" s="25"/>
      <c r="H1681" s="25" t="e">
        <f t="shared" si="239"/>
        <v>#VALUE!</v>
      </c>
      <c r="I1681" s="25">
        <f t="shared" si="245"/>
        <v>1166.9999999999732</v>
      </c>
      <c r="J1681" s="25" t="e">
        <f t="shared" si="246"/>
        <v>#VALUE!</v>
      </c>
    </row>
    <row r="1682" spans="1:10" x14ac:dyDescent="0.25">
      <c r="A1682" s="25">
        <f t="shared" si="247"/>
        <v>6.6799999999997333</v>
      </c>
      <c r="B1682" s="25">
        <f t="shared" ca="1" si="240"/>
        <v>-0.17398093054179756</v>
      </c>
      <c r="C1682" s="25" t="e">
        <f t="shared" si="241"/>
        <v>#VALUE!</v>
      </c>
      <c r="D1682" s="74" t="e">
        <f t="shared" si="242"/>
        <v>#VALUE!</v>
      </c>
      <c r="E1682" s="25" t="e">
        <f t="shared" si="243"/>
        <v>#VALUE!</v>
      </c>
      <c r="F1682" s="25" t="e">
        <f t="shared" ca="1" si="244"/>
        <v>#VALUE!</v>
      </c>
      <c r="G1682" s="25"/>
      <c r="H1682" s="25" t="e">
        <f t="shared" si="239"/>
        <v>#VALUE!</v>
      </c>
      <c r="I1682" s="25">
        <f t="shared" si="245"/>
        <v>1167.9999999999732</v>
      </c>
      <c r="J1682" s="25" t="e">
        <f t="shared" si="246"/>
        <v>#VALUE!</v>
      </c>
    </row>
    <row r="1683" spans="1:10" x14ac:dyDescent="0.25">
      <c r="A1683" s="25">
        <f t="shared" si="247"/>
        <v>6.689999999999733</v>
      </c>
      <c r="B1683" s="25">
        <f t="shared" ca="1" si="240"/>
        <v>2.9165503489240213E-2</v>
      </c>
      <c r="C1683" s="25" t="e">
        <f t="shared" si="241"/>
        <v>#VALUE!</v>
      </c>
      <c r="D1683" s="74" t="e">
        <f t="shared" si="242"/>
        <v>#VALUE!</v>
      </c>
      <c r="E1683" s="25" t="e">
        <f t="shared" si="243"/>
        <v>#VALUE!</v>
      </c>
      <c r="F1683" s="25" t="e">
        <f t="shared" ca="1" si="244"/>
        <v>#VALUE!</v>
      </c>
      <c r="G1683" s="25"/>
      <c r="H1683" s="25" t="e">
        <f t="shared" si="239"/>
        <v>#VALUE!</v>
      </c>
      <c r="I1683" s="25">
        <f t="shared" si="245"/>
        <v>1168.9999999999732</v>
      </c>
      <c r="J1683" s="25" t="e">
        <f t="shared" si="246"/>
        <v>#VALUE!</v>
      </c>
    </row>
    <row r="1684" spans="1:10" x14ac:dyDescent="0.25">
      <c r="A1684" s="25">
        <f t="shared" si="247"/>
        <v>6.6999999999997328</v>
      </c>
      <c r="B1684" s="25">
        <f t="shared" ca="1" si="240"/>
        <v>-0.16689775261960973</v>
      </c>
      <c r="C1684" s="25" t="e">
        <f t="shared" si="241"/>
        <v>#VALUE!</v>
      </c>
      <c r="D1684" s="74" t="e">
        <f t="shared" si="242"/>
        <v>#VALUE!</v>
      </c>
      <c r="E1684" s="25" t="e">
        <f t="shared" si="243"/>
        <v>#VALUE!</v>
      </c>
      <c r="F1684" s="25" t="e">
        <f t="shared" ca="1" si="244"/>
        <v>#VALUE!</v>
      </c>
      <c r="G1684" s="25"/>
      <c r="H1684" s="25" t="e">
        <f t="shared" si="239"/>
        <v>#VALUE!</v>
      </c>
      <c r="I1684" s="25">
        <f t="shared" si="245"/>
        <v>1169.9999999999732</v>
      </c>
      <c r="J1684" s="25" t="e">
        <f t="shared" si="246"/>
        <v>#VALUE!</v>
      </c>
    </row>
    <row r="1685" spans="1:10" x14ac:dyDescent="0.25">
      <c r="A1685" s="25">
        <f t="shared" si="247"/>
        <v>6.7099999999997326</v>
      </c>
      <c r="B1685" s="25">
        <f t="shared" ca="1" si="240"/>
        <v>-5.7637459555410601E-2</v>
      </c>
      <c r="C1685" s="25" t="e">
        <f t="shared" si="241"/>
        <v>#VALUE!</v>
      </c>
      <c r="D1685" s="74" t="e">
        <f t="shared" si="242"/>
        <v>#VALUE!</v>
      </c>
      <c r="E1685" s="25" t="e">
        <f t="shared" si="243"/>
        <v>#VALUE!</v>
      </c>
      <c r="F1685" s="25" t="e">
        <f t="shared" ca="1" si="244"/>
        <v>#VALUE!</v>
      </c>
      <c r="G1685" s="25"/>
      <c r="H1685" s="25" t="e">
        <f t="shared" si="239"/>
        <v>#VALUE!</v>
      </c>
      <c r="I1685" s="25">
        <f t="shared" si="245"/>
        <v>1170.9999999999732</v>
      </c>
      <c r="J1685" s="25" t="e">
        <f t="shared" si="246"/>
        <v>#VALUE!</v>
      </c>
    </row>
    <row r="1686" spans="1:10" x14ac:dyDescent="0.25">
      <c r="A1686" s="25">
        <f t="shared" si="247"/>
        <v>6.7199999999997324</v>
      </c>
      <c r="B1686" s="25">
        <f t="shared" ca="1" si="240"/>
        <v>7.755268686359372E-2</v>
      </c>
      <c r="C1686" s="25" t="e">
        <f t="shared" si="241"/>
        <v>#VALUE!</v>
      </c>
      <c r="D1686" s="74" t="e">
        <f t="shared" si="242"/>
        <v>#VALUE!</v>
      </c>
      <c r="E1686" s="25" t="e">
        <f t="shared" si="243"/>
        <v>#VALUE!</v>
      </c>
      <c r="F1686" s="25" t="e">
        <f t="shared" ca="1" si="244"/>
        <v>#VALUE!</v>
      </c>
      <c r="G1686" s="25"/>
      <c r="H1686" s="25" t="e">
        <f t="shared" si="239"/>
        <v>#VALUE!</v>
      </c>
      <c r="I1686" s="25">
        <f t="shared" si="245"/>
        <v>1171.9999999999732</v>
      </c>
      <c r="J1686" s="25" t="e">
        <f t="shared" si="246"/>
        <v>#VALUE!</v>
      </c>
    </row>
    <row r="1687" spans="1:10" x14ac:dyDescent="0.25">
      <c r="A1687" s="25">
        <f t="shared" si="247"/>
        <v>6.7299999999997322</v>
      </c>
      <c r="B1687" s="25">
        <f t="shared" ca="1" si="240"/>
        <v>5.4193688074213868E-2</v>
      </c>
      <c r="C1687" s="25" t="e">
        <f t="shared" si="241"/>
        <v>#VALUE!</v>
      </c>
      <c r="D1687" s="74" t="e">
        <f t="shared" si="242"/>
        <v>#VALUE!</v>
      </c>
      <c r="E1687" s="25" t="e">
        <f t="shared" si="243"/>
        <v>#VALUE!</v>
      </c>
      <c r="F1687" s="25" t="e">
        <f t="shared" ca="1" si="244"/>
        <v>#VALUE!</v>
      </c>
      <c r="G1687" s="25"/>
      <c r="H1687" s="25" t="e">
        <f t="shared" si="239"/>
        <v>#VALUE!</v>
      </c>
      <c r="I1687" s="25">
        <f t="shared" si="245"/>
        <v>1172.9999999999732</v>
      </c>
      <c r="J1687" s="25" t="e">
        <f t="shared" si="246"/>
        <v>#VALUE!</v>
      </c>
    </row>
    <row r="1688" spans="1:10" x14ac:dyDescent="0.25">
      <c r="A1688" s="25">
        <f t="shared" si="247"/>
        <v>6.739999999999732</v>
      </c>
      <c r="B1688" s="25">
        <f t="shared" ca="1" si="240"/>
        <v>0.12219486383688564</v>
      </c>
      <c r="C1688" s="25" t="e">
        <f t="shared" si="241"/>
        <v>#VALUE!</v>
      </c>
      <c r="D1688" s="74" t="e">
        <f t="shared" si="242"/>
        <v>#VALUE!</v>
      </c>
      <c r="E1688" s="25" t="e">
        <f t="shared" si="243"/>
        <v>#VALUE!</v>
      </c>
      <c r="F1688" s="25" t="e">
        <f t="shared" ca="1" si="244"/>
        <v>#VALUE!</v>
      </c>
      <c r="G1688" s="25"/>
      <c r="H1688" s="25" t="e">
        <f t="shared" si="239"/>
        <v>#VALUE!</v>
      </c>
      <c r="I1688" s="25">
        <f t="shared" si="245"/>
        <v>1173.9999999999732</v>
      </c>
      <c r="J1688" s="25" t="e">
        <f t="shared" si="246"/>
        <v>#VALUE!</v>
      </c>
    </row>
    <row r="1689" spans="1:10" x14ac:dyDescent="0.25">
      <c r="A1689" s="25">
        <f t="shared" si="247"/>
        <v>6.7499999999997318</v>
      </c>
      <c r="B1689" s="25">
        <f t="shared" ca="1" si="240"/>
        <v>-2.4456577198159312E-2</v>
      </c>
      <c r="C1689" s="25" t="e">
        <f t="shared" si="241"/>
        <v>#VALUE!</v>
      </c>
      <c r="D1689" s="74" t="e">
        <f t="shared" si="242"/>
        <v>#VALUE!</v>
      </c>
      <c r="E1689" s="25" t="e">
        <f t="shared" si="243"/>
        <v>#VALUE!</v>
      </c>
      <c r="F1689" s="25" t="e">
        <f t="shared" ca="1" si="244"/>
        <v>#VALUE!</v>
      </c>
      <c r="G1689" s="25"/>
      <c r="H1689" s="25" t="e">
        <f t="shared" si="239"/>
        <v>#VALUE!</v>
      </c>
      <c r="I1689" s="25">
        <f t="shared" si="245"/>
        <v>1174.9999999999732</v>
      </c>
      <c r="J1689" s="25" t="e">
        <f t="shared" si="246"/>
        <v>#VALUE!</v>
      </c>
    </row>
    <row r="1690" spans="1:10" x14ac:dyDescent="0.25">
      <c r="A1690" s="25">
        <f t="shared" si="247"/>
        <v>6.7599999999997316</v>
      </c>
      <c r="B1690" s="25">
        <f t="shared" ca="1" si="240"/>
        <v>-1.5849607646047082E-2</v>
      </c>
      <c r="C1690" s="25" t="e">
        <f t="shared" si="241"/>
        <v>#VALUE!</v>
      </c>
      <c r="D1690" s="74" t="e">
        <f t="shared" si="242"/>
        <v>#VALUE!</v>
      </c>
      <c r="E1690" s="25" t="e">
        <f t="shared" si="243"/>
        <v>#VALUE!</v>
      </c>
      <c r="F1690" s="25" t="e">
        <f t="shared" ca="1" si="244"/>
        <v>#VALUE!</v>
      </c>
      <c r="G1690" s="25"/>
      <c r="H1690" s="25" t="e">
        <f t="shared" si="239"/>
        <v>#VALUE!</v>
      </c>
      <c r="I1690" s="25">
        <f t="shared" si="245"/>
        <v>1175.9999999999732</v>
      </c>
      <c r="J1690" s="25" t="e">
        <f t="shared" si="246"/>
        <v>#VALUE!</v>
      </c>
    </row>
    <row r="1691" spans="1:10" x14ac:dyDescent="0.25">
      <c r="A1691" s="25">
        <f t="shared" si="247"/>
        <v>6.7699999999997313</v>
      </c>
      <c r="B1691" s="25">
        <f t="shared" ca="1" si="240"/>
        <v>0.12892534589520979</v>
      </c>
      <c r="C1691" s="25" t="e">
        <f t="shared" si="241"/>
        <v>#VALUE!</v>
      </c>
      <c r="D1691" s="74" t="e">
        <f t="shared" si="242"/>
        <v>#VALUE!</v>
      </c>
      <c r="E1691" s="25" t="e">
        <f t="shared" si="243"/>
        <v>#VALUE!</v>
      </c>
      <c r="F1691" s="25" t="e">
        <f t="shared" ca="1" si="244"/>
        <v>#VALUE!</v>
      </c>
      <c r="G1691" s="25"/>
      <c r="H1691" s="25" t="e">
        <f t="shared" si="239"/>
        <v>#VALUE!</v>
      </c>
      <c r="I1691" s="25">
        <f t="shared" si="245"/>
        <v>1176.9999999999732</v>
      </c>
      <c r="J1691" s="25" t="e">
        <f t="shared" si="246"/>
        <v>#VALUE!</v>
      </c>
    </row>
    <row r="1692" spans="1:10" x14ac:dyDescent="0.25">
      <c r="A1692" s="25">
        <f t="shared" si="247"/>
        <v>6.7799999999997311</v>
      </c>
      <c r="B1692" s="25">
        <f t="shared" ca="1" si="240"/>
        <v>0.112985376195835</v>
      </c>
      <c r="C1692" s="25" t="e">
        <f t="shared" si="241"/>
        <v>#VALUE!</v>
      </c>
      <c r="D1692" s="74" t="e">
        <f t="shared" si="242"/>
        <v>#VALUE!</v>
      </c>
      <c r="E1692" s="25" t="e">
        <f t="shared" si="243"/>
        <v>#VALUE!</v>
      </c>
      <c r="F1692" s="25" t="e">
        <f t="shared" ca="1" si="244"/>
        <v>#VALUE!</v>
      </c>
      <c r="G1692" s="25"/>
      <c r="H1692" s="25" t="e">
        <f t="shared" si="239"/>
        <v>#VALUE!</v>
      </c>
      <c r="I1692" s="25">
        <f t="shared" si="245"/>
        <v>1177.9999999999732</v>
      </c>
      <c r="J1692" s="25" t="e">
        <f t="shared" si="246"/>
        <v>#VALUE!</v>
      </c>
    </row>
    <row r="1693" spans="1:10" x14ac:dyDescent="0.25">
      <c r="A1693" s="25">
        <f t="shared" si="247"/>
        <v>6.7899999999997309</v>
      </c>
      <c r="B1693" s="25">
        <f t="shared" ca="1" si="240"/>
        <v>-0.12543619822522015</v>
      </c>
      <c r="C1693" s="25" t="e">
        <f t="shared" si="241"/>
        <v>#VALUE!</v>
      </c>
      <c r="D1693" s="74" t="e">
        <f t="shared" si="242"/>
        <v>#VALUE!</v>
      </c>
      <c r="E1693" s="25" t="e">
        <f t="shared" si="243"/>
        <v>#VALUE!</v>
      </c>
      <c r="F1693" s="25" t="e">
        <f t="shared" ca="1" si="244"/>
        <v>#VALUE!</v>
      </c>
      <c r="G1693" s="25"/>
      <c r="H1693" s="25" t="e">
        <f t="shared" si="239"/>
        <v>#VALUE!</v>
      </c>
      <c r="I1693" s="25">
        <f t="shared" si="245"/>
        <v>1178.9999999999732</v>
      </c>
      <c r="J1693" s="25" t="e">
        <f t="shared" si="246"/>
        <v>#VALUE!</v>
      </c>
    </row>
    <row r="1694" spans="1:10" x14ac:dyDescent="0.25">
      <c r="A1694" s="25">
        <f t="shared" si="247"/>
        <v>6.7999999999997307</v>
      </c>
      <c r="B1694" s="25">
        <f t="shared" ca="1" si="240"/>
        <v>9.0719329321539699E-2</v>
      </c>
      <c r="C1694" s="25" t="e">
        <f t="shared" si="241"/>
        <v>#VALUE!</v>
      </c>
      <c r="D1694" s="74" t="e">
        <f t="shared" si="242"/>
        <v>#VALUE!</v>
      </c>
      <c r="E1694" s="25" t="e">
        <f t="shared" si="243"/>
        <v>#VALUE!</v>
      </c>
      <c r="F1694" s="25" t="e">
        <f t="shared" ca="1" si="244"/>
        <v>#VALUE!</v>
      </c>
      <c r="G1694" s="25"/>
      <c r="H1694" s="25" t="e">
        <f t="shared" ref="H1694:H1757" si="248">IF(PeakShape=$O$3,C1694,IF(PeakShape=O1696,D1694,E1694))</f>
        <v>#VALUE!</v>
      </c>
      <c r="I1694" s="25">
        <f t="shared" si="245"/>
        <v>1179.9999999999732</v>
      </c>
      <c r="J1694" s="25" t="e">
        <f t="shared" si="246"/>
        <v>#VALUE!</v>
      </c>
    </row>
    <row r="1695" spans="1:10" x14ac:dyDescent="0.25">
      <c r="A1695" s="25">
        <f t="shared" si="247"/>
        <v>6.8099999999997305</v>
      </c>
      <c r="B1695" s="25">
        <f t="shared" ca="1" si="240"/>
        <v>-4.4058392822104823E-2</v>
      </c>
      <c r="C1695" s="25" t="e">
        <f t="shared" si="241"/>
        <v>#VALUE!</v>
      </c>
      <c r="D1695" s="74" t="e">
        <f t="shared" si="242"/>
        <v>#VALUE!</v>
      </c>
      <c r="E1695" s="25" t="e">
        <f t="shared" si="243"/>
        <v>#VALUE!</v>
      </c>
      <c r="F1695" s="25" t="e">
        <f t="shared" ca="1" si="244"/>
        <v>#VALUE!</v>
      </c>
      <c r="G1695" s="25"/>
      <c r="H1695" s="25" t="e">
        <f t="shared" si="248"/>
        <v>#VALUE!</v>
      </c>
      <c r="I1695" s="25">
        <f t="shared" si="245"/>
        <v>1180.9999999999732</v>
      </c>
      <c r="J1695" s="25" t="e">
        <f t="shared" si="246"/>
        <v>#VALUE!</v>
      </c>
    </row>
    <row r="1696" spans="1:10" x14ac:dyDescent="0.25">
      <c r="A1696" s="25">
        <f t="shared" si="247"/>
        <v>6.8199999999997303</v>
      </c>
      <c r="B1696" s="25">
        <f t="shared" ca="1" si="240"/>
        <v>1.4778504719143723E-2</v>
      </c>
      <c r="C1696" s="25" t="e">
        <f t="shared" si="241"/>
        <v>#VALUE!</v>
      </c>
      <c r="D1696" s="74" t="e">
        <f t="shared" si="242"/>
        <v>#VALUE!</v>
      </c>
      <c r="E1696" s="25" t="e">
        <f t="shared" si="243"/>
        <v>#VALUE!</v>
      </c>
      <c r="F1696" s="25" t="e">
        <f t="shared" ca="1" si="244"/>
        <v>#VALUE!</v>
      </c>
      <c r="G1696" s="25"/>
      <c r="H1696" s="25" t="e">
        <f t="shared" si="248"/>
        <v>#VALUE!</v>
      </c>
      <c r="I1696" s="25">
        <f t="shared" si="245"/>
        <v>1181.9999999999732</v>
      </c>
      <c r="J1696" s="25" t="e">
        <f t="shared" si="246"/>
        <v>#VALUE!</v>
      </c>
    </row>
    <row r="1697" spans="1:10" x14ac:dyDescent="0.25">
      <c r="A1697" s="25">
        <f t="shared" si="247"/>
        <v>6.8299999999997301</v>
      </c>
      <c r="B1697" s="25">
        <f t="shared" ca="1" si="240"/>
        <v>3.2899810198300933E-2</v>
      </c>
      <c r="C1697" s="25" t="e">
        <f t="shared" si="241"/>
        <v>#VALUE!</v>
      </c>
      <c r="D1697" s="74" t="e">
        <f t="shared" si="242"/>
        <v>#VALUE!</v>
      </c>
      <c r="E1697" s="25" t="e">
        <f t="shared" si="243"/>
        <v>#VALUE!</v>
      </c>
      <c r="F1697" s="25" t="e">
        <f t="shared" ca="1" si="244"/>
        <v>#VALUE!</v>
      </c>
      <c r="G1697" s="25"/>
      <c r="H1697" s="25" t="e">
        <f t="shared" si="248"/>
        <v>#VALUE!</v>
      </c>
      <c r="I1697" s="25">
        <f t="shared" si="245"/>
        <v>1182.9999999999732</v>
      </c>
      <c r="J1697" s="25" t="e">
        <f t="shared" si="246"/>
        <v>#VALUE!</v>
      </c>
    </row>
    <row r="1698" spans="1:10" x14ac:dyDescent="0.25">
      <c r="A1698" s="25">
        <f t="shared" si="247"/>
        <v>6.8399999999997299</v>
      </c>
      <c r="B1698" s="25">
        <f t="shared" ca="1" si="240"/>
        <v>-0.11344321883286738</v>
      </c>
      <c r="C1698" s="25" t="e">
        <f t="shared" si="241"/>
        <v>#VALUE!</v>
      </c>
      <c r="D1698" s="74" t="e">
        <f t="shared" si="242"/>
        <v>#VALUE!</v>
      </c>
      <c r="E1698" s="25" t="e">
        <f t="shared" si="243"/>
        <v>#VALUE!</v>
      </c>
      <c r="F1698" s="25" t="e">
        <f t="shared" ca="1" si="244"/>
        <v>#VALUE!</v>
      </c>
      <c r="G1698" s="25"/>
      <c r="H1698" s="25" t="e">
        <f t="shared" si="248"/>
        <v>#VALUE!</v>
      </c>
      <c r="I1698" s="25">
        <f t="shared" si="245"/>
        <v>1183.9999999999729</v>
      </c>
      <c r="J1698" s="25" t="e">
        <f t="shared" si="246"/>
        <v>#VALUE!</v>
      </c>
    </row>
    <row r="1699" spans="1:10" x14ac:dyDescent="0.25">
      <c r="A1699" s="25">
        <f t="shared" si="247"/>
        <v>6.8499999999997296</v>
      </c>
      <c r="B1699" s="25">
        <f t="shared" ca="1" si="240"/>
        <v>4.5123935589258451E-2</v>
      </c>
      <c r="C1699" s="25" t="e">
        <f t="shared" si="241"/>
        <v>#VALUE!</v>
      </c>
      <c r="D1699" s="74" t="e">
        <f t="shared" si="242"/>
        <v>#VALUE!</v>
      </c>
      <c r="E1699" s="25" t="e">
        <f t="shared" si="243"/>
        <v>#VALUE!</v>
      </c>
      <c r="F1699" s="25" t="e">
        <f t="shared" ca="1" si="244"/>
        <v>#VALUE!</v>
      </c>
      <c r="G1699" s="25"/>
      <c r="H1699" s="25" t="e">
        <f t="shared" si="248"/>
        <v>#VALUE!</v>
      </c>
      <c r="I1699" s="25">
        <f t="shared" si="245"/>
        <v>1184.9999999999729</v>
      </c>
      <c r="J1699" s="25" t="e">
        <f t="shared" si="246"/>
        <v>#VALUE!</v>
      </c>
    </row>
    <row r="1700" spans="1:10" x14ac:dyDescent="0.25">
      <c r="A1700" s="25">
        <f t="shared" si="247"/>
        <v>6.8599999999997294</v>
      </c>
      <c r="B1700" s="25">
        <f t="shared" ca="1" si="240"/>
        <v>-7.3215360619073008E-2</v>
      </c>
      <c r="C1700" s="25" t="e">
        <f t="shared" si="241"/>
        <v>#VALUE!</v>
      </c>
      <c r="D1700" s="74" t="e">
        <f t="shared" si="242"/>
        <v>#VALUE!</v>
      </c>
      <c r="E1700" s="25" t="e">
        <f t="shared" si="243"/>
        <v>#VALUE!</v>
      </c>
      <c r="F1700" s="25" t="e">
        <f t="shared" ca="1" si="244"/>
        <v>#VALUE!</v>
      </c>
      <c r="G1700" s="25"/>
      <c r="H1700" s="25" t="e">
        <f t="shared" si="248"/>
        <v>#VALUE!</v>
      </c>
      <c r="I1700" s="25">
        <f t="shared" si="245"/>
        <v>1185.9999999999729</v>
      </c>
      <c r="J1700" s="25" t="e">
        <f t="shared" si="246"/>
        <v>#VALUE!</v>
      </c>
    </row>
    <row r="1701" spans="1:10" x14ac:dyDescent="0.25">
      <c r="A1701" s="25">
        <f t="shared" si="247"/>
        <v>6.8699999999997292</v>
      </c>
      <c r="B1701" s="25">
        <f t="shared" ca="1" si="240"/>
        <v>-4.6801137742225767E-2</v>
      </c>
      <c r="C1701" s="25" t="e">
        <f t="shared" si="241"/>
        <v>#VALUE!</v>
      </c>
      <c r="D1701" s="74" t="e">
        <f t="shared" si="242"/>
        <v>#VALUE!</v>
      </c>
      <c r="E1701" s="25" t="e">
        <f t="shared" si="243"/>
        <v>#VALUE!</v>
      </c>
      <c r="F1701" s="25" t="e">
        <f t="shared" ca="1" si="244"/>
        <v>#VALUE!</v>
      </c>
      <c r="G1701" s="25"/>
      <c r="H1701" s="25" t="e">
        <f t="shared" si="248"/>
        <v>#VALUE!</v>
      </c>
      <c r="I1701" s="25">
        <f t="shared" si="245"/>
        <v>1186.9999999999729</v>
      </c>
      <c r="J1701" s="25" t="e">
        <f t="shared" si="246"/>
        <v>#VALUE!</v>
      </c>
    </row>
    <row r="1702" spans="1:10" x14ac:dyDescent="0.25">
      <c r="A1702" s="25">
        <f t="shared" si="247"/>
        <v>6.879999999999729</v>
      </c>
      <c r="B1702" s="25">
        <f t="shared" ca="1" si="240"/>
        <v>-6.9544963393168999E-2</v>
      </c>
      <c r="C1702" s="25" t="e">
        <f t="shared" si="241"/>
        <v>#VALUE!</v>
      </c>
      <c r="D1702" s="74" t="e">
        <f t="shared" si="242"/>
        <v>#VALUE!</v>
      </c>
      <c r="E1702" s="25" t="e">
        <f t="shared" si="243"/>
        <v>#VALUE!</v>
      </c>
      <c r="F1702" s="25" t="e">
        <f t="shared" ca="1" si="244"/>
        <v>#VALUE!</v>
      </c>
      <c r="G1702" s="25"/>
      <c r="H1702" s="25" t="e">
        <f t="shared" si="248"/>
        <v>#VALUE!</v>
      </c>
      <c r="I1702" s="25">
        <f t="shared" si="245"/>
        <v>1187.9999999999729</v>
      </c>
      <c r="J1702" s="25" t="e">
        <f t="shared" si="246"/>
        <v>#VALUE!</v>
      </c>
    </row>
    <row r="1703" spans="1:10" x14ac:dyDescent="0.25">
      <c r="A1703" s="25">
        <f t="shared" si="247"/>
        <v>6.8899999999997288</v>
      </c>
      <c r="B1703" s="25">
        <f t="shared" ca="1" si="240"/>
        <v>-0.18401164111706003</v>
      </c>
      <c r="C1703" s="25" t="e">
        <f t="shared" si="241"/>
        <v>#VALUE!</v>
      </c>
      <c r="D1703" s="74" t="e">
        <f t="shared" si="242"/>
        <v>#VALUE!</v>
      </c>
      <c r="E1703" s="25" t="e">
        <f t="shared" si="243"/>
        <v>#VALUE!</v>
      </c>
      <c r="F1703" s="25" t="e">
        <f t="shared" ca="1" si="244"/>
        <v>#VALUE!</v>
      </c>
      <c r="G1703" s="25"/>
      <c r="H1703" s="25" t="e">
        <f t="shared" si="248"/>
        <v>#VALUE!</v>
      </c>
      <c r="I1703" s="25">
        <f t="shared" si="245"/>
        <v>1188.9999999999729</v>
      </c>
      <c r="J1703" s="25" t="e">
        <f t="shared" si="246"/>
        <v>#VALUE!</v>
      </c>
    </row>
    <row r="1704" spans="1:10" x14ac:dyDescent="0.25">
      <c r="A1704" s="25">
        <f t="shared" si="247"/>
        <v>6.8999999999997286</v>
      </c>
      <c r="B1704" s="25">
        <f t="shared" ca="1" si="240"/>
        <v>-0.14211017148045149</v>
      </c>
      <c r="C1704" s="25" t="e">
        <f t="shared" si="241"/>
        <v>#VALUE!</v>
      </c>
      <c r="D1704" s="74" t="e">
        <f t="shared" si="242"/>
        <v>#VALUE!</v>
      </c>
      <c r="E1704" s="25" t="e">
        <f t="shared" si="243"/>
        <v>#VALUE!</v>
      </c>
      <c r="F1704" s="25" t="e">
        <f t="shared" ca="1" si="244"/>
        <v>#VALUE!</v>
      </c>
      <c r="G1704" s="25"/>
      <c r="H1704" s="25" t="e">
        <f t="shared" si="248"/>
        <v>#VALUE!</v>
      </c>
      <c r="I1704" s="25">
        <f t="shared" si="245"/>
        <v>1189.9999999999729</v>
      </c>
      <c r="J1704" s="25" t="e">
        <f t="shared" si="246"/>
        <v>#VALUE!</v>
      </c>
    </row>
    <row r="1705" spans="1:10" x14ac:dyDescent="0.25">
      <c r="A1705" s="25">
        <f t="shared" si="247"/>
        <v>6.9099999999997284</v>
      </c>
      <c r="B1705" s="25">
        <f t="shared" ca="1" si="240"/>
        <v>-0.10000304293828481</v>
      </c>
      <c r="C1705" s="25" t="e">
        <f t="shared" si="241"/>
        <v>#VALUE!</v>
      </c>
      <c r="D1705" s="74" t="e">
        <f t="shared" si="242"/>
        <v>#VALUE!</v>
      </c>
      <c r="E1705" s="25" t="e">
        <f t="shared" si="243"/>
        <v>#VALUE!</v>
      </c>
      <c r="F1705" s="25" t="e">
        <f t="shared" ca="1" si="244"/>
        <v>#VALUE!</v>
      </c>
      <c r="G1705" s="25"/>
      <c r="H1705" s="25" t="e">
        <f t="shared" si="248"/>
        <v>#VALUE!</v>
      </c>
      <c r="I1705" s="25">
        <f t="shared" si="245"/>
        <v>1190.9999999999729</v>
      </c>
      <c r="J1705" s="25" t="e">
        <f t="shared" si="246"/>
        <v>#VALUE!</v>
      </c>
    </row>
    <row r="1706" spans="1:10" x14ac:dyDescent="0.25">
      <c r="A1706" s="25">
        <f t="shared" si="247"/>
        <v>6.9199999999997281</v>
      </c>
      <c r="B1706" s="25">
        <f t="shared" ca="1" si="240"/>
        <v>-4.2740240092773267E-2</v>
      </c>
      <c r="C1706" s="25" t="e">
        <f t="shared" si="241"/>
        <v>#VALUE!</v>
      </c>
      <c r="D1706" s="74" t="e">
        <f t="shared" si="242"/>
        <v>#VALUE!</v>
      </c>
      <c r="E1706" s="25" t="e">
        <f t="shared" si="243"/>
        <v>#VALUE!</v>
      </c>
      <c r="F1706" s="25" t="e">
        <f t="shared" ca="1" si="244"/>
        <v>#VALUE!</v>
      </c>
      <c r="G1706" s="25"/>
      <c r="H1706" s="25" t="e">
        <f t="shared" si="248"/>
        <v>#VALUE!</v>
      </c>
      <c r="I1706" s="25">
        <f t="shared" si="245"/>
        <v>1191.9999999999729</v>
      </c>
      <c r="J1706" s="25" t="e">
        <f t="shared" si="246"/>
        <v>#VALUE!</v>
      </c>
    </row>
    <row r="1707" spans="1:10" x14ac:dyDescent="0.25">
      <c r="A1707" s="25">
        <f t="shared" si="247"/>
        <v>6.9299999999997279</v>
      </c>
      <c r="B1707" s="25">
        <f t="shared" ca="1" si="240"/>
        <v>-0.18169491494585377</v>
      </c>
      <c r="C1707" s="25" t="e">
        <f t="shared" si="241"/>
        <v>#VALUE!</v>
      </c>
      <c r="D1707" s="74" t="e">
        <f t="shared" si="242"/>
        <v>#VALUE!</v>
      </c>
      <c r="E1707" s="25" t="e">
        <f t="shared" si="243"/>
        <v>#VALUE!</v>
      </c>
      <c r="F1707" s="25" t="e">
        <f t="shared" ca="1" si="244"/>
        <v>#VALUE!</v>
      </c>
      <c r="G1707" s="25"/>
      <c r="H1707" s="25" t="e">
        <f t="shared" si="248"/>
        <v>#VALUE!</v>
      </c>
      <c r="I1707" s="25">
        <f t="shared" si="245"/>
        <v>1192.9999999999727</v>
      </c>
      <c r="J1707" s="25" t="e">
        <f t="shared" si="246"/>
        <v>#VALUE!</v>
      </c>
    </row>
    <row r="1708" spans="1:10" x14ac:dyDescent="0.25">
      <c r="A1708" s="25">
        <f t="shared" si="247"/>
        <v>6.9399999999997277</v>
      </c>
      <c r="B1708" s="25">
        <f t="shared" ca="1" si="240"/>
        <v>-5.5430570536353446E-2</v>
      </c>
      <c r="C1708" s="25" t="e">
        <f t="shared" si="241"/>
        <v>#VALUE!</v>
      </c>
      <c r="D1708" s="74" t="e">
        <f t="shared" si="242"/>
        <v>#VALUE!</v>
      </c>
      <c r="E1708" s="25" t="e">
        <f t="shared" si="243"/>
        <v>#VALUE!</v>
      </c>
      <c r="F1708" s="25" t="e">
        <f t="shared" ca="1" si="244"/>
        <v>#VALUE!</v>
      </c>
      <c r="G1708" s="25"/>
      <c r="H1708" s="25" t="e">
        <f t="shared" si="248"/>
        <v>#VALUE!</v>
      </c>
      <c r="I1708" s="25">
        <f t="shared" si="245"/>
        <v>1193.9999999999727</v>
      </c>
      <c r="J1708" s="25" t="e">
        <f t="shared" si="246"/>
        <v>#VALUE!</v>
      </c>
    </row>
    <row r="1709" spans="1:10" x14ac:dyDescent="0.25">
      <c r="A1709" s="25">
        <f t="shared" si="247"/>
        <v>6.9499999999997275</v>
      </c>
      <c r="B1709" s="25">
        <f t="shared" ca="1" si="240"/>
        <v>4.3123778752588875E-2</v>
      </c>
      <c r="C1709" s="25" t="e">
        <f t="shared" si="241"/>
        <v>#VALUE!</v>
      </c>
      <c r="D1709" s="74" t="e">
        <f t="shared" si="242"/>
        <v>#VALUE!</v>
      </c>
      <c r="E1709" s="25" t="e">
        <f t="shared" si="243"/>
        <v>#VALUE!</v>
      </c>
      <c r="F1709" s="25" t="e">
        <f t="shared" ca="1" si="244"/>
        <v>#VALUE!</v>
      </c>
      <c r="G1709" s="25"/>
      <c r="H1709" s="25" t="e">
        <f t="shared" si="248"/>
        <v>#VALUE!</v>
      </c>
      <c r="I1709" s="25">
        <f t="shared" si="245"/>
        <v>1194.9999999999727</v>
      </c>
      <c r="J1709" s="25" t="e">
        <f t="shared" si="246"/>
        <v>#VALUE!</v>
      </c>
    </row>
    <row r="1710" spans="1:10" x14ac:dyDescent="0.25">
      <c r="A1710" s="25">
        <f t="shared" si="247"/>
        <v>6.9599999999997273</v>
      </c>
      <c r="B1710" s="25">
        <f t="shared" ca="1" si="240"/>
        <v>-0.15692197979779565</v>
      </c>
      <c r="C1710" s="25" t="e">
        <f t="shared" si="241"/>
        <v>#VALUE!</v>
      </c>
      <c r="D1710" s="74" t="e">
        <f t="shared" si="242"/>
        <v>#VALUE!</v>
      </c>
      <c r="E1710" s="25" t="e">
        <f t="shared" si="243"/>
        <v>#VALUE!</v>
      </c>
      <c r="F1710" s="25" t="e">
        <f t="shared" ca="1" si="244"/>
        <v>#VALUE!</v>
      </c>
      <c r="G1710" s="25"/>
      <c r="H1710" s="25" t="e">
        <f t="shared" si="248"/>
        <v>#VALUE!</v>
      </c>
      <c r="I1710" s="25">
        <f t="shared" si="245"/>
        <v>1195.9999999999727</v>
      </c>
      <c r="J1710" s="25" t="e">
        <f t="shared" si="246"/>
        <v>#VALUE!</v>
      </c>
    </row>
    <row r="1711" spans="1:10" x14ac:dyDescent="0.25">
      <c r="A1711" s="25">
        <f t="shared" si="247"/>
        <v>6.9699999999997271</v>
      </c>
      <c r="B1711" s="25">
        <f t="shared" ca="1" si="240"/>
        <v>-6.130527744037851E-2</v>
      </c>
      <c r="C1711" s="25" t="e">
        <f t="shared" si="241"/>
        <v>#VALUE!</v>
      </c>
      <c r="D1711" s="74" t="e">
        <f t="shared" si="242"/>
        <v>#VALUE!</v>
      </c>
      <c r="E1711" s="25" t="e">
        <f t="shared" si="243"/>
        <v>#VALUE!</v>
      </c>
      <c r="F1711" s="25" t="e">
        <f t="shared" ca="1" si="244"/>
        <v>#VALUE!</v>
      </c>
      <c r="G1711" s="25"/>
      <c r="H1711" s="25" t="e">
        <f t="shared" si="248"/>
        <v>#VALUE!</v>
      </c>
      <c r="I1711" s="25">
        <f t="shared" si="245"/>
        <v>1196.9999999999727</v>
      </c>
      <c r="J1711" s="25" t="e">
        <f t="shared" si="246"/>
        <v>#VALUE!</v>
      </c>
    </row>
    <row r="1712" spans="1:10" x14ac:dyDescent="0.25">
      <c r="A1712" s="25">
        <f t="shared" si="247"/>
        <v>6.9799999999997269</v>
      </c>
      <c r="B1712" s="25">
        <f t="shared" ca="1" si="240"/>
        <v>-0.15510446695106869</v>
      </c>
      <c r="C1712" s="25" t="e">
        <f t="shared" si="241"/>
        <v>#VALUE!</v>
      </c>
      <c r="D1712" s="74" t="e">
        <f t="shared" si="242"/>
        <v>#VALUE!</v>
      </c>
      <c r="E1712" s="25" t="e">
        <f t="shared" si="243"/>
        <v>#VALUE!</v>
      </c>
      <c r="F1712" s="25" t="e">
        <f t="shared" ca="1" si="244"/>
        <v>#VALUE!</v>
      </c>
      <c r="G1712" s="25"/>
      <c r="H1712" s="25" t="e">
        <f t="shared" si="248"/>
        <v>#VALUE!</v>
      </c>
      <c r="I1712" s="25">
        <f t="shared" si="245"/>
        <v>1197.9999999999727</v>
      </c>
      <c r="J1712" s="25" t="e">
        <f t="shared" si="246"/>
        <v>#VALUE!</v>
      </c>
    </row>
    <row r="1713" spans="1:10" x14ac:dyDescent="0.25">
      <c r="A1713" s="25">
        <f t="shared" si="247"/>
        <v>6.9899999999997267</v>
      </c>
      <c r="B1713" s="25">
        <f t="shared" ca="1" si="240"/>
        <v>-1.8176603076051522E-2</v>
      </c>
      <c r="C1713" s="25" t="e">
        <f t="shared" si="241"/>
        <v>#VALUE!</v>
      </c>
      <c r="D1713" s="74" t="e">
        <f t="shared" si="242"/>
        <v>#VALUE!</v>
      </c>
      <c r="E1713" s="25" t="e">
        <f t="shared" si="243"/>
        <v>#VALUE!</v>
      </c>
      <c r="F1713" s="25" t="e">
        <f t="shared" ca="1" si="244"/>
        <v>#VALUE!</v>
      </c>
      <c r="G1713" s="25"/>
      <c r="H1713" s="25" t="e">
        <f t="shared" si="248"/>
        <v>#VALUE!</v>
      </c>
      <c r="I1713" s="25">
        <f t="shared" si="245"/>
        <v>1198.9999999999727</v>
      </c>
      <c r="J1713" s="25" t="e">
        <f t="shared" si="246"/>
        <v>#VALUE!</v>
      </c>
    </row>
    <row r="1714" spans="1:10" x14ac:dyDescent="0.25">
      <c r="A1714" s="25">
        <f t="shared" si="247"/>
        <v>6.9999999999997264</v>
      </c>
      <c r="B1714" s="25">
        <f t="shared" ca="1" si="240"/>
        <v>-0.16013007522254127</v>
      </c>
      <c r="C1714" s="25" t="e">
        <f t="shared" si="241"/>
        <v>#VALUE!</v>
      </c>
      <c r="D1714" s="74" t="e">
        <f t="shared" si="242"/>
        <v>#VALUE!</v>
      </c>
      <c r="E1714" s="25" t="e">
        <f t="shared" si="243"/>
        <v>#VALUE!</v>
      </c>
      <c r="F1714" s="25" t="e">
        <f t="shared" ca="1" si="244"/>
        <v>#VALUE!</v>
      </c>
      <c r="G1714" s="25"/>
      <c r="H1714" s="25" t="e">
        <f t="shared" si="248"/>
        <v>#VALUE!</v>
      </c>
      <c r="I1714" s="25">
        <f t="shared" si="245"/>
        <v>1199.9999999999727</v>
      </c>
      <c r="J1714" s="25" t="e">
        <f t="shared" si="246"/>
        <v>#VALUE!</v>
      </c>
    </row>
    <row r="1715" spans="1:10" x14ac:dyDescent="0.25">
      <c r="A1715" s="25">
        <f t="shared" si="247"/>
        <v>7.0099999999997262</v>
      </c>
      <c r="B1715" s="25">
        <f t="shared" ca="1" si="240"/>
        <v>0.10683071188797311</v>
      </c>
      <c r="C1715" s="25" t="e">
        <f t="shared" si="241"/>
        <v>#VALUE!</v>
      </c>
      <c r="D1715" s="74" t="e">
        <f t="shared" si="242"/>
        <v>#VALUE!</v>
      </c>
      <c r="E1715" s="25" t="e">
        <f t="shared" si="243"/>
        <v>#VALUE!</v>
      </c>
      <c r="F1715" s="25" t="e">
        <f t="shared" ca="1" si="244"/>
        <v>#VALUE!</v>
      </c>
      <c r="G1715" s="25"/>
      <c r="H1715" s="25" t="e">
        <f t="shared" si="248"/>
        <v>#VALUE!</v>
      </c>
      <c r="I1715" s="25">
        <f t="shared" si="245"/>
        <v>1200.9999999999725</v>
      </c>
      <c r="J1715" s="25" t="e">
        <f t="shared" si="246"/>
        <v>#VALUE!</v>
      </c>
    </row>
    <row r="1716" spans="1:10" x14ac:dyDescent="0.25">
      <c r="A1716" s="25">
        <f t="shared" si="247"/>
        <v>7.019999999999726</v>
      </c>
      <c r="B1716" s="25">
        <f t="shared" ca="1" si="240"/>
        <v>6.3852829268999253E-2</v>
      </c>
      <c r="C1716" s="25" t="e">
        <f t="shared" si="241"/>
        <v>#VALUE!</v>
      </c>
      <c r="D1716" s="74" t="e">
        <f t="shared" si="242"/>
        <v>#VALUE!</v>
      </c>
      <c r="E1716" s="25" t="e">
        <f t="shared" si="243"/>
        <v>#VALUE!</v>
      </c>
      <c r="F1716" s="25" t="e">
        <f t="shared" ca="1" si="244"/>
        <v>#VALUE!</v>
      </c>
      <c r="G1716" s="25"/>
      <c r="H1716" s="25" t="e">
        <f t="shared" si="248"/>
        <v>#VALUE!</v>
      </c>
      <c r="I1716" s="25">
        <f t="shared" si="245"/>
        <v>1201.9999999999725</v>
      </c>
      <c r="J1716" s="25" t="e">
        <f t="shared" si="246"/>
        <v>#VALUE!</v>
      </c>
    </row>
    <row r="1717" spans="1:10" x14ac:dyDescent="0.25">
      <c r="A1717" s="25">
        <f t="shared" si="247"/>
        <v>7.0299999999997258</v>
      </c>
      <c r="B1717" s="25">
        <f t="shared" ca="1" si="240"/>
        <v>7.6119270690103852E-2</v>
      </c>
      <c r="C1717" s="25" t="e">
        <f t="shared" si="241"/>
        <v>#VALUE!</v>
      </c>
      <c r="D1717" s="74" t="e">
        <f t="shared" si="242"/>
        <v>#VALUE!</v>
      </c>
      <c r="E1717" s="25" t="e">
        <f t="shared" si="243"/>
        <v>#VALUE!</v>
      </c>
      <c r="F1717" s="25" t="e">
        <f t="shared" ca="1" si="244"/>
        <v>#VALUE!</v>
      </c>
      <c r="G1717" s="25"/>
      <c r="H1717" s="25" t="e">
        <f t="shared" si="248"/>
        <v>#VALUE!</v>
      </c>
      <c r="I1717" s="25">
        <f t="shared" si="245"/>
        <v>1202.9999999999725</v>
      </c>
      <c r="J1717" s="25" t="e">
        <f t="shared" si="246"/>
        <v>#VALUE!</v>
      </c>
    </row>
    <row r="1718" spans="1:10" x14ac:dyDescent="0.25">
      <c r="A1718" s="25">
        <f t="shared" si="247"/>
        <v>7.0399999999997256</v>
      </c>
      <c r="B1718" s="25">
        <f t="shared" ca="1" si="240"/>
        <v>-0.13055692951164113</v>
      </c>
      <c r="C1718" s="25" t="e">
        <f t="shared" si="241"/>
        <v>#VALUE!</v>
      </c>
      <c r="D1718" s="74" t="e">
        <f t="shared" si="242"/>
        <v>#VALUE!</v>
      </c>
      <c r="E1718" s="25" t="e">
        <f t="shared" si="243"/>
        <v>#VALUE!</v>
      </c>
      <c r="F1718" s="25" t="e">
        <f t="shared" ca="1" si="244"/>
        <v>#VALUE!</v>
      </c>
      <c r="G1718" s="25"/>
      <c r="H1718" s="25" t="e">
        <f t="shared" si="248"/>
        <v>#VALUE!</v>
      </c>
      <c r="I1718" s="25">
        <f t="shared" si="245"/>
        <v>1203.9999999999725</v>
      </c>
      <c r="J1718" s="25" t="e">
        <f t="shared" si="246"/>
        <v>#VALUE!</v>
      </c>
    </row>
    <row r="1719" spans="1:10" x14ac:dyDescent="0.25">
      <c r="A1719" s="25">
        <f t="shared" si="247"/>
        <v>7.0499999999997254</v>
      </c>
      <c r="B1719" s="25">
        <f t="shared" ca="1" si="240"/>
        <v>-0.19322449661548113</v>
      </c>
      <c r="C1719" s="25" t="e">
        <f t="shared" si="241"/>
        <v>#VALUE!</v>
      </c>
      <c r="D1719" s="74" t="e">
        <f t="shared" si="242"/>
        <v>#VALUE!</v>
      </c>
      <c r="E1719" s="25" t="e">
        <f t="shared" si="243"/>
        <v>#VALUE!</v>
      </c>
      <c r="F1719" s="25" t="e">
        <f t="shared" ca="1" si="244"/>
        <v>#VALUE!</v>
      </c>
      <c r="G1719" s="25"/>
      <c r="H1719" s="25" t="e">
        <f t="shared" si="248"/>
        <v>#VALUE!</v>
      </c>
      <c r="I1719" s="25">
        <f t="shared" si="245"/>
        <v>1204.9999999999725</v>
      </c>
      <c r="J1719" s="25" t="e">
        <f t="shared" si="246"/>
        <v>#VALUE!</v>
      </c>
    </row>
    <row r="1720" spans="1:10" x14ac:dyDescent="0.25">
      <c r="A1720" s="25">
        <f t="shared" si="247"/>
        <v>7.0599999999997252</v>
      </c>
      <c r="B1720" s="25">
        <f t="shared" ca="1" si="240"/>
        <v>-6.1480401277356996E-2</v>
      </c>
      <c r="C1720" s="25" t="e">
        <f t="shared" si="241"/>
        <v>#VALUE!</v>
      </c>
      <c r="D1720" s="74" t="e">
        <f t="shared" si="242"/>
        <v>#VALUE!</v>
      </c>
      <c r="E1720" s="25" t="e">
        <f t="shared" si="243"/>
        <v>#VALUE!</v>
      </c>
      <c r="F1720" s="25" t="e">
        <f t="shared" ca="1" si="244"/>
        <v>#VALUE!</v>
      </c>
      <c r="G1720" s="25"/>
      <c r="H1720" s="25" t="e">
        <f t="shared" si="248"/>
        <v>#VALUE!</v>
      </c>
      <c r="I1720" s="25">
        <f t="shared" si="245"/>
        <v>1205.9999999999725</v>
      </c>
      <c r="J1720" s="25" t="e">
        <f t="shared" si="246"/>
        <v>#VALUE!</v>
      </c>
    </row>
    <row r="1721" spans="1:10" x14ac:dyDescent="0.25">
      <c r="A1721" s="25">
        <f t="shared" si="247"/>
        <v>7.0699999999997249</v>
      </c>
      <c r="B1721" s="25">
        <f t="shared" ca="1" si="240"/>
        <v>-1.0169285934911038E-2</v>
      </c>
      <c r="C1721" s="25" t="e">
        <f t="shared" si="241"/>
        <v>#VALUE!</v>
      </c>
      <c r="D1721" s="74" t="e">
        <f t="shared" si="242"/>
        <v>#VALUE!</v>
      </c>
      <c r="E1721" s="25" t="e">
        <f t="shared" si="243"/>
        <v>#VALUE!</v>
      </c>
      <c r="F1721" s="25" t="e">
        <f t="shared" ca="1" si="244"/>
        <v>#VALUE!</v>
      </c>
      <c r="G1721" s="25"/>
      <c r="H1721" s="25" t="e">
        <f t="shared" si="248"/>
        <v>#VALUE!</v>
      </c>
      <c r="I1721" s="25">
        <f t="shared" si="245"/>
        <v>1206.9999999999725</v>
      </c>
      <c r="J1721" s="25" t="e">
        <f t="shared" si="246"/>
        <v>#VALUE!</v>
      </c>
    </row>
    <row r="1722" spans="1:10" x14ac:dyDescent="0.25">
      <c r="A1722" s="25">
        <f t="shared" si="247"/>
        <v>7.0799999999997247</v>
      </c>
      <c r="B1722" s="25">
        <f t="shared" ca="1" si="240"/>
        <v>8.9532858382297964E-2</v>
      </c>
      <c r="C1722" s="25" t="e">
        <f t="shared" si="241"/>
        <v>#VALUE!</v>
      </c>
      <c r="D1722" s="74" t="e">
        <f t="shared" si="242"/>
        <v>#VALUE!</v>
      </c>
      <c r="E1722" s="25" t="e">
        <f t="shared" si="243"/>
        <v>#VALUE!</v>
      </c>
      <c r="F1722" s="25" t="e">
        <f t="shared" ca="1" si="244"/>
        <v>#VALUE!</v>
      </c>
      <c r="G1722" s="25"/>
      <c r="H1722" s="25" t="e">
        <f t="shared" si="248"/>
        <v>#VALUE!</v>
      </c>
      <c r="I1722" s="25">
        <f t="shared" si="245"/>
        <v>1207.9999999999725</v>
      </c>
      <c r="J1722" s="25" t="e">
        <f t="shared" si="246"/>
        <v>#VALUE!</v>
      </c>
    </row>
    <row r="1723" spans="1:10" x14ac:dyDescent="0.25">
      <c r="A1723" s="25">
        <f t="shared" si="247"/>
        <v>7.0899999999997245</v>
      </c>
      <c r="B1723" s="25">
        <f t="shared" ca="1" si="240"/>
        <v>-2.0615454549338968E-2</v>
      </c>
      <c r="C1723" s="25" t="e">
        <f t="shared" si="241"/>
        <v>#VALUE!</v>
      </c>
      <c r="D1723" s="74" t="e">
        <f t="shared" si="242"/>
        <v>#VALUE!</v>
      </c>
      <c r="E1723" s="25" t="e">
        <f t="shared" si="243"/>
        <v>#VALUE!</v>
      </c>
      <c r="F1723" s="25" t="e">
        <f t="shared" ca="1" si="244"/>
        <v>#VALUE!</v>
      </c>
      <c r="G1723" s="25"/>
      <c r="H1723" s="25" t="e">
        <f t="shared" si="248"/>
        <v>#VALUE!</v>
      </c>
      <c r="I1723" s="25">
        <f t="shared" si="245"/>
        <v>1208.9999999999725</v>
      </c>
      <c r="J1723" s="25" t="e">
        <f t="shared" si="246"/>
        <v>#VALUE!</v>
      </c>
    </row>
    <row r="1724" spans="1:10" x14ac:dyDescent="0.25">
      <c r="A1724" s="25">
        <f t="shared" si="247"/>
        <v>7.0999999999997243</v>
      </c>
      <c r="B1724" s="25">
        <f t="shared" ca="1" si="240"/>
        <v>8.1819753420737731E-2</v>
      </c>
      <c r="C1724" s="25" t="e">
        <f t="shared" si="241"/>
        <v>#VALUE!</v>
      </c>
      <c r="D1724" s="74" t="e">
        <f t="shared" si="242"/>
        <v>#VALUE!</v>
      </c>
      <c r="E1724" s="25" t="e">
        <f t="shared" si="243"/>
        <v>#VALUE!</v>
      </c>
      <c r="F1724" s="25" t="e">
        <f t="shared" ca="1" si="244"/>
        <v>#VALUE!</v>
      </c>
      <c r="G1724" s="25"/>
      <c r="H1724" s="25" t="e">
        <f t="shared" si="248"/>
        <v>#VALUE!</v>
      </c>
      <c r="I1724" s="25">
        <f t="shared" si="245"/>
        <v>1209.9999999999723</v>
      </c>
      <c r="J1724" s="25" t="e">
        <f t="shared" si="246"/>
        <v>#VALUE!</v>
      </c>
    </row>
    <row r="1725" spans="1:10" x14ac:dyDescent="0.25">
      <c r="A1725" s="25">
        <f t="shared" si="247"/>
        <v>7.1099999999997241</v>
      </c>
      <c r="B1725" s="25">
        <f t="shared" ca="1" si="240"/>
        <v>9.2010203939726878E-2</v>
      </c>
      <c r="C1725" s="25" t="e">
        <f t="shared" si="241"/>
        <v>#VALUE!</v>
      </c>
      <c r="D1725" s="74" t="e">
        <f t="shared" si="242"/>
        <v>#VALUE!</v>
      </c>
      <c r="E1725" s="25" t="e">
        <f t="shared" si="243"/>
        <v>#VALUE!</v>
      </c>
      <c r="F1725" s="25" t="e">
        <f t="shared" ca="1" si="244"/>
        <v>#VALUE!</v>
      </c>
      <c r="G1725" s="25"/>
      <c r="H1725" s="25" t="e">
        <f t="shared" si="248"/>
        <v>#VALUE!</v>
      </c>
      <c r="I1725" s="25">
        <f t="shared" si="245"/>
        <v>1210.9999999999723</v>
      </c>
      <c r="J1725" s="25" t="e">
        <f t="shared" si="246"/>
        <v>#VALUE!</v>
      </c>
    </row>
    <row r="1726" spans="1:10" x14ac:dyDescent="0.25">
      <c r="A1726" s="25">
        <f t="shared" si="247"/>
        <v>7.1199999999997239</v>
      </c>
      <c r="B1726" s="25">
        <f t="shared" ca="1" si="240"/>
        <v>9.0371004112061115E-2</v>
      </c>
      <c r="C1726" s="25" t="e">
        <f t="shared" si="241"/>
        <v>#VALUE!</v>
      </c>
      <c r="D1726" s="74" t="e">
        <f t="shared" si="242"/>
        <v>#VALUE!</v>
      </c>
      <c r="E1726" s="25" t="e">
        <f t="shared" si="243"/>
        <v>#VALUE!</v>
      </c>
      <c r="F1726" s="25" t="e">
        <f t="shared" ca="1" si="244"/>
        <v>#VALUE!</v>
      </c>
      <c r="G1726" s="25"/>
      <c r="H1726" s="25" t="e">
        <f t="shared" si="248"/>
        <v>#VALUE!</v>
      </c>
      <c r="I1726" s="25">
        <f t="shared" si="245"/>
        <v>1211.9999999999723</v>
      </c>
      <c r="J1726" s="25" t="e">
        <f t="shared" si="246"/>
        <v>#VALUE!</v>
      </c>
    </row>
    <row r="1727" spans="1:10" x14ac:dyDescent="0.25">
      <c r="A1727" s="25">
        <f t="shared" si="247"/>
        <v>7.1299999999997237</v>
      </c>
      <c r="B1727" s="25">
        <f t="shared" ca="1" si="240"/>
        <v>-0.17544153697743961</v>
      </c>
      <c r="C1727" s="25" t="e">
        <f t="shared" si="241"/>
        <v>#VALUE!</v>
      </c>
      <c r="D1727" s="74" t="e">
        <f t="shared" si="242"/>
        <v>#VALUE!</v>
      </c>
      <c r="E1727" s="25" t="e">
        <f t="shared" si="243"/>
        <v>#VALUE!</v>
      </c>
      <c r="F1727" s="25" t="e">
        <f t="shared" ca="1" si="244"/>
        <v>#VALUE!</v>
      </c>
      <c r="G1727" s="25"/>
      <c r="H1727" s="25" t="e">
        <f t="shared" si="248"/>
        <v>#VALUE!</v>
      </c>
      <c r="I1727" s="25">
        <f t="shared" si="245"/>
        <v>1212.9999999999723</v>
      </c>
      <c r="J1727" s="25" t="e">
        <f t="shared" si="246"/>
        <v>#VALUE!</v>
      </c>
    </row>
    <row r="1728" spans="1:10" x14ac:dyDescent="0.25">
      <c r="A1728" s="25">
        <f t="shared" si="247"/>
        <v>7.1399999999997235</v>
      </c>
      <c r="B1728" s="25">
        <f t="shared" ca="1" si="240"/>
        <v>0.11617845227128849</v>
      </c>
      <c r="C1728" s="25" t="e">
        <f t="shared" si="241"/>
        <v>#VALUE!</v>
      </c>
      <c r="D1728" s="74" t="e">
        <f t="shared" si="242"/>
        <v>#VALUE!</v>
      </c>
      <c r="E1728" s="25" t="e">
        <f t="shared" si="243"/>
        <v>#VALUE!</v>
      </c>
      <c r="F1728" s="25" t="e">
        <f t="shared" ca="1" si="244"/>
        <v>#VALUE!</v>
      </c>
      <c r="G1728" s="25"/>
      <c r="H1728" s="25" t="e">
        <f t="shared" si="248"/>
        <v>#VALUE!</v>
      </c>
      <c r="I1728" s="25">
        <f t="shared" si="245"/>
        <v>1213.9999999999723</v>
      </c>
      <c r="J1728" s="25" t="e">
        <f t="shared" si="246"/>
        <v>#VALUE!</v>
      </c>
    </row>
    <row r="1729" spans="1:10" x14ac:dyDescent="0.25">
      <c r="A1729" s="25">
        <f t="shared" si="247"/>
        <v>7.1499999999997232</v>
      </c>
      <c r="B1729" s="25">
        <f t="shared" ca="1" si="240"/>
        <v>-0.19253492233989178</v>
      </c>
      <c r="C1729" s="25" t="e">
        <f t="shared" si="241"/>
        <v>#VALUE!</v>
      </c>
      <c r="D1729" s="74" t="e">
        <f t="shared" si="242"/>
        <v>#VALUE!</v>
      </c>
      <c r="E1729" s="25" t="e">
        <f t="shared" si="243"/>
        <v>#VALUE!</v>
      </c>
      <c r="F1729" s="25" t="e">
        <f t="shared" ca="1" si="244"/>
        <v>#VALUE!</v>
      </c>
      <c r="G1729" s="25"/>
      <c r="H1729" s="25" t="e">
        <f t="shared" si="248"/>
        <v>#VALUE!</v>
      </c>
      <c r="I1729" s="25">
        <f t="shared" si="245"/>
        <v>1214.9999999999723</v>
      </c>
      <c r="J1729" s="25" t="e">
        <f t="shared" si="246"/>
        <v>#VALUE!</v>
      </c>
    </row>
    <row r="1730" spans="1:10" x14ac:dyDescent="0.25">
      <c r="A1730" s="25">
        <f t="shared" si="247"/>
        <v>7.159999999999723</v>
      </c>
      <c r="B1730" s="25">
        <f t="shared" ca="1" si="240"/>
        <v>2.5479473827923288E-2</v>
      </c>
      <c r="C1730" s="25" t="e">
        <f t="shared" si="241"/>
        <v>#VALUE!</v>
      </c>
      <c r="D1730" s="74" t="e">
        <f t="shared" si="242"/>
        <v>#VALUE!</v>
      </c>
      <c r="E1730" s="25" t="e">
        <f t="shared" si="243"/>
        <v>#VALUE!</v>
      </c>
      <c r="F1730" s="25" t="e">
        <f t="shared" ca="1" si="244"/>
        <v>#VALUE!</v>
      </c>
      <c r="G1730" s="25"/>
      <c r="H1730" s="25" t="e">
        <f t="shared" si="248"/>
        <v>#VALUE!</v>
      </c>
      <c r="I1730" s="25">
        <f t="shared" si="245"/>
        <v>1215.9999999999723</v>
      </c>
      <c r="J1730" s="25" t="e">
        <f t="shared" si="246"/>
        <v>#VALUE!</v>
      </c>
    </row>
    <row r="1731" spans="1:10" x14ac:dyDescent="0.25">
      <c r="A1731" s="25">
        <f t="shared" si="247"/>
        <v>7.1699999999997228</v>
      </c>
      <c r="B1731" s="25">
        <f t="shared" ca="1" si="240"/>
        <v>0.11092871086480398</v>
      </c>
      <c r="C1731" s="25" t="e">
        <f t="shared" si="241"/>
        <v>#VALUE!</v>
      </c>
      <c r="D1731" s="74" t="e">
        <f t="shared" si="242"/>
        <v>#VALUE!</v>
      </c>
      <c r="E1731" s="25" t="e">
        <f t="shared" si="243"/>
        <v>#VALUE!</v>
      </c>
      <c r="F1731" s="25" t="e">
        <f t="shared" ca="1" si="244"/>
        <v>#VALUE!</v>
      </c>
      <c r="G1731" s="25"/>
      <c r="H1731" s="25" t="e">
        <f t="shared" si="248"/>
        <v>#VALUE!</v>
      </c>
      <c r="I1731" s="25">
        <f t="shared" si="245"/>
        <v>1216.9999999999723</v>
      </c>
      <c r="J1731" s="25" t="e">
        <f t="shared" si="246"/>
        <v>#VALUE!</v>
      </c>
    </row>
    <row r="1732" spans="1:10" x14ac:dyDescent="0.25">
      <c r="A1732" s="25">
        <f t="shared" si="247"/>
        <v>7.1799999999997226</v>
      </c>
      <c r="B1732" s="25">
        <f t="shared" ca="1" si="240"/>
        <v>0.11309062887535952</v>
      </c>
      <c r="C1732" s="25" t="e">
        <f t="shared" si="241"/>
        <v>#VALUE!</v>
      </c>
      <c r="D1732" s="74" t="e">
        <f t="shared" si="242"/>
        <v>#VALUE!</v>
      </c>
      <c r="E1732" s="25" t="e">
        <f t="shared" si="243"/>
        <v>#VALUE!</v>
      </c>
      <c r="F1732" s="25" t="e">
        <f t="shared" ca="1" si="244"/>
        <v>#VALUE!</v>
      </c>
      <c r="G1732" s="25"/>
      <c r="H1732" s="25" t="e">
        <f t="shared" si="248"/>
        <v>#VALUE!</v>
      </c>
      <c r="I1732" s="25">
        <f t="shared" si="245"/>
        <v>1217.9999999999723</v>
      </c>
      <c r="J1732" s="25" t="e">
        <f t="shared" si="246"/>
        <v>#VALUE!</v>
      </c>
    </row>
    <row r="1733" spans="1:10" x14ac:dyDescent="0.25">
      <c r="A1733" s="25">
        <f t="shared" si="247"/>
        <v>7.1899999999997224</v>
      </c>
      <c r="B1733" s="25">
        <f t="shared" ca="1" si="240"/>
        <v>7.7944589379666404E-2</v>
      </c>
      <c r="C1733" s="25" t="e">
        <f t="shared" si="241"/>
        <v>#VALUE!</v>
      </c>
      <c r="D1733" s="74" t="e">
        <f t="shared" si="242"/>
        <v>#VALUE!</v>
      </c>
      <c r="E1733" s="25" t="e">
        <f t="shared" si="243"/>
        <v>#VALUE!</v>
      </c>
      <c r="F1733" s="25" t="e">
        <f t="shared" ca="1" si="244"/>
        <v>#VALUE!</v>
      </c>
      <c r="G1733" s="25"/>
      <c r="H1733" s="25" t="e">
        <f t="shared" si="248"/>
        <v>#VALUE!</v>
      </c>
      <c r="I1733" s="25">
        <f t="shared" si="245"/>
        <v>1218.9999999999723</v>
      </c>
      <c r="J1733" s="25" t="e">
        <f t="shared" si="246"/>
        <v>#VALUE!</v>
      </c>
    </row>
    <row r="1734" spans="1:10" x14ac:dyDescent="0.25">
      <c r="A1734" s="25">
        <f t="shared" si="247"/>
        <v>7.1999999999997222</v>
      </c>
      <c r="B1734" s="25">
        <f t="shared" ca="1" si="240"/>
        <v>1.1697537219177314E-2</v>
      </c>
      <c r="C1734" s="25" t="e">
        <f t="shared" si="241"/>
        <v>#VALUE!</v>
      </c>
      <c r="D1734" s="74" t="e">
        <f t="shared" si="242"/>
        <v>#VALUE!</v>
      </c>
      <c r="E1734" s="25" t="e">
        <f t="shared" si="243"/>
        <v>#VALUE!</v>
      </c>
      <c r="F1734" s="25" t="e">
        <f t="shared" ca="1" si="244"/>
        <v>#VALUE!</v>
      </c>
      <c r="G1734" s="25"/>
      <c r="H1734" s="25" t="e">
        <f t="shared" si="248"/>
        <v>#VALUE!</v>
      </c>
      <c r="I1734" s="25">
        <f t="shared" si="245"/>
        <v>1219.9999999999723</v>
      </c>
      <c r="J1734" s="25" t="e">
        <f t="shared" si="246"/>
        <v>#VALUE!</v>
      </c>
    </row>
    <row r="1735" spans="1:10" x14ac:dyDescent="0.25">
      <c r="A1735" s="25">
        <f t="shared" si="247"/>
        <v>7.209999999999722</v>
      </c>
      <c r="B1735" s="25">
        <f t="shared" ca="1" si="240"/>
        <v>0.13151632024219104</v>
      </c>
      <c r="C1735" s="25" t="e">
        <f t="shared" si="241"/>
        <v>#VALUE!</v>
      </c>
      <c r="D1735" s="74" t="e">
        <f t="shared" si="242"/>
        <v>#VALUE!</v>
      </c>
      <c r="E1735" s="25" t="e">
        <f t="shared" si="243"/>
        <v>#VALUE!</v>
      </c>
      <c r="F1735" s="25" t="e">
        <f t="shared" ca="1" si="244"/>
        <v>#VALUE!</v>
      </c>
      <c r="G1735" s="25"/>
      <c r="H1735" s="25" t="e">
        <f t="shared" si="248"/>
        <v>#VALUE!</v>
      </c>
      <c r="I1735" s="25">
        <f t="shared" si="245"/>
        <v>1220.9999999999723</v>
      </c>
      <c r="J1735" s="25" t="e">
        <f t="shared" si="246"/>
        <v>#VALUE!</v>
      </c>
    </row>
    <row r="1736" spans="1:10" x14ac:dyDescent="0.25">
      <c r="A1736" s="25">
        <f t="shared" si="247"/>
        <v>7.2199999999997218</v>
      </c>
      <c r="B1736" s="25">
        <f t="shared" ca="1" si="240"/>
        <v>-2.0156819048879088E-2</v>
      </c>
      <c r="C1736" s="25" t="e">
        <f t="shared" si="241"/>
        <v>#VALUE!</v>
      </c>
      <c r="D1736" s="74" t="e">
        <f t="shared" si="242"/>
        <v>#VALUE!</v>
      </c>
      <c r="E1736" s="25" t="e">
        <f t="shared" si="243"/>
        <v>#VALUE!</v>
      </c>
      <c r="F1736" s="25" t="e">
        <f t="shared" ca="1" si="244"/>
        <v>#VALUE!</v>
      </c>
      <c r="G1736" s="25"/>
      <c r="H1736" s="25" t="e">
        <f t="shared" si="248"/>
        <v>#VALUE!</v>
      </c>
      <c r="I1736" s="25">
        <f t="shared" si="245"/>
        <v>1221.9999999999723</v>
      </c>
      <c r="J1736" s="25" t="e">
        <f t="shared" si="246"/>
        <v>#VALUE!</v>
      </c>
    </row>
    <row r="1737" spans="1:10" x14ac:dyDescent="0.25">
      <c r="A1737" s="25">
        <f t="shared" si="247"/>
        <v>7.2299999999997215</v>
      </c>
      <c r="B1737" s="25">
        <f t="shared" ca="1" si="240"/>
        <v>-5.8478376804599601E-2</v>
      </c>
      <c r="C1737" s="25" t="e">
        <f t="shared" si="241"/>
        <v>#VALUE!</v>
      </c>
      <c r="D1737" s="74" t="e">
        <f t="shared" si="242"/>
        <v>#VALUE!</v>
      </c>
      <c r="E1737" s="25" t="e">
        <f t="shared" si="243"/>
        <v>#VALUE!</v>
      </c>
      <c r="F1737" s="25" t="e">
        <f t="shared" ca="1" si="244"/>
        <v>#VALUE!</v>
      </c>
      <c r="G1737" s="25"/>
      <c r="H1737" s="25" t="e">
        <f t="shared" si="248"/>
        <v>#VALUE!</v>
      </c>
      <c r="I1737" s="25">
        <f t="shared" si="245"/>
        <v>1222.9999999999723</v>
      </c>
      <c r="J1737" s="25" t="e">
        <f t="shared" si="246"/>
        <v>#VALUE!</v>
      </c>
    </row>
    <row r="1738" spans="1:10" x14ac:dyDescent="0.25">
      <c r="A1738" s="25">
        <f t="shared" si="247"/>
        <v>7.2399999999997213</v>
      </c>
      <c r="B1738" s="25">
        <f t="shared" ca="1" si="240"/>
        <v>-0.19819555419062437</v>
      </c>
      <c r="C1738" s="25" t="e">
        <f t="shared" si="241"/>
        <v>#VALUE!</v>
      </c>
      <c r="D1738" s="74" t="e">
        <f t="shared" si="242"/>
        <v>#VALUE!</v>
      </c>
      <c r="E1738" s="25" t="e">
        <f t="shared" si="243"/>
        <v>#VALUE!</v>
      </c>
      <c r="F1738" s="25" t="e">
        <f t="shared" ca="1" si="244"/>
        <v>#VALUE!</v>
      </c>
      <c r="G1738" s="25"/>
      <c r="H1738" s="25" t="e">
        <f t="shared" si="248"/>
        <v>#VALUE!</v>
      </c>
      <c r="I1738" s="25">
        <f t="shared" si="245"/>
        <v>1223.9999999999723</v>
      </c>
      <c r="J1738" s="25" t="e">
        <f t="shared" si="246"/>
        <v>#VALUE!</v>
      </c>
    </row>
    <row r="1739" spans="1:10" x14ac:dyDescent="0.25">
      <c r="A1739" s="25">
        <f t="shared" si="247"/>
        <v>7.2499999999997211</v>
      </c>
      <c r="B1739" s="25">
        <f t="shared" ca="1" si="240"/>
        <v>-0.14622476425235101</v>
      </c>
      <c r="C1739" s="25" t="e">
        <f t="shared" si="241"/>
        <v>#VALUE!</v>
      </c>
      <c r="D1739" s="74" t="e">
        <f t="shared" si="242"/>
        <v>#VALUE!</v>
      </c>
      <c r="E1739" s="25" t="e">
        <f t="shared" si="243"/>
        <v>#VALUE!</v>
      </c>
      <c r="F1739" s="25" t="e">
        <f t="shared" ca="1" si="244"/>
        <v>#VALUE!</v>
      </c>
      <c r="G1739" s="25"/>
      <c r="H1739" s="25" t="e">
        <f t="shared" si="248"/>
        <v>#VALUE!</v>
      </c>
      <c r="I1739" s="25">
        <f t="shared" si="245"/>
        <v>1224.9999999999723</v>
      </c>
      <c r="J1739" s="25" t="e">
        <f t="shared" si="246"/>
        <v>#VALUE!</v>
      </c>
    </row>
    <row r="1740" spans="1:10" x14ac:dyDescent="0.25">
      <c r="A1740" s="25">
        <f t="shared" si="247"/>
        <v>7.2599999999997209</v>
      </c>
      <c r="B1740" s="25">
        <f t="shared" ca="1" si="240"/>
        <v>-1.6706113954778251E-2</v>
      </c>
      <c r="C1740" s="25" t="e">
        <f t="shared" si="241"/>
        <v>#VALUE!</v>
      </c>
      <c r="D1740" s="74" t="e">
        <f t="shared" si="242"/>
        <v>#VALUE!</v>
      </c>
      <c r="E1740" s="25" t="e">
        <f t="shared" si="243"/>
        <v>#VALUE!</v>
      </c>
      <c r="F1740" s="25" t="e">
        <f t="shared" ca="1" si="244"/>
        <v>#VALUE!</v>
      </c>
      <c r="G1740" s="25"/>
      <c r="H1740" s="25" t="e">
        <f t="shared" si="248"/>
        <v>#VALUE!</v>
      </c>
      <c r="I1740" s="25">
        <f t="shared" si="245"/>
        <v>1225.9999999999723</v>
      </c>
      <c r="J1740" s="25" t="e">
        <f t="shared" si="246"/>
        <v>#VALUE!</v>
      </c>
    </row>
    <row r="1741" spans="1:10" x14ac:dyDescent="0.25">
      <c r="A1741" s="25">
        <f t="shared" si="247"/>
        <v>7.2699999999997207</v>
      </c>
      <c r="B1741" s="25">
        <f t="shared" ca="1" si="240"/>
        <v>7.1851556369746925E-2</v>
      </c>
      <c r="C1741" s="25" t="e">
        <f t="shared" si="241"/>
        <v>#VALUE!</v>
      </c>
      <c r="D1741" s="74" t="e">
        <f t="shared" si="242"/>
        <v>#VALUE!</v>
      </c>
      <c r="E1741" s="25" t="e">
        <f t="shared" si="243"/>
        <v>#VALUE!</v>
      </c>
      <c r="F1741" s="25" t="e">
        <f t="shared" ca="1" si="244"/>
        <v>#VALUE!</v>
      </c>
      <c r="G1741" s="25"/>
      <c r="H1741" s="25" t="e">
        <f t="shared" si="248"/>
        <v>#VALUE!</v>
      </c>
      <c r="I1741" s="25">
        <f t="shared" si="245"/>
        <v>1226.999999999972</v>
      </c>
      <c r="J1741" s="25" t="e">
        <f t="shared" si="246"/>
        <v>#VALUE!</v>
      </c>
    </row>
    <row r="1742" spans="1:10" x14ac:dyDescent="0.25">
      <c r="A1742" s="25">
        <f t="shared" si="247"/>
        <v>7.2799999999997205</v>
      </c>
      <c r="B1742" s="25">
        <f t="shared" ref="B1742:B1805" ca="1" si="249">(RAND()-0.5-$B$7)/$B$5</f>
        <v>-0.19723394848474554</v>
      </c>
      <c r="C1742" s="25" t="e">
        <f t="shared" ref="C1742:C1805" si="250">IF(ABS(A1742)&lt;=($D$3/2),1,IF(ABS(A1742)&lt;=($B$4/2),IF(A1742&gt;0,A1742*(4/(1-2*$B$4))+(2*$B$4/(2*$B$4-1)),(-A1742*(4/(1-2*$B$4))+(2*$B$4/(2*$B$4-1)))),0))</f>
        <v>#VALUE!</v>
      </c>
      <c r="D1742" s="74" t="e">
        <f t="shared" ref="D1742:D1805" si="251">IF(ABS(A1742)&lt;=($D$3/4+$B$4/4),1,IF(ABS(A1742)&lt;=($B$4/2),(IF(A1742&gt;0,A1742*(8/(1-2*$B$4))+(4*$B$4)/(2*$B$4-1),(-A1742*(8/(1-2*$B$4))+(4*$B$4)/(2*$B$4-1)))),0))</f>
        <v>#VALUE!</v>
      </c>
      <c r="E1742" s="25" t="e">
        <f t="shared" ref="E1742:E1805" si="252">IF(ABS(A1742)&lt;($B$4/2), 1, 0)</f>
        <v>#VALUE!</v>
      </c>
      <c r="F1742" s="25" t="e">
        <f t="shared" ref="F1742:F1805" ca="1" si="253">C1742+B1742</f>
        <v>#VALUE!</v>
      </c>
      <c r="G1742" s="25"/>
      <c r="H1742" s="25" t="e">
        <f t="shared" si="248"/>
        <v>#VALUE!</v>
      </c>
      <c r="I1742" s="25">
        <f t="shared" ref="I1742:I1805" si="254">$I$3*(A1742-$G$3)/($H$3-$G$3)</f>
        <v>1227.999999999972</v>
      </c>
      <c r="J1742" s="25" t="e">
        <f t="shared" ref="J1742:J1805" si="255">H1742</f>
        <v>#VALUE!</v>
      </c>
    </row>
    <row r="1743" spans="1:10" x14ac:dyDescent="0.25">
      <c r="A1743" s="25">
        <f t="shared" ref="A1743:A1806" si="256">A1742+0.01</f>
        <v>7.2899999999997203</v>
      </c>
      <c r="B1743" s="25">
        <f t="shared" ca="1" si="249"/>
        <v>-0.19328716501489937</v>
      </c>
      <c r="C1743" s="25" t="e">
        <f t="shared" si="250"/>
        <v>#VALUE!</v>
      </c>
      <c r="D1743" s="74" t="e">
        <f t="shared" si="251"/>
        <v>#VALUE!</v>
      </c>
      <c r="E1743" s="25" t="e">
        <f t="shared" si="252"/>
        <v>#VALUE!</v>
      </c>
      <c r="F1743" s="25" t="e">
        <f t="shared" ca="1" si="253"/>
        <v>#VALUE!</v>
      </c>
      <c r="G1743" s="25"/>
      <c r="H1743" s="25" t="e">
        <f t="shared" si="248"/>
        <v>#VALUE!</v>
      </c>
      <c r="I1743" s="25">
        <f t="shared" si="254"/>
        <v>1228.999999999972</v>
      </c>
      <c r="J1743" s="25" t="e">
        <f t="shared" si="255"/>
        <v>#VALUE!</v>
      </c>
    </row>
    <row r="1744" spans="1:10" x14ac:dyDescent="0.25">
      <c r="A1744" s="25">
        <f t="shared" si="256"/>
        <v>7.29999999999972</v>
      </c>
      <c r="B1744" s="25">
        <f t="shared" ca="1" si="249"/>
        <v>8.0371521388673234E-2</v>
      </c>
      <c r="C1744" s="25" t="e">
        <f t="shared" si="250"/>
        <v>#VALUE!</v>
      </c>
      <c r="D1744" s="74" t="e">
        <f t="shared" si="251"/>
        <v>#VALUE!</v>
      </c>
      <c r="E1744" s="25" t="e">
        <f t="shared" si="252"/>
        <v>#VALUE!</v>
      </c>
      <c r="F1744" s="25" t="e">
        <f t="shared" ca="1" si="253"/>
        <v>#VALUE!</v>
      </c>
      <c r="G1744" s="25"/>
      <c r="H1744" s="25" t="e">
        <f t="shared" si="248"/>
        <v>#VALUE!</v>
      </c>
      <c r="I1744" s="25">
        <f t="shared" si="254"/>
        <v>1229.999999999972</v>
      </c>
      <c r="J1744" s="25" t="e">
        <f t="shared" si="255"/>
        <v>#VALUE!</v>
      </c>
    </row>
    <row r="1745" spans="1:10" x14ac:dyDescent="0.25">
      <c r="A1745" s="25">
        <f t="shared" si="256"/>
        <v>7.3099999999997198</v>
      </c>
      <c r="B1745" s="25">
        <f t="shared" ca="1" si="249"/>
        <v>4.4198584187035622E-2</v>
      </c>
      <c r="C1745" s="25" t="e">
        <f t="shared" si="250"/>
        <v>#VALUE!</v>
      </c>
      <c r="D1745" s="74" t="e">
        <f t="shared" si="251"/>
        <v>#VALUE!</v>
      </c>
      <c r="E1745" s="25" t="e">
        <f t="shared" si="252"/>
        <v>#VALUE!</v>
      </c>
      <c r="F1745" s="25" t="e">
        <f t="shared" ca="1" si="253"/>
        <v>#VALUE!</v>
      </c>
      <c r="G1745" s="25"/>
      <c r="H1745" s="25" t="e">
        <f t="shared" si="248"/>
        <v>#VALUE!</v>
      </c>
      <c r="I1745" s="25">
        <f t="shared" si="254"/>
        <v>1230.999999999972</v>
      </c>
      <c r="J1745" s="25" t="e">
        <f t="shared" si="255"/>
        <v>#VALUE!</v>
      </c>
    </row>
    <row r="1746" spans="1:10" x14ac:dyDescent="0.25">
      <c r="A1746" s="25">
        <f t="shared" si="256"/>
        <v>7.3199999999997196</v>
      </c>
      <c r="B1746" s="25">
        <f t="shared" ca="1" si="249"/>
        <v>0.1147161154399043</v>
      </c>
      <c r="C1746" s="25" t="e">
        <f t="shared" si="250"/>
        <v>#VALUE!</v>
      </c>
      <c r="D1746" s="74" t="e">
        <f t="shared" si="251"/>
        <v>#VALUE!</v>
      </c>
      <c r="E1746" s="25" t="e">
        <f t="shared" si="252"/>
        <v>#VALUE!</v>
      </c>
      <c r="F1746" s="25" t="e">
        <f t="shared" ca="1" si="253"/>
        <v>#VALUE!</v>
      </c>
      <c r="G1746" s="25"/>
      <c r="H1746" s="25" t="e">
        <f t="shared" si="248"/>
        <v>#VALUE!</v>
      </c>
      <c r="I1746" s="25">
        <f t="shared" si="254"/>
        <v>1231.999999999972</v>
      </c>
      <c r="J1746" s="25" t="e">
        <f t="shared" si="255"/>
        <v>#VALUE!</v>
      </c>
    </row>
    <row r="1747" spans="1:10" x14ac:dyDescent="0.25">
      <c r="A1747" s="25">
        <f t="shared" si="256"/>
        <v>7.3299999999997194</v>
      </c>
      <c r="B1747" s="25">
        <f t="shared" ca="1" si="249"/>
        <v>-6.2282253919361645E-2</v>
      </c>
      <c r="C1747" s="25" t="e">
        <f t="shared" si="250"/>
        <v>#VALUE!</v>
      </c>
      <c r="D1747" s="74" t="e">
        <f t="shared" si="251"/>
        <v>#VALUE!</v>
      </c>
      <c r="E1747" s="25" t="e">
        <f t="shared" si="252"/>
        <v>#VALUE!</v>
      </c>
      <c r="F1747" s="25" t="e">
        <f t="shared" ca="1" si="253"/>
        <v>#VALUE!</v>
      </c>
      <c r="G1747" s="25"/>
      <c r="H1747" s="25" t="e">
        <f t="shared" si="248"/>
        <v>#VALUE!</v>
      </c>
      <c r="I1747" s="25">
        <f t="shared" si="254"/>
        <v>1232.999999999972</v>
      </c>
      <c r="J1747" s="25" t="e">
        <f t="shared" si="255"/>
        <v>#VALUE!</v>
      </c>
    </row>
    <row r="1748" spans="1:10" x14ac:dyDescent="0.25">
      <c r="A1748" s="25">
        <f t="shared" si="256"/>
        <v>7.3399999999997192</v>
      </c>
      <c r="B1748" s="25">
        <f t="shared" ca="1" si="249"/>
        <v>-4.0636588599190289E-2</v>
      </c>
      <c r="C1748" s="25" t="e">
        <f t="shared" si="250"/>
        <v>#VALUE!</v>
      </c>
      <c r="D1748" s="74" t="e">
        <f t="shared" si="251"/>
        <v>#VALUE!</v>
      </c>
      <c r="E1748" s="25" t="e">
        <f t="shared" si="252"/>
        <v>#VALUE!</v>
      </c>
      <c r="F1748" s="25" t="e">
        <f t="shared" ca="1" si="253"/>
        <v>#VALUE!</v>
      </c>
      <c r="G1748" s="25"/>
      <c r="H1748" s="25" t="e">
        <f t="shared" si="248"/>
        <v>#VALUE!</v>
      </c>
      <c r="I1748" s="25">
        <f t="shared" si="254"/>
        <v>1233.999999999972</v>
      </c>
      <c r="J1748" s="25" t="e">
        <f t="shared" si="255"/>
        <v>#VALUE!</v>
      </c>
    </row>
    <row r="1749" spans="1:10" x14ac:dyDescent="0.25">
      <c r="A1749" s="25">
        <f t="shared" si="256"/>
        <v>7.349999999999719</v>
      </c>
      <c r="B1749" s="25">
        <f t="shared" ca="1" si="249"/>
        <v>4.6486630882537676E-2</v>
      </c>
      <c r="C1749" s="25" t="e">
        <f t="shared" si="250"/>
        <v>#VALUE!</v>
      </c>
      <c r="D1749" s="74" t="e">
        <f t="shared" si="251"/>
        <v>#VALUE!</v>
      </c>
      <c r="E1749" s="25" t="e">
        <f t="shared" si="252"/>
        <v>#VALUE!</v>
      </c>
      <c r="F1749" s="25" t="e">
        <f t="shared" ca="1" si="253"/>
        <v>#VALUE!</v>
      </c>
      <c r="G1749" s="25"/>
      <c r="H1749" s="25" t="e">
        <f t="shared" si="248"/>
        <v>#VALUE!</v>
      </c>
      <c r="I1749" s="25">
        <f t="shared" si="254"/>
        <v>1234.999999999972</v>
      </c>
      <c r="J1749" s="25" t="e">
        <f t="shared" si="255"/>
        <v>#VALUE!</v>
      </c>
    </row>
    <row r="1750" spans="1:10" x14ac:dyDescent="0.25">
      <c r="A1750" s="25">
        <f t="shared" si="256"/>
        <v>7.3599999999997188</v>
      </c>
      <c r="B1750" s="25">
        <f t="shared" ca="1" si="249"/>
        <v>-1.0795619451751864E-2</v>
      </c>
      <c r="C1750" s="25" t="e">
        <f t="shared" si="250"/>
        <v>#VALUE!</v>
      </c>
      <c r="D1750" s="74" t="e">
        <f t="shared" si="251"/>
        <v>#VALUE!</v>
      </c>
      <c r="E1750" s="25" t="e">
        <f t="shared" si="252"/>
        <v>#VALUE!</v>
      </c>
      <c r="F1750" s="25" t="e">
        <f t="shared" ca="1" si="253"/>
        <v>#VALUE!</v>
      </c>
      <c r="G1750" s="25"/>
      <c r="H1750" s="25" t="e">
        <f t="shared" si="248"/>
        <v>#VALUE!</v>
      </c>
      <c r="I1750" s="25">
        <f t="shared" si="254"/>
        <v>1235.9999999999718</v>
      </c>
      <c r="J1750" s="25" t="e">
        <f t="shared" si="255"/>
        <v>#VALUE!</v>
      </c>
    </row>
    <row r="1751" spans="1:10" x14ac:dyDescent="0.25">
      <c r="A1751" s="25">
        <f t="shared" si="256"/>
        <v>7.3699999999997186</v>
      </c>
      <c r="B1751" s="25">
        <f t="shared" ca="1" si="249"/>
        <v>-5.0537234300467464E-2</v>
      </c>
      <c r="C1751" s="25" t="e">
        <f t="shared" si="250"/>
        <v>#VALUE!</v>
      </c>
      <c r="D1751" s="74" t="e">
        <f t="shared" si="251"/>
        <v>#VALUE!</v>
      </c>
      <c r="E1751" s="25" t="e">
        <f t="shared" si="252"/>
        <v>#VALUE!</v>
      </c>
      <c r="F1751" s="25" t="e">
        <f t="shared" ca="1" si="253"/>
        <v>#VALUE!</v>
      </c>
      <c r="G1751" s="25"/>
      <c r="H1751" s="25" t="e">
        <f t="shared" si="248"/>
        <v>#VALUE!</v>
      </c>
      <c r="I1751" s="25">
        <f t="shared" si="254"/>
        <v>1236.9999999999718</v>
      </c>
      <c r="J1751" s="25" t="e">
        <f t="shared" si="255"/>
        <v>#VALUE!</v>
      </c>
    </row>
    <row r="1752" spans="1:10" x14ac:dyDescent="0.25">
      <c r="A1752" s="25">
        <f t="shared" si="256"/>
        <v>7.3799999999997183</v>
      </c>
      <c r="B1752" s="25">
        <f t="shared" ca="1" si="249"/>
        <v>-0.19803845134436426</v>
      </c>
      <c r="C1752" s="25" t="e">
        <f t="shared" si="250"/>
        <v>#VALUE!</v>
      </c>
      <c r="D1752" s="74" t="e">
        <f t="shared" si="251"/>
        <v>#VALUE!</v>
      </c>
      <c r="E1752" s="25" t="e">
        <f t="shared" si="252"/>
        <v>#VALUE!</v>
      </c>
      <c r="F1752" s="25" t="e">
        <f t="shared" ca="1" si="253"/>
        <v>#VALUE!</v>
      </c>
      <c r="G1752" s="25"/>
      <c r="H1752" s="25" t="e">
        <f t="shared" si="248"/>
        <v>#VALUE!</v>
      </c>
      <c r="I1752" s="25">
        <f t="shared" si="254"/>
        <v>1237.9999999999718</v>
      </c>
      <c r="J1752" s="25" t="e">
        <f t="shared" si="255"/>
        <v>#VALUE!</v>
      </c>
    </row>
    <row r="1753" spans="1:10" x14ac:dyDescent="0.25">
      <c r="A1753" s="25">
        <f t="shared" si="256"/>
        <v>7.3899999999997181</v>
      </c>
      <c r="B1753" s="25">
        <f t="shared" ca="1" si="249"/>
        <v>6.8451210877729388E-2</v>
      </c>
      <c r="C1753" s="25" t="e">
        <f t="shared" si="250"/>
        <v>#VALUE!</v>
      </c>
      <c r="D1753" s="74" t="e">
        <f t="shared" si="251"/>
        <v>#VALUE!</v>
      </c>
      <c r="E1753" s="25" t="e">
        <f t="shared" si="252"/>
        <v>#VALUE!</v>
      </c>
      <c r="F1753" s="25" t="e">
        <f t="shared" ca="1" si="253"/>
        <v>#VALUE!</v>
      </c>
      <c r="G1753" s="25"/>
      <c r="H1753" s="25" t="e">
        <f t="shared" si="248"/>
        <v>#VALUE!</v>
      </c>
      <c r="I1753" s="25">
        <f t="shared" si="254"/>
        <v>1238.9999999999718</v>
      </c>
      <c r="J1753" s="25" t="e">
        <f t="shared" si="255"/>
        <v>#VALUE!</v>
      </c>
    </row>
    <row r="1754" spans="1:10" x14ac:dyDescent="0.25">
      <c r="A1754" s="25">
        <f t="shared" si="256"/>
        <v>7.3999999999997179</v>
      </c>
      <c r="B1754" s="25">
        <f t="shared" ca="1" si="249"/>
        <v>-0.14260390776194895</v>
      </c>
      <c r="C1754" s="25" t="e">
        <f t="shared" si="250"/>
        <v>#VALUE!</v>
      </c>
      <c r="D1754" s="74" t="e">
        <f t="shared" si="251"/>
        <v>#VALUE!</v>
      </c>
      <c r="E1754" s="25" t="e">
        <f t="shared" si="252"/>
        <v>#VALUE!</v>
      </c>
      <c r="F1754" s="25" t="e">
        <f t="shared" ca="1" si="253"/>
        <v>#VALUE!</v>
      </c>
      <c r="G1754" s="25"/>
      <c r="H1754" s="25" t="e">
        <f t="shared" si="248"/>
        <v>#VALUE!</v>
      </c>
      <c r="I1754" s="25">
        <f t="shared" si="254"/>
        <v>1239.9999999999718</v>
      </c>
      <c r="J1754" s="25" t="e">
        <f t="shared" si="255"/>
        <v>#VALUE!</v>
      </c>
    </row>
    <row r="1755" spans="1:10" x14ac:dyDescent="0.25">
      <c r="A1755" s="25">
        <f t="shared" si="256"/>
        <v>7.4099999999997177</v>
      </c>
      <c r="B1755" s="25">
        <f t="shared" ca="1" si="249"/>
        <v>4.6374130481906433E-3</v>
      </c>
      <c r="C1755" s="25" t="e">
        <f t="shared" si="250"/>
        <v>#VALUE!</v>
      </c>
      <c r="D1755" s="74" t="e">
        <f t="shared" si="251"/>
        <v>#VALUE!</v>
      </c>
      <c r="E1755" s="25" t="e">
        <f t="shared" si="252"/>
        <v>#VALUE!</v>
      </c>
      <c r="F1755" s="25" t="e">
        <f t="shared" ca="1" si="253"/>
        <v>#VALUE!</v>
      </c>
      <c r="G1755" s="25"/>
      <c r="H1755" s="25" t="e">
        <f t="shared" si="248"/>
        <v>#VALUE!</v>
      </c>
      <c r="I1755" s="25">
        <f t="shared" si="254"/>
        <v>1240.9999999999718</v>
      </c>
      <c r="J1755" s="25" t="e">
        <f t="shared" si="255"/>
        <v>#VALUE!</v>
      </c>
    </row>
    <row r="1756" spans="1:10" x14ac:dyDescent="0.25">
      <c r="A1756" s="25">
        <f t="shared" si="256"/>
        <v>7.4199999999997175</v>
      </c>
      <c r="B1756" s="25">
        <f t="shared" ca="1" si="249"/>
        <v>-8.4071539758992883E-2</v>
      </c>
      <c r="C1756" s="25" t="e">
        <f t="shared" si="250"/>
        <v>#VALUE!</v>
      </c>
      <c r="D1756" s="74" t="e">
        <f t="shared" si="251"/>
        <v>#VALUE!</v>
      </c>
      <c r="E1756" s="25" t="e">
        <f t="shared" si="252"/>
        <v>#VALUE!</v>
      </c>
      <c r="F1756" s="25" t="e">
        <f t="shared" ca="1" si="253"/>
        <v>#VALUE!</v>
      </c>
      <c r="G1756" s="25"/>
      <c r="H1756" s="25" t="e">
        <f t="shared" si="248"/>
        <v>#VALUE!</v>
      </c>
      <c r="I1756" s="25">
        <f t="shared" si="254"/>
        <v>1241.9999999999718</v>
      </c>
      <c r="J1756" s="25" t="e">
        <f t="shared" si="255"/>
        <v>#VALUE!</v>
      </c>
    </row>
    <row r="1757" spans="1:10" x14ac:dyDescent="0.25">
      <c r="A1757" s="25">
        <f t="shared" si="256"/>
        <v>7.4299999999997173</v>
      </c>
      <c r="B1757" s="25">
        <f t="shared" ca="1" si="249"/>
        <v>-0.16714302393892833</v>
      </c>
      <c r="C1757" s="25" t="e">
        <f t="shared" si="250"/>
        <v>#VALUE!</v>
      </c>
      <c r="D1757" s="74" t="e">
        <f t="shared" si="251"/>
        <v>#VALUE!</v>
      </c>
      <c r="E1757" s="25" t="e">
        <f t="shared" si="252"/>
        <v>#VALUE!</v>
      </c>
      <c r="F1757" s="25" t="e">
        <f t="shared" ca="1" si="253"/>
        <v>#VALUE!</v>
      </c>
      <c r="G1757" s="25"/>
      <c r="H1757" s="25" t="e">
        <f t="shared" si="248"/>
        <v>#VALUE!</v>
      </c>
      <c r="I1757" s="25">
        <f t="shared" si="254"/>
        <v>1242.9999999999718</v>
      </c>
      <c r="J1757" s="25" t="e">
        <f t="shared" si="255"/>
        <v>#VALUE!</v>
      </c>
    </row>
    <row r="1758" spans="1:10" x14ac:dyDescent="0.25">
      <c r="A1758" s="25">
        <f t="shared" si="256"/>
        <v>7.4399999999997171</v>
      </c>
      <c r="B1758" s="25">
        <f t="shared" ca="1" si="249"/>
        <v>-0.19151950686817062</v>
      </c>
      <c r="C1758" s="25" t="e">
        <f t="shared" si="250"/>
        <v>#VALUE!</v>
      </c>
      <c r="D1758" s="74" t="e">
        <f t="shared" si="251"/>
        <v>#VALUE!</v>
      </c>
      <c r="E1758" s="25" t="e">
        <f t="shared" si="252"/>
        <v>#VALUE!</v>
      </c>
      <c r="F1758" s="25" t="e">
        <f t="shared" ca="1" si="253"/>
        <v>#VALUE!</v>
      </c>
      <c r="G1758" s="25"/>
      <c r="H1758" s="25" t="e">
        <f t="shared" ref="H1758:H1821" si="257">IF(PeakShape=$O$3,C1758,IF(PeakShape=O1760,D1758,E1758))</f>
        <v>#VALUE!</v>
      </c>
      <c r="I1758" s="25">
        <f t="shared" si="254"/>
        <v>1243.9999999999716</v>
      </c>
      <c r="J1758" s="25" t="e">
        <f t="shared" si="255"/>
        <v>#VALUE!</v>
      </c>
    </row>
    <row r="1759" spans="1:10" x14ac:dyDescent="0.25">
      <c r="A1759" s="25">
        <f t="shared" si="256"/>
        <v>7.4499999999997168</v>
      </c>
      <c r="B1759" s="25">
        <f t="shared" ca="1" si="249"/>
        <v>-0.14364564922242784</v>
      </c>
      <c r="C1759" s="25" t="e">
        <f t="shared" si="250"/>
        <v>#VALUE!</v>
      </c>
      <c r="D1759" s="74" t="e">
        <f t="shared" si="251"/>
        <v>#VALUE!</v>
      </c>
      <c r="E1759" s="25" t="e">
        <f t="shared" si="252"/>
        <v>#VALUE!</v>
      </c>
      <c r="F1759" s="25" t="e">
        <f t="shared" ca="1" si="253"/>
        <v>#VALUE!</v>
      </c>
      <c r="G1759" s="25"/>
      <c r="H1759" s="25" t="e">
        <f t="shared" si="257"/>
        <v>#VALUE!</v>
      </c>
      <c r="I1759" s="25">
        <f t="shared" si="254"/>
        <v>1244.9999999999716</v>
      </c>
      <c r="J1759" s="25" t="e">
        <f t="shared" si="255"/>
        <v>#VALUE!</v>
      </c>
    </row>
    <row r="1760" spans="1:10" x14ac:dyDescent="0.25">
      <c r="A1760" s="25">
        <f t="shared" si="256"/>
        <v>7.4599999999997166</v>
      </c>
      <c r="B1760" s="25">
        <f t="shared" ca="1" si="249"/>
        <v>4.3560896596456185E-2</v>
      </c>
      <c r="C1760" s="25" t="e">
        <f t="shared" si="250"/>
        <v>#VALUE!</v>
      </c>
      <c r="D1760" s="74" t="e">
        <f t="shared" si="251"/>
        <v>#VALUE!</v>
      </c>
      <c r="E1760" s="25" t="e">
        <f t="shared" si="252"/>
        <v>#VALUE!</v>
      </c>
      <c r="F1760" s="25" t="e">
        <f t="shared" ca="1" si="253"/>
        <v>#VALUE!</v>
      </c>
      <c r="G1760" s="25"/>
      <c r="H1760" s="25" t="e">
        <f t="shared" si="257"/>
        <v>#VALUE!</v>
      </c>
      <c r="I1760" s="25">
        <f t="shared" si="254"/>
        <v>1245.9999999999716</v>
      </c>
      <c r="J1760" s="25" t="e">
        <f t="shared" si="255"/>
        <v>#VALUE!</v>
      </c>
    </row>
    <row r="1761" spans="1:10" x14ac:dyDescent="0.25">
      <c r="A1761" s="25">
        <f t="shared" si="256"/>
        <v>7.4699999999997164</v>
      </c>
      <c r="B1761" s="25">
        <f t="shared" ca="1" si="249"/>
        <v>-0.14781529019233866</v>
      </c>
      <c r="C1761" s="25" t="e">
        <f t="shared" si="250"/>
        <v>#VALUE!</v>
      </c>
      <c r="D1761" s="74" t="e">
        <f t="shared" si="251"/>
        <v>#VALUE!</v>
      </c>
      <c r="E1761" s="25" t="e">
        <f t="shared" si="252"/>
        <v>#VALUE!</v>
      </c>
      <c r="F1761" s="25" t="e">
        <f t="shared" ca="1" si="253"/>
        <v>#VALUE!</v>
      </c>
      <c r="G1761" s="25"/>
      <c r="H1761" s="25" t="e">
        <f t="shared" si="257"/>
        <v>#VALUE!</v>
      </c>
      <c r="I1761" s="25">
        <f t="shared" si="254"/>
        <v>1246.9999999999716</v>
      </c>
      <c r="J1761" s="25" t="e">
        <f t="shared" si="255"/>
        <v>#VALUE!</v>
      </c>
    </row>
    <row r="1762" spans="1:10" x14ac:dyDescent="0.25">
      <c r="A1762" s="25">
        <f t="shared" si="256"/>
        <v>7.4799999999997162</v>
      </c>
      <c r="B1762" s="25">
        <f t="shared" ca="1" si="249"/>
        <v>-0.17686291449468453</v>
      </c>
      <c r="C1762" s="25" t="e">
        <f t="shared" si="250"/>
        <v>#VALUE!</v>
      </c>
      <c r="D1762" s="74" t="e">
        <f t="shared" si="251"/>
        <v>#VALUE!</v>
      </c>
      <c r="E1762" s="25" t="e">
        <f t="shared" si="252"/>
        <v>#VALUE!</v>
      </c>
      <c r="F1762" s="25" t="e">
        <f t="shared" ca="1" si="253"/>
        <v>#VALUE!</v>
      </c>
      <c r="G1762" s="25"/>
      <c r="H1762" s="25" t="e">
        <f t="shared" si="257"/>
        <v>#VALUE!</v>
      </c>
      <c r="I1762" s="25">
        <f t="shared" si="254"/>
        <v>1247.9999999999716</v>
      </c>
      <c r="J1762" s="25" t="e">
        <f t="shared" si="255"/>
        <v>#VALUE!</v>
      </c>
    </row>
    <row r="1763" spans="1:10" x14ac:dyDescent="0.25">
      <c r="A1763" s="25">
        <f t="shared" si="256"/>
        <v>7.489999999999716</v>
      </c>
      <c r="B1763" s="25">
        <f t="shared" ca="1" si="249"/>
        <v>6.1859530391862157E-2</v>
      </c>
      <c r="C1763" s="25" t="e">
        <f t="shared" si="250"/>
        <v>#VALUE!</v>
      </c>
      <c r="D1763" s="74" t="e">
        <f t="shared" si="251"/>
        <v>#VALUE!</v>
      </c>
      <c r="E1763" s="25" t="e">
        <f t="shared" si="252"/>
        <v>#VALUE!</v>
      </c>
      <c r="F1763" s="25" t="e">
        <f t="shared" ca="1" si="253"/>
        <v>#VALUE!</v>
      </c>
      <c r="G1763" s="25"/>
      <c r="H1763" s="25" t="e">
        <f t="shared" si="257"/>
        <v>#VALUE!</v>
      </c>
      <c r="I1763" s="25">
        <f t="shared" si="254"/>
        <v>1248.9999999999716</v>
      </c>
      <c r="J1763" s="25" t="e">
        <f t="shared" si="255"/>
        <v>#VALUE!</v>
      </c>
    </row>
    <row r="1764" spans="1:10" x14ac:dyDescent="0.25">
      <c r="A1764" s="25">
        <f t="shared" si="256"/>
        <v>7.4999999999997158</v>
      </c>
      <c r="B1764" s="25">
        <f t="shared" ca="1" si="249"/>
        <v>9.9163347614741923E-2</v>
      </c>
      <c r="C1764" s="25" t="e">
        <f t="shared" si="250"/>
        <v>#VALUE!</v>
      </c>
      <c r="D1764" s="74" t="e">
        <f t="shared" si="251"/>
        <v>#VALUE!</v>
      </c>
      <c r="E1764" s="25" t="e">
        <f t="shared" si="252"/>
        <v>#VALUE!</v>
      </c>
      <c r="F1764" s="25" t="e">
        <f t="shared" ca="1" si="253"/>
        <v>#VALUE!</v>
      </c>
      <c r="G1764" s="25"/>
      <c r="H1764" s="25" t="e">
        <f t="shared" si="257"/>
        <v>#VALUE!</v>
      </c>
      <c r="I1764" s="25">
        <f t="shared" si="254"/>
        <v>1249.9999999999716</v>
      </c>
      <c r="J1764" s="25" t="e">
        <f t="shared" si="255"/>
        <v>#VALUE!</v>
      </c>
    </row>
    <row r="1765" spans="1:10" x14ac:dyDescent="0.25">
      <c r="A1765" s="25">
        <f t="shared" si="256"/>
        <v>7.5099999999997156</v>
      </c>
      <c r="B1765" s="25">
        <f t="shared" ca="1" si="249"/>
        <v>-3.9590693709605079E-2</v>
      </c>
      <c r="C1765" s="25" t="e">
        <f t="shared" si="250"/>
        <v>#VALUE!</v>
      </c>
      <c r="D1765" s="74" t="e">
        <f t="shared" si="251"/>
        <v>#VALUE!</v>
      </c>
      <c r="E1765" s="25" t="e">
        <f t="shared" si="252"/>
        <v>#VALUE!</v>
      </c>
      <c r="F1765" s="25" t="e">
        <f t="shared" ca="1" si="253"/>
        <v>#VALUE!</v>
      </c>
      <c r="G1765" s="25"/>
      <c r="H1765" s="25" t="e">
        <f t="shared" si="257"/>
        <v>#VALUE!</v>
      </c>
      <c r="I1765" s="25">
        <f t="shared" si="254"/>
        <v>1250.9999999999716</v>
      </c>
      <c r="J1765" s="25" t="e">
        <f t="shared" si="255"/>
        <v>#VALUE!</v>
      </c>
    </row>
    <row r="1766" spans="1:10" x14ac:dyDescent="0.25">
      <c r="A1766" s="25">
        <f t="shared" si="256"/>
        <v>7.5199999999997154</v>
      </c>
      <c r="B1766" s="25">
        <f t="shared" ca="1" si="249"/>
        <v>6.4817347426447833E-2</v>
      </c>
      <c r="C1766" s="25" t="e">
        <f t="shared" si="250"/>
        <v>#VALUE!</v>
      </c>
      <c r="D1766" s="74" t="e">
        <f t="shared" si="251"/>
        <v>#VALUE!</v>
      </c>
      <c r="E1766" s="25" t="e">
        <f t="shared" si="252"/>
        <v>#VALUE!</v>
      </c>
      <c r="F1766" s="25" t="e">
        <f t="shared" ca="1" si="253"/>
        <v>#VALUE!</v>
      </c>
      <c r="G1766" s="25"/>
      <c r="H1766" s="25" t="e">
        <f t="shared" si="257"/>
        <v>#VALUE!</v>
      </c>
      <c r="I1766" s="25">
        <f t="shared" si="254"/>
        <v>1251.9999999999716</v>
      </c>
      <c r="J1766" s="25" t="e">
        <f t="shared" si="255"/>
        <v>#VALUE!</v>
      </c>
    </row>
    <row r="1767" spans="1:10" x14ac:dyDescent="0.25">
      <c r="A1767" s="25">
        <f t="shared" si="256"/>
        <v>7.5299999999997151</v>
      </c>
      <c r="B1767" s="25">
        <f t="shared" ca="1" si="249"/>
        <v>-9.65124182817346E-3</v>
      </c>
      <c r="C1767" s="25" t="e">
        <f t="shared" si="250"/>
        <v>#VALUE!</v>
      </c>
      <c r="D1767" s="74" t="e">
        <f t="shared" si="251"/>
        <v>#VALUE!</v>
      </c>
      <c r="E1767" s="25" t="e">
        <f t="shared" si="252"/>
        <v>#VALUE!</v>
      </c>
      <c r="F1767" s="25" t="e">
        <f t="shared" ca="1" si="253"/>
        <v>#VALUE!</v>
      </c>
      <c r="G1767" s="25"/>
      <c r="H1767" s="25" t="e">
        <f t="shared" si="257"/>
        <v>#VALUE!</v>
      </c>
      <c r="I1767" s="25">
        <f t="shared" si="254"/>
        <v>1252.9999999999714</v>
      </c>
      <c r="J1767" s="25" t="e">
        <f t="shared" si="255"/>
        <v>#VALUE!</v>
      </c>
    </row>
    <row r="1768" spans="1:10" x14ac:dyDescent="0.25">
      <c r="A1768" s="25">
        <f t="shared" si="256"/>
        <v>7.5399999999997149</v>
      </c>
      <c r="B1768" s="25">
        <f t="shared" ca="1" si="249"/>
        <v>-0.10462370246398944</v>
      </c>
      <c r="C1768" s="25" t="e">
        <f t="shared" si="250"/>
        <v>#VALUE!</v>
      </c>
      <c r="D1768" s="74" t="e">
        <f t="shared" si="251"/>
        <v>#VALUE!</v>
      </c>
      <c r="E1768" s="25" t="e">
        <f t="shared" si="252"/>
        <v>#VALUE!</v>
      </c>
      <c r="F1768" s="25" t="e">
        <f t="shared" ca="1" si="253"/>
        <v>#VALUE!</v>
      </c>
      <c r="G1768" s="25"/>
      <c r="H1768" s="25" t="e">
        <f t="shared" si="257"/>
        <v>#VALUE!</v>
      </c>
      <c r="I1768" s="25">
        <f t="shared" si="254"/>
        <v>1253.9999999999714</v>
      </c>
      <c r="J1768" s="25" t="e">
        <f t="shared" si="255"/>
        <v>#VALUE!</v>
      </c>
    </row>
    <row r="1769" spans="1:10" x14ac:dyDescent="0.25">
      <c r="A1769" s="25">
        <f t="shared" si="256"/>
        <v>7.5499999999997147</v>
      </c>
      <c r="B1769" s="25">
        <f t="shared" ca="1" si="249"/>
        <v>2.3906705327466259E-2</v>
      </c>
      <c r="C1769" s="25" t="e">
        <f t="shared" si="250"/>
        <v>#VALUE!</v>
      </c>
      <c r="D1769" s="74" t="e">
        <f t="shared" si="251"/>
        <v>#VALUE!</v>
      </c>
      <c r="E1769" s="25" t="e">
        <f t="shared" si="252"/>
        <v>#VALUE!</v>
      </c>
      <c r="F1769" s="25" t="e">
        <f t="shared" ca="1" si="253"/>
        <v>#VALUE!</v>
      </c>
      <c r="G1769" s="25"/>
      <c r="H1769" s="25" t="e">
        <f t="shared" si="257"/>
        <v>#VALUE!</v>
      </c>
      <c r="I1769" s="25">
        <f t="shared" si="254"/>
        <v>1254.9999999999714</v>
      </c>
      <c r="J1769" s="25" t="e">
        <f t="shared" si="255"/>
        <v>#VALUE!</v>
      </c>
    </row>
    <row r="1770" spans="1:10" x14ac:dyDescent="0.25">
      <c r="A1770" s="25">
        <f t="shared" si="256"/>
        <v>7.5599999999997145</v>
      </c>
      <c r="B1770" s="25">
        <f t="shared" ca="1" si="249"/>
        <v>-9.9334403935423546E-2</v>
      </c>
      <c r="C1770" s="25" t="e">
        <f t="shared" si="250"/>
        <v>#VALUE!</v>
      </c>
      <c r="D1770" s="74" t="e">
        <f t="shared" si="251"/>
        <v>#VALUE!</v>
      </c>
      <c r="E1770" s="25" t="e">
        <f t="shared" si="252"/>
        <v>#VALUE!</v>
      </c>
      <c r="F1770" s="25" t="e">
        <f t="shared" ca="1" si="253"/>
        <v>#VALUE!</v>
      </c>
      <c r="G1770" s="25"/>
      <c r="H1770" s="25" t="e">
        <f t="shared" si="257"/>
        <v>#VALUE!</v>
      </c>
      <c r="I1770" s="25">
        <f t="shared" si="254"/>
        <v>1255.9999999999714</v>
      </c>
      <c r="J1770" s="25" t="e">
        <f t="shared" si="255"/>
        <v>#VALUE!</v>
      </c>
    </row>
    <row r="1771" spans="1:10" x14ac:dyDescent="0.25">
      <c r="A1771" s="25">
        <f t="shared" si="256"/>
        <v>7.5699999999997143</v>
      </c>
      <c r="B1771" s="25">
        <f t="shared" ca="1" si="249"/>
        <v>-0.13465594900601008</v>
      </c>
      <c r="C1771" s="25" t="e">
        <f t="shared" si="250"/>
        <v>#VALUE!</v>
      </c>
      <c r="D1771" s="74" t="e">
        <f t="shared" si="251"/>
        <v>#VALUE!</v>
      </c>
      <c r="E1771" s="25" t="e">
        <f t="shared" si="252"/>
        <v>#VALUE!</v>
      </c>
      <c r="F1771" s="25" t="e">
        <f t="shared" ca="1" si="253"/>
        <v>#VALUE!</v>
      </c>
      <c r="G1771" s="25"/>
      <c r="H1771" s="25" t="e">
        <f t="shared" si="257"/>
        <v>#VALUE!</v>
      </c>
      <c r="I1771" s="25">
        <f t="shared" si="254"/>
        <v>1256.9999999999714</v>
      </c>
      <c r="J1771" s="25" t="e">
        <f t="shared" si="255"/>
        <v>#VALUE!</v>
      </c>
    </row>
    <row r="1772" spans="1:10" x14ac:dyDescent="0.25">
      <c r="A1772" s="25">
        <f t="shared" si="256"/>
        <v>7.5799999999997141</v>
      </c>
      <c r="B1772" s="25">
        <f t="shared" ca="1" si="249"/>
        <v>-0.1193971410936067</v>
      </c>
      <c r="C1772" s="25" t="e">
        <f t="shared" si="250"/>
        <v>#VALUE!</v>
      </c>
      <c r="D1772" s="74" t="e">
        <f t="shared" si="251"/>
        <v>#VALUE!</v>
      </c>
      <c r="E1772" s="25" t="e">
        <f t="shared" si="252"/>
        <v>#VALUE!</v>
      </c>
      <c r="F1772" s="25" t="e">
        <f t="shared" ca="1" si="253"/>
        <v>#VALUE!</v>
      </c>
      <c r="G1772" s="25"/>
      <c r="H1772" s="25" t="e">
        <f t="shared" si="257"/>
        <v>#VALUE!</v>
      </c>
      <c r="I1772" s="25">
        <f t="shared" si="254"/>
        <v>1257.9999999999714</v>
      </c>
      <c r="J1772" s="25" t="e">
        <f t="shared" si="255"/>
        <v>#VALUE!</v>
      </c>
    </row>
    <row r="1773" spans="1:10" x14ac:dyDescent="0.25">
      <c r="A1773" s="25">
        <f t="shared" si="256"/>
        <v>7.5899999999997139</v>
      </c>
      <c r="B1773" s="25">
        <f t="shared" ca="1" si="249"/>
        <v>0.12937465024608041</v>
      </c>
      <c r="C1773" s="25" t="e">
        <f t="shared" si="250"/>
        <v>#VALUE!</v>
      </c>
      <c r="D1773" s="74" t="e">
        <f t="shared" si="251"/>
        <v>#VALUE!</v>
      </c>
      <c r="E1773" s="25" t="e">
        <f t="shared" si="252"/>
        <v>#VALUE!</v>
      </c>
      <c r="F1773" s="25" t="e">
        <f t="shared" ca="1" si="253"/>
        <v>#VALUE!</v>
      </c>
      <c r="G1773" s="25"/>
      <c r="H1773" s="25" t="e">
        <f t="shared" si="257"/>
        <v>#VALUE!</v>
      </c>
      <c r="I1773" s="25">
        <f t="shared" si="254"/>
        <v>1258.9999999999714</v>
      </c>
      <c r="J1773" s="25" t="e">
        <f t="shared" si="255"/>
        <v>#VALUE!</v>
      </c>
    </row>
    <row r="1774" spans="1:10" x14ac:dyDescent="0.25">
      <c r="A1774" s="25">
        <f t="shared" si="256"/>
        <v>7.5999999999997137</v>
      </c>
      <c r="B1774" s="25">
        <f t="shared" ca="1" si="249"/>
        <v>-0.1547272309470841</v>
      </c>
      <c r="C1774" s="25" t="e">
        <f t="shared" si="250"/>
        <v>#VALUE!</v>
      </c>
      <c r="D1774" s="74" t="e">
        <f t="shared" si="251"/>
        <v>#VALUE!</v>
      </c>
      <c r="E1774" s="25" t="e">
        <f t="shared" si="252"/>
        <v>#VALUE!</v>
      </c>
      <c r="F1774" s="25" t="e">
        <f t="shared" ca="1" si="253"/>
        <v>#VALUE!</v>
      </c>
      <c r="G1774" s="25"/>
      <c r="H1774" s="25" t="e">
        <f t="shared" si="257"/>
        <v>#VALUE!</v>
      </c>
      <c r="I1774" s="25">
        <f t="shared" si="254"/>
        <v>1259.9999999999714</v>
      </c>
      <c r="J1774" s="25" t="e">
        <f t="shared" si="255"/>
        <v>#VALUE!</v>
      </c>
    </row>
    <row r="1775" spans="1:10" x14ac:dyDescent="0.25">
      <c r="A1775" s="25">
        <f t="shared" si="256"/>
        <v>7.6099999999997134</v>
      </c>
      <c r="B1775" s="25">
        <f t="shared" ca="1" si="249"/>
        <v>0.11721684917288581</v>
      </c>
      <c r="C1775" s="25" t="e">
        <f t="shared" si="250"/>
        <v>#VALUE!</v>
      </c>
      <c r="D1775" s="74" t="e">
        <f t="shared" si="251"/>
        <v>#VALUE!</v>
      </c>
      <c r="E1775" s="25" t="e">
        <f t="shared" si="252"/>
        <v>#VALUE!</v>
      </c>
      <c r="F1775" s="25" t="e">
        <f t="shared" ca="1" si="253"/>
        <v>#VALUE!</v>
      </c>
      <c r="G1775" s="25"/>
      <c r="H1775" s="25" t="e">
        <f t="shared" si="257"/>
        <v>#VALUE!</v>
      </c>
      <c r="I1775" s="25">
        <f t="shared" si="254"/>
        <v>1260.9999999999714</v>
      </c>
      <c r="J1775" s="25" t="e">
        <f t="shared" si="255"/>
        <v>#VALUE!</v>
      </c>
    </row>
    <row r="1776" spans="1:10" x14ac:dyDescent="0.25">
      <c r="A1776" s="25">
        <f t="shared" si="256"/>
        <v>7.6199999999997132</v>
      </c>
      <c r="B1776" s="25">
        <f t="shared" ca="1" si="249"/>
        <v>-2.8175049273007523E-2</v>
      </c>
      <c r="C1776" s="25" t="e">
        <f t="shared" si="250"/>
        <v>#VALUE!</v>
      </c>
      <c r="D1776" s="74" t="e">
        <f t="shared" si="251"/>
        <v>#VALUE!</v>
      </c>
      <c r="E1776" s="25" t="e">
        <f t="shared" si="252"/>
        <v>#VALUE!</v>
      </c>
      <c r="F1776" s="25" t="e">
        <f t="shared" ca="1" si="253"/>
        <v>#VALUE!</v>
      </c>
      <c r="G1776" s="25"/>
      <c r="H1776" s="25" t="e">
        <f t="shared" si="257"/>
        <v>#VALUE!</v>
      </c>
      <c r="I1776" s="25">
        <f t="shared" si="254"/>
        <v>1261.9999999999714</v>
      </c>
      <c r="J1776" s="25" t="e">
        <f t="shared" si="255"/>
        <v>#VALUE!</v>
      </c>
    </row>
    <row r="1777" spans="1:10" x14ac:dyDescent="0.25">
      <c r="A1777" s="25">
        <f t="shared" si="256"/>
        <v>7.629999999999713</v>
      </c>
      <c r="B1777" s="25">
        <f t="shared" ca="1" si="249"/>
        <v>-3.5388841698355218E-2</v>
      </c>
      <c r="C1777" s="25" t="e">
        <f t="shared" si="250"/>
        <v>#VALUE!</v>
      </c>
      <c r="D1777" s="74" t="e">
        <f t="shared" si="251"/>
        <v>#VALUE!</v>
      </c>
      <c r="E1777" s="25" t="e">
        <f t="shared" si="252"/>
        <v>#VALUE!</v>
      </c>
      <c r="F1777" s="25" t="e">
        <f t="shared" ca="1" si="253"/>
        <v>#VALUE!</v>
      </c>
      <c r="G1777" s="25"/>
      <c r="H1777" s="25" t="e">
        <f t="shared" si="257"/>
        <v>#VALUE!</v>
      </c>
      <c r="I1777" s="25">
        <f t="shared" si="254"/>
        <v>1262.9999999999714</v>
      </c>
      <c r="J1777" s="25" t="e">
        <f t="shared" si="255"/>
        <v>#VALUE!</v>
      </c>
    </row>
    <row r="1778" spans="1:10" x14ac:dyDescent="0.25">
      <c r="A1778" s="25">
        <f t="shared" si="256"/>
        <v>7.6399999999997128</v>
      </c>
      <c r="B1778" s="25">
        <f t="shared" ca="1" si="249"/>
        <v>-5.8608374380818867E-2</v>
      </c>
      <c r="C1778" s="25" t="e">
        <f t="shared" si="250"/>
        <v>#VALUE!</v>
      </c>
      <c r="D1778" s="74" t="e">
        <f t="shared" si="251"/>
        <v>#VALUE!</v>
      </c>
      <c r="E1778" s="25" t="e">
        <f t="shared" si="252"/>
        <v>#VALUE!</v>
      </c>
      <c r="F1778" s="25" t="e">
        <f t="shared" ca="1" si="253"/>
        <v>#VALUE!</v>
      </c>
      <c r="G1778" s="25"/>
      <c r="H1778" s="25" t="e">
        <f t="shared" si="257"/>
        <v>#VALUE!</v>
      </c>
      <c r="I1778" s="25">
        <f t="shared" si="254"/>
        <v>1263.9999999999714</v>
      </c>
      <c r="J1778" s="25" t="e">
        <f t="shared" si="255"/>
        <v>#VALUE!</v>
      </c>
    </row>
    <row r="1779" spans="1:10" x14ac:dyDescent="0.25">
      <c r="A1779" s="25">
        <f t="shared" si="256"/>
        <v>7.6499999999997126</v>
      </c>
      <c r="B1779" s="25">
        <f t="shared" ca="1" si="249"/>
        <v>-0.19148897269820256</v>
      </c>
      <c r="C1779" s="25" t="e">
        <f t="shared" si="250"/>
        <v>#VALUE!</v>
      </c>
      <c r="D1779" s="74" t="e">
        <f t="shared" si="251"/>
        <v>#VALUE!</v>
      </c>
      <c r="E1779" s="25" t="e">
        <f t="shared" si="252"/>
        <v>#VALUE!</v>
      </c>
      <c r="F1779" s="25" t="e">
        <f t="shared" ca="1" si="253"/>
        <v>#VALUE!</v>
      </c>
      <c r="G1779" s="25"/>
      <c r="H1779" s="25" t="e">
        <f t="shared" si="257"/>
        <v>#VALUE!</v>
      </c>
      <c r="I1779" s="25">
        <f t="shared" si="254"/>
        <v>1264.9999999999714</v>
      </c>
      <c r="J1779" s="25" t="e">
        <f t="shared" si="255"/>
        <v>#VALUE!</v>
      </c>
    </row>
    <row r="1780" spans="1:10" x14ac:dyDescent="0.25">
      <c r="A1780" s="25">
        <f t="shared" si="256"/>
        <v>7.6599999999997124</v>
      </c>
      <c r="B1780" s="25">
        <f t="shared" ca="1" si="249"/>
        <v>-0.14626085277154111</v>
      </c>
      <c r="C1780" s="25" t="e">
        <f t="shared" si="250"/>
        <v>#VALUE!</v>
      </c>
      <c r="D1780" s="74" t="e">
        <f t="shared" si="251"/>
        <v>#VALUE!</v>
      </c>
      <c r="E1780" s="25" t="e">
        <f t="shared" si="252"/>
        <v>#VALUE!</v>
      </c>
      <c r="F1780" s="25" t="e">
        <f t="shared" ca="1" si="253"/>
        <v>#VALUE!</v>
      </c>
      <c r="G1780" s="25"/>
      <c r="H1780" s="25" t="e">
        <f t="shared" si="257"/>
        <v>#VALUE!</v>
      </c>
      <c r="I1780" s="25">
        <f t="shared" si="254"/>
        <v>1265.9999999999714</v>
      </c>
      <c r="J1780" s="25" t="e">
        <f t="shared" si="255"/>
        <v>#VALUE!</v>
      </c>
    </row>
    <row r="1781" spans="1:10" x14ac:dyDescent="0.25">
      <c r="A1781" s="25">
        <f t="shared" si="256"/>
        <v>7.6699999999997122</v>
      </c>
      <c r="B1781" s="25">
        <f t="shared" ca="1" si="249"/>
        <v>-0.19470437596202184</v>
      </c>
      <c r="C1781" s="25" t="e">
        <f t="shared" si="250"/>
        <v>#VALUE!</v>
      </c>
      <c r="D1781" s="74" t="e">
        <f t="shared" si="251"/>
        <v>#VALUE!</v>
      </c>
      <c r="E1781" s="25" t="e">
        <f t="shared" si="252"/>
        <v>#VALUE!</v>
      </c>
      <c r="F1781" s="25" t="e">
        <f t="shared" ca="1" si="253"/>
        <v>#VALUE!</v>
      </c>
      <c r="G1781" s="25"/>
      <c r="H1781" s="25" t="e">
        <f t="shared" si="257"/>
        <v>#VALUE!</v>
      </c>
      <c r="I1781" s="25">
        <f t="shared" si="254"/>
        <v>1266.9999999999714</v>
      </c>
      <c r="J1781" s="25" t="e">
        <f t="shared" si="255"/>
        <v>#VALUE!</v>
      </c>
    </row>
    <row r="1782" spans="1:10" x14ac:dyDescent="0.25">
      <c r="A1782" s="25">
        <f t="shared" si="256"/>
        <v>7.6799999999997119</v>
      </c>
      <c r="B1782" s="25">
        <f t="shared" ca="1" si="249"/>
        <v>2.897004978756863E-2</v>
      </c>
      <c r="C1782" s="25" t="e">
        <f t="shared" si="250"/>
        <v>#VALUE!</v>
      </c>
      <c r="D1782" s="74" t="e">
        <f t="shared" si="251"/>
        <v>#VALUE!</v>
      </c>
      <c r="E1782" s="25" t="e">
        <f t="shared" si="252"/>
        <v>#VALUE!</v>
      </c>
      <c r="F1782" s="25" t="e">
        <f t="shared" ca="1" si="253"/>
        <v>#VALUE!</v>
      </c>
      <c r="G1782" s="25"/>
      <c r="H1782" s="25" t="e">
        <f t="shared" si="257"/>
        <v>#VALUE!</v>
      </c>
      <c r="I1782" s="25">
        <f t="shared" si="254"/>
        <v>1267.9999999999714</v>
      </c>
      <c r="J1782" s="25" t="e">
        <f t="shared" si="255"/>
        <v>#VALUE!</v>
      </c>
    </row>
    <row r="1783" spans="1:10" x14ac:dyDescent="0.25">
      <c r="A1783" s="25">
        <f t="shared" si="256"/>
        <v>7.6899999999997117</v>
      </c>
      <c r="B1783" s="25">
        <f t="shared" ca="1" si="249"/>
        <v>1.2353504438999361E-2</v>
      </c>
      <c r="C1783" s="25" t="e">
        <f t="shared" si="250"/>
        <v>#VALUE!</v>
      </c>
      <c r="D1783" s="74" t="e">
        <f t="shared" si="251"/>
        <v>#VALUE!</v>
      </c>
      <c r="E1783" s="25" t="e">
        <f t="shared" si="252"/>
        <v>#VALUE!</v>
      </c>
      <c r="F1783" s="25" t="e">
        <f t="shared" ca="1" si="253"/>
        <v>#VALUE!</v>
      </c>
      <c r="G1783" s="25"/>
      <c r="H1783" s="25" t="e">
        <f t="shared" si="257"/>
        <v>#VALUE!</v>
      </c>
      <c r="I1783" s="25">
        <f t="shared" si="254"/>
        <v>1268.9999999999714</v>
      </c>
      <c r="J1783" s="25" t="e">
        <f t="shared" si="255"/>
        <v>#VALUE!</v>
      </c>
    </row>
    <row r="1784" spans="1:10" x14ac:dyDescent="0.25">
      <c r="A1784" s="25">
        <f t="shared" si="256"/>
        <v>7.6999999999997115</v>
      </c>
      <c r="B1784" s="25">
        <f t="shared" ca="1" si="249"/>
        <v>-0.19453107750898704</v>
      </c>
      <c r="C1784" s="25" t="e">
        <f t="shared" si="250"/>
        <v>#VALUE!</v>
      </c>
      <c r="D1784" s="74" t="e">
        <f t="shared" si="251"/>
        <v>#VALUE!</v>
      </c>
      <c r="E1784" s="25" t="e">
        <f t="shared" si="252"/>
        <v>#VALUE!</v>
      </c>
      <c r="F1784" s="25" t="e">
        <f t="shared" ca="1" si="253"/>
        <v>#VALUE!</v>
      </c>
      <c r="G1784" s="25"/>
      <c r="H1784" s="25" t="e">
        <f t="shared" si="257"/>
        <v>#VALUE!</v>
      </c>
      <c r="I1784" s="25">
        <f t="shared" si="254"/>
        <v>1269.9999999999711</v>
      </c>
      <c r="J1784" s="25" t="e">
        <f t="shared" si="255"/>
        <v>#VALUE!</v>
      </c>
    </row>
    <row r="1785" spans="1:10" x14ac:dyDescent="0.25">
      <c r="A1785" s="25">
        <f t="shared" si="256"/>
        <v>7.7099999999997113</v>
      </c>
      <c r="B1785" s="25">
        <f t="shared" ca="1" si="249"/>
        <v>1.4795366708639448E-2</v>
      </c>
      <c r="C1785" s="25" t="e">
        <f t="shared" si="250"/>
        <v>#VALUE!</v>
      </c>
      <c r="D1785" s="74" t="e">
        <f t="shared" si="251"/>
        <v>#VALUE!</v>
      </c>
      <c r="E1785" s="25" t="e">
        <f t="shared" si="252"/>
        <v>#VALUE!</v>
      </c>
      <c r="F1785" s="25" t="e">
        <f t="shared" ca="1" si="253"/>
        <v>#VALUE!</v>
      </c>
      <c r="G1785" s="25"/>
      <c r="H1785" s="25" t="e">
        <f t="shared" si="257"/>
        <v>#VALUE!</v>
      </c>
      <c r="I1785" s="25">
        <f t="shared" si="254"/>
        <v>1270.9999999999711</v>
      </c>
      <c r="J1785" s="25" t="e">
        <f t="shared" si="255"/>
        <v>#VALUE!</v>
      </c>
    </row>
    <row r="1786" spans="1:10" x14ac:dyDescent="0.25">
      <c r="A1786" s="25">
        <f t="shared" si="256"/>
        <v>7.7199999999997111</v>
      </c>
      <c r="B1786" s="25">
        <f t="shared" ca="1" si="249"/>
        <v>-3.6497034114433176E-2</v>
      </c>
      <c r="C1786" s="25" t="e">
        <f t="shared" si="250"/>
        <v>#VALUE!</v>
      </c>
      <c r="D1786" s="74" t="e">
        <f t="shared" si="251"/>
        <v>#VALUE!</v>
      </c>
      <c r="E1786" s="25" t="e">
        <f t="shared" si="252"/>
        <v>#VALUE!</v>
      </c>
      <c r="F1786" s="25" t="e">
        <f t="shared" ca="1" si="253"/>
        <v>#VALUE!</v>
      </c>
      <c r="G1786" s="25"/>
      <c r="H1786" s="25" t="e">
        <f t="shared" si="257"/>
        <v>#VALUE!</v>
      </c>
      <c r="I1786" s="25">
        <f t="shared" si="254"/>
        <v>1271.9999999999711</v>
      </c>
      <c r="J1786" s="25" t="e">
        <f t="shared" si="255"/>
        <v>#VALUE!</v>
      </c>
    </row>
    <row r="1787" spans="1:10" x14ac:dyDescent="0.25">
      <c r="A1787" s="25">
        <f t="shared" si="256"/>
        <v>7.7299999999997109</v>
      </c>
      <c r="B1787" s="25">
        <f t="shared" ca="1" si="249"/>
        <v>7.9425507510994517E-2</v>
      </c>
      <c r="C1787" s="25" t="e">
        <f t="shared" si="250"/>
        <v>#VALUE!</v>
      </c>
      <c r="D1787" s="74" t="e">
        <f t="shared" si="251"/>
        <v>#VALUE!</v>
      </c>
      <c r="E1787" s="25" t="e">
        <f t="shared" si="252"/>
        <v>#VALUE!</v>
      </c>
      <c r="F1787" s="25" t="e">
        <f t="shared" ca="1" si="253"/>
        <v>#VALUE!</v>
      </c>
      <c r="G1787" s="25"/>
      <c r="H1787" s="25" t="e">
        <f t="shared" si="257"/>
        <v>#VALUE!</v>
      </c>
      <c r="I1787" s="25">
        <f t="shared" si="254"/>
        <v>1272.9999999999711</v>
      </c>
      <c r="J1787" s="25" t="e">
        <f t="shared" si="255"/>
        <v>#VALUE!</v>
      </c>
    </row>
    <row r="1788" spans="1:10" x14ac:dyDescent="0.25">
      <c r="A1788" s="25">
        <f t="shared" si="256"/>
        <v>7.7399999999997107</v>
      </c>
      <c r="B1788" s="25">
        <f t="shared" ca="1" si="249"/>
        <v>-6.1861517599940345E-2</v>
      </c>
      <c r="C1788" s="25" t="e">
        <f t="shared" si="250"/>
        <v>#VALUE!</v>
      </c>
      <c r="D1788" s="74" t="e">
        <f t="shared" si="251"/>
        <v>#VALUE!</v>
      </c>
      <c r="E1788" s="25" t="e">
        <f t="shared" si="252"/>
        <v>#VALUE!</v>
      </c>
      <c r="F1788" s="25" t="e">
        <f t="shared" ca="1" si="253"/>
        <v>#VALUE!</v>
      </c>
      <c r="G1788" s="25"/>
      <c r="H1788" s="25" t="e">
        <f t="shared" si="257"/>
        <v>#VALUE!</v>
      </c>
      <c r="I1788" s="25">
        <f t="shared" si="254"/>
        <v>1273.9999999999711</v>
      </c>
      <c r="J1788" s="25" t="e">
        <f t="shared" si="255"/>
        <v>#VALUE!</v>
      </c>
    </row>
    <row r="1789" spans="1:10" x14ac:dyDescent="0.25">
      <c r="A1789" s="25">
        <f t="shared" si="256"/>
        <v>7.7499999999997105</v>
      </c>
      <c r="B1789" s="25">
        <f t="shared" ca="1" si="249"/>
        <v>-0.14370263213536918</v>
      </c>
      <c r="C1789" s="25" t="e">
        <f t="shared" si="250"/>
        <v>#VALUE!</v>
      </c>
      <c r="D1789" s="74" t="e">
        <f t="shared" si="251"/>
        <v>#VALUE!</v>
      </c>
      <c r="E1789" s="25" t="e">
        <f t="shared" si="252"/>
        <v>#VALUE!</v>
      </c>
      <c r="F1789" s="25" t="e">
        <f t="shared" ca="1" si="253"/>
        <v>#VALUE!</v>
      </c>
      <c r="G1789" s="25"/>
      <c r="H1789" s="25" t="e">
        <f t="shared" si="257"/>
        <v>#VALUE!</v>
      </c>
      <c r="I1789" s="25">
        <f t="shared" si="254"/>
        <v>1274.9999999999711</v>
      </c>
      <c r="J1789" s="25" t="e">
        <f t="shared" si="255"/>
        <v>#VALUE!</v>
      </c>
    </row>
    <row r="1790" spans="1:10" x14ac:dyDescent="0.25">
      <c r="A1790" s="25">
        <f t="shared" si="256"/>
        <v>7.7599999999997102</v>
      </c>
      <c r="B1790" s="25">
        <f t="shared" ca="1" si="249"/>
        <v>-0.1809568270499583</v>
      </c>
      <c r="C1790" s="25" t="e">
        <f t="shared" si="250"/>
        <v>#VALUE!</v>
      </c>
      <c r="D1790" s="74" t="e">
        <f t="shared" si="251"/>
        <v>#VALUE!</v>
      </c>
      <c r="E1790" s="25" t="e">
        <f t="shared" si="252"/>
        <v>#VALUE!</v>
      </c>
      <c r="F1790" s="25" t="e">
        <f t="shared" ca="1" si="253"/>
        <v>#VALUE!</v>
      </c>
      <c r="G1790" s="25"/>
      <c r="H1790" s="25" t="e">
        <f t="shared" si="257"/>
        <v>#VALUE!</v>
      </c>
      <c r="I1790" s="25">
        <f t="shared" si="254"/>
        <v>1275.9999999999711</v>
      </c>
      <c r="J1790" s="25" t="e">
        <f t="shared" si="255"/>
        <v>#VALUE!</v>
      </c>
    </row>
    <row r="1791" spans="1:10" x14ac:dyDescent="0.25">
      <c r="A1791" s="25">
        <f t="shared" si="256"/>
        <v>7.76999999999971</v>
      </c>
      <c r="B1791" s="25">
        <f t="shared" ca="1" si="249"/>
        <v>-0.13630598334195054</v>
      </c>
      <c r="C1791" s="25" t="e">
        <f t="shared" si="250"/>
        <v>#VALUE!</v>
      </c>
      <c r="D1791" s="74" t="e">
        <f t="shared" si="251"/>
        <v>#VALUE!</v>
      </c>
      <c r="E1791" s="25" t="e">
        <f t="shared" si="252"/>
        <v>#VALUE!</v>
      </c>
      <c r="F1791" s="25" t="e">
        <f t="shared" ca="1" si="253"/>
        <v>#VALUE!</v>
      </c>
      <c r="G1791" s="25"/>
      <c r="H1791" s="25" t="e">
        <f t="shared" si="257"/>
        <v>#VALUE!</v>
      </c>
      <c r="I1791" s="25">
        <f t="shared" si="254"/>
        <v>1276.9999999999711</v>
      </c>
      <c r="J1791" s="25" t="e">
        <f t="shared" si="255"/>
        <v>#VALUE!</v>
      </c>
    </row>
    <row r="1792" spans="1:10" x14ac:dyDescent="0.25">
      <c r="A1792" s="25">
        <f t="shared" si="256"/>
        <v>7.7799999999997098</v>
      </c>
      <c r="B1792" s="25">
        <f t="shared" ca="1" si="249"/>
        <v>-2.2503173972186607E-2</v>
      </c>
      <c r="C1792" s="25" t="e">
        <f t="shared" si="250"/>
        <v>#VALUE!</v>
      </c>
      <c r="D1792" s="74" t="e">
        <f t="shared" si="251"/>
        <v>#VALUE!</v>
      </c>
      <c r="E1792" s="25" t="e">
        <f t="shared" si="252"/>
        <v>#VALUE!</v>
      </c>
      <c r="F1792" s="25" t="e">
        <f t="shared" ca="1" si="253"/>
        <v>#VALUE!</v>
      </c>
      <c r="G1792" s="25"/>
      <c r="H1792" s="25" t="e">
        <f t="shared" si="257"/>
        <v>#VALUE!</v>
      </c>
      <c r="I1792" s="25">
        <f t="shared" si="254"/>
        <v>1277.9999999999709</v>
      </c>
      <c r="J1792" s="25" t="e">
        <f t="shared" si="255"/>
        <v>#VALUE!</v>
      </c>
    </row>
    <row r="1793" spans="1:10" x14ac:dyDescent="0.25">
      <c r="A1793" s="25">
        <f t="shared" si="256"/>
        <v>7.7899999999997096</v>
      </c>
      <c r="B1793" s="25">
        <f t="shared" ca="1" si="249"/>
        <v>-6.1243537082054149E-2</v>
      </c>
      <c r="C1793" s="25" t="e">
        <f t="shared" si="250"/>
        <v>#VALUE!</v>
      </c>
      <c r="D1793" s="74" t="e">
        <f t="shared" si="251"/>
        <v>#VALUE!</v>
      </c>
      <c r="E1793" s="25" t="e">
        <f t="shared" si="252"/>
        <v>#VALUE!</v>
      </c>
      <c r="F1793" s="25" t="e">
        <f t="shared" ca="1" si="253"/>
        <v>#VALUE!</v>
      </c>
      <c r="G1793" s="25"/>
      <c r="H1793" s="25" t="e">
        <f t="shared" si="257"/>
        <v>#VALUE!</v>
      </c>
      <c r="I1793" s="25">
        <f t="shared" si="254"/>
        <v>1278.9999999999709</v>
      </c>
      <c r="J1793" s="25" t="e">
        <f t="shared" si="255"/>
        <v>#VALUE!</v>
      </c>
    </row>
    <row r="1794" spans="1:10" x14ac:dyDescent="0.25">
      <c r="A1794" s="25">
        <f t="shared" si="256"/>
        <v>7.7999999999997094</v>
      </c>
      <c r="B1794" s="25">
        <f t="shared" ca="1" si="249"/>
        <v>8.0074782360802524E-2</v>
      </c>
      <c r="C1794" s="25" t="e">
        <f t="shared" si="250"/>
        <v>#VALUE!</v>
      </c>
      <c r="D1794" s="74" t="e">
        <f t="shared" si="251"/>
        <v>#VALUE!</v>
      </c>
      <c r="E1794" s="25" t="e">
        <f t="shared" si="252"/>
        <v>#VALUE!</v>
      </c>
      <c r="F1794" s="25" t="e">
        <f t="shared" ca="1" si="253"/>
        <v>#VALUE!</v>
      </c>
      <c r="G1794" s="25"/>
      <c r="H1794" s="25" t="e">
        <f t="shared" si="257"/>
        <v>#VALUE!</v>
      </c>
      <c r="I1794" s="25">
        <f t="shared" si="254"/>
        <v>1279.9999999999709</v>
      </c>
      <c r="J1794" s="25" t="e">
        <f t="shared" si="255"/>
        <v>#VALUE!</v>
      </c>
    </row>
    <row r="1795" spans="1:10" x14ac:dyDescent="0.25">
      <c r="A1795" s="25">
        <f t="shared" si="256"/>
        <v>7.8099999999997092</v>
      </c>
      <c r="B1795" s="25">
        <f t="shared" ca="1" si="249"/>
        <v>-2.8870903396034642E-2</v>
      </c>
      <c r="C1795" s="25" t="e">
        <f t="shared" si="250"/>
        <v>#VALUE!</v>
      </c>
      <c r="D1795" s="74" t="e">
        <f t="shared" si="251"/>
        <v>#VALUE!</v>
      </c>
      <c r="E1795" s="25" t="e">
        <f t="shared" si="252"/>
        <v>#VALUE!</v>
      </c>
      <c r="F1795" s="25" t="e">
        <f t="shared" ca="1" si="253"/>
        <v>#VALUE!</v>
      </c>
      <c r="G1795" s="25"/>
      <c r="H1795" s="25" t="e">
        <f t="shared" si="257"/>
        <v>#VALUE!</v>
      </c>
      <c r="I1795" s="25">
        <f t="shared" si="254"/>
        <v>1280.9999999999709</v>
      </c>
      <c r="J1795" s="25" t="e">
        <f t="shared" si="255"/>
        <v>#VALUE!</v>
      </c>
    </row>
    <row r="1796" spans="1:10" x14ac:dyDescent="0.25">
      <c r="A1796" s="25">
        <f t="shared" si="256"/>
        <v>7.819999999999709</v>
      </c>
      <c r="B1796" s="25">
        <f t="shared" ca="1" si="249"/>
        <v>0.12599305186819265</v>
      </c>
      <c r="C1796" s="25" t="e">
        <f t="shared" si="250"/>
        <v>#VALUE!</v>
      </c>
      <c r="D1796" s="74" t="e">
        <f t="shared" si="251"/>
        <v>#VALUE!</v>
      </c>
      <c r="E1796" s="25" t="e">
        <f t="shared" si="252"/>
        <v>#VALUE!</v>
      </c>
      <c r="F1796" s="25" t="e">
        <f t="shared" ca="1" si="253"/>
        <v>#VALUE!</v>
      </c>
      <c r="G1796" s="25"/>
      <c r="H1796" s="25" t="e">
        <f t="shared" si="257"/>
        <v>#VALUE!</v>
      </c>
      <c r="I1796" s="25">
        <f t="shared" si="254"/>
        <v>1281.9999999999709</v>
      </c>
      <c r="J1796" s="25" t="e">
        <f t="shared" si="255"/>
        <v>#VALUE!</v>
      </c>
    </row>
    <row r="1797" spans="1:10" x14ac:dyDescent="0.25">
      <c r="A1797" s="25">
        <f t="shared" si="256"/>
        <v>7.8299999999997087</v>
      </c>
      <c r="B1797" s="25">
        <f t="shared" ca="1" si="249"/>
        <v>-9.6647342163861991E-2</v>
      </c>
      <c r="C1797" s="25" t="e">
        <f t="shared" si="250"/>
        <v>#VALUE!</v>
      </c>
      <c r="D1797" s="74" t="e">
        <f t="shared" si="251"/>
        <v>#VALUE!</v>
      </c>
      <c r="E1797" s="25" t="e">
        <f t="shared" si="252"/>
        <v>#VALUE!</v>
      </c>
      <c r="F1797" s="25" t="e">
        <f t="shared" ca="1" si="253"/>
        <v>#VALUE!</v>
      </c>
      <c r="G1797" s="25"/>
      <c r="H1797" s="25" t="e">
        <f t="shared" si="257"/>
        <v>#VALUE!</v>
      </c>
      <c r="I1797" s="25">
        <f t="shared" si="254"/>
        <v>1282.9999999999709</v>
      </c>
      <c r="J1797" s="25" t="e">
        <f t="shared" si="255"/>
        <v>#VALUE!</v>
      </c>
    </row>
    <row r="1798" spans="1:10" x14ac:dyDescent="0.25">
      <c r="A1798" s="25">
        <f t="shared" si="256"/>
        <v>7.8399999999997085</v>
      </c>
      <c r="B1798" s="25">
        <f t="shared" ca="1" si="249"/>
        <v>-2.7851282864228489E-2</v>
      </c>
      <c r="C1798" s="25" t="e">
        <f t="shared" si="250"/>
        <v>#VALUE!</v>
      </c>
      <c r="D1798" s="74" t="e">
        <f t="shared" si="251"/>
        <v>#VALUE!</v>
      </c>
      <c r="E1798" s="25" t="e">
        <f t="shared" si="252"/>
        <v>#VALUE!</v>
      </c>
      <c r="F1798" s="25" t="e">
        <f t="shared" ca="1" si="253"/>
        <v>#VALUE!</v>
      </c>
      <c r="G1798" s="25"/>
      <c r="H1798" s="25" t="e">
        <f t="shared" si="257"/>
        <v>#VALUE!</v>
      </c>
      <c r="I1798" s="25">
        <f t="shared" si="254"/>
        <v>1283.9999999999709</v>
      </c>
      <c r="J1798" s="25" t="e">
        <f t="shared" si="255"/>
        <v>#VALUE!</v>
      </c>
    </row>
    <row r="1799" spans="1:10" x14ac:dyDescent="0.25">
      <c r="A1799" s="25">
        <f t="shared" si="256"/>
        <v>7.8499999999997083</v>
      </c>
      <c r="B1799" s="25">
        <f t="shared" ca="1" si="249"/>
        <v>-1.3408682438022965E-2</v>
      </c>
      <c r="C1799" s="25" t="e">
        <f t="shared" si="250"/>
        <v>#VALUE!</v>
      </c>
      <c r="D1799" s="74" t="e">
        <f t="shared" si="251"/>
        <v>#VALUE!</v>
      </c>
      <c r="E1799" s="25" t="e">
        <f t="shared" si="252"/>
        <v>#VALUE!</v>
      </c>
      <c r="F1799" s="25" t="e">
        <f t="shared" ca="1" si="253"/>
        <v>#VALUE!</v>
      </c>
      <c r="G1799" s="25"/>
      <c r="H1799" s="25" t="e">
        <f t="shared" si="257"/>
        <v>#VALUE!</v>
      </c>
      <c r="I1799" s="25">
        <f t="shared" si="254"/>
        <v>1284.9999999999709</v>
      </c>
      <c r="J1799" s="25" t="e">
        <f t="shared" si="255"/>
        <v>#VALUE!</v>
      </c>
    </row>
    <row r="1800" spans="1:10" x14ac:dyDescent="0.25">
      <c r="A1800" s="25">
        <f t="shared" si="256"/>
        <v>7.8599999999997081</v>
      </c>
      <c r="B1800" s="25">
        <f t="shared" ca="1" si="249"/>
        <v>5.2378035324422194E-2</v>
      </c>
      <c r="C1800" s="25" t="e">
        <f t="shared" si="250"/>
        <v>#VALUE!</v>
      </c>
      <c r="D1800" s="74" t="e">
        <f t="shared" si="251"/>
        <v>#VALUE!</v>
      </c>
      <c r="E1800" s="25" t="e">
        <f t="shared" si="252"/>
        <v>#VALUE!</v>
      </c>
      <c r="F1800" s="25" t="e">
        <f t="shared" ca="1" si="253"/>
        <v>#VALUE!</v>
      </c>
      <c r="G1800" s="25"/>
      <c r="H1800" s="25" t="e">
        <f t="shared" si="257"/>
        <v>#VALUE!</v>
      </c>
      <c r="I1800" s="25">
        <f t="shared" si="254"/>
        <v>1285.9999999999709</v>
      </c>
      <c r="J1800" s="25" t="e">
        <f t="shared" si="255"/>
        <v>#VALUE!</v>
      </c>
    </row>
    <row r="1801" spans="1:10" x14ac:dyDescent="0.25">
      <c r="A1801" s="25">
        <f t="shared" si="256"/>
        <v>7.8699999999997079</v>
      </c>
      <c r="B1801" s="25">
        <f t="shared" ca="1" si="249"/>
        <v>3.8957864119539193E-2</v>
      </c>
      <c r="C1801" s="25" t="e">
        <f t="shared" si="250"/>
        <v>#VALUE!</v>
      </c>
      <c r="D1801" s="74" t="e">
        <f t="shared" si="251"/>
        <v>#VALUE!</v>
      </c>
      <c r="E1801" s="25" t="e">
        <f t="shared" si="252"/>
        <v>#VALUE!</v>
      </c>
      <c r="F1801" s="25" t="e">
        <f t="shared" ca="1" si="253"/>
        <v>#VALUE!</v>
      </c>
      <c r="G1801" s="25"/>
      <c r="H1801" s="25" t="e">
        <f t="shared" si="257"/>
        <v>#VALUE!</v>
      </c>
      <c r="I1801" s="25">
        <f t="shared" si="254"/>
        <v>1286.9999999999707</v>
      </c>
      <c r="J1801" s="25" t="e">
        <f t="shared" si="255"/>
        <v>#VALUE!</v>
      </c>
    </row>
    <row r="1802" spans="1:10" x14ac:dyDescent="0.25">
      <c r="A1802" s="25">
        <f t="shared" si="256"/>
        <v>7.8799999999997077</v>
      </c>
      <c r="B1802" s="25">
        <f t="shared" ca="1" si="249"/>
        <v>-0.12793855270786325</v>
      </c>
      <c r="C1802" s="25" t="e">
        <f t="shared" si="250"/>
        <v>#VALUE!</v>
      </c>
      <c r="D1802" s="74" t="e">
        <f t="shared" si="251"/>
        <v>#VALUE!</v>
      </c>
      <c r="E1802" s="25" t="e">
        <f t="shared" si="252"/>
        <v>#VALUE!</v>
      </c>
      <c r="F1802" s="25" t="e">
        <f t="shared" ca="1" si="253"/>
        <v>#VALUE!</v>
      </c>
      <c r="G1802" s="25"/>
      <c r="H1802" s="25" t="e">
        <f t="shared" si="257"/>
        <v>#VALUE!</v>
      </c>
      <c r="I1802" s="25">
        <f t="shared" si="254"/>
        <v>1287.9999999999707</v>
      </c>
      <c r="J1802" s="25" t="e">
        <f t="shared" si="255"/>
        <v>#VALUE!</v>
      </c>
    </row>
    <row r="1803" spans="1:10" x14ac:dyDescent="0.25">
      <c r="A1803" s="25">
        <f t="shared" si="256"/>
        <v>7.8899999999997075</v>
      </c>
      <c r="B1803" s="25">
        <f t="shared" ca="1" si="249"/>
        <v>9.4363452512258306E-2</v>
      </c>
      <c r="C1803" s="25" t="e">
        <f t="shared" si="250"/>
        <v>#VALUE!</v>
      </c>
      <c r="D1803" s="74" t="e">
        <f t="shared" si="251"/>
        <v>#VALUE!</v>
      </c>
      <c r="E1803" s="25" t="e">
        <f t="shared" si="252"/>
        <v>#VALUE!</v>
      </c>
      <c r="F1803" s="25" t="e">
        <f t="shared" ca="1" si="253"/>
        <v>#VALUE!</v>
      </c>
      <c r="G1803" s="25"/>
      <c r="H1803" s="25" t="e">
        <f t="shared" si="257"/>
        <v>#VALUE!</v>
      </c>
      <c r="I1803" s="25">
        <f t="shared" si="254"/>
        <v>1288.9999999999707</v>
      </c>
      <c r="J1803" s="25" t="e">
        <f t="shared" si="255"/>
        <v>#VALUE!</v>
      </c>
    </row>
    <row r="1804" spans="1:10" x14ac:dyDescent="0.25">
      <c r="A1804" s="25">
        <f t="shared" si="256"/>
        <v>7.8999999999997073</v>
      </c>
      <c r="B1804" s="25">
        <f t="shared" ca="1" si="249"/>
        <v>-0.16296172692289149</v>
      </c>
      <c r="C1804" s="25" t="e">
        <f t="shared" si="250"/>
        <v>#VALUE!</v>
      </c>
      <c r="D1804" s="74" t="e">
        <f t="shared" si="251"/>
        <v>#VALUE!</v>
      </c>
      <c r="E1804" s="25" t="e">
        <f t="shared" si="252"/>
        <v>#VALUE!</v>
      </c>
      <c r="F1804" s="25" t="e">
        <f t="shared" ca="1" si="253"/>
        <v>#VALUE!</v>
      </c>
      <c r="G1804" s="25"/>
      <c r="H1804" s="25" t="e">
        <f t="shared" si="257"/>
        <v>#VALUE!</v>
      </c>
      <c r="I1804" s="25">
        <f t="shared" si="254"/>
        <v>1289.9999999999707</v>
      </c>
      <c r="J1804" s="25" t="e">
        <f t="shared" si="255"/>
        <v>#VALUE!</v>
      </c>
    </row>
    <row r="1805" spans="1:10" x14ac:dyDescent="0.25">
      <c r="A1805" s="25">
        <f t="shared" si="256"/>
        <v>7.909999999999707</v>
      </c>
      <c r="B1805" s="25">
        <f t="shared" ca="1" si="249"/>
        <v>-2.4198598385464648E-2</v>
      </c>
      <c r="C1805" s="25" t="e">
        <f t="shared" si="250"/>
        <v>#VALUE!</v>
      </c>
      <c r="D1805" s="74" t="e">
        <f t="shared" si="251"/>
        <v>#VALUE!</v>
      </c>
      <c r="E1805" s="25" t="e">
        <f t="shared" si="252"/>
        <v>#VALUE!</v>
      </c>
      <c r="F1805" s="25" t="e">
        <f t="shared" ca="1" si="253"/>
        <v>#VALUE!</v>
      </c>
      <c r="G1805" s="25"/>
      <c r="H1805" s="25" t="e">
        <f t="shared" si="257"/>
        <v>#VALUE!</v>
      </c>
      <c r="I1805" s="25">
        <f t="shared" si="254"/>
        <v>1290.9999999999707</v>
      </c>
      <c r="J1805" s="25" t="e">
        <f t="shared" si="255"/>
        <v>#VALUE!</v>
      </c>
    </row>
    <row r="1806" spans="1:10" x14ac:dyDescent="0.25">
      <c r="A1806" s="25">
        <f t="shared" si="256"/>
        <v>7.9199999999997068</v>
      </c>
      <c r="B1806" s="25">
        <f t="shared" ref="B1806:B1869" ca="1" si="258">(RAND()-0.5-$B$7)/$B$5</f>
        <v>3.5093575738176015E-2</v>
      </c>
      <c r="C1806" s="25" t="e">
        <f t="shared" ref="C1806:C1869" si="259">IF(ABS(A1806)&lt;=($D$3/2),1,IF(ABS(A1806)&lt;=($B$4/2),IF(A1806&gt;0,A1806*(4/(1-2*$B$4))+(2*$B$4/(2*$B$4-1)),(-A1806*(4/(1-2*$B$4))+(2*$B$4/(2*$B$4-1)))),0))</f>
        <v>#VALUE!</v>
      </c>
      <c r="D1806" s="74" t="e">
        <f t="shared" ref="D1806:D1869" si="260">IF(ABS(A1806)&lt;=($D$3/4+$B$4/4),1,IF(ABS(A1806)&lt;=($B$4/2),(IF(A1806&gt;0,A1806*(8/(1-2*$B$4))+(4*$B$4)/(2*$B$4-1),(-A1806*(8/(1-2*$B$4))+(4*$B$4)/(2*$B$4-1)))),0))</f>
        <v>#VALUE!</v>
      </c>
      <c r="E1806" s="25" t="e">
        <f t="shared" ref="E1806:E1869" si="261">IF(ABS(A1806)&lt;($B$4/2), 1, 0)</f>
        <v>#VALUE!</v>
      </c>
      <c r="F1806" s="25" t="e">
        <f t="shared" ref="F1806:F1869" ca="1" si="262">C1806+B1806</f>
        <v>#VALUE!</v>
      </c>
      <c r="G1806" s="25"/>
      <c r="H1806" s="25" t="e">
        <f t="shared" si="257"/>
        <v>#VALUE!</v>
      </c>
      <c r="I1806" s="25">
        <f t="shared" ref="I1806:I1869" si="263">$I$3*(A1806-$G$3)/($H$3-$G$3)</f>
        <v>1291.9999999999707</v>
      </c>
      <c r="J1806" s="25" t="e">
        <f t="shared" ref="J1806:J1869" si="264">H1806</f>
        <v>#VALUE!</v>
      </c>
    </row>
    <row r="1807" spans="1:10" x14ac:dyDescent="0.25">
      <c r="A1807" s="25">
        <f t="shared" ref="A1807:A1870" si="265">A1806+0.01</f>
        <v>7.9299999999997066</v>
      </c>
      <c r="B1807" s="25">
        <f t="shared" ca="1" si="258"/>
        <v>-7.2331173537814195E-2</v>
      </c>
      <c r="C1807" s="25" t="e">
        <f t="shared" si="259"/>
        <v>#VALUE!</v>
      </c>
      <c r="D1807" s="74" t="e">
        <f t="shared" si="260"/>
        <v>#VALUE!</v>
      </c>
      <c r="E1807" s="25" t="e">
        <f t="shared" si="261"/>
        <v>#VALUE!</v>
      </c>
      <c r="F1807" s="25" t="e">
        <f t="shared" ca="1" si="262"/>
        <v>#VALUE!</v>
      </c>
      <c r="G1807" s="25"/>
      <c r="H1807" s="25" t="e">
        <f t="shared" si="257"/>
        <v>#VALUE!</v>
      </c>
      <c r="I1807" s="25">
        <f t="shared" si="263"/>
        <v>1292.9999999999707</v>
      </c>
      <c r="J1807" s="25" t="e">
        <f t="shared" si="264"/>
        <v>#VALUE!</v>
      </c>
    </row>
    <row r="1808" spans="1:10" x14ac:dyDescent="0.25">
      <c r="A1808" s="25">
        <f t="shared" si="265"/>
        <v>7.9399999999997064</v>
      </c>
      <c r="B1808" s="25">
        <f t="shared" ca="1" si="258"/>
        <v>2.7240651561993318E-2</v>
      </c>
      <c r="C1808" s="25" t="e">
        <f t="shared" si="259"/>
        <v>#VALUE!</v>
      </c>
      <c r="D1808" s="74" t="e">
        <f t="shared" si="260"/>
        <v>#VALUE!</v>
      </c>
      <c r="E1808" s="25" t="e">
        <f t="shared" si="261"/>
        <v>#VALUE!</v>
      </c>
      <c r="F1808" s="25" t="e">
        <f t="shared" ca="1" si="262"/>
        <v>#VALUE!</v>
      </c>
      <c r="G1808" s="25"/>
      <c r="H1808" s="25" t="e">
        <f t="shared" si="257"/>
        <v>#VALUE!</v>
      </c>
      <c r="I1808" s="25">
        <f t="shared" si="263"/>
        <v>1293.9999999999707</v>
      </c>
      <c r="J1808" s="25" t="e">
        <f t="shared" si="264"/>
        <v>#VALUE!</v>
      </c>
    </row>
    <row r="1809" spans="1:10" x14ac:dyDescent="0.25">
      <c r="A1809" s="25">
        <f t="shared" si="265"/>
        <v>7.9499999999997062</v>
      </c>
      <c r="B1809" s="25">
        <f t="shared" ca="1" si="258"/>
        <v>-7.536942486068092E-2</v>
      </c>
      <c r="C1809" s="25" t="e">
        <f t="shared" si="259"/>
        <v>#VALUE!</v>
      </c>
      <c r="D1809" s="74" t="e">
        <f t="shared" si="260"/>
        <v>#VALUE!</v>
      </c>
      <c r="E1809" s="25" t="e">
        <f t="shared" si="261"/>
        <v>#VALUE!</v>
      </c>
      <c r="F1809" s="25" t="e">
        <f t="shared" ca="1" si="262"/>
        <v>#VALUE!</v>
      </c>
      <c r="G1809" s="25"/>
      <c r="H1809" s="25" t="e">
        <f t="shared" si="257"/>
        <v>#VALUE!</v>
      </c>
      <c r="I1809" s="25">
        <f t="shared" si="263"/>
        <v>1294.9999999999704</v>
      </c>
      <c r="J1809" s="25" t="e">
        <f t="shared" si="264"/>
        <v>#VALUE!</v>
      </c>
    </row>
    <row r="1810" spans="1:10" x14ac:dyDescent="0.25">
      <c r="A1810" s="25">
        <f t="shared" si="265"/>
        <v>7.959999999999706</v>
      </c>
      <c r="B1810" s="25">
        <f t="shared" ca="1" si="258"/>
        <v>-6.6607640974016433E-2</v>
      </c>
      <c r="C1810" s="25" t="e">
        <f t="shared" si="259"/>
        <v>#VALUE!</v>
      </c>
      <c r="D1810" s="74" t="e">
        <f t="shared" si="260"/>
        <v>#VALUE!</v>
      </c>
      <c r="E1810" s="25" t="e">
        <f t="shared" si="261"/>
        <v>#VALUE!</v>
      </c>
      <c r="F1810" s="25" t="e">
        <f t="shared" ca="1" si="262"/>
        <v>#VALUE!</v>
      </c>
      <c r="G1810" s="25"/>
      <c r="H1810" s="25" t="e">
        <f t="shared" si="257"/>
        <v>#VALUE!</v>
      </c>
      <c r="I1810" s="25">
        <f t="shared" si="263"/>
        <v>1295.9999999999704</v>
      </c>
      <c r="J1810" s="25" t="e">
        <f t="shared" si="264"/>
        <v>#VALUE!</v>
      </c>
    </row>
    <row r="1811" spans="1:10" x14ac:dyDescent="0.25">
      <c r="A1811" s="25">
        <f t="shared" si="265"/>
        <v>7.9699999999997058</v>
      </c>
      <c r="B1811" s="25">
        <f t="shared" ca="1" si="258"/>
        <v>-0.18995421307917251</v>
      </c>
      <c r="C1811" s="25" t="e">
        <f t="shared" si="259"/>
        <v>#VALUE!</v>
      </c>
      <c r="D1811" s="74" t="e">
        <f t="shared" si="260"/>
        <v>#VALUE!</v>
      </c>
      <c r="E1811" s="25" t="e">
        <f t="shared" si="261"/>
        <v>#VALUE!</v>
      </c>
      <c r="F1811" s="25" t="e">
        <f t="shared" ca="1" si="262"/>
        <v>#VALUE!</v>
      </c>
      <c r="G1811" s="25"/>
      <c r="H1811" s="25" t="e">
        <f t="shared" si="257"/>
        <v>#VALUE!</v>
      </c>
      <c r="I1811" s="25">
        <f t="shared" si="263"/>
        <v>1296.9999999999704</v>
      </c>
      <c r="J1811" s="25" t="e">
        <f t="shared" si="264"/>
        <v>#VALUE!</v>
      </c>
    </row>
    <row r="1812" spans="1:10" x14ac:dyDescent="0.25">
      <c r="A1812" s="25">
        <f t="shared" si="265"/>
        <v>7.9799999999997056</v>
      </c>
      <c r="B1812" s="25">
        <f t="shared" ca="1" si="258"/>
        <v>-0.14970390613731174</v>
      </c>
      <c r="C1812" s="25" t="e">
        <f t="shared" si="259"/>
        <v>#VALUE!</v>
      </c>
      <c r="D1812" s="74" t="e">
        <f t="shared" si="260"/>
        <v>#VALUE!</v>
      </c>
      <c r="E1812" s="25" t="e">
        <f t="shared" si="261"/>
        <v>#VALUE!</v>
      </c>
      <c r="F1812" s="25" t="e">
        <f t="shared" ca="1" si="262"/>
        <v>#VALUE!</v>
      </c>
      <c r="G1812" s="25"/>
      <c r="H1812" s="25" t="e">
        <f t="shared" si="257"/>
        <v>#VALUE!</v>
      </c>
      <c r="I1812" s="25">
        <f t="shared" si="263"/>
        <v>1297.9999999999704</v>
      </c>
      <c r="J1812" s="25" t="e">
        <f t="shared" si="264"/>
        <v>#VALUE!</v>
      </c>
    </row>
    <row r="1813" spans="1:10" x14ac:dyDescent="0.25">
      <c r="A1813" s="25">
        <f t="shared" si="265"/>
        <v>7.9899999999997053</v>
      </c>
      <c r="B1813" s="25">
        <f t="shared" ca="1" si="258"/>
        <v>-7.3044311514374599E-2</v>
      </c>
      <c r="C1813" s="25" t="e">
        <f t="shared" si="259"/>
        <v>#VALUE!</v>
      </c>
      <c r="D1813" s="74" t="e">
        <f t="shared" si="260"/>
        <v>#VALUE!</v>
      </c>
      <c r="E1813" s="25" t="e">
        <f t="shared" si="261"/>
        <v>#VALUE!</v>
      </c>
      <c r="F1813" s="25" t="e">
        <f t="shared" ca="1" si="262"/>
        <v>#VALUE!</v>
      </c>
      <c r="G1813" s="25"/>
      <c r="H1813" s="25" t="e">
        <f t="shared" si="257"/>
        <v>#VALUE!</v>
      </c>
      <c r="I1813" s="25">
        <f t="shared" si="263"/>
        <v>1298.9999999999704</v>
      </c>
      <c r="J1813" s="25" t="e">
        <f t="shared" si="264"/>
        <v>#VALUE!</v>
      </c>
    </row>
    <row r="1814" spans="1:10" x14ac:dyDescent="0.25">
      <c r="A1814" s="25">
        <f t="shared" si="265"/>
        <v>7.9999999999997051</v>
      </c>
      <c r="B1814" s="25">
        <f t="shared" ca="1" si="258"/>
        <v>-0.13391508246231446</v>
      </c>
      <c r="C1814" s="25" t="e">
        <f t="shared" si="259"/>
        <v>#VALUE!</v>
      </c>
      <c r="D1814" s="74" t="e">
        <f t="shared" si="260"/>
        <v>#VALUE!</v>
      </c>
      <c r="E1814" s="25" t="e">
        <f t="shared" si="261"/>
        <v>#VALUE!</v>
      </c>
      <c r="F1814" s="25" t="e">
        <f t="shared" ca="1" si="262"/>
        <v>#VALUE!</v>
      </c>
      <c r="G1814" s="25"/>
      <c r="H1814" s="25" t="e">
        <f t="shared" si="257"/>
        <v>#VALUE!</v>
      </c>
      <c r="I1814" s="25">
        <f t="shared" si="263"/>
        <v>1299.9999999999704</v>
      </c>
      <c r="J1814" s="25" t="e">
        <f t="shared" si="264"/>
        <v>#VALUE!</v>
      </c>
    </row>
    <row r="1815" spans="1:10" x14ac:dyDescent="0.25">
      <c r="A1815" s="25">
        <f t="shared" si="265"/>
        <v>8.0099999999997049</v>
      </c>
      <c r="B1815" s="25">
        <f t="shared" ca="1" si="258"/>
        <v>-0.14494958398372995</v>
      </c>
      <c r="C1815" s="25" t="e">
        <f t="shared" si="259"/>
        <v>#VALUE!</v>
      </c>
      <c r="D1815" s="74" t="e">
        <f t="shared" si="260"/>
        <v>#VALUE!</v>
      </c>
      <c r="E1815" s="25" t="e">
        <f t="shared" si="261"/>
        <v>#VALUE!</v>
      </c>
      <c r="F1815" s="25" t="e">
        <f t="shared" ca="1" si="262"/>
        <v>#VALUE!</v>
      </c>
      <c r="G1815" s="25"/>
      <c r="H1815" s="25" t="e">
        <f t="shared" si="257"/>
        <v>#VALUE!</v>
      </c>
      <c r="I1815" s="25">
        <f t="shared" si="263"/>
        <v>1300.9999999999704</v>
      </c>
      <c r="J1815" s="25" t="e">
        <f t="shared" si="264"/>
        <v>#VALUE!</v>
      </c>
    </row>
    <row r="1816" spans="1:10" x14ac:dyDescent="0.25">
      <c r="A1816" s="25">
        <f t="shared" si="265"/>
        <v>8.0199999999997047</v>
      </c>
      <c r="B1816" s="25">
        <f t="shared" ca="1" si="258"/>
        <v>3.892532114241453E-2</v>
      </c>
      <c r="C1816" s="25" t="e">
        <f t="shared" si="259"/>
        <v>#VALUE!</v>
      </c>
      <c r="D1816" s="74" t="e">
        <f t="shared" si="260"/>
        <v>#VALUE!</v>
      </c>
      <c r="E1816" s="25" t="e">
        <f t="shared" si="261"/>
        <v>#VALUE!</v>
      </c>
      <c r="F1816" s="25" t="e">
        <f t="shared" ca="1" si="262"/>
        <v>#VALUE!</v>
      </c>
      <c r="G1816" s="25"/>
      <c r="H1816" s="25" t="e">
        <f t="shared" si="257"/>
        <v>#VALUE!</v>
      </c>
      <c r="I1816" s="25">
        <f t="shared" si="263"/>
        <v>1301.9999999999704</v>
      </c>
      <c r="J1816" s="25" t="e">
        <f t="shared" si="264"/>
        <v>#VALUE!</v>
      </c>
    </row>
    <row r="1817" spans="1:10" x14ac:dyDescent="0.25">
      <c r="A1817" s="25">
        <f t="shared" si="265"/>
        <v>8.0299999999997045</v>
      </c>
      <c r="B1817" s="25">
        <f t="shared" ca="1" si="258"/>
        <v>-1.5610656223642855E-2</v>
      </c>
      <c r="C1817" s="25" t="e">
        <f t="shared" si="259"/>
        <v>#VALUE!</v>
      </c>
      <c r="D1817" s="74" t="e">
        <f t="shared" si="260"/>
        <v>#VALUE!</v>
      </c>
      <c r="E1817" s="25" t="e">
        <f t="shared" si="261"/>
        <v>#VALUE!</v>
      </c>
      <c r="F1817" s="25" t="e">
        <f t="shared" ca="1" si="262"/>
        <v>#VALUE!</v>
      </c>
      <c r="G1817" s="25"/>
      <c r="H1817" s="25" t="e">
        <f t="shared" si="257"/>
        <v>#VALUE!</v>
      </c>
      <c r="I1817" s="25">
        <f t="shared" si="263"/>
        <v>1302.9999999999704</v>
      </c>
      <c r="J1817" s="25" t="e">
        <f t="shared" si="264"/>
        <v>#VALUE!</v>
      </c>
    </row>
    <row r="1818" spans="1:10" x14ac:dyDescent="0.25">
      <c r="A1818" s="25">
        <f t="shared" si="265"/>
        <v>8.0399999999997043</v>
      </c>
      <c r="B1818" s="25">
        <f t="shared" ca="1" si="258"/>
        <v>-5.9367802265189791E-2</v>
      </c>
      <c r="C1818" s="25" t="e">
        <f t="shared" si="259"/>
        <v>#VALUE!</v>
      </c>
      <c r="D1818" s="74" t="e">
        <f t="shared" si="260"/>
        <v>#VALUE!</v>
      </c>
      <c r="E1818" s="25" t="e">
        <f t="shared" si="261"/>
        <v>#VALUE!</v>
      </c>
      <c r="F1818" s="25" t="e">
        <f t="shared" ca="1" si="262"/>
        <v>#VALUE!</v>
      </c>
      <c r="G1818" s="25"/>
      <c r="H1818" s="25" t="e">
        <f t="shared" si="257"/>
        <v>#VALUE!</v>
      </c>
      <c r="I1818" s="25">
        <f t="shared" si="263"/>
        <v>1303.9999999999704</v>
      </c>
      <c r="J1818" s="25" t="e">
        <f t="shared" si="264"/>
        <v>#VALUE!</v>
      </c>
    </row>
    <row r="1819" spans="1:10" x14ac:dyDescent="0.25">
      <c r="A1819" s="25">
        <f t="shared" si="265"/>
        <v>8.0499999999997041</v>
      </c>
      <c r="B1819" s="25">
        <f t="shared" ca="1" si="258"/>
        <v>8.1889433236307513E-2</v>
      </c>
      <c r="C1819" s="25" t="e">
        <f t="shared" si="259"/>
        <v>#VALUE!</v>
      </c>
      <c r="D1819" s="74" t="e">
        <f t="shared" si="260"/>
        <v>#VALUE!</v>
      </c>
      <c r="E1819" s="25" t="e">
        <f t="shared" si="261"/>
        <v>#VALUE!</v>
      </c>
      <c r="F1819" s="25" t="e">
        <f t="shared" ca="1" si="262"/>
        <v>#VALUE!</v>
      </c>
      <c r="G1819" s="25"/>
      <c r="H1819" s="25" t="e">
        <f t="shared" si="257"/>
        <v>#VALUE!</v>
      </c>
      <c r="I1819" s="25">
        <f t="shared" si="263"/>
        <v>1304.9999999999704</v>
      </c>
      <c r="J1819" s="25" t="e">
        <f t="shared" si="264"/>
        <v>#VALUE!</v>
      </c>
    </row>
    <row r="1820" spans="1:10" x14ac:dyDescent="0.25">
      <c r="A1820" s="25">
        <f t="shared" si="265"/>
        <v>8.0599999999997038</v>
      </c>
      <c r="B1820" s="25">
        <f t="shared" ca="1" si="258"/>
        <v>-0.16346659806768973</v>
      </c>
      <c r="C1820" s="25" t="e">
        <f t="shared" si="259"/>
        <v>#VALUE!</v>
      </c>
      <c r="D1820" s="74" t="e">
        <f t="shared" si="260"/>
        <v>#VALUE!</v>
      </c>
      <c r="E1820" s="25" t="e">
        <f t="shared" si="261"/>
        <v>#VALUE!</v>
      </c>
      <c r="F1820" s="25" t="e">
        <f t="shared" ca="1" si="262"/>
        <v>#VALUE!</v>
      </c>
      <c r="G1820" s="25"/>
      <c r="H1820" s="25" t="e">
        <f t="shared" si="257"/>
        <v>#VALUE!</v>
      </c>
      <c r="I1820" s="25">
        <f t="shared" si="263"/>
        <v>1305.9999999999704</v>
      </c>
      <c r="J1820" s="25" t="e">
        <f t="shared" si="264"/>
        <v>#VALUE!</v>
      </c>
    </row>
    <row r="1821" spans="1:10" x14ac:dyDescent="0.25">
      <c r="A1821" s="25">
        <f t="shared" si="265"/>
        <v>8.0699999999997036</v>
      </c>
      <c r="B1821" s="25">
        <f t="shared" ca="1" si="258"/>
        <v>3.8627554566762951E-2</v>
      </c>
      <c r="C1821" s="25" t="e">
        <f t="shared" si="259"/>
        <v>#VALUE!</v>
      </c>
      <c r="D1821" s="74" t="e">
        <f t="shared" si="260"/>
        <v>#VALUE!</v>
      </c>
      <c r="E1821" s="25" t="e">
        <f t="shared" si="261"/>
        <v>#VALUE!</v>
      </c>
      <c r="F1821" s="25" t="e">
        <f t="shared" ca="1" si="262"/>
        <v>#VALUE!</v>
      </c>
      <c r="G1821" s="25"/>
      <c r="H1821" s="25" t="e">
        <f t="shared" si="257"/>
        <v>#VALUE!</v>
      </c>
      <c r="I1821" s="25">
        <f t="shared" si="263"/>
        <v>1306.9999999999704</v>
      </c>
      <c r="J1821" s="25" t="e">
        <f t="shared" si="264"/>
        <v>#VALUE!</v>
      </c>
    </row>
    <row r="1822" spans="1:10" x14ac:dyDescent="0.25">
      <c r="A1822" s="25">
        <f t="shared" si="265"/>
        <v>8.0799999999997034</v>
      </c>
      <c r="B1822" s="25">
        <f t="shared" ca="1" si="258"/>
        <v>-0.13169019988330341</v>
      </c>
      <c r="C1822" s="25" t="e">
        <f t="shared" si="259"/>
        <v>#VALUE!</v>
      </c>
      <c r="D1822" s="74" t="e">
        <f t="shared" si="260"/>
        <v>#VALUE!</v>
      </c>
      <c r="E1822" s="25" t="e">
        <f t="shared" si="261"/>
        <v>#VALUE!</v>
      </c>
      <c r="F1822" s="25" t="e">
        <f t="shared" ca="1" si="262"/>
        <v>#VALUE!</v>
      </c>
      <c r="G1822" s="25"/>
      <c r="H1822" s="25" t="e">
        <f t="shared" ref="H1822:H1885" si="266">IF(PeakShape=$O$3,C1822,IF(PeakShape=O1824,D1822,E1822))</f>
        <v>#VALUE!</v>
      </c>
      <c r="I1822" s="25">
        <f t="shared" si="263"/>
        <v>1307.9999999999704</v>
      </c>
      <c r="J1822" s="25" t="e">
        <f t="shared" si="264"/>
        <v>#VALUE!</v>
      </c>
    </row>
    <row r="1823" spans="1:10" x14ac:dyDescent="0.25">
      <c r="A1823" s="25">
        <f t="shared" si="265"/>
        <v>8.0899999999997032</v>
      </c>
      <c r="B1823" s="25">
        <f t="shared" ca="1" si="258"/>
        <v>-0.13622379085535305</v>
      </c>
      <c r="C1823" s="25" t="e">
        <f t="shared" si="259"/>
        <v>#VALUE!</v>
      </c>
      <c r="D1823" s="74" t="e">
        <f t="shared" si="260"/>
        <v>#VALUE!</v>
      </c>
      <c r="E1823" s="25" t="e">
        <f t="shared" si="261"/>
        <v>#VALUE!</v>
      </c>
      <c r="F1823" s="25" t="e">
        <f t="shared" ca="1" si="262"/>
        <v>#VALUE!</v>
      </c>
      <c r="G1823" s="25"/>
      <c r="H1823" s="25" t="e">
        <f t="shared" si="266"/>
        <v>#VALUE!</v>
      </c>
      <c r="I1823" s="25">
        <f t="shared" si="263"/>
        <v>1308.9999999999704</v>
      </c>
      <c r="J1823" s="25" t="e">
        <f t="shared" si="264"/>
        <v>#VALUE!</v>
      </c>
    </row>
    <row r="1824" spans="1:10" x14ac:dyDescent="0.25">
      <c r="A1824" s="25">
        <f t="shared" si="265"/>
        <v>8.099999999999703</v>
      </c>
      <c r="B1824" s="25">
        <f t="shared" ca="1" si="258"/>
        <v>-8.4813284627298161E-2</v>
      </c>
      <c r="C1824" s="25" t="e">
        <f t="shared" si="259"/>
        <v>#VALUE!</v>
      </c>
      <c r="D1824" s="74" t="e">
        <f t="shared" si="260"/>
        <v>#VALUE!</v>
      </c>
      <c r="E1824" s="25" t="e">
        <f t="shared" si="261"/>
        <v>#VALUE!</v>
      </c>
      <c r="F1824" s="25" t="e">
        <f t="shared" ca="1" si="262"/>
        <v>#VALUE!</v>
      </c>
      <c r="G1824" s="25"/>
      <c r="H1824" s="25" t="e">
        <f t="shared" si="266"/>
        <v>#VALUE!</v>
      </c>
      <c r="I1824" s="25">
        <f t="shared" si="263"/>
        <v>1309.9999999999704</v>
      </c>
      <c r="J1824" s="25" t="e">
        <f t="shared" si="264"/>
        <v>#VALUE!</v>
      </c>
    </row>
    <row r="1825" spans="1:10" x14ac:dyDescent="0.25">
      <c r="A1825" s="25">
        <f t="shared" si="265"/>
        <v>8.1099999999997028</v>
      </c>
      <c r="B1825" s="25">
        <f t="shared" ca="1" si="258"/>
        <v>7.3881583056933181E-2</v>
      </c>
      <c r="C1825" s="25" t="e">
        <f t="shared" si="259"/>
        <v>#VALUE!</v>
      </c>
      <c r="D1825" s="74" t="e">
        <f t="shared" si="260"/>
        <v>#VALUE!</v>
      </c>
      <c r="E1825" s="25" t="e">
        <f t="shared" si="261"/>
        <v>#VALUE!</v>
      </c>
      <c r="F1825" s="25" t="e">
        <f t="shared" ca="1" si="262"/>
        <v>#VALUE!</v>
      </c>
      <c r="G1825" s="25"/>
      <c r="H1825" s="25" t="e">
        <f t="shared" si="266"/>
        <v>#VALUE!</v>
      </c>
      <c r="I1825" s="25">
        <f t="shared" si="263"/>
        <v>1310.9999999999704</v>
      </c>
      <c r="J1825" s="25" t="e">
        <f t="shared" si="264"/>
        <v>#VALUE!</v>
      </c>
    </row>
    <row r="1826" spans="1:10" x14ac:dyDescent="0.25">
      <c r="A1826" s="25">
        <f t="shared" si="265"/>
        <v>8.1199999999997026</v>
      </c>
      <c r="B1826" s="25">
        <f t="shared" ca="1" si="258"/>
        <v>1.1090320317248945E-2</v>
      </c>
      <c r="C1826" s="25" t="e">
        <f t="shared" si="259"/>
        <v>#VALUE!</v>
      </c>
      <c r="D1826" s="74" t="e">
        <f t="shared" si="260"/>
        <v>#VALUE!</v>
      </c>
      <c r="E1826" s="25" t="e">
        <f t="shared" si="261"/>
        <v>#VALUE!</v>
      </c>
      <c r="F1826" s="25" t="e">
        <f t="shared" ca="1" si="262"/>
        <v>#VALUE!</v>
      </c>
      <c r="G1826" s="25"/>
      <c r="H1826" s="25" t="e">
        <f t="shared" si="266"/>
        <v>#VALUE!</v>
      </c>
      <c r="I1826" s="25">
        <f t="shared" si="263"/>
        <v>1311.9999999999702</v>
      </c>
      <c r="J1826" s="25" t="e">
        <f t="shared" si="264"/>
        <v>#VALUE!</v>
      </c>
    </row>
    <row r="1827" spans="1:10" x14ac:dyDescent="0.25">
      <c r="A1827" s="25">
        <f t="shared" si="265"/>
        <v>8.1299999999997024</v>
      </c>
      <c r="B1827" s="25">
        <f t="shared" ca="1" si="258"/>
        <v>-0.10046921685171639</v>
      </c>
      <c r="C1827" s="25" t="e">
        <f t="shared" si="259"/>
        <v>#VALUE!</v>
      </c>
      <c r="D1827" s="74" t="e">
        <f t="shared" si="260"/>
        <v>#VALUE!</v>
      </c>
      <c r="E1827" s="25" t="e">
        <f t="shared" si="261"/>
        <v>#VALUE!</v>
      </c>
      <c r="F1827" s="25" t="e">
        <f t="shared" ca="1" si="262"/>
        <v>#VALUE!</v>
      </c>
      <c r="G1827" s="25"/>
      <c r="H1827" s="25" t="e">
        <f t="shared" si="266"/>
        <v>#VALUE!</v>
      </c>
      <c r="I1827" s="25">
        <f t="shared" si="263"/>
        <v>1312.9999999999702</v>
      </c>
      <c r="J1827" s="25" t="e">
        <f t="shared" si="264"/>
        <v>#VALUE!</v>
      </c>
    </row>
    <row r="1828" spans="1:10" x14ac:dyDescent="0.25">
      <c r="A1828" s="25">
        <f t="shared" si="265"/>
        <v>8.1399999999997021</v>
      </c>
      <c r="B1828" s="25">
        <f t="shared" ca="1" si="258"/>
        <v>-2.0193687926886406E-2</v>
      </c>
      <c r="C1828" s="25" t="e">
        <f t="shared" si="259"/>
        <v>#VALUE!</v>
      </c>
      <c r="D1828" s="74" t="e">
        <f t="shared" si="260"/>
        <v>#VALUE!</v>
      </c>
      <c r="E1828" s="25" t="e">
        <f t="shared" si="261"/>
        <v>#VALUE!</v>
      </c>
      <c r="F1828" s="25" t="e">
        <f t="shared" ca="1" si="262"/>
        <v>#VALUE!</v>
      </c>
      <c r="G1828" s="25"/>
      <c r="H1828" s="25" t="e">
        <f t="shared" si="266"/>
        <v>#VALUE!</v>
      </c>
      <c r="I1828" s="25">
        <f t="shared" si="263"/>
        <v>1313.9999999999702</v>
      </c>
      <c r="J1828" s="25" t="e">
        <f t="shared" si="264"/>
        <v>#VALUE!</v>
      </c>
    </row>
    <row r="1829" spans="1:10" x14ac:dyDescent="0.25">
      <c r="A1829" s="25">
        <f t="shared" si="265"/>
        <v>8.1499999999997019</v>
      </c>
      <c r="B1829" s="25">
        <f t="shared" ca="1" si="258"/>
        <v>-5.3092886244678244E-3</v>
      </c>
      <c r="C1829" s="25" t="e">
        <f t="shared" si="259"/>
        <v>#VALUE!</v>
      </c>
      <c r="D1829" s="74" t="e">
        <f t="shared" si="260"/>
        <v>#VALUE!</v>
      </c>
      <c r="E1829" s="25" t="e">
        <f t="shared" si="261"/>
        <v>#VALUE!</v>
      </c>
      <c r="F1829" s="25" t="e">
        <f t="shared" ca="1" si="262"/>
        <v>#VALUE!</v>
      </c>
      <c r="G1829" s="25"/>
      <c r="H1829" s="25" t="e">
        <f t="shared" si="266"/>
        <v>#VALUE!</v>
      </c>
      <c r="I1829" s="25">
        <f t="shared" si="263"/>
        <v>1314.9999999999702</v>
      </c>
      <c r="J1829" s="25" t="e">
        <f t="shared" si="264"/>
        <v>#VALUE!</v>
      </c>
    </row>
    <row r="1830" spans="1:10" x14ac:dyDescent="0.25">
      <c r="A1830" s="25">
        <f t="shared" si="265"/>
        <v>8.1599999999997017</v>
      </c>
      <c r="B1830" s="25">
        <f t="shared" ca="1" si="258"/>
        <v>-5.6207353012742683E-2</v>
      </c>
      <c r="C1830" s="25" t="e">
        <f t="shared" si="259"/>
        <v>#VALUE!</v>
      </c>
      <c r="D1830" s="74" t="e">
        <f t="shared" si="260"/>
        <v>#VALUE!</v>
      </c>
      <c r="E1830" s="25" t="e">
        <f t="shared" si="261"/>
        <v>#VALUE!</v>
      </c>
      <c r="F1830" s="25" t="e">
        <f t="shared" ca="1" si="262"/>
        <v>#VALUE!</v>
      </c>
      <c r="G1830" s="25"/>
      <c r="H1830" s="25" t="e">
        <f t="shared" si="266"/>
        <v>#VALUE!</v>
      </c>
      <c r="I1830" s="25">
        <f t="shared" si="263"/>
        <v>1315.9999999999702</v>
      </c>
      <c r="J1830" s="25" t="e">
        <f t="shared" si="264"/>
        <v>#VALUE!</v>
      </c>
    </row>
    <row r="1831" spans="1:10" x14ac:dyDescent="0.25">
      <c r="A1831" s="25">
        <f t="shared" si="265"/>
        <v>8.1699999999997015</v>
      </c>
      <c r="B1831" s="25">
        <f t="shared" ca="1" si="258"/>
        <v>4.5371116358809256E-2</v>
      </c>
      <c r="C1831" s="25" t="e">
        <f t="shared" si="259"/>
        <v>#VALUE!</v>
      </c>
      <c r="D1831" s="74" t="e">
        <f t="shared" si="260"/>
        <v>#VALUE!</v>
      </c>
      <c r="E1831" s="25" t="e">
        <f t="shared" si="261"/>
        <v>#VALUE!</v>
      </c>
      <c r="F1831" s="25" t="e">
        <f t="shared" ca="1" si="262"/>
        <v>#VALUE!</v>
      </c>
      <c r="G1831" s="25"/>
      <c r="H1831" s="25" t="e">
        <f t="shared" si="266"/>
        <v>#VALUE!</v>
      </c>
      <c r="I1831" s="25">
        <f t="shared" si="263"/>
        <v>1316.9999999999702</v>
      </c>
      <c r="J1831" s="25" t="e">
        <f t="shared" si="264"/>
        <v>#VALUE!</v>
      </c>
    </row>
    <row r="1832" spans="1:10" x14ac:dyDescent="0.25">
      <c r="A1832" s="25">
        <f t="shared" si="265"/>
        <v>8.1799999999997013</v>
      </c>
      <c r="B1832" s="25">
        <f t="shared" ca="1" si="258"/>
        <v>7.403405462565063E-2</v>
      </c>
      <c r="C1832" s="25" t="e">
        <f t="shared" si="259"/>
        <v>#VALUE!</v>
      </c>
      <c r="D1832" s="74" t="e">
        <f t="shared" si="260"/>
        <v>#VALUE!</v>
      </c>
      <c r="E1832" s="25" t="e">
        <f t="shared" si="261"/>
        <v>#VALUE!</v>
      </c>
      <c r="F1832" s="25" t="e">
        <f t="shared" ca="1" si="262"/>
        <v>#VALUE!</v>
      </c>
      <c r="G1832" s="25"/>
      <c r="H1832" s="25" t="e">
        <f t="shared" si="266"/>
        <v>#VALUE!</v>
      </c>
      <c r="I1832" s="25">
        <f t="shared" si="263"/>
        <v>1317.9999999999702</v>
      </c>
      <c r="J1832" s="25" t="e">
        <f t="shared" si="264"/>
        <v>#VALUE!</v>
      </c>
    </row>
    <row r="1833" spans="1:10" x14ac:dyDescent="0.25">
      <c r="A1833" s="25">
        <f t="shared" si="265"/>
        <v>8.1899999999997011</v>
      </c>
      <c r="B1833" s="25">
        <f t="shared" ca="1" si="258"/>
        <v>-3.5680268834892954E-2</v>
      </c>
      <c r="C1833" s="25" t="e">
        <f t="shared" si="259"/>
        <v>#VALUE!</v>
      </c>
      <c r="D1833" s="74" t="e">
        <f t="shared" si="260"/>
        <v>#VALUE!</v>
      </c>
      <c r="E1833" s="25" t="e">
        <f t="shared" si="261"/>
        <v>#VALUE!</v>
      </c>
      <c r="F1833" s="25" t="e">
        <f t="shared" ca="1" si="262"/>
        <v>#VALUE!</v>
      </c>
      <c r="G1833" s="25"/>
      <c r="H1833" s="25" t="e">
        <f t="shared" si="266"/>
        <v>#VALUE!</v>
      </c>
      <c r="I1833" s="25">
        <f t="shared" si="263"/>
        <v>1318.9999999999702</v>
      </c>
      <c r="J1833" s="25" t="e">
        <f t="shared" si="264"/>
        <v>#VALUE!</v>
      </c>
    </row>
    <row r="1834" spans="1:10" x14ac:dyDescent="0.25">
      <c r="A1834" s="25">
        <f t="shared" si="265"/>
        <v>8.1999999999997009</v>
      </c>
      <c r="B1834" s="25">
        <f t="shared" ca="1" si="258"/>
        <v>-4.6504127356078791E-2</v>
      </c>
      <c r="C1834" s="25" t="e">
        <f t="shared" si="259"/>
        <v>#VALUE!</v>
      </c>
      <c r="D1834" s="74" t="e">
        <f t="shared" si="260"/>
        <v>#VALUE!</v>
      </c>
      <c r="E1834" s="25" t="e">
        <f t="shared" si="261"/>
        <v>#VALUE!</v>
      </c>
      <c r="F1834" s="25" t="e">
        <f t="shared" ca="1" si="262"/>
        <v>#VALUE!</v>
      </c>
      <c r="G1834" s="25"/>
      <c r="H1834" s="25" t="e">
        <f t="shared" si="266"/>
        <v>#VALUE!</v>
      </c>
      <c r="I1834" s="25">
        <f t="shared" si="263"/>
        <v>1319.9999999999702</v>
      </c>
      <c r="J1834" s="25" t="e">
        <f t="shared" si="264"/>
        <v>#VALUE!</v>
      </c>
    </row>
    <row r="1835" spans="1:10" x14ac:dyDescent="0.25">
      <c r="A1835" s="25">
        <f t="shared" si="265"/>
        <v>8.2099999999997006</v>
      </c>
      <c r="B1835" s="25">
        <f t="shared" ca="1" si="258"/>
        <v>-0.18889367547915978</v>
      </c>
      <c r="C1835" s="25" t="e">
        <f t="shared" si="259"/>
        <v>#VALUE!</v>
      </c>
      <c r="D1835" s="74" t="e">
        <f t="shared" si="260"/>
        <v>#VALUE!</v>
      </c>
      <c r="E1835" s="25" t="e">
        <f t="shared" si="261"/>
        <v>#VALUE!</v>
      </c>
      <c r="F1835" s="25" t="e">
        <f t="shared" ca="1" si="262"/>
        <v>#VALUE!</v>
      </c>
      <c r="G1835" s="25"/>
      <c r="H1835" s="25" t="e">
        <f t="shared" si="266"/>
        <v>#VALUE!</v>
      </c>
      <c r="I1835" s="25">
        <f t="shared" si="263"/>
        <v>1320.99999999997</v>
      </c>
      <c r="J1835" s="25" t="e">
        <f t="shared" si="264"/>
        <v>#VALUE!</v>
      </c>
    </row>
    <row r="1836" spans="1:10" x14ac:dyDescent="0.25">
      <c r="A1836" s="25">
        <f t="shared" si="265"/>
        <v>8.2199999999997004</v>
      </c>
      <c r="B1836" s="25">
        <f t="shared" ca="1" si="258"/>
        <v>-7.1729357472062411E-2</v>
      </c>
      <c r="C1836" s="25" t="e">
        <f t="shared" si="259"/>
        <v>#VALUE!</v>
      </c>
      <c r="D1836" s="74" t="e">
        <f t="shared" si="260"/>
        <v>#VALUE!</v>
      </c>
      <c r="E1836" s="25" t="e">
        <f t="shared" si="261"/>
        <v>#VALUE!</v>
      </c>
      <c r="F1836" s="25" t="e">
        <f t="shared" ca="1" si="262"/>
        <v>#VALUE!</v>
      </c>
      <c r="G1836" s="25"/>
      <c r="H1836" s="25" t="e">
        <f t="shared" si="266"/>
        <v>#VALUE!</v>
      </c>
      <c r="I1836" s="25">
        <f t="shared" si="263"/>
        <v>1321.99999999997</v>
      </c>
      <c r="J1836" s="25" t="e">
        <f t="shared" si="264"/>
        <v>#VALUE!</v>
      </c>
    </row>
    <row r="1837" spans="1:10" x14ac:dyDescent="0.25">
      <c r="A1837" s="25">
        <f t="shared" si="265"/>
        <v>8.2299999999997002</v>
      </c>
      <c r="B1837" s="25">
        <f t="shared" ca="1" si="258"/>
        <v>-0.10248425070787615</v>
      </c>
      <c r="C1837" s="25" t="e">
        <f t="shared" si="259"/>
        <v>#VALUE!</v>
      </c>
      <c r="D1837" s="74" t="e">
        <f t="shared" si="260"/>
        <v>#VALUE!</v>
      </c>
      <c r="E1837" s="25" t="e">
        <f t="shared" si="261"/>
        <v>#VALUE!</v>
      </c>
      <c r="F1837" s="25" t="e">
        <f t="shared" ca="1" si="262"/>
        <v>#VALUE!</v>
      </c>
      <c r="G1837" s="25"/>
      <c r="H1837" s="25" t="e">
        <f t="shared" si="266"/>
        <v>#VALUE!</v>
      </c>
      <c r="I1837" s="25">
        <f t="shared" si="263"/>
        <v>1322.99999999997</v>
      </c>
      <c r="J1837" s="25" t="e">
        <f t="shared" si="264"/>
        <v>#VALUE!</v>
      </c>
    </row>
    <row r="1838" spans="1:10" x14ac:dyDescent="0.25">
      <c r="A1838" s="25">
        <f t="shared" si="265"/>
        <v>8.2399999999997</v>
      </c>
      <c r="B1838" s="25">
        <f t="shared" ca="1" si="258"/>
        <v>-0.17721814656745682</v>
      </c>
      <c r="C1838" s="25" t="e">
        <f t="shared" si="259"/>
        <v>#VALUE!</v>
      </c>
      <c r="D1838" s="74" t="e">
        <f t="shared" si="260"/>
        <v>#VALUE!</v>
      </c>
      <c r="E1838" s="25" t="e">
        <f t="shared" si="261"/>
        <v>#VALUE!</v>
      </c>
      <c r="F1838" s="25" t="e">
        <f t="shared" ca="1" si="262"/>
        <v>#VALUE!</v>
      </c>
      <c r="G1838" s="25"/>
      <c r="H1838" s="25" t="e">
        <f t="shared" si="266"/>
        <v>#VALUE!</v>
      </c>
      <c r="I1838" s="25">
        <f t="shared" si="263"/>
        <v>1323.99999999997</v>
      </c>
      <c r="J1838" s="25" t="e">
        <f t="shared" si="264"/>
        <v>#VALUE!</v>
      </c>
    </row>
    <row r="1839" spans="1:10" x14ac:dyDescent="0.25">
      <c r="A1839" s="25">
        <f t="shared" si="265"/>
        <v>8.2499999999996998</v>
      </c>
      <c r="B1839" s="25">
        <f t="shared" ca="1" si="258"/>
        <v>8.8154620207391468E-2</v>
      </c>
      <c r="C1839" s="25" t="e">
        <f t="shared" si="259"/>
        <v>#VALUE!</v>
      </c>
      <c r="D1839" s="74" t="e">
        <f t="shared" si="260"/>
        <v>#VALUE!</v>
      </c>
      <c r="E1839" s="25" t="e">
        <f t="shared" si="261"/>
        <v>#VALUE!</v>
      </c>
      <c r="F1839" s="25" t="e">
        <f t="shared" ca="1" si="262"/>
        <v>#VALUE!</v>
      </c>
      <c r="G1839" s="25"/>
      <c r="H1839" s="25" t="e">
        <f t="shared" si="266"/>
        <v>#VALUE!</v>
      </c>
      <c r="I1839" s="25">
        <f t="shared" si="263"/>
        <v>1324.99999999997</v>
      </c>
      <c r="J1839" s="25" t="e">
        <f t="shared" si="264"/>
        <v>#VALUE!</v>
      </c>
    </row>
    <row r="1840" spans="1:10" x14ac:dyDescent="0.25">
      <c r="A1840" s="25">
        <f t="shared" si="265"/>
        <v>8.2599999999996996</v>
      </c>
      <c r="B1840" s="25">
        <f t="shared" ca="1" si="258"/>
        <v>-0.1305845523278287</v>
      </c>
      <c r="C1840" s="25" t="e">
        <f t="shared" si="259"/>
        <v>#VALUE!</v>
      </c>
      <c r="D1840" s="74" t="e">
        <f t="shared" si="260"/>
        <v>#VALUE!</v>
      </c>
      <c r="E1840" s="25" t="e">
        <f t="shared" si="261"/>
        <v>#VALUE!</v>
      </c>
      <c r="F1840" s="25" t="e">
        <f t="shared" ca="1" si="262"/>
        <v>#VALUE!</v>
      </c>
      <c r="G1840" s="25"/>
      <c r="H1840" s="25" t="e">
        <f t="shared" si="266"/>
        <v>#VALUE!</v>
      </c>
      <c r="I1840" s="25">
        <f t="shared" si="263"/>
        <v>1325.99999999997</v>
      </c>
      <c r="J1840" s="25" t="e">
        <f t="shared" si="264"/>
        <v>#VALUE!</v>
      </c>
    </row>
    <row r="1841" spans="1:10" x14ac:dyDescent="0.25">
      <c r="A1841" s="25">
        <f t="shared" si="265"/>
        <v>8.2699999999996994</v>
      </c>
      <c r="B1841" s="25">
        <f t="shared" ca="1" si="258"/>
        <v>-8.6300893973976486E-2</v>
      </c>
      <c r="C1841" s="25" t="e">
        <f t="shared" si="259"/>
        <v>#VALUE!</v>
      </c>
      <c r="D1841" s="74" t="e">
        <f t="shared" si="260"/>
        <v>#VALUE!</v>
      </c>
      <c r="E1841" s="25" t="e">
        <f t="shared" si="261"/>
        <v>#VALUE!</v>
      </c>
      <c r="F1841" s="25" t="e">
        <f t="shared" ca="1" si="262"/>
        <v>#VALUE!</v>
      </c>
      <c r="G1841" s="25"/>
      <c r="H1841" s="25" t="e">
        <f t="shared" si="266"/>
        <v>#VALUE!</v>
      </c>
      <c r="I1841" s="25">
        <f t="shared" si="263"/>
        <v>1326.99999999997</v>
      </c>
      <c r="J1841" s="25" t="e">
        <f t="shared" si="264"/>
        <v>#VALUE!</v>
      </c>
    </row>
    <row r="1842" spans="1:10" x14ac:dyDescent="0.25">
      <c r="A1842" s="25">
        <f t="shared" si="265"/>
        <v>8.2799999999996992</v>
      </c>
      <c r="B1842" s="25">
        <f t="shared" ca="1" si="258"/>
        <v>9.7388279249504883E-2</v>
      </c>
      <c r="C1842" s="25" t="e">
        <f t="shared" si="259"/>
        <v>#VALUE!</v>
      </c>
      <c r="D1842" s="74" t="e">
        <f t="shared" si="260"/>
        <v>#VALUE!</v>
      </c>
      <c r="E1842" s="25" t="e">
        <f t="shared" si="261"/>
        <v>#VALUE!</v>
      </c>
      <c r="F1842" s="25" t="e">
        <f t="shared" ca="1" si="262"/>
        <v>#VALUE!</v>
      </c>
      <c r="G1842" s="25"/>
      <c r="H1842" s="25" t="e">
        <f t="shared" si="266"/>
        <v>#VALUE!</v>
      </c>
      <c r="I1842" s="25">
        <f t="shared" si="263"/>
        <v>1327.99999999997</v>
      </c>
      <c r="J1842" s="25" t="e">
        <f t="shared" si="264"/>
        <v>#VALUE!</v>
      </c>
    </row>
    <row r="1843" spans="1:10" x14ac:dyDescent="0.25">
      <c r="A1843" s="25">
        <f t="shared" si="265"/>
        <v>8.2899999999996989</v>
      </c>
      <c r="B1843" s="25">
        <f t="shared" ca="1" si="258"/>
        <v>-1.2493681027041487E-2</v>
      </c>
      <c r="C1843" s="25" t="e">
        <f t="shared" si="259"/>
        <v>#VALUE!</v>
      </c>
      <c r="D1843" s="74" t="e">
        <f t="shared" si="260"/>
        <v>#VALUE!</v>
      </c>
      <c r="E1843" s="25" t="e">
        <f t="shared" si="261"/>
        <v>#VALUE!</v>
      </c>
      <c r="F1843" s="25" t="e">
        <f t="shared" ca="1" si="262"/>
        <v>#VALUE!</v>
      </c>
      <c r="G1843" s="25"/>
      <c r="H1843" s="25" t="e">
        <f t="shared" si="266"/>
        <v>#VALUE!</v>
      </c>
      <c r="I1843" s="25">
        <f t="shared" si="263"/>
        <v>1328.9999999999698</v>
      </c>
      <c r="J1843" s="25" t="e">
        <f t="shared" si="264"/>
        <v>#VALUE!</v>
      </c>
    </row>
    <row r="1844" spans="1:10" x14ac:dyDescent="0.25">
      <c r="A1844" s="25">
        <f t="shared" si="265"/>
        <v>8.2999999999996987</v>
      </c>
      <c r="B1844" s="25">
        <f t="shared" ca="1" si="258"/>
        <v>4.6840236635726701E-2</v>
      </c>
      <c r="C1844" s="25" t="e">
        <f t="shared" si="259"/>
        <v>#VALUE!</v>
      </c>
      <c r="D1844" s="74" t="e">
        <f t="shared" si="260"/>
        <v>#VALUE!</v>
      </c>
      <c r="E1844" s="25" t="e">
        <f t="shared" si="261"/>
        <v>#VALUE!</v>
      </c>
      <c r="F1844" s="25" t="e">
        <f t="shared" ca="1" si="262"/>
        <v>#VALUE!</v>
      </c>
      <c r="G1844" s="25"/>
      <c r="H1844" s="25" t="e">
        <f t="shared" si="266"/>
        <v>#VALUE!</v>
      </c>
      <c r="I1844" s="25">
        <f t="shared" si="263"/>
        <v>1329.9999999999698</v>
      </c>
      <c r="J1844" s="25" t="e">
        <f t="shared" si="264"/>
        <v>#VALUE!</v>
      </c>
    </row>
    <row r="1845" spans="1:10" x14ac:dyDescent="0.25">
      <c r="A1845" s="25">
        <f t="shared" si="265"/>
        <v>8.3099999999996985</v>
      </c>
      <c r="B1845" s="25">
        <f t="shared" ca="1" si="258"/>
        <v>-0.10079604323428031</v>
      </c>
      <c r="C1845" s="25" t="e">
        <f t="shared" si="259"/>
        <v>#VALUE!</v>
      </c>
      <c r="D1845" s="74" t="e">
        <f t="shared" si="260"/>
        <v>#VALUE!</v>
      </c>
      <c r="E1845" s="25" t="e">
        <f t="shared" si="261"/>
        <v>#VALUE!</v>
      </c>
      <c r="F1845" s="25" t="e">
        <f t="shared" ca="1" si="262"/>
        <v>#VALUE!</v>
      </c>
      <c r="G1845" s="25"/>
      <c r="H1845" s="25" t="e">
        <f t="shared" si="266"/>
        <v>#VALUE!</v>
      </c>
      <c r="I1845" s="25">
        <f t="shared" si="263"/>
        <v>1330.9999999999698</v>
      </c>
      <c r="J1845" s="25" t="e">
        <f t="shared" si="264"/>
        <v>#VALUE!</v>
      </c>
    </row>
    <row r="1846" spans="1:10" x14ac:dyDescent="0.25">
      <c r="A1846" s="25">
        <f t="shared" si="265"/>
        <v>8.3199999999996983</v>
      </c>
      <c r="B1846" s="25">
        <f t="shared" ca="1" si="258"/>
        <v>-4.5717226638318426E-2</v>
      </c>
      <c r="C1846" s="25" t="e">
        <f t="shared" si="259"/>
        <v>#VALUE!</v>
      </c>
      <c r="D1846" s="74" t="e">
        <f t="shared" si="260"/>
        <v>#VALUE!</v>
      </c>
      <c r="E1846" s="25" t="e">
        <f t="shared" si="261"/>
        <v>#VALUE!</v>
      </c>
      <c r="F1846" s="25" t="e">
        <f t="shared" ca="1" si="262"/>
        <v>#VALUE!</v>
      </c>
      <c r="G1846" s="25"/>
      <c r="H1846" s="25" t="e">
        <f t="shared" si="266"/>
        <v>#VALUE!</v>
      </c>
      <c r="I1846" s="25">
        <f t="shared" si="263"/>
        <v>1331.9999999999698</v>
      </c>
      <c r="J1846" s="25" t="e">
        <f t="shared" si="264"/>
        <v>#VALUE!</v>
      </c>
    </row>
    <row r="1847" spans="1:10" x14ac:dyDescent="0.25">
      <c r="A1847" s="25">
        <f t="shared" si="265"/>
        <v>8.3299999999996981</v>
      </c>
      <c r="B1847" s="25">
        <f t="shared" ca="1" si="258"/>
        <v>-0.10874770551724273</v>
      </c>
      <c r="C1847" s="25" t="e">
        <f t="shared" si="259"/>
        <v>#VALUE!</v>
      </c>
      <c r="D1847" s="74" t="e">
        <f t="shared" si="260"/>
        <v>#VALUE!</v>
      </c>
      <c r="E1847" s="25" t="e">
        <f t="shared" si="261"/>
        <v>#VALUE!</v>
      </c>
      <c r="F1847" s="25" t="e">
        <f t="shared" ca="1" si="262"/>
        <v>#VALUE!</v>
      </c>
      <c r="G1847" s="25"/>
      <c r="H1847" s="25" t="e">
        <f t="shared" si="266"/>
        <v>#VALUE!</v>
      </c>
      <c r="I1847" s="25">
        <f t="shared" si="263"/>
        <v>1332.9999999999698</v>
      </c>
      <c r="J1847" s="25" t="e">
        <f t="shared" si="264"/>
        <v>#VALUE!</v>
      </c>
    </row>
    <row r="1848" spans="1:10" x14ac:dyDescent="0.25">
      <c r="A1848" s="25">
        <f t="shared" si="265"/>
        <v>8.3399999999996979</v>
      </c>
      <c r="B1848" s="25">
        <f t="shared" ca="1" si="258"/>
        <v>-8.6780768104225456E-2</v>
      </c>
      <c r="C1848" s="25" t="e">
        <f t="shared" si="259"/>
        <v>#VALUE!</v>
      </c>
      <c r="D1848" s="74" t="e">
        <f t="shared" si="260"/>
        <v>#VALUE!</v>
      </c>
      <c r="E1848" s="25" t="e">
        <f t="shared" si="261"/>
        <v>#VALUE!</v>
      </c>
      <c r="F1848" s="25" t="e">
        <f t="shared" ca="1" si="262"/>
        <v>#VALUE!</v>
      </c>
      <c r="G1848" s="25"/>
      <c r="H1848" s="25" t="e">
        <f t="shared" si="266"/>
        <v>#VALUE!</v>
      </c>
      <c r="I1848" s="25">
        <f t="shared" si="263"/>
        <v>1333.9999999999698</v>
      </c>
      <c r="J1848" s="25" t="e">
        <f t="shared" si="264"/>
        <v>#VALUE!</v>
      </c>
    </row>
    <row r="1849" spans="1:10" x14ac:dyDescent="0.25">
      <c r="A1849" s="25">
        <f t="shared" si="265"/>
        <v>8.3499999999996977</v>
      </c>
      <c r="B1849" s="25">
        <f t="shared" ca="1" si="258"/>
        <v>-7.3752906328529502E-2</v>
      </c>
      <c r="C1849" s="25" t="e">
        <f t="shared" si="259"/>
        <v>#VALUE!</v>
      </c>
      <c r="D1849" s="74" t="e">
        <f t="shared" si="260"/>
        <v>#VALUE!</v>
      </c>
      <c r="E1849" s="25" t="e">
        <f t="shared" si="261"/>
        <v>#VALUE!</v>
      </c>
      <c r="F1849" s="25" t="e">
        <f t="shared" ca="1" si="262"/>
        <v>#VALUE!</v>
      </c>
      <c r="G1849" s="25"/>
      <c r="H1849" s="25" t="e">
        <f t="shared" si="266"/>
        <v>#VALUE!</v>
      </c>
      <c r="I1849" s="25">
        <f t="shared" si="263"/>
        <v>1334.9999999999698</v>
      </c>
      <c r="J1849" s="25" t="e">
        <f t="shared" si="264"/>
        <v>#VALUE!</v>
      </c>
    </row>
    <row r="1850" spans="1:10" x14ac:dyDescent="0.25">
      <c r="A1850" s="25">
        <f t="shared" si="265"/>
        <v>8.3599999999996975</v>
      </c>
      <c r="B1850" s="25">
        <f t="shared" ca="1" si="258"/>
        <v>3.4365311407926785E-2</v>
      </c>
      <c r="C1850" s="25" t="e">
        <f t="shared" si="259"/>
        <v>#VALUE!</v>
      </c>
      <c r="D1850" s="74" t="e">
        <f t="shared" si="260"/>
        <v>#VALUE!</v>
      </c>
      <c r="E1850" s="25" t="e">
        <f t="shared" si="261"/>
        <v>#VALUE!</v>
      </c>
      <c r="F1850" s="25" t="e">
        <f t="shared" ca="1" si="262"/>
        <v>#VALUE!</v>
      </c>
      <c r="G1850" s="25"/>
      <c r="H1850" s="25" t="e">
        <f t="shared" si="266"/>
        <v>#VALUE!</v>
      </c>
      <c r="I1850" s="25">
        <f t="shared" si="263"/>
        <v>1335.9999999999698</v>
      </c>
      <c r="J1850" s="25" t="e">
        <f t="shared" si="264"/>
        <v>#VALUE!</v>
      </c>
    </row>
    <row r="1851" spans="1:10" x14ac:dyDescent="0.25">
      <c r="A1851" s="25">
        <f t="shared" si="265"/>
        <v>8.3699999999996972</v>
      </c>
      <c r="B1851" s="25">
        <f t="shared" ca="1" si="258"/>
        <v>0.1255363122352692</v>
      </c>
      <c r="C1851" s="25" t="e">
        <f t="shared" si="259"/>
        <v>#VALUE!</v>
      </c>
      <c r="D1851" s="74" t="e">
        <f t="shared" si="260"/>
        <v>#VALUE!</v>
      </c>
      <c r="E1851" s="25" t="e">
        <f t="shared" si="261"/>
        <v>#VALUE!</v>
      </c>
      <c r="F1851" s="25" t="e">
        <f t="shared" ca="1" si="262"/>
        <v>#VALUE!</v>
      </c>
      <c r="G1851" s="25"/>
      <c r="H1851" s="25" t="e">
        <f t="shared" si="266"/>
        <v>#VALUE!</v>
      </c>
      <c r="I1851" s="25">
        <f t="shared" si="263"/>
        <v>1336.9999999999698</v>
      </c>
      <c r="J1851" s="25" t="e">
        <f t="shared" si="264"/>
        <v>#VALUE!</v>
      </c>
    </row>
    <row r="1852" spans="1:10" x14ac:dyDescent="0.25">
      <c r="A1852" s="25">
        <f t="shared" si="265"/>
        <v>8.379999999999697</v>
      </c>
      <c r="B1852" s="25">
        <f t="shared" ca="1" si="258"/>
        <v>1.7671644670000958E-2</v>
      </c>
      <c r="C1852" s="25" t="e">
        <f t="shared" si="259"/>
        <v>#VALUE!</v>
      </c>
      <c r="D1852" s="74" t="e">
        <f t="shared" si="260"/>
        <v>#VALUE!</v>
      </c>
      <c r="E1852" s="25" t="e">
        <f t="shared" si="261"/>
        <v>#VALUE!</v>
      </c>
      <c r="F1852" s="25" t="e">
        <f t="shared" ca="1" si="262"/>
        <v>#VALUE!</v>
      </c>
      <c r="G1852" s="25"/>
      <c r="H1852" s="25" t="e">
        <f t="shared" si="266"/>
        <v>#VALUE!</v>
      </c>
      <c r="I1852" s="25">
        <f t="shared" si="263"/>
        <v>1337.9999999999695</v>
      </c>
      <c r="J1852" s="25" t="e">
        <f t="shared" si="264"/>
        <v>#VALUE!</v>
      </c>
    </row>
    <row r="1853" spans="1:10" x14ac:dyDescent="0.25">
      <c r="A1853" s="25">
        <f t="shared" si="265"/>
        <v>8.3899999999996968</v>
      </c>
      <c r="B1853" s="25">
        <f t="shared" ca="1" si="258"/>
        <v>-2.9895135004624641E-2</v>
      </c>
      <c r="C1853" s="25" t="e">
        <f t="shared" si="259"/>
        <v>#VALUE!</v>
      </c>
      <c r="D1853" s="74" t="e">
        <f t="shared" si="260"/>
        <v>#VALUE!</v>
      </c>
      <c r="E1853" s="25" t="e">
        <f t="shared" si="261"/>
        <v>#VALUE!</v>
      </c>
      <c r="F1853" s="25" t="e">
        <f t="shared" ca="1" si="262"/>
        <v>#VALUE!</v>
      </c>
      <c r="G1853" s="25"/>
      <c r="H1853" s="25" t="e">
        <f t="shared" si="266"/>
        <v>#VALUE!</v>
      </c>
      <c r="I1853" s="25">
        <f t="shared" si="263"/>
        <v>1338.9999999999695</v>
      </c>
      <c r="J1853" s="25" t="e">
        <f t="shared" si="264"/>
        <v>#VALUE!</v>
      </c>
    </row>
    <row r="1854" spans="1:10" x14ac:dyDescent="0.25">
      <c r="A1854" s="25">
        <f t="shared" si="265"/>
        <v>8.3999999999996966</v>
      </c>
      <c r="B1854" s="25">
        <f t="shared" ca="1" si="258"/>
        <v>-6.3940191653308123E-2</v>
      </c>
      <c r="C1854" s="25" t="e">
        <f t="shared" si="259"/>
        <v>#VALUE!</v>
      </c>
      <c r="D1854" s="74" t="e">
        <f t="shared" si="260"/>
        <v>#VALUE!</v>
      </c>
      <c r="E1854" s="25" t="e">
        <f t="shared" si="261"/>
        <v>#VALUE!</v>
      </c>
      <c r="F1854" s="25" t="e">
        <f t="shared" ca="1" si="262"/>
        <v>#VALUE!</v>
      </c>
      <c r="G1854" s="25"/>
      <c r="H1854" s="25" t="e">
        <f t="shared" si="266"/>
        <v>#VALUE!</v>
      </c>
      <c r="I1854" s="25">
        <f t="shared" si="263"/>
        <v>1339.9999999999695</v>
      </c>
      <c r="J1854" s="25" t="e">
        <f t="shared" si="264"/>
        <v>#VALUE!</v>
      </c>
    </row>
    <row r="1855" spans="1:10" x14ac:dyDescent="0.25">
      <c r="A1855" s="25">
        <f t="shared" si="265"/>
        <v>8.4099999999996964</v>
      </c>
      <c r="B1855" s="25">
        <f t="shared" ca="1" si="258"/>
        <v>-4.586065401903548E-3</v>
      </c>
      <c r="C1855" s="25" t="e">
        <f t="shared" si="259"/>
        <v>#VALUE!</v>
      </c>
      <c r="D1855" s="74" t="e">
        <f t="shared" si="260"/>
        <v>#VALUE!</v>
      </c>
      <c r="E1855" s="25" t="e">
        <f t="shared" si="261"/>
        <v>#VALUE!</v>
      </c>
      <c r="F1855" s="25" t="e">
        <f t="shared" ca="1" si="262"/>
        <v>#VALUE!</v>
      </c>
      <c r="G1855" s="25"/>
      <c r="H1855" s="25" t="e">
        <f t="shared" si="266"/>
        <v>#VALUE!</v>
      </c>
      <c r="I1855" s="25">
        <f t="shared" si="263"/>
        <v>1340.9999999999695</v>
      </c>
      <c r="J1855" s="25" t="e">
        <f t="shared" si="264"/>
        <v>#VALUE!</v>
      </c>
    </row>
    <row r="1856" spans="1:10" x14ac:dyDescent="0.25">
      <c r="A1856" s="25">
        <f t="shared" si="265"/>
        <v>8.4199999999996962</v>
      </c>
      <c r="B1856" s="25">
        <f t="shared" ca="1" si="258"/>
        <v>-6.4660202151863563E-2</v>
      </c>
      <c r="C1856" s="25" t="e">
        <f t="shared" si="259"/>
        <v>#VALUE!</v>
      </c>
      <c r="D1856" s="74" t="e">
        <f t="shared" si="260"/>
        <v>#VALUE!</v>
      </c>
      <c r="E1856" s="25" t="e">
        <f t="shared" si="261"/>
        <v>#VALUE!</v>
      </c>
      <c r="F1856" s="25" t="e">
        <f t="shared" ca="1" si="262"/>
        <v>#VALUE!</v>
      </c>
      <c r="G1856" s="25"/>
      <c r="H1856" s="25" t="e">
        <f t="shared" si="266"/>
        <v>#VALUE!</v>
      </c>
      <c r="I1856" s="25">
        <f t="shared" si="263"/>
        <v>1341.9999999999695</v>
      </c>
      <c r="J1856" s="25" t="e">
        <f t="shared" si="264"/>
        <v>#VALUE!</v>
      </c>
    </row>
    <row r="1857" spans="1:10" x14ac:dyDescent="0.25">
      <c r="A1857" s="25">
        <f t="shared" si="265"/>
        <v>8.429999999999696</v>
      </c>
      <c r="B1857" s="25">
        <f t="shared" ca="1" si="258"/>
        <v>-7.092339074299589E-2</v>
      </c>
      <c r="C1857" s="25" t="e">
        <f t="shared" si="259"/>
        <v>#VALUE!</v>
      </c>
      <c r="D1857" s="74" t="e">
        <f t="shared" si="260"/>
        <v>#VALUE!</v>
      </c>
      <c r="E1857" s="25" t="e">
        <f t="shared" si="261"/>
        <v>#VALUE!</v>
      </c>
      <c r="F1857" s="25" t="e">
        <f t="shared" ca="1" si="262"/>
        <v>#VALUE!</v>
      </c>
      <c r="G1857" s="25"/>
      <c r="H1857" s="25" t="e">
        <f t="shared" si="266"/>
        <v>#VALUE!</v>
      </c>
      <c r="I1857" s="25">
        <f t="shared" si="263"/>
        <v>1342.9999999999695</v>
      </c>
      <c r="J1857" s="25" t="e">
        <f t="shared" si="264"/>
        <v>#VALUE!</v>
      </c>
    </row>
    <row r="1858" spans="1:10" x14ac:dyDescent="0.25">
      <c r="A1858" s="25">
        <f t="shared" si="265"/>
        <v>8.4399999999996957</v>
      </c>
      <c r="B1858" s="25">
        <f t="shared" ca="1" si="258"/>
        <v>3.7171011671843841E-2</v>
      </c>
      <c r="C1858" s="25" t="e">
        <f t="shared" si="259"/>
        <v>#VALUE!</v>
      </c>
      <c r="D1858" s="74" t="e">
        <f t="shared" si="260"/>
        <v>#VALUE!</v>
      </c>
      <c r="E1858" s="25" t="e">
        <f t="shared" si="261"/>
        <v>#VALUE!</v>
      </c>
      <c r="F1858" s="25" t="e">
        <f t="shared" ca="1" si="262"/>
        <v>#VALUE!</v>
      </c>
      <c r="G1858" s="25"/>
      <c r="H1858" s="25" t="e">
        <f t="shared" si="266"/>
        <v>#VALUE!</v>
      </c>
      <c r="I1858" s="25">
        <f t="shared" si="263"/>
        <v>1343.9999999999695</v>
      </c>
      <c r="J1858" s="25" t="e">
        <f t="shared" si="264"/>
        <v>#VALUE!</v>
      </c>
    </row>
    <row r="1859" spans="1:10" x14ac:dyDescent="0.25">
      <c r="A1859" s="25">
        <f t="shared" si="265"/>
        <v>8.4499999999996955</v>
      </c>
      <c r="B1859" s="25">
        <f t="shared" ca="1" si="258"/>
        <v>-0.14849285653645761</v>
      </c>
      <c r="C1859" s="25" t="e">
        <f t="shared" si="259"/>
        <v>#VALUE!</v>
      </c>
      <c r="D1859" s="74" t="e">
        <f t="shared" si="260"/>
        <v>#VALUE!</v>
      </c>
      <c r="E1859" s="25" t="e">
        <f t="shared" si="261"/>
        <v>#VALUE!</v>
      </c>
      <c r="F1859" s="25" t="e">
        <f t="shared" ca="1" si="262"/>
        <v>#VALUE!</v>
      </c>
      <c r="G1859" s="25"/>
      <c r="H1859" s="25" t="e">
        <f t="shared" si="266"/>
        <v>#VALUE!</v>
      </c>
      <c r="I1859" s="25">
        <f t="shared" si="263"/>
        <v>1344.9999999999695</v>
      </c>
      <c r="J1859" s="25" t="e">
        <f t="shared" si="264"/>
        <v>#VALUE!</v>
      </c>
    </row>
    <row r="1860" spans="1:10" x14ac:dyDescent="0.25">
      <c r="A1860" s="25">
        <f t="shared" si="265"/>
        <v>8.4599999999996953</v>
      </c>
      <c r="B1860" s="25">
        <f t="shared" ca="1" si="258"/>
        <v>-0.10759778069434296</v>
      </c>
      <c r="C1860" s="25" t="e">
        <f t="shared" si="259"/>
        <v>#VALUE!</v>
      </c>
      <c r="D1860" s="74" t="e">
        <f t="shared" si="260"/>
        <v>#VALUE!</v>
      </c>
      <c r="E1860" s="25" t="e">
        <f t="shared" si="261"/>
        <v>#VALUE!</v>
      </c>
      <c r="F1860" s="25" t="e">
        <f t="shared" ca="1" si="262"/>
        <v>#VALUE!</v>
      </c>
      <c r="G1860" s="25"/>
      <c r="H1860" s="25" t="e">
        <f t="shared" si="266"/>
        <v>#VALUE!</v>
      </c>
      <c r="I1860" s="25">
        <f t="shared" si="263"/>
        <v>1345.9999999999695</v>
      </c>
      <c r="J1860" s="25" t="e">
        <f t="shared" si="264"/>
        <v>#VALUE!</v>
      </c>
    </row>
    <row r="1861" spans="1:10" x14ac:dyDescent="0.25">
      <c r="A1861" s="25">
        <f t="shared" si="265"/>
        <v>8.4699999999996951</v>
      </c>
      <c r="B1861" s="25">
        <f t="shared" ca="1" si="258"/>
        <v>0.11922872370381572</v>
      </c>
      <c r="C1861" s="25" t="e">
        <f t="shared" si="259"/>
        <v>#VALUE!</v>
      </c>
      <c r="D1861" s="74" t="e">
        <f t="shared" si="260"/>
        <v>#VALUE!</v>
      </c>
      <c r="E1861" s="25" t="e">
        <f t="shared" si="261"/>
        <v>#VALUE!</v>
      </c>
      <c r="F1861" s="25" t="e">
        <f t="shared" ca="1" si="262"/>
        <v>#VALUE!</v>
      </c>
      <c r="G1861" s="25"/>
      <c r="H1861" s="25" t="e">
        <f t="shared" si="266"/>
        <v>#VALUE!</v>
      </c>
      <c r="I1861" s="25">
        <f t="shared" si="263"/>
        <v>1346.9999999999695</v>
      </c>
      <c r="J1861" s="25" t="e">
        <f t="shared" si="264"/>
        <v>#VALUE!</v>
      </c>
    </row>
    <row r="1862" spans="1:10" x14ac:dyDescent="0.25">
      <c r="A1862" s="25">
        <f t="shared" si="265"/>
        <v>8.4799999999996949</v>
      </c>
      <c r="B1862" s="25">
        <f t="shared" ca="1" si="258"/>
        <v>-7.423274306620163E-3</v>
      </c>
      <c r="C1862" s="25" t="e">
        <f t="shared" si="259"/>
        <v>#VALUE!</v>
      </c>
      <c r="D1862" s="74" t="e">
        <f t="shared" si="260"/>
        <v>#VALUE!</v>
      </c>
      <c r="E1862" s="25" t="e">
        <f t="shared" si="261"/>
        <v>#VALUE!</v>
      </c>
      <c r="F1862" s="25" t="e">
        <f t="shared" ca="1" si="262"/>
        <v>#VALUE!</v>
      </c>
      <c r="G1862" s="25"/>
      <c r="H1862" s="25" t="e">
        <f t="shared" si="266"/>
        <v>#VALUE!</v>
      </c>
      <c r="I1862" s="25">
        <f t="shared" si="263"/>
        <v>1347.9999999999695</v>
      </c>
      <c r="J1862" s="25" t="e">
        <f t="shared" si="264"/>
        <v>#VALUE!</v>
      </c>
    </row>
    <row r="1863" spans="1:10" x14ac:dyDescent="0.25">
      <c r="A1863" s="25">
        <f t="shared" si="265"/>
        <v>8.4899999999996947</v>
      </c>
      <c r="B1863" s="25">
        <f t="shared" ca="1" si="258"/>
        <v>1.9737924341206647E-2</v>
      </c>
      <c r="C1863" s="25" t="e">
        <f t="shared" si="259"/>
        <v>#VALUE!</v>
      </c>
      <c r="D1863" s="74" t="e">
        <f t="shared" si="260"/>
        <v>#VALUE!</v>
      </c>
      <c r="E1863" s="25" t="e">
        <f t="shared" si="261"/>
        <v>#VALUE!</v>
      </c>
      <c r="F1863" s="25" t="e">
        <f t="shared" ca="1" si="262"/>
        <v>#VALUE!</v>
      </c>
      <c r="G1863" s="25"/>
      <c r="H1863" s="25" t="e">
        <f t="shared" si="266"/>
        <v>#VALUE!</v>
      </c>
      <c r="I1863" s="25">
        <f t="shared" si="263"/>
        <v>1348.9999999999695</v>
      </c>
      <c r="J1863" s="25" t="e">
        <f t="shared" si="264"/>
        <v>#VALUE!</v>
      </c>
    </row>
    <row r="1864" spans="1:10" x14ac:dyDescent="0.25">
      <c r="A1864" s="25">
        <f t="shared" si="265"/>
        <v>8.4999999999996945</v>
      </c>
      <c r="B1864" s="25">
        <f t="shared" ca="1" si="258"/>
        <v>-0.16313617448574472</v>
      </c>
      <c r="C1864" s="25" t="e">
        <f t="shared" si="259"/>
        <v>#VALUE!</v>
      </c>
      <c r="D1864" s="74" t="e">
        <f t="shared" si="260"/>
        <v>#VALUE!</v>
      </c>
      <c r="E1864" s="25" t="e">
        <f t="shared" si="261"/>
        <v>#VALUE!</v>
      </c>
      <c r="F1864" s="25" t="e">
        <f t="shared" ca="1" si="262"/>
        <v>#VALUE!</v>
      </c>
      <c r="G1864" s="25"/>
      <c r="H1864" s="25" t="e">
        <f t="shared" si="266"/>
        <v>#VALUE!</v>
      </c>
      <c r="I1864" s="25">
        <f t="shared" si="263"/>
        <v>1349.9999999999695</v>
      </c>
      <c r="J1864" s="25" t="e">
        <f t="shared" si="264"/>
        <v>#VALUE!</v>
      </c>
    </row>
    <row r="1865" spans="1:10" x14ac:dyDescent="0.25">
      <c r="A1865" s="25">
        <f t="shared" si="265"/>
        <v>8.5099999999996943</v>
      </c>
      <c r="B1865" s="25">
        <f t="shared" ca="1" si="258"/>
        <v>-0.1742950863788898</v>
      </c>
      <c r="C1865" s="25" t="e">
        <f t="shared" si="259"/>
        <v>#VALUE!</v>
      </c>
      <c r="D1865" s="74" t="e">
        <f t="shared" si="260"/>
        <v>#VALUE!</v>
      </c>
      <c r="E1865" s="25" t="e">
        <f t="shared" si="261"/>
        <v>#VALUE!</v>
      </c>
      <c r="F1865" s="25" t="e">
        <f t="shared" ca="1" si="262"/>
        <v>#VALUE!</v>
      </c>
      <c r="G1865" s="25"/>
      <c r="H1865" s="25" t="e">
        <f t="shared" si="266"/>
        <v>#VALUE!</v>
      </c>
      <c r="I1865" s="25">
        <f t="shared" si="263"/>
        <v>1350.9999999999695</v>
      </c>
      <c r="J1865" s="25" t="e">
        <f t="shared" si="264"/>
        <v>#VALUE!</v>
      </c>
    </row>
    <row r="1866" spans="1:10" x14ac:dyDescent="0.25">
      <c r="A1866" s="25">
        <f t="shared" si="265"/>
        <v>8.519999999999694</v>
      </c>
      <c r="B1866" s="25">
        <f t="shared" ca="1" si="258"/>
        <v>9.3958159257142484E-3</v>
      </c>
      <c r="C1866" s="25" t="e">
        <f t="shared" si="259"/>
        <v>#VALUE!</v>
      </c>
      <c r="D1866" s="74" t="e">
        <f t="shared" si="260"/>
        <v>#VALUE!</v>
      </c>
      <c r="E1866" s="25" t="e">
        <f t="shared" si="261"/>
        <v>#VALUE!</v>
      </c>
      <c r="F1866" s="25" t="e">
        <f t="shared" ca="1" si="262"/>
        <v>#VALUE!</v>
      </c>
      <c r="G1866" s="25"/>
      <c r="H1866" s="25" t="e">
        <f t="shared" si="266"/>
        <v>#VALUE!</v>
      </c>
      <c r="I1866" s="25">
        <f t="shared" si="263"/>
        <v>1351.9999999999695</v>
      </c>
      <c r="J1866" s="25" t="e">
        <f t="shared" si="264"/>
        <v>#VALUE!</v>
      </c>
    </row>
    <row r="1867" spans="1:10" x14ac:dyDescent="0.25">
      <c r="A1867" s="25">
        <f t="shared" si="265"/>
        <v>8.5299999999996938</v>
      </c>
      <c r="B1867" s="25">
        <f t="shared" ca="1" si="258"/>
        <v>-0.17593315925564348</v>
      </c>
      <c r="C1867" s="25" t="e">
        <f t="shared" si="259"/>
        <v>#VALUE!</v>
      </c>
      <c r="D1867" s="74" t="e">
        <f t="shared" si="260"/>
        <v>#VALUE!</v>
      </c>
      <c r="E1867" s="25" t="e">
        <f t="shared" si="261"/>
        <v>#VALUE!</v>
      </c>
      <c r="F1867" s="25" t="e">
        <f t="shared" ca="1" si="262"/>
        <v>#VALUE!</v>
      </c>
      <c r="G1867" s="25"/>
      <c r="H1867" s="25" t="e">
        <f t="shared" si="266"/>
        <v>#VALUE!</v>
      </c>
      <c r="I1867" s="25">
        <f t="shared" si="263"/>
        <v>1352.9999999999695</v>
      </c>
      <c r="J1867" s="25" t="e">
        <f t="shared" si="264"/>
        <v>#VALUE!</v>
      </c>
    </row>
    <row r="1868" spans="1:10" x14ac:dyDescent="0.25">
      <c r="A1868" s="25">
        <f t="shared" si="265"/>
        <v>8.5399999999996936</v>
      </c>
      <c r="B1868" s="25">
        <f t="shared" ca="1" si="258"/>
        <v>-0.13168329929160641</v>
      </c>
      <c r="C1868" s="25" t="e">
        <f t="shared" si="259"/>
        <v>#VALUE!</v>
      </c>
      <c r="D1868" s="74" t="e">
        <f t="shared" si="260"/>
        <v>#VALUE!</v>
      </c>
      <c r="E1868" s="25" t="e">
        <f t="shared" si="261"/>
        <v>#VALUE!</v>
      </c>
      <c r="F1868" s="25" t="e">
        <f t="shared" ca="1" si="262"/>
        <v>#VALUE!</v>
      </c>
      <c r="G1868" s="25"/>
      <c r="H1868" s="25" t="e">
        <f t="shared" si="266"/>
        <v>#VALUE!</v>
      </c>
      <c r="I1868" s="25">
        <f t="shared" si="263"/>
        <v>1353.9999999999695</v>
      </c>
      <c r="J1868" s="25" t="e">
        <f t="shared" si="264"/>
        <v>#VALUE!</v>
      </c>
    </row>
    <row r="1869" spans="1:10" x14ac:dyDescent="0.25">
      <c r="A1869" s="25">
        <f t="shared" si="265"/>
        <v>8.5499999999996934</v>
      </c>
      <c r="B1869" s="25">
        <f t="shared" ca="1" si="258"/>
        <v>-0.1708153501796521</v>
      </c>
      <c r="C1869" s="25" t="e">
        <f t="shared" si="259"/>
        <v>#VALUE!</v>
      </c>
      <c r="D1869" s="74" t="e">
        <f t="shared" si="260"/>
        <v>#VALUE!</v>
      </c>
      <c r="E1869" s="25" t="e">
        <f t="shared" si="261"/>
        <v>#VALUE!</v>
      </c>
      <c r="F1869" s="25" t="e">
        <f t="shared" ca="1" si="262"/>
        <v>#VALUE!</v>
      </c>
      <c r="G1869" s="25"/>
      <c r="H1869" s="25" t="e">
        <f t="shared" si="266"/>
        <v>#VALUE!</v>
      </c>
      <c r="I1869" s="25">
        <f t="shared" si="263"/>
        <v>1354.9999999999693</v>
      </c>
      <c r="J1869" s="25" t="e">
        <f t="shared" si="264"/>
        <v>#VALUE!</v>
      </c>
    </row>
    <row r="1870" spans="1:10" x14ac:dyDescent="0.25">
      <c r="A1870" s="25">
        <f t="shared" si="265"/>
        <v>8.5599999999996932</v>
      </c>
      <c r="B1870" s="25">
        <f t="shared" ref="B1870:B1933" ca="1" si="267">(RAND()-0.5-$B$7)/$B$5</f>
        <v>9.6593422712165158E-2</v>
      </c>
      <c r="C1870" s="25" t="e">
        <f t="shared" ref="C1870:C1933" si="268">IF(ABS(A1870)&lt;=($D$3/2),1,IF(ABS(A1870)&lt;=($B$4/2),IF(A1870&gt;0,A1870*(4/(1-2*$B$4))+(2*$B$4/(2*$B$4-1)),(-A1870*(4/(1-2*$B$4))+(2*$B$4/(2*$B$4-1)))),0))</f>
        <v>#VALUE!</v>
      </c>
      <c r="D1870" s="74" t="e">
        <f t="shared" ref="D1870:D1933" si="269">IF(ABS(A1870)&lt;=($D$3/4+$B$4/4),1,IF(ABS(A1870)&lt;=($B$4/2),(IF(A1870&gt;0,A1870*(8/(1-2*$B$4))+(4*$B$4)/(2*$B$4-1),(-A1870*(8/(1-2*$B$4))+(4*$B$4)/(2*$B$4-1)))),0))</f>
        <v>#VALUE!</v>
      </c>
      <c r="E1870" s="25" t="e">
        <f t="shared" ref="E1870:E1933" si="270">IF(ABS(A1870)&lt;($B$4/2), 1, 0)</f>
        <v>#VALUE!</v>
      </c>
      <c r="F1870" s="25" t="e">
        <f t="shared" ref="F1870:F1933" ca="1" si="271">C1870+B1870</f>
        <v>#VALUE!</v>
      </c>
      <c r="G1870" s="25"/>
      <c r="H1870" s="25" t="e">
        <f t="shared" si="266"/>
        <v>#VALUE!</v>
      </c>
      <c r="I1870" s="25">
        <f t="shared" ref="I1870:I1933" si="272">$I$3*(A1870-$G$3)/($H$3-$G$3)</f>
        <v>1355.9999999999693</v>
      </c>
      <c r="J1870" s="25" t="e">
        <f t="shared" ref="J1870:J1933" si="273">H1870</f>
        <v>#VALUE!</v>
      </c>
    </row>
    <row r="1871" spans="1:10" x14ac:dyDescent="0.25">
      <c r="A1871" s="25">
        <f t="shared" ref="A1871:A1934" si="274">A1870+0.01</f>
        <v>8.569999999999693</v>
      </c>
      <c r="B1871" s="25">
        <f t="shared" ca="1" si="267"/>
        <v>-4.729195857853586E-2</v>
      </c>
      <c r="C1871" s="25" t="e">
        <f t="shared" si="268"/>
        <v>#VALUE!</v>
      </c>
      <c r="D1871" s="74" t="e">
        <f t="shared" si="269"/>
        <v>#VALUE!</v>
      </c>
      <c r="E1871" s="25" t="e">
        <f t="shared" si="270"/>
        <v>#VALUE!</v>
      </c>
      <c r="F1871" s="25" t="e">
        <f t="shared" ca="1" si="271"/>
        <v>#VALUE!</v>
      </c>
      <c r="G1871" s="25"/>
      <c r="H1871" s="25" t="e">
        <f t="shared" si="266"/>
        <v>#VALUE!</v>
      </c>
      <c r="I1871" s="25">
        <f t="shared" si="272"/>
        <v>1356.9999999999693</v>
      </c>
      <c r="J1871" s="25" t="e">
        <f t="shared" si="273"/>
        <v>#VALUE!</v>
      </c>
    </row>
    <row r="1872" spans="1:10" x14ac:dyDescent="0.25">
      <c r="A1872" s="25">
        <f t="shared" si="274"/>
        <v>8.5799999999996928</v>
      </c>
      <c r="B1872" s="25">
        <f t="shared" ca="1" si="267"/>
        <v>0.1274044853915367</v>
      </c>
      <c r="C1872" s="25" t="e">
        <f t="shared" si="268"/>
        <v>#VALUE!</v>
      </c>
      <c r="D1872" s="74" t="e">
        <f t="shared" si="269"/>
        <v>#VALUE!</v>
      </c>
      <c r="E1872" s="25" t="e">
        <f t="shared" si="270"/>
        <v>#VALUE!</v>
      </c>
      <c r="F1872" s="25" t="e">
        <f t="shared" ca="1" si="271"/>
        <v>#VALUE!</v>
      </c>
      <c r="G1872" s="25"/>
      <c r="H1872" s="25" t="e">
        <f t="shared" si="266"/>
        <v>#VALUE!</v>
      </c>
      <c r="I1872" s="25">
        <f t="shared" si="272"/>
        <v>1357.9999999999693</v>
      </c>
      <c r="J1872" s="25" t="e">
        <f t="shared" si="273"/>
        <v>#VALUE!</v>
      </c>
    </row>
    <row r="1873" spans="1:10" x14ac:dyDescent="0.25">
      <c r="A1873" s="25">
        <f t="shared" si="274"/>
        <v>8.5899999999996925</v>
      </c>
      <c r="B1873" s="25">
        <f t="shared" ca="1" si="267"/>
        <v>6.2032058644269965E-2</v>
      </c>
      <c r="C1873" s="25" t="e">
        <f t="shared" si="268"/>
        <v>#VALUE!</v>
      </c>
      <c r="D1873" s="74" t="e">
        <f t="shared" si="269"/>
        <v>#VALUE!</v>
      </c>
      <c r="E1873" s="25" t="e">
        <f t="shared" si="270"/>
        <v>#VALUE!</v>
      </c>
      <c r="F1873" s="25" t="e">
        <f t="shared" ca="1" si="271"/>
        <v>#VALUE!</v>
      </c>
      <c r="G1873" s="25"/>
      <c r="H1873" s="25" t="e">
        <f t="shared" si="266"/>
        <v>#VALUE!</v>
      </c>
      <c r="I1873" s="25">
        <f t="shared" si="272"/>
        <v>1358.9999999999693</v>
      </c>
      <c r="J1873" s="25" t="e">
        <f t="shared" si="273"/>
        <v>#VALUE!</v>
      </c>
    </row>
    <row r="1874" spans="1:10" x14ac:dyDescent="0.25">
      <c r="A1874" s="25">
        <f t="shared" si="274"/>
        <v>8.5999999999996923</v>
      </c>
      <c r="B1874" s="25">
        <f t="shared" ca="1" si="267"/>
        <v>-0.13108341649493019</v>
      </c>
      <c r="C1874" s="25" t="e">
        <f t="shared" si="268"/>
        <v>#VALUE!</v>
      </c>
      <c r="D1874" s="74" t="e">
        <f t="shared" si="269"/>
        <v>#VALUE!</v>
      </c>
      <c r="E1874" s="25" t="e">
        <f t="shared" si="270"/>
        <v>#VALUE!</v>
      </c>
      <c r="F1874" s="25" t="e">
        <f t="shared" ca="1" si="271"/>
        <v>#VALUE!</v>
      </c>
      <c r="G1874" s="25"/>
      <c r="H1874" s="25" t="e">
        <f t="shared" si="266"/>
        <v>#VALUE!</v>
      </c>
      <c r="I1874" s="25">
        <f t="shared" si="272"/>
        <v>1359.9999999999693</v>
      </c>
      <c r="J1874" s="25" t="e">
        <f t="shared" si="273"/>
        <v>#VALUE!</v>
      </c>
    </row>
    <row r="1875" spans="1:10" x14ac:dyDescent="0.25">
      <c r="A1875" s="25">
        <f t="shared" si="274"/>
        <v>8.6099999999996921</v>
      </c>
      <c r="B1875" s="25">
        <f t="shared" ca="1" si="267"/>
        <v>-0.14014579151964077</v>
      </c>
      <c r="C1875" s="25" t="e">
        <f t="shared" si="268"/>
        <v>#VALUE!</v>
      </c>
      <c r="D1875" s="74" t="e">
        <f t="shared" si="269"/>
        <v>#VALUE!</v>
      </c>
      <c r="E1875" s="25" t="e">
        <f t="shared" si="270"/>
        <v>#VALUE!</v>
      </c>
      <c r="F1875" s="25" t="e">
        <f t="shared" ca="1" si="271"/>
        <v>#VALUE!</v>
      </c>
      <c r="G1875" s="25"/>
      <c r="H1875" s="25" t="e">
        <f t="shared" si="266"/>
        <v>#VALUE!</v>
      </c>
      <c r="I1875" s="25">
        <f t="shared" si="272"/>
        <v>1360.9999999999693</v>
      </c>
      <c r="J1875" s="25" t="e">
        <f t="shared" si="273"/>
        <v>#VALUE!</v>
      </c>
    </row>
    <row r="1876" spans="1:10" x14ac:dyDescent="0.25">
      <c r="A1876" s="25">
        <f t="shared" si="274"/>
        <v>8.6199999999996919</v>
      </c>
      <c r="B1876" s="25">
        <f t="shared" ca="1" si="267"/>
        <v>8.5949908291463095E-2</v>
      </c>
      <c r="C1876" s="25" t="e">
        <f t="shared" si="268"/>
        <v>#VALUE!</v>
      </c>
      <c r="D1876" s="74" t="e">
        <f t="shared" si="269"/>
        <v>#VALUE!</v>
      </c>
      <c r="E1876" s="25" t="e">
        <f t="shared" si="270"/>
        <v>#VALUE!</v>
      </c>
      <c r="F1876" s="25" t="e">
        <f t="shared" ca="1" si="271"/>
        <v>#VALUE!</v>
      </c>
      <c r="G1876" s="25"/>
      <c r="H1876" s="25" t="e">
        <f t="shared" si="266"/>
        <v>#VALUE!</v>
      </c>
      <c r="I1876" s="25">
        <f t="shared" si="272"/>
        <v>1361.9999999999693</v>
      </c>
      <c r="J1876" s="25" t="e">
        <f t="shared" si="273"/>
        <v>#VALUE!</v>
      </c>
    </row>
    <row r="1877" spans="1:10" x14ac:dyDescent="0.25">
      <c r="A1877" s="25">
        <f t="shared" si="274"/>
        <v>8.6299999999996917</v>
      </c>
      <c r="B1877" s="25">
        <f t="shared" ca="1" si="267"/>
        <v>-2.3579977817556691E-2</v>
      </c>
      <c r="C1877" s="25" t="e">
        <f t="shared" si="268"/>
        <v>#VALUE!</v>
      </c>
      <c r="D1877" s="74" t="e">
        <f t="shared" si="269"/>
        <v>#VALUE!</v>
      </c>
      <c r="E1877" s="25" t="e">
        <f t="shared" si="270"/>
        <v>#VALUE!</v>
      </c>
      <c r="F1877" s="25" t="e">
        <f t="shared" ca="1" si="271"/>
        <v>#VALUE!</v>
      </c>
      <c r="G1877" s="25"/>
      <c r="H1877" s="25" t="e">
        <f t="shared" si="266"/>
        <v>#VALUE!</v>
      </c>
      <c r="I1877" s="25">
        <f t="shared" si="272"/>
        <v>1362.9999999999693</v>
      </c>
      <c r="J1877" s="25" t="e">
        <f t="shared" si="273"/>
        <v>#VALUE!</v>
      </c>
    </row>
    <row r="1878" spans="1:10" x14ac:dyDescent="0.25">
      <c r="A1878" s="25">
        <f t="shared" si="274"/>
        <v>8.6399999999996915</v>
      </c>
      <c r="B1878" s="25">
        <f t="shared" ca="1" si="267"/>
        <v>-9.3767297682621487E-2</v>
      </c>
      <c r="C1878" s="25" t="e">
        <f t="shared" si="268"/>
        <v>#VALUE!</v>
      </c>
      <c r="D1878" s="74" t="e">
        <f t="shared" si="269"/>
        <v>#VALUE!</v>
      </c>
      <c r="E1878" s="25" t="e">
        <f t="shared" si="270"/>
        <v>#VALUE!</v>
      </c>
      <c r="F1878" s="25" t="e">
        <f t="shared" ca="1" si="271"/>
        <v>#VALUE!</v>
      </c>
      <c r="G1878" s="25"/>
      <c r="H1878" s="25" t="e">
        <f t="shared" si="266"/>
        <v>#VALUE!</v>
      </c>
      <c r="I1878" s="25">
        <f t="shared" si="272"/>
        <v>1363.9999999999691</v>
      </c>
      <c r="J1878" s="25" t="e">
        <f t="shared" si="273"/>
        <v>#VALUE!</v>
      </c>
    </row>
    <row r="1879" spans="1:10" x14ac:dyDescent="0.25">
      <c r="A1879" s="25">
        <f t="shared" si="274"/>
        <v>8.6499999999996913</v>
      </c>
      <c r="B1879" s="25">
        <f t="shared" ca="1" si="267"/>
        <v>4.8559094897812467E-2</v>
      </c>
      <c r="C1879" s="25" t="e">
        <f t="shared" si="268"/>
        <v>#VALUE!</v>
      </c>
      <c r="D1879" s="74" t="e">
        <f t="shared" si="269"/>
        <v>#VALUE!</v>
      </c>
      <c r="E1879" s="25" t="e">
        <f t="shared" si="270"/>
        <v>#VALUE!</v>
      </c>
      <c r="F1879" s="25" t="e">
        <f t="shared" ca="1" si="271"/>
        <v>#VALUE!</v>
      </c>
      <c r="G1879" s="25"/>
      <c r="H1879" s="25" t="e">
        <f t="shared" si="266"/>
        <v>#VALUE!</v>
      </c>
      <c r="I1879" s="25">
        <f t="shared" si="272"/>
        <v>1364.9999999999691</v>
      </c>
      <c r="J1879" s="25" t="e">
        <f t="shared" si="273"/>
        <v>#VALUE!</v>
      </c>
    </row>
    <row r="1880" spans="1:10" x14ac:dyDescent="0.25">
      <c r="A1880" s="25">
        <f t="shared" si="274"/>
        <v>8.6599999999996911</v>
      </c>
      <c r="B1880" s="25">
        <f t="shared" ca="1" si="267"/>
        <v>-0.11982531257791196</v>
      </c>
      <c r="C1880" s="25" t="e">
        <f t="shared" si="268"/>
        <v>#VALUE!</v>
      </c>
      <c r="D1880" s="74" t="e">
        <f t="shared" si="269"/>
        <v>#VALUE!</v>
      </c>
      <c r="E1880" s="25" t="e">
        <f t="shared" si="270"/>
        <v>#VALUE!</v>
      </c>
      <c r="F1880" s="25" t="e">
        <f t="shared" ca="1" si="271"/>
        <v>#VALUE!</v>
      </c>
      <c r="G1880" s="25"/>
      <c r="H1880" s="25" t="e">
        <f t="shared" si="266"/>
        <v>#VALUE!</v>
      </c>
      <c r="I1880" s="25">
        <f t="shared" si="272"/>
        <v>1365.9999999999691</v>
      </c>
      <c r="J1880" s="25" t="e">
        <f t="shared" si="273"/>
        <v>#VALUE!</v>
      </c>
    </row>
    <row r="1881" spans="1:10" x14ac:dyDescent="0.25">
      <c r="A1881" s="25">
        <f t="shared" si="274"/>
        <v>8.6699999999996908</v>
      </c>
      <c r="B1881" s="25">
        <f t="shared" ca="1" si="267"/>
        <v>3.6198501071347693E-2</v>
      </c>
      <c r="C1881" s="25" t="e">
        <f t="shared" si="268"/>
        <v>#VALUE!</v>
      </c>
      <c r="D1881" s="74" t="e">
        <f t="shared" si="269"/>
        <v>#VALUE!</v>
      </c>
      <c r="E1881" s="25" t="e">
        <f t="shared" si="270"/>
        <v>#VALUE!</v>
      </c>
      <c r="F1881" s="25" t="e">
        <f t="shared" ca="1" si="271"/>
        <v>#VALUE!</v>
      </c>
      <c r="G1881" s="25"/>
      <c r="H1881" s="25" t="e">
        <f t="shared" si="266"/>
        <v>#VALUE!</v>
      </c>
      <c r="I1881" s="25">
        <f t="shared" si="272"/>
        <v>1366.9999999999691</v>
      </c>
      <c r="J1881" s="25" t="e">
        <f t="shared" si="273"/>
        <v>#VALUE!</v>
      </c>
    </row>
    <row r="1882" spans="1:10" x14ac:dyDescent="0.25">
      <c r="A1882" s="25">
        <f t="shared" si="274"/>
        <v>8.6799999999996906</v>
      </c>
      <c r="B1882" s="25">
        <f t="shared" ca="1" si="267"/>
        <v>-4.4656389574728823E-3</v>
      </c>
      <c r="C1882" s="25" t="e">
        <f t="shared" si="268"/>
        <v>#VALUE!</v>
      </c>
      <c r="D1882" s="74" t="e">
        <f t="shared" si="269"/>
        <v>#VALUE!</v>
      </c>
      <c r="E1882" s="25" t="e">
        <f t="shared" si="270"/>
        <v>#VALUE!</v>
      </c>
      <c r="F1882" s="25" t="e">
        <f t="shared" ca="1" si="271"/>
        <v>#VALUE!</v>
      </c>
      <c r="G1882" s="25"/>
      <c r="H1882" s="25" t="e">
        <f t="shared" si="266"/>
        <v>#VALUE!</v>
      </c>
      <c r="I1882" s="25">
        <f t="shared" si="272"/>
        <v>1367.9999999999691</v>
      </c>
      <c r="J1882" s="25" t="e">
        <f t="shared" si="273"/>
        <v>#VALUE!</v>
      </c>
    </row>
    <row r="1883" spans="1:10" x14ac:dyDescent="0.25">
      <c r="A1883" s="25">
        <f t="shared" si="274"/>
        <v>8.6899999999996904</v>
      </c>
      <c r="B1883" s="25">
        <f t="shared" ca="1" si="267"/>
        <v>0.10477849582811234</v>
      </c>
      <c r="C1883" s="25" t="e">
        <f t="shared" si="268"/>
        <v>#VALUE!</v>
      </c>
      <c r="D1883" s="74" t="e">
        <f t="shared" si="269"/>
        <v>#VALUE!</v>
      </c>
      <c r="E1883" s="25" t="e">
        <f t="shared" si="270"/>
        <v>#VALUE!</v>
      </c>
      <c r="F1883" s="25" t="e">
        <f t="shared" ca="1" si="271"/>
        <v>#VALUE!</v>
      </c>
      <c r="G1883" s="25"/>
      <c r="H1883" s="25" t="e">
        <f t="shared" si="266"/>
        <v>#VALUE!</v>
      </c>
      <c r="I1883" s="25">
        <f t="shared" si="272"/>
        <v>1368.9999999999691</v>
      </c>
      <c r="J1883" s="25" t="e">
        <f t="shared" si="273"/>
        <v>#VALUE!</v>
      </c>
    </row>
    <row r="1884" spans="1:10" x14ac:dyDescent="0.25">
      <c r="A1884" s="25">
        <f t="shared" si="274"/>
        <v>8.6999999999996902</v>
      </c>
      <c r="B1884" s="25">
        <f t="shared" ca="1" si="267"/>
        <v>-2.8739141347601443E-2</v>
      </c>
      <c r="C1884" s="25" t="e">
        <f t="shared" si="268"/>
        <v>#VALUE!</v>
      </c>
      <c r="D1884" s="74" t="e">
        <f t="shared" si="269"/>
        <v>#VALUE!</v>
      </c>
      <c r="E1884" s="25" t="e">
        <f t="shared" si="270"/>
        <v>#VALUE!</v>
      </c>
      <c r="F1884" s="25" t="e">
        <f t="shared" ca="1" si="271"/>
        <v>#VALUE!</v>
      </c>
      <c r="G1884" s="25"/>
      <c r="H1884" s="25" t="e">
        <f t="shared" si="266"/>
        <v>#VALUE!</v>
      </c>
      <c r="I1884" s="25">
        <f t="shared" si="272"/>
        <v>1369.9999999999691</v>
      </c>
      <c r="J1884" s="25" t="e">
        <f t="shared" si="273"/>
        <v>#VALUE!</v>
      </c>
    </row>
    <row r="1885" spans="1:10" x14ac:dyDescent="0.25">
      <c r="A1885" s="25">
        <f t="shared" si="274"/>
        <v>8.70999999999969</v>
      </c>
      <c r="B1885" s="25">
        <f t="shared" ca="1" si="267"/>
        <v>-4.322239538052098E-2</v>
      </c>
      <c r="C1885" s="25" t="e">
        <f t="shared" si="268"/>
        <v>#VALUE!</v>
      </c>
      <c r="D1885" s="74" t="e">
        <f t="shared" si="269"/>
        <v>#VALUE!</v>
      </c>
      <c r="E1885" s="25" t="e">
        <f t="shared" si="270"/>
        <v>#VALUE!</v>
      </c>
      <c r="F1885" s="25" t="e">
        <f t="shared" ca="1" si="271"/>
        <v>#VALUE!</v>
      </c>
      <c r="G1885" s="25"/>
      <c r="H1885" s="25" t="e">
        <f t="shared" si="266"/>
        <v>#VALUE!</v>
      </c>
      <c r="I1885" s="25">
        <f t="shared" si="272"/>
        <v>1370.9999999999691</v>
      </c>
      <c r="J1885" s="25" t="e">
        <f t="shared" si="273"/>
        <v>#VALUE!</v>
      </c>
    </row>
    <row r="1886" spans="1:10" x14ac:dyDescent="0.25">
      <c r="A1886" s="25">
        <f t="shared" si="274"/>
        <v>8.7199999999996898</v>
      </c>
      <c r="B1886" s="25">
        <f t="shared" ca="1" si="267"/>
        <v>-1.0913512113192442E-2</v>
      </c>
      <c r="C1886" s="25" t="e">
        <f t="shared" si="268"/>
        <v>#VALUE!</v>
      </c>
      <c r="D1886" s="74" t="e">
        <f t="shared" si="269"/>
        <v>#VALUE!</v>
      </c>
      <c r="E1886" s="25" t="e">
        <f t="shared" si="270"/>
        <v>#VALUE!</v>
      </c>
      <c r="F1886" s="25" t="e">
        <f t="shared" ca="1" si="271"/>
        <v>#VALUE!</v>
      </c>
      <c r="G1886" s="25"/>
      <c r="H1886" s="25" t="e">
        <f t="shared" ref="H1886:H1949" si="275">IF(PeakShape=$O$3,C1886,IF(PeakShape=O1888,D1886,E1886))</f>
        <v>#VALUE!</v>
      </c>
      <c r="I1886" s="25">
        <f t="shared" si="272"/>
        <v>1371.9999999999688</v>
      </c>
      <c r="J1886" s="25" t="e">
        <f t="shared" si="273"/>
        <v>#VALUE!</v>
      </c>
    </row>
    <row r="1887" spans="1:10" x14ac:dyDescent="0.25">
      <c r="A1887" s="25">
        <f t="shared" si="274"/>
        <v>8.7299999999996896</v>
      </c>
      <c r="B1887" s="25">
        <f t="shared" ca="1" si="267"/>
        <v>-3.1840120597158621E-2</v>
      </c>
      <c r="C1887" s="25" t="e">
        <f t="shared" si="268"/>
        <v>#VALUE!</v>
      </c>
      <c r="D1887" s="74" t="e">
        <f t="shared" si="269"/>
        <v>#VALUE!</v>
      </c>
      <c r="E1887" s="25" t="e">
        <f t="shared" si="270"/>
        <v>#VALUE!</v>
      </c>
      <c r="F1887" s="25" t="e">
        <f t="shared" ca="1" si="271"/>
        <v>#VALUE!</v>
      </c>
      <c r="G1887" s="25"/>
      <c r="H1887" s="25" t="e">
        <f t="shared" si="275"/>
        <v>#VALUE!</v>
      </c>
      <c r="I1887" s="25">
        <f t="shared" si="272"/>
        <v>1372.9999999999688</v>
      </c>
      <c r="J1887" s="25" t="e">
        <f t="shared" si="273"/>
        <v>#VALUE!</v>
      </c>
    </row>
    <row r="1888" spans="1:10" x14ac:dyDescent="0.25">
      <c r="A1888" s="25">
        <f t="shared" si="274"/>
        <v>8.7399999999996894</v>
      </c>
      <c r="B1888" s="25">
        <f t="shared" ca="1" si="267"/>
        <v>-2.7260417447100959E-2</v>
      </c>
      <c r="C1888" s="25" t="e">
        <f t="shared" si="268"/>
        <v>#VALUE!</v>
      </c>
      <c r="D1888" s="74" t="e">
        <f t="shared" si="269"/>
        <v>#VALUE!</v>
      </c>
      <c r="E1888" s="25" t="e">
        <f t="shared" si="270"/>
        <v>#VALUE!</v>
      </c>
      <c r="F1888" s="25" t="e">
        <f t="shared" ca="1" si="271"/>
        <v>#VALUE!</v>
      </c>
      <c r="G1888" s="25"/>
      <c r="H1888" s="25" t="e">
        <f t="shared" si="275"/>
        <v>#VALUE!</v>
      </c>
      <c r="I1888" s="25">
        <f t="shared" si="272"/>
        <v>1373.9999999999688</v>
      </c>
      <c r="J1888" s="25" t="e">
        <f t="shared" si="273"/>
        <v>#VALUE!</v>
      </c>
    </row>
    <row r="1889" spans="1:10" x14ac:dyDescent="0.25">
      <c r="A1889" s="25">
        <f t="shared" si="274"/>
        <v>8.7499999999996891</v>
      </c>
      <c r="B1889" s="25">
        <f t="shared" ca="1" si="267"/>
        <v>-0.10184805885064481</v>
      </c>
      <c r="C1889" s="25" t="e">
        <f t="shared" si="268"/>
        <v>#VALUE!</v>
      </c>
      <c r="D1889" s="74" t="e">
        <f t="shared" si="269"/>
        <v>#VALUE!</v>
      </c>
      <c r="E1889" s="25" t="e">
        <f t="shared" si="270"/>
        <v>#VALUE!</v>
      </c>
      <c r="F1889" s="25" t="e">
        <f t="shared" ca="1" si="271"/>
        <v>#VALUE!</v>
      </c>
      <c r="G1889" s="25"/>
      <c r="H1889" s="25" t="e">
        <f t="shared" si="275"/>
        <v>#VALUE!</v>
      </c>
      <c r="I1889" s="25">
        <f t="shared" si="272"/>
        <v>1374.9999999999688</v>
      </c>
      <c r="J1889" s="25" t="e">
        <f t="shared" si="273"/>
        <v>#VALUE!</v>
      </c>
    </row>
    <row r="1890" spans="1:10" x14ac:dyDescent="0.25">
      <c r="A1890" s="25">
        <f t="shared" si="274"/>
        <v>8.7599999999996889</v>
      </c>
      <c r="B1890" s="25">
        <f t="shared" ca="1" si="267"/>
        <v>6.727753388160003E-2</v>
      </c>
      <c r="C1890" s="25" t="e">
        <f t="shared" si="268"/>
        <v>#VALUE!</v>
      </c>
      <c r="D1890" s="74" t="e">
        <f t="shared" si="269"/>
        <v>#VALUE!</v>
      </c>
      <c r="E1890" s="25" t="e">
        <f t="shared" si="270"/>
        <v>#VALUE!</v>
      </c>
      <c r="F1890" s="25" t="e">
        <f t="shared" ca="1" si="271"/>
        <v>#VALUE!</v>
      </c>
      <c r="G1890" s="25"/>
      <c r="H1890" s="25" t="e">
        <f t="shared" si="275"/>
        <v>#VALUE!</v>
      </c>
      <c r="I1890" s="25">
        <f t="shared" si="272"/>
        <v>1375.9999999999688</v>
      </c>
      <c r="J1890" s="25" t="e">
        <f t="shared" si="273"/>
        <v>#VALUE!</v>
      </c>
    </row>
    <row r="1891" spans="1:10" x14ac:dyDescent="0.25">
      <c r="A1891" s="25">
        <f t="shared" si="274"/>
        <v>8.7699999999996887</v>
      </c>
      <c r="B1891" s="25">
        <f t="shared" ca="1" si="267"/>
        <v>0.11449391709830552</v>
      </c>
      <c r="C1891" s="25" t="e">
        <f t="shared" si="268"/>
        <v>#VALUE!</v>
      </c>
      <c r="D1891" s="74" t="e">
        <f t="shared" si="269"/>
        <v>#VALUE!</v>
      </c>
      <c r="E1891" s="25" t="e">
        <f t="shared" si="270"/>
        <v>#VALUE!</v>
      </c>
      <c r="F1891" s="25" t="e">
        <f t="shared" ca="1" si="271"/>
        <v>#VALUE!</v>
      </c>
      <c r="G1891" s="25"/>
      <c r="H1891" s="25" t="e">
        <f t="shared" si="275"/>
        <v>#VALUE!</v>
      </c>
      <c r="I1891" s="25">
        <f t="shared" si="272"/>
        <v>1376.9999999999688</v>
      </c>
      <c r="J1891" s="25" t="e">
        <f t="shared" si="273"/>
        <v>#VALUE!</v>
      </c>
    </row>
    <row r="1892" spans="1:10" x14ac:dyDescent="0.25">
      <c r="A1892" s="25">
        <f t="shared" si="274"/>
        <v>8.7799999999996885</v>
      </c>
      <c r="B1892" s="25">
        <f t="shared" ca="1" si="267"/>
        <v>7.0258905108507477E-2</v>
      </c>
      <c r="C1892" s="25" t="e">
        <f t="shared" si="268"/>
        <v>#VALUE!</v>
      </c>
      <c r="D1892" s="74" t="e">
        <f t="shared" si="269"/>
        <v>#VALUE!</v>
      </c>
      <c r="E1892" s="25" t="e">
        <f t="shared" si="270"/>
        <v>#VALUE!</v>
      </c>
      <c r="F1892" s="25" t="e">
        <f t="shared" ca="1" si="271"/>
        <v>#VALUE!</v>
      </c>
      <c r="G1892" s="25"/>
      <c r="H1892" s="25" t="e">
        <f t="shared" si="275"/>
        <v>#VALUE!</v>
      </c>
      <c r="I1892" s="25">
        <f t="shared" si="272"/>
        <v>1377.9999999999688</v>
      </c>
      <c r="J1892" s="25" t="e">
        <f t="shared" si="273"/>
        <v>#VALUE!</v>
      </c>
    </row>
    <row r="1893" spans="1:10" x14ac:dyDescent="0.25">
      <c r="A1893" s="25">
        <f t="shared" si="274"/>
        <v>8.7899999999996883</v>
      </c>
      <c r="B1893" s="25">
        <f t="shared" ca="1" si="267"/>
        <v>-9.4813984483272273E-2</v>
      </c>
      <c r="C1893" s="25" t="e">
        <f t="shared" si="268"/>
        <v>#VALUE!</v>
      </c>
      <c r="D1893" s="74" t="e">
        <f t="shared" si="269"/>
        <v>#VALUE!</v>
      </c>
      <c r="E1893" s="25" t="e">
        <f t="shared" si="270"/>
        <v>#VALUE!</v>
      </c>
      <c r="F1893" s="25" t="e">
        <f t="shared" ca="1" si="271"/>
        <v>#VALUE!</v>
      </c>
      <c r="G1893" s="25"/>
      <c r="H1893" s="25" t="e">
        <f t="shared" si="275"/>
        <v>#VALUE!</v>
      </c>
      <c r="I1893" s="25">
        <f t="shared" si="272"/>
        <v>1378.9999999999688</v>
      </c>
      <c r="J1893" s="25" t="e">
        <f t="shared" si="273"/>
        <v>#VALUE!</v>
      </c>
    </row>
    <row r="1894" spans="1:10" x14ac:dyDescent="0.25">
      <c r="A1894" s="25">
        <f t="shared" si="274"/>
        <v>8.7999999999996881</v>
      </c>
      <c r="B1894" s="25">
        <f t="shared" ca="1" si="267"/>
        <v>0.11184912815268096</v>
      </c>
      <c r="C1894" s="25" t="e">
        <f t="shared" si="268"/>
        <v>#VALUE!</v>
      </c>
      <c r="D1894" s="74" t="e">
        <f t="shared" si="269"/>
        <v>#VALUE!</v>
      </c>
      <c r="E1894" s="25" t="e">
        <f t="shared" si="270"/>
        <v>#VALUE!</v>
      </c>
      <c r="F1894" s="25" t="e">
        <f t="shared" ca="1" si="271"/>
        <v>#VALUE!</v>
      </c>
      <c r="G1894" s="25"/>
      <c r="H1894" s="25" t="e">
        <f t="shared" si="275"/>
        <v>#VALUE!</v>
      </c>
      <c r="I1894" s="25">
        <f t="shared" si="272"/>
        <v>1379.9999999999688</v>
      </c>
      <c r="J1894" s="25" t="e">
        <f t="shared" si="273"/>
        <v>#VALUE!</v>
      </c>
    </row>
    <row r="1895" spans="1:10" x14ac:dyDescent="0.25">
      <c r="A1895" s="25">
        <f t="shared" si="274"/>
        <v>8.8099999999996879</v>
      </c>
      <c r="B1895" s="25">
        <f t="shared" ca="1" si="267"/>
        <v>-0.10373157285505001</v>
      </c>
      <c r="C1895" s="25" t="e">
        <f t="shared" si="268"/>
        <v>#VALUE!</v>
      </c>
      <c r="D1895" s="74" t="e">
        <f t="shared" si="269"/>
        <v>#VALUE!</v>
      </c>
      <c r="E1895" s="25" t="e">
        <f t="shared" si="270"/>
        <v>#VALUE!</v>
      </c>
      <c r="F1895" s="25" t="e">
        <f t="shared" ca="1" si="271"/>
        <v>#VALUE!</v>
      </c>
      <c r="G1895" s="25"/>
      <c r="H1895" s="25" t="e">
        <f t="shared" si="275"/>
        <v>#VALUE!</v>
      </c>
      <c r="I1895" s="25">
        <f t="shared" si="272"/>
        <v>1380.9999999999686</v>
      </c>
      <c r="J1895" s="25" t="e">
        <f t="shared" si="273"/>
        <v>#VALUE!</v>
      </c>
    </row>
    <row r="1896" spans="1:10" x14ac:dyDescent="0.25">
      <c r="A1896" s="25">
        <f t="shared" si="274"/>
        <v>8.8199999999996876</v>
      </c>
      <c r="B1896" s="25">
        <f t="shared" ca="1" si="267"/>
        <v>-0.18078804142773017</v>
      </c>
      <c r="C1896" s="25" t="e">
        <f t="shared" si="268"/>
        <v>#VALUE!</v>
      </c>
      <c r="D1896" s="74" t="e">
        <f t="shared" si="269"/>
        <v>#VALUE!</v>
      </c>
      <c r="E1896" s="25" t="e">
        <f t="shared" si="270"/>
        <v>#VALUE!</v>
      </c>
      <c r="F1896" s="25" t="e">
        <f t="shared" ca="1" si="271"/>
        <v>#VALUE!</v>
      </c>
      <c r="G1896" s="25"/>
      <c r="H1896" s="25" t="e">
        <f t="shared" si="275"/>
        <v>#VALUE!</v>
      </c>
      <c r="I1896" s="25">
        <f t="shared" si="272"/>
        <v>1381.9999999999686</v>
      </c>
      <c r="J1896" s="25" t="e">
        <f t="shared" si="273"/>
        <v>#VALUE!</v>
      </c>
    </row>
    <row r="1897" spans="1:10" x14ac:dyDescent="0.25">
      <c r="A1897" s="25">
        <f t="shared" si="274"/>
        <v>8.8299999999996874</v>
      </c>
      <c r="B1897" s="25">
        <f t="shared" ca="1" si="267"/>
        <v>4.7830302095557227E-2</v>
      </c>
      <c r="C1897" s="25" t="e">
        <f t="shared" si="268"/>
        <v>#VALUE!</v>
      </c>
      <c r="D1897" s="74" t="e">
        <f t="shared" si="269"/>
        <v>#VALUE!</v>
      </c>
      <c r="E1897" s="25" t="e">
        <f t="shared" si="270"/>
        <v>#VALUE!</v>
      </c>
      <c r="F1897" s="25" t="e">
        <f t="shared" ca="1" si="271"/>
        <v>#VALUE!</v>
      </c>
      <c r="G1897" s="25"/>
      <c r="H1897" s="25" t="e">
        <f t="shared" si="275"/>
        <v>#VALUE!</v>
      </c>
      <c r="I1897" s="25">
        <f t="shared" si="272"/>
        <v>1382.9999999999686</v>
      </c>
      <c r="J1897" s="25" t="e">
        <f t="shared" si="273"/>
        <v>#VALUE!</v>
      </c>
    </row>
    <row r="1898" spans="1:10" x14ac:dyDescent="0.25">
      <c r="A1898" s="25">
        <f t="shared" si="274"/>
        <v>8.8399999999996872</v>
      </c>
      <c r="B1898" s="25">
        <f t="shared" ca="1" si="267"/>
        <v>-0.15636918787471191</v>
      </c>
      <c r="C1898" s="25" t="e">
        <f t="shared" si="268"/>
        <v>#VALUE!</v>
      </c>
      <c r="D1898" s="74" t="e">
        <f t="shared" si="269"/>
        <v>#VALUE!</v>
      </c>
      <c r="E1898" s="25" t="e">
        <f t="shared" si="270"/>
        <v>#VALUE!</v>
      </c>
      <c r="F1898" s="25" t="e">
        <f t="shared" ca="1" si="271"/>
        <v>#VALUE!</v>
      </c>
      <c r="G1898" s="25"/>
      <c r="H1898" s="25" t="e">
        <f t="shared" si="275"/>
        <v>#VALUE!</v>
      </c>
      <c r="I1898" s="25">
        <f t="shared" si="272"/>
        <v>1383.9999999999686</v>
      </c>
      <c r="J1898" s="25" t="e">
        <f t="shared" si="273"/>
        <v>#VALUE!</v>
      </c>
    </row>
    <row r="1899" spans="1:10" x14ac:dyDescent="0.25">
      <c r="A1899" s="25">
        <f t="shared" si="274"/>
        <v>8.849999999999687</v>
      </c>
      <c r="B1899" s="25">
        <f t="shared" ca="1" si="267"/>
        <v>-2.3954972557061222E-2</v>
      </c>
      <c r="C1899" s="25" t="e">
        <f t="shared" si="268"/>
        <v>#VALUE!</v>
      </c>
      <c r="D1899" s="74" t="e">
        <f t="shared" si="269"/>
        <v>#VALUE!</v>
      </c>
      <c r="E1899" s="25" t="e">
        <f t="shared" si="270"/>
        <v>#VALUE!</v>
      </c>
      <c r="F1899" s="25" t="e">
        <f t="shared" ca="1" si="271"/>
        <v>#VALUE!</v>
      </c>
      <c r="G1899" s="25"/>
      <c r="H1899" s="25" t="e">
        <f t="shared" si="275"/>
        <v>#VALUE!</v>
      </c>
      <c r="I1899" s="25">
        <f t="shared" si="272"/>
        <v>1384.9999999999686</v>
      </c>
      <c r="J1899" s="25" t="e">
        <f t="shared" si="273"/>
        <v>#VALUE!</v>
      </c>
    </row>
    <row r="1900" spans="1:10" x14ac:dyDescent="0.25">
      <c r="A1900" s="25">
        <f t="shared" si="274"/>
        <v>8.8599999999996868</v>
      </c>
      <c r="B1900" s="25">
        <f t="shared" ca="1" si="267"/>
        <v>-2.9107455453455954E-2</v>
      </c>
      <c r="C1900" s="25" t="e">
        <f t="shared" si="268"/>
        <v>#VALUE!</v>
      </c>
      <c r="D1900" s="74" t="e">
        <f t="shared" si="269"/>
        <v>#VALUE!</v>
      </c>
      <c r="E1900" s="25" t="e">
        <f t="shared" si="270"/>
        <v>#VALUE!</v>
      </c>
      <c r="F1900" s="25" t="e">
        <f t="shared" ca="1" si="271"/>
        <v>#VALUE!</v>
      </c>
      <c r="G1900" s="25"/>
      <c r="H1900" s="25" t="e">
        <f t="shared" si="275"/>
        <v>#VALUE!</v>
      </c>
      <c r="I1900" s="25">
        <f t="shared" si="272"/>
        <v>1385.9999999999686</v>
      </c>
      <c r="J1900" s="25" t="e">
        <f t="shared" si="273"/>
        <v>#VALUE!</v>
      </c>
    </row>
    <row r="1901" spans="1:10" x14ac:dyDescent="0.25">
      <c r="A1901" s="25">
        <f t="shared" si="274"/>
        <v>8.8699999999996866</v>
      </c>
      <c r="B1901" s="25">
        <f t="shared" ca="1" si="267"/>
        <v>-0.16918780898267191</v>
      </c>
      <c r="C1901" s="25" t="e">
        <f t="shared" si="268"/>
        <v>#VALUE!</v>
      </c>
      <c r="D1901" s="74" t="e">
        <f t="shared" si="269"/>
        <v>#VALUE!</v>
      </c>
      <c r="E1901" s="25" t="e">
        <f t="shared" si="270"/>
        <v>#VALUE!</v>
      </c>
      <c r="F1901" s="25" t="e">
        <f t="shared" ca="1" si="271"/>
        <v>#VALUE!</v>
      </c>
      <c r="G1901" s="25"/>
      <c r="H1901" s="25" t="e">
        <f t="shared" si="275"/>
        <v>#VALUE!</v>
      </c>
      <c r="I1901" s="25">
        <f t="shared" si="272"/>
        <v>1386.9999999999686</v>
      </c>
      <c r="J1901" s="25" t="e">
        <f t="shared" si="273"/>
        <v>#VALUE!</v>
      </c>
    </row>
    <row r="1902" spans="1:10" x14ac:dyDescent="0.25">
      <c r="A1902" s="25">
        <f t="shared" si="274"/>
        <v>8.8799999999996864</v>
      </c>
      <c r="B1902" s="25">
        <f t="shared" ca="1" si="267"/>
        <v>2.6281300874808834E-2</v>
      </c>
      <c r="C1902" s="25" t="e">
        <f t="shared" si="268"/>
        <v>#VALUE!</v>
      </c>
      <c r="D1902" s="74" t="e">
        <f t="shared" si="269"/>
        <v>#VALUE!</v>
      </c>
      <c r="E1902" s="25" t="e">
        <f t="shared" si="270"/>
        <v>#VALUE!</v>
      </c>
      <c r="F1902" s="25" t="e">
        <f t="shared" ca="1" si="271"/>
        <v>#VALUE!</v>
      </c>
      <c r="G1902" s="25"/>
      <c r="H1902" s="25" t="e">
        <f t="shared" si="275"/>
        <v>#VALUE!</v>
      </c>
      <c r="I1902" s="25">
        <f t="shared" si="272"/>
        <v>1387.9999999999686</v>
      </c>
      <c r="J1902" s="25" t="e">
        <f t="shared" si="273"/>
        <v>#VALUE!</v>
      </c>
    </row>
    <row r="1903" spans="1:10" x14ac:dyDescent="0.25">
      <c r="A1903" s="25">
        <f t="shared" si="274"/>
        <v>8.8899999999996862</v>
      </c>
      <c r="B1903" s="25">
        <f t="shared" ca="1" si="267"/>
        <v>6.1092570325180812E-2</v>
      </c>
      <c r="C1903" s="25" t="e">
        <f t="shared" si="268"/>
        <v>#VALUE!</v>
      </c>
      <c r="D1903" s="74" t="e">
        <f t="shared" si="269"/>
        <v>#VALUE!</v>
      </c>
      <c r="E1903" s="25" t="e">
        <f t="shared" si="270"/>
        <v>#VALUE!</v>
      </c>
      <c r="F1903" s="25" t="e">
        <f t="shared" ca="1" si="271"/>
        <v>#VALUE!</v>
      </c>
      <c r="G1903" s="25"/>
      <c r="H1903" s="25" t="e">
        <f t="shared" si="275"/>
        <v>#VALUE!</v>
      </c>
      <c r="I1903" s="25">
        <f t="shared" si="272"/>
        <v>1388.9999999999686</v>
      </c>
      <c r="J1903" s="25" t="e">
        <f t="shared" si="273"/>
        <v>#VALUE!</v>
      </c>
    </row>
    <row r="1904" spans="1:10" x14ac:dyDescent="0.25">
      <c r="A1904" s="25">
        <f t="shared" si="274"/>
        <v>8.8999999999996859</v>
      </c>
      <c r="B1904" s="25">
        <f t="shared" ca="1" si="267"/>
        <v>-5.7091519945288501E-2</v>
      </c>
      <c r="C1904" s="25" t="e">
        <f t="shared" si="268"/>
        <v>#VALUE!</v>
      </c>
      <c r="D1904" s="74" t="e">
        <f t="shared" si="269"/>
        <v>#VALUE!</v>
      </c>
      <c r="E1904" s="25" t="e">
        <f t="shared" si="270"/>
        <v>#VALUE!</v>
      </c>
      <c r="F1904" s="25" t="e">
        <f t="shared" ca="1" si="271"/>
        <v>#VALUE!</v>
      </c>
      <c r="G1904" s="25"/>
      <c r="H1904" s="25" t="e">
        <f t="shared" si="275"/>
        <v>#VALUE!</v>
      </c>
      <c r="I1904" s="25">
        <f t="shared" si="272"/>
        <v>1389.9999999999686</v>
      </c>
      <c r="J1904" s="25" t="e">
        <f t="shared" si="273"/>
        <v>#VALUE!</v>
      </c>
    </row>
    <row r="1905" spans="1:10" x14ac:dyDescent="0.25">
      <c r="A1905" s="25">
        <f t="shared" si="274"/>
        <v>8.9099999999996857</v>
      </c>
      <c r="B1905" s="25">
        <f t="shared" ca="1" si="267"/>
        <v>5.2498384175747065E-2</v>
      </c>
      <c r="C1905" s="25" t="e">
        <f t="shared" si="268"/>
        <v>#VALUE!</v>
      </c>
      <c r="D1905" s="74" t="e">
        <f t="shared" si="269"/>
        <v>#VALUE!</v>
      </c>
      <c r="E1905" s="25" t="e">
        <f t="shared" si="270"/>
        <v>#VALUE!</v>
      </c>
      <c r="F1905" s="25" t="e">
        <f t="shared" ca="1" si="271"/>
        <v>#VALUE!</v>
      </c>
      <c r="G1905" s="25"/>
      <c r="H1905" s="25" t="e">
        <f t="shared" si="275"/>
        <v>#VALUE!</v>
      </c>
      <c r="I1905" s="25">
        <f t="shared" si="272"/>
        <v>1390.9999999999686</v>
      </c>
      <c r="J1905" s="25" t="e">
        <f t="shared" si="273"/>
        <v>#VALUE!</v>
      </c>
    </row>
    <row r="1906" spans="1:10" x14ac:dyDescent="0.25">
      <c r="A1906" s="25">
        <f t="shared" si="274"/>
        <v>8.9199999999996855</v>
      </c>
      <c r="B1906" s="25">
        <f t="shared" ca="1" si="267"/>
        <v>4.6850412967528628E-2</v>
      </c>
      <c r="C1906" s="25" t="e">
        <f t="shared" si="268"/>
        <v>#VALUE!</v>
      </c>
      <c r="D1906" s="74" t="e">
        <f t="shared" si="269"/>
        <v>#VALUE!</v>
      </c>
      <c r="E1906" s="25" t="e">
        <f t="shared" si="270"/>
        <v>#VALUE!</v>
      </c>
      <c r="F1906" s="25" t="e">
        <f t="shared" ca="1" si="271"/>
        <v>#VALUE!</v>
      </c>
      <c r="G1906" s="25"/>
      <c r="H1906" s="25" t="e">
        <f t="shared" si="275"/>
        <v>#VALUE!</v>
      </c>
      <c r="I1906" s="25">
        <f t="shared" si="272"/>
        <v>1391.9999999999686</v>
      </c>
      <c r="J1906" s="25" t="e">
        <f t="shared" si="273"/>
        <v>#VALUE!</v>
      </c>
    </row>
    <row r="1907" spans="1:10" x14ac:dyDescent="0.25">
      <c r="A1907" s="25">
        <f t="shared" si="274"/>
        <v>8.9299999999996853</v>
      </c>
      <c r="B1907" s="25">
        <f t="shared" ca="1" si="267"/>
        <v>-5.0717220023138027E-2</v>
      </c>
      <c r="C1907" s="25" t="e">
        <f t="shared" si="268"/>
        <v>#VALUE!</v>
      </c>
      <c r="D1907" s="74" t="e">
        <f t="shared" si="269"/>
        <v>#VALUE!</v>
      </c>
      <c r="E1907" s="25" t="e">
        <f t="shared" si="270"/>
        <v>#VALUE!</v>
      </c>
      <c r="F1907" s="25" t="e">
        <f t="shared" ca="1" si="271"/>
        <v>#VALUE!</v>
      </c>
      <c r="G1907" s="25"/>
      <c r="H1907" s="25" t="e">
        <f t="shared" si="275"/>
        <v>#VALUE!</v>
      </c>
      <c r="I1907" s="25">
        <f t="shared" si="272"/>
        <v>1392.9999999999686</v>
      </c>
      <c r="J1907" s="25" t="e">
        <f t="shared" si="273"/>
        <v>#VALUE!</v>
      </c>
    </row>
    <row r="1908" spans="1:10" x14ac:dyDescent="0.25">
      <c r="A1908" s="25">
        <f t="shared" si="274"/>
        <v>8.9399999999996851</v>
      </c>
      <c r="B1908" s="25">
        <f t="shared" ca="1" si="267"/>
        <v>-0.16754171739880533</v>
      </c>
      <c r="C1908" s="25" t="e">
        <f t="shared" si="268"/>
        <v>#VALUE!</v>
      </c>
      <c r="D1908" s="74" t="e">
        <f t="shared" si="269"/>
        <v>#VALUE!</v>
      </c>
      <c r="E1908" s="25" t="e">
        <f t="shared" si="270"/>
        <v>#VALUE!</v>
      </c>
      <c r="F1908" s="25" t="e">
        <f t="shared" ca="1" si="271"/>
        <v>#VALUE!</v>
      </c>
      <c r="G1908" s="25"/>
      <c r="H1908" s="25" t="e">
        <f t="shared" si="275"/>
        <v>#VALUE!</v>
      </c>
      <c r="I1908" s="25">
        <f t="shared" si="272"/>
        <v>1393.9999999999686</v>
      </c>
      <c r="J1908" s="25" t="e">
        <f t="shared" si="273"/>
        <v>#VALUE!</v>
      </c>
    </row>
    <row r="1909" spans="1:10" x14ac:dyDescent="0.25">
      <c r="A1909" s="25">
        <f t="shared" si="274"/>
        <v>8.9499999999996849</v>
      </c>
      <c r="B1909" s="25">
        <f t="shared" ca="1" si="267"/>
        <v>-7.485974350833155E-2</v>
      </c>
      <c r="C1909" s="25" t="e">
        <f t="shared" si="268"/>
        <v>#VALUE!</v>
      </c>
      <c r="D1909" s="74" t="e">
        <f t="shared" si="269"/>
        <v>#VALUE!</v>
      </c>
      <c r="E1909" s="25" t="e">
        <f t="shared" si="270"/>
        <v>#VALUE!</v>
      </c>
      <c r="F1909" s="25" t="e">
        <f t="shared" ca="1" si="271"/>
        <v>#VALUE!</v>
      </c>
      <c r="G1909" s="25"/>
      <c r="H1909" s="25" t="e">
        <f t="shared" si="275"/>
        <v>#VALUE!</v>
      </c>
      <c r="I1909" s="25">
        <f t="shared" si="272"/>
        <v>1394.9999999999686</v>
      </c>
      <c r="J1909" s="25" t="e">
        <f t="shared" si="273"/>
        <v>#VALUE!</v>
      </c>
    </row>
    <row r="1910" spans="1:10" x14ac:dyDescent="0.25">
      <c r="A1910" s="25">
        <f t="shared" si="274"/>
        <v>8.9599999999996847</v>
      </c>
      <c r="B1910" s="25">
        <f t="shared" ca="1" si="267"/>
        <v>-0.14171134989995413</v>
      </c>
      <c r="C1910" s="25" t="e">
        <f t="shared" si="268"/>
        <v>#VALUE!</v>
      </c>
      <c r="D1910" s="74" t="e">
        <f t="shared" si="269"/>
        <v>#VALUE!</v>
      </c>
      <c r="E1910" s="25" t="e">
        <f t="shared" si="270"/>
        <v>#VALUE!</v>
      </c>
      <c r="F1910" s="25" t="e">
        <f t="shared" ca="1" si="271"/>
        <v>#VALUE!</v>
      </c>
      <c r="G1910" s="25"/>
      <c r="H1910" s="25" t="e">
        <f t="shared" si="275"/>
        <v>#VALUE!</v>
      </c>
      <c r="I1910" s="25">
        <f t="shared" si="272"/>
        <v>1395.9999999999686</v>
      </c>
      <c r="J1910" s="25" t="e">
        <f t="shared" si="273"/>
        <v>#VALUE!</v>
      </c>
    </row>
    <row r="1911" spans="1:10" x14ac:dyDescent="0.25">
      <c r="A1911" s="25">
        <f t="shared" si="274"/>
        <v>8.9699999999996844</v>
      </c>
      <c r="B1911" s="25">
        <f t="shared" ca="1" si="267"/>
        <v>-9.7019358540954004E-2</v>
      </c>
      <c r="C1911" s="25" t="e">
        <f t="shared" si="268"/>
        <v>#VALUE!</v>
      </c>
      <c r="D1911" s="74" t="e">
        <f t="shared" si="269"/>
        <v>#VALUE!</v>
      </c>
      <c r="E1911" s="25" t="e">
        <f t="shared" si="270"/>
        <v>#VALUE!</v>
      </c>
      <c r="F1911" s="25" t="e">
        <f t="shared" ca="1" si="271"/>
        <v>#VALUE!</v>
      </c>
      <c r="G1911" s="25"/>
      <c r="H1911" s="25" t="e">
        <f t="shared" si="275"/>
        <v>#VALUE!</v>
      </c>
      <c r="I1911" s="25">
        <f t="shared" si="272"/>
        <v>1396.9999999999686</v>
      </c>
      <c r="J1911" s="25" t="e">
        <f t="shared" si="273"/>
        <v>#VALUE!</v>
      </c>
    </row>
    <row r="1912" spans="1:10" x14ac:dyDescent="0.25">
      <c r="A1912" s="25">
        <f t="shared" si="274"/>
        <v>8.9799999999996842</v>
      </c>
      <c r="B1912" s="25">
        <f t="shared" ca="1" si="267"/>
        <v>3.6755254263948274E-2</v>
      </c>
      <c r="C1912" s="25" t="e">
        <f t="shared" si="268"/>
        <v>#VALUE!</v>
      </c>
      <c r="D1912" s="74" t="e">
        <f t="shared" si="269"/>
        <v>#VALUE!</v>
      </c>
      <c r="E1912" s="25" t="e">
        <f t="shared" si="270"/>
        <v>#VALUE!</v>
      </c>
      <c r="F1912" s="25" t="e">
        <f t="shared" ca="1" si="271"/>
        <v>#VALUE!</v>
      </c>
      <c r="G1912" s="25"/>
      <c r="H1912" s="25" t="e">
        <f t="shared" si="275"/>
        <v>#VALUE!</v>
      </c>
      <c r="I1912" s="25">
        <f t="shared" si="272"/>
        <v>1397.9999999999684</v>
      </c>
      <c r="J1912" s="25" t="e">
        <f t="shared" si="273"/>
        <v>#VALUE!</v>
      </c>
    </row>
    <row r="1913" spans="1:10" x14ac:dyDescent="0.25">
      <c r="A1913" s="25">
        <f t="shared" si="274"/>
        <v>8.989999999999684</v>
      </c>
      <c r="B1913" s="25">
        <f t="shared" ca="1" si="267"/>
        <v>2.4878236238633861E-2</v>
      </c>
      <c r="C1913" s="25" t="e">
        <f t="shared" si="268"/>
        <v>#VALUE!</v>
      </c>
      <c r="D1913" s="74" t="e">
        <f t="shared" si="269"/>
        <v>#VALUE!</v>
      </c>
      <c r="E1913" s="25" t="e">
        <f t="shared" si="270"/>
        <v>#VALUE!</v>
      </c>
      <c r="F1913" s="25" t="e">
        <f t="shared" ca="1" si="271"/>
        <v>#VALUE!</v>
      </c>
      <c r="G1913" s="25"/>
      <c r="H1913" s="25" t="e">
        <f t="shared" si="275"/>
        <v>#VALUE!</v>
      </c>
      <c r="I1913" s="25">
        <f t="shared" si="272"/>
        <v>1398.9999999999684</v>
      </c>
      <c r="J1913" s="25" t="e">
        <f t="shared" si="273"/>
        <v>#VALUE!</v>
      </c>
    </row>
    <row r="1914" spans="1:10" x14ac:dyDescent="0.25">
      <c r="A1914" s="25">
        <f t="shared" si="274"/>
        <v>8.9999999999996838</v>
      </c>
      <c r="B1914" s="25">
        <f t="shared" ca="1" si="267"/>
        <v>7.5581149484717962E-3</v>
      </c>
      <c r="C1914" s="25" t="e">
        <f t="shared" si="268"/>
        <v>#VALUE!</v>
      </c>
      <c r="D1914" s="74" t="e">
        <f t="shared" si="269"/>
        <v>#VALUE!</v>
      </c>
      <c r="E1914" s="25" t="e">
        <f t="shared" si="270"/>
        <v>#VALUE!</v>
      </c>
      <c r="F1914" s="25" t="e">
        <f t="shared" ca="1" si="271"/>
        <v>#VALUE!</v>
      </c>
      <c r="G1914" s="25"/>
      <c r="H1914" s="25" t="e">
        <f t="shared" si="275"/>
        <v>#VALUE!</v>
      </c>
      <c r="I1914" s="25">
        <f t="shared" si="272"/>
        <v>1399.9999999999684</v>
      </c>
      <c r="J1914" s="25" t="e">
        <f t="shared" si="273"/>
        <v>#VALUE!</v>
      </c>
    </row>
    <row r="1915" spans="1:10" x14ac:dyDescent="0.25">
      <c r="A1915" s="25">
        <f t="shared" si="274"/>
        <v>9.0099999999996836</v>
      </c>
      <c r="B1915" s="25">
        <f t="shared" ca="1" si="267"/>
        <v>-4.5016478210373141E-2</v>
      </c>
      <c r="C1915" s="25" t="e">
        <f t="shared" si="268"/>
        <v>#VALUE!</v>
      </c>
      <c r="D1915" s="74" t="e">
        <f t="shared" si="269"/>
        <v>#VALUE!</v>
      </c>
      <c r="E1915" s="25" t="e">
        <f t="shared" si="270"/>
        <v>#VALUE!</v>
      </c>
      <c r="F1915" s="25" t="e">
        <f t="shared" ca="1" si="271"/>
        <v>#VALUE!</v>
      </c>
      <c r="G1915" s="25"/>
      <c r="H1915" s="25" t="e">
        <f t="shared" si="275"/>
        <v>#VALUE!</v>
      </c>
      <c r="I1915" s="25">
        <f t="shared" si="272"/>
        <v>1400.9999999999684</v>
      </c>
      <c r="J1915" s="25" t="e">
        <f t="shared" si="273"/>
        <v>#VALUE!</v>
      </c>
    </row>
    <row r="1916" spans="1:10" x14ac:dyDescent="0.25">
      <c r="A1916" s="25">
        <f t="shared" si="274"/>
        <v>9.0199999999996834</v>
      </c>
      <c r="B1916" s="25">
        <f t="shared" ca="1" si="267"/>
        <v>3.8886352094229332E-2</v>
      </c>
      <c r="C1916" s="25" t="e">
        <f t="shared" si="268"/>
        <v>#VALUE!</v>
      </c>
      <c r="D1916" s="74" t="e">
        <f t="shared" si="269"/>
        <v>#VALUE!</v>
      </c>
      <c r="E1916" s="25" t="e">
        <f t="shared" si="270"/>
        <v>#VALUE!</v>
      </c>
      <c r="F1916" s="25" t="e">
        <f t="shared" ca="1" si="271"/>
        <v>#VALUE!</v>
      </c>
      <c r="G1916" s="25"/>
      <c r="H1916" s="25" t="e">
        <f t="shared" si="275"/>
        <v>#VALUE!</v>
      </c>
      <c r="I1916" s="25">
        <f t="shared" si="272"/>
        <v>1401.9999999999684</v>
      </c>
      <c r="J1916" s="25" t="e">
        <f t="shared" si="273"/>
        <v>#VALUE!</v>
      </c>
    </row>
    <row r="1917" spans="1:10" x14ac:dyDescent="0.25">
      <c r="A1917" s="25">
        <f t="shared" si="274"/>
        <v>9.0299999999996832</v>
      </c>
      <c r="B1917" s="25">
        <f t="shared" ca="1" si="267"/>
        <v>5.0804070005292662E-2</v>
      </c>
      <c r="C1917" s="25" t="e">
        <f t="shared" si="268"/>
        <v>#VALUE!</v>
      </c>
      <c r="D1917" s="74" t="e">
        <f t="shared" si="269"/>
        <v>#VALUE!</v>
      </c>
      <c r="E1917" s="25" t="e">
        <f t="shared" si="270"/>
        <v>#VALUE!</v>
      </c>
      <c r="F1917" s="25" t="e">
        <f t="shared" ca="1" si="271"/>
        <v>#VALUE!</v>
      </c>
      <c r="G1917" s="25"/>
      <c r="H1917" s="25" t="e">
        <f t="shared" si="275"/>
        <v>#VALUE!</v>
      </c>
      <c r="I1917" s="25">
        <f t="shared" si="272"/>
        <v>1402.9999999999684</v>
      </c>
      <c r="J1917" s="25" t="e">
        <f t="shared" si="273"/>
        <v>#VALUE!</v>
      </c>
    </row>
    <row r="1918" spans="1:10" x14ac:dyDescent="0.25">
      <c r="A1918" s="25">
        <f t="shared" si="274"/>
        <v>9.039999999999683</v>
      </c>
      <c r="B1918" s="25">
        <f t="shared" ca="1" si="267"/>
        <v>-0.13948867340822357</v>
      </c>
      <c r="C1918" s="25" t="e">
        <f t="shared" si="268"/>
        <v>#VALUE!</v>
      </c>
      <c r="D1918" s="74" t="e">
        <f t="shared" si="269"/>
        <v>#VALUE!</v>
      </c>
      <c r="E1918" s="25" t="e">
        <f t="shared" si="270"/>
        <v>#VALUE!</v>
      </c>
      <c r="F1918" s="25" t="e">
        <f t="shared" ca="1" si="271"/>
        <v>#VALUE!</v>
      </c>
      <c r="G1918" s="25"/>
      <c r="H1918" s="25" t="e">
        <f t="shared" si="275"/>
        <v>#VALUE!</v>
      </c>
      <c r="I1918" s="25">
        <f t="shared" si="272"/>
        <v>1403.9999999999684</v>
      </c>
      <c r="J1918" s="25" t="e">
        <f t="shared" si="273"/>
        <v>#VALUE!</v>
      </c>
    </row>
    <row r="1919" spans="1:10" x14ac:dyDescent="0.25">
      <c r="A1919" s="25">
        <f t="shared" si="274"/>
        <v>9.0499999999996827</v>
      </c>
      <c r="B1919" s="25">
        <f t="shared" ca="1" si="267"/>
        <v>7.2870508165973985E-2</v>
      </c>
      <c r="C1919" s="25" t="e">
        <f t="shared" si="268"/>
        <v>#VALUE!</v>
      </c>
      <c r="D1919" s="74" t="e">
        <f t="shared" si="269"/>
        <v>#VALUE!</v>
      </c>
      <c r="E1919" s="25" t="e">
        <f t="shared" si="270"/>
        <v>#VALUE!</v>
      </c>
      <c r="F1919" s="25" t="e">
        <f t="shared" ca="1" si="271"/>
        <v>#VALUE!</v>
      </c>
      <c r="G1919" s="25"/>
      <c r="H1919" s="25" t="e">
        <f t="shared" si="275"/>
        <v>#VALUE!</v>
      </c>
      <c r="I1919" s="25">
        <f t="shared" si="272"/>
        <v>1404.9999999999684</v>
      </c>
      <c r="J1919" s="25" t="e">
        <f t="shared" si="273"/>
        <v>#VALUE!</v>
      </c>
    </row>
    <row r="1920" spans="1:10" x14ac:dyDescent="0.25">
      <c r="A1920" s="25">
        <f t="shared" si="274"/>
        <v>9.0599999999996825</v>
      </c>
      <c r="B1920" s="25">
        <f t="shared" ca="1" si="267"/>
        <v>-0.18006130443997656</v>
      </c>
      <c r="C1920" s="25" t="e">
        <f t="shared" si="268"/>
        <v>#VALUE!</v>
      </c>
      <c r="D1920" s="74" t="e">
        <f t="shared" si="269"/>
        <v>#VALUE!</v>
      </c>
      <c r="E1920" s="25" t="e">
        <f t="shared" si="270"/>
        <v>#VALUE!</v>
      </c>
      <c r="F1920" s="25" t="e">
        <f t="shared" ca="1" si="271"/>
        <v>#VALUE!</v>
      </c>
      <c r="G1920" s="25"/>
      <c r="H1920" s="25" t="e">
        <f t="shared" si="275"/>
        <v>#VALUE!</v>
      </c>
      <c r="I1920" s="25">
        <f t="shared" si="272"/>
        <v>1405.9999999999682</v>
      </c>
      <c r="J1920" s="25" t="e">
        <f t="shared" si="273"/>
        <v>#VALUE!</v>
      </c>
    </row>
    <row r="1921" spans="1:10" x14ac:dyDescent="0.25">
      <c r="A1921" s="25">
        <f t="shared" si="274"/>
        <v>9.0699999999996823</v>
      </c>
      <c r="B1921" s="25">
        <f t="shared" ca="1" si="267"/>
        <v>-0.17784124989876937</v>
      </c>
      <c r="C1921" s="25" t="e">
        <f t="shared" si="268"/>
        <v>#VALUE!</v>
      </c>
      <c r="D1921" s="74" t="e">
        <f t="shared" si="269"/>
        <v>#VALUE!</v>
      </c>
      <c r="E1921" s="25" t="e">
        <f t="shared" si="270"/>
        <v>#VALUE!</v>
      </c>
      <c r="F1921" s="25" t="e">
        <f t="shared" ca="1" si="271"/>
        <v>#VALUE!</v>
      </c>
      <c r="G1921" s="25"/>
      <c r="H1921" s="25" t="e">
        <f t="shared" si="275"/>
        <v>#VALUE!</v>
      </c>
      <c r="I1921" s="25">
        <f t="shared" si="272"/>
        <v>1406.9999999999682</v>
      </c>
      <c r="J1921" s="25" t="e">
        <f t="shared" si="273"/>
        <v>#VALUE!</v>
      </c>
    </row>
    <row r="1922" spans="1:10" x14ac:dyDescent="0.25">
      <c r="A1922" s="25">
        <f t="shared" si="274"/>
        <v>9.0799999999996821</v>
      </c>
      <c r="B1922" s="25">
        <f t="shared" ca="1" si="267"/>
        <v>-3.6839553187811187E-2</v>
      </c>
      <c r="C1922" s="25" t="e">
        <f t="shared" si="268"/>
        <v>#VALUE!</v>
      </c>
      <c r="D1922" s="74" t="e">
        <f t="shared" si="269"/>
        <v>#VALUE!</v>
      </c>
      <c r="E1922" s="25" t="e">
        <f t="shared" si="270"/>
        <v>#VALUE!</v>
      </c>
      <c r="F1922" s="25" t="e">
        <f t="shared" ca="1" si="271"/>
        <v>#VALUE!</v>
      </c>
      <c r="G1922" s="25"/>
      <c r="H1922" s="25" t="e">
        <f t="shared" si="275"/>
        <v>#VALUE!</v>
      </c>
      <c r="I1922" s="25">
        <f t="shared" si="272"/>
        <v>1407.9999999999682</v>
      </c>
      <c r="J1922" s="25" t="e">
        <f t="shared" si="273"/>
        <v>#VALUE!</v>
      </c>
    </row>
    <row r="1923" spans="1:10" x14ac:dyDescent="0.25">
      <c r="A1923" s="25">
        <f t="shared" si="274"/>
        <v>9.0899999999996819</v>
      </c>
      <c r="B1923" s="25">
        <f t="shared" ca="1" si="267"/>
        <v>0.13199328069067742</v>
      </c>
      <c r="C1923" s="25" t="e">
        <f t="shared" si="268"/>
        <v>#VALUE!</v>
      </c>
      <c r="D1923" s="74" t="e">
        <f t="shared" si="269"/>
        <v>#VALUE!</v>
      </c>
      <c r="E1923" s="25" t="e">
        <f t="shared" si="270"/>
        <v>#VALUE!</v>
      </c>
      <c r="F1923" s="25" t="e">
        <f t="shared" ca="1" si="271"/>
        <v>#VALUE!</v>
      </c>
      <c r="G1923" s="25"/>
      <c r="H1923" s="25" t="e">
        <f t="shared" si="275"/>
        <v>#VALUE!</v>
      </c>
      <c r="I1923" s="25">
        <f t="shared" si="272"/>
        <v>1408.9999999999682</v>
      </c>
      <c r="J1923" s="25" t="e">
        <f t="shared" si="273"/>
        <v>#VALUE!</v>
      </c>
    </row>
    <row r="1924" spans="1:10" x14ac:dyDescent="0.25">
      <c r="A1924" s="25">
        <f t="shared" si="274"/>
        <v>9.0999999999996817</v>
      </c>
      <c r="B1924" s="25">
        <f t="shared" ca="1" si="267"/>
        <v>-2.3112810517427317E-2</v>
      </c>
      <c r="C1924" s="25" t="e">
        <f t="shared" si="268"/>
        <v>#VALUE!</v>
      </c>
      <c r="D1924" s="74" t="e">
        <f t="shared" si="269"/>
        <v>#VALUE!</v>
      </c>
      <c r="E1924" s="25" t="e">
        <f t="shared" si="270"/>
        <v>#VALUE!</v>
      </c>
      <c r="F1924" s="25" t="e">
        <f t="shared" ca="1" si="271"/>
        <v>#VALUE!</v>
      </c>
      <c r="G1924" s="25"/>
      <c r="H1924" s="25" t="e">
        <f t="shared" si="275"/>
        <v>#VALUE!</v>
      </c>
      <c r="I1924" s="25">
        <f t="shared" si="272"/>
        <v>1409.9999999999682</v>
      </c>
      <c r="J1924" s="25" t="e">
        <f t="shared" si="273"/>
        <v>#VALUE!</v>
      </c>
    </row>
    <row r="1925" spans="1:10" x14ac:dyDescent="0.25">
      <c r="A1925" s="25">
        <f t="shared" si="274"/>
        <v>9.1099999999996815</v>
      </c>
      <c r="B1925" s="25">
        <f t="shared" ca="1" si="267"/>
        <v>0.12675116706968889</v>
      </c>
      <c r="C1925" s="25" t="e">
        <f t="shared" si="268"/>
        <v>#VALUE!</v>
      </c>
      <c r="D1925" s="74" t="e">
        <f t="shared" si="269"/>
        <v>#VALUE!</v>
      </c>
      <c r="E1925" s="25" t="e">
        <f t="shared" si="270"/>
        <v>#VALUE!</v>
      </c>
      <c r="F1925" s="25" t="e">
        <f t="shared" ca="1" si="271"/>
        <v>#VALUE!</v>
      </c>
      <c r="G1925" s="25"/>
      <c r="H1925" s="25" t="e">
        <f t="shared" si="275"/>
        <v>#VALUE!</v>
      </c>
      <c r="I1925" s="25">
        <f t="shared" si="272"/>
        <v>1410.9999999999682</v>
      </c>
      <c r="J1925" s="25" t="e">
        <f t="shared" si="273"/>
        <v>#VALUE!</v>
      </c>
    </row>
    <row r="1926" spans="1:10" x14ac:dyDescent="0.25">
      <c r="A1926" s="25">
        <f t="shared" si="274"/>
        <v>9.1199999999996813</v>
      </c>
      <c r="B1926" s="25">
        <f t="shared" ca="1" si="267"/>
        <v>-2.2646095593264109E-2</v>
      </c>
      <c r="C1926" s="25" t="e">
        <f t="shared" si="268"/>
        <v>#VALUE!</v>
      </c>
      <c r="D1926" s="74" t="e">
        <f t="shared" si="269"/>
        <v>#VALUE!</v>
      </c>
      <c r="E1926" s="25" t="e">
        <f t="shared" si="270"/>
        <v>#VALUE!</v>
      </c>
      <c r="F1926" s="25" t="e">
        <f t="shared" ca="1" si="271"/>
        <v>#VALUE!</v>
      </c>
      <c r="G1926" s="25"/>
      <c r="H1926" s="25" t="e">
        <f t="shared" si="275"/>
        <v>#VALUE!</v>
      </c>
      <c r="I1926" s="25">
        <f t="shared" si="272"/>
        <v>1411.9999999999682</v>
      </c>
      <c r="J1926" s="25" t="e">
        <f t="shared" si="273"/>
        <v>#VALUE!</v>
      </c>
    </row>
    <row r="1927" spans="1:10" x14ac:dyDescent="0.25">
      <c r="A1927" s="25">
        <f t="shared" si="274"/>
        <v>9.129999999999681</v>
      </c>
      <c r="B1927" s="25">
        <f t="shared" ca="1" si="267"/>
        <v>-3.843876880547497E-2</v>
      </c>
      <c r="C1927" s="25" t="e">
        <f t="shared" si="268"/>
        <v>#VALUE!</v>
      </c>
      <c r="D1927" s="74" t="e">
        <f t="shared" si="269"/>
        <v>#VALUE!</v>
      </c>
      <c r="E1927" s="25" t="e">
        <f t="shared" si="270"/>
        <v>#VALUE!</v>
      </c>
      <c r="F1927" s="25" t="e">
        <f t="shared" ca="1" si="271"/>
        <v>#VALUE!</v>
      </c>
      <c r="G1927" s="25"/>
      <c r="H1927" s="25" t="e">
        <f t="shared" si="275"/>
        <v>#VALUE!</v>
      </c>
      <c r="I1927" s="25">
        <f t="shared" si="272"/>
        <v>1412.9999999999682</v>
      </c>
      <c r="J1927" s="25" t="e">
        <f t="shared" si="273"/>
        <v>#VALUE!</v>
      </c>
    </row>
    <row r="1928" spans="1:10" x14ac:dyDescent="0.25">
      <c r="A1928" s="25">
        <f t="shared" si="274"/>
        <v>9.1399999999996808</v>
      </c>
      <c r="B1928" s="25">
        <f t="shared" ca="1" si="267"/>
        <v>-7.7661778421060049E-2</v>
      </c>
      <c r="C1928" s="25" t="e">
        <f t="shared" si="268"/>
        <v>#VALUE!</v>
      </c>
      <c r="D1928" s="74" t="e">
        <f t="shared" si="269"/>
        <v>#VALUE!</v>
      </c>
      <c r="E1928" s="25" t="e">
        <f t="shared" si="270"/>
        <v>#VALUE!</v>
      </c>
      <c r="F1928" s="25" t="e">
        <f t="shared" ca="1" si="271"/>
        <v>#VALUE!</v>
      </c>
      <c r="G1928" s="25"/>
      <c r="H1928" s="25" t="e">
        <f t="shared" si="275"/>
        <v>#VALUE!</v>
      </c>
      <c r="I1928" s="25">
        <f t="shared" si="272"/>
        <v>1413.9999999999682</v>
      </c>
      <c r="J1928" s="25" t="e">
        <f t="shared" si="273"/>
        <v>#VALUE!</v>
      </c>
    </row>
    <row r="1929" spans="1:10" x14ac:dyDescent="0.25">
      <c r="A1929" s="25">
        <f t="shared" si="274"/>
        <v>9.1499999999996806</v>
      </c>
      <c r="B1929" s="25">
        <f t="shared" ca="1" si="267"/>
        <v>0.12762153000014828</v>
      </c>
      <c r="C1929" s="25" t="e">
        <f t="shared" si="268"/>
        <v>#VALUE!</v>
      </c>
      <c r="D1929" s="74" t="e">
        <f t="shared" si="269"/>
        <v>#VALUE!</v>
      </c>
      <c r="E1929" s="25" t="e">
        <f t="shared" si="270"/>
        <v>#VALUE!</v>
      </c>
      <c r="F1929" s="25" t="e">
        <f t="shared" ca="1" si="271"/>
        <v>#VALUE!</v>
      </c>
      <c r="G1929" s="25"/>
      <c r="H1929" s="25" t="e">
        <f t="shared" si="275"/>
        <v>#VALUE!</v>
      </c>
      <c r="I1929" s="25">
        <f t="shared" si="272"/>
        <v>1414.9999999999679</v>
      </c>
      <c r="J1929" s="25" t="e">
        <f t="shared" si="273"/>
        <v>#VALUE!</v>
      </c>
    </row>
    <row r="1930" spans="1:10" x14ac:dyDescent="0.25">
      <c r="A1930" s="25">
        <f t="shared" si="274"/>
        <v>9.1599999999996804</v>
      </c>
      <c r="B1930" s="25">
        <f t="shared" ca="1" si="267"/>
        <v>-0.10677883620511475</v>
      </c>
      <c r="C1930" s="25" t="e">
        <f t="shared" si="268"/>
        <v>#VALUE!</v>
      </c>
      <c r="D1930" s="74" t="e">
        <f t="shared" si="269"/>
        <v>#VALUE!</v>
      </c>
      <c r="E1930" s="25" t="e">
        <f t="shared" si="270"/>
        <v>#VALUE!</v>
      </c>
      <c r="F1930" s="25" t="e">
        <f t="shared" ca="1" si="271"/>
        <v>#VALUE!</v>
      </c>
      <c r="G1930" s="25"/>
      <c r="H1930" s="25" t="e">
        <f t="shared" si="275"/>
        <v>#VALUE!</v>
      </c>
      <c r="I1930" s="25">
        <f t="shared" si="272"/>
        <v>1415.9999999999679</v>
      </c>
      <c r="J1930" s="25" t="e">
        <f t="shared" si="273"/>
        <v>#VALUE!</v>
      </c>
    </row>
    <row r="1931" spans="1:10" x14ac:dyDescent="0.25">
      <c r="A1931" s="25">
        <f t="shared" si="274"/>
        <v>9.1699999999996802</v>
      </c>
      <c r="B1931" s="25">
        <f t="shared" ca="1" si="267"/>
        <v>-0.11348410807847771</v>
      </c>
      <c r="C1931" s="25" t="e">
        <f t="shared" si="268"/>
        <v>#VALUE!</v>
      </c>
      <c r="D1931" s="74" t="e">
        <f t="shared" si="269"/>
        <v>#VALUE!</v>
      </c>
      <c r="E1931" s="25" t="e">
        <f t="shared" si="270"/>
        <v>#VALUE!</v>
      </c>
      <c r="F1931" s="25" t="e">
        <f t="shared" ca="1" si="271"/>
        <v>#VALUE!</v>
      </c>
      <c r="G1931" s="25"/>
      <c r="H1931" s="25" t="e">
        <f t="shared" si="275"/>
        <v>#VALUE!</v>
      </c>
      <c r="I1931" s="25">
        <f t="shared" si="272"/>
        <v>1416.9999999999679</v>
      </c>
      <c r="J1931" s="25" t="e">
        <f t="shared" si="273"/>
        <v>#VALUE!</v>
      </c>
    </row>
    <row r="1932" spans="1:10" x14ac:dyDescent="0.25">
      <c r="A1932" s="25">
        <f t="shared" si="274"/>
        <v>9.17999999999968</v>
      </c>
      <c r="B1932" s="25">
        <f t="shared" ca="1" si="267"/>
        <v>6.204306926663164E-2</v>
      </c>
      <c r="C1932" s="25" t="e">
        <f t="shared" si="268"/>
        <v>#VALUE!</v>
      </c>
      <c r="D1932" s="74" t="e">
        <f t="shared" si="269"/>
        <v>#VALUE!</v>
      </c>
      <c r="E1932" s="25" t="e">
        <f t="shared" si="270"/>
        <v>#VALUE!</v>
      </c>
      <c r="F1932" s="25" t="e">
        <f t="shared" ca="1" si="271"/>
        <v>#VALUE!</v>
      </c>
      <c r="G1932" s="25"/>
      <c r="H1932" s="25" t="e">
        <f t="shared" si="275"/>
        <v>#VALUE!</v>
      </c>
      <c r="I1932" s="25">
        <f t="shared" si="272"/>
        <v>1417.9999999999679</v>
      </c>
      <c r="J1932" s="25" t="e">
        <f t="shared" si="273"/>
        <v>#VALUE!</v>
      </c>
    </row>
    <row r="1933" spans="1:10" x14ac:dyDescent="0.25">
      <c r="A1933" s="25">
        <f t="shared" si="274"/>
        <v>9.1899999999996798</v>
      </c>
      <c r="B1933" s="25">
        <f t="shared" ca="1" si="267"/>
        <v>0.12793502557301431</v>
      </c>
      <c r="C1933" s="25" t="e">
        <f t="shared" si="268"/>
        <v>#VALUE!</v>
      </c>
      <c r="D1933" s="74" t="e">
        <f t="shared" si="269"/>
        <v>#VALUE!</v>
      </c>
      <c r="E1933" s="25" t="e">
        <f t="shared" si="270"/>
        <v>#VALUE!</v>
      </c>
      <c r="F1933" s="25" t="e">
        <f t="shared" ca="1" si="271"/>
        <v>#VALUE!</v>
      </c>
      <c r="G1933" s="25"/>
      <c r="H1933" s="25" t="e">
        <f t="shared" si="275"/>
        <v>#VALUE!</v>
      </c>
      <c r="I1933" s="25">
        <f t="shared" si="272"/>
        <v>1418.9999999999679</v>
      </c>
      <c r="J1933" s="25" t="e">
        <f t="shared" si="273"/>
        <v>#VALUE!</v>
      </c>
    </row>
    <row r="1934" spans="1:10" x14ac:dyDescent="0.25">
      <c r="A1934" s="25">
        <f t="shared" si="274"/>
        <v>9.1999999999996795</v>
      </c>
      <c r="B1934" s="25">
        <f t="shared" ref="B1934:B1997" ca="1" si="276">(RAND()-0.5-$B$7)/$B$5</f>
        <v>1.1741331559959442E-2</v>
      </c>
      <c r="C1934" s="25" t="e">
        <f t="shared" ref="C1934:C1997" si="277">IF(ABS(A1934)&lt;=($D$3/2),1,IF(ABS(A1934)&lt;=($B$4/2),IF(A1934&gt;0,A1934*(4/(1-2*$B$4))+(2*$B$4/(2*$B$4-1)),(-A1934*(4/(1-2*$B$4))+(2*$B$4/(2*$B$4-1)))),0))</f>
        <v>#VALUE!</v>
      </c>
      <c r="D1934" s="74" t="e">
        <f t="shared" ref="D1934:D1997" si="278">IF(ABS(A1934)&lt;=($D$3/4+$B$4/4),1,IF(ABS(A1934)&lt;=($B$4/2),(IF(A1934&gt;0,A1934*(8/(1-2*$B$4))+(4*$B$4)/(2*$B$4-1),(-A1934*(8/(1-2*$B$4))+(4*$B$4)/(2*$B$4-1)))),0))</f>
        <v>#VALUE!</v>
      </c>
      <c r="E1934" s="25" t="e">
        <f t="shared" ref="E1934:E1997" si="279">IF(ABS(A1934)&lt;($B$4/2), 1, 0)</f>
        <v>#VALUE!</v>
      </c>
      <c r="F1934" s="25" t="e">
        <f t="shared" ref="F1934:F1997" ca="1" si="280">C1934+B1934</f>
        <v>#VALUE!</v>
      </c>
      <c r="G1934" s="25"/>
      <c r="H1934" s="25" t="e">
        <f t="shared" si="275"/>
        <v>#VALUE!</v>
      </c>
      <c r="I1934" s="25">
        <f t="shared" ref="I1934:I1997" si="281">$I$3*(A1934-$G$3)/($H$3-$G$3)</f>
        <v>1419.9999999999679</v>
      </c>
      <c r="J1934" s="25" t="e">
        <f t="shared" ref="J1934:J1997" si="282">H1934</f>
        <v>#VALUE!</v>
      </c>
    </row>
    <row r="1935" spans="1:10" x14ac:dyDescent="0.25">
      <c r="A1935" s="25">
        <f t="shared" ref="A1935:A1998" si="283">A1934+0.01</f>
        <v>9.2099999999996793</v>
      </c>
      <c r="B1935" s="25">
        <f t="shared" ca="1" si="276"/>
        <v>7.7394622567914281E-2</v>
      </c>
      <c r="C1935" s="25" t="e">
        <f t="shared" si="277"/>
        <v>#VALUE!</v>
      </c>
      <c r="D1935" s="74" t="e">
        <f t="shared" si="278"/>
        <v>#VALUE!</v>
      </c>
      <c r="E1935" s="25" t="e">
        <f t="shared" si="279"/>
        <v>#VALUE!</v>
      </c>
      <c r="F1935" s="25" t="e">
        <f t="shared" ca="1" si="280"/>
        <v>#VALUE!</v>
      </c>
      <c r="G1935" s="25"/>
      <c r="H1935" s="25" t="e">
        <f t="shared" si="275"/>
        <v>#VALUE!</v>
      </c>
      <c r="I1935" s="25">
        <f t="shared" si="281"/>
        <v>1420.9999999999679</v>
      </c>
      <c r="J1935" s="25" t="e">
        <f t="shared" si="282"/>
        <v>#VALUE!</v>
      </c>
    </row>
    <row r="1936" spans="1:10" x14ac:dyDescent="0.25">
      <c r="A1936" s="25">
        <f t="shared" si="283"/>
        <v>9.2199999999996791</v>
      </c>
      <c r="B1936" s="25">
        <f t="shared" ca="1" si="276"/>
        <v>4.657358746165758E-2</v>
      </c>
      <c r="C1936" s="25" t="e">
        <f t="shared" si="277"/>
        <v>#VALUE!</v>
      </c>
      <c r="D1936" s="74" t="e">
        <f t="shared" si="278"/>
        <v>#VALUE!</v>
      </c>
      <c r="E1936" s="25" t="e">
        <f t="shared" si="279"/>
        <v>#VALUE!</v>
      </c>
      <c r="F1936" s="25" t="e">
        <f t="shared" ca="1" si="280"/>
        <v>#VALUE!</v>
      </c>
      <c r="G1936" s="25"/>
      <c r="H1936" s="25" t="e">
        <f t="shared" si="275"/>
        <v>#VALUE!</v>
      </c>
      <c r="I1936" s="25">
        <f t="shared" si="281"/>
        <v>1421.9999999999679</v>
      </c>
      <c r="J1936" s="25" t="e">
        <f t="shared" si="282"/>
        <v>#VALUE!</v>
      </c>
    </row>
    <row r="1937" spans="1:10" x14ac:dyDescent="0.25">
      <c r="A1937" s="25">
        <f t="shared" si="283"/>
        <v>9.2299999999996789</v>
      </c>
      <c r="B1937" s="25">
        <f t="shared" ca="1" si="276"/>
        <v>2.3428720731127662E-2</v>
      </c>
      <c r="C1937" s="25" t="e">
        <f t="shared" si="277"/>
        <v>#VALUE!</v>
      </c>
      <c r="D1937" s="74" t="e">
        <f t="shared" si="278"/>
        <v>#VALUE!</v>
      </c>
      <c r="E1937" s="25" t="e">
        <f t="shared" si="279"/>
        <v>#VALUE!</v>
      </c>
      <c r="F1937" s="25" t="e">
        <f t="shared" ca="1" si="280"/>
        <v>#VALUE!</v>
      </c>
      <c r="G1937" s="25"/>
      <c r="H1937" s="25" t="e">
        <f t="shared" si="275"/>
        <v>#VALUE!</v>
      </c>
      <c r="I1937" s="25">
        <f t="shared" si="281"/>
        <v>1422.9999999999677</v>
      </c>
      <c r="J1937" s="25" t="e">
        <f t="shared" si="282"/>
        <v>#VALUE!</v>
      </c>
    </row>
    <row r="1938" spans="1:10" x14ac:dyDescent="0.25">
      <c r="A1938" s="25">
        <f t="shared" si="283"/>
        <v>9.2399999999996787</v>
      </c>
      <c r="B1938" s="25">
        <f t="shared" ca="1" si="276"/>
        <v>5.6222120084920953E-2</v>
      </c>
      <c r="C1938" s="25" t="e">
        <f t="shared" si="277"/>
        <v>#VALUE!</v>
      </c>
      <c r="D1938" s="74" t="e">
        <f t="shared" si="278"/>
        <v>#VALUE!</v>
      </c>
      <c r="E1938" s="25" t="e">
        <f t="shared" si="279"/>
        <v>#VALUE!</v>
      </c>
      <c r="F1938" s="25" t="e">
        <f t="shared" ca="1" si="280"/>
        <v>#VALUE!</v>
      </c>
      <c r="G1938" s="25"/>
      <c r="H1938" s="25" t="e">
        <f t="shared" si="275"/>
        <v>#VALUE!</v>
      </c>
      <c r="I1938" s="25">
        <f t="shared" si="281"/>
        <v>1423.9999999999677</v>
      </c>
      <c r="J1938" s="25" t="e">
        <f t="shared" si="282"/>
        <v>#VALUE!</v>
      </c>
    </row>
    <row r="1939" spans="1:10" x14ac:dyDescent="0.25">
      <c r="A1939" s="25">
        <f t="shared" si="283"/>
        <v>9.2499999999996785</v>
      </c>
      <c r="B1939" s="25">
        <f t="shared" ca="1" si="276"/>
        <v>-4.5920622508453385E-2</v>
      </c>
      <c r="C1939" s="25" t="e">
        <f t="shared" si="277"/>
        <v>#VALUE!</v>
      </c>
      <c r="D1939" s="74" t="e">
        <f t="shared" si="278"/>
        <v>#VALUE!</v>
      </c>
      <c r="E1939" s="25" t="e">
        <f t="shared" si="279"/>
        <v>#VALUE!</v>
      </c>
      <c r="F1939" s="25" t="e">
        <f t="shared" ca="1" si="280"/>
        <v>#VALUE!</v>
      </c>
      <c r="G1939" s="25"/>
      <c r="H1939" s="25" t="e">
        <f t="shared" si="275"/>
        <v>#VALUE!</v>
      </c>
      <c r="I1939" s="25">
        <f t="shared" si="281"/>
        <v>1424.9999999999677</v>
      </c>
      <c r="J1939" s="25" t="e">
        <f t="shared" si="282"/>
        <v>#VALUE!</v>
      </c>
    </row>
    <row r="1940" spans="1:10" x14ac:dyDescent="0.25">
      <c r="A1940" s="25">
        <f t="shared" si="283"/>
        <v>9.2599999999996783</v>
      </c>
      <c r="B1940" s="25">
        <f t="shared" ca="1" si="276"/>
        <v>-0.10808377184330731</v>
      </c>
      <c r="C1940" s="25" t="e">
        <f t="shared" si="277"/>
        <v>#VALUE!</v>
      </c>
      <c r="D1940" s="74" t="e">
        <f t="shared" si="278"/>
        <v>#VALUE!</v>
      </c>
      <c r="E1940" s="25" t="e">
        <f t="shared" si="279"/>
        <v>#VALUE!</v>
      </c>
      <c r="F1940" s="25" t="e">
        <f t="shared" ca="1" si="280"/>
        <v>#VALUE!</v>
      </c>
      <c r="G1940" s="25"/>
      <c r="H1940" s="25" t="e">
        <f t="shared" si="275"/>
        <v>#VALUE!</v>
      </c>
      <c r="I1940" s="25">
        <f t="shared" si="281"/>
        <v>1425.9999999999677</v>
      </c>
      <c r="J1940" s="25" t="e">
        <f t="shared" si="282"/>
        <v>#VALUE!</v>
      </c>
    </row>
    <row r="1941" spans="1:10" x14ac:dyDescent="0.25">
      <c r="A1941" s="25">
        <f t="shared" si="283"/>
        <v>9.2699999999996781</v>
      </c>
      <c r="B1941" s="25">
        <f t="shared" ca="1" si="276"/>
        <v>0.11934219887465414</v>
      </c>
      <c r="C1941" s="25" t="e">
        <f t="shared" si="277"/>
        <v>#VALUE!</v>
      </c>
      <c r="D1941" s="74" t="e">
        <f t="shared" si="278"/>
        <v>#VALUE!</v>
      </c>
      <c r="E1941" s="25" t="e">
        <f t="shared" si="279"/>
        <v>#VALUE!</v>
      </c>
      <c r="F1941" s="25" t="e">
        <f t="shared" ca="1" si="280"/>
        <v>#VALUE!</v>
      </c>
      <c r="G1941" s="25"/>
      <c r="H1941" s="25" t="e">
        <f t="shared" si="275"/>
        <v>#VALUE!</v>
      </c>
      <c r="I1941" s="25">
        <f t="shared" si="281"/>
        <v>1426.9999999999677</v>
      </c>
      <c r="J1941" s="25" t="e">
        <f t="shared" si="282"/>
        <v>#VALUE!</v>
      </c>
    </row>
    <row r="1942" spans="1:10" x14ac:dyDescent="0.25">
      <c r="A1942" s="25">
        <f t="shared" si="283"/>
        <v>9.2799999999996778</v>
      </c>
      <c r="B1942" s="25">
        <f t="shared" ca="1" si="276"/>
        <v>-3.3044738303542091E-2</v>
      </c>
      <c r="C1942" s="25" t="e">
        <f t="shared" si="277"/>
        <v>#VALUE!</v>
      </c>
      <c r="D1942" s="74" t="e">
        <f t="shared" si="278"/>
        <v>#VALUE!</v>
      </c>
      <c r="E1942" s="25" t="e">
        <f t="shared" si="279"/>
        <v>#VALUE!</v>
      </c>
      <c r="F1942" s="25" t="e">
        <f t="shared" ca="1" si="280"/>
        <v>#VALUE!</v>
      </c>
      <c r="G1942" s="25"/>
      <c r="H1942" s="25" t="e">
        <f t="shared" si="275"/>
        <v>#VALUE!</v>
      </c>
      <c r="I1942" s="25">
        <f t="shared" si="281"/>
        <v>1427.9999999999677</v>
      </c>
      <c r="J1942" s="25" t="e">
        <f t="shared" si="282"/>
        <v>#VALUE!</v>
      </c>
    </row>
    <row r="1943" spans="1:10" x14ac:dyDescent="0.25">
      <c r="A1943" s="25">
        <f t="shared" si="283"/>
        <v>9.2899999999996776</v>
      </c>
      <c r="B1943" s="25">
        <f t="shared" ca="1" si="276"/>
        <v>1.4138630654520284E-2</v>
      </c>
      <c r="C1943" s="25" t="e">
        <f t="shared" si="277"/>
        <v>#VALUE!</v>
      </c>
      <c r="D1943" s="74" t="e">
        <f t="shared" si="278"/>
        <v>#VALUE!</v>
      </c>
      <c r="E1943" s="25" t="e">
        <f t="shared" si="279"/>
        <v>#VALUE!</v>
      </c>
      <c r="F1943" s="25" t="e">
        <f t="shared" ca="1" si="280"/>
        <v>#VALUE!</v>
      </c>
      <c r="G1943" s="25"/>
      <c r="H1943" s="25" t="e">
        <f t="shared" si="275"/>
        <v>#VALUE!</v>
      </c>
      <c r="I1943" s="25">
        <f t="shared" si="281"/>
        <v>1428.9999999999677</v>
      </c>
      <c r="J1943" s="25" t="e">
        <f t="shared" si="282"/>
        <v>#VALUE!</v>
      </c>
    </row>
    <row r="1944" spans="1:10" x14ac:dyDescent="0.25">
      <c r="A1944" s="25">
        <f t="shared" si="283"/>
        <v>9.2999999999996774</v>
      </c>
      <c r="B1944" s="25">
        <f t="shared" ca="1" si="276"/>
        <v>9.1890976389221099E-2</v>
      </c>
      <c r="C1944" s="25" t="e">
        <f t="shared" si="277"/>
        <v>#VALUE!</v>
      </c>
      <c r="D1944" s="74" t="e">
        <f t="shared" si="278"/>
        <v>#VALUE!</v>
      </c>
      <c r="E1944" s="25" t="e">
        <f t="shared" si="279"/>
        <v>#VALUE!</v>
      </c>
      <c r="F1944" s="25" t="e">
        <f t="shared" ca="1" si="280"/>
        <v>#VALUE!</v>
      </c>
      <c r="G1944" s="25"/>
      <c r="H1944" s="25" t="e">
        <f t="shared" si="275"/>
        <v>#VALUE!</v>
      </c>
      <c r="I1944" s="25">
        <f t="shared" si="281"/>
        <v>1429.9999999999677</v>
      </c>
      <c r="J1944" s="25" t="e">
        <f t="shared" si="282"/>
        <v>#VALUE!</v>
      </c>
    </row>
    <row r="1945" spans="1:10" x14ac:dyDescent="0.25">
      <c r="A1945" s="25">
        <f t="shared" si="283"/>
        <v>9.3099999999996772</v>
      </c>
      <c r="B1945" s="25">
        <f t="shared" ca="1" si="276"/>
        <v>-7.6813584592982348E-2</v>
      </c>
      <c r="C1945" s="25" t="e">
        <f t="shared" si="277"/>
        <v>#VALUE!</v>
      </c>
      <c r="D1945" s="74" t="e">
        <f t="shared" si="278"/>
        <v>#VALUE!</v>
      </c>
      <c r="E1945" s="25" t="e">
        <f t="shared" si="279"/>
        <v>#VALUE!</v>
      </c>
      <c r="F1945" s="25" t="e">
        <f t="shared" ca="1" si="280"/>
        <v>#VALUE!</v>
      </c>
      <c r="G1945" s="25"/>
      <c r="H1945" s="25" t="e">
        <f t="shared" si="275"/>
        <v>#VALUE!</v>
      </c>
      <c r="I1945" s="25">
        <f t="shared" si="281"/>
        <v>1430.9999999999677</v>
      </c>
      <c r="J1945" s="25" t="e">
        <f t="shared" si="282"/>
        <v>#VALUE!</v>
      </c>
    </row>
    <row r="1946" spans="1:10" x14ac:dyDescent="0.25">
      <c r="A1946" s="25">
        <f t="shared" si="283"/>
        <v>9.319999999999677</v>
      </c>
      <c r="B1946" s="25">
        <f t="shared" ca="1" si="276"/>
        <v>4.8201856883881448E-2</v>
      </c>
      <c r="C1946" s="25" t="e">
        <f t="shared" si="277"/>
        <v>#VALUE!</v>
      </c>
      <c r="D1946" s="74" t="e">
        <f t="shared" si="278"/>
        <v>#VALUE!</v>
      </c>
      <c r="E1946" s="25" t="e">
        <f t="shared" si="279"/>
        <v>#VALUE!</v>
      </c>
      <c r="F1946" s="25" t="e">
        <f t="shared" ca="1" si="280"/>
        <v>#VALUE!</v>
      </c>
      <c r="G1946" s="25"/>
      <c r="H1946" s="25" t="e">
        <f t="shared" si="275"/>
        <v>#VALUE!</v>
      </c>
      <c r="I1946" s="25">
        <f t="shared" si="281"/>
        <v>1431.9999999999677</v>
      </c>
      <c r="J1946" s="25" t="e">
        <f t="shared" si="282"/>
        <v>#VALUE!</v>
      </c>
    </row>
    <row r="1947" spans="1:10" x14ac:dyDescent="0.25">
      <c r="A1947" s="25">
        <f t="shared" si="283"/>
        <v>9.3299999999996768</v>
      </c>
      <c r="B1947" s="25">
        <f t="shared" ca="1" si="276"/>
        <v>-6.846479297665746E-2</v>
      </c>
      <c r="C1947" s="25" t="e">
        <f t="shared" si="277"/>
        <v>#VALUE!</v>
      </c>
      <c r="D1947" s="74" t="e">
        <f t="shared" si="278"/>
        <v>#VALUE!</v>
      </c>
      <c r="E1947" s="25" t="e">
        <f t="shared" si="279"/>
        <v>#VALUE!</v>
      </c>
      <c r="F1947" s="25" t="e">
        <f t="shared" ca="1" si="280"/>
        <v>#VALUE!</v>
      </c>
      <c r="G1947" s="25"/>
      <c r="H1947" s="25" t="e">
        <f t="shared" si="275"/>
        <v>#VALUE!</v>
      </c>
      <c r="I1947" s="25">
        <f t="shared" si="281"/>
        <v>1432.9999999999677</v>
      </c>
      <c r="J1947" s="25" t="e">
        <f t="shared" si="282"/>
        <v>#VALUE!</v>
      </c>
    </row>
    <row r="1948" spans="1:10" x14ac:dyDescent="0.25">
      <c r="A1948" s="25">
        <f t="shared" si="283"/>
        <v>9.3399999999996766</v>
      </c>
      <c r="B1948" s="25">
        <f t="shared" ca="1" si="276"/>
        <v>-8.8185852489301372E-2</v>
      </c>
      <c r="C1948" s="25" t="e">
        <f t="shared" si="277"/>
        <v>#VALUE!</v>
      </c>
      <c r="D1948" s="74" t="e">
        <f t="shared" si="278"/>
        <v>#VALUE!</v>
      </c>
      <c r="E1948" s="25" t="e">
        <f t="shared" si="279"/>
        <v>#VALUE!</v>
      </c>
      <c r="F1948" s="25" t="e">
        <f t="shared" ca="1" si="280"/>
        <v>#VALUE!</v>
      </c>
      <c r="G1948" s="25"/>
      <c r="H1948" s="25" t="e">
        <f t="shared" si="275"/>
        <v>#VALUE!</v>
      </c>
      <c r="I1948" s="25">
        <f t="shared" si="281"/>
        <v>1433.9999999999677</v>
      </c>
      <c r="J1948" s="25" t="e">
        <f t="shared" si="282"/>
        <v>#VALUE!</v>
      </c>
    </row>
    <row r="1949" spans="1:10" x14ac:dyDescent="0.25">
      <c r="A1949" s="25">
        <f t="shared" si="283"/>
        <v>9.3499999999996763</v>
      </c>
      <c r="B1949" s="25">
        <f t="shared" ca="1" si="276"/>
        <v>-0.1819876331595556</v>
      </c>
      <c r="C1949" s="25" t="e">
        <f t="shared" si="277"/>
        <v>#VALUE!</v>
      </c>
      <c r="D1949" s="74" t="e">
        <f t="shared" si="278"/>
        <v>#VALUE!</v>
      </c>
      <c r="E1949" s="25" t="e">
        <f t="shared" si="279"/>
        <v>#VALUE!</v>
      </c>
      <c r="F1949" s="25" t="e">
        <f t="shared" ca="1" si="280"/>
        <v>#VALUE!</v>
      </c>
      <c r="G1949" s="25"/>
      <c r="H1949" s="25" t="e">
        <f t="shared" si="275"/>
        <v>#VALUE!</v>
      </c>
      <c r="I1949" s="25">
        <f t="shared" si="281"/>
        <v>1434.9999999999677</v>
      </c>
      <c r="J1949" s="25" t="e">
        <f t="shared" si="282"/>
        <v>#VALUE!</v>
      </c>
    </row>
    <row r="1950" spans="1:10" x14ac:dyDescent="0.25">
      <c r="A1950" s="25">
        <f t="shared" si="283"/>
        <v>9.3599999999996761</v>
      </c>
      <c r="B1950" s="25">
        <f t="shared" ca="1" si="276"/>
        <v>5.6768455726951834E-2</v>
      </c>
      <c r="C1950" s="25" t="e">
        <f t="shared" si="277"/>
        <v>#VALUE!</v>
      </c>
      <c r="D1950" s="74" t="e">
        <f t="shared" si="278"/>
        <v>#VALUE!</v>
      </c>
      <c r="E1950" s="25" t="e">
        <f t="shared" si="279"/>
        <v>#VALUE!</v>
      </c>
      <c r="F1950" s="25" t="e">
        <f t="shared" ca="1" si="280"/>
        <v>#VALUE!</v>
      </c>
      <c r="G1950" s="25"/>
      <c r="H1950" s="25" t="e">
        <f t="shared" ref="H1950:H2013" si="284">IF(PeakShape=$O$3,C1950,IF(PeakShape=O1952,D1950,E1950))</f>
        <v>#VALUE!</v>
      </c>
      <c r="I1950" s="25">
        <f t="shared" si="281"/>
        <v>1435.9999999999677</v>
      </c>
      <c r="J1950" s="25" t="e">
        <f t="shared" si="282"/>
        <v>#VALUE!</v>
      </c>
    </row>
    <row r="1951" spans="1:10" x14ac:dyDescent="0.25">
      <c r="A1951" s="25">
        <f t="shared" si="283"/>
        <v>9.3699999999996759</v>
      </c>
      <c r="B1951" s="25">
        <f t="shared" ca="1" si="276"/>
        <v>-5.8423699302808385E-3</v>
      </c>
      <c r="C1951" s="25" t="e">
        <f t="shared" si="277"/>
        <v>#VALUE!</v>
      </c>
      <c r="D1951" s="74" t="e">
        <f t="shared" si="278"/>
        <v>#VALUE!</v>
      </c>
      <c r="E1951" s="25" t="e">
        <f t="shared" si="279"/>
        <v>#VALUE!</v>
      </c>
      <c r="F1951" s="25" t="e">
        <f t="shared" ca="1" si="280"/>
        <v>#VALUE!</v>
      </c>
      <c r="G1951" s="25"/>
      <c r="H1951" s="25" t="e">
        <f t="shared" si="284"/>
        <v>#VALUE!</v>
      </c>
      <c r="I1951" s="25">
        <f t="shared" si="281"/>
        <v>1436.9999999999677</v>
      </c>
      <c r="J1951" s="25" t="e">
        <f t="shared" si="282"/>
        <v>#VALUE!</v>
      </c>
    </row>
    <row r="1952" spans="1:10" x14ac:dyDescent="0.25">
      <c r="A1952" s="25">
        <f t="shared" si="283"/>
        <v>9.3799999999996757</v>
      </c>
      <c r="B1952" s="25">
        <f t="shared" ca="1" si="276"/>
        <v>-7.5114412981476822E-2</v>
      </c>
      <c r="C1952" s="25" t="e">
        <f t="shared" si="277"/>
        <v>#VALUE!</v>
      </c>
      <c r="D1952" s="74" t="e">
        <f t="shared" si="278"/>
        <v>#VALUE!</v>
      </c>
      <c r="E1952" s="25" t="e">
        <f t="shared" si="279"/>
        <v>#VALUE!</v>
      </c>
      <c r="F1952" s="25" t="e">
        <f t="shared" ca="1" si="280"/>
        <v>#VALUE!</v>
      </c>
      <c r="G1952" s="25"/>
      <c r="H1952" s="25" t="e">
        <f t="shared" si="284"/>
        <v>#VALUE!</v>
      </c>
      <c r="I1952" s="25">
        <f t="shared" si="281"/>
        <v>1437.9999999999677</v>
      </c>
      <c r="J1952" s="25" t="e">
        <f t="shared" si="282"/>
        <v>#VALUE!</v>
      </c>
    </row>
    <row r="1953" spans="1:10" x14ac:dyDescent="0.25">
      <c r="A1953" s="25">
        <f t="shared" si="283"/>
        <v>9.3899999999996755</v>
      </c>
      <c r="B1953" s="25">
        <f t="shared" ca="1" si="276"/>
        <v>-5.4610464764661221E-2</v>
      </c>
      <c r="C1953" s="25" t="e">
        <f t="shared" si="277"/>
        <v>#VALUE!</v>
      </c>
      <c r="D1953" s="74" t="e">
        <f t="shared" si="278"/>
        <v>#VALUE!</v>
      </c>
      <c r="E1953" s="25" t="e">
        <f t="shared" si="279"/>
        <v>#VALUE!</v>
      </c>
      <c r="F1953" s="25" t="e">
        <f t="shared" ca="1" si="280"/>
        <v>#VALUE!</v>
      </c>
      <c r="G1953" s="25"/>
      <c r="H1953" s="25" t="e">
        <f t="shared" si="284"/>
        <v>#VALUE!</v>
      </c>
      <c r="I1953" s="25">
        <f t="shared" si="281"/>
        <v>1438.9999999999677</v>
      </c>
      <c r="J1953" s="25" t="e">
        <f t="shared" si="282"/>
        <v>#VALUE!</v>
      </c>
    </row>
    <row r="1954" spans="1:10" x14ac:dyDescent="0.25">
      <c r="A1954" s="25">
        <f t="shared" si="283"/>
        <v>9.3999999999996753</v>
      </c>
      <c r="B1954" s="25">
        <f t="shared" ca="1" si="276"/>
        <v>6.4404450628623613E-2</v>
      </c>
      <c r="C1954" s="25" t="e">
        <f t="shared" si="277"/>
        <v>#VALUE!</v>
      </c>
      <c r="D1954" s="74" t="e">
        <f t="shared" si="278"/>
        <v>#VALUE!</v>
      </c>
      <c r="E1954" s="25" t="e">
        <f t="shared" si="279"/>
        <v>#VALUE!</v>
      </c>
      <c r="F1954" s="25" t="e">
        <f t="shared" ca="1" si="280"/>
        <v>#VALUE!</v>
      </c>
      <c r="G1954" s="25"/>
      <c r="H1954" s="25" t="e">
        <f t="shared" si="284"/>
        <v>#VALUE!</v>
      </c>
      <c r="I1954" s="25">
        <f t="shared" si="281"/>
        <v>1439.9999999999675</v>
      </c>
      <c r="J1954" s="25" t="e">
        <f t="shared" si="282"/>
        <v>#VALUE!</v>
      </c>
    </row>
    <row r="1955" spans="1:10" x14ac:dyDescent="0.25">
      <c r="A1955" s="25">
        <f t="shared" si="283"/>
        <v>9.4099999999996751</v>
      </c>
      <c r="B1955" s="25">
        <f t="shared" ca="1" si="276"/>
        <v>-0.14887822799913339</v>
      </c>
      <c r="C1955" s="25" t="e">
        <f t="shared" si="277"/>
        <v>#VALUE!</v>
      </c>
      <c r="D1955" s="74" t="e">
        <f t="shared" si="278"/>
        <v>#VALUE!</v>
      </c>
      <c r="E1955" s="25" t="e">
        <f t="shared" si="279"/>
        <v>#VALUE!</v>
      </c>
      <c r="F1955" s="25" t="e">
        <f t="shared" ca="1" si="280"/>
        <v>#VALUE!</v>
      </c>
      <c r="G1955" s="25"/>
      <c r="H1955" s="25" t="e">
        <f t="shared" si="284"/>
        <v>#VALUE!</v>
      </c>
      <c r="I1955" s="25">
        <f t="shared" si="281"/>
        <v>1440.9999999999675</v>
      </c>
      <c r="J1955" s="25" t="e">
        <f t="shared" si="282"/>
        <v>#VALUE!</v>
      </c>
    </row>
    <row r="1956" spans="1:10" x14ac:dyDescent="0.25">
      <c r="A1956" s="25">
        <f t="shared" si="283"/>
        <v>9.4199999999996749</v>
      </c>
      <c r="B1956" s="25">
        <f t="shared" ca="1" si="276"/>
        <v>2.8052086922584863E-2</v>
      </c>
      <c r="C1956" s="25" t="e">
        <f t="shared" si="277"/>
        <v>#VALUE!</v>
      </c>
      <c r="D1956" s="74" t="e">
        <f t="shared" si="278"/>
        <v>#VALUE!</v>
      </c>
      <c r="E1956" s="25" t="e">
        <f t="shared" si="279"/>
        <v>#VALUE!</v>
      </c>
      <c r="F1956" s="25" t="e">
        <f t="shared" ca="1" si="280"/>
        <v>#VALUE!</v>
      </c>
      <c r="G1956" s="25"/>
      <c r="H1956" s="25" t="e">
        <f t="shared" si="284"/>
        <v>#VALUE!</v>
      </c>
      <c r="I1956" s="25">
        <f t="shared" si="281"/>
        <v>1441.9999999999675</v>
      </c>
      <c r="J1956" s="25" t="e">
        <f t="shared" si="282"/>
        <v>#VALUE!</v>
      </c>
    </row>
    <row r="1957" spans="1:10" x14ac:dyDescent="0.25">
      <c r="A1957" s="25">
        <f t="shared" si="283"/>
        <v>9.4299999999996746</v>
      </c>
      <c r="B1957" s="25">
        <f t="shared" ca="1" si="276"/>
        <v>1.7420866413469693E-2</v>
      </c>
      <c r="C1957" s="25" t="e">
        <f t="shared" si="277"/>
        <v>#VALUE!</v>
      </c>
      <c r="D1957" s="74" t="e">
        <f t="shared" si="278"/>
        <v>#VALUE!</v>
      </c>
      <c r="E1957" s="25" t="e">
        <f t="shared" si="279"/>
        <v>#VALUE!</v>
      </c>
      <c r="F1957" s="25" t="e">
        <f t="shared" ca="1" si="280"/>
        <v>#VALUE!</v>
      </c>
      <c r="G1957" s="25"/>
      <c r="H1957" s="25" t="e">
        <f t="shared" si="284"/>
        <v>#VALUE!</v>
      </c>
      <c r="I1957" s="25">
        <f t="shared" si="281"/>
        <v>1442.9999999999675</v>
      </c>
      <c r="J1957" s="25" t="e">
        <f t="shared" si="282"/>
        <v>#VALUE!</v>
      </c>
    </row>
    <row r="1958" spans="1:10" x14ac:dyDescent="0.25">
      <c r="A1958" s="25">
        <f t="shared" si="283"/>
        <v>9.4399999999996744</v>
      </c>
      <c r="B1958" s="25">
        <f t="shared" ca="1" si="276"/>
        <v>-9.0352566266539938E-2</v>
      </c>
      <c r="C1958" s="25" t="e">
        <f t="shared" si="277"/>
        <v>#VALUE!</v>
      </c>
      <c r="D1958" s="74" t="e">
        <f t="shared" si="278"/>
        <v>#VALUE!</v>
      </c>
      <c r="E1958" s="25" t="e">
        <f t="shared" si="279"/>
        <v>#VALUE!</v>
      </c>
      <c r="F1958" s="25" t="e">
        <f t="shared" ca="1" si="280"/>
        <v>#VALUE!</v>
      </c>
      <c r="G1958" s="25"/>
      <c r="H1958" s="25" t="e">
        <f t="shared" si="284"/>
        <v>#VALUE!</v>
      </c>
      <c r="I1958" s="25">
        <f t="shared" si="281"/>
        <v>1443.9999999999675</v>
      </c>
      <c r="J1958" s="25" t="e">
        <f t="shared" si="282"/>
        <v>#VALUE!</v>
      </c>
    </row>
    <row r="1959" spans="1:10" x14ac:dyDescent="0.25">
      <c r="A1959" s="25">
        <f t="shared" si="283"/>
        <v>9.4499999999996742</v>
      </c>
      <c r="B1959" s="25">
        <f t="shared" ca="1" si="276"/>
        <v>6.0358373901615719E-2</v>
      </c>
      <c r="C1959" s="25" t="e">
        <f t="shared" si="277"/>
        <v>#VALUE!</v>
      </c>
      <c r="D1959" s="74" t="e">
        <f t="shared" si="278"/>
        <v>#VALUE!</v>
      </c>
      <c r="E1959" s="25" t="e">
        <f t="shared" si="279"/>
        <v>#VALUE!</v>
      </c>
      <c r="F1959" s="25" t="e">
        <f t="shared" ca="1" si="280"/>
        <v>#VALUE!</v>
      </c>
      <c r="G1959" s="25"/>
      <c r="H1959" s="25" t="e">
        <f t="shared" si="284"/>
        <v>#VALUE!</v>
      </c>
      <c r="I1959" s="25">
        <f t="shared" si="281"/>
        <v>1444.9999999999675</v>
      </c>
      <c r="J1959" s="25" t="e">
        <f t="shared" si="282"/>
        <v>#VALUE!</v>
      </c>
    </row>
    <row r="1960" spans="1:10" x14ac:dyDescent="0.25">
      <c r="A1960" s="25">
        <f t="shared" si="283"/>
        <v>9.459999999999674</v>
      </c>
      <c r="B1960" s="25">
        <f t="shared" ca="1" si="276"/>
        <v>-0.10424854517324149</v>
      </c>
      <c r="C1960" s="25" t="e">
        <f t="shared" si="277"/>
        <v>#VALUE!</v>
      </c>
      <c r="D1960" s="74" t="e">
        <f t="shared" si="278"/>
        <v>#VALUE!</v>
      </c>
      <c r="E1960" s="25" t="e">
        <f t="shared" si="279"/>
        <v>#VALUE!</v>
      </c>
      <c r="F1960" s="25" t="e">
        <f t="shared" ca="1" si="280"/>
        <v>#VALUE!</v>
      </c>
      <c r="G1960" s="25"/>
      <c r="H1960" s="25" t="e">
        <f t="shared" si="284"/>
        <v>#VALUE!</v>
      </c>
      <c r="I1960" s="25">
        <f t="shared" si="281"/>
        <v>1445.9999999999675</v>
      </c>
      <c r="J1960" s="25" t="e">
        <f t="shared" si="282"/>
        <v>#VALUE!</v>
      </c>
    </row>
    <row r="1961" spans="1:10" x14ac:dyDescent="0.25">
      <c r="A1961" s="25">
        <f t="shared" si="283"/>
        <v>9.4699999999996738</v>
      </c>
      <c r="B1961" s="25">
        <f t="shared" ca="1" si="276"/>
        <v>-7.5095084674969184E-2</v>
      </c>
      <c r="C1961" s="25" t="e">
        <f t="shared" si="277"/>
        <v>#VALUE!</v>
      </c>
      <c r="D1961" s="74" t="e">
        <f t="shared" si="278"/>
        <v>#VALUE!</v>
      </c>
      <c r="E1961" s="25" t="e">
        <f t="shared" si="279"/>
        <v>#VALUE!</v>
      </c>
      <c r="F1961" s="25" t="e">
        <f t="shared" ca="1" si="280"/>
        <v>#VALUE!</v>
      </c>
      <c r="G1961" s="25"/>
      <c r="H1961" s="25" t="e">
        <f t="shared" si="284"/>
        <v>#VALUE!</v>
      </c>
      <c r="I1961" s="25">
        <f t="shared" si="281"/>
        <v>1446.9999999999675</v>
      </c>
      <c r="J1961" s="25" t="e">
        <f t="shared" si="282"/>
        <v>#VALUE!</v>
      </c>
    </row>
    <row r="1962" spans="1:10" x14ac:dyDescent="0.25">
      <c r="A1962" s="25">
        <f t="shared" si="283"/>
        <v>9.4799999999996736</v>
      </c>
      <c r="B1962" s="25">
        <f t="shared" ca="1" si="276"/>
        <v>5.5635933344377837E-2</v>
      </c>
      <c r="C1962" s="25" t="e">
        <f t="shared" si="277"/>
        <v>#VALUE!</v>
      </c>
      <c r="D1962" s="74" t="e">
        <f t="shared" si="278"/>
        <v>#VALUE!</v>
      </c>
      <c r="E1962" s="25" t="e">
        <f t="shared" si="279"/>
        <v>#VALUE!</v>
      </c>
      <c r="F1962" s="25" t="e">
        <f t="shared" ca="1" si="280"/>
        <v>#VALUE!</v>
      </c>
      <c r="G1962" s="25"/>
      <c r="H1962" s="25" t="e">
        <f t="shared" si="284"/>
        <v>#VALUE!</v>
      </c>
      <c r="I1962" s="25">
        <f t="shared" si="281"/>
        <v>1447.9999999999675</v>
      </c>
      <c r="J1962" s="25" t="e">
        <f t="shared" si="282"/>
        <v>#VALUE!</v>
      </c>
    </row>
    <row r="1963" spans="1:10" x14ac:dyDescent="0.25">
      <c r="A1963" s="25">
        <f t="shared" si="283"/>
        <v>9.4899999999996734</v>
      </c>
      <c r="B1963" s="25">
        <f t="shared" ca="1" si="276"/>
        <v>-1.2867945822155826E-2</v>
      </c>
      <c r="C1963" s="25" t="e">
        <f t="shared" si="277"/>
        <v>#VALUE!</v>
      </c>
      <c r="D1963" s="74" t="e">
        <f t="shared" si="278"/>
        <v>#VALUE!</v>
      </c>
      <c r="E1963" s="25" t="e">
        <f t="shared" si="279"/>
        <v>#VALUE!</v>
      </c>
      <c r="F1963" s="25" t="e">
        <f t="shared" ca="1" si="280"/>
        <v>#VALUE!</v>
      </c>
      <c r="G1963" s="25"/>
      <c r="H1963" s="25" t="e">
        <f t="shared" si="284"/>
        <v>#VALUE!</v>
      </c>
      <c r="I1963" s="25">
        <f t="shared" si="281"/>
        <v>1448.9999999999673</v>
      </c>
      <c r="J1963" s="25" t="e">
        <f t="shared" si="282"/>
        <v>#VALUE!</v>
      </c>
    </row>
    <row r="1964" spans="1:10" x14ac:dyDescent="0.25">
      <c r="A1964" s="25">
        <f t="shared" si="283"/>
        <v>9.4999999999996732</v>
      </c>
      <c r="B1964" s="25">
        <f t="shared" ca="1" si="276"/>
        <v>1.9718385194026643E-2</v>
      </c>
      <c r="C1964" s="25" t="e">
        <f t="shared" si="277"/>
        <v>#VALUE!</v>
      </c>
      <c r="D1964" s="74" t="e">
        <f t="shared" si="278"/>
        <v>#VALUE!</v>
      </c>
      <c r="E1964" s="25" t="e">
        <f t="shared" si="279"/>
        <v>#VALUE!</v>
      </c>
      <c r="F1964" s="25" t="e">
        <f t="shared" ca="1" si="280"/>
        <v>#VALUE!</v>
      </c>
      <c r="G1964" s="25"/>
      <c r="H1964" s="25" t="e">
        <f t="shared" si="284"/>
        <v>#VALUE!</v>
      </c>
      <c r="I1964" s="25">
        <f t="shared" si="281"/>
        <v>1449.9999999999673</v>
      </c>
      <c r="J1964" s="25" t="e">
        <f t="shared" si="282"/>
        <v>#VALUE!</v>
      </c>
    </row>
    <row r="1965" spans="1:10" x14ac:dyDescent="0.25">
      <c r="A1965" s="25">
        <f t="shared" si="283"/>
        <v>9.5099999999996729</v>
      </c>
      <c r="B1965" s="25">
        <f t="shared" ca="1" si="276"/>
        <v>-2.7385110705699423E-2</v>
      </c>
      <c r="C1965" s="25" t="e">
        <f t="shared" si="277"/>
        <v>#VALUE!</v>
      </c>
      <c r="D1965" s="74" t="e">
        <f t="shared" si="278"/>
        <v>#VALUE!</v>
      </c>
      <c r="E1965" s="25" t="e">
        <f t="shared" si="279"/>
        <v>#VALUE!</v>
      </c>
      <c r="F1965" s="25" t="e">
        <f t="shared" ca="1" si="280"/>
        <v>#VALUE!</v>
      </c>
      <c r="G1965" s="25"/>
      <c r="H1965" s="25" t="e">
        <f t="shared" si="284"/>
        <v>#VALUE!</v>
      </c>
      <c r="I1965" s="25">
        <f t="shared" si="281"/>
        <v>1450.9999999999673</v>
      </c>
      <c r="J1965" s="25" t="e">
        <f t="shared" si="282"/>
        <v>#VALUE!</v>
      </c>
    </row>
    <row r="1966" spans="1:10" x14ac:dyDescent="0.25">
      <c r="A1966" s="25">
        <f t="shared" si="283"/>
        <v>9.5199999999996727</v>
      </c>
      <c r="B1966" s="25">
        <f t="shared" ca="1" si="276"/>
        <v>3.6015341611239642E-2</v>
      </c>
      <c r="C1966" s="25" t="e">
        <f t="shared" si="277"/>
        <v>#VALUE!</v>
      </c>
      <c r="D1966" s="74" t="e">
        <f t="shared" si="278"/>
        <v>#VALUE!</v>
      </c>
      <c r="E1966" s="25" t="e">
        <f t="shared" si="279"/>
        <v>#VALUE!</v>
      </c>
      <c r="F1966" s="25" t="e">
        <f t="shared" ca="1" si="280"/>
        <v>#VALUE!</v>
      </c>
      <c r="G1966" s="25"/>
      <c r="H1966" s="25" t="e">
        <f t="shared" si="284"/>
        <v>#VALUE!</v>
      </c>
      <c r="I1966" s="25">
        <f t="shared" si="281"/>
        <v>1451.9999999999673</v>
      </c>
      <c r="J1966" s="25" t="e">
        <f t="shared" si="282"/>
        <v>#VALUE!</v>
      </c>
    </row>
    <row r="1967" spans="1:10" x14ac:dyDescent="0.25">
      <c r="A1967" s="25">
        <f t="shared" si="283"/>
        <v>9.5299999999996725</v>
      </c>
      <c r="B1967" s="25">
        <f t="shared" ca="1" si="276"/>
        <v>1.2265016285447877E-2</v>
      </c>
      <c r="C1967" s="25" t="e">
        <f t="shared" si="277"/>
        <v>#VALUE!</v>
      </c>
      <c r="D1967" s="74" t="e">
        <f t="shared" si="278"/>
        <v>#VALUE!</v>
      </c>
      <c r="E1967" s="25" t="e">
        <f t="shared" si="279"/>
        <v>#VALUE!</v>
      </c>
      <c r="F1967" s="25" t="e">
        <f t="shared" ca="1" si="280"/>
        <v>#VALUE!</v>
      </c>
      <c r="G1967" s="25"/>
      <c r="H1967" s="25" t="e">
        <f t="shared" si="284"/>
        <v>#VALUE!</v>
      </c>
      <c r="I1967" s="25">
        <f t="shared" si="281"/>
        <v>1452.9999999999673</v>
      </c>
      <c r="J1967" s="25" t="e">
        <f t="shared" si="282"/>
        <v>#VALUE!</v>
      </c>
    </row>
    <row r="1968" spans="1:10" x14ac:dyDescent="0.25">
      <c r="A1968" s="25">
        <f t="shared" si="283"/>
        <v>9.5399999999996723</v>
      </c>
      <c r="B1968" s="25">
        <f t="shared" ca="1" si="276"/>
        <v>0.10083471855261379</v>
      </c>
      <c r="C1968" s="25" t="e">
        <f t="shared" si="277"/>
        <v>#VALUE!</v>
      </c>
      <c r="D1968" s="74" t="e">
        <f t="shared" si="278"/>
        <v>#VALUE!</v>
      </c>
      <c r="E1968" s="25" t="e">
        <f t="shared" si="279"/>
        <v>#VALUE!</v>
      </c>
      <c r="F1968" s="25" t="e">
        <f t="shared" ca="1" si="280"/>
        <v>#VALUE!</v>
      </c>
      <c r="G1968" s="25"/>
      <c r="H1968" s="25" t="e">
        <f t="shared" si="284"/>
        <v>#VALUE!</v>
      </c>
      <c r="I1968" s="25">
        <f t="shared" si="281"/>
        <v>1453.9999999999673</v>
      </c>
      <c r="J1968" s="25" t="e">
        <f t="shared" si="282"/>
        <v>#VALUE!</v>
      </c>
    </row>
    <row r="1969" spans="1:10" x14ac:dyDescent="0.25">
      <c r="A1969" s="25">
        <f t="shared" si="283"/>
        <v>9.5499999999996721</v>
      </c>
      <c r="B1969" s="25">
        <f t="shared" ca="1" si="276"/>
        <v>-1.8425214227891867E-2</v>
      </c>
      <c r="C1969" s="25" t="e">
        <f t="shared" si="277"/>
        <v>#VALUE!</v>
      </c>
      <c r="D1969" s="74" t="e">
        <f t="shared" si="278"/>
        <v>#VALUE!</v>
      </c>
      <c r="E1969" s="25" t="e">
        <f t="shared" si="279"/>
        <v>#VALUE!</v>
      </c>
      <c r="F1969" s="25" t="e">
        <f t="shared" ca="1" si="280"/>
        <v>#VALUE!</v>
      </c>
      <c r="G1969" s="25"/>
      <c r="H1969" s="25" t="e">
        <f t="shared" si="284"/>
        <v>#VALUE!</v>
      </c>
      <c r="I1969" s="25">
        <f t="shared" si="281"/>
        <v>1454.9999999999673</v>
      </c>
      <c r="J1969" s="25" t="e">
        <f t="shared" si="282"/>
        <v>#VALUE!</v>
      </c>
    </row>
    <row r="1970" spans="1:10" x14ac:dyDescent="0.25">
      <c r="A1970" s="25">
        <f t="shared" si="283"/>
        <v>9.5599999999996719</v>
      </c>
      <c r="B1970" s="25">
        <f t="shared" ca="1" si="276"/>
        <v>-0.10931097333463295</v>
      </c>
      <c r="C1970" s="25" t="e">
        <f t="shared" si="277"/>
        <v>#VALUE!</v>
      </c>
      <c r="D1970" s="74" t="e">
        <f t="shared" si="278"/>
        <v>#VALUE!</v>
      </c>
      <c r="E1970" s="25" t="e">
        <f t="shared" si="279"/>
        <v>#VALUE!</v>
      </c>
      <c r="F1970" s="25" t="e">
        <f t="shared" ca="1" si="280"/>
        <v>#VALUE!</v>
      </c>
      <c r="G1970" s="25"/>
      <c r="H1970" s="25" t="e">
        <f t="shared" si="284"/>
        <v>#VALUE!</v>
      </c>
      <c r="I1970" s="25">
        <f t="shared" si="281"/>
        <v>1455.9999999999673</v>
      </c>
      <c r="J1970" s="25" t="e">
        <f t="shared" si="282"/>
        <v>#VALUE!</v>
      </c>
    </row>
    <row r="1971" spans="1:10" x14ac:dyDescent="0.25">
      <c r="A1971" s="25">
        <f t="shared" si="283"/>
        <v>9.5699999999996717</v>
      </c>
      <c r="B1971" s="25">
        <f t="shared" ca="1" si="276"/>
        <v>7.4764349698741336E-2</v>
      </c>
      <c r="C1971" s="25" t="e">
        <f t="shared" si="277"/>
        <v>#VALUE!</v>
      </c>
      <c r="D1971" s="74" t="e">
        <f t="shared" si="278"/>
        <v>#VALUE!</v>
      </c>
      <c r="E1971" s="25" t="e">
        <f t="shared" si="279"/>
        <v>#VALUE!</v>
      </c>
      <c r="F1971" s="25" t="e">
        <f t="shared" ca="1" si="280"/>
        <v>#VALUE!</v>
      </c>
      <c r="G1971" s="25"/>
      <c r="H1971" s="25" t="e">
        <f t="shared" si="284"/>
        <v>#VALUE!</v>
      </c>
      <c r="I1971" s="25">
        <f t="shared" si="281"/>
        <v>1456.999999999967</v>
      </c>
      <c r="J1971" s="25" t="e">
        <f t="shared" si="282"/>
        <v>#VALUE!</v>
      </c>
    </row>
    <row r="1972" spans="1:10" x14ac:dyDescent="0.25">
      <c r="A1972" s="25">
        <f t="shared" si="283"/>
        <v>9.5799999999996714</v>
      </c>
      <c r="B1972" s="25">
        <f t="shared" ca="1" si="276"/>
        <v>-0.17068157965454034</v>
      </c>
      <c r="C1972" s="25" t="e">
        <f t="shared" si="277"/>
        <v>#VALUE!</v>
      </c>
      <c r="D1972" s="74" t="e">
        <f t="shared" si="278"/>
        <v>#VALUE!</v>
      </c>
      <c r="E1972" s="25" t="e">
        <f t="shared" si="279"/>
        <v>#VALUE!</v>
      </c>
      <c r="F1972" s="25" t="e">
        <f t="shared" ca="1" si="280"/>
        <v>#VALUE!</v>
      </c>
      <c r="G1972" s="25"/>
      <c r="H1972" s="25" t="e">
        <f t="shared" si="284"/>
        <v>#VALUE!</v>
      </c>
      <c r="I1972" s="25">
        <f t="shared" si="281"/>
        <v>1457.999999999967</v>
      </c>
      <c r="J1972" s="25" t="e">
        <f t="shared" si="282"/>
        <v>#VALUE!</v>
      </c>
    </row>
    <row r="1973" spans="1:10" x14ac:dyDescent="0.25">
      <c r="A1973" s="25">
        <f t="shared" si="283"/>
        <v>9.5899999999996712</v>
      </c>
      <c r="B1973" s="25">
        <f t="shared" ca="1" si="276"/>
        <v>9.3304637318131808E-2</v>
      </c>
      <c r="C1973" s="25" t="e">
        <f t="shared" si="277"/>
        <v>#VALUE!</v>
      </c>
      <c r="D1973" s="74" t="e">
        <f t="shared" si="278"/>
        <v>#VALUE!</v>
      </c>
      <c r="E1973" s="25" t="e">
        <f t="shared" si="279"/>
        <v>#VALUE!</v>
      </c>
      <c r="F1973" s="25" t="e">
        <f t="shared" ca="1" si="280"/>
        <v>#VALUE!</v>
      </c>
      <c r="G1973" s="25"/>
      <c r="H1973" s="25" t="e">
        <f t="shared" si="284"/>
        <v>#VALUE!</v>
      </c>
      <c r="I1973" s="25">
        <f t="shared" si="281"/>
        <v>1458.999999999967</v>
      </c>
      <c r="J1973" s="25" t="e">
        <f t="shared" si="282"/>
        <v>#VALUE!</v>
      </c>
    </row>
    <row r="1974" spans="1:10" x14ac:dyDescent="0.25">
      <c r="A1974" s="25">
        <f t="shared" si="283"/>
        <v>9.599999999999671</v>
      </c>
      <c r="B1974" s="25">
        <f t="shared" ca="1" si="276"/>
        <v>-0.10580729100141979</v>
      </c>
      <c r="C1974" s="25" t="e">
        <f t="shared" si="277"/>
        <v>#VALUE!</v>
      </c>
      <c r="D1974" s="74" t="e">
        <f t="shared" si="278"/>
        <v>#VALUE!</v>
      </c>
      <c r="E1974" s="25" t="e">
        <f t="shared" si="279"/>
        <v>#VALUE!</v>
      </c>
      <c r="F1974" s="25" t="e">
        <f t="shared" ca="1" si="280"/>
        <v>#VALUE!</v>
      </c>
      <c r="G1974" s="25"/>
      <c r="H1974" s="25" t="e">
        <f t="shared" si="284"/>
        <v>#VALUE!</v>
      </c>
      <c r="I1974" s="25">
        <f t="shared" si="281"/>
        <v>1459.999999999967</v>
      </c>
      <c r="J1974" s="25" t="e">
        <f t="shared" si="282"/>
        <v>#VALUE!</v>
      </c>
    </row>
    <row r="1975" spans="1:10" x14ac:dyDescent="0.25">
      <c r="A1975" s="25">
        <f t="shared" si="283"/>
        <v>9.6099999999996708</v>
      </c>
      <c r="B1975" s="25">
        <f t="shared" ca="1" si="276"/>
        <v>-0.15057194667557025</v>
      </c>
      <c r="C1975" s="25" t="e">
        <f t="shared" si="277"/>
        <v>#VALUE!</v>
      </c>
      <c r="D1975" s="74" t="e">
        <f t="shared" si="278"/>
        <v>#VALUE!</v>
      </c>
      <c r="E1975" s="25" t="e">
        <f t="shared" si="279"/>
        <v>#VALUE!</v>
      </c>
      <c r="F1975" s="25" t="e">
        <f t="shared" ca="1" si="280"/>
        <v>#VALUE!</v>
      </c>
      <c r="G1975" s="25"/>
      <c r="H1975" s="25" t="e">
        <f t="shared" si="284"/>
        <v>#VALUE!</v>
      </c>
      <c r="I1975" s="25">
        <f t="shared" si="281"/>
        <v>1460.999999999967</v>
      </c>
      <c r="J1975" s="25" t="e">
        <f t="shared" si="282"/>
        <v>#VALUE!</v>
      </c>
    </row>
    <row r="1976" spans="1:10" x14ac:dyDescent="0.25">
      <c r="A1976" s="25">
        <f t="shared" si="283"/>
        <v>9.6199999999996706</v>
      </c>
      <c r="B1976" s="25">
        <f t="shared" ca="1" si="276"/>
        <v>-0.18079311423286107</v>
      </c>
      <c r="C1976" s="25" t="e">
        <f t="shared" si="277"/>
        <v>#VALUE!</v>
      </c>
      <c r="D1976" s="74" t="e">
        <f t="shared" si="278"/>
        <v>#VALUE!</v>
      </c>
      <c r="E1976" s="25" t="e">
        <f t="shared" si="279"/>
        <v>#VALUE!</v>
      </c>
      <c r="F1976" s="25" t="e">
        <f t="shared" ca="1" si="280"/>
        <v>#VALUE!</v>
      </c>
      <c r="G1976" s="25"/>
      <c r="H1976" s="25" t="e">
        <f t="shared" si="284"/>
        <v>#VALUE!</v>
      </c>
      <c r="I1976" s="25">
        <f t="shared" si="281"/>
        <v>1461.999999999967</v>
      </c>
      <c r="J1976" s="25" t="e">
        <f t="shared" si="282"/>
        <v>#VALUE!</v>
      </c>
    </row>
    <row r="1977" spans="1:10" x14ac:dyDescent="0.25">
      <c r="A1977" s="25">
        <f t="shared" si="283"/>
        <v>9.6299999999996704</v>
      </c>
      <c r="B1977" s="25">
        <f t="shared" ca="1" si="276"/>
        <v>-2.6628253173968598E-2</v>
      </c>
      <c r="C1977" s="25" t="e">
        <f t="shared" si="277"/>
        <v>#VALUE!</v>
      </c>
      <c r="D1977" s="74" t="e">
        <f t="shared" si="278"/>
        <v>#VALUE!</v>
      </c>
      <c r="E1977" s="25" t="e">
        <f t="shared" si="279"/>
        <v>#VALUE!</v>
      </c>
      <c r="F1977" s="25" t="e">
        <f t="shared" ca="1" si="280"/>
        <v>#VALUE!</v>
      </c>
      <c r="G1977" s="25"/>
      <c r="H1977" s="25" t="e">
        <f t="shared" si="284"/>
        <v>#VALUE!</v>
      </c>
      <c r="I1977" s="25">
        <f t="shared" si="281"/>
        <v>1462.999999999967</v>
      </c>
      <c r="J1977" s="25" t="e">
        <f t="shared" si="282"/>
        <v>#VALUE!</v>
      </c>
    </row>
    <row r="1978" spans="1:10" x14ac:dyDescent="0.25">
      <c r="A1978" s="25">
        <f t="shared" si="283"/>
        <v>9.6399999999996702</v>
      </c>
      <c r="B1978" s="25">
        <f t="shared" ca="1" si="276"/>
        <v>2.1077227898350787E-2</v>
      </c>
      <c r="C1978" s="25" t="e">
        <f t="shared" si="277"/>
        <v>#VALUE!</v>
      </c>
      <c r="D1978" s="74" t="e">
        <f t="shared" si="278"/>
        <v>#VALUE!</v>
      </c>
      <c r="E1978" s="25" t="e">
        <f t="shared" si="279"/>
        <v>#VALUE!</v>
      </c>
      <c r="F1978" s="25" t="e">
        <f t="shared" ca="1" si="280"/>
        <v>#VALUE!</v>
      </c>
      <c r="G1978" s="25"/>
      <c r="H1978" s="25" t="e">
        <f t="shared" si="284"/>
        <v>#VALUE!</v>
      </c>
      <c r="I1978" s="25">
        <f t="shared" si="281"/>
        <v>1463.999999999967</v>
      </c>
      <c r="J1978" s="25" t="e">
        <f t="shared" si="282"/>
        <v>#VALUE!</v>
      </c>
    </row>
    <row r="1979" spans="1:10" x14ac:dyDescent="0.25">
      <c r="A1979" s="25">
        <f t="shared" si="283"/>
        <v>9.64999999999967</v>
      </c>
      <c r="B1979" s="25">
        <f t="shared" ca="1" si="276"/>
        <v>-0.17215788469941873</v>
      </c>
      <c r="C1979" s="25" t="e">
        <f t="shared" si="277"/>
        <v>#VALUE!</v>
      </c>
      <c r="D1979" s="74" t="e">
        <f t="shared" si="278"/>
        <v>#VALUE!</v>
      </c>
      <c r="E1979" s="25" t="e">
        <f t="shared" si="279"/>
        <v>#VALUE!</v>
      </c>
      <c r="F1979" s="25" t="e">
        <f t="shared" ca="1" si="280"/>
        <v>#VALUE!</v>
      </c>
      <c r="G1979" s="25"/>
      <c r="H1979" s="25" t="e">
        <f t="shared" si="284"/>
        <v>#VALUE!</v>
      </c>
      <c r="I1979" s="25">
        <f t="shared" si="281"/>
        <v>1464.999999999967</v>
      </c>
      <c r="J1979" s="25" t="e">
        <f t="shared" si="282"/>
        <v>#VALUE!</v>
      </c>
    </row>
    <row r="1980" spans="1:10" x14ac:dyDescent="0.25">
      <c r="A1980" s="25">
        <f t="shared" si="283"/>
        <v>9.6599999999996697</v>
      </c>
      <c r="B1980" s="25">
        <f t="shared" ca="1" si="276"/>
        <v>-2.1520873204167113E-2</v>
      </c>
      <c r="C1980" s="25" t="e">
        <f t="shared" si="277"/>
        <v>#VALUE!</v>
      </c>
      <c r="D1980" s="74" t="e">
        <f t="shared" si="278"/>
        <v>#VALUE!</v>
      </c>
      <c r="E1980" s="25" t="e">
        <f t="shared" si="279"/>
        <v>#VALUE!</v>
      </c>
      <c r="F1980" s="25" t="e">
        <f t="shared" ca="1" si="280"/>
        <v>#VALUE!</v>
      </c>
      <c r="G1980" s="25"/>
      <c r="H1980" s="25" t="e">
        <f t="shared" si="284"/>
        <v>#VALUE!</v>
      </c>
      <c r="I1980" s="25">
        <f t="shared" si="281"/>
        <v>1465.9999999999668</v>
      </c>
      <c r="J1980" s="25" t="e">
        <f t="shared" si="282"/>
        <v>#VALUE!</v>
      </c>
    </row>
    <row r="1981" spans="1:10" x14ac:dyDescent="0.25">
      <c r="A1981" s="25">
        <f t="shared" si="283"/>
        <v>9.6699999999996695</v>
      </c>
      <c r="B1981" s="25">
        <f t="shared" ca="1" si="276"/>
        <v>-3.2259335623814604E-2</v>
      </c>
      <c r="C1981" s="25" t="e">
        <f t="shared" si="277"/>
        <v>#VALUE!</v>
      </c>
      <c r="D1981" s="74" t="e">
        <f t="shared" si="278"/>
        <v>#VALUE!</v>
      </c>
      <c r="E1981" s="25" t="e">
        <f t="shared" si="279"/>
        <v>#VALUE!</v>
      </c>
      <c r="F1981" s="25" t="e">
        <f t="shared" ca="1" si="280"/>
        <v>#VALUE!</v>
      </c>
      <c r="G1981" s="25"/>
      <c r="H1981" s="25" t="e">
        <f t="shared" si="284"/>
        <v>#VALUE!</v>
      </c>
      <c r="I1981" s="25">
        <f t="shared" si="281"/>
        <v>1466.9999999999668</v>
      </c>
      <c r="J1981" s="25" t="e">
        <f t="shared" si="282"/>
        <v>#VALUE!</v>
      </c>
    </row>
    <row r="1982" spans="1:10" x14ac:dyDescent="0.25">
      <c r="A1982" s="25">
        <f t="shared" si="283"/>
        <v>9.6799999999996693</v>
      </c>
      <c r="B1982" s="25">
        <f t="shared" ca="1" si="276"/>
        <v>-6.1752892402812537E-2</v>
      </c>
      <c r="C1982" s="25" t="e">
        <f t="shared" si="277"/>
        <v>#VALUE!</v>
      </c>
      <c r="D1982" s="74" t="e">
        <f t="shared" si="278"/>
        <v>#VALUE!</v>
      </c>
      <c r="E1982" s="25" t="e">
        <f t="shared" si="279"/>
        <v>#VALUE!</v>
      </c>
      <c r="F1982" s="25" t="e">
        <f t="shared" ca="1" si="280"/>
        <v>#VALUE!</v>
      </c>
      <c r="G1982" s="25"/>
      <c r="H1982" s="25" t="e">
        <f t="shared" si="284"/>
        <v>#VALUE!</v>
      </c>
      <c r="I1982" s="25">
        <f t="shared" si="281"/>
        <v>1467.9999999999668</v>
      </c>
      <c r="J1982" s="25" t="e">
        <f t="shared" si="282"/>
        <v>#VALUE!</v>
      </c>
    </row>
    <row r="1983" spans="1:10" x14ac:dyDescent="0.25">
      <c r="A1983" s="25">
        <f t="shared" si="283"/>
        <v>9.6899999999996691</v>
      </c>
      <c r="B1983" s="25">
        <f t="shared" ca="1" si="276"/>
        <v>-0.16820320091678101</v>
      </c>
      <c r="C1983" s="25" t="e">
        <f t="shared" si="277"/>
        <v>#VALUE!</v>
      </c>
      <c r="D1983" s="74" t="e">
        <f t="shared" si="278"/>
        <v>#VALUE!</v>
      </c>
      <c r="E1983" s="25" t="e">
        <f t="shared" si="279"/>
        <v>#VALUE!</v>
      </c>
      <c r="F1983" s="25" t="e">
        <f t="shared" ca="1" si="280"/>
        <v>#VALUE!</v>
      </c>
      <c r="G1983" s="25"/>
      <c r="H1983" s="25" t="e">
        <f t="shared" si="284"/>
        <v>#VALUE!</v>
      </c>
      <c r="I1983" s="25">
        <f t="shared" si="281"/>
        <v>1468.9999999999668</v>
      </c>
      <c r="J1983" s="25" t="e">
        <f t="shared" si="282"/>
        <v>#VALUE!</v>
      </c>
    </row>
    <row r="1984" spans="1:10" x14ac:dyDescent="0.25">
      <c r="A1984" s="25">
        <f t="shared" si="283"/>
        <v>9.6999999999996689</v>
      </c>
      <c r="B1984" s="25">
        <f t="shared" ca="1" si="276"/>
        <v>9.6624837958612583E-2</v>
      </c>
      <c r="C1984" s="25" t="e">
        <f t="shared" si="277"/>
        <v>#VALUE!</v>
      </c>
      <c r="D1984" s="74" t="e">
        <f t="shared" si="278"/>
        <v>#VALUE!</v>
      </c>
      <c r="E1984" s="25" t="e">
        <f t="shared" si="279"/>
        <v>#VALUE!</v>
      </c>
      <c r="F1984" s="25" t="e">
        <f t="shared" ca="1" si="280"/>
        <v>#VALUE!</v>
      </c>
      <c r="G1984" s="25"/>
      <c r="H1984" s="25" t="e">
        <f t="shared" si="284"/>
        <v>#VALUE!</v>
      </c>
      <c r="I1984" s="25">
        <f t="shared" si="281"/>
        <v>1469.9999999999668</v>
      </c>
      <c r="J1984" s="25" t="e">
        <f t="shared" si="282"/>
        <v>#VALUE!</v>
      </c>
    </row>
    <row r="1985" spans="1:10" x14ac:dyDescent="0.25">
      <c r="A1985" s="25">
        <f t="shared" si="283"/>
        <v>9.7099999999996687</v>
      </c>
      <c r="B1985" s="25">
        <f t="shared" ca="1" si="276"/>
        <v>-6.5267450223771575E-2</v>
      </c>
      <c r="C1985" s="25" t="e">
        <f t="shared" si="277"/>
        <v>#VALUE!</v>
      </c>
      <c r="D1985" s="74" t="e">
        <f t="shared" si="278"/>
        <v>#VALUE!</v>
      </c>
      <c r="E1985" s="25" t="e">
        <f t="shared" si="279"/>
        <v>#VALUE!</v>
      </c>
      <c r="F1985" s="25" t="e">
        <f t="shared" ca="1" si="280"/>
        <v>#VALUE!</v>
      </c>
      <c r="G1985" s="25"/>
      <c r="H1985" s="25" t="e">
        <f t="shared" si="284"/>
        <v>#VALUE!</v>
      </c>
      <c r="I1985" s="25">
        <f t="shared" si="281"/>
        <v>1470.9999999999668</v>
      </c>
      <c r="J1985" s="25" t="e">
        <f t="shared" si="282"/>
        <v>#VALUE!</v>
      </c>
    </row>
    <row r="1986" spans="1:10" x14ac:dyDescent="0.25">
      <c r="A1986" s="25">
        <f t="shared" si="283"/>
        <v>9.7199999999996685</v>
      </c>
      <c r="B1986" s="25">
        <f t="shared" ca="1" si="276"/>
        <v>-9.7424842501384334E-3</v>
      </c>
      <c r="C1986" s="25" t="e">
        <f t="shared" si="277"/>
        <v>#VALUE!</v>
      </c>
      <c r="D1986" s="74" t="e">
        <f t="shared" si="278"/>
        <v>#VALUE!</v>
      </c>
      <c r="E1986" s="25" t="e">
        <f t="shared" si="279"/>
        <v>#VALUE!</v>
      </c>
      <c r="F1986" s="25" t="e">
        <f t="shared" ca="1" si="280"/>
        <v>#VALUE!</v>
      </c>
      <c r="G1986" s="25"/>
      <c r="H1986" s="25" t="e">
        <f t="shared" si="284"/>
        <v>#VALUE!</v>
      </c>
      <c r="I1986" s="25">
        <f t="shared" si="281"/>
        <v>1471.9999999999668</v>
      </c>
      <c r="J1986" s="25" t="e">
        <f t="shared" si="282"/>
        <v>#VALUE!</v>
      </c>
    </row>
    <row r="1987" spans="1:10" x14ac:dyDescent="0.25">
      <c r="A1987" s="25">
        <f t="shared" si="283"/>
        <v>9.7299999999996682</v>
      </c>
      <c r="B1987" s="25">
        <f t="shared" ca="1" si="276"/>
        <v>2.9598974401458266E-2</v>
      </c>
      <c r="C1987" s="25" t="e">
        <f t="shared" si="277"/>
        <v>#VALUE!</v>
      </c>
      <c r="D1987" s="74" t="e">
        <f t="shared" si="278"/>
        <v>#VALUE!</v>
      </c>
      <c r="E1987" s="25" t="e">
        <f t="shared" si="279"/>
        <v>#VALUE!</v>
      </c>
      <c r="F1987" s="25" t="e">
        <f t="shared" ca="1" si="280"/>
        <v>#VALUE!</v>
      </c>
      <c r="G1987" s="25"/>
      <c r="H1987" s="25" t="e">
        <f t="shared" si="284"/>
        <v>#VALUE!</v>
      </c>
      <c r="I1987" s="25">
        <f t="shared" si="281"/>
        <v>1472.9999999999668</v>
      </c>
      <c r="J1987" s="25" t="e">
        <f t="shared" si="282"/>
        <v>#VALUE!</v>
      </c>
    </row>
    <row r="1988" spans="1:10" x14ac:dyDescent="0.25">
      <c r="A1988" s="25">
        <f t="shared" si="283"/>
        <v>9.739999999999668</v>
      </c>
      <c r="B1988" s="25">
        <f t="shared" ca="1" si="276"/>
        <v>5.7336190674718096E-2</v>
      </c>
      <c r="C1988" s="25" t="e">
        <f t="shared" si="277"/>
        <v>#VALUE!</v>
      </c>
      <c r="D1988" s="74" t="e">
        <f t="shared" si="278"/>
        <v>#VALUE!</v>
      </c>
      <c r="E1988" s="25" t="e">
        <f t="shared" si="279"/>
        <v>#VALUE!</v>
      </c>
      <c r="F1988" s="25" t="e">
        <f t="shared" ca="1" si="280"/>
        <v>#VALUE!</v>
      </c>
      <c r="G1988" s="25"/>
      <c r="H1988" s="25" t="e">
        <f t="shared" si="284"/>
        <v>#VALUE!</v>
      </c>
      <c r="I1988" s="25">
        <f t="shared" si="281"/>
        <v>1473.9999999999668</v>
      </c>
      <c r="J1988" s="25" t="e">
        <f t="shared" si="282"/>
        <v>#VALUE!</v>
      </c>
    </row>
    <row r="1989" spans="1:10" x14ac:dyDescent="0.25">
      <c r="A1989" s="25">
        <f t="shared" si="283"/>
        <v>9.7499999999996678</v>
      </c>
      <c r="B1989" s="25">
        <f t="shared" ca="1" si="276"/>
        <v>7.0477347877163296E-2</v>
      </c>
      <c r="C1989" s="25" t="e">
        <f t="shared" si="277"/>
        <v>#VALUE!</v>
      </c>
      <c r="D1989" s="74" t="e">
        <f t="shared" si="278"/>
        <v>#VALUE!</v>
      </c>
      <c r="E1989" s="25" t="e">
        <f t="shared" si="279"/>
        <v>#VALUE!</v>
      </c>
      <c r="F1989" s="25" t="e">
        <f t="shared" ca="1" si="280"/>
        <v>#VALUE!</v>
      </c>
      <c r="G1989" s="25"/>
      <c r="H1989" s="25" t="e">
        <f t="shared" si="284"/>
        <v>#VALUE!</v>
      </c>
      <c r="I1989" s="25">
        <f t="shared" si="281"/>
        <v>1474.9999999999668</v>
      </c>
      <c r="J1989" s="25" t="e">
        <f t="shared" si="282"/>
        <v>#VALUE!</v>
      </c>
    </row>
    <row r="1990" spans="1:10" x14ac:dyDescent="0.25">
      <c r="A1990" s="25">
        <f t="shared" si="283"/>
        <v>9.7599999999996676</v>
      </c>
      <c r="B1990" s="25">
        <f t="shared" ca="1" si="276"/>
        <v>1.1953044481566116E-2</v>
      </c>
      <c r="C1990" s="25" t="e">
        <f t="shared" si="277"/>
        <v>#VALUE!</v>
      </c>
      <c r="D1990" s="74" t="e">
        <f t="shared" si="278"/>
        <v>#VALUE!</v>
      </c>
      <c r="E1990" s="25" t="e">
        <f t="shared" si="279"/>
        <v>#VALUE!</v>
      </c>
      <c r="F1990" s="25" t="e">
        <f t="shared" ca="1" si="280"/>
        <v>#VALUE!</v>
      </c>
      <c r="G1990" s="25"/>
      <c r="H1990" s="25" t="e">
        <f t="shared" si="284"/>
        <v>#VALUE!</v>
      </c>
      <c r="I1990" s="25">
        <f t="shared" si="281"/>
        <v>1475.9999999999668</v>
      </c>
      <c r="J1990" s="25" t="e">
        <f t="shared" si="282"/>
        <v>#VALUE!</v>
      </c>
    </row>
    <row r="1991" spans="1:10" x14ac:dyDescent="0.25">
      <c r="A1991" s="25">
        <f t="shared" si="283"/>
        <v>9.7699999999996674</v>
      </c>
      <c r="B1991" s="25">
        <f t="shared" ca="1" si="276"/>
        <v>7.7798852732482063E-2</v>
      </c>
      <c r="C1991" s="25" t="e">
        <f t="shared" si="277"/>
        <v>#VALUE!</v>
      </c>
      <c r="D1991" s="74" t="e">
        <f t="shared" si="278"/>
        <v>#VALUE!</v>
      </c>
      <c r="E1991" s="25" t="e">
        <f t="shared" si="279"/>
        <v>#VALUE!</v>
      </c>
      <c r="F1991" s="25" t="e">
        <f t="shared" ca="1" si="280"/>
        <v>#VALUE!</v>
      </c>
      <c r="G1991" s="25"/>
      <c r="H1991" s="25" t="e">
        <f t="shared" si="284"/>
        <v>#VALUE!</v>
      </c>
      <c r="I1991" s="25">
        <f t="shared" si="281"/>
        <v>1476.9999999999668</v>
      </c>
      <c r="J1991" s="25" t="e">
        <f t="shared" si="282"/>
        <v>#VALUE!</v>
      </c>
    </row>
    <row r="1992" spans="1:10" x14ac:dyDescent="0.25">
      <c r="A1992" s="25">
        <f t="shared" si="283"/>
        <v>9.7799999999996672</v>
      </c>
      <c r="B1992" s="25">
        <f t="shared" ca="1" si="276"/>
        <v>-3.4835909122768766E-2</v>
      </c>
      <c r="C1992" s="25" t="e">
        <f t="shared" si="277"/>
        <v>#VALUE!</v>
      </c>
      <c r="D1992" s="74" t="e">
        <f t="shared" si="278"/>
        <v>#VALUE!</v>
      </c>
      <c r="E1992" s="25" t="e">
        <f t="shared" si="279"/>
        <v>#VALUE!</v>
      </c>
      <c r="F1992" s="25" t="e">
        <f t="shared" ca="1" si="280"/>
        <v>#VALUE!</v>
      </c>
      <c r="G1992" s="25"/>
      <c r="H1992" s="25" t="e">
        <f t="shared" si="284"/>
        <v>#VALUE!</v>
      </c>
      <c r="I1992" s="25">
        <f t="shared" si="281"/>
        <v>1477.9999999999668</v>
      </c>
      <c r="J1992" s="25" t="e">
        <f t="shared" si="282"/>
        <v>#VALUE!</v>
      </c>
    </row>
    <row r="1993" spans="1:10" x14ac:dyDescent="0.25">
      <c r="A1993" s="25">
        <f t="shared" si="283"/>
        <v>9.789999999999667</v>
      </c>
      <c r="B1993" s="25">
        <f t="shared" ca="1" si="276"/>
        <v>-4.8639030752902372E-2</v>
      </c>
      <c r="C1993" s="25" t="e">
        <f t="shared" si="277"/>
        <v>#VALUE!</v>
      </c>
      <c r="D1993" s="74" t="e">
        <f t="shared" si="278"/>
        <v>#VALUE!</v>
      </c>
      <c r="E1993" s="25" t="e">
        <f t="shared" si="279"/>
        <v>#VALUE!</v>
      </c>
      <c r="F1993" s="25" t="e">
        <f t="shared" ca="1" si="280"/>
        <v>#VALUE!</v>
      </c>
      <c r="G1993" s="25"/>
      <c r="H1993" s="25" t="e">
        <f t="shared" si="284"/>
        <v>#VALUE!</v>
      </c>
      <c r="I1993" s="25">
        <f t="shared" si="281"/>
        <v>1478.9999999999668</v>
      </c>
      <c r="J1993" s="25" t="e">
        <f t="shared" si="282"/>
        <v>#VALUE!</v>
      </c>
    </row>
    <row r="1994" spans="1:10" x14ac:dyDescent="0.25">
      <c r="A1994" s="25">
        <f t="shared" si="283"/>
        <v>9.7999999999996668</v>
      </c>
      <c r="B1994" s="25">
        <f t="shared" ca="1" si="276"/>
        <v>-0.15458000071641395</v>
      </c>
      <c r="C1994" s="25" t="e">
        <f t="shared" si="277"/>
        <v>#VALUE!</v>
      </c>
      <c r="D1994" s="74" t="e">
        <f t="shared" si="278"/>
        <v>#VALUE!</v>
      </c>
      <c r="E1994" s="25" t="e">
        <f t="shared" si="279"/>
        <v>#VALUE!</v>
      </c>
      <c r="F1994" s="25" t="e">
        <f t="shared" ca="1" si="280"/>
        <v>#VALUE!</v>
      </c>
      <c r="G1994" s="25"/>
      <c r="H1994" s="25" t="e">
        <f t="shared" si="284"/>
        <v>#VALUE!</v>
      </c>
      <c r="I1994" s="25">
        <f t="shared" si="281"/>
        <v>1479.9999999999668</v>
      </c>
      <c r="J1994" s="25" t="e">
        <f t="shared" si="282"/>
        <v>#VALUE!</v>
      </c>
    </row>
    <row r="1995" spans="1:10" x14ac:dyDescent="0.25">
      <c r="A1995" s="25">
        <f t="shared" si="283"/>
        <v>9.8099999999996665</v>
      </c>
      <c r="B1995" s="25">
        <f t="shared" ca="1" si="276"/>
        <v>6.3700459872256768E-2</v>
      </c>
      <c r="C1995" s="25" t="e">
        <f t="shared" si="277"/>
        <v>#VALUE!</v>
      </c>
      <c r="D1995" s="74" t="e">
        <f t="shared" si="278"/>
        <v>#VALUE!</v>
      </c>
      <c r="E1995" s="25" t="e">
        <f t="shared" si="279"/>
        <v>#VALUE!</v>
      </c>
      <c r="F1995" s="25" t="e">
        <f t="shared" ca="1" si="280"/>
        <v>#VALUE!</v>
      </c>
      <c r="G1995" s="25"/>
      <c r="H1995" s="25" t="e">
        <f t="shared" si="284"/>
        <v>#VALUE!</v>
      </c>
      <c r="I1995" s="25">
        <f t="shared" si="281"/>
        <v>1480.9999999999668</v>
      </c>
      <c r="J1995" s="25" t="e">
        <f t="shared" si="282"/>
        <v>#VALUE!</v>
      </c>
    </row>
    <row r="1996" spans="1:10" x14ac:dyDescent="0.25">
      <c r="A1996" s="25">
        <f t="shared" si="283"/>
        <v>9.8199999999996663</v>
      </c>
      <c r="B1996" s="25">
        <f t="shared" ca="1" si="276"/>
        <v>1.6892616730835742E-2</v>
      </c>
      <c r="C1996" s="25" t="e">
        <f t="shared" si="277"/>
        <v>#VALUE!</v>
      </c>
      <c r="D1996" s="74" t="e">
        <f t="shared" si="278"/>
        <v>#VALUE!</v>
      </c>
      <c r="E1996" s="25" t="e">
        <f t="shared" si="279"/>
        <v>#VALUE!</v>
      </c>
      <c r="F1996" s="25" t="e">
        <f t="shared" ca="1" si="280"/>
        <v>#VALUE!</v>
      </c>
      <c r="G1996" s="25"/>
      <c r="H1996" s="25" t="e">
        <f t="shared" si="284"/>
        <v>#VALUE!</v>
      </c>
      <c r="I1996" s="25">
        <f t="shared" si="281"/>
        <v>1481.9999999999668</v>
      </c>
      <c r="J1996" s="25" t="e">
        <f t="shared" si="282"/>
        <v>#VALUE!</v>
      </c>
    </row>
    <row r="1997" spans="1:10" x14ac:dyDescent="0.25">
      <c r="A1997" s="25">
        <f t="shared" si="283"/>
        <v>9.8299999999996661</v>
      </c>
      <c r="B1997" s="25">
        <f t="shared" ca="1" si="276"/>
        <v>6.6993394708184287E-2</v>
      </c>
      <c r="C1997" s="25" t="e">
        <f t="shared" si="277"/>
        <v>#VALUE!</v>
      </c>
      <c r="D1997" s="74" t="e">
        <f t="shared" si="278"/>
        <v>#VALUE!</v>
      </c>
      <c r="E1997" s="25" t="e">
        <f t="shared" si="279"/>
        <v>#VALUE!</v>
      </c>
      <c r="F1997" s="25" t="e">
        <f t="shared" ca="1" si="280"/>
        <v>#VALUE!</v>
      </c>
      <c r="G1997" s="25"/>
      <c r="H1997" s="25" t="e">
        <f t="shared" si="284"/>
        <v>#VALUE!</v>
      </c>
      <c r="I1997" s="25">
        <f t="shared" si="281"/>
        <v>1482.9999999999666</v>
      </c>
      <c r="J1997" s="25" t="e">
        <f t="shared" si="282"/>
        <v>#VALUE!</v>
      </c>
    </row>
    <row r="1998" spans="1:10" x14ac:dyDescent="0.25">
      <c r="A1998" s="25">
        <f t="shared" si="283"/>
        <v>9.8399999999996659</v>
      </c>
      <c r="B1998" s="25">
        <f t="shared" ref="B1998:B2014" ca="1" si="285">(RAND()-0.5-$B$7)/$B$5</f>
        <v>0.1304349455384172</v>
      </c>
      <c r="C1998" s="25" t="e">
        <f t="shared" ref="C1998:C2014" si="286">IF(ABS(A1998)&lt;=($D$3/2),1,IF(ABS(A1998)&lt;=($B$4/2),IF(A1998&gt;0,A1998*(4/(1-2*$B$4))+(2*$B$4/(2*$B$4-1)),(-A1998*(4/(1-2*$B$4))+(2*$B$4/(2*$B$4-1)))),0))</f>
        <v>#VALUE!</v>
      </c>
      <c r="D1998" s="74" t="e">
        <f t="shared" ref="D1998:D2014" si="287">IF(ABS(A1998)&lt;=($D$3/4+$B$4/4),1,IF(ABS(A1998)&lt;=($B$4/2),(IF(A1998&gt;0,A1998*(8/(1-2*$B$4))+(4*$B$4)/(2*$B$4-1),(-A1998*(8/(1-2*$B$4))+(4*$B$4)/(2*$B$4-1)))),0))</f>
        <v>#VALUE!</v>
      </c>
      <c r="E1998" s="25" t="e">
        <f t="shared" ref="E1998:E2014" si="288">IF(ABS(A1998)&lt;($B$4/2), 1, 0)</f>
        <v>#VALUE!</v>
      </c>
      <c r="F1998" s="25" t="e">
        <f t="shared" ref="F1998:F2014" ca="1" si="289">C1998+B1998</f>
        <v>#VALUE!</v>
      </c>
      <c r="G1998" s="25"/>
      <c r="H1998" s="25" t="e">
        <f t="shared" si="284"/>
        <v>#VALUE!</v>
      </c>
      <c r="I1998" s="25">
        <f t="shared" ref="I1998:I2016" si="290">$I$3*(A1998-$G$3)/($H$3-$G$3)</f>
        <v>1483.9999999999666</v>
      </c>
      <c r="J1998" s="25" t="e">
        <f t="shared" ref="J1998:J2014" si="291">H1998</f>
        <v>#VALUE!</v>
      </c>
    </row>
    <row r="1999" spans="1:10" x14ac:dyDescent="0.25">
      <c r="A1999" s="25">
        <f t="shared" ref="A1999:A2014" si="292">A1998+0.01</f>
        <v>9.8499999999996657</v>
      </c>
      <c r="B1999" s="25">
        <f t="shared" ca="1" si="285"/>
        <v>7.8627245264895756E-2</v>
      </c>
      <c r="C1999" s="25" t="e">
        <f t="shared" si="286"/>
        <v>#VALUE!</v>
      </c>
      <c r="D1999" s="74" t="e">
        <f t="shared" si="287"/>
        <v>#VALUE!</v>
      </c>
      <c r="E1999" s="25" t="e">
        <f t="shared" si="288"/>
        <v>#VALUE!</v>
      </c>
      <c r="F1999" s="25" t="e">
        <f t="shared" ca="1" si="289"/>
        <v>#VALUE!</v>
      </c>
      <c r="G1999" s="25"/>
      <c r="H1999" s="25" t="e">
        <f t="shared" si="284"/>
        <v>#VALUE!</v>
      </c>
      <c r="I1999" s="25">
        <f t="shared" si="290"/>
        <v>1484.9999999999666</v>
      </c>
      <c r="J1999" s="25" t="e">
        <f t="shared" si="291"/>
        <v>#VALUE!</v>
      </c>
    </row>
    <row r="2000" spans="1:10" x14ac:dyDescent="0.25">
      <c r="A2000" s="25">
        <f t="shared" si="292"/>
        <v>9.8599999999996655</v>
      </c>
      <c r="B2000" s="25">
        <f t="shared" ca="1" si="285"/>
        <v>2.9318571995285526E-2</v>
      </c>
      <c r="C2000" s="25" t="e">
        <f t="shared" si="286"/>
        <v>#VALUE!</v>
      </c>
      <c r="D2000" s="74" t="e">
        <f t="shared" si="287"/>
        <v>#VALUE!</v>
      </c>
      <c r="E2000" s="25" t="e">
        <f t="shared" si="288"/>
        <v>#VALUE!</v>
      </c>
      <c r="F2000" s="25" t="e">
        <f t="shared" ca="1" si="289"/>
        <v>#VALUE!</v>
      </c>
      <c r="G2000" s="25"/>
      <c r="H2000" s="25" t="e">
        <f t="shared" si="284"/>
        <v>#VALUE!</v>
      </c>
      <c r="I2000" s="25">
        <f t="shared" si="290"/>
        <v>1485.9999999999666</v>
      </c>
      <c r="J2000" s="25" t="e">
        <f t="shared" si="291"/>
        <v>#VALUE!</v>
      </c>
    </row>
    <row r="2001" spans="1:10" x14ac:dyDescent="0.25">
      <c r="A2001" s="25">
        <f t="shared" si="292"/>
        <v>9.8699999999996653</v>
      </c>
      <c r="B2001" s="25">
        <f t="shared" ca="1" si="285"/>
        <v>-0.1909814378278345</v>
      </c>
      <c r="C2001" s="25" t="e">
        <f t="shared" si="286"/>
        <v>#VALUE!</v>
      </c>
      <c r="D2001" s="74" t="e">
        <f t="shared" si="287"/>
        <v>#VALUE!</v>
      </c>
      <c r="E2001" s="25" t="e">
        <f t="shared" si="288"/>
        <v>#VALUE!</v>
      </c>
      <c r="F2001" s="25" t="e">
        <f t="shared" ca="1" si="289"/>
        <v>#VALUE!</v>
      </c>
      <c r="G2001" s="25"/>
      <c r="H2001" s="25" t="e">
        <f t="shared" si="284"/>
        <v>#VALUE!</v>
      </c>
      <c r="I2001" s="25">
        <f t="shared" si="290"/>
        <v>1486.9999999999666</v>
      </c>
      <c r="J2001" s="25" t="e">
        <f t="shared" si="291"/>
        <v>#VALUE!</v>
      </c>
    </row>
    <row r="2002" spans="1:10" x14ac:dyDescent="0.25">
      <c r="A2002" s="25">
        <f t="shared" si="292"/>
        <v>9.8799999999996651</v>
      </c>
      <c r="B2002" s="25">
        <f t="shared" ca="1" si="285"/>
        <v>3.3274469196551519E-2</v>
      </c>
      <c r="C2002" s="25" t="e">
        <f t="shared" si="286"/>
        <v>#VALUE!</v>
      </c>
      <c r="D2002" s="74" t="e">
        <f t="shared" si="287"/>
        <v>#VALUE!</v>
      </c>
      <c r="E2002" s="25" t="e">
        <f t="shared" si="288"/>
        <v>#VALUE!</v>
      </c>
      <c r="F2002" s="25" t="e">
        <f t="shared" ca="1" si="289"/>
        <v>#VALUE!</v>
      </c>
      <c r="G2002" s="25"/>
      <c r="H2002" s="25" t="e">
        <f t="shared" si="284"/>
        <v>#VALUE!</v>
      </c>
      <c r="I2002" s="25">
        <f t="shared" si="290"/>
        <v>1487.9999999999666</v>
      </c>
      <c r="J2002" s="25" t="e">
        <f t="shared" si="291"/>
        <v>#VALUE!</v>
      </c>
    </row>
    <row r="2003" spans="1:10" x14ac:dyDescent="0.25">
      <c r="A2003" s="25">
        <f t="shared" si="292"/>
        <v>9.8899999999996648</v>
      </c>
      <c r="B2003" s="25">
        <f t="shared" ca="1" si="285"/>
        <v>-1.5657684455721483E-3</v>
      </c>
      <c r="C2003" s="25" t="e">
        <f t="shared" si="286"/>
        <v>#VALUE!</v>
      </c>
      <c r="D2003" s="74" t="e">
        <f t="shared" si="287"/>
        <v>#VALUE!</v>
      </c>
      <c r="E2003" s="25" t="e">
        <f t="shared" si="288"/>
        <v>#VALUE!</v>
      </c>
      <c r="F2003" s="25" t="e">
        <f t="shared" ca="1" si="289"/>
        <v>#VALUE!</v>
      </c>
      <c r="G2003" s="25"/>
      <c r="H2003" s="25" t="e">
        <f t="shared" si="284"/>
        <v>#VALUE!</v>
      </c>
      <c r="I2003" s="25">
        <f t="shared" si="290"/>
        <v>1488.9999999999666</v>
      </c>
      <c r="J2003" s="25" t="e">
        <f t="shared" si="291"/>
        <v>#VALUE!</v>
      </c>
    </row>
    <row r="2004" spans="1:10" x14ac:dyDescent="0.25">
      <c r="A2004" s="25">
        <f t="shared" si="292"/>
        <v>9.8999999999996646</v>
      </c>
      <c r="B2004" s="25">
        <f t="shared" ca="1" si="285"/>
        <v>3.5494202544344683E-2</v>
      </c>
      <c r="C2004" s="25" t="e">
        <f t="shared" si="286"/>
        <v>#VALUE!</v>
      </c>
      <c r="D2004" s="74" t="e">
        <f t="shared" si="287"/>
        <v>#VALUE!</v>
      </c>
      <c r="E2004" s="25" t="e">
        <f t="shared" si="288"/>
        <v>#VALUE!</v>
      </c>
      <c r="F2004" s="25" t="e">
        <f t="shared" ca="1" si="289"/>
        <v>#VALUE!</v>
      </c>
      <c r="G2004" s="25"/>
      <c r="H2004" s="25" t="e">
        <f t="shared" si="284"/>
        <v>#VALUE!</v>
      </c>
      <c r="I2004" s="25">
        <f t="shared" si="290"/>
        <v>1489.9999999999666</v>
      </c>
      <c r="J2004" s="25" t="e">
        <f t="shared" si="291"/>
        <v>#VALUE!</v>
      </c>
    </row>
    <row r="2005" spans="1:10" x14ac:dyDescent="0.25">
      <c r="A2005" s="25">
        <f t="shared" si="292"/>
        <v>9.9099999999996644</v>
      </c>
      <c r="B2005" s="25">
        <f t="shared" ca="1" si="285"/>
        <v>-7.1984174363866435E-2</v>
      </c>
      <c r="C2005" s="25" t="e">
        <f t="shared" si="286"/>
        <v>#VALUE!</v>
      </c>
      <c r="D2005" s="74" t="e">
        <f t="shared" si="287"/>
        <v>#VALUE!</v>
      </c>
      <c r="E2005" s="25" t="e">
        <f t="shared" si="288"/>
        <v>#VALUE!</v>
      </c>
      <c r="F2005" s="25" t="e">
        <f t="shared" ca="1" si="289"/>
        <v>#VALUE!</v>
      </c>
      <c r="G2005" s="25"/>
      <c r="H2005" s="25" t="e">
        <f t="shared" si="284"/>
        <v>#VALUE!</v>
      </c>
      <c r="I2005" s="25">
        <f t="shared" si="290"/>
        <v>1490.9999999999666</v>
      </c>
      <c r="J2005" s="25" t="e">
        <f t="shared" si="291"/>
        <v>#VALUE!</v>
      </c>
    </row>
    <row r="2006" spans="1:10" x14ac:dyDescent="0.25">
      <c r="A2006" s="25">
        <f t="shared" si="292"/>
        <v>9.9199999999996642</v>
      </c>
      <c r="B2006" s="25">
        <f t="shared" ca="1" si="285"/>
        <v>-0.14080487616410645</v>
      </c>
      <c r="C2006" s="25" t="e">
        <f t="shared" si="286"/>
        <v>#VALUE!</v>
      </c>
      <c r="D2006" s="74" t="e">
        <f t="shared" si="287"/>
        <v>#VALUE!</v>
      </c>
      <c r="E2006" s="25" t="e">
        <f t="shared" si="288"/>
        <v>#VALUE!</v>
      </c>
      <c r="F2006" s="25" t="e">
        <f t="shared" ca="1" si="289"/>
        <v>#VALUE!</v>
      </c>
      <c r="G2006" s="25"/>
      <c r="H2006" s="25" t="e">
        <f t="shared" si="284"/>
        <v>#VALUE!</v>
      </c>
      <c r="I2006" s="25">
        <f t="shared" si="290"/>
        <v>1491.9999999999663</v>
      </c>
      <c r="J2006" s="25" t="e">
        <f t="shared" si="291"/>
        <v>#VALUE!</v>
      </c>
    </row>
    <row r="2007" spans="1:10" x14ac:dyDescent="0.25">
      <c r="A2007" s="25">
        <f t="shared" si="292"/>
        <v>9.929999999999664</v>
      </c>
      <c r="B2007" s="25">
        <f t="shared" ca="1" si="285"/>
        <v>-0.13166296033564362</v>
      </c>
      <c r="C2007" s="25" t="e">
        <f t="shared" si="286"/>
        <v>#VALUE!</v>
      </c>
      <c r="D2007" s="74" t="e">
        <f t="shared" si="287"/>
        <v>#VALUE!</v>
      </c>
      <c r="E2007" s="25" t="e">
        <f t="shared" si="288"/>
        <v>#VALUE!</v>
      </c>
      <c r="F2007" s="25" t="e">
        <f t="shared" ca="1" si="289"/>
        <v>#VALUE!</v>
      </c>
      <c r="G2007" s="25"/>
      <c r="H2007" s="25" t="e">
        <f t="shared" si="284"/>
        <v>#VALUE!</v>
      </c>
      <c r="I2007" s="25">
        <f t="shared" si="290"/>
        <v>1492.9999999999663</v>
      </c>
      <c r="J2007" s="25" t="e">
        <f t="shared" si="291"/>
        <v>#VALUE!</v>
      </c>
    </row>
    <row r="2008" spans="1:10" x14ac:dyDescent="0.25">
      <c r="A2008" s="25">
        <f t="shared" si="292"/>
        <v>9.9399999999996638</v>
      </c>
      <c r="B2008" s="25">
        <f t="shared" ca="1" si="285"/>
        <v>5.6819192781182852E-2</v>
      </c>
      <c r="C2008" s="25" t="e">
        <f t="shared" si="286"/>
        <v>#VALUE!</v>
      </c>
      <c r="D2008" s="74" t="e">
        <f t="shared" si="287"/>
        <v>#VALUE!</v>
      </c>
      <c r="E2008" s="25" t="e">
        <f t="shared" si="288"/>
        <v>#VALUE!</v>
      </c>
      <c r="F2008" s="25" t="e">
        <f t="shared" ca="1" si="289"/>
        <v>#VALUE!</v>
      </c>
      <c r="G2008" s="25"/>
      <c r="H2008" s="25" t="e">
        <f t="shared" si="284"/>
        <v>#VALUE!</v>
      </c>
      <c r="I2008" s="25">
        <f t="shared" si="290"/>
        <v>1493.9999999999663</v>
      </c>
      <c r="J2008" s="25" t="e">
        <f t="shared" si="291"/>
        <v>#VALUE!</v>
      </c>
    </row>
    <row r="2009" spans="1:10" x14ac:dyDescent="0.25">
      <c r="A2009" s="25">
        <f t="shared" si="292"/>
        <v>9.9499999999996636</v>
      </c>
      <c r="B2009" s="25">
        <f t="shared" ca="1" si="285"/>
        <v>0.11337221828317068</v>
      </c>
      <c r="C2009" s="25" t="e">
        <f t="shared" si="286"/>
        <v>#VALUE!</v>
      </c>
      <c r="D2009" s="74" t="e">
        <f t="shared" si="287"/>
        <v>#VALUE!</v>
      </c>
      <c r="E2009" s="25" t="e">
        <f t="shared" si="288"/>
        <v>#VALUE!</v>
      </c>
      <c r="F2009" s="25" t="e">
        <f t="shared" ca="1" si="289"/>
        <v>#VALUE!</v>
      </c>
      <c r="G2009" s="25"/>
      <c r="H2009" s="25" t="e">
        <f t="shared" si="284"/>
        <v>#VALUE!</v>
      </c>
      <c r="I2009" s="25">
        <f t="shared" si="290"/>
        <v>1494.9999999999663</v>
      </c>
      <c r="J2009" s="25" t="e">
        <f t="shared" si="291"/>
        <v>#VALUE!</v>
      </c>
    </row>
    <row r="2010" spans="1:10" x14ac:dyDescent="0.25">
      <c r="A2010" s="25">
        <f t="shared" si="292"/>
        <v>9.9599999999996633</v>
      </c>
      <c r="B2010" s="25">
        <f t="shared" ca="1" si="285"/>
        <v>-2.5366943991506602E-2</v>
      </c>
      <c r="C2010" s="25" t="e">
        <f t="shared" si="286"/>
        <v>#VALUE!</v>
      </c>
      <c r="D2010" s="74" t="e">
        <f t="shared" si="287"/>
        <v>#VALUE!</v>
      </c>
      <c r="E2010" s="25" t="e">
        <f t="shared" si="288"/>
        <v>#VALUE!</v>
      </c>
      <c r="F2010" s="25" t="e">
        <f t="shared" ca="1" si="289"/>
        <v>#VALUE!</v>
      </c>
      <c r="G2010" s="25"/>
      <c r="H2010" s="25" t="e">
        <f t="shared" si="284"/>
        <v>#VALUE!</v>
      </c>
      <c r="I2010" s="25">
        <f t="shared" si="290"/>
        <v>1495.9999999999663</v>
      </c>
      <c r="J2010" s="25" t="e">
        <f t="shared" si="291"/>
        <v>#VALUE!</v>
      </c>
    </row>
    <row r="2011" spans="1:10" x14ac:dyDescent="0.25">
      <c r="A2011" s="25">
        <f t="shared" si="292"/>
        <v>9.9699999999996631</v>
      </c>
      <c r="B2011" s="25">
        <f t="shared" ca="1" si="285"/>
        <v>-7.0142870977713476E-2</v>
      </c>
      <c r="C2011" s="25" t="e">
        <f t="shared" si="286"/>
        <v>#VALUE!</v>
      </c>
      <c r="D2011" s="74" t="e">
        <f t="shared" si="287"/>
        <v>#VALUE!</v>
      </c>
      <c r="E2011" s="25" t="e">
        <f t="shared" si="288"/>
        <v>#VALUE!</v>
      </c>
      <c r="F2011" s="25" t="e">
        <f t="shared" ca="1" si="289"/>
        <v>#VALUE!</v>
      </c>
      <c r="G2011" s="25"/>
      <c r="H2011" s="25" t="e">
        <f t="shared" si="284"/>
        <v>#VALUE!</v>
      </c>
      <c r="I2011" s="25">
        <f t="shared" si="290"/>
        <v>1496.9999999999663</v>
      </c>
      <c r="J2011" s="25" t="e">
        <f t="shared" si="291"/>
        <v>#VALUE!</v>
      </c>
    </row>
    <row r="2012" spans="1:10" x14ac:dyDescent="0.25">
      <c r="A2012" s="25">
        <f t="shared" si="292"/>
        <v>9.9799999999996629</v>
      </c>
      <c r="B2012" s="25">
        <f t="shared" ca="1" si="285"/>
        <v>-0.13203295851666094</v>
      </c>
      <c r="C2012" s="25" t="e">
        <f t="shared" si="286"/>
        <v>#VALUE!</v>
      </c>
      <c r="D2012" s="74" t="e">
        <f t="shared" si="287"/>
        <v>#VALUE!</v>
      </c>
      <c r="E2012" s="25" t="e">
        <f t="shared" si="288"/>
        <v>#VALUE!</v>
      </c>
      <c r="F2012" s="25" t="e">
        <f t="shared" ca="1" si="289"/>
        <v>#VALUE!</v>
      </c>
      <c r="G2012" s="25"/>
      <c r="H2012" s="25" t="e">
        <f t="shared" si="284"/>
        <v>#VALUE!</v>
      </c>
      <c r="I2012" s="25">
        <f t="shared" si="290"/>
        <v>1497.9999999999663</v>
      </c>
      <c r="J2012" s="25" t="e">
        <f t="shared" si="291"/>
        <v>#VALUE!</v>
      </c>
    </row>
    <row r="2013" spans="1:10" x14ac:dyDescent="0.25">
      <c r="A2013" s="25">
        <f t="shared" si="292"/>
        <v>9.9899999999996627</v>
      </c>
      <c r="B2013" s="25">
        <f t="shared" ca="1" si="285"/>
        <v>-5.2610317999669691E-2</v>
      </c>
      <c r="C2013" s="25" t="e">
        <f t="shared" si="286"/>
        <v>#VALUE!</v>
      </c>
      <c r="D2013" s="74" t="e">
        <f t="shared" si="287"/>
        <v>#VALUE!</v>
      </c>
      <c r="E2013" s="25" t="e">
        <f t="shared" si="288"/>
        <v>#VALUE!</v>
      </c>
      <c r="F2013" s="25" t="e">
        <f t="shared" ca="1" si="289"/>
        <v>#VALUE!</v>
      </c>
      <c r="G2013" s="25"/>
      <c r="H2013" s="25" t="e">
        <f t="shared" si="284"/>
        <v>#VALUE!</v>
      </c>
      <c r="I2013" s="25">
        <f t="shared" si="290"/>
        <v>1498.9999999999663</v>
      </c>
      <c r="J2013" s="25" t="e">
        <f t="shared" si="291"/>
        <v>#VALUE!</v>
      </c>
    </row>
    <row r="2014" spans="1:10" x14ac:dyDescent="0.25">
      <c r="A2014" s="25">
        <f t="shared" si="292"/>
        <v>9.9999999999996625</v>
      </c>
      <c r="B2014" s="25">
        <f t="shared" ca="1" si="285"/>
        <v>2.8723201750843558E-2</v>
      </c>
      <c r="C2014" s="25" t="e">
        <f t="shared" si="286"/>
        <v>#VALUE!</v>
      </c>
      <c r="D2014" s="74" t="e">
        <f t="shared" si="287"/>
        <v>#VALUE!</v>
      </c>
      <c r="E2014" s="25" t="e">
        <f t="shared" si="288"/>
        <v>#VALUE!</v>
      </c>
      <c r="F2014" s="25" t="e">
        <f t="shared" ca="1" si="289"/>
        <v>#VALUE!</v>
      </c>
      <c r="G2014" s="25"/>
      <c r="H2014" s="25" t="e">
        <f t="shared" ref="H2014" si="293">IF(PeakShape=$O$3,C2014,IF(PeakShape=O2016,D2014,E2014))</f>
        <v>#VALUE!</v>
      </c>
      <c r="I2014" s="25">
        <f t="shared" si="290"/>
        <v>1499.9999999999661</v>
      </c>
      <c r="J2014" s="25" t="e">
        <f t="shared" si="291"/>
        <v>#VALUE!</v>
      </c>
    </row>
    <row r="2015" spans="1:10" x14ac:dyDescent="0.25">
      <c r="I2015" s="25">
        <f t="shared" si="290"/>
        <v>500</v>
      </c>
      <c r="J2015" s="25">
        <v>0</v>
      </c>
    </row>
    <row r="2016" spans="1:10" x14ac:dyDescent="0.25">
      <c r="I2016" s="25">
        <f t="shared" si="290"/>
        <v>500</v>
      </c>
      <c r="J2016" s="25">
        <v>0</v>
      </c>
    </row>
    <row r="2157" spans="1:1" x14ac:dyDescent="0.25">
      <c r="A2157" t="e">
        <f>#REF!+0.01</f>
        <v>#REF!</v>
      </c>
    </row>
    <row r="2158" spans="1:1" x14ac:dyDescent="0.25">
      <c r="A2158" t="e">
        <f t="shared" ref="A2158:A2167" si="294">A2157+0.01</f>
        <v>#REF!</v>
      </c>
    </row>
    <row r="2159" spans="1:1" x14ac:dyDescent="0.25">
      <c r="A2159" t="e">
        <f t="shared" si="294"/>
        <v>#REF!</v>
      </c>
    </row>
    <row r="2160" spans="1:1" x14ac:dyDescent="0.25">
      <c r="A2160" t="e">
        <f t="shared" si="294"/>
        <v>#REF!</v>
      </c>
    </row>
    <row r="2161" spans="1:1" x14ac:dyDescent="0.25">
      <c r="A2161" t="e">
        <f t="shared" si="294"/>
        <v>#REF!</v>
      </c>
    </row>
    <row r="2162" spans="1:1" x14ac:dyDescent="0.25">
      <c r="A2162" t="e">
        <f t="shared" si="294"/>
        <v>#REF!</v>
      </c>
    </row>
    <row r="2163" spans="1:1" x14ac:dyDescent="0.25">
      <c r="A2163" t="e">
        <f t="shared" si="294"/>
        <v>#REF!</v>
      </c>
    </row>
    <row r="2164" spans="1:1" x14ac:dyDescent="0.25">
      <c r="A2164" t="e">
        <f t="shared" si="294"/>
        <v>#REF!</v>
      </c>
    </row>
    <row r="2165" spans="1:1" x14ac:dyDescent="0.25">
      <c r="A2165" t="e">
        <f t="shared" si="294"/>
        <v>#REF!</v>
      </c>
    </row>
    <row r="2166" spans="1:1" x14ac:dyDescent="0.25">
      <c r="A2166" t="e">
        <f t="shared" si="294"/>
        <v>#REF!</v>
      </c>
    </row>
    <row r="2167" spans="1:1" x14ac:dyDescent="0.25">
      <c r="A2167" t="e">
        <f t="shared" si="294"/>
        <v>#REF!</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B3:H70"/>
  <sheetViews>
    <sheetView workbookViewId="0">
      <selection activeCell="C33" sqref="C33"/>
    </sheetView>
  </sheetViews>
  <sheetFormatPr defaultRowHeight="15" x14ac:dyDescent="0.25"/>
  <cols>
    <col min="2" max="2" width="13.42578125" customWidth="1"/>
    <col min="3" max="3" width="113.140625" customWidth="1"/>
    <col min="4" max="5" width="15.42578125" customWidth="1"/>
    <col min="6" max="6" width="11.140625" customWidth="1"/>
    <col min="7" max="7" width="111.85546875" customWidth="1"/>
  </cols>
  <sheetData>
    <row r="3" spans="2:7" x14ac:dyDescent="0.25">
      <c r="B3" s="184" t="s">
        <v>129</v>
      </c>
      <c r="C3" s="185"/>
      <c r="D3" s="54"/>
      <c r="E3" s="54"/>
      <c r="F3" s="25"/>
      <c r="G3" s="25"/>
    </row>
    <row r="4" spans="2:7" x14ac:dyDescent="0.25">
      <c r="B4" s="25" t="s">
        <v>114</v>
      </c>
      <c r="C4" s="141" t="s">
        <v>913</v>
      </c>
      <c r="D4" s="52"/>
      <c r="E4" s="52"/>
      <c r="F4" s="25"/>
      <c r="G4" s="25"/>
    </row>
    <row r="5" spans="2:7" x14ac:dyDescent="0.25">
      <c r="B5" s="25"/>
      <c r="C5" s="52" t="s">
        <v>194</v>
      </c>
      <c r="D5" s="69" t="e">
        <f>ROUND('Peak Payback Engine'!R10, 0)</f>
        <v>#VALUE!</v>
      </c>
      <c r="E5" s="52"/>
      <c r="F5" s="25"/>
      <c r="G5" s="25" t="e">
        <f>$C$24&amp;C5&amp;D5&amp;E5&amp;F5</f>
        <v>#VALUE!</v>
      </c>
    </row>
    <row r="6" spans="2:7" x14ac:dyDescent="0.25">
      <c r="B6" s="25"/>
      <c r="C6" s="52" t="s">
        <v>910</v>
      </c>
      <c r="D6" s="70" t="e">
        <f>ROUND(D7/('Peak Payback Engine'!AJ8+1), 0)</f>
        <v>#N/A</v>
      </c>
      <c r="E6" s="52"/>
      <c r="F6" s="25"/>
      <c r="G6" s="25" t="e">
        <f>$C$24&amp;C6&amp;D6&amp;E6&amp;F6</f>
        <v>#N/A</v>
      </c>
    </row>
    <row r="7" spans="2:7" x14ac:dyDescent="0.25">
      <c r="B7" s="25"/>
      <c r="C7" s="52" t="s">
        <v>193</v>
      </c>
      <c r="D7" s="69" t="e">
        <f>ROUND('Peak Models'!P18, 0)</f>
        <v>#N/A</v>
      </c>
      <c r="E7" s="52"/>
      <c r="F7" s="25"/>
      <c r="G7" s="25" t="e">
        <f>$C$24&amp;C7&amp;D7&amp;E7&amp;F7</f>
        <v>#N/A</v>
      </c>
    </row>
    <row r="8" spans="2:7" x14ac:dyDescent="0.25">
      <c r="B8" s="37"/>
      <c r="C8" s="141" t="s">
        <v>913</v>
      </c>
      <c r="D8" s="42"/>
      <c r="E8" s="37"/>
      <c r="F8" s="68"/>
      <c r="G8" s="37"/>
    </row>
    <row r="9" spans="2:7" x14ac:dyDescent="0.25">
      <c r="C9" s="57" t="s">
        <v>6</v>
      </c>
      <c r="D9" s="67"/>
      <c r="E9" s="37"/>
    </row>
    <row r="10" spans="2:7" x14ac:dyDescent="0.25">
      <c r="C10" s="66" t="str">
        <f>'Input Sheet'!H72</f>
        <v>ROI after 15 Years</v>
      </c>
      <c r="D10" s="66" t="e">
        <f>'Input Sheet'!J72</f>
        <v>#N/A</v>
      </c>
    </row>
    <row r="11" spans="2:7" x14ac:dyDescent="0.25">
      <c r="C11" s="66" t="str">
        <f>'Input Sheet'!H73</f>
        <v>ROI over Expected Lifetime (15 Years)</v>
      </c>
      <c r="D11" s="66" t="e">
        <f>'Input Sheet'!J73</f>
        <v>#N/A</v>
      </c>
    </row>
    <row r="12" spans="2:7" x14ac:dyDescent="0.25">
      <c r="C12" s="66" t="str">
        <f>'Input Sheet'!H74</f>
        <v>Break Even Point</v>
      </c>
      <c r="D12" s="66" t="e">
        <f>'Input Sheet'!J74</f>
        <v>#N/A</v>
      </c>
    </row>
    <row r="13" spans="2:7" x14ac:dyDescent="0.25">
      <c r="C13" s="65" t="e">
        <f>IF(D10&gt;0, C15, C16)</f>
        <v>#N/A</v>
      </c>
      <c r="D13" s="64"/>
    </row>
    <row r="15" spans="2:7" x14ac:dyDescent="0.25">
      <c r="B15" s="31" t="s">
        <v>125</v>
      </c>
      <c r="C15" s="25" t="e">
        <f>"Battery storage is financially feasible because the system will pay for itself with "&amp;ABS(ROUND(D10*100, 0)) &amp; "% profit at the payback year"</f>
        <v>#N/A</v>
      </c>
    </row>
    <row r="16" spans="2:7" x14ac:dyDescent="0.25">
      <c r="B16" s="25" t="s">
        <v>124</v>
      </c>
      <c r="C16" s="25" t="e">
        <f>"Battery storage is not financially feasible because the system is yet to pay for "&amp;ABS(ROUND(D10*100, 0)) &amp; "% of the total system cost by the payback year"</f>
        <v>#N/A</v>
      </c>
    </row>
    <row r="17" spans="2:7" x14ac:dyDescent="0.25">
      <c r="B17" s="63"/>
      <c r="C17" s="25"/>
    </row>
    <row r="18" spans="2:7" x14ac:dyDescent="0.25">
      <c r="C18" s="62" t="e">
        <f>C13</f>
        <v>#N/A</v>
      </c>
    </row>
    <row r="19" spans="2:7" x14ac:dyDescent="0.25">
      <c r="C19" s="61" t="e">
        <f>C8&amp;IF(D10&lt;0,"The return on investment after "&amp;'Peak Payback Engine'!U10&amp;" Years is "&amp;ROUND(D10*100, 0) &amp;"%","The return on investment after "&amp;'Arbitrage Payback Engine'!W10&amp;" Years is "&amp;ROUND(D10*100, 0)  &amp;"%")</f>
        <v>#N/A</v>
      </c>
    </row>
    <row r="20" spans="2:7" x14ac:dyDescent="0.25">
      <c r="C20" s="61" t="e">
        <f>C8&amp;IF(D11&lt;0,"The return on investment at the possible lifetime of "&amp;'Peak Payback Engine'!V10&amp;" years is "&amp; ROUND(D11*100, 0) &amp;"%","The return on investment at the possible lifetime of "&amp;'Peak Payback Engine'!V10&amp;" years is "&amp; ROUND(D11*100, 0)  &amp;"%")</f>
        <v>#N/A</v>
      </c>
    </row>
    <row r="21" spans="2:7" x14ac:dyDescent="0.25">
      <c r="C21" s="61" t="e">
        <f>C8&amp;"This system is expected to break even after "&amp;D12</f>
        <v>#N/A</v>
      </c>
    </row>
    <row r="23" spans="2:7" x14ac:dyDescent="0.25">
      <c r="B23" s="55" t="s">
        <v>118</v>
      </c>
      <c r="C23" s="54"/>
      <c r="D23" s="54"/>
      <c r="E23" s="54"/>
      <c r="F23" s="25"/>
      <c r="G23" s="25"/>
    </row>
    <row r="24" spans="2:7" x14ac:dyDescent="0.25">
      <c r="B24" s="25" t="s">
        <v>114</v>
      </c>
      <c r="C24" s="141" t="s">
        <v>913</v>
      </c>
      <c r="D24" s="52"/>
      <c r="E24" s="52"/>
      <c r="F24" s="25"/>
      <c r="G24" s="25"/>
    </row>
    <row r="25" spans="2:7" x14ac:dyDescent="0.25">
      <c r="B25" s="25"/>
      <c r="C25" s="25" t="s">
        <v>192</v>
      </c>
      <c r="D25" s="25"/>
      <c r="E25" s="25"/>
      <c r="F25" s="31"/>
      <c r="G25" s="25" t="str">
        <f t="shared" ref="G25:G36" si="0">$C$24&amp;C25&amp;D25&amp;E25&amp;F25</f>
        <v>- It is assumed that the battery is always fully charged before a peak event occurs</v>
      </c>
    </row>
    <row r="26" spans="2:7" x14ac:dyDescent="0.25">
      <c r="B26" s="25"/>
      <c r="C26" s="25" t="s">
        <v>191</v>
      </c>
      <c r="D26" s="25"/>
      <c r="E26" s="25"/>
      <c r="F26" s="31"/>
      <c r="G26" s="25" t="str">
        <f t="shared" si="0"/>
        <v>- It is assumed that the battery is always charged from off-peak power</v>
      </c>
    </row>
    <row r="27" spans="2:7" x14ac:dyDescent="0.25">
      <c r="B27" s="25"/>
      <c r="C27" s="25" t="s">
        <v>117</v>
      </c>
      <c r="D27" s="25" t="str">
        <f>IF(AlternativeModelCustom = "Default", 'Battery Pricing Model'!C15, AlternativeModelCustom)</f>
        <v>$1000 per kWh</v>
      </c>
      <c r="E27" s="25" t="s">
        <v>966</v>
      </c>
      <c r="F27" s="31"/>
      <c r="G27" s="25" t="str">
        <f t="shared" si="0"/>
        <v>- It is assumed that the average cost of battery storage of $1000 per kWh represents the installed cost of the entire system per usable kWh</v>
      </c>
    </row>
    <row r="28" spans="2:7" x14ac:dyDescent="0.25">
      <c r="B28" s="25"/>
      <c r="C28" s="25" t="s">
        <v>967</v>
      </c>
      <c r="D28" s="25"/>
      <c r="E28" s="25"/>
      <c r="F28" s="25"/>
      <c r="G28" s="25" t="str">
        <f t="shared" si="0"/>
        <v>- This may vary based on the size of the system and cost of installation</v>
      </c>
    </row>
    <row r="29" spans="2:7" s="156" customFormat="1" x14ac:dyDescent="0.25">
      <c r="B29" s="159"/>
      <c r="C29" s="159" t="str">
        <f>IF(InflationIndex="Default", "A default inflation of 2.5% per annum has been applied to the cost of electricity", "A custom inflation value of " &amp;InflationIndex&amp;" has been nominated by the user and used in these calculations")</f>
        <v>A default inflation of 2.5% per annum has been applied to the cost of electricity</v>
      </c>
      <c r="D29" s="159"/>
      <c r="E29" s="159"/>
      <c r="F29" s="159"/>
      <c r="G29" s="159" t="str">
        <f t="shared" si="0"/>
        <v>- A default inflation of 2.5% per annum has been applied to the cost of electricity</v>
      </c>
    </row>
    <row r="30" spans="2:7" x14ac:dyDescent="0.25">
      <c r="B30" s="25"/>
      <c r="C30" s="25" t="s">
        <v>189</v>
      </c>
      <c r="D30" s="25"/>
      <c r="E30" s="25"/>
      <c r="F30" s="53"/>
      <c r="G30" s="25" t="str">
        <f t="shared" si="0"/>
        <v>- A peak event is approximated such that the power consumption increases to a maximum, remains at that point for a set duration and decreases linearly</v>
      </c>
    </row>
    <row r="31" spans="2:7" x14ac:dyDescent="0.25">
      <c r="B31" s="25"/>
      <c r="C31" s="25" t="s">
        <v>968</v>
      </c>
      <c r="D31" s="25"/>
      <c r="E31" s="25"/>
      <c r="F31" s="53"/>
      <c r="G31" s="25" t="str">
        <f t="shared" si="0"/>
        <v>- The duration for a peak event is the answer selected in Q4.  'Between 1 and 2 hours' assumes 2 hours. 'More than 3 hours' assumes 4 hours</v>
      </c>
    </row>
    <row r="32" spans="2:7" x14ac:dyDescent="0.25">
      <c r="B32" s="25"/>
      <c r="C32" s="25" t="s">
        <v>969</v>
      </c>
      <c r="D32" s="25"/>
      <c r="E32" s="25"/>
      <c r="F32" s="31"/>
      <c r="G32" s="25" t="str">
        <f t="shared" si="0"/>
        <v>- The default duration for this maximum peak duration is the average between the total time of peak event and 30 minutes</v>
      </c>
    </row>
    <row r="33" spans="2:8" x14ac:dyDescent="0.25">
      <c r="B33" s="25"/>
      <c r="C33" s="25" t="s">
        <v>188</v>
      </c>
      <c r="D33" s="25"/>
      <c r="E33" s="25"/>
      <c r="F33" s="31"/>
      <c r="G33" s="25" t="str">
        <f t="shared" si="0"/>
        <v>- It is assumed that the system never fails to fully supply the load above the peak threshold</v>
      </c>
    </row>
    <row r="34" spans="2:8" x14ac:dyDescent="0.25">
      <c r="B34" s="25"/>
      <c r="C34" s="25" t="str">
        <f>"The default number of peak events per year is set at "&amp;'Peak Models'!M16&amp;". This should be considered by the user to be a large number of peaks"</f>
        <v>The default number of peak events per year is set at 40. This should be considered by the user to be a large number of peaks</v>
      </c>
      <c r="D34" s="25"/>
      <c r="E34" s="25"/>
      <c r="F34" s="31"/>
      <c r="G34" s="25" t="str">
        <f t="shared" si="0"/>
        <v>- The default number of peak events per year is set at 40. This should be considered by the user to be a large number of peaks</v>
      </c>
    </row>
    <row r="35" spans="2:8" x14ac:dyDescent="0.25">
      <c r="B35" s="25"/>
      <c r="C35" s="25" t="s">
        <v>187</v>
      </c>
      <c r="D35" s="25"/>
      <c r="E35" s="25"/>
      <c r="F35" s="31"/>
      <c r="G35" s="25" t="str">
        <f t="shared" si="0"/>
        <v>- The user should balance the peak threshold such that the battery is not insubstantially small but at the same time only the largest peaks will require battery intervention</v>
      </c>
    </row>
    <row r="36" spans="2:8" x14ac:dyDescent="0.25">
      <c r="B36" s="25"/>
      <c r="C36" s="25" t="s">
        <v>186</v>
      </c>
      <c r="D36" s="25"/>
      <c r="E36" s="25"/>
      <c r="F36" s="31"/>
      <c r="G36" s="25" t="str">
        <f t="shared" si="0"/>
        <v>- It is CRITICAL that careful analysis is performed to ensure that the battery is sized correctly to supply ALL events</v>
      </c>
    </row>
    <row r="37" spans="2:8" ht="30" x14ac:dyDescent="0.25">
      <c r="B37" s="51" t="s">
        <v>111</v>
      </c>
      <c r="C37" s="50" t="str">
        <f>CHAR(10)</f>
        <v xml:space="preserve">
</v>
      </c>
      <c r="D37" s="50"/>
      <c r="E37" s="50"/>
      <c r="F37" s="25"/>
      <c r="G37" s="50" t="str">
        <f>CHAR(10)</f>
        <v xml:space="preserve">
</v>
      </c>
      <c r="H37" s="25"/>
    </row>
    <row r="38" spans="2:8" ht="15.6" customHeight="1" x14ac:dyDescent="0.25">
      <c r="G38" s="50" t="str">
        <f>G25</f>
        <v>- It is assumed that the battery is always fully charged before a peak event occurs</v>
      </c>
      <c r="H38" s="25"/>
    </row>
    <row r="39" spans="2:8" ht="15.6" customHeight="1" x14ac:dyDescent="0.25">
      <c r="G39" s="50" t="str">
        <f>G38&amp;$G$37&amp;G26</f>
        <v>- It is assumed that the battery is always fully charged before a peak event occurs
- It is assumed that the battery is always charged from off-peak power</v>
      </c>
      <c r="H39" s="25"/>
    </row>
    <row r="40" spans="2:8" ht="15.6" customHeight="1" x14ac:dyDescent="0.25">
      <c r="G40" s="50" t="str">
        <f t="shared" ref="G40:G50" si="1">G39&amp;$G$37&amp;G27</f>
        <v>- It is assumed that the battery is always fully charged before a peak event occurs
- It is assumed that the battery is always charged from off-peak power
- It is assumed that the average cost of battery storage of $1000 per kWh represents the installed cost of the entire system per usable kWh</v>
      </c>
      <c r="H40" s="25"/>
    </row>
    <row r="41" spans="2:8" ht="15.6" customHeight="1" x14ac:dyDescent="0.25">
      <c r="G41" s="50" t="str">
        <f t="shared" si="1"/>
        <v>- It is assumed that the battery is always fully charged before a peak event occurs
- It is assumed that the battery is always charged from off-peak power
- It is assumed that the average cost of battery storage of $1000 per kWh represents the installed cost of the entire system per usable kWh
- This may vary based on the size of the system and cost of installation</v>
      </c>
      <c r="H41" s="25"/>
    </row>
    <row r="42" spans="2:8" ht="15.6" customHeight="1" x14ac:dyDescent="0.25">
      <c r="G42" s="50" t="str">
        <f t="shared" si="1"/>
        <v>- It is assumed that the battery is always fully charged before a peak event occurs
- It is assumed that the battery is always charged from off-peak power
- It is assumed that the average cost of battery storage of $1000 per kWh represents the installed cost of the entire system per usable kWh
- This may vary based on the size of the system and cost of installation
- A default inflation of 2.5% per annum has been applied to the cost of electricity</v>
      </c>
      <c r="H42" s="25"/>
    </row>
    <row r="43" spans="2:8" ht="15.6" customHeight="1" x14ac:dyDescent="0.25">
      <c r="G43" s="50" t="str">
        <f t="shared" si="1"/>
        <v>- It is assumed that the battery is always fully charged before a peak event occurs
- It is assumed that the battery is always charged from off-peak power
- It is assumed that the average cost of battery storage of $1000 per kWh represents the installed cost of the entire system per usable kWh
- This may vary based on the size of the system and cost of installation
- A default inflation of 2.5% per annum has been applied to the cost of electricity
- A peak event is approximated such that the power consumption increases to a maximum, remains at that point for a set duration and decreases linearly</v>
      </c>
      <c r="H43" s="25"/>
    </row>
    <row r="44" spans="2:8" ht="15.6" customHeight="1" x14ac:dyDescent="0.25">
      <c r="G44" s="50" t="str">
        <f t="shared" si="1"/>
        <v>- It is assumed that the battery is always fully charged before a peak event occurs
- It is assumed that the battery is always charged from off-peak power
- It is assumed that the average cost of battery storage of $1000 per kWh represents the installed cost of the entire system per usable kWh
- This may vary based on the size of the system and cost of installation
- A default inflation of 2.5% per annum has been applied to the cost of electricity
- A peak event is approximated such that the power consumption increases to a maximum, remains at that point for a set duration and decreases linearly
- The duration for a peak event is the answer selected in Q4.  'Between 1 and 2 hours' assumes 2 hours. 'More than 3 hours' assumes 4 hours</v>
      </c>
      <c r="H44" s="25"/>
    </row>
    <row r="45" spans="2:8" ht="15.6" customHeight="1" x14ac:dyDescent="0.25">
      <c r="G45" s="50" t="str">
        <f t="shared" si="1"/>
        <v>- It is assumed that the battery is always fully charged before a peak event occurs
- It is assumed that the battery is always charged from off-peak power
- It is assumed that the average cost of battery storage of $1000 per kWh represents the installed cost of the entire system per usable kWh
- This may vary based on the size of the system and cost of installation
- A default inflation of 2.5% per annum has been applied to the cost of electricity
- A peak event is approximated such that the power consumption increases to a maximum, remains at that point for a set duration and decreases linearly
- The duration for a peak event is the answer selected in Q4.  'Between 1 and 2 hours' assumes 2 hours. 'More than 3 hours' assumes 4 hours
- The default duration for this maximum peak duration is the average between the total time of peak event and 30 minutes</v>
      </c>
      <c r="H45" s="25"/>
    </row>
    <row r="46" spans="2:8" ht="15.6" customHeight="1" x14ac:dyDescent="0.25">
      <c r="G46" s="50" t="str">
        <f t="shared" si="1"/>
        <v>- It is assumed that the battery is always fully charged before a peak event occurs
- It is assumed that the battery is always charged from off-peak power
- It is assumed that the average cost of battery storage of $1000 per kWh represents the installed cost of the entire system per usable kWh
- This may vary based on the size of the system and cost of installation
- A default inflation of 2.5% per annum has been applied to the cost of electricity
- A peak event is approximated such that the power consumption increases to a maximum, remains at that point for a set duration and decreases linearly
- The duration for a peak event is the answer selected in Q4.  'Between 1 and 2 hours' assumes 2 hours. 'More than 3 hours' assumes 4 hours
- The default duration for this maximum peak duration is the average between the total time of peak event and 30 minutes
- It is assumed that the system never fails to fully supply the load above the peak threshold</v>
      </c>
      <c r="H46" s="25"/>
    </row>
    <row r="47" spans="2:8" ht="15.6" customHeight="1" x14ac:dyDescent="0.25">
      <c r="G47" s="50" t="str">
        <f t="shared" si="1"/>
        <v>- It is assumed that the battery is always fully charged before a peak event occurs
- It is assumed that the battery is always charged from off-peak power
- It is assumed that the average cost of battery storage of $1000 per kWh represents the installed cost of the entire system per usable kWh
- This may vary based on the size of the system and cost of installation
- A default inflation of 2.5% per annum has been applied to the cost of electricity
- A peak event is approximated such that the power consumption increases to a maximum, remains at that point for a set duration and decreases linearly
- The duration for a peak event is the answer selected in Q4.  'Between 1 and 2 hours' assumes 2 hours. 'More than 3 hours' assumes 4 hours
- The default duration for this maximum peak duration is the average between the total time of peak event and 30 minutes
- It is assumed that the system never fails to fully supply the load above the peak threshold
- The default number of peak events per year is set at 40. This should be considered by the user to be a large number of peaks</v>
      </c>
      <c r="H47" s="25"/>
    </row>
    <row r="48" spans="2:8" ht="15.6" customHeight="1" x14ac:dyDescent="0.25">
      <c r="G48" s="50" t="str">
        <f t="shared" si="1"/>
        <v>- It is assumed that the battery is always fully charged before a peak event occurs
- It is assumed that the battery is always charged from off-peak power
- It is assumed that the average cost of battery storage of $1000 per kWh represents the installed cost of the entire system per usable kWh
- This may vary based on the size of the system and cost of installation
- A default inflation of 2.5% per annum has been applied to the cost of electricity
- A peak event is approximated such that the power consumption increases to a maximum, remains at that point for a set duration and decreases linearly
- The duration for a peak event is the answer selected in Q4.  'Between 1 and 2 hours' assumes 2 hours. 'More than 3 hours' assumes 4 hours
- The default duration for this maximum peak duration is the average between the total time of peak event and 30 minutes
- It is assumed that the system never fails to fully supply the load above the peak threshold
- The default number of peak events per year is set at 40. This should be considered by the user to be a large number of peaks
- The user should balance the peak threshold such that the battery is not insubstantially small but at the same time only the largest peaks will require battery intervention</v>
      </c>
      <c r="H48" s="25"/>
    </row>
    <row r="49" spans="2:8" s="156" customFormat="1" ht="15.6" customHeight="1" x14ac:dyDescent="0.25">
      <c r="G49" s="50" t="str">
        <f t="shared" si="1"/>
        <v>- It is assumed that the battery is always fully charged before a peak event occurs
- It is assumed that the battery is always charged from off-peak power
- It is assumed that the average cost of battery storage of $1000 per kWh represents the installed cost of the entire system per usable kWh
- This may vary based on the size of the system and cost of installation
- A default inflation of 2.5% per annum has been applied to the cost of electricity
- A peak event is approximated such that the power consumption increases to a maximum, remains at that point for a set duration and decreases linearly
- The duration for a peak event is the answer selected in Q4.  'Between 1 and 2 hours' assumes 2 hours. 'More than 3 hours' assumes 4 hours
- The default duration for this maximum peak duration is the average between the total time of peak event and 30 minutes
- It is assumed that the system never fails to fully supply the load above the peak threshold
- The default number of peak events per year is set at 40. This should be considered by the user to be a large number of peaks
- The user should balance the peak threshold such that the battery is not insubstantially small but at the same time only the largest peaks will require battery intervention
- It is CRITICAL that careful analysis is performed to ensure that the battery is sized correctly to supply ALL events</v>
      </c>
      <c r="H49" s="159"/>
    </row>
    <row r="50" spans="2:8" ht="15.6" customHeight="1" x14ac:dyDescent="0.25">
      <c r="G50" s="50" t="str">
        <f t="shared" si="1"/>
        <v xml:space="preserve">- It is assumed that the battery is always fully charged before a peak event occurs
- It is assumed that the battery is always charged from off-peak power
- It is assumed that the average cost of battery storage of $1000 per kWh represents the installed cost of the entire system per usable kWh
- This may vary based on the size of the system and cost of installation
- A default inflation of 2.5% per annum has been applied to the cost of electricity
- A peak event is approximated such that the power consumption increases to a maximum, remains at that point for a set duration and decreases linearly
- The duration for a peak event is the answer selected in Q4.  'Between 1 and 2 hours' assumes 2 hours. 'More than 3 hours' assumes 4 hours
- The default duration for this maximum peak duration is the average between the total time of peak event and 30 minutes
- It is assumed that the system never fails to fully supply the load above the peak threshold
- The default number of peak events per year is set at 40. This should be considered by the user to be a large number of peaks
- The user should balance the peak threshold such that the battery is not insubstantially small but at the same time only the largest peaks will require battery intervention
- It is CRITICAL that careful analysis is performed to ensure that the battery is sized correctly to supply ALL events
</v>
      </c>
      <c r="H50" s="25"/>
    </row>
    <row r="51" spans="2:8" ht="288.60000000000002" customHeight="1" x14ac:dyDescent="0.25">
      <c r="F51" s="49" t="s">
        <v>110</v>
      </c>
      <c r="G51" s="48" t="str">
        <f>B23&amp;$G$37&amp;G50</f>
        <v xml:space="preserve">General Assumptions: 
- It is assumed that the battery is always fully charged before a peak event occurs
- It is assumed that the battery is always charged from off-peak power
- It is assumed that the average cost of battery storage of $1000 per kWh represents the installed cost of the entire system per usable kWh
- This may vary based on the size of the system and cost of installation
- A default inflation of 2.5% per annum has been applied to the cost of electricity
- A peak event is approximated such that the power consumption increases to a maximum, remains at that point for a set duration and decreases linearly
- The duration for a peak event is the answer selected in Q4.  'Between 1 and 2 hours' assumes 2 hours. 'More than 3 hours' assumes 4 hours
- The default duration for this maximum peak duration is the average between the total time of peak event and 30 minutes
- It is assumed that the system never fails to fully supply the load above the peak threshold
- The default number of peak events per year is set at 40. This should be considered by the user to be a large number of peaks
- The user should balance the peak threshold such that the battery is not insubstantially small but at the same time only the largest peaks will require battery intervention
- It is CRITICAL that careful analysis is performed to ensure that the battery is sized correctly to supply ALL events
</v>
      </c>
      <c r="H51" s="25"/>
    </row>
    <row r="53" spans="2:8" x14ac:dyDescent="0.25">
      <c r="C53" t="s">
        <v>115</v>
      </c>
    </row>
    <row r="55" spans="2:8" x14ac:dyDescent="0.25">
      <c r="B55" s="25" t="s">
        <v>114</v>
      </c>
      <c r="C55" s="141" t="s">
        <v>913</v>
      </c>
      <c r="D55" s="52"/>
      <c r="E55" s="52"/>
      <c r="F55" s="25"/>
      <c r="G55" s="25"/>
      <c r="H55" s="25"/>
    </row>
    <row r="56" spans="2:8" x14ac:dyDescent="0.25">
      <c r="B56" s="25"/>
      <c r="C56" s="25" t="str">
        <f>IF(NetworkLocation='Tariff Model '!B20,"Energy prices are based on standard tariffs", "Custom energy prices have been entered")</f>
        <v>Energy prices are based on standard tariffs</v>
      </c>
      <c r="D56" s="25"/>
      <c r="E56" s="25"/>
      <c r="F56" s="25"/>
      <c r="G56" s="25" t="str">
        <f t="shared" ref="G56:G62" si="2">$C$55&amp;C56&amp;D56&amp;E56&amp;F56</f>
        <v>- Energy prices are based on standard tariffs</v>
      </c>
      <c r="H56" s="25"/>
    </row>
    <row r="57" spans="2:8" x14ac:dyDescent="0.25">
      <c r="B57" s="25"/>
      <c r="C57" s="25" t="str">
        <f>IF(PeakShape='Peak Models'!O4,"The default peak model has been used in these calculations",IF(PeakShape='Peak Models'!O3,"An optimistic peak model has been selected by the user","A conservative peak model has been selected by the user"))</f>
        <v>The default peak model has been used in these calculations</v>
      </c>
      <c r="D57" s="25"/>
      <c r="E57" s="25"/>
      <c r="F57" s="25"/>
      <c r="G57" s="25" t="str">
        <f t="shared" si="2"/>
        <v>- The default peak model has been used in these calculations</v>
      </c>
      <c r="H57" s="25"/>
    </row>
    <row r="58" spans="2:8" x14ac:dyDescent="0.25">
      <c r="B58" s="25"/>
      <c r="C58" s="25" t="str">
        <f>IF(EventsPerYear="Default","The default number of peak events ("&amp;'Peak Models'!M16&amp;") has been used in this model", "A custom number of peak events ("&amp;EventsPerYear&amp;") has been entered by the user")</f>
        <v>The default number of peak events (40) has been used in this model</v>
      </c>
      <c r="D58" s="25"/>
      <c r="E58" s="25"/>
      <c r="F58" s="25"/>
      <c r="G58" s="25" t="str">
        <f t="shared" si="2"/>
        <v>- The default number of peak events (40) has been used in this model</v>
      </c>
      <c r="H58" s="25"/>
    </row>
    <row r="59" spans="2:8" x14ac:dyDescent="0.25">
      <c r="B59" s="25"/>
      <c r="C59" s="25" t="str">
        <f>IF(BatteryFactor="Default","The default model for battery depth of dischage has been used in this model", "A custom selection ("&amp;BatteryFactor&amp;") has been entered by the user to model battery depth of discharge")</f>
        <v>The default model for battery depth of dischage has been used in this model</v>
      </c>
      <c r="D59" s="25"/>
      <c r="E59" s="25"/>
      <c r="F59" s="25"/>
      <c r="G59" s="25" t="str">
        <f t="shared" si="2"/>
        <v>- The default model for battery depth of dischage has been used in this model</v>
      </c>
      <c r="H59" s="25"/>
    </row>
    <row r="60" spans="2:8" x14ac:dyDescent="0.25">
      <c r="B60" s="25"/>
      <c r="C60" s="25" t="s">
        <v>113</v>
      </c>
      <c r="D60" s="25">
        <f>'Peak Payback Engine'!U10</f>
        <v>25</v>
      </c>
      <c r="E60" s="25" t="s">
        <v>112</v>
      </c>
      <c r="F60" s="25"/>
      <c r="G60" s="25" t="str">
        <f t="shared" si="2"/>
        <v>- The payback year nominated by the user is 25 years</v>
      </c>
      <c r="H60" s="25"/>
    </row>
    <row r="61" spans="2:8" x14ac:dyDescent="0.25">
      <c r="B61" s="25"/>
      <c r="C61" s="25" t="str">
        <f>IF(AlternativeModelCustom="Default", "The standard average costs of battery storage "&amp;D27&amp;" has been used in these calculations", "A custom value of" &amp;D27&amp;" has been nominated by the user and used in these calculations")</f>
        <v>The standard average costs of battery storage $1000 per kWh has been used in these calculations</v>
      </c>
      <c r="D61" s="25"/>
      <c r="E61" s="25"/>
      <c r="F61" s="25"/>
      <c r="G61" s="25" t="str">
        <f t="shared" si="2"/>
        <v>- The standard average costs of battery storage $1000 per kWh has been used in these calculations</v>
      </c>
      <c r="H61" s="25"/>
    </row>
    <row r="62" spans="2:8" x14ac:dyDescent="0.25">
      <c r="B62" s="25"/>
      <c r="C62" s="25" t="str">
        <f>IF(InflationIndex="Default", "A default inflation of 2.5% per annum has been applied to the cost of electricity", "A custom inflation value of " &amp;InflationPeakIndex&amp;" has been nominated by the user and used in these calculations")</f>
        <v>A default inflation of 2.5% per annum has been applied to the cost of electricity</v>
      </c>
      <c r="D62" s="25"/>
      <c r="E62" s="25"/>
      <c r="F62" s="25"/>
      <c r="G62" s="25" t="str">
        <f t="shared" si="2"/>
        <v>- A default inflation of 2.5% per annum has been applied to the cost of electricity</v>
      </c>
      <c r="H62" s="25"/>
    </row>
    <row r="63" spans="2:8" ht="30" x14ac:dyDescent="0.25">
      <c r="B63" s="51" t="s">
        <v>111</v>
      </c>
      <c r="C63" s="50" t="str">
        <f>CHAR(10)</f>
        <v xml:space="preserve">
</v>
      </c>
      <c r="D63" s="50"/>
      <c r="E63" s="50"/>
      <c r="F63" s="25"/>
      <c r="G63" s="50" t="str">
        <f>CHAR(10)</f>
        <v xml:space="preserve">
</v>
      </c>
      <c r="H63" s="25"/>
    </row>
    <row r="64" spans="2:8" ht="15.6" customHeight="1" x14ac:dyDescent="0.25">
      <c r="G64" s="50" t="str">
        <f>G56</f>
        <v>- Energy prices are based on standard tariffs</v>
      </c>
      <c r="H64" s="25"/>
    </row>
    <row r="65" spans="6:8" ht="15.6" customHeight="1" x14ac:dyDescent="0.25">
      <c r="G65" s="50" t="str">
        <f>G64&amp;$G$63&amp;G58</f>
        <v>- Energy prices are based on standard tariffs
- The default number of peak events (40) has been used in this model</v>
      </c>
      <c r="H65" s="25"/>
    </row>
    <row r="66" spans="6:8" ht="15.6" customHeight="1" x14ac:dyDescent="0.25">
      <c r="G66" s="50" t="str">
        <f>G65&amp;$G$63&amp;G59</f>
        <v>- Energy prices are based on standard tariffs
- The default number of peak events (40) has been used in this model
- The default model for battery depth of dischage has been used in this model</v>
      </c>
      <c r="H66" s="25"/>
    </row>
    <row r="67" spans="6:8" ht="15.6" customHeight="1" x14ac:dyDescent="0.25">
      <c r="G67" s="50" t="str">
        <f>G66&amp;$G$63&amp;G60</f>
        <v>- Energy prices are based on standard tariffs
- The default number of peak events (40) has been used in this model
- The default model for battery depth of dischage has been used in this model
- The payback year nominated by the user is 25 years</v>
      </c>
      <c r="H67" s="25"/>
    </row>
    <row r="68" spans="6:8" ht="15.6" customHeight="1" x14ac:dyDescent="0.25">
      <c r="G68" s="50" t="str">
        <f>G67&amp;$G$63&amp;G61</f>
        <v>- Energy prices are based on standard tariffs
- The default number of peak events (40) has been used in this model
- The default model for battery depth of dischage has been used in this model
- The payback year nominated by the user is 25 years
- The standard average costs of battery storage $1000 per kWh has been used in these calculations</v>
      </c>
      <c r="H68" s="25"/>
    </row>
    <row r="69" spans="6:8" ht="15.6" customHeight="1" x14ac:dyDescent="0.25">
      <c r="G69" s="50" t="str">
        <f>G68&amp;$G$63&amp;G62</f>
        <v>- Energy prices are based on standard tariffs
- The default number of peak events (40) has been used in this model
- The default model for battery depth of dischage has been used in this model
- The payback year nominated by the user is 25 years
- The standard average costs of battery storage $1000 per kWh has been used in these calculations
- A default inflation of 2.5% per annum has been applied to the cost of electricity</v>
      </c>
      <c r="H69" s="25"/>
    </row>
    <row r="70" spans="6:8" ht="105" x14ac:dyDescent="0.25">
      <c r="F70" s="49" t="s">
        <v>110</v>
      </c>
      <c r="G70" s="48" t="str">
        <f>C53&amp;$G$63&amp;G69</f>
        <v>User entered customisations of the model are as follows:
- Energy prices are based on standard tariffs
- The default number of peak events (40) has been used in this model
- The default model for battery depth of dischage has been used in this model
- The payback year nominated by the user is 25 years
- The standard average costs of battery storage $1000 per kWh has been used in these calculations
- A default inflation of 2.5% per annum has been applied to the cost of electricity</v>
      </c>
      <c r="H70" s="25"/>
    </row>
  </sheetData>
  <mergeCells count="1">
    <mergeCell ref="B3:C3"/>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B1:F38"/>
  <sheetViews>
    <sheetView workbookViewId="0">
      <selection activeCell="C4" sqref="C4"/>
    </sheetView>
  </sheetViews>
  <sheetFormatPr defaultRowHeight="15" x14ac:dyDescent="0.25"/>
  <cols>
    <col min="2" max="2" width="35.85546875" customWidth="1"/>
    <col min="3" max="3" width="19.42578125" customWidth="1"/>
    <col min="4" max="4" width="69.42578125" customWidth="1"/>
    <col min="5" max="5" width="52.42578125" customWidth="1"/>
  </cols>
  <sheetData>
    <row r="1" spans="2:6" ht="15.75" thickBot="1" x14ac:dyDescent="0.3"/>
    <row r="2" spans="2:6" ht="16.5" thickTop="1" thickBot="1" x14ac:dyDescent="0.3">
      <c r="B2" s="181" t="s">
        <v>205</v>
      </c>
      <c r="C2" s="182"/>
      <c r="D2" s="182"/>
    </row>
    <row r="3" spans="2:6" ht="15.75" thickTop="1" x14ac:dyDescent="0.25">
      <c r="B3" s="8" t="str">
        <f>'Arbitrage Payback Engine'!AI7</f>
        <v>after 25 Years</v>
      </c>
      <c r="C3" s="8" t="str">
        <f>'Arbitrage Payback Engine'!AJ7</f>
        <v>Break Even Point</v>
      </c>
      <c r="D3" s="8" t="str">
        <f>'Arbitrage Payback Engine'!AK7</f>
        <v>ROI over Expected Lifetime (15 Years)</v>
      </c>
    </row>
    <row r="4" spans="2:6" x14ac:dyDescent="0.25">
      <c r="B4" s="95">
        <f>'Arbitrage Payback Engine'!AI8</f>
        <v>4.1877334385878067</v>
      </c>
      <c r="C4" s="8" t="str">
        <f>'Arbitrage Payback Engine'!AJ8</f>
        <v>6.7 years</v>
      </c>
      <c r="D4" s="95">
        <f>'Arbitrage Payback Engine'!AK8</f>
        <v>1.5238890821189341</v>
      </c>
    </row>
    <row r="5" spans="2:6" x14ac:dyDescent="0.25">
      <c r="B5" s="93"/>
      <c r="C5" s="45"/>
      <c r="D5" s="94"/>
      <c r="E5" s="93"/>
    </row>
    <row r="6" spans="2:6" x14ac:dyDescent="0.25">
      <c r="B6" s="95" t="s">
        <v>125</v>
      </c>
      <c r="C6" s="8" t="b">
        <f>IF( B4&gt;0, TRUE, FALSE)</f>
        <v>1</v>
      </c>
      <c r="D6" s="94"/>
      <c r="E6" s="93"/>
    </row>
    <row r="7" spans="2:6" x14ac:dyDescent="0.25">
      <c r="B7" s="95" t="s">
        <v>204</v>
      </c>
      <c r="C7" s="8" t="str">
        <f>TariffStructure</f>
        <v>Default</v>
      </c>
      <c r="D7" s="94"/>
      <c r="E7" s="93"/>
    </row>
    <row r="8" spans="2:6" x14ac:dyDescent="0.25">
      <c r="B8" s="95" t="s">
        <v>203</v>
      </c>
      <c r="C8" s="8" t="b">
        <f>IF( AND(B4&lt;0, D4&gt;0), TRUE, FALSE)</f>
        <v>0</v>
      </c>
      <c r="D8" s="94"/>
      <c r="E8" s="93" t="s">
        <v>847</v>
      </c>
    </row>
    <row r="9" spans="2:6" x14ac:dyDescent="0.25">
      <c r="B9" s="93"/>
      <c r="C9" s="45"/>
      <c r="D9" s="94"/>
      <c r="E9" s="93"/>
    </row>
    <row r="10" spans="2:6" x14ac:dyDescent="0.25">
      <c r="B10" s="49" t="s">
        <v>202</v>
      </c>
      <c r="C10" s="25" t="s">
        <v>198</v>
      </c>
      <c r="D10" s="25" t="s">
        <v>197</v>
      </c>
      <c r="E10" s="8" t="s">
        <v>196</v>
      </c>
      <c r="F10" s="8" t="s">
        <v>7</v>
      </c>
    </row>
    <row r="11" spans="2:6" x14ac:dyDescent="0.25">
      <c r="B11" s="92" t="b">
        <v>1</v>
      </c>
      <c r="C11" s="93" t="s">
        <v>847</v>
      </c>
      <c r="D11" s="93" t="s">
        <v>847</v>
      </c>
      <c r="E11" s="93" t="s">
        <v>847</v>
      </c>
      <c r="F11" s="25" t="s">
        <v>64</v>
      </c>
    </row>
    <row r="12" spans="2:6" x14ac:dyDescent="0.25">
      <c r="B12" s="91" t="b">
        <v>0</v>
      </c>
      <c r="C12" s="93" t="s">
        <v>847</v>
      </c>
      <c r="D12" s="93" t="s">
        <v>847</v>
      </c>
      <c r="E12" s="93" t="s">
        <v>847</v>
      </c>
      <c r="F12" s="25" t="s">
        <v>64</v>
      </c>
    </row>
    <row r="14" spans="2:6" x14ac:dyDescent="0.25">
      <c r="B14" s="49" t="s">
        <v>199</v>
      </c>
      <c r="C14" s="25" t="s">
        <v>198</v>
      </c>
      <c r="D14" s="25" t="s">
        <v>197</v>
      </c>
      <c r="E14" s="8" t="s">
        <v>196</v>
      </c>
      <c r="F14" s="8" t="s">
        <v>7</v>
      </c>
    </row>
    <row r="15" spans="2:6" x14ac:dyDescent="0.25">
      <c r="B15" s="92" t="b">
        <v>1</v>
      </c>
      <c r="C15" t="s">
        <v>850</v>
      </c>
      <c r="D15" t="s">
        <v>850</v>
      </c>
      <c r="E15" t="s">
        <v>846</v>
      </c>
      <c r="F15" s="25" t="s">
        <v>64</v>
      </c>
    </row>
    <row r="16" spans="2:6" x14ac:dyDescent="0.25">
      <c r="B16" s="91" t="b">
        <v>0</v>
      </c>
      <c r="C16" t="s">
        <v>846</v>
      </c>
      <c r="D16" t="s">
        <v>846</v>
      </c>
      <c r="E16" t="s">
        <v>846</v>
      </c>
      <c r="F16" s="25" t="s">
        <v>64</v>
      </c>
    </row>
    <row r="18" spans="2:6" x14ac:dyDescent="0.25">
      <c r="B18" s="90" t="s">
        <v>195</v>
      </c>
      <c r="C18" s="25" t="str">
        <f>IF(C6,"Batteries appear feasible!",INDEX($C$11:$F$12,MATCH($C$8,$B$11:$B$12,0),MATCH($C$7,$C$10:$F$10,0)))</f>
        <v>Batteries appear feasible!</v>
      </c>
    </row>
    <row r="19" spans="2:6" x14ac:dyDescent="0.25">
      <c r="C19" s="25" t="str">
        <f>IF(C6,"",INDEX($C$15:$F$16,MATCH($C$8,$B$15:$B$16,0),MATCH($C$7,$C$14:$F$14,0)))</f>
        <v/>
      </c>
    </row>
    <row r="20" spans="2:6" ht="15.75" thickBot="1" x14ac:dyDescent="0.3"/>
    <row r="21" spans="2:6" ht="16.5" thickTop="1" thickBot="1" x14ac:dyDescent="0.3">
      <c r="B21" s="181" t="s">
        <v>845</v>
      </c>
      <c r="C21" s="182"/>
      <c r="D21" s="182"/>
    </row>
    <row r="22" spans="2:6" ht="15.75" thickTop="1" x14ac:dyDescent="0.25">
      <c r="B22" s="8" t="str">
        <f>'Peak Payback Engine'!AH7</f>
        <v>ROI after 15 Years</v>
      </c>
      <c r="C22" s="8" t="str">
        <f>'Peak Payback Engine'!AI7</f>
        <v>Break Even Point</v>
      </c>
      <c r="D22" s="8" t="str">
        <f>'Peak Payback Engine'!AJ7</f>
        <v>ROI over Expected Lifetime (15 Years)</v>
      </c>
    </row>
    <row r="23" spans="2:6" x14ac:dyDescent="0.25">
      <c r="B23" s="95" t="e">
        <f>'Peak Payback Engine'!AH8</f>
        <v>#N/A</v>
      </c>
      <c r="C23" s="8" t="e">
        <f>'Peak Payback Engine'!AI8</f>
        <v>#N/A</v>
      </c>
      <c r="D23" s="95" t="e">
        <f>'Peak Payback Engine'!AJ8</f>
        <v>#N/A</v>
      </c>
    </row>
    <row r="24" spans="2:6" x14ac:dyDescent="0.25">
      <c r="B24" s="93"/>
      <c r="C24" s="45"/>
      <c r="D24" s="94"/>
      <c r="E24" s="93"/>
    </row>
    <row r="25" spans="2:6" x14ac:dyDescent="0.25">
      <c r="B25" s="95" t="s">
        <v>125</v>
      </c>
      <c r="C25" s="8" t="e">
        <f>IF( B23&gt;0, TRUE, FALSE)</f>
        <v>#N/A</v>
      </c>
      <c r="D25" s="94"/>
      <c r="E25" s="93"/>
    </row>
    <row r="26" spans="2:6" x14ac:dyDescent="0.25">
      <c r="B26" s="95" t="s">
        <v>204</v>
      </c>
      <c r="C26" s="8" t="str">
        <f>TariffStructure</f>
        <v>Default</v>
      </c>
      <c r="D26" s="94"/>
      <c r="E26" s="93"/>
    </row>
    <row r="27" spans="2:6" x14ac:dyDescent="0.25">
      <c r="B27" s="95" t="s">
        <v>203</v>
      </c>
      <c r="C27" s="8" t="e">
        <f>IF( AND(B23&lt;0, D23&gt;0), TRUE, FALSE)</f>
        <v>#N/A</v>
      </c>
      <c r="D27" s="94"/>
      <c r="E27" s="93"/>
    </row>
    <row r="28" spans="2:6" x14ac:dyDescent="0.25">
      <c r="B28" s="93"/>
      <c r="C28" s="45"/>
      <c r="D28" s="94"/>
      <c r="E28" s="93"/>
    </row>
    <row r="29" spans="2:6" x14ac:dyDescent="0.25">
      <c r="B29" s="49" t="s">
        <v>202</v>
      </c>
      <c r="C29" s="25" t="s">
        <v>198</v>
      </c>
      <c r="D29" s="25" t="s">
        <v>197</v>
      </c>
      <c r="E29" s="8" t="s">
        <v>196</v>
      </c>
      <c r="F29" s="8" t="s">
        <v>7</v>
      </c>
    </row>
    <row r="30" spans="2:6" x14ac:dyDescent="0.25">
      <c r="B30" s="92" t="b">
        <v>1</v>
      </c>
      <c r="C30" t="s">
        <v>847</v>
      </c>
      <c r="D30" t="s">
        <v>847</v>
      </c>
      <c r="E30" t="s">
        <v>847</v>
      </c>
      <c r="F30" s="25" t="s">
        <v>64</v>
      </c>
    </row>
    <row r="31" spans="2:6" x14ac:dyDescent="0.25">
      <c r="B31" s="91" t="b">
        <v>0</v>
      </c>
      <c r="C31" t="s">
        <v>847</v>
      </c>
      <c r="D31" t="s">
        <v>847</v>
      </c>
      <c r="E31" t="s">
        <v>847</v>
      </c>
      <c r="F31" s="25" t="s">
        <v>64</v>
      </c>
    </row>
    <row r="33" spans="2:6" x14ac:dyDescent="0.25">
      <c r="B33" s="49" t="s">
        <v>199</v>
      </c>
      <c r="C33" s="25" t="s">
        <v>198</v>
      </c>
      <c r="D33" s="25" t="s">
        <v>197</v>
      </c>
      <c r="E33" s="8" t="s">
        <v>196</v>
      </c>
      <c r="F33" s="8" t="s">
        <v>7</v>
      </c>
    </row>
    <row r="34" spans="2:6" x14ac:dyDescent="0.25">
      <c r="B34" s="92" t="b">
        <v>1</v>
      </c>
      <c r="C34" t="s">
        <v>201</v>
      </c>
      <c r="D34" t="s">
        <v>201</v>
      </c>
      <c r="E34" t="s">
        <v>201</v>
      </c>
      <c r="F34" s="25" t="s">
        <v>64</v>
      </c>
    </row>
    <row r="35" spans="2:6" x14ac:dyDescent="0.25">
      <c r="B35" s="91" t="b">
        <v>0</v>
      </c>
      <c r="C35" t="s">
        <v>200</v>
      </c>
      <c r="D35" t="s">
        <v>200</v>
      </c>
      <c r="E35" t="s">
        <v>200</v>
      </c>
      <c r="F35" s="25" t="s">
        <v>64</v>
      </c>
    </row>
    <row r="37" spans="2:6" x14ac:dyDescent="0.25">
      <c r="B37" s="90" t="s">
        <v>195</v>
      </c>
      <c r="C37" s="25" t="e">
        <f>IF(C25,"Batteries appear feasible!",INDEX($C$30:$F$31,MATCH($C$27,$B$30:$B$31,0),MATCH($C$26,$C$29:$F$29,0)))</f>
        <v>#N/A</v>
      </c>
    </row>
    <row r="38" spans="2:6" x14ac:dyDescent="0.25">
      <c r="C38" s="25" t="e">
        <f>IF(C25,"",INDEX($C$34:$F$35,MATCH($C$27,$B$34:$B$35,0),MATCH($C$26,$C$33:$F$33,0)))</f>
        <v>#N/A</v>
      </c>
    </row>
  </sheetData>
  <mergeCells count="2">
    <mergeCell ref="B2:D2"/>
    <mergeCell ref="B21:D21"/>
  </mergeCells>
  <pageMargins left="0.7" right="0.7" top="0.75" bottom="0.75" header="0.3" footer="0.3"/>
  <pageSetup paperSize="9" orientation="portrait" horizontalDpi="4294967293" verticalDpi="4294967293"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AP11"/>
  <sheetViews>
    <sheetView topLeftCell="S1" workbookViewId="0">
      <selection activeCell="V7" sqref="V7"/>
    </sheetView>
  </sheetViews>
  <sheetFormatPr defaultColWidth="8.85546875" defaultRowHeight="15" x14ac:dyDescent="0.25"/>
  <cols>
    <col min="1" max="1" width="14.42578125" customWidth="1"/>
    <col min="2" max="2" width="115.42578125" bestFit="1" customWidth="1"/>
    <col min="3" max="3" width="85" bestFit="1" customWidth="1"/>
    <col min="4" max="4" width="152.42578125" bestFit="1" customWidth="1"/>
    <col min="5" max="5" width="23.85546875" bestFit="1" customWidth="1"/>
    <col min="6" max="6" width="84.42578125" bestFit="1" customWidth="1"/>
    <col min="7" max="7" width="77.85546875" bestFit="1" customWidth="1"/>
    <col min="8" max="8" width="33.140625" bestFit="1" customWidth="1"/>
    <col min="9" max="9" width="74.42578125" bestFit="1" customWidth="1"/>
    <col min="10" max="10" width="58" bestFit="1" customWidth="1"/>
    <col min="11" max="11" width="50.85546875" bestFit="1" customWidth="1"/>
    <col min="12" max="12" width="75.42578125" bestFit="1" customWidth="1"/>
    <col min="13" max="13" width="69.42578125" bestFit="1" customWidth="1"/>
    <col min="14" max="14" width="109.42578125" bestFit="1" customWidth="1"/>
    <col min="15" max="15" width="84.42578125" bestFit="1" customWidth="1"/>
    <col min="16" max="16" width="66.42578125" bestFit="1" customWidth="1"/>
    <col min="17" max="17" width="29.42578125" bestFit="1" customWidth="1"/>
    <col min="18" max="18" width="78.42578125" bestFit="1" customWidth="1"/>
    <col min="19" max="19" width="28.42578125" bestFit="1" customWidth="1"/>
    <col min="20" max="41" width="28.42578125" customWidth="1"/>
    <col min="42" max="42" width="7.42578125" bestFit="1" customWidth="1"/>
  </cols>
  <sheetData>
    <row r="1" spans="1:42" x14ac:dyDescent="0.25">
      <c r="B1" t="s">
        <v>60</v>
      </c>
      <c r="C1" t="s">
        <v>292</v>
      </c>
      <c r="D1" t="s">
        <v>291</v>
      </c>
      <c r="E1" t="s">
        <v>290</v>
      </c>
      <c r="F1" t="s">
        <v>289</v>
      </c>
      <c r="G1" t="s">
        <v>288</v>
      </c>
      <c r="H1" t="s">
        <v>287</v>
      </c>
      <c r="I1" t="s">
        <v>286</v>
      </c>
      <c r="J1" t="s">
        <v>285</v>
      </c>
      <c r="K1" t="s">
        <v>284</v>
      </c>
      <c r="L1" t="s">
        <v>283</v>
      </c>
      <c r="M1" t="s">
        <v>282</v>
      </c>
      <c r="N1" t="s">
        <v>281</v>
      </c>
      <c r="O1" t="s">
        <v>280</v>
      </c>
      <c r="P1" t="s">
        <v>279</v>
      </c>
      <c r="Q1" t="s">
        <v>278</v>
      </c>
      <c r="R1" t="s">
        <v>277</v>
      </c>
      <c r="S1" t="s">
        <v>276</v>
      </c>
      <c r="T1" t="s">
        <v>275</v>
      </c>
      <c r="U1" t="s">
        <v>274</v>
      </c>
      <c r="V1" t="s">
        <v>273</v>
      </c>
      <c r="W1" t="s">
        <v>272</v>
      </c>
      <c r="X1" t="s">
        <v>271</v>
      </c>
      <c r="Y1" t="s">
        <v>270</v>
      </c>
      <c r="Z1" t="s">
        <v>269</v>
      </c>
      <c r="AA1" t="s">
        <v>268</v>
      </c>
      <c r="AB1" t="s">
        <v>267</v>
      </c>
      <c r="AC1" t="s">
        <v>266</v>
      </c>
      <c r="AD1" t="s">
        <v>265</v>
      </c>
      <c r="AE1" t="s">
        <v>264</v>
      </c>
      <c r="AF1" t="s">
        <v>263</v>
      </c>
      <c r="AG1" t="s">
        <v>262</v>
      </c>
      <c r="AH1" t="s">
        <v>261</v>
      </c>
      <c r="AI1" t="s">
        <v>260</v>
      </c>
      <c r="AJ1" t="s">
        <v>259</v>
      </c>
      <c r="AK1" t="s">
        <v>258</v>
      </c>
      <c r="AL1" t="s">
        <v>257</v>
      </c>
      <c r="AM1" s="16" t="s">
        <v>256</v>
      </c>
      <c r="AN1" s="16" t="s">
        <v>255</v>
      </c>
      <c r="AO1" s="16" t="s">
        <v>254</v>
      </c>
      <c r="AP1" t="s">
        <v>253</v>
      </c>
    </row>
    <row r="2" spans="1:42" x14ac:dyDescent="0.25">
      <c r="B2" t="str">
        <f>IF(INDEX('Question List'!$C:$C, MATCH(B$1, 'Question List'!$B:$B, FALSE))&lt;&gt;0, INDEX('Question List'!$C:$C, MATCH(B$1, 'Question List'!$B:$B, FALSE)), "")</f>
        <v>Even small battery systems cost $15,000, and typically cost more than $50,000. Do you have at least this budget?</v>
      </c>
      <c r="C2" t="str">
        <f>IF(INDEX('Question List'!$C:$C, MATCH(C$1, 'Question List'!$B:$B, FALSE))&lt;&gt;0, INDEX('Question List'!$C:$C, MATCH(C$1, 'Question List'!$B:$B, FALSE)), "")</f>
        <v>Do you own the property and/or have permission to modify the property's electrical infrastructure?</v>
      </c>
      <c r="D2" t="str">
        <f>IF(INDEX('Question List'!$C:$C, MATCH(D$1, 'Question List'!$B:$B, FALSE))&lt;&gt;0, INDEX('Question List'!$C:$C, MATCH(D$1, 'Question List'!$B:$B, FALSE)), "")</f>
        <v>Commercial installation requirements mean that a dedicated battery room will need to be constructed. 
Do you have the neccesary space and/or permission to construct this room?</v>
      </c>
      <c r="E2" t="str">
        <f>IF(INDEX('Question List'!$C:$C, MATCH(E$1, 'Question List'!$B:$B, FALSE))&lt;&gt;0, INDEX('Question List'!$C:$C, MATCH(E$1, 'Question List'!$B:$B, FALSE)), "")</f>
        <v>Now that's out of the way…</v>
      </c>
      <c r="F2" t="str">
        <f>IF(INDEX('Question List'!$C:$C, MATCH(F$1, 'Question List'!$B:$B, FALSE))&lt;&gt;0, INDEX('Question List'!$C:$C, MATCH(F$1, 'Question List'!$B:$B, FALSE)), "")</f>
        <v>Which statement best reflects your power situation:</v>
      </c>
      <c r="G2" t="str">
        <f>IF(INDEX('Question List'!$C:$C, MATCH(G$1, 'Question List'!$B:$B, FALSE))&lt;&gt;0, INDEX('Question List'!$C:$C, MATCH(G$1, 'Question List'!$B:$B, FALSE)), "")</f>
        <v>Which category best reflects your power consumption?</v>
      </c>
      <c r="H2" t="str">
        <f>IF(INDEX('Question List'!$C:$C, MATCH(H$1, 'Question List'!$B:$B, FALSE))&lt;&gt;0, INDEX('Question List'!$C:$C, MATCH(H$1, 'Question List'!$B:$B, FALSE)), "")</f>
        <v>Do you currently have onsite Solar PV?</v>
      </c>
      <c r="I2" t="str">
        <f>IF(INDEX('Question List'!$C:$C, MATCH(I$1, 'Question List'!$B:$B, FALSE))&lt;&gt;0, INDEX('Question List'!$C:$C, MATCH(I$1, 'Question List'!$B:$B, FALSE)), "")</f>
        <v xml:space="preserve">Do you use all of the power generated by the solar array, or is excess fed into the grid? </v>
      </c>
      <c r="J2" t="str">
        <f>IF(INDEX('Question List'!$C:$C, MATCH(J$1, 'Question List'!$B:$B, FALSE))&lt;&gt;0, INDEX('Question List'!$C:$C, MATCH(J$1, 'Question List'!$B:$B, FALSE)), "")</f>
        <v>Do you know the maximum kilowatts your solar array can produce?</v>
      </c>
      <c r="K2" t="str">
        <f>IF(INDEX('Question List'!$C:$C, MATCH(K$1, 'Question List'!$B:$B, FALSE))&lt;&gt;0, INDEX('Question List'!$C:$C, MATCH(K$1, 'Question List'!$B:$B, FALSE)), "")</f>
        <v>Do you know how many solar panels are in the solar array?</v>
      </c>
      <c r="L2" t="str">
        <f>IF(INDEX('Question List'!$C:$C, MATCH(L$1, 'Question List'!$B:$B, FALSE))&lt;&gt;0, INDEX('Question List'!$C:$C, MATCH(L$1, 'Question List'!$B:$B, FALSE)), "")</f>
        <v>Approximately how much money do you spend on electricity per year?</v>
      </c>
      <c r="M2" t="str">
        <f>IF(INDEX('Question List'!$C:$C, MATCH(M$1, 'Question List'!$B:$B, FALSE))&lt;&gt;0, INDEX('Question List'!$C:$C, MATCH(M$1, 'Question List'!$B:$B, FALSE)), "")</f>
        <v>What are your financial expectations for a battery system?</v>
      </c>
      <c r="N2" t="str">
        <f>IF(INDEX('Question List'!$C:$C, MATCH(N$1, 'Question List'!$B:$B, FALSE))&lt;&gt;0, INDEX('Question List'!$C:$C, MATCH(N$1, 'Question List'!$B:$B, FALSE)), "")</f>
        <v>What is the simple payback duration that you deem acceptable in terms of years?</v>
      </c>
      <c r="O2" t="str">
        <f>IF(INDEX('Question List'!$C:$C, MATCH(O$1, 'Question List'!$B:$B, FALSE))&lt;&gt;0, INDEX('Question List'!$C:$C, MATCH(O$1, 'Question List'!$B:$B, FALSE)), "")</f>
        <v xml:space="preserve">Batteries don't appear feasible at this time (see below) </v>
      </c>
      <c r="P2" t="str">
        <f>IF(INDEX('Question List'!$C:$C, MATCH(P$1, 'Question List'!$B:$B, FALSE))&lt;&gt;0, INDEX('Question List'!$C:$C, MATCH(P$1, 'Question List'!$B:$B, FALSE)), "")</f>
        <v>Batteries might be feasible if conditions are perfect (See below)</v>
      </c>
      <c r="Q2" t="str">
        <f>IF(INDEX('Question List'!$C:$C, MATCH(Q$1, 'Question List'!$B:$B, FALSE))&lt;&gt;0, INDEX('Question List'!$C:$C, MATCH(Q$1, 'Question List'!$B:$B, FALSE)), "")</f>
        <v>Batteries might be feasible if conditions are suitable (See below)</v>
      </c>
      <c r="R2" t="str">
        <f>IF(INDEX('Question List'!$C:$C, MATCH(R$1, 'Question List'!$B:$B, FALSE))&lt;&gt;0, INDEX('Question List'!$C:$C, MATCH(R$1, 'Question List'!$B:$B, FALSE)), "")</f>
        <v>Let's look at peak lopping…</v>
      </c>
      <c r="S2" t="str">
        <f>IF(INDEX('Question List'!$C:$C, MATCH(S$1, 'Question List'!$B:$B, FALSE))&lt;&gt;0, INDEX('Question List'!$C:$C, MATCH(S$1, 'Question List'!$B:$B, FALSE)), "")</f>
        <v>Which capacity charge tariff situation applies to you?</v>
      </c>
      <c r="T2" t="str">
        <f>IF(INDEX('Question List'!$C:$C, MATCH(T$1, 'Question List'!$B:$B, FALSE))&lt;&gt;0, INDEX('Question List'!$C:$C, MATCH(T$1, 'Question List'!$B:$B, FALSE)), "")</f>
        <v>Tell me what you know about when your peak capacity usage occurs</v>
      </c>
      <c r="U2" t="str">
        <f>IF(INDEX('Question List'!$C:$C, MATCH(U$1, 'Question List'!$B:$B, FALSE))&lt;&gt;0, INDEX('Question List'!$C:$C, MATCH(U$1, 'Question List'!$B:$B, FALSE)), "")</f>
        <v>Tell me what you know about the size of your peak capacity usage</v>
      </c>
      <c r="V2" t="str">
        <f>IF(INDEX('Question List'!$C:$C, MATCH(V$1, 'Question List'!$B:$B, FALSE))&lt;&gt;0, INDEX('Question List'!$C:$C, MATCH(V$1, 'Question List'!$B:$B, FALSE)), "")</f>
        <v>How long do you expect usage to be at peak levels?</v>
      </c>
      <c r="W2" t="str">
        <f>IF(INDEX('Question List'!$C:$C, MATCH(W$1, 'Question List'!$B:$B, FALSE))&lt;&gt;0, INDEX('Question List'!$C:$C, MATCH(W$1, 'Question List'!$B:$B, FALSE)), "")</f>
        <v>Which electricity network provider supplies your power?</v>
      </c>
      <c r="X2" t="str">
        <f>IF(INDEX('Question List'!$C:$C, MATCH(X$1, 'Question List'!$B:$B, FALSE))&lt;&gt;0, INDEX('Question List'!$C:$C, MATCH(X$1, 'Question List'!$B:$B, FALSE)), "")</f>
        <v>Peak Lopping will be too difficult to achieve without more information or control. Consider tariff arbitrage only!</v>
      </c>
      <c r="Y2" t="str">
        <f>IF(INDEX('Question List'!$C:$C, MATCH(Y$1, 'Question List'!$B:$B, FALSE))&lt;&gt;0, INDEX('Question List'!$C:$C, MATCH(Y$1, 'Question List'!$B:$B, FALSE)), "")</f>
        <v>Peak Lopping may be feasible if you can be very confident of when and to what degree peaks occur</v>
      </c>
      <c r="Z2" t="str">
        <f>IF(INDEX('Question List'!$C:$C, MATCH(Z$1, 'Question List'!$B:$B, FALSE))&lt;&gt;0, INDEX('Question List'!$C:$C, MATCH(Z$1, 'Question List'!$B:$B, FALSE)), "")</f>
        <v>Peak Lopping is likely to unfeasible since a very large battery is required for such a long peak (see below)</v>
      </c>
      <c r="AA2" t="str">
        <f>IF(INDEX('Question List'!$C:$C, MATCH(AA$1, 'Question List'!$B:$B, FALSE))&lt;&gt;0, INDEX('Question List'!$C:$C, MATCH(AA$1, 'Question List'!$B:$B, FALSE)), "")</f>
        <v xml:space="preserve">Do you have a roofspace (or north facing wall) on which Solar Panels could physically be mounted? </v>
      </c>
      <c r="AB2" t="str">
        <f>IF(INDEX('Question List'!$C:$C, MATCH(AB$1, 'Question List'!$B:$B, FALSE))&lt;&gt;0, INDEX('Question List'!$C:$C, MATCH(AB$1, 'Question List'!$B:$B, FALSE)), "")</f>
        <v xml:space="preserve">Do you have a roofspace (or north facing wall) for additional Solar Panels? </v>
      </c>
      <c r="AC2" t="str">
        <f>IF(INDEX('Question List'!$C:$C, MATCH(AC$1, 'Question List'!$B:$B, FALSE))&lt;&gt;0, INDEX('Question List'!$C:$C, MATCH(AC$1, 'Question List'!$B:$B, FALSE)), "")</f>
        <v>Does this area receive direct sunlight (free from shading) for most of the day?</v>
      </c>
      <c r="AD2" t="str">
        <f>IF(INDEX('Question List'!$C:$C, MATCH(AD$1, 'Question List'!$B:$B, FALSE))&lt;&gt;0, INDEX('Question List'!$C:$C, MATCH(AD$1, 'Question List'!$B:$B, FALSE)), "")</f>
        <v>How do you use power? See below graphs that highlight situations where Solar makes sense</v>
      </c>
      <c r="AE2" t="str">
        <f>IF(INDEX('Question List'!$C:$C, MATCH(AE$1, 'Question List'!$B:$B, FALSE))&lt;&gt;0, INDEX('Question List'!$C:$C, MATCH(AE$1, 'Question List'!$B:$B, FALSE)), "")</f>
        <v>Average consumption (kWh/day)</v>
      </c>
      <c r="AF2" t="str">
        <f>IF(INDEX('Question List'!$C:$C, MATCH(AF$1, 'Question List'!$B:$B, FALSE))&lt;&gt;0, INDEX('Question List'!$C:$C, MATCH(AF$1, 'Question List'!$B:$B, FALSE)), "")</f>
        <v>Sorry, back-up power solutions requires a detailed analysis to determine feasibility.</v>
      </c>
      <c r="AG2" t="str">
        <f>IF(INDEX('Question List'!$C:$C, MATCH(AG$1, 'Question List'!$B:$B, FALSE))&lt;&gt;0, INDEX('Question List'!$C:$C, MATCH(AG$1, 'Question List'!$B:$B, FALSE)), "")</f>
        <v>Sorry, the network-contrained power model isn't ready yet! Please select alternative answer.</v>
      </c>
      <c r="AH2" t="str">
        <f>IF(INDEX('Question List'!$C:$C, MATCH(AH$1, 'Question List'!$B:$B, FALSE))&lt;&gt;0, INDEX('Question List'!$C:$C, MATCH(AH$1, 'Question List'!$B:$B, FALSE)), "")</f>
        <v>Sorry, off grid power solutions requires a detailed analysis to determine feasibility.</v>
      </c>
      <c r="AI2" t="str">
        <f>IF(INDEX('Question List'!$C:$C, MATCH(AI$1, 'Question List'!$B:$B, FALSE))&lt;&gt;0, INDEX('Question List'!$C:$C, MATCH(AI$1, 'Question List'!$B:$B, FALSE)), "")</f>
        <v>Sorry, the financing model isn't ready yet! Please select an alternative answer.</v>
      </c>
      <c r="AJ2" t="str">
        <f>IF(INDEX('Question List'!$C:$C, MATCH(AJ$1, 'Question List'!$B:$B, FALSE))&lt;&gt;0, INDEX('Question List'!$C:$C, MATCH(AJ$1, 'Question List'!$B:$B, FALSE)), "")</f>
        <v>Thanks for playing!</v>
      </c>
      <c r="AK2" t="str">
        <f>IF(INDEX('Question List'!$C:$C, MATCH(AK$1, 'Question List'!$B:$B, FALSE))&lt;&gt;0, INDEX('Question List'!$C:$C, MATCH(AK$1, 'Question List'!$B:$B, FALSE)), "")</f>
        <v xml:space="preserve">Sorry, the Solar only model isn't ready yet. Please select alternative answer. </v>
      </c>
      <c r="AL2" t="str">
        <f>IF(INDEX('Question List'!$C:$C, MATCH(AL$1, 'Question List'!$B:$B, FALSE))&lt;&gt;0, INDEX('Question List'!$C:$C, MATCH(AL$1, 'Question List'!$B:$B, FALSE)), "")</f>
        <v>Peak Lopping only applies to businesses with peak capacity charges. Thanks for playing!</v>
      </c>
      <c r="AM2" t="e">
        <f>IF(INDEX('Question List'!$C:$C, MATCH(AM$1, 'Question List'!$B:$B, FALSE))&lt;&gt;0, INDEX('Question List'!$C:$C, MATCH(AM$1, 'Question List'!$B:$B, FALSE)), "")</f>
        <v>#N/A</v>
      </c>
      <c r="AN2" t="e">
        <f>IF(INDEX('Question List'!$C:$C, MATCH(AN$1, 'Question List'!$B:$B, FALSE))&lt;&gt;0, INDEX('Question List'!$C:$C, MATCH(AN$1, 'Question List'!$B:$B, FALSE)), "")</f>
        <v>#N/A</v>
      </c>
      <c r="AO2" t="s">
        <v>253</v>
      </c>
    </row>
    <row r="3" spans="1:42" x14ac:dyDescent="0.25">
      <c r="B3" t="s">
        <v>252</v>
      </c>
      <c r="C3" t="s">
        <v>251</v>
      </c>
      <c r="D3" t="s">
        <v>250</v>
      </c>
      <c r="E3" t="s">
        <v>249</v>
      </c>
      <c r="F3" t="s">
        <v>248</v>
      </c>
      <c r="G3" t="s">
        <v>247</v>
      </c>
      <c r="H3" t="s">
        <v>246</v>
      </c>
      <c r="I3" t="s">
        <v>245</v>
      </c>
      <c r="J3" t="s">
        <v>244</v>
      </c>
      <c r="K3" t="s">
        <v>243</v>
      </c>
      <c r="L3" t="s">
        <v>242</v>
      </c>
      <c r="M3" t="s">
        <v>241</v>
      </c>
      <c r="N3" t="s">
        <v>240</v>
      </c>
      <c r="O3" t="s">
        <v>239</v>
      </c>
      <c r="P3" t="s">
        <v>238</v>
      </c>
      <c r="Q3" t="s">
        <v>237</v>
      </c>
      <c r="R3" t="s">
        <v>236</v>
      </c>
      <c r="S3" t="s">
        <v>235</v>
      </c>
      <c r="T3" t="s">
        <v>214</v>
      </c>
      <c r="U3" t="s">
        <v>234</v>
      </c>
      <c r="V3" t="s">
        <v>233</v>
      </c>
      <c r="W3" t="s">
        <v>232</v>
      </c>
      <c r="X3" t="s">
        <v>231</v>
      </c>
      <c r="Y3" t="s">
        <v>230</v>
      </c>
      <c r="Z3" t="s">
        <v>229</v>
      </c>
      <c r="AA3" t="s">
        <v>228</v>
      </c>
      <c r="AB3" t="s">
        <v>227</v>
      </c>
      <c r="AC3" t="s">
        <v>226</v>
      </c>
      <c r="AD3" t="s">
        <v>225</v>
      </c>
      <c r="AE3" t="s">
        <v>224</v>
      </c>
      <c r="AF3" t="s">
        <v>223</v>
      </c>
      <c r="AG3" t="s">
        <v>222</v>
      </c>
      <c r="AH3" t="s">
        <v>221</v>
      </c>
      <c r="AI3" t="s">
        <v>220</v>
      </c>
      <c r="AJ3" t="s">
        <v>219</v>
      </c>
      <c r="AK3" t="s">
        <v>218</v>
      </c>
      <c r="AL3" t="s">
        <v>217</v>
      </c>
      <c r="AM3" t="s">
        <v>216</v>
      </c>
      <c r="AN3" t="s">
        <v>215</v>
      </c>
      <c r="AO3" t="s">
        <v>214</v>
      </c>
    </row>
    <row r="4" spans="1:42" x14ac:dyDescent="0.25">
      <c r="A4" t="s">
        <v>213</v>
      </c>
      <c r="B4" s="96" t="str">
        <f>IF(INDEX('Question List'!$D:$D, MATCH(B$1, 'Question List'!$B:$B, FALSE))&lt;&gt;0, INDEX('Question List'!$D:$D, MATCH(B$1, 'Question List'!$B:$B, FALSE)), "")</f>
        <v>Yes</v>
      </c>
      <c r="C4" s="96" t="str">
        <f>IF(INDEX('Question List'!$D:$D, MATCH(C$1, 'Question List'!$B:$B, FALSE))&lt;&gt;0, INDEX('Question List'!$D:$D, MATCH(C$1, 'Question List'!$B:$B, FALSE)), "")</f>
        <v>Yes</v>
      </c>
      <c r="D4" s="96" t="str">
        <f>IF(INDEX('Question List'!$D:$D, MATCH(D$1, 'Question List'!$B:$B, FALSE))&lt;&gt;0, INDEX('Question List'!$D:$D, MATCH(D$1, 'Question List'!$B:$B, FALSE)), "")</f>
        <v>Yes</v>
      </c>
      <c r="E4" s="96" t="str">
        <f>IF(INDEX('Question List'!$D:$D, MATCH(E$1, 'Question List'!$B:$B, FALSE))&lt;&gt;0, INDEX('Question List'!$D:$D, MATCH(E$1, 'Question List'!$B:$B, FALSE)), "")</f>
        <v/>
      </c>
      <c r="F4" s="96" t="str">
        <f>IF(INDEX('Question List'!$D:$D, MATCH(F$1, 'Question List'!$B:$B, FALSE))&lt;&gt;0, INDEX('Question List'!$D:$D, MATCH(F$1, 'Question List'!$B:$B, FALSE)), "")</f>
        <v>I can get all the power I need from the grid, I want to save money</v>
      </c>
      <c r="G4" s="96" t="str">
        <f>IF(INDEX('Question List'!$D:$D, MATCH(G$1, 'Question List'!$B:$B, FALSE))&lt;&gt;0, INDEX('Question List'!$D:$D, MATCH(G$1, 'Question List'!$B:$B, FALSE)), "")</f>
        <v>Small Energy Customer ( &lt; 100MWh per year or average of 274 kWh per day)</v>
      </c>
      <c r="H4" s="96" t="str">
        <f>IF(INDEX('Question List'!$D:$D, MATCH(H$1, 'Question List'!$B:$B, FALSE))&lt;&gt;0, INDEX('Question List'!$D:$D, MATCH(H$1, 'Question List'!$B:$B, FALSE)), "")</f>
        <v>Yes</v>
      </c>
      <c r="I4" s="96" t="str">
        <f>IF(INDEX('Question List'!$D:$D, MATCH(I$1, 'Question List'!$B:$B, FALSE))&lt;&gt;0, INDEX('Question List'!$D:$D, MATCH(I$1, 'Question List'!$B:$B, FALSE)), "")</f>
        <v>Yes, all power is self-consumed</v>
      </c>
      <c r="J4" s="96" t="str">
        <f>IF(INDEX('Question List'!$D:$D, MATCH(J$1, 'Question List'!$B:$B, FALSE))&lt;&gt;0, INDEX('Question List'!$D:$D, MATCH(J$1, 'Question List'!$B:$B, FALSE)), "")</f>
        <v>Enter Quantity   ----&gt;</v>
      </c>
      <c r="K4" s="96" t="str">
        <f>IF(INDEX('Question List'!$D:$D, MATCH(K$1, 'Question List'!$B:$B, FALSE))&lt;&gt;0, INDEX('Question List'!$D:$D, MATCH(K$1, 'Question List'!$B:$B, FALSE)), "")</f>
        <v>Enter Quantity   ----&gt;</v>
      </c>
      <c r="L4" s="96" t="str">
        <f>IF(INDEX('Question List'!$D:$D, MATCH(L$1, 'Question List'!$B:$B, FALSE))&lt;&gt;0, INDEX('Question List'!$D:$D, MATCH(L$1, 'Question List'!$B:$B, FALSE)), "")</f>
        <v>Less than $20,000</v>
      </c>
      <c r="M4" s="96" t="str">
        <f>IF(INDEX('Question List'!$D:$D, MATCH(M$1, 'Question List'!$B:$B, FALSE))&lt;&gt;0, INDEX('Question List'!$D:$D, MATCH(M$1, 'Question List'!$B:$B, FALSE)), "")</f>
        <v>I want the shortest payback possible</v>
      </c>
      <c r="N4" s="96" t="str">
        <f>IF(INDEX('Question List'!$D:$D, MATCH(N$1, 'Question List'!$B:$B, FALSE))&lt;&gt;0, INDEX('Question List'!$D:$D, MATCH(N$1, 'Question List'!$B:$B, FALSE)), "")</f>
        <v>3-7 Years</v>
      </c>
      <c r="O4" s="96" t="str">
        <f>IF(INDEX('Question List'!$D:$D, MATCH(O$1, 'Question List'!$B:$B, FALSE))&lt;&gt;0, INDEX('Question List'!$D:$D, MATCH(O$1, 'Question List'!$B:$B, FALSE)), "")</f>
        <v/>
      </c>
      <c r="P4" s="96" t="str">
        <f>IF(INDEX('Question List'!$D:$D, MATCH(P$1, 'Question List'!$B:$B, FALSE))&lt;&gt;0, INDEX('Question List'!$D:$D, MATCH(P$1, 'Question List'!$B:$B, FALSE)), "")</f>
        <v/>
      </c>
      <c r="Q4" s="96" t="str">
        <f>IF(INDEX('Question List'!$D:$D, MATCH(Q$1, 'Question List'!$B:$B, FALSE))&lt;&gt;0, INDEX('Question List'!$D:$D, MATCH(Q$1, 'Question List'!$B:$B, FALSE)), "")</f>
        <v/>
      </c>
      <c r="R4" s="96" t="str">
        <f>IF(INDEX('Question List'!$D:$D, MATCH(R$1, 'Question List'!$B:$B, FALSE))&lt;&gt;0, INDEX('Question List'!$D:$D, MATCH(R$1, 'Question List'!$B:$B, FALSE)), "")</f>
        <v/>
      </c>
      <c r="S4" s="96" t="str">
        <f>IF(INDEX('Question List'!$D:$D, MATCH(S$1, 'Question List'!$B:$B, FALSE))&lt;&gt;0, INDEX('Question List'!$D:$D, MATCH(S$1, 'Question List'!$B:$B, FALSE)), "")</f>
        <v>I have to pay capacity charges</v>
      </c>
      <c r="T4" s="96" t="str">
        <f>IF(INDEX('Question List'!$D:$D, MATCH(T$1, 'Question List'!$B:$B, FALSE))&lt;&gt;0, INDEX('Question List'!$D:$D, MATCH(T$1, 'Question List'!$B:$B, FALSE)), "")</f>
        <v>Peak usage could occur at any time</v>
      </c>
      <c r="U4" s="96" t="str">
        <f>IF(INDEX('Question List'!$D:$D, MATCH(U$1, 'Question List'!$B:$B, FALSE))&lt;&gt;0, INDEX('Question List'!$D:$D, MATCH(U$1, 'Question List'!$B:$B, FALSE)), "")</f>
        <v>Peak usage size could be any value</v>
      </c>
      <c r="V4" s="96" t="str">
        <f>IF(INDEX('Question List'!$D:$D, MATCH(V$1, 'Question List'!$B:$B, FALSE))&lt;&gt;0, INDEX('Question List'!$D:$D, MATCH(V$1, 'Question List'!$B:$B, FALSE)), "")</f>
        <v>Less than 1 hour</v>
      </c>
      <c r="W4" s="96" t="str">
        <f>IF(INDEX('Question List'!$D:$D, MATCH(W$1, 'Question List'!$B:$B, FALSE))&lt;&gt;0, INDEX('Question List'!$D:$D, MATCH(W$1, 'Question List'!$B:$B, FALSE)), "")</f>
        <v>Ausgrid</v>
      </c>
      <c r="X4" s="96" t="str">
        <f>IF(INDEX('Question List'!$D:$D, MATCH(X$1, 'Question List'!$B:$B, FALSE))&lt;&gt;0, INDEX('Question List'!$D:$D, MATCH(X$1, 'Question List'!$B:$B, FALSE)), "")</f>
        <v/>
      </c>
      <c r="Y4" s="96" t="str">
        <f>IF(INDEX('Question List'!$D:$D, MATCH(Y$1, 'Question List'!$B:$B, FALSE))&lt;&gt;0, INDEX('Question List'!$D:$D, MATCH(Y$1, 'Question List'!$B:$B, FALSE)), "")</f>
        <v/>
      </c>
      <c r="Z4" s="96" t="str">
        <f>IF(INDEX('Question List'!$D:$D, MATCH(Z$1, 'Question List'!$B:$B, FALSE))&lt;&gt;0, INDEX('Question List'!$D:$D, MATCH(Z$1, 'Question List'!$B:$B, FALSE)), "")</f>
        <v/>
      </c>
      <c r="AA4" s="96" t="str">
        <f>IF(INDEX('Question List'!$D:$D, MATCH(AA$1, 'Question List'!$B:$B, FALSE))&lt;&gt;0, INDEX('Question List'!$D:$D, MATCH(AA$1, 'Question List'!$B:$B, FALSE)), "")</f>
        <v>Yes</v>
      </c>
      <c r="AB4" s="96" t="str">
        <f>IF(INDEX('Question List'!$D:$D, MATCH(AB$1, 'Question List'!$B:$B, FALSE))&lt;&gt;0, INDEX('Question List'!$D:$D, MATCH(AB$1, 'Question List'!$B:$B, FALSE)), "")</f>
        <v>Yes</v>
      </c>
      <c r="AC4" s="96" t="str">
        <f>IF(INDEX('Question List'!$D:$D, MATCH(AC$1, 'Question List'!$B:$B, FALSE))&lt;&gt;0, INDEX('Question List'!$D:$D, MATCH(AC$1, 'Question List'!$B:$B, FALSE)), "")</f>
        <v>Yes</v>
      </c>
      <c r="AD4" s="96" t="str">
        <f>IF(INDEX('Question List'!$D:$D, MATCH(AD$1, 'Question List'!$B:$B, FALSE))&lt;&gt;0, INDEX('Question List'!$D:$D, MATCH(AD$1, 'Question List'!$B:$B, FALSE)), "")</f>
        <v>Graph 1</v>
      </c>
      <c r="AE4" s="96" t="str">
        <f>IF(INDEX('Question List'!$D:$D, MATCH(AE$1, 'Question List'!$B:$B, FALSE))&lt;&gt;0, INDEX('Question List'!$D:$D, MATCH(AE$1, 'Question List'!$B:$B, FALSE)), "")</f>
        <v>Enter value</v>
      </c>
      <c r="AF4" s="96" t="str">
        <f>IF(INDEX('Question List'!$D:$D, MATCH(AF$1, 'Question List'!$B:$B, FALSE))&lt;&gt;0, INDEX('Question List'!$D:$D, MATCH(AF$1, 'Question List'!$B:$B, FALSE)), "")</f>
        <v/>
      </c>
      <c r="AG4" s="96" t="str">
        <f>IF(INDEX('Question List'!$D:$D, MATCH(AG$1, 'Question List'!$B:$B, FALSE))&lt;&gt;0, INDEX('Question List'!$D:$D, MATCH(AG$1, 'Question List'!$B:$B, FALSE)), "")</f>
        <v/>
      </c>
      <c r="AH4" s="96" t="str">
        <f>IF(INDEX('Question List'!$D:$D, MATCH(AH$1, 'Question List'!$B:$B, FALSE))&lt;&gt;0, INDEX('Question List'!$D:$D, MATCH(AH$1, 'Question List'!$B:$B, FALSE)), "")</f>
        <v/>
      </c>
      <c r="AI4" s="96" t="str">
        <f>IF(INDEX('Question List'!$D:$D, MATCH(AI$1, 'Question List'!$B:$B, FALSE))&lt;&gt;0, INDEX('Question List'!$D:$D, MATCH(AI$1, 'Question List'!$B:$B, FALSE)), "")</f>
        <v/>
      </c>
      <c r="AJ4" s="96" t="str">
        <f>IF(INDEX('Question List'!$D:$D, MATCH(AJ$1, 'Question List'!$B:$B, FALSE))&lt;&gt;0, INDEX('Question List'!$D:$D, MATCH(AJ$1, 'Question List'!$B:$B, FALSE)), "")</f>
        <v/>
      </c>
      <c r="AK4" s="96" t="str">
        <f>IF(INDEX('Question List'!$D:$D, MATCH(AK$1, 'Question List'!$B:$B, FALSE))&lt;&gt;0, INDEX('Question List'!$D:$D, MATCH(AK$1, 'Question List'!$B:$B, FALSE)), "")</f>
        <v/>
      </c>
      <c r="AL4" s="96" t="str">
        <f>IF(INDEX('Question List'!$D:$D, MATCH(AL$1, 'Question List'!$B:$B, FALSE))&lt;&gt;0, INDEX('Question List'!$D:$D, MATCH(AL$1, 'Question List'!$B:$B, FALSE)), "")</f>
        <v/>
      </c>
      <c r="AM4" s="96" t="e">
        <f>IF(INDEX('Question List'!$D:$D, MATCH(AM$1, 'Question List'!$B:$B, FALSE))&lt;&gt;0, INDEX('Question List'!$D:$D, MATCH(AM$1, 'Question List'!$B:$B, FALSE)), "")</f>
        <v>#N/A</v>
      </c>
      <c r="AN4" s="96" t="e">
        <f>IF(INDEX('Question List'!$D:$D, MATCH(AN$1, 'Question List'!$B:$B, FALSE))&lt;&gt;0, INDEX('Question List'!$D:$D, MATCH(AN$1, 'Question List'!$B:$B, FALSE)), "")</f>
        <v>#N/A</v>
      </c>
    </row>
    <row r="5" spans="1:42" x14ac:dyDescent="0.25">
      <c r="A5" t="s">
        <v>212</v>
      </c>
      <c r="B5" s="96" t="str">
        <f>IF(INDEX('Question List'!$D:$D, MATCH(B$1, 'Question List'!$B:$B, FALSE)+1)&lt;&gt;0, INDEX('Question List'!$D:$D, MATCH(B$1, 'Question List'!$B:$B, FALSE)+1), "")</f>
        <v>Game over</v>
      </c>
      <c r="C5" s="96" t="str">
        <f>IF(INDEX('Question List'!$D:$D, MATCH(C$1, 'Question List'!$B:$B, FALSE)+1)&lt;&gt;0, INDEX('Question List'!$D:$D, MATCH(C$1, 'Question List'!$B:$B, FALSE)+1), "")</f>
        <v>Game over</v>
      </c>
      <c r="D5" s="96" t="str">
        <f>IF(INDEX('Question List'!$D:$D, MATCH(D$1, 'Question List'!$B:$B, FALSE)+1)&lt;&gt;0, INDEX('Question List'!$D:$D, MATCH(D$1, 'Question List'!$B:$B, FALSE)+1), "")</f>
        <v>Continue, but I need more info about a battery room</v>
      </c>
      <c r="E5" s="96" t="str">
        <f>IF(INDEX('Question List'!$D:$D, MATCH(E$1, 'Question List'!$B:$B, FALSE)+1)&lt;&gt;0, INDEX('Question List'!$D:$D, MATCH(E$1, 'Question List'!$B:$B, FALSE)+1), "")</f>
        <v/>
      </c>
      <c r="F5" s="96" t="str">
        <f>IF(INDEX('Question List'!$D:$D, MATCH(F$1, 'Question List'!$B:$B, FALSE)+1)&lt;&gt;0, INDEX('Question List'!$D:$D, MATCH(F$1, 'Question List'!$B:$B, FALSE)+1), "")</f>
        <v>Power failures are very costly to my business and I need a back-up option</v>
      </c>
      <c r="G5" s="96" t="str">
        <f>IF(INDEX('Question List'!$D:$D, MATCH(G$1, 'Question List'!$B:$B, FALSE)+1)&lt;&gt;0, INDEX('Question List'!$D:$D, MATCH(G$1, 'Question List'!$B:$B, FALSE)+1), "")</f>
        <v>Medium Energy Customer</v>
      </c>
      <c r="H5" s="96" t="str">
        <f>IF(INDEX('Question List'!$D:$D, MATCH(H$1, 'Question List'!$B:$B, FALSE)+1)&lt;&gt;0, INDEX('Question List'!$D:$D, MATCH(H$1, 'Question List'!$B:$B, FALSE)+1), "")</f>
        <v>No</v>
      </c>
      <c r="I5" s="96" t="str">
        <f>IF(INDEX('Question List'!$D:$D, MATCH(I$1, 'Question List'!$B:$B, FALSE)+1)&lt;&gt;0, INDEX('Question List'!$D:$D, MATCH(I$1, 'Question List'!$B:$B, FALSE)+1), "")</f>
        <v>No, some (or all) power is supplied back to the grid</v>
      </c>
      <c r="J5" s="96" t="str">
        <f>IF(INDEX('Question List'!$D:$D, MATCH(J$1, 'Question List'!$B:$B, FALSE)+1)&lt;&gt;0, INDEX('Question List'!$D:$D, MATCH(J$1, 'Question List'!$B:$B, FALSE)+1), "")</f>
        <v>Don't Know</v>
      </c>
      <c r="K5" s="96" t="str">
        <f>IF(INDEX('Question List'!$D:$D, MATCH(K$1, 'Question List'!$B:$B, FALSE)+1)&lt;&gt;0, INDEX('Question List'!$D:$D, MATCH(K$1, 'Question List'!$B:$B, FALSE)+1), "")</f>
        <v>Don't Know</v>
      </c>
      <c r="L5" s="96" t="str">
        <f>IF(INDEX('Question List'!$D:$D, MATCH(L$1, 'Question List'!$B:$B, FALSE)+1)&lt;&gt;0, INDEX('Question List'!$D:$D, MATCH(L$1, 'Question List'!$B:$B, FALSE)+1), "")</f>
        <v>Between $20,000 and $30,000</v>
      </c>
      <c r="M5" s="96" t="str">
        <f>IF(INDEX('Question List'!$D:$D, MATCH(M$1, 'Question List'!$B:$B, FALSE)+1)&lt;&gt;0, INDEX('Question List'!$D:$D, MATCH(M$1, 'Question List'!$B:$B, FALSE)+1), "")</f>
        <v>Batteries last a long time, so I'm happy if the lifetime ROI makes sense</v>
      </c>
      <c r="N5" s="96" t="str">
        <f>IF(INDEX('Question List'!$D:$D, MATCH(N$1, 'Question List'!$B:$B, FALSE)+1)&lt;&gt;0, INDEX('Question List'!$D:$D, MATCH(N$1, 'Question List'!$B:$B, FALSE)+1), "")</f>
        <v>7-10 Years</v>
      </c>
      <c r="O5" s="96" t="str">
        <f>IF(INDEX('Question List'!$D:$D, MATCH(O$1, 'Question List'!$B:$B, FALSE)+1)&lt;&gt;0, INDEX('Question List'!$D:$D, MATCH(O$1, 'Question List'!$B:$B, FALSE)+1), "")</f>
        <v/>
      </c>
      <c r="P5" s="96" t="str">
        <f>IF(INDEX('Question List'!$D:$D, MATCH(P$1, 'Question List'!$B:$B, FALSE)+1)&lt;&gt;0, INDEX('Question List'!$D:$D, MATCH(P$1, 'Question List'!$B:$B, FALSE)+1), "")</f>
        <v/>
      </c>
      <c r="Q5" s="96" t="str">
        <f>IF(INDEX('Question List'!$D:$D, MATCH(Q$1, 'Question List'!$B:$B, FALSE)+1)&lt;&gt;0, INDEX('Question List'!$D:$D, MATCH(Q$1, 'Question List'!$B:$B, FALSE)+1), "")</f>
        <v/>
      </c>
      <c r="R5" s="96" t="str">
        <f>IF(INDEX('Question List'!$D:$D, MATCH(R$1, 'Question List'!$B:$B, FALSE)+1)&lt;&gt;0, INDEX('Question List'!$D:$D, MATCH(R$1, 'Question List'!$B:$B, FALSE)+1), "")</f>
        <v/>
      </c>
      <c r="S5" s="96" t="str">
        <f>IF(INDEX('Question List'!$D:$D, MATCH(S$1, 'Question List'!$B:$B, FALSE)+1)&lt;&gt;0, INDEX('Question List'!$D:$D, MATCH(S$1, 'Question List'!$B:$B, FALSE)+1), "")</f>
        <v>I don't have to pay capacity charges</v>
      </c>
      <c r="T5" s="96" t="str">
        <f>IF(INDEX('Question List'!$D:$D, MATCH(T$1, 'Question List'!$B:$B, FALSE)+1)&lt;&gt;0, INDEX('Question List'!$D:$D, MATCH(T$1, 'Question List'!$B:$B, FALSE)+1), "")</f>
        <v>Peak usage occurs at a predictable time of day</v>
      </c>
      <c r="U5" s="96" t="str">
        <f>IF(INDEX('Question List'!$D:$D, MATCH(U$1, 'Question List'!$B:$B, FALSE)+1)&lt;&gt;0, INDEX('Question List'!$D:$D, MATCH(U$1, 'Question List'!$B:$B, FALSE)+1), "")</f>
        <v>Peak usage size is predictable based on past data</v>
      </c>
      <c r="V5" s="96" t="str">
        <f>IF(INDEX('Question List'!$D:$D, MATCH(V$1, 'Question List'!$B:$B, FALSE)+1)&lt;&gt;0, INDEX('Question List'!$D:$D, MATCH(V$1, 'Question List'!$B:$B, FALSE)+1), "")</f>
        <v>Less than 2 hours</v>
      </c>
      <c r="W5" s="96" t="str">
        <f>IF(INDEX('Question List'!$D:$D, MATCH(W$1, 'Question List'!$B:$B, FALSE)+1)&lt;&gt;0, INDEX('Question List'!$D:$D, MATCH(W$1, 'Question List'!$B:$B, FALSE)+1), "")</f>
        <v>Endeavour Energy</v>
      </c>
      <c r="X5" s="96" t="str">
        <f>IF(INDEX('Question List'!$D:$D, MATCH(X$1, 'Question List'!$B:$B, FALSE)+1)&lt;&gt;0, INDEX('Question List'!$D:$D, MATCH(X$1, 'Question List'!$B:$B, FALSE)+1), "")</f>
        <v/>
      </c>
      <c r="Y5" s="96" t="str">
        <f>IF(INDEX('Question List'!$D:$D, MATCH(Y$1, 'Question List'!$B:$B, FALSE)+1)&lt;&gt;0, INDEX('Question List'!$D:$D, MATCH(Y$1, 'Question List'!$B:$B, FALSE)+1), "")</f>
        <v/>
      </c>
      <c r="Z5" s="96" t="str">
        <f>IF(INDEX('Question List'!$D:$D, MATCH(Z$1, 'Question List'!$B:$B, FALSE)+1)&lt;&gt;0, INDEX('Question List'!$D:$D, MATCH(Z$1, 'Question List'!$B:$B, FALSE)+1), "")</f>
        <v/>
      </c>
      <c r="AA5" s="96" t="str">
        <f>IF(INDEX('Question List'!$D:$D, MATCH(AA$1, 'Question List'!$B:$B, FALSE)+1)&lt;&gt;0, INDEX('Question List'!$D:$D, MATCH(AA$1, 'Question List'!$B:$B, FALSE)+1), "")</f>
        <v>No</v>
      </c>
      <c r="AB5" s="96" t="str">
        <f>IF(INDEX('Question List'!$D:$D, MATCH(AB$1, 'Question List'!$B:$B, FALSE)+1)&lt;&gt;0, INDEX('Question List'!$D:$D, MATCH(AB$1, 'Question List'!$B:$B, FALSE)+1), "")</f>
        <v>No</v>
      </c>
      <c r="AC5" s="96" t="str">
        <f>IF(INDEX('Question List'!$D:$D, MATCH(AC$1, 'Question List'!$B:$B, FALSE)+1)&lt;&gt;0, INDEX('Question List'!$D:$D, MATCH(AC$1, 'Question List'!$B:$B, FALSE)+1), "")</f>
        <v>No</v>
      </c>
      <c r="AD5" s="96" t="str">
        <f>IF(INDEX('Question List'!$D:$D, MATCH(AD$1, 'Question List'!$B:$B, FALSE)+1)&lt;&gt;0, INDEX('Question List'!$D:$D, MATCH(AD$1, 'Question List'!$B:$B, FALSE)+1), "")</f>
        <v>Graph 2</v>
      </c>
      <c r="AE5" s="96" t="str">
        <f>IF(INDEX('Question List'!$D:$D, MATCH(AE$1, 'Question List'!$B:$B, FALSE)+1)&lt;&gt;0, INDEX('Question List'!$D:$D, MATCH(AE$1, 'Question List'!$B:$B, FALSE)+1), "")</f>
        <v/>
      </c>
      <c r="AF5" s="96" t="str">
        <f>IF(INDEX('Question List'!$D:$D, MATCH(AF$1, 'Question List'!$B:$B, FALSE)+1)&lt;&gt;0, INDEX('Question List'!$D:$D, MATCH(AF$1, 'Question List'!$B:$B, FALSE)+1), "")</f>
        <v/>
      </c>
      <c r="AG5" s="96" t="str">
        <f>IF(INDEX('Question List'!$D:$D, MATCH(AG$1, 'Question List'!$B:$B, FALSE)+1)&lt;&gt;0, INDEX('Question List'!$D:$D, MATCH(AG$1, 'Question List'!$B:$B, FALSE)+1), "")</f>
        <v/>
      </c>
      <c r="AH5" s="96" t="str">
        <f>IF(INDEX('Question List'!$D:$D, MATCH(AH$1, 'Question List'!$B:$B, FALSE)+1)&lt;&gt;0, INDEX('Question List'!$D:$D, MATCH(AH$1, 'Question List'!$B:$B, FALSE)+1), "")</f>
        <v/>
      </c>
      <c r="AI5" s="96" t="str">
        <f>IF(INDEX('Question List'!$D:$D, MATCH(AI$1, 'Question List'!$B:$B, FALSE)+1)&lt;&gt;0, INDEX('Question List'!$D:$D, MATCH(AI$1, 'Question List'!$B:$B, FALSE)+1), "")</f>
        <v/>
      </c>
      <c r="AJ5" s="96" t="str">
        <f>IF(INDEX('Question List'!$D:$D, MATCH(AJ$1, 'Question List'!$B:$B, FALSE)+1)&lt;&gt;0, INDEX('Question List'!$D:$D, MATCH(AJ$1, 'Question List'!$B:$B, FALSE)+1), "")</f>
        <v/>
      </c>
      <c r="AK5" s="96" t="str">
        <f>IF(INDEX('Question List'!$D:$D, MATCH(AK$1, 'Question List'!$B:$B, FALSE)+1)&lt;&gt;0, INDEX('Question List'!$D:$D, MATCH(AK$1, 'Question List'!$B:$B, FALSE)+1), "")</f>
        <v/>
      </c>
      <c r="AL5" s="96" t="str">
        <f>IF(INDEX('Question List'!$D:$D, MATCH(AL$1, 'Question List'!$B:$B, FALSE)+1)&lt;&gt;0, INDEX('Question List'!$D:$D, MATCH(AL$1, 'Question List'!$B:$B, FALSE)+1), "")</f>
        <v/>
      </c>
      <c r="AM5" s="96" t="e">
        <f>IF(INDEX('Question List'!$D:$D, MATCH(AM$1, 'Question List'!$B:$B, FALSE)+1)&lt;&gt;0, INDEX('Question List'!$D:$D, MATCH(AM$1, 'Question List'!$B:$B, FALSE)+1), "")</f>
        <v>#N/A</v>
      </c>
      <c r="AN5" s="96" t="e">
        <f>IF(INDEX('Question List'!$D:$D, MATCH(AN$1, 'Question List'!$B:$B, FALSE)+1)&lt;&gt;0, INDEX('Question List'!$D:$D, MATCH(AN$1, 'Question List'!$B:$B, FALSE)+1), "")</f>
        <v>#N/A</v>
      </c>
    </row>
    <row r="6" spans="1:42" x14ac:dyDescent="0.25">
      <c r="A6" t="s">
        <v>211</v>
      </c>
      <c r="B6" s="96" t="str">
        <f>IF(INDEX('Question List'!$D:$D, MATCH(B$1, 'Question List'!$B:$B, FALSE)+2)&lt;&gt;0, INDEX('Question List'!$D:$D, MATCH(B$1, 'Question List'!$B:$B, FALSE)+2), "")</f>
        <v>This is too expensive but let's continue anyway</v>
      </c>
      <c r="C6" s="96" t="str">
        <f>IF(INDEX('Question List'!$D:$D, MATCH(C$1, 'Question List'!$B:$B, FALSE)+2)&lt;&gt;0, INDEX('Question List'!$D:$D, MATCH(C$1, 'Question List'!$B:$B, FALSE)+2), "")</f>
        <v/>
      </c>
      <c r="D6" s="96" t="str">
        <f>IF(INDEX('Question List'!$D:$D, MATCH(D$1, 'Question List'!$B:$B, FALSE)+2)&lt;&gt;0, INDEX('Question List'!$D:$D, MATCH(D$1, 'Question List'!$B:$B, FALSE)+2), "")</f>
        <v>Investigate Solar PV without batteries</v>
      </c>
      <c r="E6" s="96" t="str">
        <f>IF(INDEX('Question List'!$D:$D, MATCH(E$1, 'Question List'!$B:$B, FALSE)+2)&lt;&gt;0, INDEX('Question List'!$D:$D, MATCH(E$1, 'Question List'!$B:$B, FALSE)+2), "")</f>
        <v/>
      </c>
      <c r="F6" s="96" t="str">
        <f>IF(INDEX('Question List'!$D:$D, MATCH(F$1, 'Question List'!$B:$B, FALSE)+2)&lt;&gt;0, INDEX('Question List'!$D:$D, MATCH(F$1, 'Question List'!$B:$B, FALSE)+2), "")</f>
        <v>Occasionally more power is needed than the network can supply. I'm looking at options to upgrade</v>
      </c>
      <c r="G6" s="96" t="str">
        <f>IF(INDEX('Question List'!$D:$D, MATCH(G$1, 'Question List'!$B:$B, FALSE)+2)&lt;&gt;0, INDEX('Question List'!$D:$D, MATCH(G$1, 'Question List'!$B:$B, FALSE)+2), "")</f>
        <v>Large Energy Customer ( &gt; 160MWh per year or average of 274 kWh per day)</v>
      </c>
      <c r="H6" s="96" t="str">
        <f>IF(INDEX('Question List'!$D:$D, MATCH(H$1, 'Question List'!$B:$B, FALSE)+2)&lt;&gt;0, INDEX('Question List'!$D:$D, MATCH(H$1, 'Question List'!$B:$B, FALSE)+2), "")</f>
        <v/>
      </c>
      <c r="I6" s="96" t="str">
        <f>IF(INDEX('Question List'!$D:$D, MATCH(I$1, 'Question List'!$B:$B, FALSE)+2)&lt;&gt;0, INDEX('Question List'!$D:$D, MATCH(I$1, 'Question List'!$B:$B, FALSE)+2), "")</f>
        <v/>
      </c>
      <c r="J6" s="96" t="str">
        <f>IF(INDEX('Question List'!$D:$D, MATCH(J$1, 'Question List'!$B:$B, FALSE)+2)&lt;&gt;0, INDEX('Question List'!$D:$D, MATCH(J$1, 'Question List'!$B:$B, FALSE)+2), "")</f>
        <v/>
      </c>
      <c r="K6" s="96" t="str">
        <f>IF(INDEX('Question List'!$D:$D, MATCH(K$1, 'Question List'!$B:$B, FALSE)+2)&lt;&gt;0, INDEX('Question List'!$D:$D, MATCH(K$1, 'Question List'!$B:$B, FALSE)+2), "")</f>
        <v/>
      </c>
      <c r="L6" s="96" t="str">
        <f>IF(INDEX('Question List'!$D:$D, MATCH(L$1, 'Question List'!$B:$B, FALSE)+2)&lt;&gt;0, INDEX('Question List'!$D:$D, MATCH(L$1, 'Question List'!$B:$B, FALSE)+2), "")</f>
        <v>More than $30,000</v>
      </c>
      <c r="M6" s="96" t="str">
        <f>IF(INDEX('Question List'!$D:$D, MATCH(M$1, 'Question List'!$B:$B, FALSE)+2)&lt;&gt;0, INDEX('Question List'!$D:$D, MATCH(M$1, 'Question List'!$B:$B, FALSE)+2), "")</f>
        <v>I'm more interested in grid-independence, renewable energy targets and tax-deductions</v>
      </c>
      <c r="N6" s="96" t="str">
        <f>IF(INDEX('Question List'!$D:$D, MATCH(N$1, 'Question List'!$B:$B, FALSE)+2)&lt;&gt;0, INDEX('Question List'!$D:$D, MATCH(N$1, 'Question List'!$B:$B, FALSE)+2), "")</f>
        <v>More than 10 years</v>
      </c>
      <c r="O6" s="96" t="str">
        <f>IF(INDEX('Question List'!$D:$D, MATCH(O$1, 'Question List'!$B:$B, FALSE)+2)&lt;&gt;0, INDEX('Question List'!$D:$D, MATCH(O$1, 'Question List'!$B:$B, FALSE)+2), "")</f>
        <v/>
      </c>
      <c r="P6" s="96" t="str">
        <f>IF(INDEX('Question List'!$D:$D, MATCH(P$1, 'Question List'!$B:$B, FALSE)+2)&lt;&gt;0, INDEX('Question List'!$D:$D, MATCH(P$1, 'Question List'!$B:$B, FALSE)+2), "")</f>
        <v/>
      </c>
      <c r="Q6" s="96" t="str">
        <f>IF(INDEX('Question List'!$D:$D, MATCH(Q$1, 'Question List'!$B:$B, FALSE)+2)&lt;&gt;0, INDEX('Question List'!$D:$D, MATCH(Q$1, 'Question List'!$B:$B, FALSE)+2), "")</f>
        <v/>
      </c>
      <c r="R6" s="96" t="str">
        <f>IF(INDEX('Question List'!$D:$D, MATCH(R$1, 'Question List'!$B:$B, FALSE)+2)&lt;&gt;0, INDEX('Question List'!$D:$D, MATCH(R$1, 'Question List'!$B:$B, FALSE)+2), "")</f>
        <v/>
      </c>
      <c r="S6" s="96" t="str">
        <f>IF(INDEX('Question List'!$D:$D, MATCH(S$1, 'Question List'!$B:$B, FALSE)+2)&lt;&gt;0, INDEX('Question List'!$D:$D, MATCH(S$1, 'Question List'!$B:$B, FALSE)+2), "")</f>
        <v/>
      </c>
      <c r="T6" s="96" t="str">
        <f>IF(INDEX('Question List'!$D:$D, MATCH(T$1, 'Question List'!$B:$B, FALSE)+2)&lt;&gt;0, INDEX('Question List'!$D:$D, MATCH(T$1, 'Question List'!$B:$B, FALSE)+2), "")</f>
        <v>Peak usage occurs at a controllable time of day</v>
      </c>
      <c r="U6" s="96" t="str">
        <f>IF(INDEX('Question List'!$D:$D, MATCH(U$1, 'Question List'!$B:$B, FALSE)+2)&lt;&gt;0, INDEX('Question List'!$D:$D, MATCH(U$1, 'Question List'!$B:$B, FALSE)+2), "")</f>
        <v>Peak usage size is controllable</v>
      </c>
      <c r="V6" s="96" t="str">
        <f>IF(INDEX('Question List'!$D:$D, MATCH(V$1, 'Question List'!$B:$B, FALSE)+2)&lt;&gt;0, INDEX('Question List'!$D:$D, MATCH(V$1, 'Question List'!$B:$B, FALSE)+2), "")</f>
        <v>Less than 3 hours</v>
      </c>
      <c r="W6" s="96" t="str">
        <f>IF(INDEX('Question List'!$D:$D, MATCH(W$1, 'Question List'!$B:$B, FALSE)+2)&lt;&gt;0, INDEX('Question List'!$D:$D, MATCH(W$1, 'Question List'!$B:$B, FALSE)+2), "")</f>
        <v>Essential Energy</v>
      </c>
      <c r="X6" s="96" t="str">
        <f>IF(INDEX('Question List'!$D:$D, MATCH(X$1, 'Question List'!$B:$B, FALSE)+2)&lt;&gt;0, INDEX('Question List'!$D:$D, MATCH(X$1, 'Question List'!$B:$B, FALSE)+2), "")</f>
        <v/>
      </c>
      <c r="Y6" s="96" t="str">
        <f>IF(INDEX('Question List'!$D:$D, MATCH(Y$1, 'Question List'!$B:$B, FALSE)+2)&lt;&gt;0, INDEX('Question List'!$D:$D, MATCH(Y$1, 'Question List'!$B:$B, FALSE)+2), "")</f>
        <v/>
      </c>
      <c r="Z6" s="96" t="str">
        <f>IF(INDEX('Question List'!$D:$D, MATCH(Z$1, 'Question List'!$B:$B, FALSE)+2)&lt;&gt;0, INDEX('Question List'!$D:$D, MATCH(Z$1, 'Question List'!$B:$B, FALSE)+2), "")</f>
        <v/>
      </c>
      <c r="AA6" s="96" t="str">
        <f>IF(INDEX('Question List'!$D:$D, MATCH(AA$1, 'Question List'!$B:$B, FALSE)+2)&lt;&gt;0, INDEX('Question List'!$D:$D, MATCH(AA$1, 'Question List'!$B:$B, FALSE)+2), "")</f>
        <v/>
      </c>
      <c r="AB6" s="96" t="str">
        <f>IF(INDEX('Question List'!$D:$D, MATCH(AB$1, 'Question List'!$B:$B, FALSE)+2)&lt;&gt;0, INDEX('Question List'!$D:$D, MATCH(AB$1, 'Question List'!$B:$B, FALSE)+2), "")</f>
        <v/>
      </c>
      <c r="AC6" s="96" t="str">
        <f>IF(INDEX('Question List'!$D:$D, MATCH(AC$1, 'Question List'!$B:$B, FALSE)+2)&lt;&gt;0, INDEX('Question List'!$D:$D, MATCH(AC$1, 'Question List'!$B:$B, FALSE)+2), "")</f>
        <v/>
      </c>
      <c r="AD6" s="96" t="str">
        <f>IF(INDEX('Question List'!$D:$D, MATCH(AD$1, 'Question List'!$B:$B, FALSE)+2)&lt;&gt;0, INDEX('Question List'!$D:$D, MATCH(AD$1, 'Question List'!$B:$B, FALSE)+2), "")</f>
        <v>Graph 3</v>
      </c>
      <c r="AE6" s="96" t="str">
        <f>IF(INDEX('Question List'!$D:$D, MATCH(AE$1, 'Question List'!$B:$B, FALSE)+2)&lt;&gt;0, INDEX('Question List'!$D:$D, MATCH(AE$1, 'Question List'!$B:$B, FALSE)+2), "")</f>
        <v/>
      </c>
      <c r="AF6" s="96" t="str">
        <f>IF(INDEX('Question List'!$D:$D, MATCH(AF$1, 'Question List'!$B:$B, FALSE)+2)&lt;&gt;0, INDEX('Question List'!$D:$D, MATCH(AF$1, 'Question List'!$B:$B, FALSE)+2), "")</f>
        <v/>
      </c>
      <c r="AG6" s="96" t="str">
        <f>IF(INDEX('Question List'!$D:$D, MATCH(AG$1, 'Question List'!$B:$B, FALSE)+2)&lt;&gt;0, INDEX('Question List'!$D:$D, MATCH(AG$1, 'Question List'!$B:$B, FALSE)+2), "")</f>
        <v/>
      </c>
      <c r="AH6" s="96" t="str">
        <f>IF(INDEX('Question List'!$D:$D, MATCH(AH$1, 'Question List'!$B:$B, FALSE)+2)&lt;&gt;0, INDEX('Question List'!$D:$D, MATCH(AH$1, 'Question List'!$B:$B, FALSE)+2), "")</f>
        <v/>
      </c>
      <c r="AI6" s="96" t="str">
        <f>IF(INDEX('Question List'!$D:$D, MATCH(AI$1, 'Question List'!$B:$B, FALSE)+2)&lt;&gt;0, INDEX('Question List'!$D:$D, MATCH(AI$1, 'Question List'!$B:$B, FALSE)+2), "")</f>
        <v/>
      </c>
      <c r="AJ6" s="96" t="str">
        <f>IF(INDEX('Question List'!$D:$D, MATCH(AJ$1, 'Question List'!$B:$B, FALSE)+2)&lt;&gt;0, INDEX('Question List'!$D:$D, MATCH(AJ$1, 'Question List'!$B:$B, FALSE)+2), "")</f>
        <v/>
      </c>
      <c r="AK6" s="96" t="str">
        <f>IF(INDEX('Question List'!$D:$D, MATCH(AK$1, 'Question List'!$B:$B, FALSE)+2)&lt;&gt;0, INDEX('Question List'!$D:$D, MATCH(AK$1, 'Question List'!$B:$B, FALSE)+2), "")</f>
        <v/>
      </c>
      <c r="AL6" s="96" t="str">
        <f>IF(INDEX('Question List'!$D:$D, MATCH(AL$1, 'Question List'!$B:$B, FALSE)+2)&lt;&gt;0, INDEX('Question List'!$D:$D, MATCH(AL$1, 'Question List'!$B:$B, FALSE)+2), "")</f>
        <v/>
      </c>
      <c r="AM6" s="96" t="e">
        <f>IF(INDEX('Question List'!$D:$D, MATCH(AM$1, 'Question List'!$B:$B, FALSE)+2)&lt;&gt;0, INDEX('Question List'!$D:$D, MATCH(AM$1, 'Question List'!$B:$B, FALSE)+2), "")</f>
        <v>#N/A</v>
      </c>
      <c r="AN6" s="96" t="e">
        <f>IF(INDEX('Question List'!$D:$D, MATCH(AN$1, 'Question List'!$B:$B, FALSE)+2)&lt;&gt;0, INDEX('Question List'!$D:$D, MATCH(AN$1, 'Question List'!$B:$B, FALSE)+2), "")</f>
        <v>#N/A</v>
      </c>
    </row>
    <row r="7" spans="1:42" x14ac:dyDescent="0.25">
      <c r="A7" t="s">
        <v>210</v>
      </c>
      <c r="B7" s="96" t="str">
        <f>IF(INDEX('Question List'!$D:$D, MATCH(B$1, 'Question List'!$B:$B, FALSE)+3)&lt;&gt;0, INDEX('Question List'!$D:$D, MATCH(B$1, 'Question List'!$B:$B, FALSE)+3), "")</f>
        <v/>
      </c>
      <c r="C7" s="96" t="str">
        <f>IF(INDEX('Question List'!$D:$D, MATCH(C$1, 'Question List'!$B:$B, FALSE)+3)&lt;&gt;0, INDEX('Question List'!$D:$D, MATCH(C$1, 'Question List'!$B:$B, FALSE)+3), "")</f>
        <v/>
      </c>
      <c r="D7" s="96" t="str">
        <f>IF(INDEX('Question List'!$D:$D, MATCH(D$1, 'Question List'!$B:$B, FALSE)+3)&lt;&gt;0, INDEX('Question List'!$D:$D, MATCH(D$1, 'Question List'!$B:$B, FALSE)+3), "")</f>
        <v>Game Over</v>
      </c>
      <c r="E7" s="96" t="str">
        <f>IF(INDEX('Question List'!$D:$D, MATCH(E$1, 'Question List'!$B:$B, FALSE)+3)&lt;&gt;0, INDEX('Question List'!$D:$D, MATCH(E$1, 'Question List'!$B:$B, FALSE)+3), "")</f>
        <v/>
      </c>
      <c r="F7" s="96" t="str">
        <f>IF(INDEX('Question List'!$D:$D, MATCH(F$1, 'Question List'!$B:$B, FALSE)+3)&lt;&gt;0, INDEX('Question List'!$D:$D, MATCH(F$1, 'Question List'!$B:$B, FALSE)+3), "")</f>
        <v>The grid seldom (or never) supplies what I need, I want an off-grid set-up</v>
      </c>
      <c r="G7" s="96" t="str">
        <f>IF(INDEX('Question List'!$D:$D, MATCH(G$1, 'Question List'!$B:$B, FALSE)+3)&lt;&gt;0, INDEX('Question List'!$D:$D, MATCH(G$1, 'Question List'!$B:$B, FALSE)+3), "")</f>
        <v>I don't know, please help me to decide</v>
      </c>
      <c r="H7" s="96" t="str">
        <f>IF(INDEX('Question List'!$D:$D, MATCH(H$1, 'Question List'!$B:$B, FALSE)+3)&lt;&gt;0, INDEX('Question List'!$D:$D, MATCH(H$1, 'Question List'!$B:$B, FALSE)+3), "")</f>
        <v/>
      </c>
      <c r="I7" s="96" t="str">
        <f>IF(INDEX('Question List'!$D:$D, MATCH(I$1, 'Question List'!$B:$B, FALSE)+3)&lt;&gt;0, INDEX('Question List'!$D:$D, MATCH(I$1, 'Question List'!$B:$B, FALSE)+3), "")</f>
        <v/>
      </c>
      <c r="J7" s="96" t="str">
        <f>IF(INDEX('Question List'!$D:$D, MATCH(J$1, 'Question List'!$B:$B, FALSE)+3)&lt;&gt;0, INDEX('Question List'!$D:$D, MATCH(J$1, 'Question List'!$B:$B, FALSE)+3), "")</f>
        <v/>
      </c>
      <c r="K7" s="96" t="str">
        <f>IF(INDEX('Question List'!$D:$D, MATCH(K$1, 'Question List'!$B:$B, FALSE)+3)&lt;&gt;0, INDEX('Question List'!$D:$D, MATCH(K$1, 'Question List'!$B:$B, FALSE)+3), "")</f>
        <v/>
      </c>
      <c r="L7" s="96" t="str">
        <f>IF(INDEX('Question List'!$D:$D, MATCH(L$1, 'Question List'!$B:$B, FALSE)+3)&lt;&gt;0, INDEX('Question List'!$D:$D, MATCH(L$1, 'Question List'!$B:$B, FALSE)+3), "")</f>
        <v/>
      </c>
      <c r="M7" s="96" t="str">
        <f>IF(INDEX('Question List'!$D:$D, MATCH(M$1, 'Question List'!$B:$B, FALSE)+3)&lt;&gt;0, INDEX('Question List'!$D:$D, MATCH(M$1, 'Question List'!$B:$B, FALSE)+3), "")</f>
        <v/>
      </c>
      <c r="N7" s="96" t="str">
        <f>IF(INDEX('Question List'!$D:$D, MATCH(N$1, 'Question List'!$B:$B, FALSE)+3)&lt;&gt;0, INDEX('Question List'!$D:$D, MATCH(N$1, 'Question List'!$B:$B, FALSE)+3), "")</f>
        <v/>
      </c>
      <c r="O7" s="96" t="str">
        <f>IF(INDEX('Question List'!$D:$D, MATCH(O$1, 'Question List'!$B:$B, FALSE)+3)&lt;&gt;0, INDEX('Question List'!$D:$D, MATCH(O$1, 'Question List'!$B:$B, FALSE)+3), "")</f>
        <v/>
      </c>
      <c r="P7" s="96" t="str">
        <f>IF(INDEX('Question List'!$D:$D, MATCH(P$1, 'Question List'!$B:$B, FALSE)+3)&lt;&gt;0, INDEX('Question List'!$D:$D, MATCH(P$1, 'Question List'!$B:$B, FALSE)+3), "")</f>
        <v/>
      </c>
      <c r="Q7" s="96" t="str">
        <f>IF(INDEX('Question List'!$D:$D, MATCH(Q$1, 'Question List'!$B:$B, FALSE)+3)&lt;&gt;0, INDEX('Question List'!$D:$D, MATCH(Q$1, 'Question List'!$B:$B, FALSE)+3), "")</f>
        <v/>
      </c>
      <c r="R7" s="96" t="str">
        <f>IF(INDEX('Question List'!$D:$D, MATCH(R$1, 'Question List'!$B:$B, FALSE)+3)&lt;&gt;0, INDEX('Question List'!$D:$D, MATCH(R$1, 'Question List'!$B:$B, FALSE)+3), "")</f>
        <v/>
      </c>
      <c r="S7" s="96" t="str">
        <f>IF(INDEX('Question List'!$D:$D, MATCH(S$1, 'Question List'!$B:$B, FALSE)+3)&lt;&gt;0, INDEX('Question List'!$D:$D, MATCH(S$1, 'Question List'!$B:$B, FALSE)+3), "")</f>
        <v/>
      </c>
      <c r="T7" s="96" t="str">
        <f>IF(INDEX('Question List'!$D:$D, MATCH(T$1, 'Question List'!$B:$B, FALSE)+3)&lt;&gt;0, INDEX('Question List'!$D:$D, MATCH(T$1, 'Question List'!$B:$B, FALSE)+3), "")</f>
        <v/>
      </c>
      <c r="U7" s="96" t="str">
        <f>IF(INDEX('Question List'!$D:$D, MATCH(U$1, 'Question List'!$B:$B, FALSE)+3)&lt;&gt;0, INDEX('Question List'!$D:$D, MATCH(U$1, 'Question List'!$B:$B, FALSE)+3), "")</f>
        <v/>
      </c>
      <c r="V7" s="96" t="str">
        <f>IF(INDEX('Question List'!$D:$D, MATCH(V$1, 'Question List'!$B:$B, FALSE)+3)&lt;&gt;0, INDEX('Question List'!$D:$D, MATCH(V$1, 'Question List'!$B:$B, FALSE)+3), "")</f>
        <v>More than 3 hours</v>
      </c>
      <c r="W7" s="96" t="str">
        <f>IF(INDEX('Question List'!$D:$D, MATCH(W$1, 'Question List'!$B:$B, FALSE)+3)&lt;&gt;0, INDEX('Question List'!$D:$D, MATCH(W$1, 'Question List'!$B:$B, FALSE)+3), "")</f>
        <v>I don't know</v>
      </c>
      <c r="X7" s="96" t="str">
        <f>IF(INDEX('Question List'!$D:$D, MATCH(X$1, 'Question List'!$B:$B, FALSE)+3)&lt;&gt;0, INDEX('Question List'!$D:$D, MATCH(X$1, 'Question List'!$B:$B, FALSE)+3), "")</f>
        <v/>
      </c>
      <c r="Y7" s="96" t="str">
        <f>IF(INDEX('Question List'!$D:$D, MATCH(Y$1, 'Question List'!$B:$B, FALSE)+3)&lt;&gt;0, INDEX('Question List'!$D:$D, MATCH(Y$1, 'Question List'!$B:$B, FALSE)+3), "")</f>
        <v/>
      </c>
      <c r="Z7" s="96" t="str">
        <f>IF(INDEX('Question List'!$D:$D, MATCH(Z$1, 'Question List'!$B:$B, FALSE)+3)&lt;&gt;0, INDEX('Question List'!$D:$D, MATCH(Z$1, 'Question List'!$B:$B, FALSE)+3), "")</f>
        <v/>
      </c>
      <c r="AA7" s="96" t="str">
        <f>IF(INDEX('Question List'!$D:$D, MATCH(AA$1, 'Question List'!$B:$B, FALSE)+3)&lt;&gt;0, INDEX('Question List'!$D:$D, MATCH(AA$1, 'Question List'!$B:$B, FALSE)+3), "")</f>
        <v/>
      </c>
      <c r="AB7" s="96" t="str">
        <f>IF(INDEX('Question List'!$D:$D, MATCH(AB$1, 'Question List'!$B:$B, FALSE)+3)&lt;&gt;0, INDEX('Question List'!$D:$D, MATCH(AB$1, 'Question List'!$B:$B, FALSE)+3), "")</f>
        <v/>
      </c>
      <c r="AC7" s="96" t="str">
        <f>IF(INDEX('Question List'!$D:$D, MATCH(AC$1, 'Question List'!$B:$B, FALSE)+3)&lt;&gt;0, INDEX('Question List'!$D:$D, MATCH(AC$1, 'Question List'!$B:$B, FALSE)+3), "")</f>
        <v/>
      </c>
      <c r="AD7" s="96" t="str">
        <f>IF(INDEX('Question List'!$D:$D, MATCH(AD$1, 'Question List'!$B:$B, FALSE)+3)&lt;&gt;0, INDEX('Question List'!$D:$D, MATCH(AD$1, 'Question List'!$B:$B, FALSE)+3), "")</f>
        <v>Graph 4</v>
      </c>
      <c r="AE7" s="96" t="str">
        <f>IF(INDEX('Question List'!$D:$D, MATCH(AE$1, 'Question List'!$B:$B, FALSE)+3)&lt;&gt;0, INDEX('Question List'!$D:$D, MATCH(AE$1, 'Question List'!$B:$B, FALSE)+3), "")</f>
        <v/>
      </c>
      <c r="AF7" s="96" t="str">
        <f>IF(INDEX('Question List'!$D:$D, MATCH(AF$1, 'Question List'!$B:$B, FALSE)+3)&lt;&gt;0, INDEX('Question List'!$D:$D, MATCH(AF$1, 'Question List'!$B:$B, FALSE)+3), "")</f>
        <v/>
      </c>
      <c r="AG7" s="96" t="str">
        <f>IF(INDEX('Question List'!$D:$D, MATCH(AG$1, 'Question List'!$B:$B, FALSE)+3)&lt;&gt;0, INDEX('Question List'!$D:$D, MATCH(AG$1, 'Question List'!$B:$B, FALSE)+3), "")</f>
        <v/>
      </c>
      <c r="AH7" s="96" t="str">
        <f>IF(INDEX('Question List'!$D:$D, MATCH(AH$1, 'Question List'!$B:$B, FALSE)+3)&lt;&gt;0, INDEX('Question List'!$D:$D, MATCH(AH$1, 'Question List'!$B:$B, FALSE)+3), "")</f>
        <v/>
      </c>
      <c r="AI7" s="96" t="str">
        <f>IF(INDEX('Question List'!$D:$D, MATCH(AI$1, 'Question List'!$B:$B, FALSE)+3)&lt;&gt;0, INDEX('Question List'!$D:$D, MATCH(AI$1, 'Question List'!$B:$B, FALSE)+3), "")</f>
        <v/>
      </c>
      <c r="AJ7" s="96" t="str">
        <f>IF(INDEX('Question List'!$D:$D, MATCH(AJ$1, 'Question List'!$B:$B, FALSE)+3)&lt;&gt;0, INDEX('Question List'!$D:$D, MATCH(AJ$1, 'Question List'!$B:$B, FALSE)+3), "")</f>
        <v/>
      </c>
      <c r="AK7" s="96" t="str">
        <f>IF(INDEX('Question List'!$D:$D, MATCH(AK$1, 'Question List'!$B:$B, FALSE)+3)&lt;&gt;0, INDEX('Question List'!$D:$D, MATCH(AK$1, 'Question List'!$B:$B, FALSE)+3), "")</f>
        <v/>
      </c>
      <c r="AL7" s="96" t="str">
        <f>IF(INDEX('Question List'!$D:$D, MATCH(AL$1, 'Question List'!$B:$B, FALSE)+3)&lt;&gt;0, INDEX('Question List'!$D:$D, MATCH(AL$1, 'Question List'!$B:$B, FALSE)+3), "")</f>
        <v/>
      </c>
      <c r="AM7" s="96" t="e">
        <f>IF(INDEX('Question List'!$D:$D, MATCH(AM$1, 'Question List'!$B:$B, FALSE)+3)&lt;&gt;0, INDEX('Question List'!$D:$D, MATCH(AM$1, 'Question List'!$B:$B, FALSE)+3), "")</f>
        <v>#N/A</v>
      </c>
      <c r="AN7" s="96" t="e">
        <f>IF(INDEX('Question List'!$D:$D, MATCH(AN$1, 'Question List'!$B:$B, FALSE)+3)&lt;&gt;0, INDEX('Question List'!$D:$D, MATCH(AN$1, 'Question List'!$B:$B, FALSE)+3), "")</f>
        <v>#N/A</v>
      </c>
    </row>
    <row r="8" spans="1:42" x14ac:dyDescent="0.25">
      <c r="A8" t="s">
        <v>209</v>
      </c>
      <c r="B8" s="96" t="str">
        <f>IF(INDEX('Question List'!$E:$E, MATCH(B$1, 'Question List'!$B:$B, FALSE))&lt;&gt;0, INDEX('Question List'!$E:$E, MATCH(B$1, 'Question List'!$B:$B, FALSE)), "")</f>
        <v>The business is prepared for capital expenditure</v>
      </c>
      <c r="C8" s="96" t="str">
        <f>IF(INDEX('Question List'!$E:$E, MATCH(C$1, 'Question List'!$B:$B, FALSE))&lt;&gt;0, INDEX('Question List'!$E:$E, MATCH(C$1, 'Question List'!$B:$B, FALSE)), "")</f>
        <v>The business is allowed to modify its electrical infrastructure</v>
      </c>
      <c r="D8" s="96" t="str">
        <f>IF(INDEX('Question List'!$E:$E, MATCH(D$1, 'Question List'!$B:$B, FALSE))&lt;&gt;0, INDEX('Question List'!$E:$E, MATCH(D$1, 'Question List'!$B:$B, FALSE)), "")</f>
        <v>The business is able to construct a battery room on site</v>
      </c>
      <c r="E8" s="96" t="str">
        <f>IF(INDEX('Question List'!$E:$E, MATCH(E$1, 'Question List'!$B:$B, FALSE))&lt;&gt;0, INDEX('Question List'!$E:$E, MATCH(E$1, 'Question List'!$B:$B, FALSE)), "")</f>
        <v/>
      </c>
      <c r="F8" s="96" t="str">
        <f>IF(INDEX('Question List'!$E:$E, MATCH(F$1, 'Question List'!$B:$B, FALSE))&lt;&gt;0, INDEX('Question List'!$E:$E, MATCH(F$1, 'Question List'!$B:$B, FALSE)), "")</f>
        <v>The business is a typical grid connected business looking to reduce electricity costs</v>
      </c>
      <c r="G8" s="96" t="str">
        <f>IF(INDEX('Question List'!$E:$E, MATCH(G$1, 'Question List'!$B:$B, FALSE))&lt;&gt;0, INDEX('Question List'!$E:$E, MATCH(G$1, 'Question List'!$B:$B, FALSE)), "")</f>
        <v>Usage is less than 100MWh per year</v>
      </c>
      <c r="H8" s="96" t="str">
        <f>IF(INDEX('Question List'!$E:$E, MATCH(H$1, 'Question List'!$B:$B, FALSE))&lt;&gt;0, INDEX('Question List'!$E:$E, MATCH(H$1, 'Question List'!$B:$B, FALSE)), "")</f>
        <v>Existing solar PV</v>
      </c>
      <c r="I8" s="96" t="str">
        <f>IF(INDEX('Question List'!$E:$E, MATCH(I$1, 'Question List'!$B:$B, FALSE))&lt;&gt;0, INDEX('Question List'!$E:$E, MATCH(I$1, 'Question List'!$B:$B, FALSE)), "")</f>
        <v>Self-consumed solar</v>
      </c>
      <c r="J8" s="96" t="str">
        <f>IF(INDEX('Question List'!$E:$E, MATCH(J$1, 'Question List'!$B:$B, FALSE))&lt;&gt;0, INDEX('Question List'!$E:$E, MATCH(J$1, 'Question List'!$B:$B, FALSE)), "")</f>
        <v>Solar maximum power of  _  kW</v>
      </c>
      <c r="K8" s="96" t="str">
        <f>IF(INDEX('Question List'!$E:$E, MATCH(K$1, 'Question List'!$B:$B, FALSE))&lt;&gt;0, INDEX('Question List'!$E:$E, MATCH(K$1, 'Question List'!$B:$B, FALSE)), "")</f>
        <v>Number of panels is _</v>
      </c>
      <c r="L8" s="96" t="str">
        <f>IF(INDEX('Question List'!$E:$E, MATCH(L$1, 'Question List'!$B:$B, FALSE))&lt;&gt;0, INDEX('Question List'!$E:$E, MATCH(L$1, 'Question List'!$B:$B, FALSE)), "")</f>
        <v>Usage is less than 100MWh per year</v>
      </c>
      <c r="M8" s="96" t="str">
        <f>IF(INDEX('Question List'!$E:$E, MATCH(M$1, 'Question List'!$B:$B, FALSE))&lt;&gt;0, INDEX('Question List'!$E:$E, MATCH(M$1, 'Question List'!$B:$B, FALSE)), "")</f>
        <v>Payback calculations are modelled based on nominated payback year</v>
      </c>
      <c r="N8" s="96" t="str">
        <f>IF(INDEX('Question List'!$E:$E, MATCH(N$1, 'Question List'!$B:$B, FALSE))&lt;&gt;0, INDEX('Question List'!$E:$E, MATCH(N$1, 'Question List'!$B:$B, FALSE)), "")</f>
        <v>Expectations for return on investment are unrealistically short for this business and only perfect situations should be considered</v>
      </c>
      <c r="O8" s="96" t="str">
        <f>IF(INDEX('Question List'!$E:$E, MATCH(O$1, 'Question List'!$B:$B, FALSE))&lt;&gt;0, INDEX('Question List'!$E:$E, MATCH(O$1, 'Question List'!$B:$B, FALSE)), "")</f>
        <v/>
      </c>
      <c r="P8" s="96" t="str">
        <f>IF(INDEX('Question List'!$E:$E, MATCH(P$1, 'Question List'!$B:$B, FALSE))&lt;&gt;0, INDEX('Question List'!$E:$E, MATCH(P$1, 'Question List'!$B:$B, FALSE)), "")</f>
        <v/>
      </c>
      <c r="Q8" s="96" t="str">
        <f>IF(INDEX('Question List'!$E:$E, MATCH(Q$1, 'Question List'!$B:$B, FALSE))&lt;&gt;0, INDEX('Question List'!$E:$E, MATCH(Q$1, 'Question List'!$B:$B, FALSE)), "")</f>
        <v/>
      </c>
      <c r="R8" s="96" t="str">
        <f>IF(INDEX('Question List'!$E:$E, MATCH(R$1, 'Question List'!$B:$B, FALSE))&lt;&gt;0, INDEX('Question List'!$E:$E, MATCH(R$1, 'Question List'!$B:$B, FALSE)), "")</f>
        <v/>
      </c>
      <c r="S8" s="96" t="str">
        <f>IF(INDEX('Question List'!$E:$E, MATCH(S$1, 'Question List'!$B:$B, FALSE))&lt;&gt;0, INDEX('Question List'!$E:$E, MATCH(S$1, 'Question List'!$B:$B, FALSE)), "")</f>
        <v>Capacity charges apply to the business</v>
      </c>
      <c r="T8" s="96" t="str">
        <f>IF(INDEX('Question List'!$E:$E, MATCH(T$1, 'Question List'!$B:$B, FALSE))&lt;&gt;0, INDEX('Question List'!$E:$E, MATCH(T$1, 'Question List'!$B:$B, FALSE)), "")</f>
        <v>Peak usage could occur at any time</v>
      </c>
      <c r="U8" s="96" t="str">
        <f>IF(INDEX('Question List'!$E:$E, MATCH(U$1, 'Question List'!$B:$B, FALSE))&lt;&gt;0, INDEX('Question List'!$E:$E, MATCH(U$1, 'Question List'!$B:$B, FALSE)), "")</f>
        <v>Peak usage size could be any value</v>
      </c>
      <c r="V8" s="96" t="str">
        <f>IF(INDEX('Question List'!$E:$E, MATCH(V$1, 'Question List'!$B:$B, FALSE))&lt;&gt;0, INDEX('Question List'!$E:$E, MATCH(V$1, 'Question List'!$B:$B, FALSE)), "")</f>
        <v>Peak usage occurs for no more than 1 hour</v>
      </c>
      <c r="W8" s="96" t="str">
        <f>IF(INDEX('Question List'!$E:$E, MATCH(W$1, 'Question List'!$B:$B, FALSE))&lt;&gt;0, INDEX('Question List'!$E:$E, MATCH(W$1, 'Question List'!$B:$B, FALSE)), "")</f>
        <v>The business is in the Ausgrid region</v>
      </c>
      <c r="X8" s="96" t="str">
        <f>IF(INDEX('Question List'!$E:$E, MATCH(X$1, 'Question List'!$B:$B, FALSE))&lt;&gt;0, INDEX('Question List'!$E:$E, MATCH(X$1, 'Question List'!$B:$B, FALSE)), "")</f>
        <v/>
      </c>
      <c r="Y8" s="96" t="str">
        <f>IF(INDEX('Question List'!$E:$E, MATCH(Y$1, 'Question List'!$B:$B, FALSE))&lt;&gt;0, INDEX('Question List'!$E:$E, MATCH(Y$1, 'Question List'!$B:$B, FALSE)), "")</f>
        <v/>
      </c>
      <c r="Z8" s="96" t="str">
        <f>IF(INDEX('Question List'!$E:$E, MATCH(Z$1, 'Question List'!$B:$B, FALSE))&lt;&gt;0, INDEX('Question List'!$E:$E, MATCH(Z$1, 'Question List'!$B:$B, FALSE)), "")</f>
        <v/>
      </c>
      <c r="AA8" s="96" t="str">
        <f>IF(INDEX('Question List'!$E:$E, MATCH(AA$1, 'Question List'!$B:$B, FALSE))&lt;&gt;0, INDEX('Question List'!$E:$E, MATCH(AA$1, 'Question List'!$B:$B, FALSE)), "")</f>
        <v>A solar installation is possible</v>
      </c>
      <c r="AB8" s="96" t="str">
        <f>IF(INDEX('Question List'!$E:$E, MATCH(AB$1, 'Question List'!$B:$B, FALSE))&lt;&gt;0, INDEX('Question List'!$E:$E, MATCH(AB$1, 'Question List'!$B:$B, FALSE)), "")</f>
        <v>A solar installation is possible</v>
      </c>
      <c r="AC8" s="96" t="str">
        <f>IF(INDEX('Question List'!$E:$E, MATCH(AC$1, 'Question List'!$B:$B, FALSE))&lt;&gt;0, INDEX('Question List'!$E:$E, MATCH(AC$1, 'Question List'!$B:$B, FALSE)), "")</f>
        <v>Solar power generation is possible</v>
      </c>
      <c r="AD8" s="96" t="str">
        <f>IF(INDEX('Question List'!$E:$E, MATCH(AD$1, 'Question List'!$B:$B, FALSE))&lt;&gt;0, INDEX('Question List'!$E:$E, MATCH(AD$1, 'Question List'!$B:$B, FALSE)), "")</f>
        <v>Optimal day time usage</v>
      </c>
      <c r="AE8" s="96" t="str">
        <f>IF(INDEX('Question List'!$E:$E, MATCH(AE$1, 'Question List'!$B:$B, FALSE))&lt;&gt;0, INDEX('Question List'!$E:$E, MATCH(AE$1, 'Question List'!$B:$B, FALSE)), "")</f>
        <v>kWh used per day</v>
      </c>
      <c r="AF8" s="96" t="str">
        <f>IF(INDEX('Question List'!$E:$E, MATCH(AF$1, 'Question List'!$B:$B, FALSE))&lt;&gt;0, INDEX('Question List'!$E:$E, MATCH(AF$1, 'Question List'!$B:$B, FALSE)), "")</f>
        <v/>
      </c>
      <c r="AG8" s="96" t="str">
        <f>IF(INDEX('Question List'!$E:$E, MATCH(AG$1, 'Question List'!$B:$B, FALSE))&lt;&gt;0, INDEX('Question List'!$E:$E, MATCH(AG$1, 'Question List'!$B:$B, FALSE)), "")</f>
        <v/>
      </c>
      <c r="AH8" s="96" t="str">
        <f>IF(INDEX('Question List'!$E:$E, MATCH(AH$1, 'Question List'!$B:$B, FALSE))&lt;&gt;0, INDEX('Question List'!$E:$E, MATCH(AH$1, 'Question List'!$B:$B, FALSE)), "")</f>
        <v/>
      </c>
      <c r="AI8" s="96" t="str">
        <f>IF(INDEX('Question List'!$E:$E, MATCH(AI$1, 'Question List'!$B:$B, FALSE))&lt;&gt;0, INDEX('Question List'!$E:$E, MATCH(AI$1, 'Question List'!$B:$B, FALSE)), "")</f>
        <v/>
      </c>
      <c r="AJ8" s="96" t="str">
        <f>IF(INDEX('Question List'!$E:$E, MATCH(AJ$1, 'Question List'!$B:$B, FALSE))&lt;&gt;0, INDEX('Question List'!$E:$E, MATCH(AJ$1, 'Question List'!$B:$B, FALSE)), "")</f>
        <v/>
      </c>
      <c r="AK8" s="96" t="str">
        <f>IF(INDEX('Question List'!$E:$E, MATCH(AK$1, 'Question List'!$B:$B, FALSE))&lt;&gt;0, INDEX('Question List'!$E:$E, MATCH(AK$1, 'Question List'!$B:$B, FALSE)), "")</f>
        <v/>
      </c>
      <c r="AL8" s="96" t="str">
        <f>IF(INDEX('Question List'!$E:$E, MATCH(AL$1, 'Question List'!$B:$B, FALSE))&lt;&gt;0, INDEX('Question List'!$E:$E, MATCH(AL$1, 'Question List'!$B:$B, FALSE)), "")</f>
        <v/>
      </c>
      <c r="AM8" s="96" t="e">
        <f>IF(INDEX('Question List'!$E:$E, MATCH(AM$1, 'Question List'!$B:$B, FALSE))&lt;&gt;0, INDEX('Question List'!$E:$E, MATCH(AM$1, 'Question List'!$B:$B, FALSE)), "")</f>
        <v>#N/A</v>
      </c>
      <c r="AN8" s="96" t="e">
        <f>IF(INDEX('Question List'!$E:$E, MATCH(AN$1, 'Question List'!$B:$B, FALSE))&lt;&gt;0, INDEX('Question List'!$E:$E, MATCH(AN$1, 'Question List'!$B:$B, FALSE)), "")</f>
        <v>#N/A</v>
      </c>
    </row>
    <row r="9" spans="1:42" x14ac:dyDescent="0.25">
      <c r="A9" t="s">
        <v>208</v>
      </c>
      <c r="B9" s="96" t="str">
        <f>IF(INDEX('Question List'!$E:$E, MATCH(B$1, 'Question List'!$B:$B, FALSE)+1)&lt;&gt;0, INDEX('Question List'!$E:$E, MATCH(B$1, 'Question List'!$B:$B, FALSE)+1), "")</f>
        <v>The business is not prepared for capital expenditure</v>
      </c>
      <c r="C9" s="96" t="str">
        <f>IF(INDEX('Question List'!$E:$E, MATCH(C$1, 'Question List'!$B:$B, FALSE)+1)&lt;&gt;0, INDEX('Question List'!$E:$E, MATCH(C$1, 'Question List'!$B:$B, FALSE)+1), "")</f>
        <v>The business is not allowed to modify its electrical infrastructure</v>
      </c>
      <c r="D9" s="96" t="str">
        <f>IF(INDEX('Question List'!$E:$E, MATCH(D$1, 'Question List'!$B:$B, FALSE)+1)&lt;&gt;0, INDEX('Question List'!$E:$E, MATCH(D$1, 'Question List'!$B:$B, FALSE)+1), "")</f>
        <v>A battery room may be a show-stopper for the business. For more details refer to the OEH document  'i am you battery storage guide', or visit the Clean Energy Council website for installation guidelines.</v>
      </c>
      <c r="E9" s="96" t="str">
        <f>IF(INDEX('Question List'!$E:$E, MATCH(E$1, 'Question List'!$B:$B, FALSE)+1)&lt;&gt;0, INDEX('Question List'!$E:$E, MATCH(E$1, 'Question List'!$B:$B, FALSE)+1), "")</f>
        <v/>
      </c>
      <c r="F9" s="96" t="str">
        <f>IF(INDEX('Question List'!$E:$E, MATCH(F$1, 'Question List'!$B:$B, FALSE)+1)&lt;&gt;0, INDEX('Question List'!$E:$E, MATCH(F$1, 'Question List'!$B:$B, FALSE)+1), "")</f>
        <v>The business is grid connected and has identified back-up capability requirements. Detailed site analysis is required for requirements to be accurate</v>
      </c>
      <c r="G9" s="96" t="str">
        <f>IF(INDEX('Question List'!$E:$E, MATCH(G$1, 'Question List'!$B:$B, FALSE)+1)&lt;&gt;0, INDEX('Question List'!$E:$E, MATCH(G$1, 'Question List'!$B:$B, FALSE)+1), "")</f>
        <v>Usage is between 100MWh and 160MWh per year</v>
      </c>
      <c r="H9" s="96" t="str">
        <f>IF(INDEX('Question List'!$E:$E, MATCH(H$1, 'Question List'!$B:$B, FALSE)+1)&lt;&gt;0, INDEX('Question List'!$E:$E, MATCH(H$1, 'Question List'!$B:$B, FALSE)+1), "")</f>
        <v>No existing solar PV</v>
      </c>
      <c r="I9" s="96" t="str">
        <f>IF(INDEX('Question List'!$E:$E, MATCH(I$1, 'Question List'!$B:$B, FALSE)+1)&lt;&gt;0, INDEX('Question List'!$E:$E, MATCH(I$1, 'Question List'!$B:$B, FALSE)+1), "")</f>
        <v>Current grid-feed in</v>
      </c>
      <c r="J9" s="96" t="str">
        <f>IF(INDEX('Question List'!$E:$E, MATCH(J$1, 'Question List'!$B:$B, FALSE)+1)&lt;&gt;0, INDEX('Question List'!$E:$E, MATCH(J$1, 'Question List'!$B:$B, FALSE)+1), "")</f>
        <v>Unknown solar PV size</v>
      </c>
      <c r="K9" s="96" t="str">
        <f>IF(INDEX('Question List'!$E:$E, MATCH(K$1, 'Question List'!$B:$B, FALSE)+1)&lt;&gt;0, INDEX('Question List'!$E:$E, MATCH(K$1, 'Question List'!$B:$B, FALSE)+1), "")</f>
        <v>Unknown array size</v>
      </c>
      <c r="L9" s="96" t="str">
        <f>IF(INDEX('Question List'!$E:$E, MATCH(L$1, 'Question List'!$B:$B, FALSE)+1)&lt;&gt;0, INDEX('Question List'!$E:$E, MATCH(L$1, 'Question List'!$B:$B, FALSE)+1), "")</f>
        <v>Usage is between 100MWh and 160MWh per year</v>
      </c>
      <c r="M9" s="96" t="str">
        <f>IF(INDEX('Question List'!$E:$E, MATCH(M$1, 'Question List'!$B:$B, FALSE)+1)&lt;&gt;0, INDEX('Question List'!$E:$E, MATCH(M$1, 'Question List'!$B:$B, FALSE)+1), "")</f>
        <v>Payback calculations are modelled based on 15 year lifetime</v>
      </c>
      <c r="N9" s="96" t="str">
        <f>IF(INDEX('Question List'!$E:$E, MATCH(N$1, 'Question List'!$B:$B, FALSE)+1)&lt;&gt;0, INDEX('Question List'!$E:$E, MATCH(N$1, 'Question List'!$B:$B, FALSE)+1), "")</f>
        <v>Only ideal situations for battery storage should be considered for this business</v>
      </c>
      <c r="O9" s="96" t="str">
        <f>IF(INDEX('Question List'!$E:$E, MATCH(O$1, 'Question List'!$B:$B, FALSE)+1)&lt;&gt;0, INDEX('Question List'!$E:$E, MATCH(O$1, 'Question List'!$B:$B, FALSE)+1), "")</f>
        <v/>
      </c>
      <c r="P9" s="96" t="str">
        <f>IF(INDEX('Question List'!$E:$E, MATCH(P$1, 'Question List'!$B:$B, FALSE)+1)&lt;&gt;0, INDEX('Question List'!$E:$E, MATCH(P$1, 'Question List'!$B:$B, FALSE)+1), "")</f>
        <v/>
      </c>
      <c r="Q9" s="96" t="str">
        <f>IF(INDEX('Question List'!$E:$E, MATCH(Q$1, 'Question List'!$B:$B, FALSE)+1)&lt;&gt;0, INDEX('Question List'!$E:$E, MATCH(Q$1, 'Question List'!$B:$B, FALSE)+1), "")</f>
        <v/>
      </c>
      <c r="R9" s="96" t="str">
        <f>IF(INDEX('Question List'!$E:$E, MATCH(R$1, 'Question List'!$B:$B, FALSE)+1)&lt;&gt;0, INDEX('Question List'!$E:$E, MATCH(R$1, 'Question List'!$B:$B, FALSE)+1), "")</f>
        <v/>
      </c>
      <c r="S9" s="96" t="str">
        <f>IF(INDEX('Question List'!$E:$E, MATCH(S$1, 'Question List'!$B:$B, FALSE)+1)&lt;&gt;0, INDEX('Question List'!$E:$E, MATCH(S$1, 'Question List'!$B:$B, FALSE)+1), "")</f>
        <v>Capacity charges do not apply to the business</v>
      </c>
      <c r="T9" s="96" t="str">
        <f>IF(INDEX('Question List'!$E:$E, MATCH(T$1, 'Question List'!$B:$B, FALSE)+1)&lt;&gt;0, INDEX('Question List'!$E:$E, MATCH(T$1, 'Question List'!$B:$B, FALSE)+1), "")</f>
        <v>Peak usage occurs at a predictable time of day</v>
      </c>
      <c r="U9" s="96" t="str">
        <f>IF(INDEX('Question List'!$E:$E, MATCH(U$1, 'Question List'!$B:$B, FALSE)+1)&lt;&gt;0, INDEX('Question List'!$E:$E, MATCH(U$1, 'Question List'!$B:$B, FALSE)+1), "")</f>
        <v>Peak usage size is predictable based on past data</v>
      </c>
      <c r="V9" s="96" t="str">
        <f>IF(INDEX('Question List'!$E:$E, MATCH(V$1, 'Question List'!$B:$B, FALSE)+1)&lt;&gt;0, INDEX('Question List'!$E:$E, MATCH(V$1, 'Question List'!$B:$B, FALSE)+1), "")</f>
        <v>Peak usage occurs for no more than 2 hours</v>
      </c>
      <c r="W9" s="96" t="str">
        <f>IF(INDEX('Question List'!$E:$E, MATCH(W$1, 'Question List'!$B:$B, FALSE)+1)&lt;&gt;0, INDEX('Question List'!$E:$E, MATCH(W$1, 'Question List'!$B:$B, FALSE)+1), "")</f>
        <v>The business is in the Endeavour Energy region</v>
      </c>
      <c r="X9" s="96" t="str">
        <f>IF(INDEX('Question List'!$E:$E, MATCH(X$1, 'Question List'!$B:$B, FALSE)+1)&lt;&gt;0, INDEX('Question List'!$E:$E, MATCH(X$1, 'Question List'!$B:$B, FALSE)+1), "")</f>
        <v/>
      </c>
      <c r="Y9" s="96" t="str">
        <f>IF(INDEX('Question List'!$E:$E, MATCH(Y$1, 'Question List'!$B:$B, FALSE)+1)&lt;&gt;0, INDEX('Question List'!$E:$E, MATCH(Y$1, 'Question List'!$B:$B, FALSE)+1), "")</f>
        <v/>
      </c>
      <c r="Z9" s="96" t="str">
        <f>IF(INDEX('Question List'!$E:$E, MATCH(Z$1, 'Question List'!$B:$B, FALSE)+1)&lt;&gt;0, INDEX('Question List'!$E:$E, MATCH(Z$1, 'Question List'!$B:$B, FALSE)+1), "")</f>
        <v/>
      </c>
      <c r="AA9" s="96" t="str">
        <f>IF(INDEX('Question List'!$E:$E, MATCH(AA$1, 'Question List'!$B:$B, FALSE)+1)&lt;&gt;0, INDEX('Question List'!$E:$E, MATCH(AA$1, 'Question List'!$B:$B, FALSE)+1), "")</f>
        <v>Solar not possible</v>
      </c>
      <c r="AB9" s="96" t="str">
        <f>IF(INDEX('Question List'!$E:$E, MATCH(AB$1, 'Question List'!$B:$B, FALSE)+1)&lt;&gt;0, INDEX('Question List'!$E:$E, MATCH(AB$1, 'Question List'!$B:$B, FALSE)+1), "")</f>
        <v>Solar not possible</v>
      </c>
      <c r="AC9" s="96" t="str">
        <f>IF(INDEX('Question List'!$E:$E, MATCH(AC$1, 'Question List'!$B:$B, FALSE)+1)&lt;&gt;0, INDEX('Question List'!$E:$E, MATCH(AC$1, 'Question List'!$B:$B, FALSE)+1), "")</f>
        <v>Solar not possible</v>
      </c>
      <c r="AD9" s="96" t="str">
        <f>IF(INDEX('Question List'!$E:$E, MATCH(AD$1, 'Question List'!$B:$B, FALSE)+1)&lt;&gt;0, INDEX('Question List'!$E:$E, MATCH(AD$1, 'Question List'!$B:$B, FALSE)+1), "")</f>
        <v>24/7 usage</v>
      </c>
      <c r="AE9" s="96" t="str">
        <f>IF(INDEX('Question List'!$E:$E, MATCH(AE$1, 'Question List'!$B:$B, FALSE)+1)&lt;&gt;0, INDEX('Question List'!$E:$E, MATCH(AE$1, 'Question List'!$B:$B, FALSE)+1), "")</f>
        <v/>
      </c>
      <c r="AF9" s="96" t="str">
        <f>IF(INDEX('Question List'!$E:$E, MATCH(AF$1, 'Question List'!$B:$B, FALSE)+1)&lt;&gt;0, INDEX('Question List'!$E:$E, MATCH(AF$1, 'Question List'!$B:$B, FALSE)+1), "")</f>
        <v/>
      </c>
      <c r="AG9" s="96" t="str">
        <f>IF(INDEX('Question List'!$E:$E, MATCH(AG$1, 'Question List'!$B:$B, FALSE)+1)&lt;&gt;0, INDEX('Question List'!$E:$E, MATCH(AG$1, 'Question List'!$B:$B, FALSE)+1), "")</f>
        <v/>
      </c>
      <c r="AH9" s="96" t="str">
        <f>IF(INDEX('Question List'!$E:$E, MATCH(AH$1, 'Question List'!$B:$B, FALSE)+1)&lt;&gt;0, INDEX('Question List'!$E:$E, MATCH(AH$1, 'Question List'!$B:$B, FALSE)+1), "")</f>
        <v/>
      </c>
      <c r="AI9" s="96" t="str">
        <f>IF(INDEX('Question List'!$E:$E, MATCH(AI$1, 'Question List'!$B:$B, FALSE)+1)&lt;&gt;0, INDEX('Question List'!$E:$E, MATCH(AI$1, 'Question List'!$B:$B, FALSE)+1), "")</f>
        <v/>
      </c>
      <c r="AJ9" s="96" t="str">
        <f>IF(INDEX('Question List'!$E:$E, MATCH(AJ$1, 'Question List'!$B:$B, FALSE)+1)&lt;&gt;0, INDEX('Question List'!$E:$E, MATCH(AJ$1, 'Question List'!$B:$B, FALSE)+1), "")</f>
        <v/>
      </c>
      <c r="AK9" s="96" t="str">
        <f>IF(INDEX('Question List'!$E:$E, MATCH(AK$1, 'Question List'!$B:$B, FALSE)+1)&lt;&gt;0, INDEX('Question List'!$E:$E, MATCH(AK$1, 'Question List'!$B:$B, FALSE)+1), "")</f>
        <v/>
      </c>
      <c r="AL9" s="96" t="str">
        <f>IF(INDEX('Question List'!$E:$E, MATCH(AL$1, 'Question List'!$B:$B, FALSE)+1)&lt;&gt;0, INDEX('Question List'!$E:$E, MATCH(AL$1, 'Question List'!$B:$B, FALSE)+1), "")</f>
        <v/>
      </c>
      <c r="AM9" s="96" t="e">
        <f>IF(INDEX('Question List'!$E:$E, MATCH(AM$1, 'Question List'!$B:$B, FALSE)+1)&lt;&gt;0, INDEX('Question List'!$E:$E, MATCH(AM$1, 'Question List'!$B:$B, FALSE)+1), "")</f>
        <v>#N/A</v>
      </c>
      <c r="AN9" s="96" t="e">
        <f>IF(INDEX('Question List'!$E:$E, MATCH(AN$1, 'Question List'!$B:$B, FALSE)+1)&lt;&gt;0, INDEX('Question List'!$E:$E, MATCH(AN$1, 'Question List'!$B:$B, FALSE)+1), "")</f>
        <v>#N/A</v>
      </c>
    </row>
    <row r="10" spans="1:42" x14ac:dyDescent="0.25">
      <c r="A10" t="s">
        <v>207</v>
      </c>
      <c r="B10" s="96" t="str">
        <f>IF(INDEX('Question List'!$E:$E, MATCH(B$1, 'Question List'!$B:$B, FALSE))&lt;&gt;0, INDEX('Question List'!$E:$E, MATCH(B$1, 'Question List'!$B:$B, FALSE)+2), "")</f>
        <v>The business is not prepared for capital expenditure</v>
      </c>
      <c r="C10" s="96">
        <f>IF(INDEX('Question List'!$E:$E, MATCH(C$1, 'Question List'!$B:$B, FALSE))&lt;&gt;0, INDEX('Question List'!$E:$E, MATCH(C$1, 'Question List'!$B:$B, FALSE)+2), "")</f>
        <v>0</v>
      </c>
      <c r="D10" s="96" t="str">
        <f>IF(INDEX('Question List'!$E:$E, MATCH(D$1, 'Question List'!$B:$B, FALSE))&lt;&gt;0, INDEX('Question List'!$E:$E, MATCH(D$1, 'Question List'!$B:$B, FALSE)+2), "")</f>
        <v>The business may find Solar PV more feasible than battery storage</v>
      </c>
      <c r="E10" s="96" t="str">
        <f>IF(INDEX('Question List'!$E:$E, MATCH(E$1, 'Question List'!$B:$B, FALSE))&lt;&gt;0, INDEX('Question List'!$E:$E, MATCH(E$1, 'Question List'!$B:$B, FALSE)+2), "")</f>
        <v/>
      </c>
      <c r="F10" s="96" t="str">
        <f>IF(INDEX('Question List'!$E:$E, MATCH(F$1, 'Question List'!$B:$B, FALSE))&lt;&gt;0, INDEX('Question List'!$E:$E, MATCH(F$1, 'Question List'!$B:$B, FALSE)+2), "")</f>
        <v>The business has identified a network constraint and is interested in defering connection upgrades. Detailed site analysis is required for requirements to be accurate</v>
      </c>
      <c r="G10" s="96" t="str">
        <f>IF(INDEX('Question List'!$E:$E, MATCH(G$1, 'Question List'!$B:$B, FALSE))&lt;&gt;0, INDEX('Question List'!$E:$E, MATCH(G$1, 'Question List'!$B:$B, FALSE)+2), "")</f>
        <v>Usage is in excess of 160MWh per year</v>
      </c>
      <c r="H10" s="96">
        <f>IF(INDEX('Question List'!$E:$E, MATCH(H$1, 'Question List'!$B:$B, FALSE))&lt;&gt;0, INDEX('Question List'!$E:$E, MATCH(H$1, 'Question List'!$B:$B, FALSE)+2), "")</f>
        <v>0</v>
      </c>
      <c r="I10" s="96">
        <f>IF(INDEX('Question List'!$E:$E, MATCH(I$1, 'Question List'!$B:$B, FALSE))&lt;&gt;0, INDEX('Question List'!$E:$E, MATCH(I$1, 'Question List'!$B:$B, FALSE)+2), "")</f>
        <v>0</v>
      </c>
      <c r="J10" s="96">
        <f>IF(INDEX('Question List'!$E:$E, MATCH(J$1, 'Question List'!$B:$B, FALSE))&lt;&gt;0, INDEX('Question List'!$E:$E, MATCH(J$1, 'Question List'!$B:$B, FALSE)+2), "")</f>
        <v>0</v>
      </c>
      <c r="K10" s="96">
        <f>IF(INDEX('Question List'!$E:$E, MATCH(K$1, 'Question List'!$B:$B, FALSE))&lt;&gt;0, INDEX('Question List'!$E:$E, MATCH(K$1, 'Question List'!$B:$B, FALSE)+2), "")</f>
        <v>0</v>
      </c>
      <c r="L10" s="96" t="str">
        <f>IF(INDEX('Question List'!$E:$E, MATCH(L$1, 'Question List'!$B:$B, FALSE))&lt;&gt;0, INDEX('Question List'!$E:$E, MATCH(L$1, 'Question List'!$B:$B, FALSE)+2), "")</f>
        <v>Usage is in excess of 160MWh per year</v>
      </c>
      <c r="M10" s="96" t="str">
        <f>IF(INDEX('Question List'!$E:$E, MATCH(M$1, 'Question List'!$B:$B, FALSE))&lt;&gt;0, INDEX('Question List'!$E:$E, MATCH(M$1, 'Question List'!$B:$B, FALSE)+2), "")</f>
        <v>Aspirations for battery storage are not only financial for this business</v>
      </c>
      <c r="N10" s="96" t="str">
        <f>IF(INDEX('Question List'!$E:$E, MATCH(N$1, 'Question List'!$B:$B, FALSE))&lt;&gt;0, INDEX('Question List'!$E:$E, MATCH(N$1, 'Question List'!$B:$B, FALSE)+2), "")</f>
        <v>Payback over the lifetime of the installation is sufficient</v>
      </c>
      <c r="O10" s="96" t="str">
        <f>IF(INDEX('Question List'!$E:$E, MATCH(O$1, 'Question List'!$B:$B, FALSE))&lt;&gt;0, INDEX('Question List'!$E:$E, MATCH(O$1, 'Question List'!$B:$B, FALSE)+2), "")</f>
        <v/>
      </c>
      <c r="P10" s="96" t="str">
        <f>IF(INDEX('Question List'!$E:$E, MATCH(P$1, 'Question List'!$B:$B, FALSE))&lt;&gt;0, INDEX('Question List'!$E:$E, MATCH(P$1, 'Question List'!$B:$B, FALSE)+2), "")</f>
        <v/>
      </c>
      <c r="Q10" s="96" t="str">
        <f>IF(INDEX('Question List'!$E:$E, MATCH(Q$1, 'Question List'!$B:$B, FALSE))&lt;&gt;0, INDEX('Question List'!$E:$E, MATCH(Q$1, 'Question List'!$B:$B, FALSE)+2), "")</f>
        <v/>
      </c>
      <c r="R10" s="96" t="str">
        <f>IF(INDEX('Question List'!$E:$E, MATCH(R$1, 'Question List'!$B:$B, FALSE))&lt;&gt;0, INDEX('Question List'!$E:$E, MATCH(R$1, 'Question List'!$B:$B, FALSE)+2), "")</f>
        <v/>
      </c>
      <c r="S10" s="96">
        <f>IF(INDEX('Question List'!$E:$E, MATCH(S$1, 'Question List'!$B:$B, FALSE))&lt;&gt;0, INDEX('Question List'!$E:$E, MATCH(S$1, 'Question List'!$B:$B, FALSE)+2), "")</f>
        <v>0</v>
      </c>
      <c r="T10" s="96" t="str">
        <f>IF(INDEX('Question List'!$E:$E, MATCH(T$1, 'Question List'!$B:$B, FALSE))&lt;&gt;0, INDEX('Question List'!$E:$E, MATCH(T$1, 'Question List'!$B:$B, FALSE)+2), "")</f>
        <v>Peak usage occurs at a controllable time of day</v>
      </c>
      <c r="U10" s="96" t="str">
        <f>IF(INDEX('Question List'!$E:$E, MATCH(U$1, 'Question List'!$B:$B, FALSE))&lt;&gt;0, INDEX('Question List'!$E:$E, MATCH(U$1, 'Question List'!$B:$B, FALSE)+2), "")</f>
        <v>Peak usage size is controllable</v>
      </c>
      <c r="V10" s="96" t="str">
        <f>IF(INDEX('Question List'!$E:$E, MATCH(V$1, 'Question List'!$B:$B, FALSE))&lt;&gt;0, INDEX('Question List'!$E:$E, MATCH(V$1, 'Question List'!$B:$B, FALSE)+2), "")</f>
        <v>Peak usage occurs for no more than 3 hours</v>
      </c>
      <c r="W10" s="96" t="str">
        <f>IF(INDEX('Question List'!$E:$E, MATCH(W$1, 'Question List'!$B:$B, FALSE))&lt;&gt;0, INDEX('Question List'!$E:$E, MATCH(W$1, 'Question List'!$B:$B, FALSE)+2), "")</f>
        <v>The business is in the Essential Energy region</v>
      </c>
      <c r="X10" s="96" t="str">
        <f>IF(INDEX('Question List'!$E:$E, MATCH(X$1, 'Question List'!$B:$B, FALSE))&lt;&gt;0, INDEX('Question List'!$E:$E, MATCH(X$1, 'Question List'!$B:$B, FALSE)+2), "")</f>
        <v/>
      </c>
      <c r="Y10" s="96" t="str">
        <f>IF(INDEX('Question List'!$E:$E, MATCH(Y$1, 'Question List'!$B:$B, FALSE))&lt;&gt;0, INDEX('Question List'!$E:$E, MATCH(Y$1, 'Question List'!$B:$B, FALSE)+2), "")</f>
        <v/>
      </c>
      <c r="Z10" s="96" t="str">
        <f>IF(INDEX('Question List'!$E:$E, MATCH(Z$1, 'Question List'!$B:$B, FALSE))&lt;&gt;0, INDEX('Question List'!$E:$E, MATCH(Z$1, 'Question List'!$B:$B, FALSE)+2), "")</f>
        <v/>
      </c>
      <c r="AA10" s="96">
        <f>IF(INDEX('Question List'!$E:$E, MATCH(AA$1, 'Question List'!$B:$B, FALSE))&lt;&gt;0, INDEX('Question List'!$E:$E, MATCH(AA$1, 'Question List'!$B:$B, FALSE)+2), "")</f>
        <v>0</v>
      </c>
      <c r="AB10" s="96">
        <f>IF(INDEX('Question List'!$E:$E, MATCH(AB$1, 'Question List'!$B:$B, FALSE))&lt;&gt;0, INDEX('Question List'!$E:$E, MATCH(AB$1, 'Question List'!$B:$B, FALSE)+2), "")</f>
        <v>0</v>
      </c>
      <c r="AC10" s="96">
        <f>IF(INDEX('Question List'!$E:$E, MATCH(AC$1, 'Question List'!$B:$B, FALSE))&lt;&gt;0, INDEX('Question List'!$E:$E, MATCH(AC$1, 'Question List'!$B:$B, FALSE)+2), "")</f>
        <v>0</v>
      </c>
      <c r="AD10" s="96" t="str">
        <f>IF(INDEX('Question List'!$E:$E, MATCH(AD$1, 'Question List'!$B:$B, FALSE))&lt;&gt;0, INDEX('Question List'!$E:$E, MATCH(AD$1, 'Question List'!$B:$B, FALSE)+2), "")</f>
        <v>Afternoon / evening usage</v>
      </c>
      <c r="AE10" s="96">
        <f>IF(INDEX('Question List'!$E:$E, MATCH(AE$1, 'Question List'!$B:$B, FALSE))&lt;&gt;0, INDEX('Question List'!$E:$E, MATCH(AE$1, 'Question List'!$B:$B, FALSE)+2), "")</f>
        <v>0</v>
      </c>
      <c r="AF10" s="96" t="str">
        <f>IF(INDEX('Question List'!$E:$E, MATCH(AF$1, 'Question List'!$B:$B, FALSE))&lt;&gt;0, INDEX('Question List'!$E:$E, MATCH(AF$1, 'Question List'!$B:$B, FALSE)+2), "")</f>
        <v/>
      </c>
      <c r="AG10" s="96" t="str">
        <f>IF(INDEX('Question List'!$E:$E, MATCH(AG$1, 'Question List'!$B:$B, FALSE))&lt;&gt;0, INDEX('Question List'!$E:$E, MATCH(AG$1, 'Question List'!$B:$B, FALSE)+2), "")</f>
        <v/>
      </c>
      <c r="AH10" s="96" t="str">
        <f>IF(INDEX('Question List'!$E:$E, MATCH(AH$1, 'Question List'!$B:$B, FALSE))&lt;&gt;0, INDEX('Question List'!$E:$E, MATCH(AH$1, 'Question List'!$B:$B, FALSE)+2), "")</f>
        <v/>
      </c>
      <c r="AI10" s="96" t="str">
        <f>IF(INDEX('Question List'!$E:$E, MATCH(AI$1, 'Question List'!$B:$B, FALSE))&lt;&gt;0, INDEX('Question List'!$E:$E, MATCH(AI$1, 'Question List'!$B:$B, FALSE)+2), "")</f>
        <v/>
      </c>
      <c r="AJ10" s="96" t="str">
        <f>IF(INDEX('Question List'!$E:$E, MATCH(AJ$1, 'Question List'!$B:$B, FALSE))&lt;&gt;0, INDEX('Question List'!$E:$E, MATCH(AJ$1, 'Question List'!$B:$B, FALSE)+2), "")</f>
        <v/>
      </c>
      <c r="AK10" s="96" t="str">
        <f>IF(INDEX('Question List'!$E:$E, MATCH(AK$1, 'Question List'!$B:$B, FALSE))&lt;&gt;0, INDEX('Question List'!$E:$E, MATCH(AK$1, 'Question List'!$B:$B, FALSE)+2), "")</f>
        <v/>
      </c>
      <c r="AL10" s="96" t="str">
        <f>IF(INDEX('Question List'!$E:$E, MATCH(AL$1, 'Question List'!$B:$B, FALSE))&lt;&gt;0, INDEX('Question List'!$E:$E, MATCH(AL$1, 'Question List'!$B:$B, FALSE)+2), "")</f>
        <v/>
      </c>
      <c r="AM10" s="96" t="e">
        <f>IF(INDEX('Question List'!$E:$E, MATCH(AM$1, 'Question List'!$B:$B, FALSE))&lt;&gt;0, INDEX('Question List'!$E:$E, MATCH(AM$1, 'Question List'!$B:$B, FALSE)+2), "")</f>
        <v>#N/A</v>
      </c>
      <c r="AN10" s="96" t="e">
        <f>IF(INDEX('Question List'!$E:$E, MATCH(AN$1, 'Question List'!$B:$B, FALSE))&lt;&gt;0, INDEX('Question List'!$E:$E, MATCH(AN$1, 'Question List'!$B:$B, FALSE)+2), "")</f>
        <v>#N/A</v>
      </c>
    </row>
    <row r="11" spans="1:42" x14ac:dyDescent="0.25">
      <c r="A11" t="s">
        <v>206</v>
      </c>
      <c r="B11" s="96" t="str">
        <f>IF(INDEX('Question List'!$E:$E, MATCH(B$1, 'Question List'!$B:$B, FALSE)+3)&lt;&gt;0, INDEX('Question List'!$E:$E, MATCH(B$1, 'Question List'!$B:$B, FALSE)+3), "")</f>
        <v/>
      </c>
      <c r="C11" s="96" t="str">
        <f>IF(INDEX('Question List'!$E:$E, MATCH(C$1, 'Question List'!$B:$B, FALSE)+3)&lt;&gt;0, INDEX('Question List'!$E:$E, MATCH(C$1, 'Question List'!$B:$B, FALSE)+3), "")</f>
        <v/>
      </c>
      <c r="D11" s="96" t="str">
        <f>IF(INDEX('Question List'!$E:$E, MATCH(D$1, 'Question List'!$B:$B, FALSE)+3)&lt;&gt;0, INDEX('Question List'!$E:$E, MATCH(D$1, 'Question List'!$B:$B, FALSE)+3), "")</f>
        <v>The business cannot construct a battery room</v>
      </c>
      <c r="E11" s="96" t="str">
        <f>IF(INDEX('Question List'!$E:$E, MATCH(E$1, 'Question List'!$B:$B, FALSE)+3)&lt;&gt;0, INDEX('Question List'!$E:$E, MATCH(E$1, 'Question List'!$B:$B, FALSE)+3), "")</f>
        <v/>
      </c>
      <c r="F11" s="96" t="str">
        <f>IF(INDEX('Question List'!$E:$E, MATCH(F$1, 'Question List'!$B:$B, FALSE)+3)&lt;&gt;0, INDEX('Question List'!$E:$E, MATCH(F$1, 'Question List'!$B:$B, FALSE)+3), "")</f>
        <v>The business requires off-grid capability. Detailed site analysis is required for requirements to be accurate</v>
      </c>
      <c r="G11" s="96" t="str">
        <f>IF(INDEX('Question List'!$E:$E, MATCH(G$1, 'Question List'!$B:$B, FALSE)+3)&lt;&gt;0, INDEX('Question List'!$E:$E, MATCH(G$1, 'Question List'!$B:$B, FALSE)+3), "")</f>
        <v xml:space="preserve">Yearly energy consumption by MWh is not known. </v>
      </c>
      <c r="H11" s="96" t="str">
        <f>IF(INDEX('Question List'!$E:$E, MATCH(H$1, 'Question List'!$B:$B, FALSE)+3)&lt;&gt;0, INDEX('Question List'!$E:$E, MATCH(H$1, 'Question List'!$B:$B, FALSE)+3), "")</f>
        <v/>
      </c>
      <c r="I11" s="96" t="str">
        <f>IF(INDEX('Question List'!$E:$E, MATCH(I$1, 'Question List'!$B:$B, FALSE)+3)&lt;&gt;0, INDEX('Question List'!$E:$E, MATCH(I$1, 'Question List'!$B:$B, FALSE)+3), "")</f>
        <v/>
      </c>
      <c r="J11" s="96" t="str">
        <f>IF(INDEX('Question List'!$E:$E, MATCH(J$1, 'Question List'!$B:$B, FALSE)+3)&lt;&gt;0, INDEX('Question List'!$E:$E, MATCH(J$1, 'Question List'!$B:$B, FALSE)+3), "")</f>
        <v/>
      </c>
      <c r="K11" s="96" t="str">
        <f>IF(INDEX('Question List'!$E:$E, MATCH(K$1, 'Question List'!$B:$B, FALSE)+3)&lt;&gt;0, INDEX('Question List'!$E:$E, MATCH(K$1, 'Question List'!$B:$B, FALSE)+3), "")</f>
        <v/>
      </c>
      <c r="L11" s="96" t="str">
        <f>IF(INDEX('Question List'!$E:$E, MATCH(L$1, 'Question List'!$B:$B, FALSE)+3)&lt;&gt;0, INDEX('Question List'!$E:$E, MATCH(L$1, 'Question List'!$B:$B, FALSE)+3), "")</f>
        <v/>
      </c>
      <c r="M11" s="96" t="str">
        <f>IF(INDEX('Question List'!$E:$E, MATCH(M$1, 'Question List'!$B:$B, FALSE)+3)&lt;&gt;0, INDEX('Question List'!$E:$E, MATCH(M$1, 'Question List'!$B:$B, FALSE)+3), "")</f>
        <v/>
      </c>
      <c r="N11" s="96" t="str">
        <f>IF(INDEX('Question List'!$E:$E, MATCH(N$1, 'Question List'!$B:$B, FALSE)+3)&lt;&gt;0, INDEX('Question List'!$E:$E, MATCH(N$1, 'Question List'!$B:$B, FALSE)+3), "")</f>
        <v/>
      </c>
      <c r="O11" s="96" t="str">
        <f>IF(INDEX('Question List'!$E:$E, MATCH(O$1, 'Question List'!$B:$B, FALSE)+3)&lt;&gt;0, INDEX('Question List'!$E:$E, MATCH(O$1, 'Question List'!$B:$B, FALSE)+3), "")</f>
        <v/>
      </c>
      <c r="P11" s="96" t="str">
        <f>IF(INDEX('Question List'!$E:$E, MATCH(P$1, 'Question List'!$B:$B, FALSE)+3)&lt;&gt;0, INDEX('Question List'!$E:$E, MATCH(P$1, 'Question List'!$B:$B, FALSE)+3), "")</f>
        <v/>
      </c>
      <c r="Q11" s="96" t="str">
        <f>IF(INDEX('Question List'!$E:$E, MATCH(Q$1, 'Question List'!$B:$B, FALSE)+3)&lt;&gt;0, INDEX('Question List'!$E:$E, MATCH(Q$1, 'Question List'!$B:$B, FALSE)+3), "")</f>
        <v/>
      </c>
      <c r="R11" s="96" t="str">
        <f>IF(INDEX('Question List'!$E:$E, MATCH(R$1, 'Question List'!$B:$B, FALSE)+3)&lt;&gt;0, INDEX('Question List'!$E:$E, MATCH(R$1, 'Question List'!$B:$B, FALSE)+3), "")</f>
        <v/>
      </c>
      <c r="S11" s="96" t="str">
        <f>IF(INDEX('Question List'!$E:$E, MATCH(S$1, 'Question List'!$B:$B, FALSE)+3)&lt;&gt;0, INDEX('Question List'!$E:$E, MATCH(S$1, 'Question List'!$B:$B, FALSE)+3), "")</f>
        <v/>
      </c>
      <c r="T11" s="96" t="str">
        <f>IF(INDEX('Question List'!$E:$E, MATCH(T$1, 'Question List'!$B:$B, FALSE)+3)&lt;&gt;0, INDEX('Question List'!$E:$E, MATCH(T$1, 'Question List'!$B:$B, FALSE)+3), "")</f>
        <v/>
      </c>
      <c r="U11" s="96" t="str">
        <f>IF(INDEX('Question List'!$E:$E, MATCH(U$1, 'Question List'!$B:$B, FALSE)+3)&lt;&gt;0, INDEX('Question List'!$E:$E, MATCH(U$1, 'Question List'!$B:$B, FALSE)+3), "")</f>
        <v/>
      </c>
      <c r="V11" s="96" t="str">
        <f>IF(INDEX('Question List'!$E:$E, MATCH(V$1, 'Question List'!$B:$B, FALSE)+3)&lt;&gt;0, INDEX('Question List'!$E:$E, MATCH(V$1, 'Question List'!$B:$B, FALSE)+3), "")</f>
        <v>Peak usage may occur for more than 3 hours</v>
      </c>
      <c r="W11" s="96" t="str">
        <f>IF(INDEX('Question List'!$E:$E, MATCH(W$1, 'Question List'!$B:$B, FALSE)+3)&lt;&gt;0, INDEX('Question List'!$E:$E, MATCH(W$1, 'Question List'!$B:$B, FALSE)+3), "")</f>
        <v>The location of the business has not been established and an average tariff has been applied</v>
      </c>
      <c r="X11" s="96" t="str">
        <f>IF(INDEX('Question List'!$E:$E, MATCH(X$1, 'Question List'!$B:$B, FALSE)+3)&lt;&gt;0, INDEX('Question List'!$E:$E, MATCH(X$1, 'Question List'!$B:$B, FALSE)+3), "")</f>
        <v/>
      </c>
      <c r="Y11" s="96" t="str">
        <f>IF(INDEX('Question List'!$E:$E, MATCH(Y$1, 'Question List'!$B:$B, FALSE)+3)&lt;&gt;0, INDEX('Question List'!$E:$E, MATCH(Y$1, 'Question List'!$B:$B, FALSE)+3), "")</f>
        <v/>
      </c>
      <c r="Z11" s="96" t="str">
        <f>IF(INDEX('Question List'!$E:$E, MATCH(Z$1, 'Question List'!$B:$B, FALSE)+3)&lt;&gt;0, INDEX('Question List'!$E:$E, MATCH(Z$1, 'Question List'!$B:$B, FALSE)+3), "")</f>
        <v/>
      </c>
      <c r="AA11" s="96" t="str">
        <f>IF(INDEX('Question List'!$E:$E, MATCH(AA$1, 'Question List'!$B:$B, FALSE)+3)&lt;&gt;0, INDEX('Question List'!$E:$E, MATCH(AA$1, 'Question List'!$B:$B, FALSE)+3), "")</f>
        <v/>
      </c>
      <c r="AB11" s="96" t="str">
        <f>IF(INDEX('Question List'!$E:$E, MATCH(AB$1, 'Question List'!$B:$B, FALSE)+3)&lt;&gt;0, INDEX('Question List'!$E:$E, MATCH(AB$1, 'Question List'!$B:$B, FALSE)+3), "")</f>
        <v/>
      </c>
      <c r="AC11" s="96" t="str">
        <f>IF(INDEX('Question List'!$E:$E, MATCH(AC$1, 'Question List'!$B:$B, FALSE)+3)&lt;&gt;0, INDEX('Question List'!$E:$E, MATCH(AC$1, 'Question List'!$B:$B, FALSE)+3), "")</f>
        <v/>
      </c>
      <c r="AD11" s="96" t="str">
        <f>IF(INDEX('Question List'!$E:$E, MATCH(AD$1, 'Question List'!$B:$B, FALSE)+3)&lt;&gt;0, INDEX('Question List'!$E:$E, MATCH(AD$1, 'Question List'!$B:$B, FALSE)+3), "")</f>
        <v>Random usage</v>
      </c>
      <c r="AE11" s="96" t="str">
        <f>IF(INDEX('Question List'!$E:$E, MATCH(AE$1, 'Question List'!$B:$B, FALSE)+3)&lt;&gt;0, INDEX('Question List'!$E:$E, MATCH(AE$1, 'Question List'!$B:$B, FALSE)+3), "")</f>
        <v/>
      </c>
      <c r="AF11" s="96" t="str">
        <f>IF(INDEX('Question List'!$E:$E, MATCH(AF$1, 'Question List'!$B:$B, FALSE)+3)&lt;&gt;0, INDEX('Question List'!$E:$E, MATCH(AF$1, 'Question List'!$B:$B, FALSE)+3), "")</f>
        <v/>
      </c>
      <c r="AG11" s="96" t="str">
        <f>IF(INDEX('Question List'!$E:$E, MATCH(AG$1, 'Question List'!$B:$B, FALSE)+3)&lt;&gt;0, INDEX('Question List'!$E:$E, MATCH(AG$1, 'Question List'!$B:$B, FALSE)+3), "")</f>
        <v/>
      </c>
      <c r="AH11" s="96" t="str">
        <f>IF(INDEX('Question List'!$E:$E, MATCH(AH$1, 'Question List'!$B:$B, FALSE)+3)&lt;&gt;0, INDEX('Question List'!$E:$E, MATCH(AH$1, 'Question List'!$B:$B, FALSE)+3), "")</f>
        <v/>
      </c>
      <c r="AI11" s="96" t="str">
        <f>IF(INDEX('Question List'!$E:$E, MATCH(AI$1, 'Question List'!$B:$B, FALSE)+3)&lt;&gt;0, INDEX('Question List'!$E:$E, MATCH(AI$1, 'Question List'!$B:$B, FALSE)+3), "")</f>
        <v/>
      </c>
      <c r="AJ11" s="96" t="str">
        <f>IF(INDEX('Question List'!$E:$E, MATCH(AJ$1, 'Question List'!$B:$B, FALSE)+3)&lt;&gt;0, INDEX('Question List'!$E:$E, MATCH(AJ$1, 'Question List'!$B:$B, FALSE)+3), "")</f>
        <v/>
      </c>
      <c r="AK11" s="96" t="str">
        <f>IF(INDEX('Question List'!$E:$E, MATCH(AK$1, 'Question List'!$B:$B, FALSE)+3)&lt;&gt;0, INDEX('Question List'!$E:$E, MATCH(AK$1, 'Question List'!$B:$B, FALSE)+3), "")</f>
        <v/>
      </c>
      <c r="AL11" s="96" t="str">
        <f>IF(INDEX('Question List'!$E:$E, MATCH(AL$1, 'Question List'!$B:$B, FALSE)+3)&lt;&gt;0, INDEX('Question List'!$E:$E, MATCH(AL$1, 'Question List'!$B:$B, FALSE)+3), "")</f>
        <v/>
      </c>
      <c r="AM11" s="96" t="e">
        <f>IF(INDEX('Question List'!$E:$E, MATCH(AM$1, 'Question List'!$B:$B, FALSE)+3)&lt;&gt;0, INDEX('Question List'!$E:$E, MATCH(AM$1, 'Question List'!$B:$B, FALSE)+3), "")</f>
        <v>#N/A</v>
      </c>
      <c r="AN11" s="96" t="e">
        <f>IF(INDEX('Question List'!$E:$E, MATCH(AN$1, 'Question List'!$B:$B, FALSE)+3)&lt;&gt;0, INDEX('Question List'!$E:$E, MATCH(AN$1, 'Question List'!$B:$B, FALSE)+3), "")</f>
        <v>#N/A</v>
      </c>
    </row>
  </sheetData>
  <pageMargins left="0.7" right="0.7" top="0.75" bottom="0.75" header="0.3" footer="0.3"/>
  <pageSetup paperSize="9" orientation="portrait" horizontalDpi="4294967293" verticalDpi="429496729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B2:K171"/>
  <sheetViews>
    <sheetView topLeftCell="A70" zoomScale="85" zoomScaleNormal="85" zoomScalePageLayoutView="85" workbookViewId="0">
      <selection activeCell="E79" sqref="E79"/>
    </sheetView>
  </sheetViews>
  <sheetFormatPr defaultColWidth="8.85546875" defaultRowHeight="15" x14ac:dyDescent="0.25"/>
  <cols>
    <col min="1" max="1" width="14.42578125" customWidth="1"/>
    <col min="2" max="2" width="9" customWidth="1"/>
    <col min="3" max="3" width="84.42578125" customWidth="1"/>
    <col min="4" max="4" width="47.42578125" style="16" customWidth="1"/>
    <col min="5" max="5" width="41.85546875" customWidth="1"/>
    <col min="6" max="10" width="14.42578125" customWidth="1"/>
  </cols>
  <sheetData>
    <row r="2" spans="2:11" x14ac:dyDescent="0.25">
      <c r="D2" s="16" t="s">
        <v>434</v>
      </c>
      <c r="E2" t="s">
        <v>195</v>
      </c>
      <c r="F2" t="s">
        <v>433</v>
      </c>
      <c r="G2" t="s">
        <v>433</v>
      </c>
      <c r="H2" t="s">
        <v>433</v>
      </c>
      <c r="I2" t="s">
        <v>433</v>
      </c>
      <c r="K2" t="s">
        <v>6</v>
      </c>
    </row>
    <row r="3" spans="2:11" x14ac:dyDescent="0.25">
      <c r="C3" t="s">
        <v>432</v>
      </c>
      <c r="D3" s="16" t="s">
        <v>431</v>
      </c>
      <c r="K3" t="s">
        <v>64</v>
      </c>
    </row>
    <row r="4" spans="2:11" x14ac:dyDescent="0.25">
      <c r="B4" t="s">
        <v>60</v>
      </c>
      <c r="C4" t="s">
        <v>430</v>
      </c>
      <c r="D4" s="16" t="s">
        <v>57</v>
      </c>
      <c r="E4" t="s">
        <v>429</v>
      </c>
      <c r="F4" t="s">
        <v>292</v>
      </c>
      <c r="K4" t="s">
        <v>428</v>
      </c>
    </row>
    <row r="5" spans="2:11" x14ac:dyDescent="0.25">
      <c r="D5" s="16" t="s">
        <v>421</v>
      </c>
      <c r="E5" t="s">
        <v>425</v>
      </c>
      <c r="F5" t="s">
        <v>259</v>
      </c>
      <c r="K5" t="s">
        <v>427</v>
      </c>
    </row>
    <row r="6" spans="2:11" x14ac:dyDescent="0.25">
      <c r="D6" s="16" t="s">
        <v>426</v>
      </c>
      <c r="E6" t="s">
        <v>425</v>
      </c>
      <c r="F6" t="s">
        <v>292</v>
      </c>
      <c r="K6" t="s">
        <v>253</v>
      </c>
    </row>
    <row r="8" spans="2:11" x14ac:dyDescent="0.25">
      <c r="B8" t="s">
        <v>292</v>
      </c>
      <c r="C8" t="s">
        <v>424</v>
      </c>
      <c r="D8" s="16" t="s">
        <v>57</v>
      </c>
      <c r="E8" t="s">
        <v>423</v>
      </c>
      <c r="F8" t="s">
        <v>291</v>
      </c>
      <c r="K8" t="s">
        <v>422</v>
      </c>
    </row>
    <row r="9" spans="2:11" x14ac:dyDescent="0.25">
      <c r="D9" s="16" t="s">
        <v>421</v>
      </c>
      <c r="E9" t="s">
        <v>420</v>
      </c>
      <c r="K9" t="s">
        <v>253</v>
      </c>
    </row>
    <row r="12" spans="2:11" ht="45" x14ac:dyDescent="0.25">
      <c r="B12" t="s">
        <v>291</v>
      </c>
      <c r="C12" s="20" t="s">
        <v>419</v>
      </c>
      <c r="D12" s="16" t="s">
        <v>57</v>
      </c>
      <c r="E12" t="s">
        <v>418</v>
      </c>
      <c r="F12" t="str">
        <f>B16</f>
        <v>Set 4a1</v>
      </c>
      <c r="G12" t="str">
        <f>B20</f>
        <v>Set 4a2</v>
      </c>
      <c r="H12" t="str">
        <f>B24</f>
        <v>Set 4b</v>
      </c>
      <c r="K12" t="s">
        <v>417</v>
      </c>
    </row>
    <row r="13" spans="2:11" x14ac:dyDescent="0.25">
      <c r="D13" s="16" t="s">
        <v>416</v>
      </c>
      <c r="E13" t="s">
        <v>912</v>
      </c>
      <c r="F13" t="s">
        <v>290</v>
      </c>
      <c r="G13" t="str">
        <f>B20</f>
        <v>Set 4a2</v>
      </c>
      <c r="H13" t="str">
        <f>B24</f>
        <v>Set 4b</v>
      </c>
    </row>
    <row r="14" spans="2:11" x14ac:dyDescent="0.25">
      <c r="D14" s="16" t="s">
        <v>415</v>
      </c>
      <c r="E14" t="s">
        <v>414</v>
      </c>
      <c r="F14" t="s">
        <v>258</v>
      </c>
      <c r="K14" t="s">
        <v>413</v>
      </c>
    </row>
    <row r="15" spans="2:11" x14ac:dyDescent="0.25">
      <c r="D15" s="16" t="s">
        <v>412</v>
      </c>
      <c r="E15" t="s">
        <v>411</v>
      </c>
      <c r="F15" t="s">
        <v>259</v>
      </c>
      <c r="K15" t="s">
        <v>253</v>
      </c>
    </row>
    <row r="16" spans="2:11" x14ac:dyDescent="0.25">
      <c r="B16" t="s">
        <v>290</v>
      </c>
      <c r="C16" t="s">
        <v>410</v>
      </c>
    </row>
    <row r="20" spans="2:11" x14ac:dyDescent="0.25">
      <c r="B20" t="s">
        <v>289</v>
      </c>
      <c r="C20" t="s">
        <v>409</v>
      </c>
      <c r="D20" s="16" t="s">
        <v>53</v>
      </c>
      <c r="E20" t="s">
        <v>408</v>
      </c>
      <c r="F20" t="str">
        <f>B48</f>
        <v>Set 8</v>
      </c>
      <c r="K20" t="s">
        <v>407</v>
      </c>
    </row>
    <row r="21" spans="2:11" x14ac:dyDescent="0.25">
      <c r="D21" s="16" t="s">
        <v>406</v>
      </c>
      <c r="E21" t="s">
        <v>405</v>
      </c>
      <c r="F21" t="str">
        <f>B125</f>
        <v>Set Exit1</v>
      </c>
      <c r="K21" t="s">
        <v>404</v>
      </c>
    </row>
    <row r="22" spans="2:11" x14ac:dyDescent="0.25">
      <c r="D22" s="16" t="s">
        <v>403</v>
      </c>
      <c r="E22" t="s">
        <v>402</v>
      </c>
      <c r="F22" t="str">
        <f>B126</f>
        <v>Set Exit2</v>
      </c>
      <c r="K22" t="s">
        <v>401</v>
      </c>
    </row>
    <row r="23" spans="2:11" x14ac:dyDescent="0.25">
      <c r="D23" s="16" t="s">
        <v>400</v>
      </c>
      <c r="E23" t="s">
        <v>399</v>
      </c>
      <c r="F23" t="str">
        <f>B127</f>
        <v>Set Exit3</v>
      </c>
      <c r="K23" t="s">
        <v>398</v>
      </c>
    </row>
    <row r="24" spans="2:11" x14ac:dyDescent="0.25">
      <c r="B24" t="s">
        <v>288</v>
      </c>
      <c r="C24" t="s">
        <v>397</v>
      </c>
      <c r="D24" s="16" t="s">
        <v>396</v>
      </c>
      <c r="E24" s="25" t="s">
        <v>373</v>
      </c>
      <c r="F24" t="str">
        <f>B48</f>
        <v>Set 8</v>
      </c>
    </row>
    <row r="25" spans="2:11" x14ac:dyDescent="0.25">
      <c r="D25" s="16" t="s">
        <v>51</v>
      </c>
      <c r="E25" t="s">
        <v>371</v>
      </c>
    </row>
    <row r="26" spans="2:11" x14ac:dyDescent="0.25">
      <c r="D26" s="16" t="s">
        <v>395</v>
      </c>
      <c r="E26" t="s">
        <v>369</v>
      </c>
    </row>
    <row r="27" spans="2:11" x14ac:dyDescent="0.25">
      <c r="D27" s="16" t="s">
        <v>394</v>
      </c>
      <c r="E27" s="25" t="s">
        <v>393</v>
      </c>
      <c r="F27" t="s">
        <v>283</v>
      </c>
    </row>
    <row r="28" spans="2:11" x14ac:dyDescent="0.25">
      <c r="B28" t="s">
        <v>287</v>
      </c>
      <c r="C28" t="s">
        <v>392</v>
      </c>
      <c r="D28" s="16" t="s">
        <v>57</v>
      </c>
      <c r="E28" t="s">
        <v>391</v>
      </c>
      <c r="F28" t="str">
        <f>B32</f>
        <v>Set 5</v>
      </c>
      <c r="K28" t="s">
        <v>391</v>
      </c>
    </row>
    <row r="29" spans="2:11" x14ac:dyDescent="0.25">
      <c r="D29" s="16" t="s">
        <v>314</v>
      </c>
      <c r="E29" t="s">
        <v>390</v>
      </c>
      <c r="K29" t="s">
        <v>390</v>
      </c>
    </row>
    <row r="32" spans="2:11" x14ac:dyDescent="0.25">
      <c r="B32" t="s">
        <v>286</v>
      </c>
      <c r="C32" t="s">
        <v>389</v>
      </c>
      <c r="D32" s="16" t="s">
        <v>388</v>
      </c>
      <c r="E32" t="s">
        <v>386</v>
      </c>
      <c r="F32" t="s">
        <v>387</v>
      </c>
      <c r="K32" t="s">
        <v>386</v>
      </c>
    </row>
    <row r="33" spans="2:11" x14ac:dyDescent="0.25">
      <c r="D33" s="16" t="s">
        <v>385</v>
      </c>
      <c r="E33" t="s">
        <v>384</v>
      </c>
      <c r="F33" t="str">
        <f>B36</f>
        <v>Set 6</v>
      </c>
      <c r="K33" t="s">
        <v>384</v>
      </c>
    </row>
    <row r="36" spans="2:11" x14ac:dyDescent="0.25">
      <c r="B36" t="s">
        <v>285</v>
      </c>
      <c r="C36" t="s">
        <v>383</v>
      </c>
      <c r="D36" s="16" t="s">
        <v>379</v>
      </c>
      <c r="E36" t="s">
        <v>382</v>
      </c>
      <c r="K36" t="s">
        <v>382</v>
      </c>
    </row>
    <row r="37" spans="2:11" x14ac:dyDescent="0.25">
      <c r="D37" s="16" t="s">
        <v>377</v>
      </c>
      <c r="E37" t="s">
        <v>381</v>
      </c>
      <c r="F37" t="str">
        <f>B40</f>
        <v>Set 7</v>
      </c>
      <c r="K37" t="s">
        <v>381</v>
      </c>
    </row>
    <row r="40" spans="2:11" x14ac:dyDescent="0.25">
      <c r="B40" t="s">
        <v>284</v>
      </c>
      <c r="C40" t="s">
        <v>380</v>
      </c>
      <c r="D40" s="16" t="s">
        <v>379</v>
      </c>
      <c r="E40" t="s">
        <v>378</v>
      </c>
      <c r="K40" t="s">
        <v>378</v>
      </c>
    </row>
    <row r="41" spans="2:11" x14ac:dyDescent="0.25">
      <c r="D41" s="16" t="s">
        <v>377</v>
      </c>
      <c r="E41" t="s">
        <v>376</v>
      </c>
      <c r="K41" t="s">
        <v>376</v>
      </c>
    </row>
    <row r="44" spans="2:11" x14ac:dyDescent="0.25">
      <c r="B44" t="s">
        <v>283</v>
      </c>
      <c r="C44" t="s">
        <v>375</v>
      </c>
      <c r="D44" s="16" t="s">
        <v>374</v>
      </c>
      <c r="E44" t="s">
        <v>373</v>
      </c>
      <c r="F44" t="str">
        <f>B48</f>
        <v>Set 8</v>
      </c>
      <c r="K44" t="s">
        <v>366</v>
      </c>
    </row>
    <row r="45" spans="2:11" x14ac:dyDescent="0.25">
      <c r="D45" s="16" t="s">
        <v>372</v>
      </c>
      <c r="E45" t="s">
        <v>371</v>
      </c>
      <c r="F45" t="str">
        <f>B48</f>
        <v>Set 8</v>
      </c>
      <c r="K45" t="s">
        <v>363</v>
      </c>
    </row>
    <row r="46" spans="2:11" x14ac:dyDescent="0.25">
      <c r="D46" s="16" t="s">
        <v>370</v>
      </c>
      <c r="E46" t="s">
        <v>369</v>
      </c>
      <c r="F46" t="str">
        <f>B48</f>
        <v>Set 8</v>
      </c>
      <c r="K46" t="s">
        <v>360</v>
      </c>
    </row>
    <row r="48" spans="2:11" x14ac:dyDescent="0.25">
      <c r="B48" t="s">
        <v>282</v>
      </c>
      <c r="C48" t="s">
        <v>368</v>
      </c>
      <c r="D48" s="16" t="s">
        <v>47</v>
      </c>
      <c r="E48" t="s">
        <v>367</v>
      </c>
      <c r="F48" t="str">
        <f>B52</f>
        <v>Set 9</v>
      </c>
      <c r="K48" t="s">
        <v>366</v>
      </c>
    </row>
    <row r="49" spans="2:11" x14ac:dyDescent="0.25">
      <c r="D49" s="16" t="s">
        <v>365</v>
      </c>
      <c r="E49" t="s">
        <v>364</v>
      </c>
      <c r="F49" t="str">
        <f>B64</f>
        <v>Set 12</v>
      </c>
      <c r="K49" t="s">
        <v>363</v>
      </c>
    </row>
    <row r="50" spans="2:11" x14ac:dyDescent="0.25">
      <c r="D50" s="16" t="s">
        <v>362</v>
      </c>
      <c r="E50" t="s">
        <v>361</v>
      </c>
      <c r="F50" t="str">
        <f>B64</f>
        <v>Set 12</v>
      </c>
      <c r="K50" t="s">
        <v>360</v>
      </c>
    </row>
    <row r="52" spans="2:11" x14ac:dyDescent="0.25">
      <c r="B52" t="s">
        <v>281</v>
      </c>
      <c r="C52" t="s">
        <v>359</v>
      </c>
      <c r="D52" s="16" t="s">
        <v>358</v>
      </c>
      <c r="E52" t="s">
        <v>357</v>
      </c>
      <c r="F52" t="str">
        <f>B56</f>
        <v>Set 10</v>
      </c>
      <c r="K52" t="s">
        <v>356</v>
      </c>
    </row>
    <row r="53" spans="2:11" x14ac:dyDescent="0.25">
      <c r="D53" s="16" t="s">
        <v>45</v>
      </c>
      <c r="E53" t="s">
        <v>355</v>
      </c>
      <c r="F53" t="str">
        <f>B60</f>
        <v>Set 11</v>
      </c>
      <c r="K53" t="s">
        <v>354</v>
      </c>
    </row>
    <row r="54" spans="2:11" x14ac:dyDescent="0.25">
      <c r="D54" s="16" t="s">
        <v>353</v>
      </c>
      <c r="E54" t="s">
        <v>352</v>
      </c>
      <c r="F54" t="str">
        <f>B64</f>
        <v>Set 12</v>
      </c>
      <c r="K54" t="s">
        <v>351</v>
      </c>
    </row>
    <row r="56" spans="2:11" x14ac:dyDescent="0.25">
      <c r="B56" t="s">
        <v>280</v>
      </c>
      <c r="C56" t="s">
        <v>350</v>
      </c>
    </row>
    <row r="60" spans="2:11" x14ac:dyDescent="0.25">
      <c r="B60" t="s">
        <v>279</v>
      </c>
      <c r="C60" t="s">
        <v>349</v>
      </c>
    </row>
    <row r="64" spans="2:11" x14ac:dyDescent="0.25">
      <c r="B64" t="s">
        <v>278</v>
      </c>
      <c r="C64" t="s">
        <v>348</v>
      </c>
    </row>
    <row r="68" spans="2:6" x14ac:dyDescent="0.25">
      <c r="B68" t="s">
        <v>277</v>
      </c>
      <c r="C68" t="s">
        <v>347</v>
      </c>
    </row>
    <row r="72" spans="2:6" x14ac:dyDescent="0.25">
      <c r="B72" t="s">
        <v>276</v>
      </c>
      <c r="C72" t="s">
        <v>346</v>
      </c>
      <c r="D72" s="16" t="s">
        <v>25</v>
      </c>
      <c r="E72" t="s">
        <v>345</v>
      </c>
      <c r="F72" t="s">
        <v>275</v>
      </c>
    </row>
    <row r="73" spans="2:6" x14ac:dyDescent="0.25">
      <c r="D73" s="16" t="s">
        <v>344</v>
      </c>
      <c r="E73" t="s">
        <v>343</v>
      </c>
      <c r="F73" t="s">
        <v>257</v>
      </c>
    </row>
    <row r="76" spans="2:6" x14ac:dyDescent="0.25">
      <c r="B76" t="s">
        <v>275</v>
      </c>
      <c r="C76" t="s">
        <v>342</v>
      </c>
      <c r="D76" s="16" t="s">
        <v>950</v>
      </c>
      <c r="E76" t="s">
        <v>950</v>
      </c>
      <c r="F76" t="s">
        <v>271</v>
      </c>
    </row>
    <row r="77" spans="2:6" x14ac:dyDescent="0.25">
      <c r="D77" s="16" t="s">
        <v>23</v>
      </c>
      <c r="E77" t="s">
        <v>23</v>
      </c>
      <c r="F77" t="s">
        <v>274</v>
      </c>
    </row>
    <row r="78" spans="2:6" x14ac:dyDescent="0.25">
      <c r="D78" s="16" t="s">
        <v>341</v>
      </c>
      <c r="E78" t="s">
        <v>341</v>
      </c>
      <c r="F78" t="s">
        <v>274</v>
      </c>
    </row>
    <row r="80" spans="2:6" x14ac:dyDescent="0.25">
      <c r="B80" t="s">
        <v>274</v>
      </c>
      <c r="C80" t="s">
        <v>340</v>
      </c>
      <c r="D80" s="16" t="s">
        <v>951</v>
      </c>
      <c r="E80" t="s">
        <v>951</v>
      </c>
      <c r="F80" t="s">
        <v>271</v>
      </c>
    </row>
    <row r="81" spans="2:6" x14ac:dyDescent="0.25">
      <c r="D81" s="16" t="s">
        <v>955</v>
      </c>
      <c r="E81" t="s">
        <v>955</v>
      </c>
      <c r="F81" t="s">
        <v>273</v>
      </c>
    </row>
    <row r="82" spans="2:6" x14ac:dyDescent="0.25">
      <c r="D82" s="16" t="s">
        <v>952</v>
      </c>
      <c r="E82" t="s">
        <v>952</v>
      </c>
      <c r="F82" t="s">
        <v>273</v>
      </c>
    </row>
    <row r="84" spans="2:6" x14ac:dyDescent="0.25">
      <c r="B84" t="s">
        <v>273</v>
      </c>
      <c r="C84" t="s">
        <v>339</v>
      </c>
      <c r="D84" s="16" t="s">
        <v>338</v>
      </c>
      <c r="E84" s="16" t="s">
        <v>337</v>
      </c>
      <c r="F84" t="s">
        <v>270</v>
      </c>
    </row>
    <row r="85" spans="2:6" x14ac:dyDescent="0.25">
      <c r="D85" s="16" t="s">
        <v>336</v>
      </c>
      <c r="E85" s="16" t="s">
        <v>335</v>
      </c>
      <c r="F85" t="s">
        <v>270</v>
      </c>
    </row>
    <row r="86" spans="2:6" x14ac:dyDescent="0.25">
      <c r="D86" s="16" t="s">
        <v>20</v>
      </c>
      <c r="E86" s="16" t="s">
        <v>334</v>
      </c>
      <c r="F86" t="s">
        <v>270</v>
      </c>
    </row>
    <row r="87" spans="2:6" x14ac:dyDescent="0.25">
      <c r="D87" s="16" t="s">
        <v>333</v>
      </c>
      <c r="E87" s="16" t="s">
        <v>332</v>
      </c>
      <c r="F87" t="s">
        <v>269</v>
      </c>
    </row>
    <row r="88" spans="2:6" x14ac:dyDescent="0.25">
      <c r="B88" t="s">
        <v>272</v>
      </c>
      <c r="C88" t="s">
        <v>331</v>
      </c>
      <c r="D88" s="16" t="s">
        <v>330</v>
      </c>
      <c r="E88" s="16" t="s">
        <v>329</v>
      </c>
    </row>
    <row r="89" spans="2:6" x14ac:dyDescent="0.25">
      <c r="D89" s="16" t="s">
        <v>18</v>
      </c>
      <c r="E89" s="16" t="s">
        <v>328</v>
      </c>
    </row>
    <row r="90" spans="2:6" x14ac:dyDescent="0.25">
      <c r="D90" s="16" t="s">
        <v>327</v>
      </c>
      <c r="E90" s="16" t="s">
        <v>326</v>
      </c>
    </row>
    <row r="91" spans="2:6" x14ac:dyDescent="0.25">
      <c r="D91" s="16" t="s">
        <v>325</v>
      </c>
      <c r="E91" s="16" t="s">
        <v>324</v>
      </c>
    </row>
    <row r="92" spans="2:6" x14ac:dyDescent="0.25">
      <c r="B92" t="s">
        <v>271</v>
      </c>
      <c r="C92" t="s">
        <v>323</v>
      </c>
    </row>
    <row r="96" spans="2:6" x14ac:dyDescent="0.25">
      <c r="B96" t="s">
        <v>270</v>
      </c>
      <c r="C96" t="s">
        <v>322</v>
      </c>
    </row>
    <row r="100" spans="2:11" x14ac:dyDescent="0.25">
      <c r="B100" t="s">
        <v>269</v>
      </c>
      <c r="C100" t="s">
        <v>321</v>
      </c>
    </row>
    <row r="104" spans="2:11" x14ac:dyDescent="0.25">
      <c r="B104" t="s">
        <v>268</v>
      </c>
      <c r="C104" t="s">
        <v>320</v>
      </c>
      <c r="D104" s="16" t="s">
        <v>57</v>
      </c>
      <c r="E104" t="s">
        <v>318</v>
      </c>
      <c r="F104" t="str">
        <f>B112</f>
        <v>Set 21</v>
      </c>
      <c r="K104" t="s">
        <v>318</v>
      </c>
    </row>
    <row r="105" spans="2:11" x14ac:dyDescent="0.25">
      <c r="D105" s="16" t="s">
        <v>314</v>
      </c>
      <c r="E105" t="s">
        <v>313</v>
      </c>
      <c r="K105" t="s">
        <v>313</v>
      </c>
    </row>
    <row r="108" spans="2:11" x14ac:dyDescent="0.25">
      <c r="B108" t="s">
        <v>267</v>
      </c>
      <c r="C108" t="s">
        <v>319</v>
      </c>
      <c r="D108" s="16" t="s">
        <v>57</v>
      </c>
      <c r="E108" t="s">
        <v>318</v>
      </c>
      <c r="F108" t="str">
        <f>B112</f>
        <v>Set 21</v>
      </c>
      <c r="K108" t="s">
        <v>318</v>
      </c>
    </row>
    <row r="109" spans="2:11" x14ac:dyDescent="0.25">
      <c r="D109" s="16" t="s">
        <v>314</v>
      </c>
      <c r="E109" t="s">
        <v>313</v>
      </c>
      <c r="K109" t="s">
        <v>313</v>
      </c>
    </row>
    <row r="112" spans="2:11" ht="14.1" customHeight="1" x14ac:dyDescent="0.25">
      <c r="B112" t="s">
        <v>266</v>
      </c>
      <c r="C112" t="s">
        <v>317</v>
      </c>
      <c r="D112" s="16" t="s">
        <v>57</v>
      </c>
      <c r="E112" t="s">
        <v>315</v>
      </c>
      <c r="F112" t="s">
        <v>316</v>
      </c>
      <c r="K112" t="s">
        <v>315</v>
      </c>
    </row>
    <row r="113" spans="2:11" x14ac:dyDescent="0.25">
      <c r="D113" s="16" t="s">
        <v>314</v>
      </c>
      <c r="E113" t="s">
        <v>313</v>
      </c>
      <c r="K113" t="s">
        <v>313</v>
      </c>
    </row>
    <row r="116" spans="2:11" x14ac:dyDescent="0.25">
      <c r="B116" t="s">
        <v>265</v>
      </c>
      <c r="C116" t="s">
        <v>312</v>
      </c>
      <c r="D116" s="16" t="s">
        <v>311</v>
      </c>
      <c r="E116" t="s">
        <v>302</v>
      </c>
      <c r="K116" t="s">
        <v>302</v>
      </c>
    </row>
    <row r="117" spans="2:11" x14ac:dyDescent="0.25">
      <c r="D117" s="16" t="s">
        <v>310</v>
      </c>
      <c r="E117" t="s">
        <v>300</v>
      </c>
      <c r="K117" t="s">
        <v>300</v>
      </c>
    </row>
    <row r="118" spans="2:11" x14ac:dyDescent="0.25">
      <c r="D118" s="16" t="s">
        <v>309</v>
      </c>
      <c r="E118" t="s">
        <v>298</v>
      </c>
      <c r="K118" t="s">
        <v>298</v>
      </c>
    </row>
    <row r="119" spans="2:11" x14ac:dyDescent="0.25">
      <c r="D119" s="16" t="s">
        <v>308</v>
      </c>
      <c r="E119" t="s">
        <v>296</v>
      </c>
      <c r="K119" t="s">
        <v>296</v>
      </c>
    </row>
    <row r="120" spans="2:11" x14ac:dyDescent="0.25">
      <c r="B120" t="s">
        <v>264</v>
      </c>
      <c r="C120" t="s">
        <v>307</v>
      </c>
      <c r="D120" s="16" t="s">
        <v>306</v>
      </c>
      <c r="E120" t="s">
        <v>305</v>
      </c>
      <c r="K120" t="s">
        <v>305</v>
      </c>
    </row>
    <row r="121" spans="2:11" x14ac:dyDescent="0.25">
      <c r="C121" t="s">
        <v>304</v>
      </c>
    </row>
    <row r="122" spans="2:11" x14ac:dyDescent="0.25">
      <c r="C122" t="s">
        <v>304</v>
      </c>
    </row>
    <row r="123" spans="2:11" x14ac:dyDescent="0.25">
      <c r="C123" t="s">
        <v>304</v>
      </c>
    </row>
    <row r="124" spans="2:11" x14ac:dyDescent="0.25">
      <c r="C124" t="s">
        <v>304</v>
      </c>
    </row>
    <row r="125" spans="2:11" x14ac:dyDescent="0.25">
      <c r="B125" t="s">
        <v>263</v>
      </c>
      <c r="C125" t="s">
        <v>303</v>
      </c>
      <c r="K125" t="s">
        <v>302</v>
      </c>
    </row>
    <row r="126" spans="2:11" x14ac:dyDescent="0.25">
      <c r="B126" t="s">
        <v>262</v>
      </c>
      <c r="C126" t="s">
        <v>301</v>
      </c>
      <c r="K126" t="s">
        <v>300</v>
      </c>
    </row>
    <row r="127" spans="2:11" x14ac:dyDescent="0.25">
      <c r="B127" t="s">
        <v>261</v>
      </c>
      <c r="C127" t="s">
        <v>299</v>
      </c>
      <c r="K127" t="s">
        <v>298</v>
      </c>
    </row>
    <row r="128" spans="2:11" x14ac:dyDescent="0.25">
      <c r="B128" t="s">
        <v>260</v>
      </c>
      <c r="C128" t="s">
        <v>297</v>
      </c>
      <c r="K128" t="s">
        <v>296</v>
      </c>
    </row>
    <row r="129" spans="2:3" x14ac:dyDescent="0.25">
      <c r="B129" t="s">
        <v>259</v>
      </c>
      <c r="C129" t="s">
        <v>295</v>
      </c>
    </row>
    <row r="130" spans="2:3" x14ac:dyDescent="0.25">
      <c r="B130" t="s">
        <v>258</v>
      </c>
      <c r="C130" t="s">
        <v>294</v>
      </c>
    </row>
    <row r="131" spans="2:3" x14ac:dyDescent="0.25">
      <c r="B131" t="s">
        <v>257</v>
      </c>
      <c r="C131" t="s">
        <v>293</v>
      </c>
    </row>
    <row r="135" spans="2:3" x14ac:dyDescent="0.25">
      <c r="B135" t="s">
        <v>60</v>
      </c>
    </row>
    <row r="136" spans="2:3" x14ac:dyDescent="0.25">
      <c r="B136" t="s">
        <v>292</v>
      </c>
    </row>
    <row r="137" spans="2:3" x14ac:dyDescent="0.25">
      <c r="B137" t="s">
        <v>291</v>
      </c>
    </row>
    <row r="138" spans="2:3" x14ac:dyDescent="0.25">
      <c r="B138" t="s">
        <v>290</v>
      </c>
    </row>
    <row r="139" spans="2:3" x14ac:dyDescent="0.25">
      <c r="B139" t="s">
        <v>289</v>
      </c>
    </row>
    <row r="140" spans="2:3" x14ac:dyDescent="0.25">
      <c r="B140" t="s">
        <v>288</v>
      </c>
    </row>
    <row r="141" spans="2:3" x14ac:dyDescent="0.25">
      <c r="B141" t="s">
        <v>287</v>
      </c>
    </row>
    <row r="142" spans="2:3" x14ac:dyDescent="0.25">
      <c r="B142" t="s">
        <v>286</v>
      </c>
    </row>
    <row r="143" spans="2:3" x14ac:dyDescent="0.25">
      <c r="B143" t="s">
        <v>285</v>
      </c>
    </row>
    <row r="144" spans="2:3" x14ac:dyDescent="0.25">
      <c r="B144" t="s">
        <v>284</v>
      </c>
    </row>
    <row r="145" spans="2:2" x14ac:dyDescent="0.25">
      <c r="B145" t="s">
        <v>283</v>
      </c>
    </row>
    <row r="146" spans="2:2" x14ac:dyDescent="0.25">
      <c r="B146" t="s">
        <v>282</v>
      </c>
    </row>
    <row r="147" spans="2:2" x14ac:dyDescent="0.25">
      <c r="B147" t="s">
        <v>281</v>
      </c>
    </row>
    <row r="148" spans="2:2" x14ac:dyDescent="0.25">
      <c r="B148" t="s">
        <v>280</v>
      </c>
    </row>
    <row r="149" spans="2:2" x14ac:dyDescent="0.25">
      <c r="B149" t="s">
        <v>279</v>
      </c>
    </row>
    <row r="150" spans="2:2" x14ac:dyDescent="0.25">
      <c r="B150" t="s">
        <v>278</v>
      </c>
    </row>
    <row r="151" spans="2:2" x14ac:dyDescent="0.25">
      <c r="B151" t="s">
        <v>277</v>
      </c>
    </row>
    <row r="152" spans="2:2" x14ac:dyDescent="0.25">
      <c r="B152" t="s">
        <v>276</v>
      </c>
    </row>
    <row r="153" spans="2:2" x14ac:dyDescent="0.25">
      <c r="B153" t="s">
        <v>275</v>
      </c>
    </row>
    <row r="154" spans="2:2" x14ac:dyDescent="0.25">
      <c r="B154" t="s">
        <v>274</v>
      </c>
    </row>
    <row r="155" spans="2:2" x14ac:dyDescent="0.25">
      <c r="B155" t="s">
        <v>273</v>
      </c>
    </row>
    <row r="156" spans="2:2" x14ac:dyDescent="0.25">
      <c r="B156" t="s">
        <v>272</v>
      </c>
    </row>
    <row r="157" spans="2:2" x14ac:dyDescent="0.25">
      <c r="B157" t="s">
        <v>271</v>
      </c>
    </row>
    <row r="158" spans="2:2" x14ac:dyDescent="0.25">
      <c r="B158" t="s">
        <v>270</v>
      </c>
    </row>
    <row r="159" spans="2:2" x14ac:dyDescent="0.25">
      <c r="B159" t="s">
        <v>269</v>
      </c>
    </row>
    <row r="160" spans="2:2" x14ac:dyDescent="0.25">
      <c r="B160" t="s">
        <v>268</v>
      </c>
    </row>
    <row r="161" spans="2:2" x14ac:dyDescent="0.25">
      <c r="B161" t="s">
        <v>267</v>
      </c>
    </row>
    <row r="162" spans="2:2" x14ac:dyDescent="0.25">
      <c r="B162" t="s">
        <v>266</v>
      </c>
    </row>
    <row r="163" spans="2:2" x14ac:dyDescent="0.25">
      <c r="B163" t="s">
        <v>265</v>
      </c>
    </row>
    <row r="164" spans="2:2" x14ac:dyDescent="0.25">
      <c r="B164" t="s">
        <v>264</v>
      </c>
    </row>
    <row r="165" spans="2:2" x14ac:dyDescent="0.25">
      <c r="B165" t="s">
        <v>263</v>
      </c>
    </row>
    <row r="166" spans="2:2" x14ac:dyDescent="0.25">
      <c r="B166" t="s">
        <v>262</v>
      </c>
    </row>
    <row r="167" spans="2:2" x14ac:dyDescent="0.25">
      <c r="B167" t="s">
        <v>261</v>
      </c>
    </row>
    <row r="168" spans="2:2" x14ac:dyDescent="0.25">
      <c r="B168" t="s">
        <v>260</v>
      </c>
    </row>
    <row r="169" spans="2:2" x14ac:dyDescent="0.25">
      <c r="B169" t="s">
        <v>259</v>
      </c>
    </row>
    <row r="170" spans="2:2" x14ac:dyDescent="0.25">
      <c r="B170" t="s">
        <v>258</v>
      </c>
    </row>
    <row r="171" spans="2:2" x14ac:dyDescent="0.25">
      <c r="B171" t="s">
        <v>257</v>
      </c>
    </row>
  </sheetData>
  <pageMargins left="0.7" right="0.7" top="0.75" bottom="0.75" header="0.3" footer="0.3"/>
  <pageSetup paperSize="9" orientation="portrait" horizontalDpi="4294967293" verticalDpi="429496729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B2:F27"/>
  <sheetViews>
    <sheetView workbookViewId="0">
      <selection activeCell="F11" sqref="F11"/>
    </sheetView>
  </sheetViews>
  <sheetFormatPr defaultRowHeight="15" x14ac:dyDescent="0.25"/>
  <cols>
    <col min="2" max="2" width="13.42578125" customWidth="1"/>
    <col min="3" max="3" width="113.140625" customWidth="1"/>
    <col min="6" max="6" width="80.42578125" customWidth="1"/>
  </cols>
  <sheetData>
    <row r="2" spans="2:6" x14ac:dyDescent="0.25">
      <c r="B2" s="25" t="s">
        <v>114</v>
      </c>
      <c r="C2" s="52" t="s">
        <v>890</v>
      </c>
    </row>
    <row r="3" spans="2:6" x14ac:dyDescent="0.25">
      <c r="B3" s="25" t="s">
        <v>60</v>
      </c>
      <c r="C3" s="25" t="str">
        <f>$C$2&amp; "  "&amp;INDEX('Output All'!$F$2:$F$164, MATCH(B3, 'Output All'!$A$2:$A$164, 0)) &amp;  INDEX('Output All'!$F$2:$F$164, 1+ MATCH(B3, 'Output All'!$A$2:$A$164, 0)) &amp; INDEX('Output All'!$F$2:$F$164, 2+ MATCH(B3, 'Output All'!$A$2:$A$164, 0)) &amp; INDEX('Output All'!$F$2:$F$164, 3+ MATCH(B3, 'Output All'!$A$2:$A$164, 0))</f>
        <v xml:space="preserve"> -  </v>
      </c>
    </row>
    <row r="4" spans="2:6" x14ac:dyDescent="0.25">
      <c r="B4" s="25" t="s">
        <v>292</v>
      </c>
      <c r="C4" s="25" t="str">
        <f>IF(ISNA($C$2&amp;"  "&amp;INDEX('Output All'!$F$2:$F$164,MATCH(B4,'Output All'!$A$2:$A$164,0))&amp;INDEX('Output All'!$F$2:$F$164,1+MATCH(B4,'Output All'!$A$2:$A$164,0))&amp;INDEX('Output All'!$F$2:$F$164,2+MATCH(B4,'Output All'!$A$2:$A$164,0))&amp;INDEX('Output All'!$F$2:$F$164,3+MATCH(B4,'Output All'!$A$2:$A$164,0))),"",$C$2&amp;"  "&amp;INDEX('Output All'!$F$2:$F$164,MATCH(B4,'Output All'!$A$2:$A$164,0))&amp;INDEX('Output All'!$F$2:$F$164,1+MATCH(B4,'Output All'!$A$2:$A$164,0))&amp;INDEX('Output All'!$F$2:$F$164,2+MATCH(B4,'Output All'!$A$2:$A$164,0))&amp;INDEX('Output All'!$F$2:$F$164,3+MATCH(B4,'Output All'!$A$2:$A$164,0)))</f>
        <v/>
      </c>
    </row>
    <row r="5" spans="2:6" x14ac:dyDescent="0.25">
      <c r="B5" s="25" t="s">
        <v>291</v>
      </c>
      <c r="C5" s="25" t="str">
        <f>IF(ISNA($C$2&amp;"  "&amp;INDEX('Output All'!$F$2:$F$164,MATCH(B5,'Output All'!$A$2:$A$164,0))&amp;INDEX('Output All'!$F$2:$F$164,1+MATCH(B5,'Output All'!$A$2:$A$164,0))&amp;INDEX('Output All'!$F$2:$F$164,2+MATCH(B5,'Output All'!$A$2:$A$164,0))&amp;INDEX('Output All'!$F$2:$F$164,3+MATCH(B5,'Output All'!$A$2:$A$164,0))),"",$C$2&amp;"  "&amp;INDEX('Output All'!$F$2:$F$164,MATCH(B5,'Output All'!$A$2:$A$164,0))&amp;INDEX('Output All'!$F$2:$F$164,1+MATCH(B5,'Output All'!$A$2:$A$164,0))&amp;INDEX('Output All'!$F$2:$F$164,2+MATCH(B5,'Output All'!$A$2:$A$164,0))&amp;INDEX('Output All'!$F$2:$F$164,3+MATCH(B5,'Output All'!$A$2:$A$164,0)))</f>
        <v/>
      </c>
    </row>
    <row r="6" spans="2:6" x14ac:dyDescent="0.25">
      <c r="B6" s="25" t="s">
        <v>289</v>
      </c>
      <c r="C6" s="25" t="str">
        <f>IF(ISNA($C$2&amp;"  "&amp;INDEX('Output All'!$F$2:$F$164,MATCH(B6,'Output All'!$A$2:$A$164,0))&amp;INDEX('Output All'!$F$2:$F$164,1+MATCH(B6,'Output All'!$A$2:$A$164,0))&amp;INDEX('Output All'!$F$2:$F$164,2+MATCH(B6,'Output All'!$A$2:$A$164,0))&amp;INDEX('Output All'!$F$2:$F$164,3+MATCH(B6,'Output All'!$A$2:$A$164,0))),"",$C$2&amp;"  "&amp;INDEX('Output All'!$F$2:$F$164,MATCH(B6,'Output All'!$A$2:$A$164,0))&amp;INDEX('Output All'!$F$2:$F$164,1+MATCH(B6,'Output All'!$A$2:$A$164,0))&amp;INDEX('Output All'!$F$2:$F$164,2+MATCH(B6,'Output All'!$A$2:$A$164,0))&amp;INDEX('Output All'!$F$2:$F$164,3+MATCH(B6,'Output All'!$A$2:$A$164,0)))</f>
        <v/>
      </c>
    </row>
    <row r="7" spans="2:6" x14ac:dyDescent="0.25">
      <c r="B7" s="25" t="s">
        <v>288</v>
      </c>
      <c r="C7" s="25" t="str">
        <f>IF(ISNA($C$2&amp;"  "&amp;INDEX('Output All'!$F$2:$F$164,MATCH(B7,'Output All'!$A$2:$A$164,0))&amp;INDEX('Output All'!$F$2:$F$164,1+MATCH(B7,'Output All'!$A$2:$A$164,0))&amp;INDEX('Output All'!$F$2:$F$164,2+MATCH(B7,'Output All'!$A$2:$A$164,0))&amp;INDEX('Output All'!$F$2:$F$164,3+MATCH(B7,'Output All'!$A$2:$A$164,0))),"",$C$2&amp;"  "&amp;INDEX('Output All'!$F$2:$F$164,MATCH(B7,'Output All'!$A$2:$A$164,0))&amp;INDEX('Output All'!$F$2:$F$164,1+MATCH(B7,'Output All'!$A$2:$A$164,0))&amp;INDEX('Output All'!$F$2:$F$164,2+MATCH(B7,'Output All'!$A$2:$A$164,0))&amp;INDEX('Output All'!$F$2:$F$164,3+MATCH(B7,'Output All'!$A$2:$A$164,0)))</f>
        <v/>
      </c>
    </row>
    <row r="8" spans="2:6" x14ac:dyDescent="0.25">
      <c r="B8" s="25" t="s">
        <v>282</v>
      </c>
      <c r="C8" s="25" t="str">
        <f>IF(ISNA($C$2&amp;"  "&amp;INDEX('Output All'!$F$2:$F$164,MATCH(B8,'Output All'!$A$2:$A$164,0))&amp;INDEX('Output All'!$F$2:$F$164,1+MATCH(B8,'Output All'!$A$2:$A$164,0))&amp;INDEX('Output All'!$F$2:$F$164,2+MATCH(B8,'Output All'!$A$2:$A$164,0))&amp;INDEX('Output All'!$F$2:$F$164,3+MATCH(B8,'Output All'!$A$2:$A$164,0))),"",$C$2&amp;"  "&amp;INDEX('Output All'!$F$2:$F$164,MATCH(B8,'Output All'!$A$2:$A$164,0))&amp;INDEX('Output All'!$F$2:$F$164,1+MATCH(B8,'Output All'!$A$2:$A$164,0))&amp;INDEX('Output All'!$F$2:$F$164,2+MATCH(B8,'Output All'!$A$2:$A$164,0))&amp;INDEX('Output All'!$F$2:$F$164,3+MATCH(B8,'Output All'!$A$2:$A$164,0)))</f>
        <v/>
      </c>
    </row>
    <row r="9" spans="2:6" x14ac:dyDescent="0.25">
      <c r="B9" s="25" t="s">
        <v>281</v>
      </c>
      <c r="C9" s="25" t="str">
        <f>IF(ISNA($C$2&amp;"  "&amp;INDEX('Output All'!$F$2:$F$164,MATCH(B9,'Output All'!$A$2:$A$164,0))&amp;INDEX('Output All'!$F$2:$F$164,1+MATCH(B9,'Output All'!$A$2:$A$164,0))&amp;INDEX('Output All'!$F$2:$F$164,2+MATCH(B9,'Output All'!$A$2:$A$164,0))&amp;INDEX('Output All'!$F$2:$F$164,3+MATCH(B9,'Output All'!$A$2:$A$164,0))),"",$C$2&amp;"  "&amp;INDEX('Output All'!$F$2:$F$164,MATCH(B9,'Output All'!$A$2:$A$164,0))&amp;INDEX('Output All'!$F$2:$F$164,1+MATCH(B9,'Output All'!$A$2:$A$164,0))&amp;INDEX('Output All'!$F$2:$F$164,2+MATCH(B9,'Output All'!$A$2:$A$164,0))&amp;INDEX('Output All'!$F$2:$F$164,3+MATCH(B9,'Output All'!$A$2:$A$164,0)))</f>
        <v/>
      </c>
    </row>
    <row r="10" spans="2:6" x14ac:dyDescent="0.25">
      <c r="E10" s="25" t="s">
        <v>276</v>
      </c>
      <c r="F10" s="25" t="str">
        <f>IF(ISNA($C$2&amp; "  "&amp;INDEX('Output All'!$F$2:$F$164, MATCH(E10, 'Output All'!$A$2:$A$164, 0)) &amp;  INDEX('Output All'!$F$2:$F$164, 1+ MATCH(E10, 'Output All'!$A$2:$A$164, 0)) &amp; INDEX('Output All'!$F$2:$F$164, 2+ MATCH(E10, 'Output All'!$A$2:$A$164, 0)) &amp; INDEX('Output All'!$F$2:$F$164, 3+ MATCH(E10, 'Output All'!$A$2:$A$164, 0))), "", $C$2&amp; "  "&amp;INDEX('Output All'!$F$2:$F$164, MATCH(E10, 'Output All'!$A$2:$A$164, 0)) &amp;  INDEX('Output All'!$F$2:$F$164, 1+ MATCH(E10, 'Output All'!$A$2:$A$164, 0)) &amp; INDEX('Output All'!$F$2:$F$164, 2+ MATCH(E10, 'Output All'!$A$2:$A$164, 0)) &amp; INDEX('Output All'!$F$2:$F$164, 3+ MATCH(E10, 'Output All'!$A$2:$A$164, 0)))</f>
        <v/>
      </c>
    </row>
    <row r="11" spans="2:6" x14ac:dyDescent="0.25">
      <c r="E11" s="25" t="s">
        <v>275</v>
      </c>
      <c r="F11" s="25" t="str">
        <f>IF(ISNA($C$2&amp; "  "&amp;INDEX('Output All'!$F$2:$F$164, MATCH(E11, 'Output All'!$A$2:$A$164, 0)) &amp;  INDEX('Output All'!$F$2:$F$164, 1+ MATCH(E11, 'Output All'!$A$2:$A$164, 0)) &amp; INDEX('Output All'!$F$2:$F$164, 2+ MATCH(E11, 'Output All'!$A$2:$A$164, 0)) &amp; INDEX('Output All'!$F$2:$F$164, 3+ MATCH(E11, 'Output All'!$A$2:$A$164, 0))), "", $C$2&amp; "  "&amp;INDEX('Output All'!$F$2:$F$164, MATCH(E11, 'Output All'!$A$2:$A$164, 0)) &amp;  INDEX('Output All'!$F$2:$F$164, 1+ MATCH(E11, 'Output All'!$A$2:$A$164, 0)) &amp; INDEX('Output All'!$F$2:$F$164, 2+ MATCH(E11, 'Output All'!$A$2:$A$164, 0)) &amp; INDEX('Output All'!$F$2:$F$164, 3+ MATCH(E11, 'Output All'!$A$2:$A$164, 0)))</f>
        <v/>
      </c>
    </row>
    <row r="12" spans="2:6" x14ac:dyDescent="0.25">
      <c r="E12" s="25" t="s">
        <v>274</v>
      </c>
      <c r="F12" s="25" t="str">
        <f>IF(ISNA($C$2&amp; "  "&amp;INDEX('Output All'!$F$2:$F$164, MATCH(E12, 'Output All'!$A$2:$A$164, 0)) &amp;  INDEX('Output All'!$F$2:$F$164, 1+ MATCH(E12, 'Output All'!$A$2:$A$164, 0)) &amp; INDEX('Output All'!$F$2:$F$164, 2+ MATCH(E12, 'Output All'!$A$2:$A$164, 0)) &amp; INDEX('Output All'!$F$2:$F$164, 3+ MATCH(E12, 'Output All'!$A$2:$A$164, 0))), "", $C$2&amp; "  "&amp;INDEX('Output All'!$F$2:$F$164, MATCH(E12, 'Output All'!$A$2:$A$164, 0)) &amp;  INDEX('Output All'!$F$2:$F$164, 1+ MATCH(E12, 'Output All'!$A$2:$A$164, 0)) &amp; INDEX('Output All'!$F$2:$F$164, 2+ MATCH(E12, 'Output All'!$A$2:$A$164, 0)) &amp; INDEX('Output All'!$F$2:$F$164, 3+ MATCH(E12, 'Output All'!$A$2:$A$164, 0)))</f>
        <v/>
      </c>
    </row>
    <row r="13" spans="2:6" x14ac:dyDescent="0.25">
      <c r="E13" s="25" t="s">
        <v>273</v>
      </c>
      <c r="F13" s="25" t="str">
        <f>IF(ISNA($C$2&amp; "  "&amp;INDEX('Output All'!$F$2:$F$164, MATCH(E13, 'Output All'!$A$2:$A$164, 0)) &amp;  INDEX('Output All'!$F$2:$F$164, 1+ MATCH(E13, 'Output All'!$A$2:$A$164, 0)) &amp; INDEX('Output All'!$F$2:$F$164, 2+ MATCH(E13, 'Output All'!$A$2:$A$164, 0)) &amp; INDEX('Output All'!$F$2:$F$164, 3+ MATCH(E13, 'Output All'!$A$2:$A$164, 0))), "", $C$2&amp; "  "&amp;INDEX('Output All'!$F$2:$F$164, MATCH(E13, 'Output All'!$A$2:$A$164, 0)) &amp;  INDEX('Output All'!$F$2:$F$164, 1+ MATCH(E13, 'Output All'!$A$2:$A$164, 0)) &amp; INDEX('Output All'!$F$2:$F$164, 2+ MATCH(E13, 'Output All'!$A$2:$A$164, 0)) &amp; INDEX('Output All'!$F$2:$F$164, 3+ MATCH(E13, 'Output All'!$A$2:$A$164, 0)))</f>
        <v/>
      </c>
    </row>
    <row r="14" spans="2:6" x14ac:dyDescent="0.25">
      <c r="E14" s="25" t="s">
        <v>272</v>
      </c>
      <c r="F14" s="25" t="str">
        <f>IF(ISNA($C$2&amp; "  "&amp;INDEX('Output All'!$F$2:$F$164, MATCH(E14, 'Output All'!$A$2:$A$164, 0)) &amp;  INDEX('Output All'!$F$2:$F$164, 1+ MATCH(E14, 'Output All'!$A$2:$A$164, 0)) &amp; INDEX('Output All'!$F$2:$F$164, 2+ MATCH(E14, 'Output All'!$A$2:$A$164, 0)) &amp; INDEX('Output All'!$F$2:$F$164, 3+ MATCH(E14, 'Output All'!$A$2:$A$164, 0))), "", $C$2&amp; "  "&amp;INDEX('Output All'!$F$2:$F$164, MATCH(E14, 'Output All'!$A$2:$A$164, 0)) &amp;  INDEX('Output All'!$F$2:$F$164, 1+ MATCH(E14, 'Output All'!$A$2:$A$164, 0)) &amp; INDEX('Output All'!$F$2:$F$164, 2+ MATCH(E14, 'Output All'!$A$2:$A$164, 0)) &amp; INDEX('Output All'!$F$2:$F$164, 3+ MATCH(E14, 'Output All'!$A$2:$A$164, 0)))</f>
        <v/>
      </c>
    </row>
    <row r="15" spans="2:6" ht="30" x14ac:dyDescent="0.25">
      <c r="B15" s="51" t="s">
        <v>111</v>
      </c>
      <c r="C15" s="50" t="str">
        <f>CHAR(10)</f>
        <v xml:space="preserve">
</v>
      </c>
    </row>
    <row r="16" spans="2:6" ht="15.6" customHeight="1" x14ac:dyDescent="0.25">
      <c r="B16" s="25"/>
      <c r="C16" s="50" t="str">
        <f>C3</f>
        <v xml:space="preserve"> -  </v>
      </c>
    </row>
    <row r="17" spans="2:6" ht="15.6" customHeight="1" x14ac:dyDescent="0.25">
      <c r="B17" s="25"/>
      <c r="C17" s="50" t="str">
        <f>C16&amp;$C$15&amp;C4</f>
        <v xml:space="preserve"> -  
</v>
      </c>
    </row>
    <row r="18" spans="2:6" ht="15.6" customHeight="1" x14ac:dyDescent="0.25">
      <c r="B18" s="25"/>
      <c r="C18" s="50" t="str">
        <f>C17&amp;$C$15&amp;C5</f>
        <v xml:space="preserve"> -  
</v>
      </c>
    </row>
    <row r="19" spans="2:6" ht="15.6" customHeight="1" x14ac:dyDescent="0.25">
      <c r="B19" s="25"/>
      <c r="C19" s="50" t="str">
        <f>C18&amp;$C$15&amp;C6</f>
        <v xml:space="preserve"> -  
</v>
      </c>
    </row>
    <row r="20" spans="2:6" ht="15.6" customHeight="1" x14ac:dyDescent="0.25">
      <c r="B20" s="25"/>
      <c r="C20" s="50" t="str">
        <f>C19&amp;$C$15&amp;C7</f>
        <v xml:space="preserve"> -  
</v>
      </c>
    </row>
    <row r="21" spans="2:6" ht="15.6" customHeight="1" x14ac:dyDescent="0.25">
      <c r="B21" s="25"/>
      <c r="C21" s="50" t="str">
        <f t="shared" ref="C21" si="0">C20&amp;$C$15&amp;C8</f>
        <v xml:space="preserve"> -  
</v>
      </c>
    </row>
    <row r="22" spans="2:6" ht="15.6" customHeight="1" x14ac:dyDescent="0.25">
      <c r="B22" s="25"/>
      <c r="C22" s="50"/>
    </row>
    <row r="23" spans="2:6" ht="15.6" customHeight="1" x14ac:dyDescent="0.25">
      <c r="B23" s="25"/>
      <c r="F23" s="50" t="str">
        <f>F10</f>
        <v/>
      </c>
    </row>
    <row r="24" spans="2:6" ht="15.6" customHeight="1" x14ac:dyDescent="0.25">
      <c r="B24" s="25"/>
      <c r="F24" s="50" t="str">
        <f>F23&amp;$C$15&amp;F11</f>
        <v xml:space="preserve">
</v>
      </c>
    </row>
    <row r="25" spans="2:6" ht="15.6" customHeight="1" x14ac:dyDescent="0.25">
      <c r="B25" s="25"/>
      <c r="F25" s="50" t="str">
        <f>F24&amp;$C$15&amp;F12</f>
        <v xml:space="preserve">
</v>
      </c>
    </row>
    <row r="26" spans="2:6" ht="15.6" customHeight="1" x14ac:dyDescent="0.25">
      <c r="B26" s="25"/>
      <c r="F26" s="50" t="str">
        <f>F25&amp;$C$15&amp;F13</f>
        <v xml:space="preserve">
</v>
      </c>
    </row>
    <row r="27" spans="2:6" ht="194.1" customHeight="1" x14ac:dyDescent="0.25">
      <c r="B27" s="25" t="s">
        <v>110</v>
      </c>
      <c r="C27" s="50" t="str">
        <f>C21&amp;$C$15&amp;C9</f>
        <v xml:space="preserve"> -  
</v>
      </c>
      <c r="F27" s="50" t="str">
        <f>F26&amp;$C$15&amp;F14</f>
        <v xml:space="preserve">
</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4:S18"/>
  <sheetViews>
    <sheetView workbookViewId="0">
      <selection activeCell="J38" sqref="J38"/>
    </sheetView>
  </sheetViews>
  <sheetFormatPr defaultColWidth="8.85546875" defaultRowHeight="15" x14ac:dyDescent="0.25"/>
  <cols>
    <col min="1" max="1" width="11" customWidth="1"/>
    <col min="4" max="4" width="14.85546875" customWidth="1"/>
  </cols>
  <sheetData>
    <row r="4" spans="1:19" x14ac:dyDescent="0.25">
      <c r="A4" s="16" t="s">
        <v>179</v>
      </c>
      <c r="B4" s="16" t="s">
        <v>61</v>
      </c>
      <c r="C4" s="16" t="s">
        <v>59</v>
      </c>
      <c r="D4" s="16" t="s">
        <v>58</v>
      </c>
      <c r="E4" s="16" t="s">
        <v>55</v>
      </c>
      <c r="F4" s="16" t="s">
        <v>54</v>
      </c>
      <c r="G4" s="16" t="s">
        <v>52</v>
      </c>
      <c r="H4" s="16" t="s">
        <v>50</v>
      </c>
      <c r="I4" s="16" t="s">
        <v>48</v>
      </c>
      <c r="J4" s="16" t="s">
        <v>46</v>
      </c>
      <c r="K4" s="16" t="s">
        <v>27</v>
      </c>
      <c r="L4" s="16" t="s">
        <v>26</v>
      </c>
      <c r="M4" s="16" t="s">
        <v>24</v>
      </c>
      <c r="N4" s="16" t="s">
        <v>22</v>
      </c>
      <c r="O4" s="16" t="s">
        <v>21</v>
      </c>
      <c r="P4" s="16" t="s">
        <v>19</v>
      </c>
      <c r="Q4" s="16" t="s">
        <v>17</v>
      </c>
      <c r="R4" s="16" t="s">
        <v>437</v>
      </c>
      <c r="S4" s="16" t="s">
        <v>436</v>
      </c>
    </row>
    <row r="5" spans="1:19" x14ac:dyDescent="0.25">
      <c r="A5" t="s">
        <v>435</v>
      </c>
      <c r="B5" t="str">
        <f>IF(VLOOKUP(B4,'Input Sheet'!$B$3:$C$104,2,FALSE)=0,"",VLOOKUP(B4,'Input Sheet'!$B$3:$C$104,2,FALSE))</f>
        <v>Set 1</v>
      </c>
      <c r="C5" t="str">
        <f>IF(VLOOKUP(C4,'Input Sheet'!$B$3:$C$104,2,FALSE)=0,"",VLOOKUP(C4,'Input Sheet'!$B$3:$C$104,2,FALSE))</f>
        <v/>
      </c>
      <c r="D5" t="str">
        <f>IF(VLOOKUP(D4,'Input Sheet'!$B$3:$C$104,2,FALSE)=0,"",VLOOKUP(D4,'Input Sheet'!$B$3:$C$104,2,FALSE))</f>
        <v/>
      </c>
      <c r="E5" t="str">
        <f>IF(VLOOKUP(E4,'Input Sheet'!$B$3:$C$104,2,FALSE)=0,"",VLOOKUP(E4,'Input Sheet'!$B$3:$C$104,2,FALSE))</f>
        <v/>
      </c>
      <c r="F5" t="str">
        <f>IF(VLOOKUP(F4,'Input Sheet'!$B$3:$C$104,2,FALSE)=0,"",VLOOKUP(F4,'Input Sheet'!$B$3:$C$104,2,FALSE))</f>
        <v/>
      </c>
      <c r="G5" t="str">
        <f>IF(VLOOKUP(G4,'Input Sheet'!$B$3:$C$104,2,FALSE)=0,"",VLOOKUP(G4,'Input Sheet'!$B$3:$C$104,2,FALSE))</f>
        <v/>
      </c>
      <c r="H5" t="str">
        <f>IF(VLOOKUP(H4,'Input Sheet'!$B$3:$C$104,2,FALSE)=0,"",VLOOKUP(H4,'Input Sheet'!$B$3:$C$104,2,FALSE))</f>
        <v/>
      </c>
      <c r="I5" t="str">
        <f>IF(VLOOKUP(I4,'Input Sheet'!$B$3:$C$104,2,FALSE)=0,"",VLOOKUP(I4,'Input Sheet'!$B$3:$C$104,2,FALSE))</f>
        <v/>
      </c>
      <c r="J5" t="str">
        <f>IF(VLOOKUP(J4,'Input Sheet'!$B$3:$C$104,2,FALSE)=0,"",VLOOKUP(J4,'Input Sheet'!$B$3:$C$104,2,FALSE))</f>
        <v/>
      </c>
      <c r="K5" t="str">
        <f>IF(VLOOKUP(K4,'Input Sheet'!$B$3:$C$104,2,FALSE)=0,"",VLOOKUP(K4,'Input Sheet'!$B$3:$C$104,2,FALSE))</f>
        <v/>
      </c>
      <c r="L5" t="str">
        <f>IF(VLOOKUP(L4,'Input Sheet'!$B$3:$C$104,2,FALSE)=0,"",VLOOKUP(L4,'Input Sheet'!$B$3:$C$104,2,FALSE))</f>
        <v/>
      </c>
      <c r="M5" t="str">
        <f>IF(VLOOKUP(M4,'Input Sheet'!$B$3:$C$104,2,FALSE)=0,"",VLOOKUP(M4,'Input Sheet'!$B$3:$C$104,2,FALSE))</f>
        <v/>
      </c>
      <c r="N5" t="str">
        <f>IF(VLOOKUP(N4,'Input Sheet'!$B$3:$C$104,2,FALSE)=0,"",VLOOKUP(N4,'Input Sheet'!$B$3:$C$104,2,FALSE))</f>
        <v/>
      </c>
      <c r="O5" t="str">
        <f>IF(VLOOKUP(O4,'Input Sheet'!$B$3:$C$104,2,FALSE)=0,"",VLOOKUP(O4,'Input Sheet'!$B$3:$C$104,2,FALSE))</f>
        <v/>
      </c>
      <c r="P5" t="str">
        <f>IF(VLOOKUP(P4,'Input Sheet'!$B$3:$C$104,2,FALSE)=0,"",VLOOKUP(P4,'Input Sheet'!$B$3:$C$104,2,FALSE))</f>
        <v/>
      </c>
      <c r="Q5" t="str">
        <f>IF(VLOOKUP(Q4,'Input Sheet'!$B$3:$C$104,2,FALSE)=0,"",VLOOKUP(Q4,'Input Sheet'!$B$3:$C$104,2,FALSE))</f>
        <v/>
      </c>
      <c r="R5" t="e">
        <f>IF(VLOOKUP(R4,'Input Sheet'!$B$3:$C$104,2,FALSE)=0,"",VLOOKUP(R4,'Input Sheet'!$B$3:$C$104,2,FALSE))</f>
        <v>#N/A</v>
      </c>
      <c r="S5" t="e">
        <f>IF(VLOOKUP(S4,'Input Sheet'!$B$3:$C$104,2,FALSE)=0,"",VLOOKUP(S4,'Input Sheet'!$B$3:$C$104,2,FALSE))</f>
        <v>#N/A</v>
      </c>
    </row>
    <row r="7" spans="1:19" x14ac:dyDescent="0.25">
      <c r="A7" t="s">
        <v>63</v>
      </c>
      <c r="B7" t="str">
        <f>IF(ISNA(HLOOKUP(B$5,'Dynamic Lists'!$B$1:$AO$7,3,FALSE)),"",IF(HLOOKUP(B$5,'Dynamic Lists'!$B$1:$AO$7,3,FALSE)=0,"",HLOOKUP(B$5,'Dynamic Lists'!$B$1:$AO$7,3,FALSE)))</f>
        <v>Index1</v>
      </c>
      <c r="C7" t="str">
        <f>IF(ISNA(HLOOKUP(C$5,'Dynamic Lists'!$B$1:$AO$7,3,FALSE)),"",IF(HLOOKUP(C$5,'Dynamic Lists'!$B$1:$AO$7,3,FALSE)=0,"",HLOOKUP(C$5,'Dynamic Lists'!$B$1:$AO$7,3,FALSE)))</f>
        <v/>
      </c>
      <c r="D7" t="str">
        <f>IF(ISNA(HLOOKUP(D$5,'Dynamic Lists'!$B$1:$AO$7,3,FALSE)),"",IF(HLOOKUP(D$5,'Dynamic Lists'!$B$1:$AO$7,3,FALSE)=0,"",HLOOKUP(D$5,'Dynamic Lists'!$B$1:$AO$7,3,FALSE)))</f>
        <v/>
      </c>
      <c r="E7" t="str">
        <f>IF(ISNA(HLOOKUP(E$5,'Dynamic Lists'!$B$1:$AO$7,3,FALSE)),"",IF(HLOOKUP(E$5,'Dynamic Lists'!$B$1:$AO$7,3,FALSE)=0,"",HLOOKUP(E$5,'Dynamic Lists'!$B$1:$AO$7,3,FALSE)))</f>
        <v/>
      </c>
      <c r="F7" t="str">
        <f>IF(ISNA(HLOOKUP(F$5,'Dynamic Lists'!$B$1:$AO$7,3,FALSE)),"",IF(HLOOKUP(F$5,'Dynamic Lists'!$B$1:$AO$7,3,FALSE)=0,"",HLOOKUP(F$5,'Dynamic Lists'!$B$1:$AO$7,3,FALSE)))</f>
        <v/>
      </c>
      <c r="G7" t="str">
        <f>IF(ISNA(HLOOKUP(G$5,'Dynamic Lists'!$B$1:$AO$7,3,FALSE)),"",IF(HLOOKUP(G$5,'Dynamic Lists'!$B$1:$AO$7,3,FALSE)=0,"",HLOOKUP(G$5,'Dynamic Lists'!$B$1:$AO$7,3,FALSE)))</f>
        <v/>
      </c>
      <c r="H7" t="str">
        <f>IF(ISNA(HLOOKUP(H$5,'Dynamic Lists'!$B$1:$AO$7,3,FALSE)),"",IF(HLOOKUP(H$5,'Dynamic Lists'!$B$1:$AO$7,3,FALSE)=0,"",HLOOKUP(H$5,'Dynamic Lists'!$B$1:$AO$7,3,FALSE)))</f>
        <v/>
      </c>
      <c r="I7" t="str">
        <f>IF(ISNA(HLOOKUP(I$5,'Dynamic Lists'!$B$1:$AO$7,3,FALSE)),"",IF(HLOOKUP(I$5,'Dynamic Lists'!$B$1:$AO$7,3,FALSE)=0,"",HLOOKUP(I$5,'Dynamic Lists'!$B$1:$AO$7,3,FALSE)))</f>
        <v/>
      </c>
      <c r="J7" t="str">
        <f>IF(ISNA(HLOOKUP(J$5,'Dynamic Lists'!$B$1:$AO$7,3,FALSE)),"",IF(HLOOKUP(J$5,'Dynamic Lists'!$B$1:$AO$7,3,FALSE)=0,"",HLOOKUP(J$5,'Dynamic Lists'!$B$1:$AO$7,3,FALSE)))</f>
        <v/>
      </c>
      <c r="K7" t="str">
        <f>IF(ISNA(HLOOKUP(K$5,'Dynamic Lists'!$B$1:$AO$7,3,FALSE)),"",IF(HLOOKUP(K$5,'Dynamic Lists'!$B$1:$AO$7,3,FALSE)=0,"",HLOOKUP(K$5,'Dynamic Lists'!$B$1:$AO$7,3,FALSE)))</f>
        <v/>
      </c>
      <c r="L7" t="str">
        <f>IF(ISNA(HLOOKUP(L$5,'Dynamic Lists'!$B$1:$AO$7,3,FALSE)),"",IF(HLOOKUP(L$5,'Dynamic Lists'!$B$1:$AO$7,3,FALSE)=0,"",HLOOKUP(L$5,'Dynamic Lists'!$B$1:$AO$7,3,FALSE)))</f>
        <v/>
      </c>
      <c r="M7" t="str">
        <f>IF(ISNA(HLOOKUP(M$5,'Dynamic Lists'!$B$1:$AO$7,3,FALSE)),"",IF(HLOOKUP(M$5,'Dynamic Lists'!$B$1:$AO$7,3,FALSE)=0,"",HLOOKUP(M$5,'Dynamic Lists'!$B$1:$AO$7,3,FALSE)))</f>
        <v/>
      </c>
      <c r="N7" t="str">
        <f>IF(ISNA(HLOOKUP(N$5,'Dynamic Lists'!$B$1:$AO$7,3,FALSE)),"",IF(HLOOKUP(N$5,'Dynamic Lists'!$B$1:$AO$7,3,FALSE)=0,"",HLOOKUP(N$5,'Dynamic Lists'!$B$1:$AO$7,3,FALSE)))</f>
        <v/>
      </c>
      <c r="O7" t="str">
        <f>IF(ISNA(HLOOKUP(O$5,'Dynamic Lists'!$B$1:$AO$7,3,FALSE)),"",IF(HLOOKUP(O$5,'Dynamic Lists'!$B$1:$AO$7,3,FALSE)=0,"",HLOOKUP(O$5,'Dynamic Lists'!$B$1:$AO$7,3,FALSE)))</f>
        <v/>
      </c>
      <c r="P7" t="str">
        <f>IF(ISNA(HLOOKUP(P$5,'Dynamic Lists'!$B$1:$AO$7,3,FALSE)),"",IF(HLOOKUP(P$5,'Dynamic Lists'!$B$1:$AO$7,3,FALSE)=0,"",HLOOKUP(P$5,'Dynamic Lists'!$B$1:$AO$7,3,FALSE)))</f>
        <v/>
      </c>
      <c r="Q7" t="str">
        <f>IF(ISNA(HLOOKUP(Q$5,'Dynamic Lists'!$B$1:$AO$7,3,FALSE)),"",IF(HLOOKUP(Q$5,'Dynamic Lists'!$B$1:$AO$7,3,FALSE)=0,"",HLOOKUP(Q$5,'Dynamic Lists'!$B$1:$AO$7,3,FALSE)))</f>
        <v/>
      </c>
      <c r="R7" t="str">
        <f>IF(ISNA(HLOOKUP(R$5,'Dynamic Lists'!$B$1:$AO$7,3,FALSE)),"",IF(HLOOKUP(R$5,'Dynamic Lists'!$B$1:$AO$7,3,FALSE)=0,"",HLOOKUP(R$5,'Dynamic Lists'!$B$1:$AO$7,3,FALSE)))</f>
        <v/>
      </c>
      <c r="S7" t="str">
        <f>IF(ISNA(HLOOKUP(S$5,'Dynamic Lists'!$B$1:$AO$7,3,FALSE)),"",IF(HLOOKUP(S$5,'Dynamic Lists'!$B$1:$AO$7,3,FALSE)=0,"",HLOOKUP(S$5,'Dynamic Lists'!$B$1:$AO$7,3,FALSE)))</f>
        <v/>
      </c>
    </row>
    <row r="8" spans="1:19" x14ac:dyDescent="0.25">
      <c r="A8" t="s">
        <v>213</v>
      </c>
      <c r="B8" t="str">
        <f>IF(ISNA(HLOOKUP(B$5,'Dynamic Lists'!$B$1:$AO$7,RIGHT('Flow Control'!$A8)+3,FALSE)),"",IF(HLOOKUP(B$5,'Dynamic Lists'!$B$1:$AO$7,RIGHT('Flow Control'!$A8)+3,FALSE)=0,"",HLOOKUP(B$5,'Dynamic Lists'!$B$1:$AO$7,RIGHT('Flow Control'!$A8)+3,FALSE)))</f>
        <v>Yes</v>
      </c>
      <c r="C8" t="str">
        <f>IF(ISNA(HLOOKUP(C$5,'Dynamic Lists'!$B$1:$AO$7,RIGHT('Flow Control'!$A8)+3,FALSE)),"",IF(HLOOKUP(C$5,'Dynamic Lists'!$B$1:$AO$7,RIGHT('Flow Control'!$A8)+3,FALSE)=0,"",HLOOKUP(C$5,'Dynamic Lists'!$B$1:$AO$7,RIGHT('Flow Control'!$A8)+3,FALSE)))</f>
        <v/>
      </c>
      <c r="D8" t="str">
        <f>IF(ISNA(HLOOKUP(D$5,'Dynamic Lists'!$B$1:$AO$7,RIGHT('Flow Control'!$A8)+3,FALSE)),"",IF(HLOOKUP(D$5,'Dynamic Lists'!$B$1:$AO$7,RIGHT('Flow Control'!$A8)+3,FALSE)=0,"",HLOOKUP(D$5,'Dynamic Lists'!$B$1:$AO$7,RIGHT('Flow Control'!$A8)+3,FALSE)))</f>
        <v/>
      </c>
      <c r="E8" t="str">
        <f>IF(ISNA(HLOOKUP(E$5,'Dynamic Lists'!$B$1:$AO$7,RIGHT('Flow Control'!$A8)+3,FALSE)),"",IF(HLOOKUP(E$5,'Dynamic Lists'!$B$1:$AO$7,RIGHT('Flow Control'!$A8)+3,FALSE)=0,"",HLOOKUP(E$5,'Dynamic Lists'!$B$1:$AO$7,RIGHT('Flow Control'!$A8)+3,FALSE)))</f>
        <v/>
      </c>
      <c r="F8" t="str">
        <f>IF(ISNA(HLOOKUP(F$5,'Dynamic Lists'!$B$1:$AO$7,RIGHT('Flow Control'!$A8)+3,FALSE)),"",IF(HLOOKUP(F$5,'Dynamic Lists'!$B$1:$AO$7,RIGHT('Flow Control'!$A8)+3,FALSE)=0,"",HLOOKUP(F$5,'Dynamic Lists'!$B$1:$AO$7,RIGHT('Flow Control'!$A8)+3,FALSE)))</f>
        <v/>
      </c>
      <c r="G8" t="str">
        <f>IF(ISNA(HLOOKUP(G$5,'Dynamic Lists'!$B$1:$AO$7,RIGHT('Flow Control'!$A8)+3,FALSE)),"",IF(HLOOKUP(G$5,'Dynamic Lists'!$B$1:$AO$7,RIGHT('Flow Control'!$A8)+3,FALSE)=0,"",HLOOKUP(G$5,'Dynamic Lists'!$B$1:$AO$7,RIGHT('Flow Control'!$A8)+3,FALSE)))</f>
        <v/>
      </c>
      <c r="H8" t="str">
        <f>IF(ISNA(HLOOKUP(H$5,'Dynamic Lists'!$B$1:$AO$7,RIGHT('Flow Control'!$A8)+3,FALSE)),"",IF(HLOOKUP(H$5,'Dynamic Lists'!$B$1:$AO$7,RIGHT('Flow Control'!$A8)+3,FALSE)=0,"",HLOOKUP(H$5,'Dynamic Lists'!$B$1:$AO$7,RIGHT('Flow Control'!$A8)+3,FALSE)))</f>
        <v/>
      </c>
      <c r="I8" t="str">
        <f>IF(ISNA(HLOOKUP(I$5,'Dynamic Lists'!$B$1:$AO$7,RIGHT('Flow Control'!$A8)+3,FALSE)),"",IF(HLOOKUP(I$5,'Dynamic Lists'!$B$1:$AO$7,RIGHT('Flow Control'!$A8)+3,FALSE)=0,"",HLOOKUP(I$5,'Dynamic Lists'!$B$1:$AO$7,RIGHT('Flow Control'!$A8)+3,FALSE)))</f>
        <v/>
      </c>
      <c r="J8" t="str">
        <f>IF(ISNA(HLOOKUP(J$5,'Dynamic Lists'!$B$1:$AO$7,RIGHT('Flow Control'!$A8)+3,FALSE)),"",IF(HLOOKUP(J$5,'Dynamic Lists'!$B$1:$AO$7,RIGHT('Flow Control'!$A8)+3,FALSE)=0,"",HLOOKUP(J$5,'Dynamic Lists'!$B$1:$AO$7,RIGHT('Flow Control'!$A8)+3,FALSE)))</f>
        <v/>
      </c>
      <c r="K8" t="str">
        <f>IF(ISNA(HLOOKUP(K$5,'Dynamic Lists'!$B$1:$AO$7,RIGHT('Flow Control'!$A8)+3,FALSE)),"",IF(HLOOKUP(K$5,'Dynamic Lists'!$B$1:$AO$7,RIGHT('Flow Control'!$A8)+3,FALSE)=0,"",HLOOKUP(K$5,'Dynamic Lists'!$B$1:$AO$7,RIGHT('Flow Control'!$A8)+3,FALSE)))</f>
        <v/>
      </c>
      <c r="L8" t="str">
        <f>IF(ISNA(HLOOKUP(L$5,'Dynamic Lists'!$B$1:$AO$7,RIGHT('Flow Control'!$A8)+3,FALSE)),"",IF(HLOOKUP(L$5,'Dynamic Lists'!$B$1:$AO$7,RIGHT('Flow Control'!$A8)+3,FALSE)=0,"",HLOOKUP(L$5,'Dynamic Lists'!$B$1:$AO$7,RIGHT('Flow Control'!$A8)+3,FALSE)))</f>
        <v/>
      </c>
      <c r="M8" t="str">
        <f>IF(ISNA(HLOOKUP(M$5,'Dynamic Lists'!$B$1:$AO$7,RIGHT('Flow Control'!$A8)+3,FALSE)),"",IF(HLOOKUP(M$5,'Dynamic Lists'!$B$1:$AO$7,RIGHT('Flow Control'!$A8)+3,FALSE)=0,"",HLOOKUP(M$5,'Dynamic Lists'!$B$1:$AO$7,RIGHT('Flow Control'!$A8)+3,FALSE)))</f>
        <v/>
      </c>
      <c r="N8" t="str">
        <f>IF(ISNA(HLOOKUP(N$5,'Dynamic Lists'!$B$1:$AO$7,RIGHT('Flow Control'!$A8)+3,FALSE)),"",IF(HLOOKUP(N$5,'Dynamic Lists'!$B$1:$AO$7,RIGHT('Flow Control'!$A8)+3,FALSE)=0,"",HLOOKUP(N$5,'Dynamic Lists'!$B$1:$AO$7,RIGHT('Flow Control'!$A8)+3,FALSE)))</f>
        <v/>
      </c>
      <c r="O8" t="str">
        <f>IF(ISNA(HLOOKUP(O$5,'Dynamic Lists'!$B$1:$AO$7,RIGHT('Flow Control'!$A8)+3,FALSE)),"",IF(HLOOKUP(O$5,'Dynamic Lists'!$B$1:$AO$7,RIGHT('Flow Control'!$A8)+3,FALSE)=0,"",HLOOKUP(O$5,'Dynamic Lists'!$B$1:$AO$7,RIGHT('Flow Control'!$A8)+3,FALSE)))</f>
        <v/>
      </c>
      <c r="P8" t="str">
        <f>IF(ISNA(HLOOKUP(P$5,'Dynamic Lists'!$B$1:$AO$7,RIGHT('Flow Control'!$A8)+3,FALSE)),"",IF(HLOOKUP(P$5,'Dynamic Lists'!$B$1:$AO$7,RIGHT('Flow Control'!$A8)+3,FALSE)=0,"",HLOOKUP(P$5,'Dynamic Lists'!$B$1:$AO$7,RIGHT('Flow Control'!$A8)+3,FALSE)))</f>
        <v/>
      </c>
      <c r="Q8" t="str">
        <f>IF(ISNA(HLOOKUP(Q$5,'Dynamic Lists'!$B$1:$AO$7,RIGHT('Flow Control'!$A8)+3,FALSE)),"",IF(HLOOKUP(Q$5,'Dynamic Lists'!$B$1:$AO$7,RIGHT('Flow Control'!$A8)+3,FALSE)=0,"",HLOOKUP(Q$5,'Dynamic Lists'!$B$1:$AO$7,RIGHT('Flow Control'!$A8)+3,FALSE)))</f>
        <v/>
      </c>
      <c r="R8" t="str">
        <f>IF(ISNA(HLOOKUP(R$5,'Dynamic Lists'!$B$1:$AO$7,RIGHT('Flow Control'!$A8)+3,FALSE)),"",IF(HLOOKUP(R$5,'Dynamic Lists'!$B$1:$AO$7,RIGHT('Flow Control'!$A8)+3,FALSE)=0,"",HLOOKUP(R$5,'Dynamic Lists'!$B$1:$AO$7,RIGHT('Flow Control'!$A8)+3,FALSE)))</f>
        <v/>
      </c>
      <c r="S8" t="str">
        <f>IF(ISNA(HLOOKUP(S$5,'Dynamic Lists'!$B$1:$AO$7,RIGHT('Flow Control'!$A8)+3,FALSE)),"",IF(HLOOKUP(S$5,'Dynamic Lists'!$B$1:$AO$7,RIGHT('Flow Control'!$A8)+3,FALSE)=0,"",HLOOKUP(S$5,'Dynamic Lists'!$B$1:$AO$7,RIGHT('Flow Control'!$A8)+3,FALSE)))</f>
        <v/>
      </c>
    </row>
    <row r="9" spans="1:19" x14ac:dyDescent="0.25">
      <c r="A9" t="s">
        <v>212</v>
      </c>
      <c r="B9" t="str">
        <f>IF(ISNA(HLOOKUP(B$5,'Dynamic Lists'!$B$1:$AO$7,RIGHT('Flow Control'!$A9)+3,FALSE)),"",IF(HLOOKUP(B$5,'Dynamic Lists'!$B$1:$AO$7,RIGHT('Flow Control'!$A9)+3,FALSE)=0,"",HLOOKUP(B$5,'Dynamic Lists'!$B$1:$AO$7,RIGHT('Flow Control'!$A9)+3,FALSE)))</f>
        <v>Game over</v>
      </c>
      <c r="C9" t="str">
        <f>IF(ISNA(HLOOKUP(C$5,'Dynamic Lists'!$B$1:$AO$7,RIGHT('Flow Control'!$A9)+3,FALSE)),"",IF(HLOOKUP(C$5,'Dynamic Lists'!$B$1:$AO$7,RIGHT('Flow Control'!$A9)+3,FALSE)=0,"",HLOOKUP(C$5,'Dynamic Lists'!$B$1:$AO$7,RIGHT('Flow Control'!$A9)+3,FALSE)))</f>
        <v/>
      </c>
      <c r="D9" t="str">
        <f>IF(ISNA(HLOOKUP(D$5,'Dynamic Lists'!$B$1:$AO$7,RIGHT('Flow Control'!$A9)+3,FALSE)),"",IF(HLOOKUP(D$5,'Dynamic Lists'!$B$1:$AO$7,RIGHT('Flow Control'!$A9)+3,FALSE)=0,"",HLOOKUP(D$5,'Dynamic Lists'!$B$1:$AO$7,RIGHT('Flow Control'!$A9)+3,FALSE)))</f>
        <v/>
      </c>
      <c r="E9" t="str">
        <f>IF(ISNA(HLOOKUP(E$5,'Dynamic Lists'!$B$1:$AO$7,RIGHT('Flow Control'!$A9)+3,FALSE)),"",IF(HLOOKUP(E$5,'Dynamic Lists'!$B$1:$AO$7,RIGHT('Flow Control'!$A9)+3,FALSE)=0,"",HLOOKUP(E$5,'Dynamic Lists'!$B$1:$AO$7,RIGHT('Flow Control'!$A9)+3,FALSE)))</f>
        <v/>
      </c>
      <c r="F9" t="str">
        <f>IF(ISNA(HLOOKUP(F$5,'Dynamic Lists'!$B$1:$AO$7,RIGHT('Flow Control'!$A9)+3,FALSE)),"",IF(HLOOKUP(F$5,'Dynamic Lists'!$B$1:$AO$7,RIGHT('Flow Control'!$A9)+3,FALSE)=0,"",HLOOKUP(F$5,'Dynamic Lists'!$B$1:$AO$7,RIGHT('Flow Control'!$A9)+3,FALSE)))</f>
        <v/>
      </c>
      <c r="G9" t="str">
        <f>IF(ISNA(HLOOKUP(G$5,'Dynamic Lists'!$B$1:$AO$7,RIGHT('Flow Control'!$A9)+3,FALSE)),"",IF(HLOOKUP(G$5,'Dynamic Lists'!$B$1:$AO$7,RIGHT('Flow Control'!$A9)+3,FALSE)=0,"",HLOOKUP(G$5,'Dynamic Lists'!$B$1:$AO$7,RIGHT('Flow Control'!$A9)+3,FALSE)))</f>
        <v/>
      </c>
      <c r="H9" t="str">
        <f>IF(ISNA(HLOOKUP(H$5,'Dynamic Lists'!$B$1:$AO$7,RIGHT('Flow Control'!$A9)+3,FALSE)),"",IF(HLOOKUP(H$5,'Dynamic Lists'!$B$1:$AO$7,RIGHT('Flow Control'!$A9)+3,FALSE)=0,"",HLOOKUP(H$5,'Dynamic Lists'!$B$1:$AO$7,RIGHT('Flow Control'!$A9)+3,FALSE)))</f>
        <v/>
      </c>
      <c r="I9" t="str">
        <f>IF(ISNA(HLOOKUP(I$5,'Dynamic Lists'!$B$1:$AO$7,RIGHT('Flow Control'!$A9)+3,FALSE)),"",IF(HLOOKUP(I$5,'Dynamic Lists'!$B$1:$AO$7,RIGHT('Flow Control'!$A9)+3,FALSE)=0,"",HLOOKUP(I$5,'Dynamic Lists'!$B$1:$AO$7,RIGHT('Flow Control'!$A9)+3,FALSE)))</f>
        <v/>
      </c>
      <c r="J9" t="str">
        <f>IF(ISNA(HLOOKUP(J$5,'Dynamic Lists'!$B$1:$AO$7,RIGHT('Flow Control'!$A9)+3,FALSE)),"",IF(HLOOKUP(J$5,'Dynamic Lists'!$B$1:$AO$7,RIGHT('Flow Control'!$A9)+3,FALSE)=0,"",HLOOKUP(J$5,'Dynamic Lists'!$B$1:$AO$7,RIGHT('Flow Control'!$A9)+3,FALSE)))</f>
        <v/>
      </c>
      <c r="K9" t="str">
        <f>IF(ISNA(HLOOKUP(K$5,'Dynamic Lists'!$B$1:$AO$7,RIGHT('Flow Control'!$A9)+3,FALSE)),"",IF(HLOOKUP(K$5,'Dynamic Lists'!$B$1:$AO$7,RIGHT('Flow Control'!$A9)+3,FALSE)=0,"",HLOOKUP(K$5,'Dynamic Lists'!$B$1:$AO$7,RIGHT('Flow Control'!$A9)+3,FALSE)))</f>
        <v/>
      </c>
      <c r="L9" t="str">
        <f>IF(ISNA(HLOOKUP(L$5,'Dynamic Lists'!$B$1:$AO$7,RIGHT('Flow Control'!$A9)+3,FALSE)),"",IF(HLOOKUP(L$5,'Dynamic Lists'!$B$1:$AO$7,RIGHT('Flow Control'!$A9)+3,FALSE)=0,"",HLOOKUP(L$5,'Dynamic Lists'!$B$1:$AO$7,RIGHT('Flow Control'!$A9)+3,FALSE)))</f>
        <v/>
      </c>
      <c r="M9" t="str">
        <f>IF(ISNA(HLOOKUP(M$5,'Dynamic Lists'!$B$1:$AO$7,RIGHT('Flow Control'!$A9)+3,FALSE)),"",IF(HLOOKUP(M$5,'Dynamic Lists'!$B$1:$AO$7,RIGHT('Flow Control'!$A9)+3,FALSE)=0,"",HLOOKUP(M$5,'Dynamic Lists'!$B$1:$AO$7,RIGHT('Flow Control'!$A9)+3,FALSE)))</f>
        <v/>
      </c>
      <c r="N9" t="str">
        <f>IF(ISNA(HLOOKUP(N$5,'Dynamic Lists'!$B$1:$AO$7,RIGHT('Flow Control'!$A9)+3,FALSE)),"",IF(HLOOKUP(N$5,'Dynamic Lists'!$B$1:$AO$7,RIGHT('Flow Control'!$A9)+3,FALSE)=0,"",HLOOKUP(N$5,'Dynamic Lists'!$B$1:$AO$7,RIGHT('Flow Control'!$A9)+3,FALSE)))</f>
        <v/>
      </c>
      <c r="O9" t="str">
        <f>IF(ISNA(HLOOKUP(O$5,'Dynamic Lists'!$B$1:$AO$7,RIGHT('Flow Control'!$A9)+3,FALSE)),"",IF(HLOOKUP(O$5,'Dynamic Lists'!$B$1:$AO$7,RIGHT('Flow Control'!$A9)+3,FALSE)=0,"",HLOOKUP(O$5,'Dynamic Lists'!$B$1:$AO$7,RIGHT('Flow Control'!$A9)+3,FALSE)))</f>
        <v/>
      </c>
      <c r="P9" t="str">
        <f>IF(ISNA(HLOOKUP(P$5,'Dynamic Lists'!$B$1:$AO$7,RIGHT('Flow Control'!$A9)+3,FALSE)),"",IF(HLOOKUP(P$5,'Dynamic Lists'!$B$1:$AO$7,RIGHT('Flow Control'!$A9)+3,FALSE)=0,"",HLOOKUP(P$5,'Dynamic Lists'!$B$1:$AO$7,RIGHT('Flow Control'!$A9)+3,FALSE)))</f>
        <v/>
      </c>
      <c r="Q9" t="str">
        <f>IF(ISNA(HLOOKUP(Q$5,'Dynamic Lists'!$B$1:$AO$7,RIGHT('Flow Control'!$A9)+3,FALSE)),"",IF(HLOOKUP(Q$5,'Dynamic Lists'!$B$1:$AO$7,RIGHT('Flow Control'!$A9)+3,FALSE)=0,"",HLOOKUP(Q$5,'Dynamic Lists'!$B$1:$AO$7,RIGHT('Flow Control'!$A9)+3,FALSE)))</f>
        <v/>
      </c>
      <c r="R9" t="str">
        <f>IF(ISNA(HLOOKUP(R$5,'Dynamic Lists'!$B$1:$AO$7,RIGHT('Flow Control'!$A9)+3,FALSE)),"",IF(HLOOKUP(R$5,'Dynamic Lists'!$B$1:$AO$7,RIGHT('Flow Control'!$A9)+3,FALSE)=0,"",HLOOKUP(R$5,'Dynamic Lists'!$B$1:$AO$7,RIGHT('Flow Control'!$A9)+3,FALSE)))</f>
        <v/>
      </c>
      <c r="S9" t="str">
        <f>IF(ISNA(HLOOKUP(S$5,'Dynamic Lists'!$B$1:$AO$7,RIGHT('Flow Control'!$A9)+3,FALSE)),"",IF(HLOOKUP(S$5,'Dynamic Lists'!$B$1:$AO$7,RIGHT('Flow Control'!$A9)+3,FALSE)=0,"",HLOOKUP(S$5,'Dynamic Lists'!$B$1:$AO$7,RIGHT('Flow Control'!$A9)+3,FALSE)))</f>
        <v/>
      </c>
    </row>
    <row r="10" spans="1:19" x14ac:dyDescent="0.25">
      <c r="A10" t="s">
        <v>211</v>
      </c>
      <c r="B10" t="str">
        <f>IF(ISNA(HLOOKUP(B$5,'Dynamic Lists'!$B$1:$AO$7,RIGHT('Flow Control'!$A10)+3,FALSE)),"",IF(HLOOKUP(B$5,'Dynamic Lists'!$B$1:$AO$7,RIGHT('Flow Control'!$A10)+3,FALSE)=0,"",HLOOKUP(B$5,'Dynamic Lists'!$B$1:$AO$7,RIGHT('Flow Control'!$A10)+3,FALSE)))</f>
        <v>This is too expensive but let's continue anyway</v>
      </c>
      <c r="C10" t="str">
        <f>IF(ISNA(HLOOKUP(C$5,'Dynamic Lists'!$B$1:$AO$7,RIGHT('Flow Control'!$A10)+3,FALSE)),"",IF(HLOOKUP(C$5,'Dynamic Lists'!$B$1:$AO$7,RIGHT('Flow Control'!$A10)+3,FALSE)=0,"",HLOOKUP(C$5,'Dynamic Lists'!$B$1:$AO$7,RIGHT('Flow Control'!$A10)+3,FALSE)))</f>
        <v/>
      </c>
      <c r="D10" t="str">
        <f>IF(ISNA(HLOOKUP(D$5,'Dynamic Lists'!$B$1:$AO$7,RIGHT('Flow Control'!$A10)+3,FALSE)),"",IF(HLOOKUP(D$5,'Dynamic Lists'!$B$1:$AO$7,RIGHT('Flow Control'!$A10)+3,FALSE)=0,"",HLOOKUP(D$5,'Dynamic Lists'!$B$1:$AO$7,RIGHT('Flow Control'!$A10)+3,FALSE)))</f>
        <v/>
      </c>
      <c r="E10" t="str">
        <f>IF(ISNA(HLOOKUP(E$5,'Dynamic Lists'!$B$1:$AO$7,RIGHT('Flow Control'!$A10)+3,FALSE)),"",IF(HLOOKUP(E$5,'Dynamic Lists'!$B$1:$AO$7,RIGHT('Flow Control'!$A10)+3,FALSE)=0,"",HLOOKUP(E$5,'Dynamic Lists'!$B$1:$AO$7,RIGHT('Flow Control'!$A10)+3,FALSE)))</f>
        <v/>
      </c>
      <c r="F10" t="str">
        <f>IF(ISNA(HLOOKUP(F$5,'Dynamic Lists'!$B$1:$AO$7,RIGHT('Flow Control'!$A10)+3,FALSE)),"",IF(HLOOKUP(F$5,'Dynamic Lists'!$B$1:$AO$7,RIGHT('Flow Control'!$A10)+3,FALSE)=0,"",HLOOKUP(F$5,'Dynamic Lists'!$B$1:$AO$7,RIGHT('Flow Control'!$A10)+3,FALSE)))</f>
        <v/>
      </c>
      <c r="G10" t="str">
        <f>IF(ISNA(HLOOKUP(G$5,'Dynamic Lists'!$B$1:$AO$7,RIGHT('Flow Control'!$A10)+3,FALSE)),"",IF(HLOOKUP(G$5,'Dynamic Lists'!$B$1:$AO$7,RIGHT('Flow Control'!$A10)+3,FALSE)=0,"",HLOOKUP(G$5,'Dynamic Lists'!$B$1:$AO$7,RIGHT('Flow Control'!$A10)+3,FALSE)))</f>
        <v/>
      </c>
      <c r="H10" t="str">
        <f>IF(ISNA(HLOOKUP(H$5,'Dynamic Lists'!$B$1:$AO$7,RIGHT('Flow Control'!$A10)+3,FALSE)),"",IF(HLOOKUP(H$5,'Dynamic Lists'!$B$1:$AO$7,RIGHT('Flow Control'!$A10)+3,FALSE)=0,"",HLOOKUP(H$5,'Dynamic Lists'!$B$1:$AO$7,RIGHT('Flow Control'!$A10)+3,FALSE)))</f>
        <v/>
      </c>
      <c r="I10" t="str">
        <f>IF(ISNA(HLOOKUP(I$5,'Dynamic Lists'!$B$1:$AO$7,RIGHT('Flow Control'!$A10)+3,FALSE)),"",IF(HLOOKUP(I$5,'Dynamic Lists'!$B$1:$AO$7,RIGHT('Flow Control'!$A10)+3,FALSE)=0,"",HLOOKUP(I$5,'Dynamic Lists'!$B$1:$AO$7,RIGHT('Flow Control'!$A10)+3,FALSE)))</f>
        <v/>
      </c>
      <c r="J10" t="str">
        <f>IF(ISNA(HLOOKUP(J$5,'Dynamic Lists'!$B$1:$AO$7,RIGHT('Flow Control'!$A10)+3,FALSE)),"",IF(HLOOKUP(J$5,'Dynamic Lists'!$B$1:$AO$7,RIGHT('Flow Control'!$A10)+3,FALSE)=0,"",HLOOKUP(J$5,'Dynamic Lists'!$B$1:$AO$7,RIGHT('Flow Control'!$A10)+3,FALSE)))</f>
        <v/>
      </c>
      <c r="K10" t="str">
        <f>IF(ISNA(HLOOKUP(K$5,'Dynamic Lists'!$B$1:$AO$7,RIGHT('Flow Control'!$A10)+3,FALSE)),"",IF(HLOOKUP(K$5,'Dynamic Lists'!$B$1:$AO$7,RIGHT('Flow Control'!$A10)+3,FALSE)=0,"",HLOOKUP(K$5,'Dynamic Lists'!$B$1:$AO$7,RIGHT('Flow Control'!$A10)+3,FALSE)))</f>
        <v/>
      </c>
      <c r="L10" t="str">
        <f>IF(ISNA(HLOOKUP(L$5,'Dynamic Lists'!$B$1:$AO$7,RIGHT('Flow Control'!$A10)+3,FALSE)),"",IF(HLOOKUP(L$5,'Dynamic Lists'!$B$1:$AO$7,RIGHT('Flow Control'!$A10)+3,FALSE)=0,"",HLOOKUP(L$5,'Dynamic Lists'!$B$1:$AO$7,RIGHT('Flow Control'!$A10)+3,FALSE)))</f>
        <v/>
      </c>
      <c r="M10" t="str">
        <f>IF(ISNA(HLOOKUP(M$5,'Dynamic Lists'!$B$1:$AO$7,RIGHT('Flow Control'!$A10)+3,FALSE)),"",IF(HLOOKUP(M$5,'Dynamic Lists'!$B$1:$AO$7,RIGHT('Flow Control'!$A10)+3,FALSE)=0,"",HLOOKUP(M$5,'Dynamic Lists'!$B$1:$AO$7,RIGHT('Flow Control'!$A10)+3,FALSE)))</f>
        <v/>
      </c>
      <c r="N10" t="str">
        <f>IF(ISNA(HLOOKUP(N$5,'Dynamic Lists'!$B$1:$AO$7,RIGHT('Flow Control'!$A10)+3,FALSE)),"",IF(HLOOKUP(N$5,'Dynamic Lists'!$B$1:$AO$7,RIGHT('Flow Control'!$A10)+3,FALSE)=0,"",HLOOKUP(N$5,'Dynamic Lists'!$B$1:$AO$7,RIGHT('Flow Control'!$A10)+3,FALSE)))</f>
        <v/>
      </c>
      <c r="O10" t="str">
        <f>IF(ISNA(HLOOKUP(O$5,'Dynamic Lists'!$B$1:$AO$7,RIGHT('Flow Control'!$A10)+3,FALSE)),"",IF(HLOOKUP(O$5,'Dynamic Lists'!$B$1:$AO$7,RIGHT('Flow Control'!$A10)+3,FALSE)=0,"",HLOOKUP(O$5,'Dynamic Lists'!$B$1:$AO$7,RIGHT('Flow Control'!$A10)+3,FALSE)))</f>
        <v/>
      </c>
      <c r="P10" t="str">
        <f>IF(ISNA(HLOOKUP(P$5,'Dynamic Lists'!$B$1:$AO$7,RIGHT('Flow Control'!$A10)+3,FALSE)),"",IF(HLOOKUP(P$5,'Dynamic Lists'!$B$1:$AO$7,RIGHT('Flow Control'!$A10)+3,FALSE)=0,"",HLOOKUP(P$5,'Dynamic Lists'!$B$1:$AO$7,RIGHT('Flow Control'!$A10)+3,FALSE)))</f>
        <v/>
      </c>
      <c r="Q10" t="str">
        <f>IF(ISNA(HLOOKUP(Q$5,'Dynamic Lists'!$B$1:$AO$7,RIGHT('Flow Control'!$A10)+3,FALSE)),"",IF(HLOOKUP(Q$5,'Dynamic Lists'!$B$1:$AO$7,RIGHT('Flow Control'!$A10)+3,FALSE)=0,"",HLOOKUP(Q$5,'Dynamic Lists'!$B$1:$AO$7,RIGHT('Flow Control'!$A10)+3,FALSE)))</f>
        <v/>
      </c>
      <c r="R10" t="str">
        <f>IF(ISNA(HLOOKUP(R$5,'Dynamic Lists'!$B$1:$AO$7,RIGHT('Flow Control'!$A10)+3,FALSE)),"",IF(HLOOKUP(R$5,'Dynamic Lists'!$B$1:$AO$7,RIGHT('Flow Control'!$A10)+3,FALSE)=0,"",HLOOKUP(R$5,'Dynamic Lists'!$B$1:$AO$7,RIGHT('Flow Control'!$A10)+3,FALSE)))</f>
        <v/>
      </c>
      <c r="S10" t="str">
        <f>IF(ISNA(HLOOKUP(S$5,'Dynamic Lists'!$B$1:$AO$7,RIGHT('Flow Control'!$A10)+3,FALSE)),"",IF(HLOOKUP(S$5,'Dynamic Lists'!$B$1:$AO$7,RIGHT('Flow Control'!$A10)+3,FALSE)=0,"",HLOOKUP(S$5,'Dynamic Lists'!$B$1:$AO$7,RIGHT('Flow Control'!$A10)+3,FALSE)))</f>
        <v/>
      </c>
    </row>
    <row r="11" spans="1:19" x14ac:dyDescent="0.25">
      <c r="A11" t="s">
        <v>210</v>
      </c>
      <c r="B11" t="str">
        <f>IF(ISNA(HLOOKUP(B$5,'Dynamic Lists'!$B$1:$AO$7,RIGHT('Flow Control'!$A11)+3,FALSE)),"",IF(HLOOKUP(B$5,'Dynamic Lists'!$B$1:$AO$7,RIGHT('Flow Control'!$A11)+3,FALSE)=0,"",HLOOKUP(B$5,'Dynamic Lists'!$B$1:$AO$7,RIGHT('Flow Control'!$A11)+3,FALSE)))</f>
        <v/>
      </c>
      <c r="C11" t="str">
        <f>IF(ISNA(HLOOKUP(C$5,'Dynamic Lists'!$B$1:$AO$7,RIGHT('Flow Control'!$A11)+3,FALSE)),"",IF(HLOOKUP(C$5,'Dynamic Lists'!$B$1:$AO$7,RIGHT('Flow Control'!$A11)+3,FALSE)=0,"",HLOOKUP(C$5,'Dynamic Lists'!$B$1:$AO$7,RIGHT('Flow Control'!$A11)+3,FALSE)))</f>
        <v/>
      </c>
      <c r="D11" t="str">
        <f>IF(ISNA(HLOOKUP(D$5,'Dynamic Lists'!$B$1:$AO$7,RIGHT('Flow Control'!$A11)+3,FALSE)),"",IF(HLOOKUP(D$5,'Dynamic Lists'!$B$1:$AO$7,RIGHT('Flow Control'!$A11)+3,FALSE)=0,"",HLOOKUP(D$5,'Dynamic Lists'!$B$1:$AO$7,RIGHT('Flow Control'!$A11)+3,FALSE)))</f>
        <v/>
      </c>
      <c r="E11" t="str">
        <f>IF(ISNA(HLOOKUP(E$5,'Dynamic Lists'!$B$1:$AO$7,RIGHT('Flow Control'!$A11)+3,FALSE)),"",IF(HLOOKUP(E$5,'Dynamic Lists'!$B$1:$AO$7,RIGHT('Flow Control'!$A11)+3,FALSE)=0,"",HLOOKUP(E$5,'Dynamic Lists'!$B$1:$AO$7,RIGHT('Flow Control'!$A11)+3,FALSE)))</f>
        <v/>
      </c>
      <c r="F11" t="str">
        <f>IF(ISNA(HLOOKUP(F$5,'Dynamic Lists'!$B$1:$AO$7,RIGHT('Flow Control'!$A11)+3,FALSE)),"",IF(HLOOKUP(F$5,'Dynamic Lists'!$B$1:$AO$7,RIGHT('Flow Control'!$A11)+3,FALSE)=0,"",HLOOKUP(F$5,'Dynamic Lists'!$B$1:$AO$7,RIGHT('Flow Control'!$A11)+3,FALSE)))</f>
        <v/>
      </c>
      <c r="G11" t="str">
        <f>IF(ISNA(HLOOKUP(G$5,'Dynamic Lists'!$B$1:$AO$7,RIGHT('Flow Control'!$A11)+3,FALSE)),"",IF(HLOOKUP(G$5,'Dynamic Lists'!$B$1:$AO$7,RIGHT('Flow Control'!$A11)+3,FALSE)=0,"",HLOOKUP(G$5,'Dynamic Lists'!$B$1:$AO$7,RIGHT('Flow Control'!$A11)+3,FALSE)))</f>
        <v/>
      </c>
      <c r="H11" t="str">
        <f>IF(ISNA(HLOOKUP(H$5,'Dynamic Lists'!$B$1:$AO$7,RIGHT('Flow Control'!$A11)+3,FALSE)),"",IF(HLOOKUP(H$5,'Dynamic Lists'!$B$1:$AO$7,RIGHT('Flow Control'!$A11)+3,FALSE)=0,"",HLOOKUP(H$5,'Dynamic Lists'!$B$1:$AO$7,RIGHT('Flow Control'!$A11)+3,FALSE)))</f>
        <v/>
      </c>
      <c r="I11" t="str">
        <f>IF(ISNA(HLOOKUP(I$5,'Dynamic Lists'!$B$1:$AO$7,RIGHT('Flow Control'!$A11)+3,FALSE)),"",IF(HLOOKUP(I$5,'Dynamic Lists'!$B$1:$AO$7,RIGHT('Flow Control'!$A11)+3,FALSE)=0,"",HLOOKUP(I$5,'Dynamic Lists'!$B$1:$AO$7,RIGHT('Flow Control'!$A11)+3,FALSE)))</f>
        <v/>
      </c>
      <c r="J11" t="str">
        <f>IF(ISNA(HLOOKUP(J$5,'Dynamic Lists'!$B$1:$AO$7,RIGHT('Flow Control'!$A11)+3,FALSE)),"",IF(HLOOKUP(J$5,'Dynamic Lists'!$B$1:$AO$7,RIGHT('Flow Control'!$A11)+3,FALSE)=0,"",HLOOKUP(J$5,'Dynamic Lists'!$B$1:$AO$7,RIGHT('Flow Control'!$A11)+3,FALSE)))</f>
        <v/>
      </c>
      <c r="K11" t="str">
        <f>IF(ISNA(HLOOKUP(K$5,'Dynamic Lists'!$B$1:$AO$7,RIGHT('Flow Control'!$A11)+3,FALSE)),"",IF(HLOOKUP(K$5,'Dynamic Lists'!$B$1:$AO$7,RIGHT('Flow Control'!$A11)+3,FALSE)=0,"",HLOOKUP(K$5,'Dynamic Lists'!$B$1:$AO$7,RIGHT('Flow Control'!$A11)+3,FALSE)))</f>
        <v/>
      </c>
      <c r="L11" t="str">
        <f>IF(ISNA(HLOOKUP(L$5,'Dynamic Lists'!$B$1:$AO$7,RIGHT('Flow Control'!$A11)+3,FALSE)),"",IF(HLOOKUP(L$5,'Dynamic Lists'!$B$1:$AO$7,RIGHT('Flow Control'!$A11)+3,FALSE)=0,"",HLOOKUP(L$5,'Dynamic Lists'!$B$1:$AO$7,RIGHT('Flow Control'!$A11)+3,FALSE)))</f>
        <v/>
      </c>
      <c r="M11" t="str">
        <f>IF(ISNA(HLOOKUP(M$5,'Dynamic Lists'!$B$1:$AO$7,RIGHT('Flow Control'!$A11)+3,FALSE)),"",IF(HLOOKUP(M$5,'Dynamic Lists'!$B$1:$AO$7,RIGHT('Flow Control'!$A11)+3,FALSE)=0,"",HLOOKUP(M$5,'Dynamic Lists'!$B$1:$AO$7,RIGHT('Flow Control'!$A11)+3,FALSE)))</f>
        <v/>
      </c>
      <c r="N11" t="str">
        <f>IF(ISNA(HLOOKUP(N$5,'Dynamic Lists'!$B$1:$AO$7,RIGHT('Flow Control'!$A11)+3,FALSE)),"",IF(HLOOKUP(N$5,'Dynamic Lists'!$B$1:$AO$7,RIGHT('Flow Control'!$A11)+3,FALSE)=0,"",HLOOKUP(N$5,'Dynamic Lists'!$B$1:$AO$7,RIGHT('Flow Control'!$A11)+3,FALSE)))</f>
        <v/>
      </c>
      <c r="O11" t="str">
        <f>IF(ISNA(HLOOKUP(O$5,'Dynamic Lists'!$B$1:$AO$7,RIGHT('Flow Control'!$A11)+3,FALSE)),"",IF(HLOOKUP(O$5,'Dynamic Lists'!$B$1:$AO$7,RIGHT('Flow Control'!$A11)+3,FALSE)=0,"",HLOOKUP(O$5,'Dynamic Lists'!$B$1:$AO$7,RIGHT('Flow Control'!$A11)+3,FALSE)))</f>
        <v/>
      </c>
      <c r="P11" t="str">
        <f>IF(ISNA(HLOOKUP(P$5,'Dynamic Lists'!$B$1:$AO$7,RIGHT('Flow Control'!$A11)+3,FALSE)),"",IF(HLOOKUP(P$5,'Dynamic Lists'!$B$1:$AO$7,RIGHT('Flow Control'!$A11)+3,FALSE)=0,"",HLOOKUP(P$5,'Dynamic Lists'!$B$1:$AO$7,RIGHT('Flow Control'!$A11)+3,FALSE)))</f>
        <v/>
      </c>
      <c r="Q11" t="str">
        <f>IF(ISNA(HLOOKUP(Q$5,'Dynamic Lists'!$B$1:$AO$7,RIGHT('Flow Control'!$A11)+3,FALSE)),"",IF(HLOOKUP(Q$5,'Dynamic Lists'!$B$1:$AO$7,RIGHT('Flow Control'!$A11)+3,FALSE)=0,"",HLOOKUP(Q$5,'Dynamic Lists'!$B$1:$AO$7,RIGHT('Flow Control'!$A11)+3,FALSE)))</f>
        <v/>
      </c>
      <c r="R11" t="str">
        <f>IF(ISNA(HLOOKUP(R$5,'Dynamic Lists'!$B$1:$AO$7,RIGHT('Flow Control'!$A11)+3,FALSE)),"",IF(HLOOKUP(R$5,'Dynamic Lists'!$B$1:$AO$7,RIGHT('Flow Control'!$A11)+3,FALSE)=0,"",HLOOKUP(R$5,'Dynamic Lists'!$B$1:$AO$7,RIGHT('Flow Control'!$A11)+3,FALSE)))</f>
        <v/>
      </c>
      <c r="S11" t="str">
        <f>IF(ISNA(HLOOKUP(S$5,'Dynamic Lists'!$B$1:$AO$7,RIGHT('Flow Control'!$A11)+3,FALSE)),"",IF(HLOOKUP(S$5,'Dynamic Lists'!$B$1:$AO$7,RIGHT('Flow Control'!$A11)+3,FALSE)=0,"",HLOOKUP(S$5,'Dynamic Lists'!$B$1:$AO$7,RIGHT('Flow Control'!$A11)+3,FALSE)))</f>
        <v/>
      </c>
    </row>
    <row r="18" spans="5:5" x14ac:dyDescent="0.25">
      <c r="E18" t="s">
        <v>64</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V38"/>
  <sheetViews>
    <sheetView showGridLines="0" showRowColHeaders="0" topLeftCell="E7" zoomScaleNormal="100" workbookViewId="0">
      <selection activeCell="F38" sqref="F38:V38"/>
    </sheetView>
  </sheetViews>
  <sheetFormatPr defaultRowHeight="15" x14ac:dyDescent="0.25"/>
  <cols>
    <col min="1" max="3" width="8.7109375" hidden="1" customWidth="1"/>
    <col min="4" max="4" width="0" hidden="1" customWidth="1"/>
    <col min="22" max="22" width="24.42578125" customWidth="1"/>
  </cols>
  <sheetData>
    <row r="1" spans="1:1" hidden="1" x14ac:dyDescent="0.25"/>
    <row r="2" spans="1:1" hidden="1" x14ac:dyDescent="0.25"/>
    <row r="3" spans="1:1" hidden="1" x14ac:dyDescent="0.25"/>
    <row r="4" spans="1:1" x14ac:dyDescent="0.25">
      <c r="A4" t="s">
        <v>940</v>
      </c>
    </row>
    <row r="5" spans="1:1" x14ac:dyDescent="0.25">
      <c r="A5">
        <v>0</v>
      </c>
    </row>
    <row r="7" spans="1:1" x14ac:dyDescent="0.25">
      <c r="A7" t="s">
        <v>57</v>
      </c>
    </row>
    <row r="8" spans="1:1" x14ac:dyDescent="0.25">
      <c r="A8" t="s">
        <v>314</v>
      </c>
    </row>
    <row r="11" spans="1:1" ht="13.5" customHeight="1" x14ac:dyDescent="0.25"/>
    <row r="18" spans="14:14" ht="18" x14ac:dyDescent="0.25">
      <c r="N18" s="1"/>
    </row>
    <row r="34" spans="6:22" x14ac:dyDescent="0.25">
      <c r="F34" s="143" t="s">
        <v>920</v>
      </c>
      <c r="G34" s="142"/>
      <c r="H34" s="142"/>
      <c r="I34" s="142"/>
      <c r="J34" s="142"/>
      <c r="K34" s="142"/>
      <c r="L34" s="142"/>
      <c r="M34" s="142"/>
      <c r="N34" s="142"/>
      <c r="O34" s="142"/>
      <c r="P34" s="142"/>
      <c r="Q34" s="142"/>
      <c r="R34" s="142"/>
      <c r="S34" s="142"/>
      <c r="T34" s="142"/>
      <c r="U34" s="142"/>
      <c r="V34" s="142"/>
    </row>
    <row r="35" spans="6:22" ht="30.95" customHeight="1" x14ac:dyDescent="0.25">
      <c r="F35" s="175" t="s">
        <v>916</v>
      </c>
      <c r="G35" s="175"/>
      <c r="H35" s="175"/>
      <c r="I35" s="175"/>
      <c r="J35" s="175"/>
      <c r="K35" s="175"/>
      <c r="L35" s="175"/>
      <c r="M35" s="175"/>
      <c r="N35" s="175"/>
      <c r="O35" s="175"/>
      <c r="P35" s="175"/>
      <c r="Q35" s="175"/>
      <c r="R35" s="175"/>
      <c r="S35" s="175"/>
      <c r="T35" s="175"/>
      <c r="U35" s="175"/>
      <c r="V35" s="175"/>
    </row>
    <row r="36" spans="6:22" ht="46.5" customHeight="1" x14ac:dyDescent="0.25">
      <c r="F36" s="175" t="s">
        <v>917</v>
      </c>
      <c r="G36" s="175"/>
      <c r="H36" s="175"/>
      <c r="I36" s="175"/>
      <c r="J36" s="175"/>
      <c r="K36" s="175"/>
      <c r="L36" s="175"/>
      <c r="M36" s="175"/>
      <c r="N36" s="175"/>
      <c r="O36" s="175"/>
      <c r="P36" s="175"/>
      <c r="Q36" s="175"/>
      <c r="R36" s="175"/>
      <c r="S36" s="175"/>
      <c r="T36" s="175"/>
      <c r="U36" s="175"/>
      <c r="V36" s="175"/>
    </row>
    <row r="37" spans="6:22" ht="46.5" customHeight="1" x14ac:dyDescent="0.25">
      <c r="F37" s="175" t="s">
        <v>918</v>
      </c>
      <c r="G37" s="175"/>
      <c r="H37" s="175"/>
      <c r="I37" s="175"/>
      <c r="J37" s="175"/>
      <c r="K37" s="175"/>
      <c r="L37" s="175"/>
      <c r="M37" s="175"/>
      <c r="N37" s="175"/>
      <c r="O37" s="175"/>
      <c r="P37" s="175"/>
      <c r="Q37" s="175"/>
      <c r="R37" s="175"/>
      <c r="S37" s="175"/>
      <c r="T37" s="175"/>
      <c r="U37" s="175"/>
      <c r="V37" s="175"/>
    </row>
    <row r="38" spans="6:22" ht="49.5" customHeight="1" x14ac:dyDescent="0.25">
      <c r="F38" s="175" t="s">
        <v>919</v>
      </c>
      <c r="G38" s="175"/>
      <c r="H38" s="175"/>
      <c r="I38" s="175"/>
      <c r="J38" s="175"/>
      <c r="K38" s="175"/>
      <c r="L38" s="175"/>
      <c r="M38" s="175"/>
      <c r="N38" s="175"/>
      <c r="O38" s="175"/>
      <c r="P38" s="175"/>
      <c r="Q38" s="175"/>
      <c r="R38" s="175"/>
      <c r="S38" s="175"/>
      <c r="T38" s="175"/>
      <c r="U38" s="175"/>
      <c r="V38" s="175"/>
    </row>
  </sheetData>
  <mergeCells count="4">
    <mergeCell ref="F35:V35"/>
    <mergeCell ref="F36:V36"/>
    <mergeCell ref="F37:V37"/>
    <mergeCell ref="F38:V38"/>
  </mergeCells>
  <pageMargins left="0.25" right="0.25" top="0.75" bottom="0.75" header="0.3" footer="0.3"/>
  <pageSetup paperSize="9" scale="44"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2111" r:id="rId4" name="List Box 63">
              <controlPr defaultSize="0" autoLine="0" autoPict="0">
                <anchor moveWithCells="1">
                  <from>
                    <xdr:col>20</xdr:col>
                    <xdr:colOff>200025</xdr:colOff>
                    <xdr:row>25</xdr:row>
                    <xdr:rowOff>85725</xdr:rowOff>
                  </from>
                  <to>
                    <xdr:col>21</xdr:col>
                    <xdr:colOff>581025</xdr:colOff>
                    <xdr:row>27</xdr:row>
                    <xdr:rowOff>28575</xdr:rowOff>
                  </to>
                </anchor>
              </controlPr>
            </control>
          </mc:Choice>
        </mc:AlternateContent>
      </controls>
    </mc:Choice>
  </mc:AlternateConten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B3:F30"/>
  <sheetViews>
    <sheetView workbookViewId="0">
      <selection activeCell="E23" sqref="E23"/>
    </sheetView>
  </sheetViews>
  <sheetFormatPr defaultColWidth="8.85546875" defaultRowHeight="15" x14ac:dyDescent="0.25"/>
  <cols>
    <col min="2" max="2" width="19.140625" customWidth="1"/>
    <col min="3" max="3" width="41.42578125" customWidth="1"/>
    <col min="4" max="4" width="25.140625" customWidth="1"/>
    <col min="5" max="5" width="8.42578125" customWidth="1"/>
    <col min="6" max="6" width="21.140625" customWidth="1"/>
  </cols>
  <sheetData>
    <row r="3" spans="2:6" x14ac:dyDescent="0.25">
      <c r="B3" s="25" t="s">
        <v>442</v>
      </c>
      <c r="C3" s="25" t="s">
        <v>195</v>
      </c>
      <c r="D3" s="25" t="s">
        <v>438</v>
      </c>
      <c r="E3" s="25" t="e">
        <f>MATCH(1, E$4:$E$9, FALSE)</f>
        <v>#N/A</v>
      </c>
      <c r="F3" s="25" t="str">
        <f>IF(ISNA(INDEX($F$4:$F$9, E3)), "Default", INDEX($F$4:$F$9, E3))</f>
        <v>Default</v>
      </c>
    </row>
    <row r="4" spans="2:6" x14ac:dyDescent="0.25">
      <c r="C4" s="25"/>
      <c r="D4" s="25" t="s">
        <v>99</v>
      </c>
      <c r="E4" s="25" t="str">
        <f>IF(ISNA(VLOOKUP(C4,'Output All'!F:F,1,FALSE)),"",IF(VLOOKUP(C4,'Output All'!F:F,1,FALSE)&lt;&gt;0,1,""))</f>
        <v/>
      </c>
      <c r="F4" s="25" t="str">
        <f>IF(ISNA(VLOOKUP(C4,'Output All'!F:F,1,FALSE)),"",IF(VLOOKUP(C4,'Output All'!F:F,1,FALSE)&lt;&gt;0,INDEX($D$4:$D$9, $E$3),""))</f>
        <v/>
      </c>
    </row>
    <row r="5" spans="2:6" x14ac:dyDescent="0.25">
      <c r="C5" s="25" t="str">
        <f>'Question List'!E24</f>
        <v>Usage is less than 100MWh per year</v>
      </c>
      <c r="D5" s="25" t="s">
        <v>198</v>
      </c>
      <c r="E5" s="25" t="str">
        <f>IF(ISNA(VLOOKUP(C5,'Output All'!F:F,1,FALSE)),"",IF(VLOOKUP(C5,'Output All'!F:F,1,FALSE)&lt;&gt;0,1,""))</f>
        <v/>
      </c>
      <c r="F5" s="25" t="str">
        <f>IF(ISNA(VLOOKUP(C5,'Output All'!F:F,1,FALSE)),"",IF(VLOOKUP(C5,'Output All'!F:F,1,FALSE)&lt;&gt;0,INDEX($D$4:$D$9, $E$3),""))</f>
        <v/>
      </c>
    </row>
    <row r="6" spans="2:6" x14ac:dyDescent="0.25">
      <c r="C6" s="25" t="str">
        <f>'Question List'!E25</f>
        <v>Usage is between 100MWh and 160MWh per year</v>
      </c>
      <c r="D6" s="25" t="s">
        <v>197</v>
      </c>
      <c r="E6" s="25" t="str">
        <f>IF(ISNA(VLOOKUP(C6,'Output All'!F:F,1,FALSE)),"",IF(VLOOKUP(C6,'Output All'!F:F,1,FALSE)&lt;&gt;0,1,""))</f>
        <v/>
      </c>
      <c r="F6" s="25" t="str">
        <f>IF(ISNA(VLOOKUP(C6,'Output All'!F:F,1,FALSE)),"",IF(VLOOKUP(C6,'Output All'!F:F,1,FALSE)&lt;&gt;0,INDEX($D$4:$D$9, $E$3),""))</f>
        <v/>
      </c>
    </row>
    <row r="7" spans="2:6" x14ac:dyDescent="0.25">
      <c r="C7" s="25" t="str">
        <f>'Question List'!E26</f>
        <v>Usage is in excess of 160MWh per year</v>
      </c>
      <c r="D7" s="25" t="s">
        <v>196</v>
      </c>
      <c r="E7" s="25" t="str">
        <f>IF(ISNA(VLOOKUP(C7,'Output All'!F:F,1,FALSE)),"",IF(VLOOKUP(C7,'Output All'!F:F,1,FALSE)&lt;&gt;0,1,""))</f>
        <v/>
      </c>
      <c r="F7" s="25" t="str">
        <f>IF(ISNA(VLOOKUP(C7,'Output All'!F:F,1,FALSE)),"",IF(VLOOKUP(C7,'Output All'!F:F,1,FALSE)&lt;&gt;0,INDEX($D$4:$D$9, $E$3),""))</f>
        <v/>
      </c>
    </row>
    <row r="8" spans="2:6" x14ac:dyDescent="0.25">
      <c r="C8" s="25"/>
      <c r="D8" s="25" t="s">
        <v>441</v>
      </c>
      <c r="E8" s="25" t="str">
        <f>IF(ISNA(VLOOKUP(C8,'Output All'!F:F,1,FALSE)),"",IF(VLOOKUP(C8,'Output All'!F:F,1,FALSE)&lt;&gt;0,1,""))</f>
        <v/>
      </c>
      <c r="F8" s="25" t="str">
        <f>IF(ISNA(VLOOKUP(C8,'Output All'!F:F,1,FALSE)),"",IF(VLOOKUP(C8,'Output All'!F:F,1,FALSE)&lt;&gt;0,INDEX($D$4:$D$9, $E$3),""))</f>
        <v/>
      </c>
    </row>
    <row r="9" spans="2:6" x14ac:dyDescent="0.25">
      <c r="C9" s="25" t="str">
        <f>'Question List'!E27</f>
        <v xml:space="preserve">Yearly energy consumption by MWh is not known. </v>
      </c>
      <c r="D9" s="25" t="s">
        <v>377</v>
      </c>
      <c r="E9" s="25" t="str">
        <f>IF(ISNA(VLOOKUP(C9,'Output All'!F:F,1,FALSE)),"",IF(VLOOKUP(C9,'Output All'!F:F,1,FALSE)&lt;&gt;0,1,""))</f>
        <v/>
      </c>
      <c r="F9" s="25" t="str">
        <f>IF(ISNA(VLOOKUP(C9,'Output All'!F:F,1,FALSE)),"",IF(VLOOKUP(C9,'Output All'!F:F,1,FALSE)&lt;&gt;0,INDEX($D$4:$D$9, $E$3),""))</f>
        <v/>
      </c>
    </row>
    <row r="10" spans="2:6" x14ac:dyDescent="0.25">
      <c r="F10" t="e">
        <f>IF(VLOOKUP(C10, 'Output All'!F:F, 1, FALSE), 'Output Conversion'!D10, "")</f>
        <v>#N/A</v>
      </c>
    </row>
    <row r="11" spans="2:6" x14ac:dyDescent="0.25">
      <c r="B11" s="25" t="s">
        <v>70</v>
      </c>
      <c r="C11" s="25" t="s">
        <v>195</v>
      </c>
      <c r="D11" s="25" t="s">
        <v>438</v>
      </c>
      <c r="E11" s="25" t="e">
        <f>MATCH(1, E$12:$E$17, FALSE)</f>
        <v>#N/A</v>
      </c>
      <c r="F11" s="25" t="str">
        <f>IF(ISNA(INDEX($F$12:$F$17, E11)), "Default", INDEX($F$12:$F$17, E11))</f>
        <v>Default</v>
      </c>
    </row>
    <row r="12" spans="2:6" x14ac:dyDescent="0.25">
      <c r="B12" s="37"/>
      <c r="C12" s="25" t="str">
        <f>'Question List'!E49</f>
        <v>Payback calculations are modelled based on 15 year lifetime</v>
      </c>
      <c r="D12" s="25" t="str">
        <f>'Arbitrage Payback Engine'!X4</f>
        <v>More than 10 years</v>
      </c>
      <c r="E12" s="25" t="str">
        <f>IF(ISNA(VLOOKUP(C12,'Output All'!F:F,1,FALSE)),"",IF(VLOOKUP(C12,'Output All'!F:F,1,FALSE)&lt;&gt;0,1,""))</f>
        <v/>
      </c>
      <c r="F12" s="25" t="str">
        <f>IF(ISNA(VLOOKUP(C12,'Output All'!F:F,1,FALSE)),"",IF(VLOOKUP(C12,'Output All'!F:F,1,FALSE)&lt;&gt;0,INDEX($D$12:$D$17, $E$11),""))</f>
        <v/>
      </c>
    </row>
    <row r="13" spans="2:6" x14ac:dyDescent="0.25">
      <c r="B13" s="37"/>
      <c r="C13" s="25" t="str">
        <f>'Question List'!E50</f>
        <v>Aspirations for battery storage are not only financial for this business</v>
      </c>
      <c r="D13" s="25" t="str">
        <f>'Arbitrage Payback Engine'!X4</f>
        <v>More than 10 years</v>
      </c>
      <c r="E13" s="25" t="str">
        <f>IF(ISNA(VLOOKUP(C13,'Output All'!F:F,1,FALSE)),"",IF(VLOOKUP(C13,'Output All'!F:F,1,FALSE)&lt;&gt;0,1,""))</f>
        <v/>
      </c>
      <c r="F13" s="25" t="str">
        <f>IF(ISNA(VLOOKUP(C13,'Output All'!F:F,1,FALSE)),"",IF(VLOOKUP(C13,'Output All'!F:F,1,FALSE)&lt;&gt;0,INDEX($D$12:$D$17, $E$11),""))</f>
        <v/>
      </c>
    </row>
    <row r="14" spans="2:6" x14ac:dyDescent="0.25">
      <c r="C14" s="25" t="s">
        <v>99</v>
      </c>
      <c r="D14" s="25" t="str">
        <f>'Arbitrage Payback Engine'!X5</f>
        <v>Custom</v>
      </c>
      <c r="E14" s="25" t="str">
        <f>IF(ISNA(VLOOKUP(C14,'Output All'!F:F,1,FALSE)),"",IF(VLOOKUP(C14,'Output All'!F:F,1,FALSE)&lt;&gt;0,1,""))</f>
        <v/>
      </c>
      <c r="F14" s="25" t="str">
        <f>IF(ISNA(VLOOKUP(C14,'Output All'!F:F,1,FALSE)),"",IF(VLOOKUP(C14,'Output All'!F:F,1,FALSE)&lt;&gt;0,INDEX($D$12:$D$17, $E$11),""))</f>
        <v/>
      </c>
    </row>
    <row r="15" spans="2:6" x14ac:dyDescent="0.25">
      <c r="C15" s="25" t="str">
        <f>'Question List'!E52</f>
        <v>Expectations for return on investment are unrealistically short for this business and only perfect situations should be considered</v>
      </c>
      <c r="D15" s="25" t="str">
        <f>'Arbitrage Payback Engine'!X2</f>
        <v>3-7 Years</v>
      </c>
      <c r="E15" s="25" t="str">
        <f>IF(ISNA(VLOOKUP(C15,'Output All'!F:F,1,FALSE)),"",IF(VLOOKUP(C15,'Output All'!F:F,1,FALSE)&lt;&gt;0,1,""))</f>
        <v/>
      </c>
      <c r="F15" s="25" t="str">
        <f>IF(ISNA(VLOOKUP(C15,'Output All'!F:F,1,FALSE)),"",IF(VLOOKUP(C15,'Output All'!F:F,1,FALSE)&lt;&gt;0,INDEX($D$12:$D$17, $E$11),""))</f>
        <v/>
      </c>
    </row>
    <row r="16" spans="2:6" x14ac:dyDescent="0.25">
      <c r="C16" s="25" t="str">
        <f>'Question List'!E53</f>
        <v>Only ideal situations for battery storage should be considered for this business</v>
      </c>
      <c r="D16" s="25" t="str">
        <f>'Arbitrage Payback Engine'!X3</f>
        <v>7-10 Years</v>
      </c>
      <c r="E16" s="25" t="str">
        <f>IF(ISNA(VLOOKUP(C16,'Output All'!F:F,1,FALSE)),"",IF(VLOOKUP(C16,'Output All'!F:F,1,FALSE)&lt;&gt;0,1,""))</f>
        <v/>
      </c>
      <c r="F16" s="25" t="str">
        <f>IF(ISNA(VLOOKUP(C16,'Output All'!F:F,1,FALSE)),"",IF(VLOOKUP(C16,'Output All'!F:F,1,FALSE)&lt;&gt;0,INDEX($D$12:$D$17, $E$11),""))</f>
        <v/>
      </c>
    </row>
    <row r="17" spans="2:6" x14ac:dyDescent="0.25">
      <c r="C17" s="25" t="str">
        <f>'Question List'!E54</f>
        <v>Payback over the lifetime of the installation is sufficient</v>
      </c>
      <c r="D17" s="25" t="str">
        <f>'Arbitrage Payback Engine'!X4</f>
        <v>More than 10 years</v>
      </c>
      <c r="E17" s="25" t="str">
        <f>IF(ISNA(VLOOKUP(C17,'Output All'!F:F,1,FALSE)),"",IF(VLOOKUP(C17,'Output All'!F:F,1,FALSE)&lt;&gt;0,1,""))</f>
        <v/>
      </c>
      <c r="F17" s="25" t="str">
        <f>IF(ISNA(VLOOKUP(C17,'Output All'!F:F,1,FALSE)),"",IF(VLOOKUP(C17,'Output All'!F:F,1,FALSE)&lt;&gt;0,INDEX($D$12:$D$17, $E$11),""))</f>
        <v/>
      </c>
    </row>
    <row r="19" spans="2:6" x14ac:dyDescent="0.25">
      <c r="B19" s="25" t="s">
        <v>440</v>
      </c>
      <c r="C19" s="25" t="s">
        <v>195</v>
      </c>
      <c r="D19" s="25" t="s">
        <v>438</v>
      </c>
      <c r="E19" s="25" t="e">
        <f>MATCH(1, E$20:$E$25, FALSE)</f>
        <v>#N/A</v>
      </c>
      <c r="F19" s="25" t="str">
        <f>IF(ISNA(INDEX($F$20:$F$25, E19)), "Default", INDEX($F$20:$F$25, E19))</f>
        <v>Default</v>
      </c>
    </row>
    <row r="20" spans="2:6" x14ac:dyDescent="0.25">
      <c r="B20" s="37"/>
      <c r="C20" s="25" t="str">
        <f>'Question List'!E84</f>
        <v>Peak usage occurs for no more than 1 hour</v>
      </c>
      <c r="D20" s="25">
        <f>'Peak Models'!L5</f>
        <v>1</v>
      </c>
      <c r="E20" s="25" t="str">
        <f>IF(ISNA(VLOOKUP(C20,'Output All'!F:F,1,FALSE)),"",IF(VLOOKUP(C20,'Output All'!F:F,1,FALSE)&lt;&gt;0,1,""))</f>
        <v/>
      </c>
      <c r="F20" s="25" t="str">
        <f>IF(ISNA(VLOOKUP(C20,'Output All'!F:F,1,FALSE)),"",IF(VLOOKUP(C20,'Output All'!F:F,1,FALSE)&lt;&gt;0,INDEX($D$20:$D$25, $E$19),""))</f>
        <v/>
      </c>
    </row>
    <row r="21" spans="2:6" x14ac:dyDescent="0.25">
      <c r="B21" s="37"/>
      <c r="C21" s="25" t="str">
        <f>'Question List'!E85</f>
        <v>Peak usage occurs for no more than 2 hours</v>
      </c>
      <c r="D21" s="25">
        <f>'Peak Models'!L7</f>
        <v>2</v>
      </c>
      <c r="E21" s="25" t="str">
        <f>IF(ISNA(VLOOKUP(C21,'Output All'!F:F,1,FALSE)),"",IF(VLOOKUP(C21,'Output All'!F:F,1,FALSE)&lt;&gt;0,1,""))</f>
        <v/>
      </c>
      <c r="F21" s="25" t="str">
        <f>IF(ISNA(VLOOKUP(C21,'Output All'!F:F,1,FALSE)),"",IF(VLOOKUP(C21,'Output All'!F:F,1,FALSE)&lt;&gt;0,INDEX($D$20:$D$25, $E$19),""))</f>
        <v/>
      </c>
    </row>
    <row r="22" spans="2:6" x14ac:dyDescent="0.25">
      <c r="C22" s="25" t="str">
        <f>'Question List'!E86</f>
        <v>Peak usage occurs for no more than 3 hours</v>
      </c>
      <c r="D22" s="25">
        <f>'Peak Models'!L9</f>
        <v>3</v>
      </c>
      <c r="E22" s="25" t="str">
        <f>IF(ISNA(VLOOKUP(C22,'Output All'!F:F,1,FALSE)),"",IF(VLOOKUP(C22,'Output All'!F:F,1,FALSE)&lt;&gt;0,1,""))</f>
        <v/>
      </c>
      <c r="F22" s="25" t="str">
        <f>IF(ISNA(VLOOKUP(C22,'Output All'!F:F,1,FALSE)),"",IF(VLOOKUP(C22,'Output All'!F:F,1,FALSE)&lt;&gt;0,INDEX($D$20:$D$25, $E$19),""))</f>
        <v/>
      </c>
    </row>
    <row r="23" spans="2:6" x14ac:dyDescent="0.25">
      <c r="C23" s="25" t="str">
        <f>'Question List'!E87</f>
        <v>Peak usage may occur for more than 3 hours</v>
      </c>
      <c r="D23" s="25">
        <f>'Peak Models'!L11</f>
        <v>4</v>
      </c>
      <c r="E23" s="25" t="str">
        <f>IF(ISNA(VLOOKUP(C23,'Output All'!F:F,1,FALSE)),"",IF(VLOOKUP(C23,'Output All'!F:F,1,FALSE)&lt;&gt;0,1,""))</f>
        <v/>
      </c>
      <c r="F23" s="25" t="str">
        <f>IF(ISNA(VLOOKUP(C23,'Output All'!F:F,1,FALSE)),"",IF(VLOOKUP(C23,'Output All'!F:F,1,FALSE)&lt;&gt;0,INDEX($D$20:$D$25, $E$19),""))</f>
        <v/>
      </c>
    </row>
    <row r="26" spans="2:6" x14ac:dyDescent="0.25">
      <c r="B26" s="25" t="s">
        <v>439</v>
      </c>
      <c r="C26" s="25" t="s">
        <v>195</v>
      </c>
      <c r="D26" s="25" t="s">
        <v>438</v>
      </c>
      <c r="E26" s="25" t="e">
        <f>MATCH(1, E$27:$E$30, FALSE)</f>
        <v>#N/A</v>
      </c>
      <c r="F26" s="25" t="str">
        <f>IF(ISNA(INDEX($F$27:$F$30, E26)), "Default", INDEX($F$27:$F$30, E26))</f>
        <v>Default</v>
      </c>
    </row>
    <row r="27" spans="2:6" x14ac:dyDescent="0.25">
      <c r="B27" s="37"/>
      <c r="C27" s="25" t="str">
        <f>'Question List'!E88</f>
        <v>The business is in the Ausgrid region</v>
      </c>
      <c r="D27" s="25" t="str">
        <f>'Tariff Model '!B14</f>
        <v>AusGrid</v>
      </c>
      <c r="E27" s="25" t="str">
        <f>IF(ISNA(VLOOKUP(C27,'Output All'!F:F,1,FALSE)),"",IF(VLOOKUP(C27,'Output All'!F:F,1,FALSE)&lt;&gt;0,1,""))</f>
        <v/>
      </c>
      <c r="F27" s="25" t="str">
        <f>IF(ISNA(VLOOKUP(C27,'Output All'!F:F,1,FALSE)),"",IF(VLOOKUP(C27,'Output All'!F:F,1,FALSE)&lt;&gt;0,INDEX($D$27:$D$30, $E$26),""))</f>
        <v/>
      </c>
    </row>
    <row r="28" spans="2:6" x14ac:dyDescent="0.25">
      <c r="B28" s="37"/>
      <c r="C28" s="25" t="str">
        <f>'Question List'!E89</f>
        <v>The business is in the Endeavour Energy region</v>
      </c>
      <c r="D28" s="25" t="str">
        <f>'Tariff Model '!B15</f>
        <v>Endeavour</v>
      </c>
      <c r="E28" s="25" t="str">
        <f>IF(ISNA(VLOOKUP(C28,'Output All'!F:F,1,FALSE)),"",IF(VLOOKUP(C28,'Output All'!F:F,1,FALSE)&lt;&gt;0,1,""))</f>
        <v/>
      </c>
      <c r="F28" s="25" t="str">
        <f>IF(ISNA(VLOOKUP(C28,'Output All'!F:F,1,FALSE)),"",IF(VLOOKUP(C28,'Output All'!F:F,1,FALSE)&lt;&gt;0,INDEX($D$27:$D$30, $E$26),""))</f>
        <v/>
      </c>
    </row>
    <row r="29" spans="2:6" x14ac:dyDescent="0.25">
      <c r="C29" s="25" t="str">
        <f>'Question List'!E90</f>
        <v>The business is in the Essential Energy region</v>
      </c>
      <c r="D29" s="25" t="str">
        <f>'Tariff Model '!B16</f>
        <v>Essential</v>
      </c>
      <c r="E29" s="25" t="str">
        <f>IF(ISNA(VLOOKUP(C29,'Output All'!F:F,1,FALSE)),"",IF(VLOOKUP(C29,'Output All'!F:F,1,FALSE)&lt;&gt;0,1,""))</f>
        <v/>
      </c>
      <c r="F29" s="25" t="str">
        <f>IF(ISNA(VLOOKUP(C29,'Output All'!F:F,1,FALSE)),"",IF(VLOOKUP(C29,'Output All'!F:F,1,FALSE)&lt;&gt;0,INDEX($D$27:$D$30, $E$26),""))</f>
        <v/>
      </c>
    </row>
    <row r="30" spans="2:6" x14ac:dyDescent="0.25">
      <c r="C30" s="25" t="str">
        <f>'Question List'!E91</f>
        <v>The location of the business has not been established and an average tariff has been applied</v>
      </c>
      <c r="D30" s="25" t="str">
        <f>'Tariff Model '!B17</f>
        <v>Average</v>
      </c>
      <c r="E30" s="25" t="str">
        <f>IF(ISNA(VLOOKUP(C30,'Output All'!F:F,1,FALSE)),"",IF(VLOOKUP(C30,'Output All'!F:F,1,FALSE)&lt;&gt;0,1,""))</f>
        <v/>
      </c>
      <c r="F30" s="25" t="str">
        <f>IF(ISNA(VLOOKUP(C30,'Output All'!F:F,1,FALSE)),"",IF(VLOOKUP(C30,'Output All'!F:F,1,FALSE)&lt;&gt;0,INDEX($D$27:$D$30, $E$26),""))</f>
        <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F164"/>
  <sheetViews>
    <sheetView topLeftCell="A64" workbookViewId="0">
      <selection activeCell="E74" sqref="E74"/>
    </sheetView>
  </sheetViews>
  <sheetFormatPr defaultColWidth="8.85546875" defaultRowHeight="15" x14ac:dyDescent="0.25"/>
  <cols>
    <col min="3" max="3" width="36" customWidth="1"/>
    <col min="4" max="4" width="29.140625" customWidth="1"/>
    <col min="5" max="5" width="43.140625" customWidth="1"/>
    <col min="6" max="6" width="28.140625" customWidth="1"/>
  </cols>
  <sheetData>
    <row r="1" spans="1:6" x14ac:dyDescent="0.25">
      <c r="C1" t="s">
        <v>445</v>
      </c>
      <c r="D1" t="s">
        <v>444</v>
      </c>
      <c r="E1" t="s">
        <v>443</v>
      </c>
    </row>
    <row r="2" spans="1:6" x14ac:dyDescent="0.25">
      <c r="A2" t="str">
        <f>'Question List'!B4</f>
        <v>Set 1</v>
      </c>
      <c r="B2" s="96" t="str">
        <f t="shared" ref="B2:B33" si="0">IF(A2=0, B1, A2)</f>
        <v>Set 1</v>
      </c>
      <c r="C2" t="str">
        <f>'Question List'!D4</f>
        <v>Yes</v>
      </c>
      <c r="D2" t="str">
        <f>'Question List'!E4</f>
        <v>The business is prepared for capital expenditure</v>
      </c>
      <c r="E2" t="str">
        <f>VLOOKUP(B2, 'Input Sheet'!$C$3:$F$101, 4, FALSE)</f>
        <v/>
      </c>
      <c r="F2" t="str">
        <f t="shared" ref="F2:F33" si="1">IF(C2=E2, D2, "")</f>
        <v/>
      </c>
    </row>
    <row r="3" spans="1:6" x14ac:dyDescent="0.25">
      <c r="A3">
        <f>'Question List'!B5</f>
        <v>0</v>
      </c>
      <c r="B3" s="96" t="str">
        <f t="shared" si="0"/>
        <v>Set 1</v>
      </c>
      <c r="C3" t="str">
        <f>'Question List'!D5</f>
        <v>Game over</v>
      </c>
      <c r="D3" t="str">
        <f>'Question List'!E5</f>
        <v>The business is not prepared for capital expenditure</v>
      </c>
      <c r="E3" t="str">
        <f>VLOOKUP(B3, 'Input Sheet'!$C$3:$F$101, 4, FALSE)</f>
        <v/>
      </c>
      <c r="F3" t="str">
        <f t="shared" si="1"/>
        <v/>
      </c>
    </row>
    <row r="4" spans="1:6" x14ac:dyDescent="0.25">
      <c r="A4">
        <f>'Question List'!B6</f>
        <v>0</v>
      </c>
      <c r="B4" s="96" t="str">
        <f t="shared" si="0"/>
        <v>Set 1</v>
      </c>
      <c r="C4" t="str">
        <f>'Question List'!D6</f>
        <v>This is too expensive but let's continue anyway</v>
      </c>
      <c r="D4" t="str">
        <f>'Question List'!E6</f>
        <v>The business is not prepared for capital expenditure</v>
      </c>
      <c r="E4" t="str">
        <f>VLOOKUP(B4, 'Input Sheet'!$C$3:$F$101, 4, FALSE)</f>
        <v/>
      </c>
      <c r="F4" t="str">
        <f t="shared" si="1"/>
        <v/>
      </c>
    </row>
    <row r="5" spans="1:6" x14ac:dyDescent="0.25">
      <c r="A5">
        <f>'Question List'!B7</f>
        <v>0</v>
      </c>
      <c r="B5" s="96" t="str">
        <f t="shared" si="0"/>
        <v>Set 1</v>
      </c>
      <c r="C5">
        <f>'Question List'!D7</f>
        <v>0</v>
      </c>
      <c r="D5">
        <f>'Question List'!E7</f>
        <v>0</v>
      </c>
      <c r="E5" t="str">
        <f>VLOOKUP(B5, 'Input Sheet'!$C$3:$F$101, 4, FALSE)</f>
        <v/>
      </c>
      <c r="F5" t="str">
        <f t="shared" si="1"/>
        <v/>
      </c>
    </row>
    <row r="6" spans="1:6" x14ac:dyDescent="0.25">
      <c r="A6" t="str">
        <f>'Question List'!B8</f>
        <v>Set 2</v>
      </c>
      <c r="B6" s="96" t="str">
        <f t="shared" si="0"/>
        <v>Set 2</v>
      </c>
      <c r="C6" t="str">
        <f>'Question List'!D8</f>
        <v>Yes</v>
      </c>
      <c r="D6" t="str">
        <f>'Question List'!E8</f>
        <v>The business is allowed to modify its electrical infrastructure</v>
      </c>
      <c r="E6" t="e">
        <f>VLOOKUP(B6, 'Input Sheet'!$C$3:$F$101, 4, FALSE)</f>
        <v>#N/A</v>
      </c>
      <c r="F6" t="e">
        <f t="shared" si="1"/>
        <v>#N/A</v>
      </c>
    </row>
    <row r="7" spans="1:6" x14ac:dyDescent="0.25">
      <c r="A7">
        <f>'Question List'!B9</f>
        <v>0</v>
      </c>
      <c r="B7" s="96" t="str">
        <f t="shared" si="0"/>
        <v>Set 2</v>
      </c>
      <c r="C7" t="str">
        <f>'Question List'!D9</f>
        <v>Game over</v>
      </c>
      <c r="D7" t="str">
        <f>'Question List'!E9</f>
        <v>The business is not allowed to modify its electrical infrastructure</v>
      </c>
      <c r="E7" t="e">
        <f>VLOOKUP(B7, 'Input Sheet'!$C$3:$F$101, 4, FALSE)</f>
        <v>#N/A</v>
      </c>
      <c r="F7" t="e">
        <f t="shared" si="1"/>
        <v>#N/A</v>
      </c>
    </row>
    <row r="8" spans="1:6" x14ac:dyDescent="0.25">
      <c r="A8">
        <f>'Question List'!B10</f>
        <v>0</v>
      </c>
      <c r="B8" s="96" t="str">
        <f t="shared" si="0"/>
        <v>Set 2</v>
      </c>
      <c r="C8">
        <f>'Question List'!D10</f>
        <v>0</v>
      </c>
      <c r="D8">
        <f>'Question List'!E10</f>
        <v>0</v>
      </c>
      <c r="E8" t="e">
        <f>VLOOKUP(B8, 'Input Sheet'!$C$3:$F$101, 4, FALSE)</f>
        <v>#N/A</v>
      </c>
      <c r="F8" t="e">
        <f t="shared" si="1"/>
        <v>#N/A</v>
      </c>
    </row>
    <row r="9" spans="1:6" x14ac:dyDescent="0.25">
      <c r="A9">
        <f>'Question List'!B11</f>
        <v>0</v>
      </c>
      <c r="B9" s="96" t="str">
        <f t="shared" si="0"/>
        <v>Set 2</v>
      </c>
      <c r="C9">
        <f>'Question List'!D11</f>
        <v>0</v>
      </c>
      <c r="D9">
        <f>'Question List'!E11</f>
        <v>0</v>
      </c>
      <c r="E9" t="e">
        <f>VLOOKUP(B9, 'Input Sheet'!$C$3:$F$101, 4, FALSE)</f>
        <v>#N/A</v>
      </c>
      <c r="F9" t="e">
        <f t="shared" si="1"/>
        <v>#N/A</v>
      </c>
    </row>
    <row r="10" spans="1:6" x14ac:dyDescent="0.25">
      <c r="A10" t="str">
        <f>'Question List'!B12</f>
        <v>Set 3</v>
      </c>
      <c r="B10" s="96" t="str">
        <f t="shared" si="0"/>
        <v>Set 3</v>
      </c>
      <c r="C10" t="str">
        <f>'Question List'!D12</f>
        <v>Yes</v>
      </c>
      <c r="D10" t="str">
        <f>'Question List'!E12</f>
        <v>The business is able to construct a battery room on site</v>
      </c>
      <c r="E10" t="e">
        <f>VLOOKUP(B10, 'Input Sheet'!$C$3:$F$101, 4, FALSE)</f>
        <v>#N/A</v>
      </c>
      <c r="F10" t="e">
        <f t="shared" si="1"/>
        <v>#N/A</v>
      </c>
    </row>
    <row r="11" spans="1:6" x14ac:dyDescent="0.25">
      <c r="A11">
        <f>'Question List'!B13</f>
        <v>0</v>
      </c>
      <c r="B11" s="96" t="str">
        <f t="shared" si="0"/>
        <v>Set 3</v>
      </c>
      <c r="C11" t="str">
        <f>'Question List'!D13</f>
        <v>Continue, but I need more info about a battery room</v>
      </c>
      <c r="D11" t="str">
        <f>'Question List'!E13</f>
        <v>A battery room may be a show-stopper for the business. For more details refer to the OEH document  'i am you battery storage guide', or visit the Clean Energy Council website for installation guidelines.</v>
      </c>
      <c r="E11" t="e">
        <f>VLOOKUP(B11, 'Input Sheet'!$C$3:$F$101, 4, FALSE)</f>
        <v>#N/A</v>
      </c>
      <c r="F11" t="e">
        <f t="shared" si="1"/>
        <v>#N/A</v>
      </c>
    </row>
    <row r="12" spans="1:6" x14ac:dyDescent="0.25">
      <c r="A12">
        <f>'Question List'!B14</f>
        <v>0</v>
      </c>
      <c r="B12" s="96" t="str">
        <f t="shared" si="0"/>
        <v>Set 3</v>
      </c>
      <c r="C12" t="str">
        <f>'Question List'!D14</f>
        <v>Investigate Solar PV without batteries</v>
      </c>
      <c r="D12" t="str">
        <f>'Question List'!E14</f>
        <v>The business may find Solar PV more feasible than battery storage</v>
      </c>
      <c r="E12" t="e">
        <f>VLOOKUP(B12, 'Input Sheet'!$C$3:$F$101, 4, FALSE)</f>
        <v>#N/A</v>
      </c>
      <c r="F12" t="e">
        <f t="shared" si="1"/>
        <v>#N/A</v>
      </c>
    </row>
    <row r="13" spans="1:6" x14ac:dyDescent="0.25">
      <c r="A13">
        <f>'Question List'!B15</f>
        <v>0</v>
      </c>
      <c r="B13" s="96" t="str">
        <f t="shared" si="0"/>
        <v>Set 3</v>
      </c>
      <c r="C13" t="str">
        <f>'Question List'!D15</f>
        <v>Game Over</v>
      </c>
      <c r="D13" t="str">
        <f>'Question List'!E15</f>
        <v>The business cannot construct a battery room</v>
      </c>
      <c r="E13" t="e">
        <f>VLOOKUP(B13, 'Input Sheet'!$C$3:$F$101, 4, FALSE)</f>
        <v>#N/A</v>
      </c>
      <c r="F13" t="e">
        <f t="shared" si="1"/>
        <v>#N/A</v>
      </c>
    </row>
    <row r="14" spans="1:6" x14ac:dyDescent="0.25">
      <c r="A14" t="str">
        <f>'Question List'!B16</f>
        <v>Set 4a1</v>
      </c>
      <c r="B14" s="96" t="str">
        <f t="shared" si="0"/>
        <v>Set 4a1</v>
      </c>
      <c r="C14">
        <f>'Question List'!D16</f>
        <v>0</v>
      </c>
      <c r="D14">
        <f>'Question List'!E16</f>
        <v>0</v>
      </c>
      <c r="E14" t="e">
        <f>VLOOKUP(B14, 'Input Sheet'!$C$3:$F$101, 4, FALSE)</f>
        <v>#N/A</v>
      </c>
      <c r="F14" t="e">
        <f t="shared" si="1"/>
        <v>#N/A</v>
      </c>
    </row>
    <row r="15" spans="1:6" x14ac:dyDescent="0.25">
      <c r="A15">
        <f>'Question List'!B17</f>
        <v>0</v>
      </c>
      <c r="B15" s="96" t="str">
        <f t="shared" si="0"/>
        <v>Set 4a1</v>
      </c>
      <c r="C15">
        <f>'Question List'!D17</f>
        <v>0</v>
      </c>
      <c r="D15">
        <f>'Question List'!E17</f>
        <v>0</v>
      </c>
      <c r="E15" t="e">
        <f>VLOOKUP(B15, 'Input Sheet'!$C$3:$F$101, 4, FALSE)</f>
        <v>#N/A</v>
      </c>
      <c r="F15" t="e">
        <f t="shared" si="1"/>
        <v>#N/A</v>
      </c>
    </row>
    <row r="16" spans="1:6" x14ac:dyDescent="0.25">
      <c r="A16">
        <f>'Question List'!B18</f>
        <v>0</v>
      </c>
      <c r="B16" s="96" t="str">
        <f t="shared" si="0"/>
        <v>Set 4a1</v>
      </c>
      <c r="C16">
        <f>'Question List'!D18</f>
        <v>0</v>
      </c>
      <c r="D16">
        <f>'Question List'!E18</f>
        <v>0</v>
      </c>
      <c r="E16" t="e">
        <f>VLOOKUP(B16, 'Input Sheet'!$C$3:$F$101, 4, FALSE)</f>
        <v>#N/A</v>
      </c>
      <c r="F16" t="e">
        <f t="shared" si="1"/>
        <v>#N/A</v>
      </c>
    </row>
    <row r="17" spans="1:6" x14ac:dyDescent="0.25">
      <c r="A17">
        <f>'Question List'!B19</f>
        <v>0</v>
      </c>
      <c r="B17" s="96" t="str">
        <f t="shared" si="0"/>
        <v>Set 4a1</v>
      </c>
      <c r="C17">
        <f>'Question List'!D19</f>
        <v>0</v>
      </c>
      <c r="D17">
        <f>'Question List'!E19</f>
        <v>0</v>
      </c>
      <c r="E17" t="e">
        <f>VLOOKUP(B17, 'Input Sheet'!$C$3:$F$101, 4, FALSE)</f>
        <v>#N/A</v>
      </c>
      <c r="F17" t="e">
        <f t="shared" si="1"/>
        <v>#N/A</v>
      </c>
    </row>
    <row r="18" spans="1:6" x14ac:dyDescent="0.25">
      <c r="A18" t="str">
        <f>'Question List'!B20</f>
        <v>Set 4a2</v>
      </c>
      <c r="B18" s="96" t="str">
        <f t="shared" si="0"/>
        <v>Set 4a2</v>
      </c>
      <c r="C18" t="str">
        <f>'Question List'!D20</f>
        <v>I can get all the power I need from the grid, I want to save money</v>
      </c>
      <c r="D18" t="str">
        <f>'Question List'!E20</f>
        <v>The business is a typical grid connected business looking to reduce electricity costs</v>
      </c>
      <c r="E18" t="e">
        <f>VLOOKUP(B18, 'Input Sheet'!$C$3:$F$101, 4, FALSE)</f>
        <v>#N/A</v>
      </c>
      <c r="F18" t="e">
        <f t="shared" si="1"/>
        <v>#N/A</v>
      </c>
    </row>
    <row r="19" spans="1:6" x14ac:dyDescent="0.25">
      <c r="A19">
        <f>'Question List'!B21</f>
        <v>0</v>
      </c>
      <c r="B19" s="96" t="str">
        <f t="shared" si="0"/>
        <v>Set 4a2</v>
      </c>
      <c r="C19" t="str">
        <f>'Question List'!D21</f>
        <v>Power failures are very costly to my business and I need a back-up option</v>
      </c>
      <c r="D19" t="str">
        <f>'Question List'!E21</f>
        <v>The business is grid connected and has identified back-up capability requirements. Detailed site analysis is required for requirements to be accurate</v>
      </c>
      <c r="E19" t="e">
        <f>VLOOKUP(B19, 'Input Sheet'!$C$3:$F$101, 4, FALSE)</f>
        <v>#N/A</v>
      </c>
      <c r="F19" t="e">
        <f t="shared" si="1"/>
        <v>#N/A</v>
      </c>
    </row>
    <row r="20" spans="1:6" x14ac:dyDescent="0.25">
      <c r="A20">
        <f>'Question List'!B22</f>
        <v>0</v>
      </c>
      <c r="B20" s="96" t="str">
        <f t="shared" si="0"/>
        <v>Set 4a2</v>
      </c>
      <c r="C20" t="str">
        <f>'Question List'!D22</f>
        <v>Occasionally more power is needed than the network can supply. I'm looking at options to upgrade</v>
      </c>
      <c r="D20" t="str">
        <f>'Question List'!E22</f>
        <v>The business has identified a network constraint and is interested in defering connection upgrades. Detailed site analysis is required for requirements to be accurate</v>
      </c>
      <c r="E20" t="e">
        <f>VLOOKUP(B20, 'Input Sheet'!$C$3:$F$101, 4, FALSE)</f>
        <v>#N/A</v>
      </c>
      <c r="F20" t="e">
        <f t="shared" si="1"/>
        <v>#N/A</v>
      </c>
    </row>
    <row r="21" spans="1:6" x14ac:dyDescent="0.25">
      <c r="A21">
        <f>'Question List'!B23</f>
        <v>0</v>
      </c>
      <c r="B21" s="96" t="str">
        <f t="shared" si="0"/>
        <v>Set 4a2</v>
      </c>
      <c r="C21" t="str">
        <f>'Question List'!D23</f>
        <v>The grid seldom (or never) supplies what I need, I want an off-grid set-up</v>
      </c>
      <c r="D21" t="str">
        <f>'Question List'!E23</f>
        <v>The business requires off-grid capability. Detailed site analysis is required for requirements to be accurate</v>
      </c>
      <c r="E21" t="e">
        <f>VLOOKUP(B21, 'Input Sheet'!$C$3:$F$101, 4, FALSE)</f>
        <v>#N/A</v>
      </c>
      <c r="F21" t="e">
        <f t="shared" si="1"/>
        <v>#N/A</v>
      </c>
    </row>
    <row r="22" spans="1:6" x14ac:dyDescent="0.25">
      <c r="A22" t="str">
        <f>'Question List'!B24</f>
        <v>Set 4b</v>
      </c>
      <c r="B22" s="96" t="str">
        <f t="shared" si="0"/>
        <v>Set 4b</v>
      </c>
      <c r="C22" t="str">
        <f>'Question List'!D24</f>
        <v>Small Energy Customer ( &lt; 100MWh per year or average of 274 kWh per day)</v>
      </c>
      <c r="D22" t="str">
        <f>'Question List'!E24</f>
        <v>Usage is less than 100MWh per year</v>
      </c>
      <c r="E22" t="e">
        <f>VLOOKUP(B22, 'Input Sheet'!$C$3:$F$101, 4, FALSE)</f>
        <v>#N/A</v>
      </c>
      <c r="F22" t="e">
        <f t="shared" si="1"/>
        <v>#N/A</v>
      </c>
    </row>
    <row r="23" spans="1:6" x14ac:dyDescent="0.25">
      <c r="A23">
        <f>'Question List'!B25</f>
        <v>0</v>
      </c>
      <c r="B23" s="96" t="str">
        <f t="shared" si="0"/>
        <v>Set 4b</v>
      </c>
      <c r="C23" t="str">
        <f>'Question List'!D25</f>
        <v>Medium Energy Customer</v>
      </c>
      <c r="D23" t="str">
        <f>'Question List'!E25</f>
        <v>Usage is between 100MWh and 160MWh per year</v>
      </c>
      <c r="E23" t="e">
        <f>VLOOKUP(B23, 'Input Sheet'!$C$3:$F$101, 4, FALSE)</f>
        <v>#N/A</v>
      </c>
      <c r="F23" t="e">
        <f t="shared" si="1"/>
        <v>#N/A</v>
      </c>
    </row>
    <row r="24" spans="1:6" x14ac:dyDescent="0.25">
      <c r="A24">
        <f>'Question List'!B26</f>
        <v>0</v>
      </c>
      <c r="B24" s="96" t="str">
        <f t="shared" si="0"/>
        <v>Set 4b</v>
      </c>
      <c r="C24" t="str">
        <f>'Question List'!D26</f>
        <v>Large Energy Customer ( &gt; 160MWh per year or average of 274 kWh per day)</v>
      </c>
      <c r="D24" t="str">
        <f>'Question List'!E26</f>
        <v>Usage is in excess of 160MWh per year</v>
      </c>
      <c r="E24" t="e">
        <f>VLOOKUP(B24, 'Input Sheet'!$C$3:$F$101, 4, FALSE)</f>
        <v>#N/A</v>
      </c>
      <c r="F24" t="e">
        <f t="shared" si="1"/>
        <v>#N/A</v>
      </c>
    </row>
    <row r="25" spans="1:6" x14ac:dyDescent="0.25">
      <c r="A25">
        <f>'Question List'!B27</f>
        <v>0</v>
      </c>
      <c r="B25" s="96" t="str">
        <f t="shared" si="0"/>
        <v>Set 4b</v>
      </c>
      <c r="C25" t="str">
        <f>'Question List'!D27</f>
        <v>I don't know, please help me to decide</v>
      </c>
      <c r="D25" t="str">
        <f>'Question List'!E27</f>
        <v xml:space="preserve">Yearly energy consumption by MWh is not known. </v>
      </c>
      <c r="E25" t="e">
        <f>VLOOKUP(B25, 'Input Sheet'!$C$3:$F$101, 4, FALSE)</f>
        <v>#N/A</v>
      </c>
      <c r="F25" t="e">
        <f t="shared" si="1"/>
        <v>#N/A</v>
      </c>
    </row>
    <row r="26" spans="1:6" x14ac:dyDescent="0.25">
      <c r="A26" t="str">
        <f>'Question List'!B28</f>
        <v>Set 4c</v>
      </c>
      <c r="B26" s="96" t="str">
        <f t="shared" si="0"/>
        <v>Set 4c</v>
      </c>
      <c r="C26" t="str">
        <f>'Question List'!D28</f>
        <v>Yes</v>
      </c>
      <c r="D26" t="str">
        <f>'Question List'!E28</f>
        <v>Existing solar PV</v>
      </c>
      <c r="E26" t="e">
        <f>VLOOKUP(B26, 'Input Sheet'!$C$3:$F$101, 4, FALSE)</f>
        <v>#N/A</v>
      </c>
      <c r="F26" t="e">
        <f t="shared" si="1"/>
        <v>#N/A</v>
      </c>
    </row>
    <row r="27" spans="1:6" x14ac:dyDescent="0.25">
      <c r="A27">
        <f>'Question List'!B29</f>
        <v>0</v>
      </c>
      <c r="B27" s="96" t="str">
        <f t="shared" si="0"/>
        <v>Set 4c</v>
      </c>
      <c r="C27" t="str">
        <f>'Question List'!D29</f>
        <v>No</v>
      </c>
      <c r="D27" t="str">
        <f>'Question List'!E29</f>
        <v>No existing solar PV</v>
      </c>
      <c r="E27" t="e">
        <f>VLOOKUP(B27, 'Input Sheet'!$C$3:$F$101, 4, FALSE)</f>
        <v>#N/A</v>
      </c>
      <c r="F27" t="e">
        <f t="shared" si="1"/>
        <v>#N/A</v>
      </c>
    </row>
    <row r="28" spans="1:6" x14ac:dyDescent="0.25">
      <c r="A28">
        <f>'Question List'!B30</f>
        <v>0</v>
      </c>
      <c r="B28" s="96" t="str">
        <f t="shared" si="0"/>
        <v>Set 4c</v>
      </c>
      <c r="C28">
        <f>'Question List'!D30</f>
        <v>0</v>
      </c>
      <c r="D28">
        <f>'Question List'!E30</f>
        <v>0</v>
      </c>
      <c r="E28" t="e">
        <f>VLOOKUP(B28, 'Input Sheet'!$C$3:$F$101, 4, FALSE)</f>
        <v>#N/A</v>
      </c>
      <c r="F28" t="e">
        <f t="shared" si="1"/>
        <v>#N/A</v>
      </c>
    </row>
    <row r="29" spans="1:6" x14ac:dyDescent="0.25">
      <c r="A29">
        <f>'Question List'!B31</f>
        <v>0</v>
      </c>
      <c r="B29" s="96" t="str">
        <f t="shared" si="0"/>
        <v>Set 4c</v>
      </c>
      <c r="C29">
        <f>'Question List'!D31</f>
        <v>0</v>
      </c>
      <c r="D29">
        <f>'Question List'!E31</f>
        <v>0</v>
      </c>
      <c r="E29" t="e">
        <f>VLOOKUP(B29, 'Input Sheet'!$C$3:$F$101, 4, FALSE)</f>
        <v>#N/A</v>
      </c>
      <c r="F29" t="e">
        <f t="shared" si="1"/>
        <v>#N/A</v>
      </c>
    </row>
    <row r="30" spans="1:6" x14ac:dyDescent="0.25">
      <c r="A30" t="str">
        <f>'Question List'!B32</f>
        <v>Set 5</v>
      </c>
      <c r="B30" s="96" t="str">
        <f t="shared" si="0"/>
        <v>Set 5</v>
      </c>
      <c r="C30" t="str">
        <f>'Question List'!D32</f>
        <v>Yes, all power is self-consumed</v>
      </c>
      <c r="D30" t="str">
        <f>'Question List'!E32</f>
        <v>Self-consumed solar</v>
      </c>
      <c r="E30" t="e">
        <f>VLOOKUP(B30, 'Input Sheet'!$C$3:$F$101, 4, FALSE)</f>
        <v>#N/A</v>
      </c>
      <c r="F30" t="e">
        <f t="shared" si="1"/>
        <v>#N/A</v>
      </c>
    </row>
    <row r="31" spans="1:6" x14ac:dyDescent="0.25">
      <c r="A31">
        <f>'Question List'!B33</f>
        <v>0</v>
      </c>
      <c r="B31" s="96" t="str">
        <f t="shared" si="0"/>
        <v>Set 5</v>
      </c>
      <c r="C31" t="str">
        <f>'Question List'!D33</f>
        <v>No, some (or all) power is supplied back to the grid</v>
      </c>
      <c r="D31" t="str">
        <f>'Question List'!E33</f>
        <v>Current grid-feed in</v>
      </c>
      <c r="E31" t="e">
        <f>VLOOKUP(B31, 'Input Sheet'!$C$3:$F$101, 4, FALSE)</f>
        <v>#N/A</v>
      </c>
      <c r="F31" t="e">
        <f t="shared" si="1"/>
        <v>#N/A</v>
      </c>
    </row>
    <row r="32" spans="1:6" x14ac:dyDescent="0.25">
      <c r="A32">
        <f>'Question List'!B34</f>
        <v>0</v>
      </c>
      <c r="B32" s="96" t="str">
        <f t="shared" si="0"/>
        <v>Set 5</v>
      </c>
      <c r="C32">
        <f>'Question List'!D34</f>
        <v>0</v>
      </c>
      <c r="D32">
        <f>'Question List'!E34</f>
        <v>0</v>
      </c>
      <c r="E32" t="e">
        <f>VLOOKUP(B32, 'Input Sheet'!$C$3:$F$101, 4, FALSE)</f>
        <v>#N/A</v>
      </c>
      <c r="F32" t="e">
        <f t="shared" si="1"/>
        <v>#N/A</v>
      </c>
    </row>
    <row r="33" spans="1:6" x14ac:dyDescent="0.25">
      <c r="A33">
        <f>'Question List'!B35</f>
        <v>0</v>
      </c>
      <c r="B33" s="96" t="str">
        <f t="shared" si="0"/>
        <v>Set 5</v>
      </c>
      <c r="C33">
        <f>'Question List'!D35</f>
        <v>0</v>
      </c>
      <c r="D33">
        <f>'Question List'!E35</f>
        <v>0</v>
      </c>
      <c r="E33" t="e">
        <f>VLOOKUP(B33, 'Input Sheet'!$C$3:$F$101, 4, FALSE)</f>
        <v>#N/A</v>
      </c>
      <c r="F33" t="e">
        <f t="shared" si="1"/>
        <v>#N/A</v>
      </c>
    </row>
    <row r="34" spans="1:6" x14ac:dyDescent="0.25">
      <c r="A34" t="str">
        <f>'Question List'!B36</f>
        <v>Set 6</v>
      </c>
      <c r="B34" s="96" t="str">
        <f t="shared" ref="B34:B65" si="2">IF(A34=0, B33, A34)</f>
        <v>Set 6</v>
      </c>
      <c r="C34" t="str">
        <f>'Question List'!D36</f>
        <v>Enter Quantity   ----&gt;</v>
      </c>
      <c r="D34" t="str">
        <f>'Question List'!E36</f>
        <v>Solar maximum power of  _  kW</v>
      </c>
      <c r="E34" t="e">
        <f>VLOOKUP(B34, 'Input Sheet'!$C$3:$F$101, 4, FALSE)</f>
        <v>#N/A</v>
      </c>
      <c r="F34" t="e">
        <f t="shared" ref="F34:F65" si="3">IF(C34=E34, D34, "")</f>
        <v>#N/A</v>
      </c>
    </row>
    <row r="35" spans="1:6" x14ac:dyDescent="0.25">
      <c r="A35">
        <f>'Question List'!B37</f>
        <v>0</v>
      </c>
      <c r="B35" s="96" t="str">
        <f t="shared" si="2"/>
        <v>Set 6</v>
      </c>
      <c r="C35" t="str">
        <f>'Question List'!D37</f>
        <v>Don't Know</v>
      </c>
      <c r="D35" t="str">
        <f>'Question List'!E37</f>
        <v>Unknown solar PV size</v>
      </c>
      <c r="E35" t="e">
        <f>VLOOKUP(B35, 'Input Sheet'!$C$3:$F$101, 4, FALSE)</f>
        <v>#N/A</v>
      </c>
      <c r="F35" t="e">
        <f t="shared" si="3"/>
        <v>#N/A</v>
      </c>
    </row>
    <row r="36" spans="1:6" x14ac:dyDescent="0.25">
      <c r="A36">
        <f>'Question List'!B38</f>
        <v>0</v>
      </c>
      <c r="B36" s="96" t="str">
        <f t="shared" si="2"/>
        <v>Set 6</v>
      </c>
      <c r="C36">
        <f>'Question List'!D38</f>
        <v>0</v>
      </c>
      <c r="D36">
        <f>'Question List'!E38</f>
        <v>0</v>
      </c>
      <c r="E36" t="e">
        <f>VLOOKUP(B36, 'Input Sheet'!$C$3:$F$101, 4, FALSE)</f>
        <v>#N/A</v>
      </c>
      <c r="F36" t="e">
        <f t="shared" si="3"/>
        <v>#N/A</v>
      </c>
    </row>
    <row r="37" spans="1:6" x14ac:dyDescent="0.25">
      <c r="A37">
        <f>'Question List'!B39</f>
        <v>0</v>
      </c>
      <c r="B37" s="96" t="str">
        <f t="shared" si="2"/>
        <v>Set 6</v>
      </c>
      <c r="C37">
        <f>'Question List'!D39</f>
        <v>0</v>
      </c>
      <c r="D37">
        <f>'Question List'!E39</f>
        <v>0</v>
      </c>
      <c r="E37" t="e">
        <f>VLOOKUP(B37, 'Input Sheet'!$C$3:$F$101, 4, FALSE)</f>
        <v>#N/A</v>
      </c>
      <c r="F37" t="e">
        <f t="shared" si="3"/>
        <v>#N/A</v>
      </c>
    </row>
    <row r="38" spans="1:6" x14ac:dyDescent="0.25">
      <c r="A38" t="str">
        <f>'Question List'!B40</f>
        <v>Set 7</v>
      </c>
      <c r="B38" s="96" t="str">
        <f t="shared" si="2"/>
        <v>Set 7</v>
      </c>
      <c r="C38" t="str">
        <f>'Question List'!D40</f>
        <v>Enter Quantity   ----&gt;</v>
      </c>
      <c r="D38" t="str">
        <f>'Question List'!E40</f>
        <v>Number of panels is _</v>
      </c>
      <c r="E38" t="e">
        <f>VLOOKUP(B38, 'Input Sheet'!$C$3:$F$101, 4, FALSE)</f>
        <v>#N/A</v>
      </c>
      <c r="F38" t="e">
        <f t="shared" si="3"/>
        <v>#N/A</v>
      </c>
    </row>
    <row r="39" spans="1:6" x14ac:dyDescent="0.25">
      <c r="A39">
        <f>'Question List'!B41</f>
        <v>0</v>
      </c>
      <c r="B39" s="96" t="str">
        <f t="shared" si="2"/>
        <v>Set 7</v>
      </c>
      <c r="C39" t="str">
        <f>'Question List'!D41</f>
        <v>Don't Know</v>
      </c>
      <c r="D39" t="str">
        <f>'Question List'!E41</f>
        <v>Unknown array size</v>
      </c>
      <c r="E39" t="e">
        <f>VLOOKUP(B39, 'Input Sheet'!$C$3:$F$101, 4, FALSE)</f>
        <v>#N/A</v>
      </c>
      <c r="F39" t="e">
        <f t="shared" si="3"/>
        <v>#N/A</v>
      </c>
    </row>
    <row r="40" spans="1:6" x14ac:dyDescent="0.25">
      <c r="A40">
        <f>'Question List'!B42</f>
        <v>0</v>
      </c>
      <c r="B40" s="96" t="str">
        <f t="shared" si="2"/>
        <v>Set 7</v>
      </c>
      <c r="C40">
        <f>'Question List'!D42</f>
        <v>0</v>
      </c>
      <c r="D40">
        <f>'Question List'!E42</f>
        <v>0</v>
      </c>
      <c r="E40" t="e">
        <f>VLOOKUP(B40, 'Input Sheet'!$C$3:$F$101, 4, FALSE)</f>
        <v>#N/A</v>
      </c>
      <c r="F40" t="e">
        <f t="shared" si="3"/>
        <v>#N/A</v>
      </c>
    </row>
    <row r="41" spans="1:6" x14ac:dyDescent="0.25">
      <c r="A41">
        <f>'Question List'!B43</f>
        <v>0</v>
      </c>
      <c r="B41" s="96" t="str">
        <f t="shared" si="2"/>
        <v>Set 7</v>
      </c>
      <c r="C41">
        <f>'Question List'!D43</f>
        <v>0</v>
      </c>
      <c r="D41">
        <f>'Question List'!E43</f>
        <v>0</v>
      </c>
      <c r="E41" t="e">
        <f>VLOOKUP(B41, 'Input Sheet'!$C$3:$F$101, 4, FALSE)</f>
        <v>#N/A</v>
      </c>
      <c r="F41" t="e">
        <f t="shared" si="3"/>
        <v>#N/A</v>
      </c>
    </row>
    <row r="42" spans="1:6" x14ac:dyDescent="0.25">
      <c r="A42" t="str">
        <f>'Question List'!B44</f>
        <v>Set 8a</v>
      </c>
      <c r="B42" s="96" t="str">
        <f t="shared" si="2"/>
        <v>Set 8a</v>
      </c>
      <c r="C42" t="str">
        <f>'Question List'!D44</f>
        <v>Less than $20,000</v>
      </c>
      <c r="D42" t="str">
        <f>'Question List'!E44</f>
        <v>Usage is less than 100MWh per year</v>
      </c>
      <c r="E42" t="e">
        <f>VLOOKUP(B42, 'Input Sheet'!$C$3:$F$101, 4, FALSE)</f>
        <v>#N/A</v>
      </c>
      <c r="F42" t="e">
        <f t="shared" si="3"/>
        <v>#N/A</v>
      </c>
    </row>
    <row r="43" spans="1:6" x14ac:dyDescent="0.25">
      <c r="A43">
        <f>'Question List'!B45</f>
        <v>0</v>
      </c>
      <c r="B43" s="96" t="str">
        <f t="shared" si="2"/>
        <v>Set 8a</v>
      </c>
      <c r="C43" t="str">
        <f>'Question List'!D45</f>
        <v>Between $20,000 and $30,000</v>
      </c>
      <c r="D43" t="str">
        <f>'Question List'!E45</f>
        <v>Usage is between 100MWh and 160MWh per year</v>
      </c>
      <c r="E43" t="e">
        <f>VLOOKUP(B43, 'Input Sheet'!$C$3:$F$101, 4, FALSE)</f>
        <v>#N/A</v>
      </c>
      <c r="F43" t="e">
        <f t="shared" si="3"/>
        <v>#N/A</v>
      </c>
    </row>
    <row r="44" spans="1:6" x14ac:dyDescent="0.25">
      <c r="A44">
        <f>'Question List'!B46</f>
        <v>0</v>
      </c>
      <c r="B44" s="96" t="str">
        <f t="shared" si="2"/>
        <v>Set 8a</v>
      </c>
      <c r="C44" t="str">
        <f>'Question List'!D46</f>
        <v>More than $30,000</v>
      </c>
      <c r="D44" t="str">
        <f>'Question List'!E46</f>
        <v>Usage is in excess of 160MWh per year</v>
      </c>
      <c r="E44" t="e">
        <f>VLOOKUP(B44, 'Input Sheet'!$C$3:$F$101, 4, FALSE)</f>
        <v>#N/A</v>
      </c>
      <c r="F44" t="e">
        <f t="shared" si="3"/>
        <v>#N/A</v>
      </c>
    </row>
    <row r="45" spans="1:6" x14ac:dyDescent="0.25">
      <c r="A45">
        <f>'Question List'!B47</f>
        <v>0</v>
      </c>
      <c r="B45" s="96" t="str">
        <f t="shared" si="2"/>
        <v>Set 8a</v>
      </c>
      <c r="C45">
        <f>'Question List'!D47</f>
        <v>0</v>
      </c>
      <c r="D45">
        <f>'Question List'!E47</f>
        <v>0</v>
      </c>
      <c r="E45" t="e">
        <f>VLOOKUP(B45, 'Input Sheet'!$C$3:$F$101, 4, FALSE)</f>
        <v>#N/A</v>
      </c>
      <c r="F45" t="e">
        <f t="shared" si="3"/>
        <v>#N/A</v>
      </c>
    </row>
    <row r="46" spans="1:6" x14ac:dyDescent="0.25">
      <c r="A46" t="str">
        <f>'Question List'!B48</f>
        <v>Set 8</v>
      </c>
      <c r="B46" s="96" t="str">
        <f t="shared" si="2"/>
        <v>Set 8</v>
      </c>
      <c r="C46" t="str">
        <f>'Question List'!D48</f>
        <v>I want the shortest payback possible</v>
      </c>
      <c r="D46" t="str">
        <f>'Question List'!E48</f>
        <v>Payback calculations are modelled based on nominated payback year</v>
      </c>
      <c r="E46" t="e">
        <f>VLOOKUP(B46, 'Input Sheet'!$C$3:$F$101, 4, FALSE)</f>
        <v>#N/A</v>
      </c>
      <c r="F46" t="e">
        <f t="shared" si="3"/>
        <v>#N/A</v>
      </c>
    </row>
    <row r="47" spans="1:6" x14ac:dyDescent="0.25">
      <c r="A47">
        <f>'Question List'!B49</f>
        <v>0</v>
      </c>
      <c r="B47" s="96" t="str">
        <f t="shared" si="2"/>
        <v>Set 8</v>
      </c>
      <c r="C47" t="str">
        <f>'Question List'!D49</f>
        <v>Batteries last a long time, so I'm happy if the lifetime ROI makes sense</v>
      </c>
      <c r="D47" t="str">
        <f>'Question List'!E49</f>
        <v>Payback calculations are modelled based on 15 year lifetime</v>
      </c>
      <c r="E47" t="e">
        <f>VLOOKUP(B47, 'Input Sheet'!$C$3:$F$101, 4, FALSE)</f>
        <v>#N/A</v>
      </c>
      <c r="F47" t="e">
        <f t="shared" si="3"/>
        <v>#N/A</v>
      </c>
    </row>
    <row r="48" spans="1:6" x14ac:dyDescent="0.25">
      <c r="A48">
        <f>'Question List'!B50</f>
        <v>0</v>
      </c>
      <c r="B48" s="96" t="str">
        <f t="shared" si="2"/>
        <v>Set 8</v>
      </c>
      <c r="C48" t="str">
        <f>'Question List'!D50</f>
        <v>I'm more interested in grid-independence, renewable energy targets and tax-deductions</v>
      </c>
      <c r="D48" t="str">
        <f>'Question List'!E50</f>
        <v>Aspirations for battery storage are not only financial for this business</v>
      </c>
      <c r="E48" t="e">
        <f>VLOOKUP(B48, 'Input Sheet'!$C$3:$F$101, 4, FALSE)</f>
        <v>#N/A</v>
      </c>
      <c r="F48" t="e">
        <f t="shared" si="3"/>
        <v>#N/A</v>
      </c>
    </row>
    <row r="49" spans="1:6" x14ac:dyDescent="0.25">
      <c r="A49">
        <f>'Question List'!B51</f>
        <v>0</v>
      </c>
      <c r="B49" s="96" t="str">
        <f t="shared" si="2"/>
        <v>Set 8</v>
      </c>
      <c r="C49">
        <f>'Question List'!D51</f>
        <v>0</v>
      </c>
      <c r="D49">
        <f>'Question List'!E51</f>
        <v>0</v>
      </c>
      <c r="E49" t="e">
        <f>VLOOKUP(B49, 'Input Sheet'!$C$3:$F$101, 4, FALSE)</f>
        <v>#N/A</v>
      </c>
      <c r="F49" t="e">
        <f t="shared" si="3"/>
        <v>#N/A</v>
      </c>
    </row>
    <row r="50" spans="1:6" x14ac:dyDescent="0.25">
      <c r="A50" t="str">
        <f>'Question List'!B52</f>
        <v>Set 9</v>
      </c>
      <c r="B50" s="96" t="str">
        <f t="shared" si="2"/>
        <v>Set 9</v>
      </c>
      <c r="C50" t="str">
        <f>'Question List'!D52</f>
        <v>3-7 Years</v>
      </c>
      <c r="D50" t="str">
        <f>'Question List'!E52</f>
        <v>Expectations for return on investment are unrealistically short for this business and only perfect situations should be considered</v>
      </c>
      <c r="E50" t="e">
        <f>VLOOKUP(B50, 'Input Sheet'!$C$3:$F$101, 4, FALSE)</f>
        <v>#N/A</v>
      </c>
      <c r="F50" t="e">
        <f t="shared" si="3"/>
        <v>#N/A</v>
      </c>
    </row>
    <row r="51" spans="1:6" x14ac:dyDescent="0.25">
      <c r="A51">
        <f>'Question List'!B53</f>
        <v>0</v>
      </c>
      <c r="B51" s="96" t="str">
        <f t="shared" si="2"/>
        <v>Set 9</v>
      </c>
      <c r="C51" t="str">
        <f>'Question List'!D53</f>
        <v>7-10 Years</v>
      </c>
      <c r="D51" t="str">
        <f>'Question List'!E53</f>
        <v>Only ideal situations for battery storage should be considered for this business</v>
      </c>
      <c r="E51" t="e">
        <f>VLOOKUP(B51, 'Input Sheet'!$C$3:$F$101, 4, FALSE)</f>
        <v>#N/A</v>
      </c>
      <c r="F51" t="e">
        <f t="shared" si="3"/>
        <v>#N/A</v>
      </c>
    </row>
    <row r="52" spans="1:6" x14ac:dyDescent="0.25">
      <c r="A52">
        <f>'Question List'!B54</f>
        <v>0</v>
      </c>
      <c r="B52" s="96" t="str">
        <f t="shared" si="2"/>
        <v>Set 9</v>
      </c>
      <c r="C52" t="str">
        <f>'Question List'!D54</f>
        <v>More than 10 years</v>
      </c>
      <c r="D52" t="str">
        <f>'Question List'!E54</f>
        <v>Payback over the lifetime of the installation is sufficient</v>
      </c>
      <c r="E52" t="e">
        <f>VLOOKUP(B52, 'Input Sheet'!$C$3:$F$101, 4, FALSE)</f>
        <v>#N/A</v>
      </c>
      <c r="F52" t="e">
        <f t="shared" si="3"/>
        <v>#N/A</v>
      </c>
    </row>
    <row r="53" spans="1:6" x14ac:dyDescent="0.25">
      <c r="A53">
        <f>'Question List'!B55</f>
        <v>0</v>
      </c>
      <c r="B53" s="96" t="str">
        <f t="shared" si="2"/>
        <v>Set 9</v>
      </c>
      <c r="C53">
        <f>'Question List'!D55</f>
        <v>0</v>
      </c>
      <c r="D53">
        <f>'Question List'!E55</f>
        <v>0</v>
      </c>
      <c r="E53" t="e">
        <f>VLOOKUP(B53, 'Input Sheet'!$C$3:$F$101, 4, FALSE)</f>
        <v>#N/A</v>
      </c>
      <c r="F53" t="e">
        <f t="shared" si="3"/>
        <v>#N/A</v>
      </c>
    </row>
    <row r="54" spans="1:6" x14ac:dyDescent="0.25">
      <c r="A54" t="str">
        <f>'Question List'!B56</f>
        <v>Set 10</v>
      </c>
      <c r="B54" s="96" t="str">
        <f t="shared" si="2"/>
        <v>Set 10</v>
      </c>
      <c r="C54">
        <f>'Question List'!D56</f>
        <v>0</v>
      </c>
      <c r="D54">
        <f>'Question List'!E56</f>
        <v>0</v>
      </c>
      <c r="E54" t="e">
        <f>VLOOKUP(B54, 'Input Sheet'!$C$3:$F$101, 4, FALSE)</f>
        <v>#N/A</v>
      </c>
      <c r="F54" t="e">
        <f t="shared" si="3"/>
        <v>#N/A</v>
      </c>
    </row>
    <row r="55" spans="1:6" x14ac:dyDescent="0.25">
      <c r="A55">
        <f>'Question List'!B57</f>
        <v>0</v>
      </c>
      <c r="B55" s="96" t="str">
        <f t="shared" si="2"/>
        <v>Set 10</v>
      </c>
      <c r="C55">
        <f>'Question List'!D57</f>
        <v>0</v>
      </c>
      <c r="D55">
        <f>'Question List'!E57</f>
        <v>0</v>
      </c>
      <c r="E55" t="e">
        <f>VLOOKUP(B55, 'Input Sheet'!$C$3:$F$101, 4, FALSE)</f>
        <v>#N/A</v>
      </c>
      <c r="F55" t="e">
        <f t="shared" si="3"/>
        <v>#N/A</v>
      </c>
    </row>
    <row r="56" spans="1:6" x14ac:dyDescent="0.25">
      <c r="A56">
        <f>'Question List'!B58</f>
        <v>0</v>
      </c>
      <c r="B56" s="96" t="str">
        <f t="shared" si="2"/>
        <v>Set 10</v>
      </c>
      <c r="C56">
        <f>'Question List'!D58</f>
        <v>0</v>
      </c>
      <c r="D56">
        <f>'Question List'!E58</f>
        <v>0</v>
      </c>
      <c r="E56" t="e">
        <f>VLOOKUP(B56, 'Input Sheet'!$C$3:$F$101, 4, FALSE)</f>
        <v>#N/A</v>
      </c>
      <c r="F56" t="e">
        <f t="shared" si="3"/>
        <v>#N/A</v>
      </c>
    </row>
    <row r="57" spans="1:6" x14ac:dyDescent="0.25">
      <c r="A57">
        <f>'Question List'!B59</f>
        <v>0</v>
      </c>
      <c r="B57" s="96" t="str">
        <f t="shared" si="2"/>
        <v>Set 10</v>
      </c>
      <c r="C57">
        <f>'Question List'!D59</f>
        <v>0</v>
      </c>
      <c r="D57">
        <f>'Question List'!E59</f>
        <v>0</v>
      </c>
      <c r="E57" t="e">
        <f>VLOOKUP(B57, 'Input Sheet'!$C$3:$F$101, 4, FALSE)</f>
        <v>#N/A</v>
      </c>
      <c r="F57" t="e">
        <f t="shared" si="3"/>
        <v>#N/A</v>
      </c>
    </row>
    <row r="58" spans="1:6" x14ac:dyDescent="0.25">
      <c r="A58" t="str">
        <f>'Question List'!B60</f>
        <v>Set 11</v>
      </c>
      <c r="B58" s="96" t="str">
        <f t="shared" si="2"/>
        <v>Set 11</v>
      </c>
      <c r="C58">
        <f>'Question List'!D60</f>
        <v>0</v>
      </c>
      <c r="D58">
        <f>'Question List'!E60</f>
        <v>0</v>
      </c>
      <c r="E58" t="e">
        <f>VLOOKUP(B58, 'Input Sheet'!$C$3:$F$101, 4, FALSE)</f>
        <v>#N/A</v>
      </c>
      <c r="F58" t="e">
        <f t="shared" si="3"/>
        <v>#N/A</v>
      </c>
    </row>
    <row r="59" spans="1:6" x14ac:dyDescent="0.25">
      <c r="A59">
        <f>'Question List'!B61</f>
        <v>0</v>
      </c>
      <c r="B59" s="96" t="str">
        <f t="shared" si="2"/>
        <v>Set 11</v>
      </c>
      <c r="C59">
        <f>'Question List'!D61</f>
        <v>0</v>
      </c>
      <c r="D59">
        <f>'Question List'!E61</f>
        <v>0</v>
      </c>
      <c r="E59" t="e">
        <f>VLOOKUP(B59, 'Input Sheet'!$C$3:$F$101, 4, FALSE)</f>
        <v>#N/A</v>
      </c>
      <c r="F59" t="e">
        <f t="shared" si="3"/>
        <v>#N/A</v>
      </c>
    </row>
    <row r="60" spans="1:6" x14ac:dyDescent="0.25">
      <c r="A60">
        <f>'Question List'!B62</f>
        <v>0</v>
      </c>
      <c r="B60" s="96" t="str">
        <f t="shared" si="2"/>
        <v>Set 11</v>
      </c>
      <c r="C60">
        <f>'Question List'!D62</f>
        <v>0</v>
      </c>
      <c r="D60">
        <f>'Question List'!E62</f>
        <v>0</v>
      </c>
      <c r="E60" t="e">
        <f>VLOOKUP(B60, 'Input Sheet'!$C$3:$F$101, 4, FALSE)</f>
        <v>#N/A</v>
      </c>
      <c r="F60" t="e">
        <f t="shared" si="3"/>
        <v>#N/A</v>
      </c>
    </row>
    <row r="61" spans="1:6" x14ac:dyDescent="0.25">
      <c r="A61">
        <f>'Question List'!B63</f>
        <v>0</v>
      </c>
      <c r="B61" s="96" t="str">
        <f t="shared" si="2"/>
        <v>Set 11</v>
      </c>
      <c r="C61">
        <f>'Question List'!D63</f>
        <v>0</v>
      </c>
      <c r="D61">
        <f>'Question List'!E63</f>
        <v>0</v>
      </c>
      <c r="E61" t="e">
        <f>VLOOKUP(B61, 'Input Sheet'!$C$3:$F$101, 4, FALSE)</f>
        <v>#N/A</v>
      </c>
      <c r="F61" t="e">
        <f t="shared" si="3"/>
        <v>#N/A</v>
      </c>
    </row>
    <row r="62" spans="1:6" x14ac:dyDescent="0.25">
      <c r="A62" t="str">
        <f>'Question List'!B64</f>
        <v>Set 12</v>
      </c>
      <c r="B62" s="96" t="str">
        <f t="shared" si="2"/>
        <v>Set 12</v>
      </c>
      <c r="C62">
        <f>'Question List'!D64</f>
        <v>0</v>
      </c>
      <c r="D62">
        <f>'Question List'!E64</f>
        <v>0</v>
      </c>
      <c r="E62" t="e">
        <f>VLOOKUP(B62, 'Input Sheet'!$C$3:$F$101, 4, FALSE)</f>
        <v>#N/A</v>
      </c>
      <c r="F62" t="e">
        <f t="shared" si="3"/>
        <v>#N/A</v>
      </c>
    </row>
    <row r="63" spans="1:6" x14ac:dyDescent="0.25">
      <c r="A63">
        <f>'Question List'!B65</f>
        <v>0</v>
      </c>
      <c r="B63" s="96" t="str">
        <f t="shared" si="2"/>
        <v>Set 12</v>
      </c>
      <c r="C63">
        <f>'Question List'!D65</f>
        <v>0</v>
      </c>
      <c r="D63">
        <f>'Question List'!E65</f>
        <v>0</v>
      </c>
      <c r="E63" t="e">
        <f>VLOOKUP(B63, 'Input Sheet'!$C$3:$F$101, 4, FALSE)</f>
        <v>#N/A</v>
      </c>
      <c r="F63" t="e">
        <f t="shared" si="3"/>
        <v>#N/A</v>
      </c>
    </row>
    <row r="64" spans="1:6" x14ac:dyDescent="0.25">
      <c r="A64">
        <f>'Question List'!B66</f>
        <v>0</v>
      </c>
      <c r="B64" s="96" t="str">
        <f t="shared" si="2"/>
        <v>Set 12</v>
      </c>
      <c r="C64">
        <f>'Question List'!D66</f>
        <v>0</v>
      </c>
      <c r="D64">
        <f>'Question List'!E66</f>
        <v>0</v>
      </c>
      <c r="E64" t="e">
        <f>VLOOKUP(B64, 'Input Sheet'!$C$3:$F$101, 4, FALSE)</f>
        <v>#N/A</v>
      </c>
      <c r="F64" t="e">
        <f t="shared" si="3"/>
        <v>#N/A</v>
      </c>
    </row>
    <row r="65" spans="1:6" x14ac:dyDescent="0.25">
      <c r="A65">
        <f>'Question List'!B67</f>
        <v>0</v>
      </c>
      <c r="B65" s="96" t="str">
        <f t="shared" si="2"/>
        <v>Set 12</v>
      </c>
      <c r="C65">
        <f>'Question List'!D67</f>
        <v>0</v>
      </c>
      <c r="D65">
        <f>'Question List'!E67</f>
        <v>0</v>
      </c>
      <c r="E65" t="e">
        <f>VLOOKUP(B65, 'Input Sheet'!$C$3:$F$101, 4, FALSE)</f>
        <v>#N/A</v>
      </c>
      <c r="F65" t="e">
        <f t="shared" si="3"/>
        <v>#N/A</v>
      </c>
    </row>
    <row r="66" spans="1:6" x14ac:dyDescent="0.25">
      <c r="A66" t="str">
        <f>'Question List'!B68</f>
        <v>Set 13a</v>
      </c>
      <c r="B66" s="96" t="str">
        <f t="shared" ref="B66:B97" si="4">IF(A66=0, B65, A66)</f>
        <v>Set 13a</v>
      </c>
      <c r="C66">
        <f>'Question List'!D68</f>
        <v>0</v>
      </c>
      <c r="D66">
        <f>'Question List'!E68</f>
        <v>0</v>
      </c>
      <c r="E66" t="e">
        <f>VLOOKUP(B66, 'Input Sheet'!$C$3:$F$101, 4, FALSE)</f>
        <v>#N/A</v>
      </c>
      <c r="F66" t="e">
        <f t="shared" ref="F66:F73" si="5">IF(C66=E66, D66, "")</f>
        <v>#N/A</v>
      </c>
    </row>
    <row r="67" spans="1:6" x14ac:dyDescent="0.25">
      <c r="A67">
        <f>'Question List'!B69</f>
        <v>0</v>
      </c>
      <c r="B67" s="96" t="str">
        <f t="shared" si="4"/>
        <v>Set 13a</v>
      </c>
      <c r="C67">
        <f>'Question List'!D69</f>
        <v>0</v>
      </c>
      <c r="D67">
        <f>'Question List'!E69</f>
        <v>0</v>
      </c>
      <c r="E67" t="e">
        <f>VLOOKUP(B67, 'Input Sheet'!$C$3:$F$101, 4, FALSE)</f>
        <v>#N/A</v>
      </c>
      <c r="F67" t="e">
        <f t="shared" si="5"/>
        <v>#N/A</v>
      </c>
    </row>
    <row r="68" spans="1:6" x14ac:dyDescent="0.25">
      <c r="A68">
        <f>'Question List'!B70</f>
        <v>0</v>
      </c>
      <c r="B68" s="96" t="str">
        <f t="shared" si="4"/>
        <v>Set 13a</v>
      </c>
      <c r="C68">
        <f>'Question List'!D70</f>
        <v>0</v>
      </c>
      <c r="D68">
        <f>'Question List'!E70</f>
        <v>0</v>
      </c>
      <c r="E68" t="e">
        <f>VLOOKUP(B68, 'Input Sheet'!$C$3:$F$101, 4, FALSE)</f>
        <v>#N/A</v>
      </c>
      <c r="F68" t="e">
        <f t="shared" si="5"/>
        <v>#N/A</v>
      </c>
    </row>
    <row r="69" spans="1:6" x14ac:dyDescent="0.25">
      <c r="A69">
        <f>'Question List'!B71</f>
        <v>0</v>
      </c>
      <c r="B69" s="96" t="str">
        <f t="shared" si="4"/>
        <v>Set 13a</v>
      </c>
      <c r="C69">
        <f>'Question List'!D71</f>
        <v>0</v>
      </c>
      <c r="D69">
        <f>'Question List'!E71</f>
        <v>0</v>
      </c>
      <c r="E69" t="e">
        <f>VLOOKUP(B69, 'Input Sheet'!$C$3:$F$101, 4, FALSE)</f>
        <v>#N/A</v>
      </c>
      <c r="F69" t="e">
        <f t="shared" si="5"/>
        <v>#N/A</v>
      </c>
    </row>
    <row r="70" spans="1:6" x14ac:dyDescent="0.25">
      <c r="A70" t="str">
        <f>'Question List'!B72</f>
        <v>Set 13b</v>
      </c>
      <c r="B70" s="96" t="str">
        <f t="shared" si="4"/>
        <v>Set 13b</v>
      </c>
      <c r="C70" t="str">
        <f>'Question List'!D72</f>
        <v>I have to pay capacity charges</v>
      </c>
      <c r="D70" t="str">
        <f>'Question List'!E72</f>
        <v>Capacity charges apply to the business</v>
      </c>
      <c r="E70" t="e">
        <f>VLOOKUP(B70, 'Input Sheet'!$C$3:$F$101, 4, FALSE)</f>
        <v>#N/A</v>
      </c>
      <c r="F70" t="e">
        <f t="shared" si="5"/>
        <v>#N/A</v>
      </c>
    </row>
    <row r="71" spans="1:6" x14ac:dyDescent="0.25">
      <c r="A71">
        <f>'Question List'!B73</f>
        <v>0</v>
      </c>
      <c r="B71" s="96" t="str">
        <f t="shared" si="4"/>
        <v>Set 13b</v>
      </c>
      <c r="C71" t="str">
        <f>'Question List'!D73</f>
        <v>I don't have to pay capacity charges</v>
      </c>
      <c r="D71" t="str">
        <f>'Question List'!E73</f>
        <v>Capacity charges do not apply to the business</v>
      </c>
      <c r="E71" t="e">
        <f>VLOOKUP(B71, 'Input Sheet'!$C$3:$F$101, 4, FALSE)</f>
        <v>#N/A</v>
      </c>
      <c r="F71" t="e">
        <f t="shared" si="5"/>
        <v>#N/A</v>
      </c>
    </row>
    <row r="72" spans="1:6" x14ac:dyDescent="0.25">
      <c r="A72">
        <f>'Question List'!B74</f>
        <v>0</v>
      </c>
      <c r="B72" s="96" t="str">
        <f t="shared" si="4"/>
        <v>Set 13b</v>
      </c>
      <c r="C72">
        <f>'Question List'!D74</f>
        <v>0</v>
      </c>
      <c r="D72">
        <f>'Question List'!E74</f>
        <v>0</v>
      </c>
      <c r="E72" t="e">
        <f>VLOOKUP(B72, 'Input Sheet'!$C$3:$F$101, 4, FALSE)</f>
        <v>#N/A</v>
      </c>
      <c r="F72" t="e">
        <f t="shared" si="5"/>
        <v>#N/A</v>
      </c>
    </row>
    <row r="73" spans="1:6" x14ac:dyDescent="0.25">
      <c r="A73">
        <f>'Question List'!B75</f>
        <v>0</v>
      </c>
      <c r="B73" s="96" t="str">
        <f t="shared" si="4"/>
        <v>Set 13b</v>
      </c>
      <c r="C73">
        <f>'Question List'!D75</f>
        <v>0</v>
      </c>
      <c r="D73">
        <f>'Question List'!E75</f>
        <v>0</v>
      </c>
      <c r="E73" t="e">
        <f>VLOOKUP(B73, 'Input Sheet'!$C$3:$F$101, 4, FALSE)</f>
        <v>#N/A</v>
      </c>
      <c r="F73" t="e">
        <f t="shared" si="5"/>
        <v>#N/A</v>
      </c>
    </row>
    <row r="74" spans="1:6" x14ac:dyDescent="0.25">
      <c r="A74" t="str">
        <f>'Question List'!B76</f>
        <v>Set 14</v>
      </c>
      <c r="B74" s="96" t="str">
        <f t="shared" si="4"/>
        <v>Set 14</v>
      </c>
      <c r="C74" t="str">
        <f>'Question List'!D76</f>
        <v>Peak usage could occur at any time</v>
      </c>
      <c r="D74" t="str">
        <f>'Question List'!E76</f>
        <v>Peak usage could occur at any time</v>
      </c>
      <c r="E74" t="e">
        <f>VLOOKUP(B74, 'Input Sheet'!$C$3:$F$101, 4, FALSE)</f>
        <v>#N/A</v>
      </c>
      <c r="F74" t="e">
        <f>IF(C74=E74, D74, "")</f>
        <v>#N/A</v>
      </c>
    </row>
    <row r="75" spans="1:6" x14ac:dyDescent="0.25">
      <c r="A75">
        <f>'Question List'!B77</f>
        <v>0</v>
      </c>
      <c r="B75" s="96" t="str">
        <f t="shared" si="4"/>
        <v>Set 14</v>
      </c>
      <c r="C75" t="str">
        <f>'Question List'!D77</f>
        <v>Peak usage occurs at a predictable time of day</v>
      </c>
      <c r="D75" t="str">
        <f>'Question List'!E77</f>
        <v>Peak usage occurs at a predictable time of day</v>
      </c>
      <c r="E75" t="e">
        <f>VLOOKUP(B75, 'Input Sheet'!$C$3:$F$101, 4, FALSE)</f>
        <v>#N/A</v>
      </c>
      <c r="F75" t="e">
        <f t="shared" ref="F75:F105" si="6">IF(C75=E75, D75, "")</f>
        <v>#N/A</v>
      </c>
    </row>
    <row r="76" spans="1:6" x14ac:dyDescent="0.25">
      <c r="A76">
        <f>'Question List'!B78</f>
        <v>0</v>
      </c>
      <c r="B76" s="96" t="str">
        <f t="shared" si="4"/>
        <v>Set 14</v>
      </c>
      <c r="C76" t="str">
        <f>'Question List'!D78</f>
        <v>Peak usage occurs at a controllable time of day</v>
      </c>
      <c r="D76" t="str">
        <f>'Question List'!E78</f>
        <v>Peak usage occurs at a controllable time of day</v>
      </c>
      <c r="E76" t="e">
        <f>VLOOKUP(B76, 'Input Sheet'!$C$3:$F$101, 4, FALSE)</f>
        <v>#N/A</v>
      </c>
      <c r="F76" t="e">
        <f t="shared" si="6"/>
        <v>#N/A</v>
      </c>
    </row>
    <row r="77" spans="1:6" x14ac:dyDescent="0.25">
      <c r="A77">
        <f>'Question List'!B79</f>
        <v>0</v>
      </c>
      <c r="B77" s="96" t="str">
        <f t="shared" si="4"/>
        <v>Set 14</v>
      </c>
      <c r="C77">
        <f>'Question List'!D79</f>
        <v>0</v>
      </c>
      <c r="D77">
        <f>'Question List'!E79</f>
        <v>0</v>
      </c>
      <c r="E77" t="e">
        <f>VLOOKUP(B77, 'Input Sheet'!$C$3:$F$101, 4, FALSE)</f>
        <v>#N/A</v>
      </c>
      <c r="F77" t="e">
        <f t="shared" si="6"/>
        <v>#N/A</v>
      </c>
    </row>
    <row r="78" spans="1:6" x14ac:dyDescent="0.25">
      <c r="A78" t="str">
        <f>'Question List'!B80</f>
        <v>Set 15</v>
      </c>
      <c r="B78" s="96" t="str">
        <f t="shared" si="4"/>
        <v>Set 15</v>
      </c>
      <c r="C78" t="str">
        <f>'Question List'!D80</f>
        <v>Peak usage size could be any value</v>
      </c>
      <c r="D78" t="str">
        <f>'Question List'!E80</f>
        <v>Peak usage size could be any value</v>
      </c>
      <c r="E78" t="e">
        <f>VLOOKUP(B78, 'Input Sheet'!$C$3:$F$101, 4, FALSE)</f>
        <v>#N/A</v>
      </c>
      <c r="F78" t="e">
        <f>IF(C78=E78, D78, "")</f>
        <v>#N/A</v>
      </c>
    </row>
    <row r="79" spans="1:6" x14ac:dyDescent="0.25">
      <c r="A79">
        <f>'Question List'!B81</f>
        <v>0</v>
      </c>
      <c r="B79" s="96" t="str">
        <f t="shared" si="4"/>
        <v>Set 15</v>
      </c>
      <c r="C79" t="str">
        <f>'Question List'!D81</f>
        <v>Peak usage size is predictable based on past data</v>
      </c>
      <c r="D79" t="str">
        <f>'Question List'!E81</f>
        <v>Peak usage size is predictable based on past data</v>
      </c>
      <c r="E79" t="e">
        <f>VLOOKUP(B79, 'Input Sheet'!$C$3:$F$101, 4, FALSE)</f>
        <v>#N/A</v>
      </c>
      <c r="F79" t="e">
        <f t="shared" si="6"/>
        <v>#N/A</v>
      </c>
    </row>
    <row r="80" spans="1:6" x14ac:dyDescent="0.25">
      <c r="A80">
        <f>'Question List'!B82</f>
        <v>0</v>
      </c>
      <c r="B80" s="96" t="str">
        <f t="shared" si="4"/>
        <v>Set 15</v>
      </c>
      <c r="C80" t="str">
        <f>'Question List'!D82</f>
        <v>Peak usage size is controllable</v>
      </c>
      <c r="D80" t="str">
        <f>'Question List'!E82</f>
        <v>Peak usage size is controllable</v>
      </c>
      <c r="E80" t="e">
        <f>VLOOKUP(B80, 'Input Sheet'!$C$3:$F$101, 4, FALSE)</f>
        <v>#N/A</v>
      </c>
      <c r="F80" t="e">
        <f t="shared" si="6"/>
        <v>#N/A</v>
      </c>
    </row>
    <row r="81" spans="1:6" x14ac:dyDescent="0.25">
      <c r="A81">
        <f>'Question List'!B83</f>
        <v>0</v>
      </c>
      <c r="B81" s="96" t="str">
        <f t="shared" si="4"/>
        <v>Set 15</v>
      </c>
      <c r="C81">
        <f>'Question List'!D83</f>
        <v>0</v>
      </c>
      <c r="D81">
        <f>'Question List'!E83</f>
        <v>0</v>
      </c>
      <c r="E81" t="e">
        <f>VLOOKUP(B81, 'Input Sheet'!$C$3:$F$101, 4, FALSE)</f>
        <v>#N/A</v>
      </c>
      <c r="F81" t="e">
        <f t="shared" si="6"/>
        <v>#N/A</v>
      </c>
    </row>
    <row r="82" spans="1:6" x14ac:dyDescent="0.25">
      <c r="A82" t="str">
        <f>'Question List'!B84</f>
        <v>Set 16</v>
      </c>
      <c r="B82" s="96" t="str">
        <f t="shared" si="4"/>
        <v>Set 16</v>
      </c>
      <c r="C82" t="str">
        <f>'Question List'!D84</f>
        <v>Less than 1 hour</v>
      </c>
      <c r="D82" t="str">
        <f>'Question List'!E84</f>
        <v>Peak usage occurs for no more than 1 hour</v>
      </c>
      <c r="E82" t="e">
        <f>VLOOKUP(B82, 'Input Sheet'!$C$3:$F$101, 4, FALSE)</f>
        <v>#N/A</v>
      </c>
      <c r="F82" t="e">
        <f t="shared" si="6"/>
        <v>#N/A</v>
      </c>
    </row>
    <row r="83" spans="1:6" x14ac:dyDescent="0.25">
      <c r="A83">
        <f>'Question List'!B85</f>
        <v>0</v>
      </c>
      <c r="B83" s="96" t="str">
        <f t="shared" si="4"/>
        <v>Set 16</v>
      </c>
      <c r="C83" t="str">
        <f>'Question List'!D85</f>
        <v>Less than 2 hours</v>
      </c>
      <c r="D83" t="str">
        <f>'Question List'!E85</f>
        <v>Peak usage occurs for no more than 2 hours</v>
      </c>
      <c r="E83" t="e">
        <f>VLOOKUP(B83, 'Input Sheet'!$C$3:$F$101, 4, FALSE)</f>
        <v>#N/A</v>
      </c>
      <c r="F83" t="e">
        <f t="shared" si="6"/>
        <v>#N/A</v>
      </c>
    </row>
    <row r="84" spans="1:6" x14ac:dyDescent="0.25">
      <c r="A84">
        <f>'Question List'!B86</f>
        <v>0</v>
      </c>
      <c r="B84" s="96" t="str">
        <f t="shared" si="4"/>
        <v>Set 16</v>
      </c>
      <c r="C84" t="str">
        <f>'Question List'!D86</f>
        <v>Less than 3 hours</v>
      </c>
      <c r="D84" t="str">
        <f>'Question List'!E86</f>
        <v>Peak usage occurs for no more than 3 hours</v>
      </c>
      <c r="E84" t="e">
        <f>VLOOKUP(B84, 'Input Sheet'!$C$3:$F$101, 4, FALSE)</f>
        <v>#N/A</v>
      </c>
      <c r="F84" t="e">
        <f t="shared" si="6"/>
        <v>#N/A</v>
      </c>
    </row>
    <row r="85" spans="1:6" x14ac:dyDescent="0.25">
      <c r="A85">
        <f>'Question List'!B87</f>
        <v>0</v>
      </c>
      <c r="B85" s="96" t="str">
        <f t="shared" si="4"/>
        <v>Set 16</v>
      </c>
      <c r="C85" t="str">
        <f>'Question List'!D87</f>
        <v>More than 3 hours</v>
      </c>
      <c r="D85" t="str">
        <f>'Question List'!E87</f>
        <v>Peak usage may occur for more than 3 hours</v>
      </c>
      <c r="E85" t="e">
        <f>VLOOKUP(B85, 'Input Sheet'!$C$3:$F$101, 4, FALSE)</f>
        <v>#N/A</v>
      </c>
      <c r="F85" t="e">
        <f>IF(C85=E85, D85, "")</f>
        <v>#N/A</v>
      </c>
    </row>
    <row r="86" spans="1:6" x14ac:dyDescent="0.25">
      <c r="A86" t="str">
        <f>'Question List'!B88</f>
        <v>Set 17</v>
      </c>
      <c r="B86" s="96" t="str">
        <f t="shared" si="4"/>
        <v>Set 17</v>
      </c>
      <c r="C86" t="str">
        <f>'Question List'!D88</f>
        <v>Ausgrid</v>
      </c>
      <c r="D86" t="str">
        <f>'Question List'!E88</f>
        <v>The business is in the Ausgrid region</v>
      </c>
      <c r="E86" t="e">
        <f>VLOOKUP(B86, 'Input Sheet'!$C$3:$F$101, 4, FALSE)</f>
        <v>#N/A</v>
      </c>
      <c r="F86" t="e">
        <f t="shared" si="6"/>
        <v>#N/A</v>
      </c>
    </row>
    <row r="87" spans="1:6" x14ac:dyDescent="0.25">
      <c r="A87">
        <f>'Question List'!B89</f>
        <v>0</v>
      </c>
      <c r="B87" s="96" t="str">
        <f t="shared" si="4"/>
        <v>Set 17</v>
      </c>
      <c r="C87" t="str">
        <f>'Question List'!D89</f>
        <v>Endeavour Energy</v>
      </c>
      <c r="D87" t="str">
        <f>'Question List'!E89</f>
        <v>The business is in the Endeavour Energy region</v>
      </c>
      <c r="E87" t="e">
        <f>VLOOKUP(B87, 'Input Sheet'!$C$3:$F$101, 4, FALSE)</f>
        <v>#N/A</v>
      </c>
      <c r="F87" t="e">
        <f t="shared" si="6"/>
        <v>#N/A</v>
      </c>
    </row>
    <row r="88" spans="1:6" x14ac:dyDescent="0.25">
      <c r="A88">
        <f>'Question List'!B90</f>
        <v>0</v>
      </c>
      <c r="B88" s="96" t="str">
        <f t="shared" si="4"/>
        <v>Set 17</v>
      </c>
      <c r="C88" t="str">
        <f>'Question List'!D90</f>
        <v>Essential Energy</v>
      </c>
      <c r="D88" t="str">
        <f>'Question List'!E90</f>
        <v>The business is in the Essential Energy region</v>
      </c>
      <c r="E88" t="e">
        <f>VLOOKUP(B88, 'Input Sheet'!$C$3:$F$101, 4, FALSE)</f>
        <v>#N/A</v>
      </c>
      <c r="F88" t="e">
        <f t="shared" si="6"/>
        <v>#N/A</v>
      </c>
    </row>
    <row r="89" spans="1:6" x14ac:dyDescent="0.25">
      <c r="A89">
        <f>'Question List'!B91</f>
        <v>0</v>
      </c>
      <c r="B89" s="96" t="str">
        <f t="shared" si="4"/>
        <v>Set 17</v>
      </c>
      <c r="C89" t="str">
        <f>'Question List'!D91</f>
        <v>I don't know</v>
      </c>
      <c r="D89" t="str">
        <f>'Question List'!E91</f>
        <v>The location of the business has not been established and an average tariff has been applied</v>
      </c>
      <c r="E89" t="e">
        <f>VLOOKUP(B89, 'Input Sheet'!$C$3:$F$101, 4, FALSE)</f>
        <v>#N/A</v>
      </c>
      <c r="F89" t="e">
        <f t="shared" si="6"/>
        <v>#N/A</v>
      </c>
    </row>
    <row r="90" spans="1:6" x14ac:dyDescent="0.25">
      <c r="A90" t="str">
        <f>'Question List'!B92</f>
        <v>Set 18a</v>
      </c>
      <c r="B90" s="96" t="str">
        <f t="shared" si="4"/>
        <v>Set 18a</v>
      </c>
      <c r="C90">
        <f>'Question List'!D92</f>
        <v>0</v>
      </c>
      <c r="D90">
        <f>'Question List'!E92</f>
        <v>0</v>
      </c>
      <c r="E90" t="e">
        <f>VLOOKUP(B90, 'Input Sheet'!$C$3:$F$101, 4, FALSE)</f>
        <v>#N/A</v>
      </c>
      <c r="F90" t="e">
        <f t="shared" si="6"/>
        <v>#N/A</v>
      </c>
    </row>
    <row r="91" spans="1:6" x14ac:dyDescent="0.25">
      <c r="A91">
        <f>'Question List'!B93</f>
        <v>0</v>
      </c>
      <c r="B91" s="96" t="str">
        <f t="shared" si="4"/>
        <v>Set 18a</v>
      </c>
      <c r="C91">
        <f>'Question List'!D93</f>
        <v>0</v>
      </c>
      <c r="D91">
        <f>'Question List'!E93</f>
        <v>0</v>
      </c>
      <c r="E91" t="e">
        <f>VLOOKUP(B91, 'Input Sheet'!$C$3:$F$101, 4, FALSE)</f>
        <v>#N/A</v>
      </c>
      <c r="F91" t="e">
        <f t="shared" si="6"/>
        <v>#N/A</v>
      </c>
    </row>
    <row r="92" spans="1:6" x14ac:dyDescent="0.25">
      <c r="A92">
        <f>'Question List'!B94</f>
        <v>0</v>
      </c>
      <c r="B92" s="96" t="str">
        <f t="shared" si="4"/>
        <v>Set 18a</v>
      </c>
      <c r="C92">
        <f>'Question List'!D94</f>
        <v>0</v>
      </c>
      <c r="D92">
        <f>'Question List'!E94</f>
        <v>0</v>
      </c>
      <c r="E92" t="e">
        <f>VLOOKUP(B92, 'Input Sheet'!$C$3:$F$101, 4, FALSE)</f>
        <v>#N/A</v>
      </c>
      <c r="F92" t="e">
        <f t="shared" si="6"/>
        <v>#N/A</v>
      </c>
    </row>
    <row r="93" spans="1:6" x14ac:dyDescent="0.25">
      <c r="A93">
        <f>'Question List'!B95</f>
        <v>0</v>
      </c>
      <c r="B93" s="96" t="str">
        <f t="shared" si="4"/>
        <v>Set 18a</v>
      </c>
      <c r="C93">
        <f>'Question List'!D95</f>
        <v>0</v>
      </c>
      <c r="D93">
        <f>'Question List'!E95</f>
        <v>0</v>
      </c>
      <c r="E93" t="e">
        <f>VLOOKUP(B93, 'Input Sheet'!$C$3:$F$101, 4, FALSE)</f>
        <v>#N/A</v>
      </c>
      <c r="F93" t="e">
        <f t="shared" si="6"/>
        <v>#N/A</v>
      </c>
    </row>
    <row r="94" spans="1:6" x14ac:dyDescent="0.25">
      <c r="A94" t="str">
        <f>'Question List'!B96</f>
        <v>Set 18b</v>
      </c>
      <c r="B94" s="96" t="str">
        <f t="shared" si="4"/>
        <v>Set 18b</v>
      </c>
      <c r="C94">
        <f>'Question List'!D96</f>
        <v>0</v>
      </c>
      <c r="D94">
        <f>'Question List'!E96</f>
        <v>0</v>
      </c>
      <c r="E94" t="e">
        <f>VLOOKUP(B94, 'Input Sheet'!$C$3:$F$101, 4, FALSE)</f>
        <v>#N/A</v>
      </c>
      <c r="F94" t="e">
        <f t="shared" si="6"/>
        <v>#N/A</v>
      </c>
    </row>
    <row r="95" spans="1:6" x14ac:dyDescent="0.25">
      <c r="A95">
        <f>'Question List'!B97</f>
        <v>0</v>
      </c>
      <c r="B95" s="96" t="str">
        <f t="shared" si="4"/>
        <v>Set 18b</v>
      </c>
      <c r="C95">
        <f>'Question List'!D97</f>
        <v>0</v>
      </c>
      <c r="D95">
        <f>'Question List'!E97</f>
        <v>0</v>
      </c>
      <c r="E95" t="e">
        <f>VLOOKUP(B95, 'Input Sheet'!$C$3:$F$101, 4, FALSE)</f>
        <v>#N/A</v>
      </c>
      <c r="F95" t="e">
        <f t="shared" si="6"/>
        <v>#N/A</v>
      </c>
    </row>
    <row r="96" spans="1:6" x14ac:dyDescent="0.25">
      <c r="A96">
        <f>'Question List'!B98</f>
        <v>0</v>
      </c>
      <c r="B96" s="96" t="str">
        <f t="shared" si="4"/>
        <v>Set 18b</v>
      </c>
      <c r="C96">
        <f>'Question List'!D98</f>
        <v>0</v>
      </c>
      <c r="D96">
        <f>'Question List'!E98</f>
        <v>0</v>
      </c>
      <c r="E96" t="e">
        <f>VLOOKUP(B96, 'Input Sheet'!$C$3:$F$101, 4, FALSE)</f>
        <v>#N/A</v>
      </c>
      <c r="F96" t="e">
        <f t="shared" si="6"/>
        <v>#N/A</v>
      </c>
    </row>
    <row r="97" spans="1:6" x14ac:dyDescent="0.25">
      <c r="A97">
        <f>'Question List'!B99</f>
        <v>0</v>
      </c>
      <c r="B97" s="96" t="str">
        <f t="shared" si="4"/>
        <v>Set 18b</v>
      </c>
      <c r="C97">
        <f>'Question List'!D99</f>
        <v>0</v>
      </c>
      <c r="D97">
        <f>'Question List'!E99</f>
        <v>0</v>
      </c>
      <c r="E97" t="e">
        <f>VLOOKUP(B97, 'Input Sheet'!$C$3:$F$101, 4, FALSE)</f>
        <v>#N/A</v>
      </c>
      <c r="F97" t="e">
        <f t="shared" si="6"/>
        <v>#N/A</v>
      </c>
    </row>
    <row r="98" spans="1:6" x14ac:dyDescent="0.25">
      <c r="A98" t="str">
        <f>'Question List'!B100</f>
        <v>Set 19</v>
      </c>
      <c r="B98" s="96" t="str">
        <f t="shared" ref="B98:B129" si="7">IF(A98=0, B97, A98)</f>
        <v>Set 19</v>
      </c>
      <c r="C98">
        <f>'Question List'!D100</f>
        <v>0</v>
      </c>
      <c r="D98">
        <f>'Question List'!E100</f>
        <v>0</v>
      </c>
      <c r="E98" t="e">
        <f>VLOOKUP(B98, 'Input Sheet'!$C$3:$F$101, 4, FALSE)</f>
        <v>#N/A</v>
      </c>
      <c r="F98" t="e">
        <f t="shared" si="6"/>
        <v>#N/A</v>
      </c>
    </row>
    <row r="99" spans="1:6" x14ac:dyDescent="0.25">
      <c r="A99">
        <f>'Question List'!B101</f>
        <v>0</v>
      </c>
      <c r="B99" s="96" t="str">
        <f t="shared" si="7"/>
        <v>Set 19</v>
      </c>
      <c r="C99">
        <f>'Question List'!D101</f>
        <v>0</v>
      </c>
      <c r="D99">
        <f>'Question List'!E101</f>
        <v>0</v>
      </c>
      <c r="E99" t="e">
        <f>VLOOKUP(B99, 'Input Sheet'!$C$3:$F$101, 4, FALSE)</f>
        <v>#N/A</v>
      </c>
      <c r="F99" t="e">
        <f t="shared" si="6"/>
        <v>#N/A</v>
      </c>
    </row>
    <row r="100" spans="1:6" x14ac:dyDescent="0.25">
      <c r="A100">
        <f>'Question List'!B102</f>
        <v>0</v>
      </c>
      <c r="B100" s="96" t="str">
        <f t="shared" si="7"/>
        <v>Set 19</v>
      </c>
      <c r="C100">
        <f>'Question List'!D102</f>
        <v>0</v>
      </c>
      <c r="D100">
        <f>'Question List'!E102</f>
        <v>0</v>
      </c>
      <c r="E100" t="e">
        <f>VLOOKUP(B100, 'Input Sheet'!$C$3:$F$101, 4, FALSE)</f>
        <v>#N/A</v>
      </c>
      <c r="F100" t="e">
        <f t="shared" si="6"/>
        <v>#N/A</v>
      </c>
    </row>
    <row r="101" spans="1:6" x14ac:dyDescent="0.25">
      <c r="A101">
        <f>'Question List'!B103</f>
        <v>0</v>
      </c>
      <c r="B101" s="96" t="str">
        <f t="shared" si="7"/>
        <v>Set 19</v>
      </c>
      <c r="C101">
        <f>'Question List'!D103</f>
        <v>0</v>
      </c>
      <c r="D101">
        <f>'Question List'!E103</f>
        <v>0</v>
      </c>
      <c r="E101" t="e">
        <f>VLOOKUP(B101, 'Input Sheet'!$C$3:$F$101, 4, FALSE)</f>
        <v>#N/A</v>
      </c>
      <c r="F101" t="e">
        <f t="shared" si="6"/>
        <v>#N/A</v>
      </c>
    </row>
    <row r="102" spans="1:6" x14ac:dyDescent="0.25">
      <c r="A102" t="str">
        <f>'Question List'!B104</f>
        <v>Set 20a</v>
      </c>
      <c r="B102" s="96" t="str">
        <f t="shared" si="7"/>
        <v>Set 20a</v>
      </c>
      <c r="C102" t="str">
        <f>'Question List'!D104</f>
        <v>Yes</v>
      </c>
      <c r="D102" t="str">
        <f>'Question List'!E104</f>
        <v>A solar installation is possible</v>
      </c>
      <c r="E102" t="e">
        <f>VLOOKUP(B102, 'Input Sheet'!$C$3:$F$101, 4, FALSE)</f>
        <v>#N/A</v>
      </c>
      <c r="F102" t="e">
        <f t="shared" si="6"/>
        <v>#N/A</v>
      </c>
    </row>
    <row r="103" spans="1:6" x14ac:dyDescent="0.25">
      <c r="A103">
        <f>'Question List'!B105</f>
        <v>0</v>
      </c>
      <c r="B103" s="96" t="str">
        <f t="shared" si="7"/>
        <v>Set 20a</v>
      </c>
      <c r="C103" t="str">
        <f>'Question List'!D105</f>
        <v>No</v>
      </c>
      <c r="D103" t="str">
        <f>'Question List'!E105</f>
        <v>Solar not possible</v>
      </c>
      <c r="E103" t="e">
        <f>VLOOKUP(B103, 'Input Sheet'!$C$3:$F$101, 4, FALSE)</f>
        <v>#N/A</v>
      </c>
      <c r="F103" t="e">
        <f t="shared" si="6"/>
        <v>#N/A</v>
      </c>
    </row>
    <row r="104" spans="1:6" x14ac:dyDescent="0.25">
      <c r="A104">
        <f>'Question List'!B106</f>
        <v>0</v>
      </c>
      <c r="B104" s="96" t="str">
        <f t="shared" si="7"/>
        <v>Set 20a</v>
      </c>
      <c r="C104">
        <f>'Question List'!D106</f>
        <v>0</v>
      </c>
      <c r="D104">
        <f>'Question List'!E106</f>
        <v>0</v>
      </c>
      <c r="E104" t="e">
        <f>VLOOKUP(B104, 'Input Sheet'!$C$3:$F$101, 4, FALSE)</f>
        <v>#N/A</v>
      </c>
      <c r="F104" t="e">
        <f t="shared" si="6"/>
        <v>#N/A</v>
      </c>
    </row>
    <row r="105" spans="1:6" x14ac:dyDescent="0.25">
      <c r="A105">
        <f>'Question List'!B107</f>
        <v>0</v>
      </c>
      <c r="B105" s="96" t="str">
        <f t="shared" si="7"/>
        <v>Set 20a</v>
      </c>
      <c r="C105">
        <f>'Question List'!D107</f>
        <v>0</v>
      </c>
      <c r="D105">
        <f>'Question List'!E107</f>
        <v>0</v>
      </c>
      <c r="E105" t="e">
        <f>VLOOKUP(B105, 'Input Sheet'!$C$3:$F$101, 4, FALSE)</f>
        <v>#N/A</v>
      </c>
      <c r="F105" t="e">
        <f t="shared" si="6"/>
        <v>#N/A</v>
      </c>
    </row>
    <row r="106" spans="1:6" x14ac:dyDescent="0.25">
      <c r="A106" t="str">
        <f>'Question List'!B108</f>
        <v>Set 20b</v>
      </c>
      <c r="B106" s="96" t="str">
        <f t="shared" si="7"/>
        <v>Set 20b</v>
      </c>
      <c r="C106" t="str">
        <f>'Question List'!D108</f>
        <v>Yes</v>
      </c>
      <c r="D106" t="str">
        <f>'Question List'!E108</f>
        <v>A solar installation is possible</v>
      </c>
      <c r="E106" t="e">
        <f>VLOOKUP(B106, 'Input Sheet'!$C$3:$F$101, 4, FALSE)</f>
        <v>#N/A</v>
      </c>
      <c r="F106" t="e">
        <f t="shared" ref="F106:F137" si="8">IF(C106=E106, D106, "")</f>
        <v>#N/A</v>
      </c>
    </row>
    <row r="107" spans="1:6" x14ac:dyDescent="0.25">
      <c r="A107">
        <f>'Question List'!B109</f>
        <v>0</v>
      </c>
      <c r="B107" s="96" t="str">
        <f t="shared" si="7"/>
        <v>Set 20b</v>
      </c>
      <c r="C107" t="str">
        <f>'Question List'!D109</f>
        <v>No</v>
      </c>
      <c r="D107" t="str">
        <f>'Question List'!E109</f>
        <v>Solar not possible</v>
      </c>
      <c r="E107" t="e">
        <f>VLOOKUP(B107, 'Input Sheet'!$C$3:$F$101, 4, FALSE)</f>
        <v>#N/A</v>
      </c>
      <c r="F107" t="e">
        <f t="shared" si="8"/>
        <v>#N/A</v>
      </c>
    </row>
    <row r="108" spans="1:6" x14ac:dyDescent="0.25">
      <c r="A108">
        <f>'Question List'!B110</f>
        <v>0</v>
      </c>
      <c r="B108" s="96" t="str">
        <f t="shared" si="7"/>
        <v>Set 20b</v>
      </c>
      <c r="C108">
        <f>'Question List'!D110</f>
        <v>0</v>
      </c>
      <c r="D108">
        <f>'Question List'!E110</f>
        <v>0</v>
      </c>
      <c r="E108" t="e">
        <f>VLOOKUP(B108, 'Input Sheet'!$C$3:$F$101, 4, FALSE)</f>
        <v>#N/A</v>
      </c>
      <c r="F108" t="e">
        <f t="shared" si="8"/>
        <v>#N/A</v>
      </c>
    </row>
    <row r="109" spans="1:6" x14ac:dyDescent="0.25">
      <c r="A109">
        <f>'Question List'!B111</f>
        <v>0</v>
      </c>
      <c r="B109" s="96" t="str">
        <f t="shared" si="7"/>
        <v>Set 20b</v>
      </c>
      <c r="C109">
        <f>'Question List'!D111</f>
        <v>0</v>
      </c>
      <c r="D109">
        <f>'Question List'!E111</f>
        <v>0</v>
      </c>
      <c r="E109" t="e">
        <f>VLOOKUP(B109, 'Input Sheet'!$C$3:$F$101, 4, FALSE)</f>
        <v>#N/A</v>
      </c>
      <c r="F109" t="e">
        <f t="shared" si="8"/>
        <v>#N/A</v>
      </c>
    </row>
    <row r="110" spans="1:6" x14ac:dyDescent="0.25">
      <c r="A110" t="str">
        <f>'Question List'!B112</f>
        <v>Set 21</v>
      </c>
      <c r="B110" s="96" t="str">
        <f t="shared" si="7"/>
        <v>Set 21</v>
      </c>
      <c r="C110" t="str">
        <f>'Question List'!D112</f>
        <v>Yes</v>
      </c>
      <c r="D110" t="str">
        <f>'Question List'!E112</f>
        <v>Solar power generation is possible</v>
      </c>
      <c r="E110" t="e">
        <f>VLOOKUP(B110, 'Input Sheet'!$C$3:$F$101, 4, FALSE)</f>
        <v>#N/A</v>
      </c>
      <c r="F110" t="e">
        <f t="shared" si="8"/>
        <v>#N/A</v>
      </c>
    </row>
    <row r="111" spans="1:6" x14ac:dyDescent="0.25">
      <c r="A111">
        <f>'Question List'!B113</f>
        <v>0</v>
      </c>
      <c r="B111" s="96" t="str">
        <f t="shared" si="7"/>
        <v>Set 21</v>
      </c>
      <c r="C111" t="str">
        <f>'Question List'!D113</f>
        <v>No</v>
      </c>
      <c r="D111" t="str">
        <f>'Question List'!E113</f>
        <v>Solar not possible</v>
      </c>
      <c r="E111" t="e">
        <f>VLOOKUP(B111, 'Input Sheet'!$C$3:$F$101, 4, FALSE)</f>
        <v>#N/A</v>
      </c>
      <c r="F111" t="e">
        <f t="shared" si="8"/>
        <v>#N/A</v>
      </c>
    </row>
    <row r="112" spans="1:6" x14ac:dyDescent="0.25">
      <c r="A112">
        <f>'Question List'!B114</f>
        <v>0</v>
      </c>
      <c r="B112" s="96" t="str">
        <f t="shared" si="7"/>
        <v>Set 21</v>
      </c>
      <c r="C112">
        <f>'Question List'!D114</f>
        <v>0</v>
      </c>
      <c r="D112">
        <f>'Question List'!E114</f>
        <v>0</v>
      </c>
      <c r="E112" t="e">
        <f>VLOOKUP(B112, 'Input Sheet'!$C$3:$F$101, 4, FALSE)</f>
        <v>#N/A</v>
      </c>
      <c r="F112" t="e">
        <f t="shared" si="8"/>
        <v>#N/A</v>
      </c>
    </row>
    <row r="113" spans="1:6" x14ac:dyDescent="0.25">
      <c r="A113">
        <f>'Question List'!B115</f>
        <v>0</v>
      </c>
      <c r="B113" s="96" t="str">
        <f t="shared" si="7"/>
        <v>Set 21</v>
      </c>
      <c r="C113">
        <f>'Question List'!D115</f>
        <v>0</v>
      </c>
      <c r="D113">
        <f>'Question List'!E115</f>
        <v>0</v>
      </c>
      <c r="E113" t="e">
        <f>VLOOKUP(B113, 'Input Sheet'!$C$3:$F$101, 4, FALSE)</f>
        <v>#N/A</v>
      </c>
      <c r="F113" t="e">
        <f t="shared" si="8"/>
        <v>#N/A</v>
      </c>
    </row>
    <row r="114" spans="1:6" x14ac:dyDescent="0.25">
      <c r="A114" t="str">
        <f>'Question List'!B116</f>
        <v>Set 22a</v>
      </c>
      <c r="B114" s="96" t="str">
        <f t="shared" si="7"/>
        <v>Set 22a</v>
      </c>
      <c r="C114" t="str">
        <f>'Question List'!D116</f>
        <v>Graph 1</v>
      </c>
      <c r="D114" t="str">
        <f>'Question List'!E116</f>
        <v>Optimal day time usage</v>
      </c>
      <c r="E114" t="e">
        <f>VLOOKUP(B114, 'Input Sheet'!$C$3:$F$101, 4, FALSE)</f>
        <v>#N/A</v>
      </c>
      <c r="F114" t="e">
        <f t="shared" si="8"/>
        <v>#N/A</v>
      </c>
    </row>
    <row r="115" spans="1:6" x14ac:dyDescent="0.25">
      <c r="A115">
        <f>'Question List'!B117</f>
        <v>0</v>
      </c>
      <c r="B115" s="96" t="str">
        <f t="shared" si="7"/>
        <v>Set 22a</v>
      </c>
      <c r="C115" t="str">
        <f>'Question List'!D117</f>
        <v>Graph 2</v>
      </c>
      <c r="D115" t="str">
        <f>'Question List'!E117</f>
        <v>24/7 usage</v>
      </c>
      <c r="E115" t="e">
        <f>VLOOKUP(B115, 'Input Sheet'!$C$3:$F$101, 4, FALSE)</f>
        <v>#N/A</v>
      </c>
      <c r="F115" t="e">
        <f t="shared" si="8"/>
        <v>#N/A</v>
      </c>
    </row>
    <row r="116" spans="1:6" x14ac:dyDescent="0.25">
      <c r="A116">
        <f>'Question List'!B118</f>
        <v>0</v>
      </c>
      <c r="B116" s="96" t="str">
        <f t="shared" si="7"/>
        <v>Set 22a</v>
      </c>
      <c r="C116" t="str">
        <f>'Question List'!D118</f>
        <v>Graph 3</v>
      </c>
      <c r="D116" t="str">
        <f>'Question List'!E118</f>
        <v>Afternoon / evening usage</v>
      </c>
      <c r="E116" t="e">
        <f>VLOOKUP(B116, 'Input Sheet'!$C$3:$F$101, 4, FALSE)</f>
        <v>#N/A</v>
      </c>
      <c r="F116" t="e">
        <f t="shared" si="8"/>
        <v>#N/A</v>
      </c>
    </row>
    <row r="117" spans="1:6" x14ac:dyDescent="0.25">
      <c r="A117">
        <f>'Question List'!B119</f>
        <v>0</v>
      </c>
      <c r="B117" s="96" t="str">
        <f t="shared" si="7"/>
        <v>Set 22a</v>
      </c>
      <c r="C117" t="str">
        <f>'Question List'!D119</f>
        <v>Graph 4</v>
      </c>
      <c r="D117" t="str">
        <f>'Question List'!E119</f>
        <v>Random usage</v>
      </c>
      <c r="E117" t="e">
        <f>VLOOKUP(B117, 'Input Sheet'!$C$3:$F$101, 4, FALSE)</f>
        <v>#N/A</v>
      </c>
      <c r="F117" t="e">
        <f t="shared" si="8"/>
        <v>#N/A</v>
      </c>
    </row>
    <row r="118" spans="1:6" x14ac:dyDescent="0.25">
      <c r="A118" t="str">
        <f>'Question List'!B120</f>
        <v>Set 22b</v>
      </c>
      <c r="B118" s="96" t="str">
        <f t="shared" si="7"/>
        <v>Set 22b</v>
      </c>
      <c r="C118" t="str">
        <f>'Question List'!D120</f>
        <v>Enter value</v>
      </c>
      <c r="D118" t="str">
        <f>'Question List'!E120</f>
        <v>kWh used per day</v>
      </c>
      <c r="E118" t="e">
        <f>VLOOKUP(B118, 'Input Sheet'!$C$3:$F$101, 4, FALSE)</f>
        <v>#N/A</v>
      </c>
      <c r="F118" t="e">
        <f t="shared" si="8"/>
        <v>#N/A</v>
      </c>
    </row>
    <row r="119" spans="1:6" x14ac:dyDescent="0.25">
      <c r="A119">
        <f>'Question List'!B121</f>
        <v>0</v>
      </c>
      <c r="B119" s="96" t="str">
        <f t="shared" si="7"/>
        <v>Set 22b</v>
      </c>
      <c r="C119">
        <f>'Question List'!D121</f>
        <v>0</v>
      </c>
      <c r="D119">
        <f>'Question List'!E121</f>
        <v>0</v>
      </c>
      <c r="E119" t="e">
        <f>VLOOKUP(B119, 'Input Sheet'!$C$3:$F$101, 4, FALSE)</f>
        <v>#N/A</v>
      </c>
      <c r="F119" t="e">
        <f t="shared" si="8"/>
        <v>#N/A</v>
      </c>
    </row>
    <row r="120" spans="1:6" x14ac:dyDescent="0.25">
      <c r="A120">
        <f>'Question List'!B122</f>
        <v>0</v>
      </c>
      <c r="B120" s="96" t="str">
        <f t="shared" si="7"/>
        <v>Set 22b</v>
      </c>
      <c r="C120">
        <f>'Question List'!D122</f>
        <v>0</v>
      </c>
      <c r="D120">
        <f>'Question List'!E122</f>
        <v>0</v>
      </c>
      <c r="E120" t="e">
        <f>VLOOKUP(B120, 'Input Sheet'!$C$3:$F$101, 4, FALSE)</f>
        <v>#N/A</v>
      </c>
      <c r="F120" t="e">
        <f t="shared" si="8"/>
        <v>#N/A</v>
      </c>
    </row>
    <row r="121" spans="1:6" x14ac:dyDescent="0.25">
      <c r="A121">
        <f>'Question List'!B123</f>
        <v>0</v>
      </c>
      <c r="B121" s="96" t="str">
        <f t="shared" si="7"/>
        <v>Set 22b</v>
      </c>
      <c r="C121">
        <f>'Question List'!D123</f>
        <v>0</v>
      </c>
      <c r="D121">
        <f>'Question List'!E123</f>
        <v>0</v>
      </c>
      <c r="E121" t="e">
        <f>VLOOKUP(B121, 'Input Sheet'!$C$3:$F$101, 4, FALSE)</f>
        <v>#N/A</v>
      </c>
      <c r="F121" t="e">
        <f t="shared" si="8"/>
        <v>#N/A</v>
      </c>
    </row>
    <row r="122" spans="1:6" x14ac:dyDescent="0.25">
      <c r="A122">
        <f>'Question List'!B124</f>
        <v>0</v>
      </c>
      <c r="B122" s="96" t="str">
        <f t="shared" si="7"/>
        <v>Set 22b</v>
      </c>
      <c r="C122">
        <f>'Question List'!D124</f>
        <v>0</v>
      </c>
      <c r="D122">
        <f>'Question List'!E124</f>
        <v>0</v>
      </c>
      <c r="E122" t="e">
        <f>VLOOKUP(B122, 'Input Sheet'!$C$3:$F$101, 4, FALSE)</f>
        <v>#N/A</v>
      </c>
      <c r="F122" t="e">
        <f t="shared" si="8"/>
        <v>#N/A</v>
      </c>
    </row>
    <row r="123" spans="1:6" x14ac:dyDescent="0.25">
      <c r="A123" t="str">
        <f>'Question List'!B125</f>
        <v>Set Exit1</v>
      </c>
      <c r="B123" s="96" t="str">
        <f t="shared" si="7"/>
        <v>Set Exit1</v>
      </c>
      <c r="C123">
        <f>'Question List'!D125</f>
        <v>0</v>
      </c>
      <c r="D123">
        <f>'Question List'!E125</f>
        <v>0</v>
      </c>
      <c r="E123" t="e">
        <f>VLOOKUP(B123, 'Input Sheet'!$C$3:$F$101, 4, FALSE)</f>
        <v>#N/A</v>
      </c>
      <c r="F123" t="e">
        <f t="shared" si="8"/>
        <v>#N/A</v>
      </c>
    </row>
    <row r="124" spans="1:6" x14ac:dyDescent="0.25">
      <c r="A124" t="str">
        <f>'Question List'!B126</f>
        <v>Set Exit2</v>
      </c>
      <c r="B124" s="96" t="str">
        <f t="shared" si="7"/>
        <v>Set Exit2</v>
      </c>
      <c r="C124">
        <f>'Question List'!D126</f>
        <v>0</v>
      </c>
      <c r="D124">
        <f>'Question List'!E126</f>
        <v>0</v>
      </c>
      <c r="E124" t="e">
        <f>VLOOKUP(B124, 'Input Sheet'!$C$3:$F$101, 4, FALSE)</f>
        <v>#N/A</v>
      </c>
      <c r="F124" t="e">
        <f t="shared" si="8"/>
        <v>#N/A</v>
      </c>
    </row>
    <row r="125" spans="1:6" x14ac:dyDescent="0.25">
      <c r="A125" t="str">
        <f>'Question List'!B127</f>
        <v>Set Exit3</v>
      </c>
      <c r="B125" s="96" t="str">
        <f t="shared" si="7"/>
        <v>Set Exit3</v>
      </c>
      <c r="C125">
        <f>'Question List'!D127</f>
        <v>0</v>
      </c>
      <c r="D125">
        <f>'Question List'!E127</f>
        <v>0</v>
      </c>
      <c r="E125" t="e">
        <f>VLOOKUP(B125, 'Input Sheet'!$C$3:$F$101, 4, FALSE)</f>
        <v>#N/A</v>
      </c>
      <c r="F125" t="e">
        <f t="shared" si="8"/>
        <v>#N/A</v>
      </c>
    </row>
    <row r="126" spans="1:6" x14ac:dyDescent="0.25">
      <c r="A126" t="str">
        <f>'Question List'!B128</f>
        <v>Set Exit4</v>
      </c>
      <c r="B126" s="96" t="str">
        <f t="shared" si="7"/>
        <v>Set Exit4</v>
      </c>
      <c r="C126">
        <f>'Question List'!D128</f>
        <v>0</v>
      </c>
      <c r="D126">
        <f>'Question List'!E128</f>
        <v>0</v>
      </c>
      <c r="E126" t="e">
        <f>VLOOKUP(B126, 'Input Sheet'!$C$3:$F$101, 4, FALSE)</f>
        <v>#N/A</v>
      </c>
      <c r="F126" t="e">
        <f t="shared" si="8"/>
        <v>#N/A</v>
      </c>
    </row>
    <row r="127" spans="1:6" x14ac:dyDescent="0.25">
      <c r="A127" t="str">
        <f>'Question List'!B129</f>
        <v>Set Exit5</v>
      </c>
      <c r="B127" s="96" t="str">
        <f t="shared" si="7"/>
        <v>Set Exit5</v>
      </c>
      <c r="C127">
        <f>'Question List'!D129</f>
        <v>0</v>
      </c>
      <c r="D127">
        <f>'Question List'!E129</f>
        <v>0</v>
      </c>
      <c r="E127" t="e">
        <f>VLOOKUP(B127, 'Input Sheet'!$C$3:$F$101, 4, FALSE)</f>
        <v>#N/A</v>
      </c>
      <c r="F127" t="e">
        <f t="shared" si="8"/>
        <v>#N/A</v>
      </c>
    </row>
    <row r="128" spans="1:6" x14ac:dyDescent="0.25">
      <c r="A128" t="str">
        <f>'Question List'!B130</f>
        <v>Set Exit6</v>
      </c>
      <c r="B128" s="96" t="str">
        <f t="shared" si="7"/>
        <v>Set Exit6</v>
      </c>
      <c r="C128">
        <f>'Question List'!D130</f>
        <v>0</v>
      </c>
      <c r="D128">
        <f>'Question List'!E130</f>
        <v>0</v>
      </c>
      <c r="E128" t="e">
        <f>VLOOKUP(B128, 'Input Sheet'!$C$3:$F$101, 4, FALSE)</f>
        <v>#N/A</v>
      </c>
      <c r="F128" t="e">
        <f t="shared" si="8"/>
        <v>#N/A</v>
      </c>
    </row>
    <row r="129" spans="1:6" x14ac:dyDescent="0.25">
      <c r="A129" t="str">
        <f>'Question List'!B131</f>
        <v>Set Exit7</v>
      </c>
      <c r="B129" s="96" t="str">
        <f t="shared" si="7"/>
        <v>Set Exit7</v>
      </c>
      <c r="C129">
        <f>'Question List'!D131</f>
        <v>0</v>
      </c>
      <c r="D129">
        <f>'Question List'!E131</f>
        <v>0</v>
      </c>
      <c r="E129" t="e">
        <f>VLOOKUP(B129, 'Input Sheet'!$C$3:$F$101, 4, FALSE)</f>
        <v>#N/A</v>
      </c>
      <c r="F129" t="e">
        <f t="shared" si="8"/>
        <v>#N/A</v>
      </c>
    </row>
    <row r="130" spans="1:6" x14ac:dyDescent="0.25">
      <c r="A130">
        <f>'Question List'!B132</f>
        <v>0</v>
      </c>
      <c r="B130" s="96" t="str">
        <f t="shared" ref="B130:B161" si="9">IF(A130=0, B129, A130)</f>
        <v>Set Exit7</v>
      </c>
      <c r="C130">
        <f>'Question List'!D132</f>
        <v>0</v>
      </c>
      <c r="D130">
        <f>'Question List'!E132</f>
        <v>0</v>
      </c>
      <c r="E130" t="e">
        <f>VLOOKUP(B130, 'Input Sheet'!$C$3:$F$101, 4, FALSE)</f>
        <v>#N/A</v>
      </c>
      <c r="F130" t="e">
        <f t="shared" si="8"/>
        <v>#N/A</v>
      </c>
    </row>
    <row r="131" spans="1:6" x14ac:dyDescent="0.25">
      <c r="A131">
        <f>'Question List'!B133</f>
        <v>0</v>
      </c>
      <c r="B131" s="96" t="str">
        <f t="shared" si="9"/>
        <v>Set Exit7</v>
      </c>
      <c r="C131">
        <f>'Question List'!D133</f>
        <v>0</v>
      </c>
      <c r="D131">
        <f>'Question List'!E133</f>
        <v>0</v>
      </c>
      <c r="E131" t="e">
        <f>VLOOKUP(B131, 'Input Sheet'!$C$3:$F$101, 4, FALSE)</f>
        <v>#N/A</v>
      </c>
      <c r="F131" t="e">
        <f t="shared" si="8"/>
        <v>#N/A</v>
      </c>
    </row>
    <row r="132" spans="1:6" x14ac:dyDescent="0.25">
      <c r="A132">
        <f>'Question List'!B134</f>
        <v>0</v>
      </c>
      <c r="B132" s="96" t="str">
        <f t="shared" si="9"/>
        <v>Set Exit7</v>
      </c>
      <c r="C132">
        <f>'Question List'!D134</f>
        <v>0</v>
      </c>
      <c r="D132">
        <f>'Question List'!E134</f>
        <v>0</v>
      </c>
      <c r="E132" t="e">
        <f>VLOOKUP(B132, 'Input Sheet'!$C$3:$F$101, 4, FALSE)</f>
        <v>#N/A</v>
      </c>
      <c r="F132" t="e">
        <f t="shared" si="8"/>
        <v>#N/A</v>
      </c>
    </row>
    <row r="133" spans="1:6" x14ac:dyDescent="0.25">
      <c r="A133" t="str">
        <f>'Question List'!B135</f>
        <v>Set 1</v>
      </c>
      <c r="B133" s="96" t="str">
        <f t="shared" si="9"/>
        <v>Set 1</v>
      </c>
      <c r="C133">
        <f>'Question List'!D135</f>
        <v>0</v>
      </c>
      <c r="D133">
        <f>'Question List'!E135</f>
        <v>0</v>
      </c>
      <c r="E133" t="str">
        <f>VLOOKUP(B133, 'Input Sheet'!$C$3:$F$101, 4, FALSE)</f>
        <v/>
      </c>
      <c r="F133" t="str">
        <f t="shared" si="8"/>
        <v/>
      </c>
    </row>
    <row r="134" spans="1:6" x14ac:dyDescent="0.25">
      <c r="A134" t="str">
        <f>'Question List'!B136</f>
        <v>Set 2</v>
      </c>
      <c r="B134" s="96" t="str">
        <f t="shared" si="9"/>
        <v>Set 2</v>
      </c>
      <c r="C134">
        <f>'Question List'!D136</f>
        <v>0</v>
      </c>
      <c r="D134">
        <f>'Question List'!E136</f>
        <v>0</v>
      </c>
      <c r="E134" t="e">
        <f>VLOOKUP(B134, 'Input Sheet'!$C$3:$F$101, 4, FALSE)</f>
        <v>#N/A</v>
      </c>
      <c r="F134" t="e">
        <f t="shared" si="8"/>
        <v>#N/A</v>
      </c>
    </row>
    <row r="135" spans="1:6" x14ac:dyDescent="0.25">
      <c r="A135" t="str">
        <f>'Question List'!B137</f>
        <v>Set 3</v>
      </c>
      <c r="B135" s="96" t="str">
        <f t="shared" si="9"/>
        <v>Set 3</v>
      </c>
      <c r="C135">
        <f>'Question List'!D137</f>
        <v>0</v>
      </c>
      <c r="D135">
        <f>'Question List'!E137</f>
        <v>0</v>
      </c>
      <c r="E135" t="e">
        <f>VLOOKUP(B135, 'Input Sheet'!$C$3:$F$101, 4, FALSE)</f>
        <v>#N/A</v>
      </c>
      <c r="F135" t="e">
        <f t="shared" si="8"/>
        <v>#N/A</v>
      </c>
    </row>
    <row r="136" spans="1:6" x14ac:dyDescent="0.25">
      <c r="A136" t="str">
        <f>'Question List'!B138</f>
        <v>Set 4a1</v>
      </c>
      <c r="B136" s="96" t="str">
        <f t="shared" si="9"/>
        <v>Set 4a1</v>
      </c>
      <c r="C136">
        <f>'Question List'!D138</f>
        <v>0</v>
      </c>
      <c r="D136">
        <f>'Question List'!E138</f>
        <v>0</v>
      </c>
      <c r="E136" t="e">
        <f>VLOOKUP(B136, 'Input Sheet'!$C$3:$F$101, 4, FALSE)</f>
        <v>#N/A</v>
      </c>
      <c r="F136" t="e">
        <f t="shared" si="8"/>
        <v>#N/A</v>
      </c>
    </row>
    <row r="137" spans="1:6" x14ac:dyDescent="0.25">
      <c r="A137" t="str">
        <f>'Question List'!B139</f>
        <v>Set 4a2</v>
      </c>
      <c r="B137" s="96" t="str">
        <f t="shared" si="9"/>
        <v>Set 4a2</v>
      </c>
      <c r="C137">
        <f>'Question List'!D139</f>
        <v>0</v>
      </c>
      <c r="D137">
        <f>'Question List'!E139</f>
        <v>0</v>
      </c>
      <c r="E137" t="e">
        <f>VLOOKUP(B137, 'Input Sheet'!$C$3:$F$101, 4, FALSE)</f>
        <v>#N/A</v>
      </c>
      <c r="F137" t="e">
        <f t="shared" si="8"/>
        <v>#N/A</v>
      </c>
    </row>
    <row r="138" spans="1:6" x14ac:dyDescent="0.25">
      <c r="A138" t="str">
        <f>'Question List'!B140</f>
        <v>Set 4b</v>
      </c>
      <c r="B138" s="96" t="str">
        <f t="shared" si="9"/>
        <v>Set 4b</v>
      </c>
      <c r="C138">
        <f>'Question List'!D140</f>
        <v>0</v>
      </c>
      <c r="D138">
        <f>'Question List'!E140</f>
        <v>0</v>
      </c>
      <c r="E138" t="e">
        <f>VLOOKUP(B138, 'Input Sheet'!$C$3:$F$101, 4, FALSE)</f>
        <v>#N/A</v>
      </c>
      <c r="F138" t="e">
        <f t="shared" ref="F138:F164" si="10">IF(C138=E138, D138, "")</f>
        <v>#N/A</v>
      </c>
    </row>
    <row r="139" spans="1:6" x14ac:dyDescent="0.25">
      <c r="A139" t="str">
        <f>'Question List'!B141</f>
        <v>Set 4c</v>
      </c>
      <c r="B139" s="96" t="str">
        <f t="shared" si="9"/>
        <v>Set 4c</v>
      </c>
      <c r="C139">
        <f>'Question List'!D141</f>
        <v>0</v>
      </c>
      <c r="D139">
        <f>'Question List'!E141</f>
        <v>0</v>
      </c>
      <c r="E139" t="e">
        <f>VLOOKUP(B139, 'Input Sheet'!$C$3:$F$101, 4, FALSE)</f>
        <v>#N/A</v>
      </c>
      <c r="F139" t="e">
        <f t="shared" si="10"/>
        <v>#N/A</v>
      </c>
    </row>
    <row r="140" spans="1:6" x14ac:dyDescent="0.25">
      <c r="A140" t="str">
        <f>'Question List'!B142</f>
        <v>Set 5</v>
      </c>
      <c r="B140" s="96" t="str">
        <f t="shared" si="9"/>
        <v>Set 5</v>
      </c>
      <c r="C140">
        <f>'Question List'!D142</f>
        <v>0</v>
      </c>
      <c r="D140">
        <f>'Question List'!E142</f>
        <v>0</v>
      </c>
      <c r="E140" t="e">
        <f>VLOOKUP(B140, 'Input Sheet'!$C$3:$F$101, 4, FALSE)</f>
        <v>#N/A</v>
      </c>
      <c r="F140" t="e">
        <f t="shared" si="10"/>
        <v>#N/A</v>
      </c>
    </row>
    <row r="141" spans="1:6" x14ac:dyDescent="0.25">
      <c r="A141" t="str">
        <f>'Question List'!B143</f>
        <v>Set 6</v>
      </c>
      <c r="B141" s="96" t="str">
        <f t="shared" si="9"/>
        <v>Set 6</v>
      </c>
      <c r="C141">
        <f>'Question List'!D143</f>
        <v>0</v>
      </c>
      <c r="D141">
        <f>'Question List'!E143</f>
        <v>0</v>
      </c>
      <c r="E141" t="e">
        <f>VLOOKUP(B141, 'Input Sheet'!$C$3:$F$101, 4, FALSE)</f>
        <v>#N/A</v>
      </c>
      <c r="F141" t="e">
        <f t="shared" si="10"/>
        <v>#N/A</v>
      </c>
    </row>
    <row r="142" spans="1:6" x14ac:dyDescent="0.25">
      <c r="A142" t="str">
        <f>'Question List'!B144</f>
        <v>Set 7</v>
      </c>
      <c r="B142" s="96" t="str">
        <f t="shared" si="9"/>
        <v>Set 7</v>
      </c>
      <c r="C142">
        <f>'Question List'!D144</f>
        <v>0</v>
      </c>
      <c r="D142">
        <f>'Question List'!E144</f>
        <v>0</v>
      </c>
      <c r="E142" t="e">
        <f>VLOOKUP(B142, 'Input Sheet'!$C$3:$F$101, 4, FALSE)</f>
        <v>#N/A</v>
      </c>
      <c r="F142" t="e">
        <f t="shared" si="10"/>
        <v>#N/A</v>
      </c>
    </row>
    <row r="143" spans="1:6" x14ac:dyDescent="0.25">
      <c r="A143" t="str">
        <f>'Question List'!B145</f>
        <v>Set 8a</v>
      </c>
      <c r="B143" s="96" t="str">
        <f t="shared" si="9"/>
        <v>Set 8a</v>
      </c>
      <c r="C143">
        <f>'Question List'!D145</f>
        <v>0</v>
      </c>
      <c r="D143">
        <f>'Question List'!E145</f>
        <v>0</v>
      </c>
      <c r="E143" t="e">
        <f>VLOOKUP(B143, 'Input Sheet'!$C$3:$F$101, 4, FALSE)</f>
        <v>#N/A</v>
      </c>
      <c r="F143" t="e">
        <f t="shared" si="10"/>
        <v>#N/A</v>
      </c>
    </row>
    <row r="144" spans="1:6" x14ac:dyDescent="0.25">
      <c r="A144" t="str">
        <f>'Question List'!B146</f>
        <v>Set 8</v>
      </c>
      <c r="B144" s="96" t="str">
        <f t="shared" si="9"/>
        <v>Set 8</v>
      </c>
      <c r="C144">
        <f>'Question List'!D146</f>
        <v>0</v>
      </c>
      <c r="D144">
        <f>'Question List'!E146</f>
        <v>0</v>
      </c>
      <c r="E144" t="e">
        <f>VLOOKUP(B144, 'Input Sheet'!$C$3:$F$101, 4, FALSE)</f>
        <v>#N/A</v>
      </c>
      <c r="F144" t="e">
        <f t="shared" si="10"/>
        <v>#N/A</v>
      </c>
    </row>
    <row r="145" spans="1:6" x14ac:dyDescent="0.25">
      <c r="A145" t="str">
        <f>'Question List'!B147</f>
        <v>Set 9</v>
      </c>
      <c r="B145" s="96" t="str">
        <f t="shared" si="9"/>
        <v>Set 9</v>
      </c>
      <c r="C145">
        <f>'Question List'!D147</f>
        <v>0</v>
      </c>
      <c r="D145">
        <f>'Question List'!E147</f>
        <v>0</v>
      </c>
      <c r="E145" t="e">
        <f>VLOOKUP(B145, 'Input Sheet'!$C$3:$F$101, 4, FALSE)</f>
        <v>#N/A</v>
      </c>
      <c r="F145" t="e">
        <f t="shared" si="10"/>
        <v>#N/A</v>
      </c>
    </row>
    <row r="146" spans="1:6" x14ac:dyDescent="0.25">
      <c r="A146" t="str">
        <f>'Question List'!B148</f>
        <v>Set 10</v>
      </c>
      <c r="B146" s="96" t="str">
        <f t="shared" si="9"/>
        <v>Set 10</v>
      </c>
      <c r="C146">
        <f>'Question List'!D148</f>
        <v>0</v>
      </c>
      <c r="D146">
        <f>'Question List'!E148</f>
        <v>0</v>
      </c>
      <c r="E146" t="e">
        <f>VLOOKUP(B146, 'Input Sheet'!$C$3:$F$101, 4, FALSE)</f>
        <v>#N/A</v>
      </c>
      <c r="F146" t="e">
        <f t="shared" si="10"/>
        <v>#N/A</v>
      </c>
    </row>
    <row r="147" spans="1:6" x14ac:dyDescent="0.25">
      <c r="A147" t="str">
        <f>'Question List'!B149</f>
        <v>Set 11</v>
      </c>
      <c r="B147" s="96" t="str">
        <f t="shared" si="9"/>
        <v>Set 11</v>
      </c>
      <c r="C147">
        <f>'Question List'!D149</f>
        <v>0</v>
      </c>
      <c r="D147">
        <f>'Question List'!E149</f>
        <v>0</v>
      </c>
      <c r="E147" t="e">
        <f>VLOOKUP(B147, 'Input Sheet'!$C$3:$F$101, 4, FALSE)</f>
        <v>#N/A</v>
      </c>
      <c r="F147" t="e">
        <f t="shared" si="10"/>
        <v>#N/A</v>
      </c>
    </row>
    <row r="148" spans="1:6" x14ac:dyDescent="0.25">
      <c r="A148" t="str">
        <f>'Question List'!B150</f>
        <v>Set 12</v>
      </c>
      <c r="B148" s="96" t="str">
        <f t="shared" si="9"/>
        <v>Set 12</v>
      </c>
      <c r="C148">
        <f>'Question List'!D150</f>
        <v>0</v>
      </c>
      <c r="D148">
        <f>'Question List'!E150</f>
        <v>0</v>
      </c>
      <c r="E148" t="e">
        <f>VLOOKUP(B148, 'Input Sheet'!$C$3:$F$101, 4, FALSE)</f>
        <v>#N/A</v>
      </c>
      <c r="F148" t="e">
        <f t="shared" si="10"/>
        <v>#N/A</v>
      </c>
    </row>
    <row r="149" spans="1:6" x14ac:dyDescent="0.25">
      <c r="A149" t="str">
        <f>'Question List'!B151</f>
        <v>Set 13a</v>
      </c>
      <c r="B149" s="96" t="str">
        <f t="shared" si="9"/>
        <v>Set 13a</v>
      </c>
      <c r="C149">
        <f>'Question List'!D151</f>
        <v>0</v>
      </c>
      <c r="D149">
        <f>'Question List'!E151</f>
        <v>0</v>
      </c>
      <c r="E149" t="e">
        <f>VLOOKUP(B149, 'Input Sheet'!$C$3:$F$101, 4, FALSE)</f>
        <v>#N/A</v>
      </c>
      <c r="F149" t="e">
        <f t="shared" si="10"/>
        <v>#N/A</v>
      </c>
    </row>
    <row r="150" spans="1:6" x14ac:dyDescent="0.25">
      <c r="A150" t="str">
        <f>'Question List'!B152</f>
        <v>Set 13b</v>
      </c>
      <c r="B150" s="96" t="str">
        <f t="shared" si="9"/>
        <v>Set 13b</v>
      </c>
      <c r="C150">
        <f>'Question List'!D152</f>
        <v>0</v>
      </c>
      <c r="D150">
        <f>'Question List'!E152</f>
        <v>0</v>
      </c>
      <c r="E150" t="e">
        <f>VLOOKUP(B150, 'Input Sheet'!$C$3:$F$101, 4, FALSE)</f>
        <v>#N/A</v>
      </c>
      <c r="F150" t="e">
        <f t="shared" si="10"/>
        <v>#N/A</v>
      </c>
    </row>
    <row r="151" spans="1:6" x14ac:dyDescent="0.25">
      <c r="A151" t="str">
        <f>'Question List'!B153</f>
        <v>Set 14</v>
      </c>
      <c r="B151" s="96" t="str">
        <f t="shared" si="9"/>
        <v>Set 14</v>
      </c>
      <c r="C151">
        <f>'Question List'!D153</f>
        <v>0</v>
      </c>
      <c r="D151">
        <f>'Question List'!E153</f>
        <v>0</v>
      </c>
      <c r="E151" t="e">
        <f>VLOOKUP(B151, 'Input Sheet'!$C$3:$F$101, 4, FALSE)</f>
        <v>#N/A</v>
      </c>
      <c r="F151" t="e">
        <f t="shared" si="10"/>
        <v>#N/A</v>
      </c>
    </row>
    <row r="152" spans="1:6" x14ac:dyDescent="0.25">
      <c r="A152" t="str">
        <f>'Question List'!B154</f>
        <v>Set 15</v>
      </c>
      <c r="B152" s="96" t="str">
        <f t="shared" si="9"/>
        <v>Set 15</v>
      </c>
      <c r="C152">
        <f>'Question List'!D154</f>
        <v>0</v>
      </c>
      <c r="D152">
        <f>'Question List'!E154</f>
        <v>0</v>
      </c>
      <c r="E152" t="e">
        <f>VLOOKUP(B152, 'Input Sheet'!$C$3:$F$101, 4, FALSE)</f>
        <v>#N/A</v>
      </c>
      <c r="F152" t="e">
        <f t="shared" si="10"/>
        <v>#N/A</v>
      </c>
    </row>
    <row r="153" spans="1:6" x14ac:dyDescent="0.25">
      <c r="A153" t="str">
        <f>'Question List'!B155</f>
        <v>Set 16</v>
      </c>
      <c r="B153" s="96" t="str">
        <f t="shared" si="9"/>
        <v>Set 16</v>
      </c>
      <c r="C153">
        <f>'Question List'!D155</f>
        <v>0</v>
      </c>
      <c r="D153">
        <f>'Question List'!E155</f>
        <v>0</v>
      </c>
      <c r="E153" t="e">
        <f>VLOOKUP(B153, 'Input Sheet'!$C$3:$F$101, 4, FALSE)</f>
        <v>#N/A</v>
      </c>
      <c r="F153" t="e">
        <f t="shared" si="10"/>
        <v>#N/A</v>
      </c>
    </row>
    <row r="154" spans="1:6" x14ac:dyDescent="0.25">
      <c r="A154" t="str">
        <f>'Question List'!B156</f>
        <v>Set 17</v>
      </c>
      <c r="B154" s="96" t="str">
        <f t="shared" si="9"/>
        <v>Set 17</v>
      </c>
      <c r="C154">
        <f>'Question List'!D156</f>
        <v>0</v>
      </c>
      <c r="D154">
        <f>'Question List'!E156</f>
        <v>0</v>
      </c>
      <c r="E154" t="e">
        <f>VLOOKUP(B154, 'Input Sheet'!$C$3:$F$101, 4, FALSE)</f>
        <v>#N/A</v>
      </c>
      <c r="F154" t="e">
        <f t="shared" si="10"/>
        <v>#N/A</v>
      </c>
    </row>
    <row r="155" spans="1:6" x14ac:dyDescent="0.25">
      <c r="A155" t="str">
        <f>'Question List'!B157</f>
        <v>Set 18a</v>
      </c>
      <c r="B155" s="96" t="str">
        <f t="shared" si="9"/>
        <v>Set 18a</v>
      </c>
      <c r="C155">
        <f>'Question List'!D157</f>
        <v>0</v>
      </c>
      <c r="D155">
        <f>'Question List'!E157</f>
        <v>0</v>
      </c>
      <c r="E155" t="e">
        <f>VLOOKUP(B155, 'Input Sheet'!$C$3:$F$101, 4, FALSE)</f>
        <v>#N/A</v>
      </c>
      <c r="F155" t="e">
        <f t="shared" si="10"/>
        <v>#N/A</v>
      </c>
    </row>
    <row r="156" spans="1:6" x14ac:dyDescent="0.25">
      <c r="A156" t="str">
        <f>'Question List'!B158</f>
        <v>Set 18b</v>
      </c>
      <c r="B156" s="96" t="str">
        <f t="shared" si="9"/>
        <v>Set 18b</v>
      </c>
      <c r="C156">
        <f>'Question List'!D158</f>
        <v>0</v>
      </c>
      <c r="D156">
        <f>'Question List'!E158</f>
        <v>0</v>
      </c>
      <c r="E156" t="e">
        <f>VLOOKUP(B156, 'Input Sheet'!$C$3:$F$101, 4, FALSE)</f>
        <v>#N/A</v>
      </c>
      <c r="F156" t="e">
        <f t="shared" si="10"/>
        <v>#N/A</v>
      </c>
    </row>
    <row r="157" spans="1:6" x14ac:dyDescent="0.25">
      <c r="A157" t="str">
        <f>'Question List'!B159</f>
        <v>Set 19</v>
      </c>
      <c r="B157" s="96" t="str">
        <f t="shared" si="9"/>
        <v>Set 19</v>
      </c>
      <c r="C157">
        <f>'Question List'!D159</f>
        <v>0</v>
      </c>
      <c r="D157">
        <f>'Question List'!E159</f>
        <v>0</v>
      </c>
      <c r="E157" t="e">
        <f>VLOOKUP(B157, 'Input Sheet'!$C$3:$F$101, 4, FALSE)</f>
        <v>#N/A</v>
      </c>
      <c r="F157" t="e">
        <f t="shared" si="10"/>
        <v>#N/A</v>
      </c>
    </row>
    <row r="158" spans="1:6" x14ac:dyDescent="0.25">
      <c r="A158" t="str">
        <f>'Question List'!B160</f>
        <v>Set 20a</v>
      </c>
      <c r="B158" s="96" t="str">
        <f t="shared" si="9"/>
        <v>Set 20a</v>
      </c>
      <c r="C158">
        <f>'Question List'!D160</f>
        <v>0</v>
      </c>
      <c r="D158">
        <f>'Question List'!E160</f>
        <v>0</v>
      </c>
      <c r="E158" t="e">
        <f>VLOOKUP(B158, 'Input Sheet'!$C$3:$F$101, 4, FALSE)</f>
        <v>#N/A</v>
      </c>
      <c r="F158" t="e">
        <f t="shared" si="10"/>
        <v>#N/A</v>
      </c>
    </row>
    <row r="159" spans="1:6" x14ac:dyDescent="0.25">
      <c r="A159" t="str">
        <f>'Question List'!B161</f>
        <v>Set 20b</v>
      </c>
      <c r="B159" s="96" t="str">
        <f t="shared" si="9"/>
        <v>Set 20b</v>
      </c>
      <c r="C159">
        <f>'Question List'!D161</f>
        <v>0</v>
      </c>
      <c r="D159">
        <f>'Question List'!E161</f>
        <v>0</v>
      </c>
      <c r="E159" t="e">
        <f>VLOOKUP(B159, 'Input Sheet'!$C$3:$F$101, 4, FALSE)</f>
        <v>#N/A</v>
      </c>
      <c r="F159" t="e">
        <f t="shared" si="10"/>
        <v>#N/A</v>
      </c>
    </row>
    <row r="160" spans="1:6" x14ac:dyDescent="0.25">
      <c r="A160" t="str">
        <f>'Question List'!B162</f>
        <v>Set 21</v>
      </c>
      <c r="B160" s="96" t="str">
        <f t="shared" si="9"/>
        <v>Set 21</v>
      </c>
      <c r="C160">
        <f>'Question List'!D162</f>
        <v>0</v>
      </c>
      <c r="D160">
        <f>'Question List'!E162</f>
        <v>0</v>
      </c>
      <c r="E160" t="e">
        <f>VLOOKUP(B160, 'Input Sheet'!$C$3:$F$101, 4, FALSE)</f>
        <v>#N/A</v>
      </c>
      <c r="F160" t="e">
        <f t="shared" si="10"/>
        <v>#N/A</v>
      </c>
    </row>
    <row r="161" spans="1:6" x14ac:dyDescent="0.25">
      <c r="A161" t="str">
        <f>'Question List'!B163</f>
        <v>Set 22a</v>
      </c>
      <c r="B161" s="96" t="str">
        <f t="shared" si="9"/>
        <v>Set 22a</v>
      </c>
      <c r="C161">
        <f>'Question List'!D163</f>
        <v>0</v>
      </c>
      <c r="D161">
        <f>'Question List'!E163</f>
        <v>0</v>
      </c>
      <c r="E161" t="e">
        <f>VLOOKUP(B161, 'Input Sheet'!$C$3:$F$101, 4, FALSE)</f>
        <v>#N/A</v>
      </c>
      <c r="F161" t="e">
        <f t="shared" si="10"/>
        <v>#N/A</v>
      </c>
    </row>
    <row r="162" spans="1:6" x14ac:dyDescent="0.25">
      <c r="A162" t="str">
        <f>'Question List'!B164</f>
        <v>Set 22b</v>
      </c>
      <c r="B162" s="96" t="str">
        <f t="shared" ref="B162:B164" si="11">IF(A162=0, B161, A162)</f>
        <v>Set 22b</v>
      </c>
      <c r="C162">
        <f>'Question List'!D164</f>
        <v>0</v>
      </c>
      <c r="D162">
        <f>'Question List'!E164</f>
        <v>0</v>
      </c>
      <c r="E162" t="e">
        <f>VLOOKUP(B162, 'Input Sheet'!$C$3:$F$101, 4, FALSE)</f>
        <v>#N/A</v>
      </c>
      <c r="F162" t="e">
        <f t="shared" si="10"/>
        <v>#N/A</v>
      </c>
    </row>
    <row r="163" spans="1:6" x14ac:dyDescent="0.25">
      <c r="A163" t="str">
        <f>'Question List'!B165</f>
        <v>Set Exit1</v>
      </c>
      <c r="B163" s="96" t="str">
        <f t="shared" si="11"/>
        <v>Set Exit1</v>
      </c>
      <c r="C163">
        <f>'Question List'!D165</f>
        <v>0</v>
      </c>
      <c r="D163">
        <f>'Question List'!E165</f>
        <v>0</v>
      </c>
      <c r="E163" t="e">
        <f>VLOOKUP(B163, 'Input Sheet'!$C$3:$F$101, 4, FALSE)</f>
        <v>#N/A</v>
      </c>
      <c r="F163" t="e">
        <f t="shared" si="10"/>
        <v>#N/A</v>
      </c>
    </row>
    <row r="164" spans="1:6" x14ac:dyDescent="0.25">
      <c r="A164" t="str">
        <f>'Question List'!B166</f>
        <v>Set Exit2</v>
      </c>
      <c r="B164" s="96" t="str">
        <f t="shared" si="11"/>
        <v>Set Exit2</v>
      </c>
      <c r="C164">
        <f>'Question List'!D166</f>
        <v>0</v>
      </c>
      <c r="D164">
        <f>'Question List'!E166</f>
        <v>0</v>
      </c>
      <c r="E164" t="e">
        <f>VLOOKUP(B164, 'Input Sheet'!$C$3:$F$101, 4, FALSE)</f>
        <v>#N/A</v>
      </c>
      <c r="F164" t="e">
        <f t="shared" si="10"/>
        <v>#N/A</v>
      </c>
    </row>
  </sheetData>
  <pageMargins left="0.7" right="0.7" top="0.75" bottom="0.75" header="0.3" footer="0.3"/>
  <pageSetup paperSize="9" orientation="portrait" horizontalDpi="4294967293" verticalDpi="429496729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B3:K179"/>
  <sheetViews>
    <sheetView topLeftCell="A7" zoomScale="85" zoomScaleNormal="85" workbookViewId="0">
      <selection activeCell="E29" sqref="E29"/>
    </sheetView>
  </sheetViews>
  <sheetFormatPr defaultColWidth="8.85546875" defaultRowHeight="15" x14ac:dyDescent="0.25"/>
  <cols>
    <col min="2" max="2" width="20.140625" customWidth="1"/>
    <col min="3" max="3" width="24" customWidth="1"/>
    <col min="4" max="4" width="20.140625" customWidth="1"/>
    <col min="5" max="5" width="28.140625" customWidth="1"/>
    <col min="6" max="6" width="32" customWidth="1"/>
    <col min="7" max="7" width="29.85546875" customWidth="1"/>
    <col min="8" max="8" width="49.42578125" customWidth="1"/>
    <col min="9" max="9" width="26.85546875" customWidth="1"/>
    <col min="10" max="10" width="20.140625" customWidth="1"/>
    <col min="11" max="11" width="28" bestFit="1" customWidth="1"/>
    <col min="12" max="12" width="31.42578125" bestFit="1" customWidth="1"/>
    <col min="13" max="13" width="10.42578125" customWidth="1"/>
  </cols>
  <sheetData>
    <row r="3" spans="3:11" x14ac:dyDescent="0.25">
      <c r="C3" s="84" t="s">
        <v>490</v>
      </c>
      <c r="D3" s="80" t="s">
        <v>57</v>
      </c>
    </row>
    <row r="4" spans="3:11" x14ac:dyDescent="0.25">
      <c r="D4" s="80" t="s">
        <v>314</v>
      </c>
    </row>
    <row r="6" spans="3:11" x14ac:dyDescent="0.25">
      <c r="C6" s="84" t="s">
        <v>489</v>
      </c>
      <c r="D6" s="80" t="s">
        <v>57</v>
      </c>
    </row>
    <row r="7" spans="3:11" x14ac:dyDescent="0.25">
      <c r="D7" s="80" t="s">
        <v>314</v>
      </c>
      <c r="I7" s="37"/>
      <c r="J7" s="37"/>
      <c r="K7" s="37"/>
    </row>
    <row r="8" spans="3:11" x14ac:dyDescent="0.25">
      <c r="D8" s="80" t="s">
        <v>488</v>
      </c>
    </row>
    <row r="10" spans="3:11" x14ac:dyDescent="0.25">
      <c r="C10" s="84" t="s">
        <v>487</v>
      </c>
      <c r="D10" s="80">
        <v>52.15</v>
      </c>
    </row>
    <row r="11" spans="3:11" x14ac:dyDescent="0.25">
      <c r="C11" s="84" t="s">
        <v>486</v>
      </c>
      <c r="D11" s="80">
        <v>365</v>
      </c>
    </row>
    <row r="13" spans="3:11" x14ac:dyDescent="0.25">
      <c r="D13" s="80" t="s">
        <v>43</v>
      </c>
      <c r="E13" s="80" t="s">
        <v>477</v>
      </c>
      <c r="F13" s="80" t="s">
        <v>476</v>
      </c>
      <c r="H13" s="80" t="s">
        <v>485</v>
      </c>
      <c r="I13" s="78">
        <v>0.85</v>
      </c>
    </row>
    <row r="14" spans="3:11" x14ac:dyDescent="0.25">
      <c r="C14" s="80" t="s">
        <v>40</v>
      </c>
      <c r="D14" s="8" t="s">
        <v>122</v>
      </c>
      <c r="E14" s="8" t="s">
        <v>484</v>
      </c>
      <c r="F14" s="8" t="s">
        <v>483</v>
      </c>
    </row>
    <row r="15" spans="3:11" x14ac:dyDescent="0.25">
      <c r="C15" s="80" t="s">
        <v>39</v>
      </c>
      <c r="D15" s="8" t="s">
        <v>121</v>
      </c>
      <c r="E15" s="8" t="s">
        <v>482</v>
      </c>
      <c r="F15" s="8" t="s">
        <v>481</v>
      </c>
      <c r="H15" s="80" t="s">
        <v>32</v>
      </c>
      <c r="I15" s="78" t="s">
        <v>7</v>
      </c>
      <c r="J15" s="78">
        <f>DefaultEfficiency</f>
        <v>0.85</v>
      </c>
    </row>
    <row r="16" spans="3:11" x14ac:dyDescent="0.25">
      <c r="C16" s="80" t="s">
        <v>38</v>
      </c>
      <c r="D16" s="8" t="s">
        <v>120</v>
      </c>
      <c r="E16" s="8" t="s">
        <v>480</v>
      </c>
      <c r="F16" s="8" t="s">
        <v>120</v>
      </c>
      <c r="I16" s="133" t="s">
        <v>869</v>
      </c>
      <c r="J16" s="78" t="str">
        <f>I16</f>
        <v>100%</v>
      </c>
    </row>
    <row r="17" spans="2:10" x14ac:dyDescent="0.25">
      <c r="I17" s="133" t="s">
        <v>873</v>
      </c>
      <c r="J17" s="78">
        <f>J16-5%</f>
        <v>0.95</v>
      </c>
    </row>
    <row r="18" spans="2:10" x14ac:dyDescent="0.25">
      <c r="C18" s="99" t="s">
        <v>479</v>
      </c>
      <c r="I18" s="133" t="s">
        <v>870</v>
      </c>
      <c r="J18" s="78">
        <f>J17-5%</f>
        <v>0.89999999999999991</v>
      </c>
    </row>
    <row r="19" spans="2:10" x14ac:dyDescent="0.25">
      <c r="C19" s="99" t="s">
        <v>478</v>
      </c>
      <c r="D19" s="104" t="s">
        <v>43</v>
      </c>
      <c r="E19" s="104" t="s">
        <v>477</v>
      </c>
      <c r="F19" s="104" t="s">
        <v>476</v>
      </c>
      <c r="I19" s="130" t="s">
        <v>874</v>
      </c>
      <c r="J19" s="78">
        <f>J18-5%</f>
        <v>0.84999999999999987</v>
      </c>
    </row>
    <row r="20" spans="2:10" x14ac:dyDescent="0.25">
      <c r="C20" s="8" t="s">
        <v>34</v>
      </c>
      <c r="D20" s="8" t="s">
        <v>462</v>
      </c>
      <c r="E20" s="8" t="s">
        <v>457</v>
      </c>
      <c r="F20" s="8" t="s">
        <v>454</v>
      </c>
      <c r="I20" s="133" t="s">
        <v>871</v>
      </c>
      <c r="J20" s="78">
        <f>J19-5%</f>
        <v>0.79999999999999982</v>
      </c>
    </row>
    <row r="21" spans="2:10" x14ac:dyDescent="0.25">
      <c r="C21" s="8" t="s">
        <v>413</v>
      </c>
      <c r="D21" s="8" t="s">
        <v>459</v>
      </c>
      <c r="E21" s="8" t="s">
        <v>456</v>
      </c>
      <c r="F21" s="8" t="s">
        <v>453</v>
      </c>
      <c r="I21" s="133" t="s">
        <v>872</v>
      </c>
      <c r="J21" s="78">
        <f>J20-5%</f>
        <v>0.74999999999999978</v>
      </c>
    </row>
    <row r="22" spans="2:10" x14ac:dyDescent="0.25">
      <c r="C22" s="8" t="s">
        <v>475</v>
      </c>
      <c r="D22" s="8" t="s">
        <v>458</v>
      </c>
      <c r="E22" s="8" t="s">
        <v>455</v>
      </c>
      <c r="F22" s="8" t="s">
        <v>452</v>
      </c>
    </row>
    <row r="24" spans="2:10" x14ac:dyDescent="0.25">
      <c r="C24" s="80" t="s">
        <v>474</v>
      </c>
    </row>
    <row r="26" spans="2:10" x14ac:dyDescent="0.25">
      <c r="C26" s="80" t="s">
        <v>473</v>
      </c>
      <c r="D26" s="80" t="s">
        <v>472</v>
      </c>
      <c r="E26" s="80" t="s">
        <v>471</v>
      </c>
      <c r="F26" s="80" t="s">
        <v>470</v>
      </c>
    </row>
    <row r="27" spans="2:10" x14ac:dyDescent="0.25">
      <c r="B27" s="80" t="s">
        <v>41</v>
      </c>
      <c r="C27" s="103">
        <f>INDEX('Tariff Model '!$C$4:$E$11,  MATCH(TariffStructure, TariffOptions, FALSE), MATCH(C26, 'Tariff Model '!$C$3:$E$3, FALSE))</f>
        <v>0.5</v>
      </c>
      <c r="D27" s="103">
        <f>INDEX('Tariff Model '!$C$4:$E$11,  MATCH(TariffStructure, TariffOptions, FALSE), MATCH(D26, 'Tariff Model '!$C$3:$E$3, FALSE))</f>
        <v>0.28000000000000003</v>
      </c>
      <c r="E27" s="103">
        <f>INDEX('Tariff Model '!$C$4:$E$11,  MATCH(TariffStructure, TariffOptions, FALSE), MATCH(E26, 'Tariff Model '!$C$3:$E$3, FALSE))</f>
        <v>0.1</v>
      </c>
      <c r="F27" s="103">
        <f>'Solar Pricing Model'!$H$11</f>
        <v>5.1999999999999998E-2</v>
      </c>
    </row>
    <row r="28" spans="2:10" x14ac:dyDescent="0.25">
      <c r="B28" s="80" t="s">
        <v>469</v>
      </c>
      <c r="C28" s="103">
        <f>'Input Sheet'!J23</f>
        <v>0.28599999999999998</v>
      </c>
      <c r="D28" s="103">
        <f>'Input Sheet'!J24</f>
        <v>0.20899999999999999</v>
      </c>
      <c r="E28" s="103">
        <f>'Input Sheet'!J25</f>
        <v>0.1232</v>
      </c>
      <c r="F28" s="103">
        <f>'Solar Pricing Model'!$H$11</f>
        <v>5.1999999999999998E-2</v>
      </c>
    </row>
    <row r="29" spans="2:10" x14ac:dyDescent="0.25">
      <c r="B29" s="80" t="s">
        <v>468</v>
      </c>
      <c r="C29" s="103">
        <f>INDEX('Profit per cycles Model'!C$27:C$28, MATCH(EnergyPriceCustom, 'Profit per cycles Model'!$B$27:$B$28, FALSE))</f>
        <v>0.5</v>
      </c>
      <c r="D29" s="103">
        <f>INDEX('Profit per cycles Model'!D$27:D$28, MATCH(EnergyPriceCustom, 'Profit per cycles Model'!$B$27:$B$28, FALSE))</f>
        <v>0.28000000000000003</v>
      </c>
      <c r="E29" s="103">
        <f>INDEX('Profit per cycles Model'!E$27:E$28, MATCH(EnergyPriceCustom, 'Profit per cycles Model'!$B$27:$B$28, FALSE))</f>
        <v>0.1</v>
      </c>
      <c r="F29" s="103">
        <f>INDEX('Profit per cycles Model'!F$27:F$28, MATCH(EnergyPriceCustom, 'Profit per cycles Model'!$B$27:$B$28, FALSE))</f>
        <v>5.1999999999999998E-2</v>
      </c>
    </row>
    <row r="31" spans="2:10" x14ac:dyDescent="0.25">
      <c r="B31" s="8" t="s">
        <v>149</v>
      </c>
      <c r="C31" s="43">
        <f>I31</f>
        <v>2.5000000000000001E-2</v>
      </c>
      <c r="D31" s="43">
        <f>I31</f>
        <v>2.5000000000000001E-2</v>
      </c>
      <c r="E31" s="43">
        <f>I31</f>
        <v>2.5000000000000001E-2</v>
      </c>
      <c r="F31" s="43">
        <f>0</f>
        <v>0</v>
      </c>
      <c r="H31" s="80" t="s">
        <v>156</v>
      </c>
      <c r="I31" s="31">
        <f>VLOOKUP(InflationIndex, $I$33:$J$39, 2, FALSE)</f>
        <v>2.5000000000000001E-2</v>
      </c>
    </row>
    <row r="33" spans="2:10" x14ac:dyDescent="0.25">
      <c r="B33" s="76">
        <v>0</v>
      </c>
      <c r="C33" s="75">
        <f t="shared" ref="C33:F63" si="0">C$29*(1+C$31)^$B33</f>
        <v>0.5</v>
      </c>
      <c r="D33" s="75">
        <f t="shared" si="0"/>
        <v>0.28000000000000003</v>
      </c>
      <c r="E33" s="75">
        <f t="shared" si="0"/>
        <v>0.1</v>
      </c>
      <c r="F33" s="75">
        <f t="shared" si="0"/>
        <v>5.1999999999999998E-2</v>
      </c>
      <c r="H33" s="79" t="s">
        <v>155</v>
      </c>
      <c r="I33" s="25" t="s">
        <v>7</v>
      </c>
      <c r="J33" s="78">
        <v>2.5000000000000001E-2</v>
      </c>
    </row>
    <row r="34" spans="2:10" x14ac:dyDescent="0.25">
      <c r="B34" s="76">
        <v>1</v>
      </c>
      <c r="C34" s="75">
        <f t="shared" si="0"/>
        <v>0.51249999999999996</v>
      </c>
      <c r="D34" s="75">
        <f t="shared" si="0"/>
        <v>0.28699999999999998</v>
      </c>
      <c r="E34" s="75">
        <f t="shared" si="0"/>
        <v>0.10249999999999999</v>
      </c>
      <c r="F34" s="75">
        <f t="shared" si="0"/>
        <v>5.1999999999999998E-2</v>
      </c>
      <c r="I34" s="25" t="str">
        <f t="shared" ref="I34:I39" si="1">RIGHT(J34, 1)&amp;"% p.a"</f>
        <v>0% p.a</v>
      </c>
      <c r="J34" s="78">
        <v>0</v>
      </c>
    </row>
    <row r="35" spans="2:10" x14ac:dyDescent="0.25">
      <c r="B35" s="76">
        <f t="shared" ref="B35:B63" si="2">B34+1</f>
        <v>2</v>
      </c>
      <c r="C35" s="75">
        <f t="shared" si="0"/>
        <v>0.52531249999999996</v>
      </c>
      <c r="D35" s="75">
        <f t="shared" si="0"/>
        <v>0.29417500000000002</v>
      </c>
      <c r="E35" s="75">
        <f t="shared" si="0"/>
        <v>0.1050625</v>
      </c>
      <c r="F35" s="75">
        <f t="shared" si="0"/>
        <v>5.1999999999999998E-2</v>
      </c>
      <c r="I35" s="25" t="str">
        <f t="shared" si="1"/>
        <v>1% p.a</v>
      </c>
      <c r="J35" s="78">
        <v>0.01</v>
      </c>
    </row>
    <row r="36" spans="2:10" x14ac:dyDescent="0.25">
      <c r="B36" s="76">
        <f t="shared" si="2"/>
        <v>3</v>
      </c>
      <c r="C36" s="75">
        <f t="shared" si="0"/>
        <v>0.53844531249999994</v>
      </c>
      <c r="D36" s="75">
        <f t="shared" si="0"/>
        <v>0.30152937499999999</v>
      </c>
      <c r="E36" s="75">
        <f t="shared" si="0"/>
        <v>0.10768906249999999</v>
      </c>
      <c r="F36" s="75">
        <f t="shared" si="0"/>
        <v>5.1999999999999998E-2</v>
      </c>
      <c r="I36" s="25" t="str">
        <f t="shared" si="1"/>
        <v>2% p.a</v>
      </c>
      <c r="J36" s="78">
        <v>0.02</v>
      </c>
    </row>
    <row r="37" spans="2:10" x14ac:dyDescent="0.25">
      <c r="B37" s="76">
        <f t="shared" si="2"/>
        <v>4</v>
      </c>
      <c r="C37" s="75">
        <f t="shared" si="0"/>
        <v>0.55190644531249988</v>
      </c>
      <c r="D37" s="75">
        <f t="shared" si="0"/>
        <v>0.30906760937499994</v>
      </c>
      <c r="E37" s="75">
        <f t="shared" si="0"/>
        <v>0.11038128906249998</v>
      </c>
      <c r="F37" s="75">
        <f t="shared" si="0"/>
        <v>5.1999999999999998E-2</v>
      </c>
      <c r="I37" s="25" t="str">
        <f t="shared" si="1"/>
        <v>3% p.a</v>
      </c>
      <c r="J37" s="78">
        <v>0.03</v>
      </c>
    </row>
    <row r="38" spans="2:10" x14ac:dyDescent="0.25">
      <c r="B38" s="76">
        <f t="shared" si="2"/>
        <v>5</v>
      </c>
      <c r="C38" s="75">
        <f t="shared" si="0"/>
        <v>0.56570410644531233</v>
      </c>
      <c r="D38" s="75">
        <f t="shared" si="0"/>
        <v>0.31679429960937494</v>
      </c>
      <c r="E38" s="75">
        <f t="shared" si="0"/>
        <v>0.11314082128906247</v>
      </c>
      <c r="F38" s="75">
        <f t="shared" si="0"/>
        <v>5.1999999999999998E-2</v>
      </c>
      <c r="I38" s="25" t="str">
        <f t="shared" si="1"/>
        <v>4% p.a</v>
      </c>
      <c r="J38" s="78">
        <v>0.04</v>
      </c>
    </row>
    <row r="39" spans="2:10" x14ac:dyDescent="0.25">
      <c r="B39" s="76">
        <f t="shared" si="2"/>
        <v>6</v>
      </c>
      <c r="C39" s="75">
        <f t="shared" si="0"/>
        <v>0.57984670910644509</v>
      </c>
      <c r="D39" s="75">
        <f t="shared" si="0"/>
        <v>0.32471415709960927</v>
      </c>
      <c r="E39" s="75">
        <f t="shared" si="0"/>
        <v>0.11596934182128903</v>
      </c>
      <c r="F39" s="75">
        <f t="shared" si="0"/>
        <v>5.1999999999999998E-2</v>
      </c>
      <c r="I39" s="25" t="str">
        <f t="shared" si="1"/>
        <v>5% p.a</v>
      </c>
      <c r="J39" s="77">
        <v>0.05</v>
      </c>
    </row>
    <row r="40" spans="2:10" x14ac:dyDescent="0.25">
      <c r="B40" s="76">
        <f t="shared" si="2"/>
        <v>7</v>
      </c>
      <c r="C40" s="75">
        <f t="shared" si="0"/>
        <v>0.59434287683410625</v>
      </c>
      <c r="D40" s="75">
        <f t="shared" si="0"/>
        <v>0.33283201102709953</v>
      </c>
      <c r="E40" s="75">
        <f t="shared" si="0"/>
        <v>0.11886857536682126</v>
      </c>
      <c r="F40" s="75">
        <f t="shared" si="0"/>
        <v>5.1999999999999998E-2</v>
      </c>
    </row>
    <row r="41" spans="2:10" x14ac:dyDescent="0.25">
      <c r="B41" s="76">
        <f t="shared" si="2"/>
        <v>8</v>
      </c>
      <c r="C41" s="75">
        <f t="shared" si="0"/>
        <v>0.60920144875495885</v>
      </c>
      <c r="D41" s="75">
        <f t="shared" si="0"/>
        <v>0.34115281130277697</v>
      </c>
      <c r="E41" s="75">
        <f t="shared" si="0"/>
        <v>0.12184028975099177</v>
      </c>
      <c r="F41" s="75">
        <f t="shared" si="0"/>
        <v>5.1999999999999998E-2</v>
      </c>
    </row>
    <row r="42" spans="2:10" x14ac:dyDescent="0.25">
      <c r="B42" s="76">
        <f t="shared" si="2"/>
        <v>9</v>
      </c>
      <c r="C42" s="75">
        <f t="shared" si="0"/>
        <v>0.62443148497383272</v>
      </c>
      <c r="D42" s="75">
        <f t="shared" si="0"/>
        <v>0.34968163158534638</v>
      </c>
      <c r="E42" s="75">
        <f t="shared" si="0"/>
        <v>0.12488629699476655</v>
      </c>
      <c r="F42" s="75">
        <f t="shared" si="0"/>
        <v>5.1999999999999998E-2</v>
      </c>
    </row>
    <row r="43" spans="2:10" x14ac:dyDescent="0.25">
      <c r="B43" s="76">
        <f t="shared" si="2"/>
        <v>10</v>
      </c>
      <c r="C43" s="75">
        <f t="shared" si="0"/>
        <v>0.64004227209817854</v>
      </c>
      <c r="D43" s="75">
        <f t="shared" si="0"/>
        <v>0.35842367237498002</v>
      </c>
      <c r="E43" s="75">
        <f t="shared" si="0"/>
        <v>0.12800845441963571</v>
      </c>
      <c r="F43" s="75">
        <f t="shared" si="0"/>
        <v>5.1999999999999998E-2</v>
      </c>
    </row>
    <row r="44" spans="2:10" x14ac:dyDescent="0.25">
      <c r="B44" s="76">
        <f t="shared" si="2"/>
        <v>11</v>
      </c>
      <c r="C44" s="75">
        <f t="shared" si="0"/>
        <v>0.65604332890063299</v>
      </c>
      <c r="D44" s="75">
        <f t="shared" si="0"/>
        <v>0.36738426418435449</v>
      </c>
      <c r="E44" s="75">
        <f t="shared" si="0"/>
        <v>0.1312086657801266</v>
      </c>
      <c r="F44" s="75">
        <f t="shared" si="0"/>
        <v>5.1999999999999998E-2</v>
      </c>
    </row>
    <row r="45" spans="2:10" x14ac:dyDescent="0.25">
      <c r="B45" s="76">
        <f t="shared" si="2"/>
        <v>12</v>
      </c>
      <c r="C45" s="75">
        <f t="shared" si="0"/>
        <v>0.67244441212314876</v>
      </c>
      <c r="D45" s="75">
        <f t="shared" si="0"/>
        <v>0.37656887078896334</v>
      </c>
      <c r="E45" s="75">
        <f t="shared" si="0"/>
        <v>0.13448888242462975</v>
      </c>
      <c r="F45" s="75">
        <f t="shared" si="0"/>
        <v>5.1999999999999998E-2</v>
      </c>
    </row>
    <row r="46" spans="2:10" x14ac:dyDescent="0.25">
      <c r="B46" s="76">
        <f t="shared" si="2"/>
        <v>13</v>
      </c>
      <c r="C46" s="75">
        <f t="shared" si="0"/>
        <v>0.68925552242622745</v>
      </c>
      <c r="D46" s="75">
        <f t="shared" si="0"/>
        <v>0.3859830925586874</v>
      </c>
      <c r="E46" s="75">
        <f t="shared" si="0"/>
        <v>0.13785110448524548</v>
      </c>
      <c r="F46" s="75">
        <f t="shared" si="0"/>
        <v>5.1999999999999998E-2</v>
      </c>
    </row>
    <row r="47" spans="2:10" x14ac:dyDescent="0.25">
      <c r="B47" s="76">
        <f t="shared" si="2"/>
        <v>14</v>
      </c>
      <c r="C47" s="75">
        <f t="shared" si="0"/>
        <v>0.70648691048688306</v>
      </c>
      <c r="D47" s="75">
        <f t="shared" si="0"/>
        <v>0.39563266987265455</v>
      </c>
      <c r="E47" s="75">
        <f t="shared" si="0"/>
        <v>0.14129738209737661</v>
      </c>
      <c r="F47" s="75">
        <f t="shared" si="0"/>
        <v>5.1999999999999998E-2</v>
      </c>
    </row>
    <row r="48" spans="2:10" x14ac:dyDescent="0.25">
      <c r="B48" s="76">
        <f t="shared" si="2"/>
        <v>15</v>
      </c>
      <c r="C48" s="75">
        <f t="shared" si="0"/>
        <v>0.72414908324905525</v>
      </c>
      <c r="D48" s="75">
        <f t="shared" si="0"/>
        <v>0.40552348661947096</v>
      </c>
      <c r="E48" s="75">
        <f t="shared" si="0"/>
        <v>0.14482981664981107</v>
      </c>
      <c r="F48" s="75">
        <f t="shared" si="0"/>
        <v>5.1999999999999998E-2</v>
      </c>
    </row>
    <row r="49" spans="2:6" x14ac:dyDescent="0.25">
      <c r="B49" s="76">
        <f t="shared" si="2"/>
        <v>16</v>
      </c>
      <c r="C49" s="75">
        <f t="shared" si="0"/>
        <v>0.74225281033028156</v>
      </c>
      <c r="D49" s="75">
        <f t="shared" si="0"/>
        <v>0.41566157378495772</v>
      </c>
      <c r="E49" s="75">
        <f t="shared" si="0"/>
        <v>0.14845056206605631</v>
      </c>
      <c r="F49" s="75">
        <f t="shared" si="0"/>
        <v>5.1999999999999998E-2</v>
      </c>
    </row>
    <row r="50" spans="2:6" x14ac:dyDescent="0.25">
      <c r="B50" s="76">
        <f t="shared" si="2"/>
        <v>17</v>
      </c>
      <c r="C50" s="75">
        <f t="shared" si="0"/>
        <v>0.7608091305885385</v>
      </c>
      <c r="D50" s="75">
        <f t="shared" si="0"/>
        <v>0.42605311312958161</v>
      </c>
      <c r="E50" s="75">
        <f t="shared" si="0"/>
        <v>0.1521618261177077</v>
      </c>
      <c r="F50" s="75">
        <f t="shared" si="0"/>
        <v>5.1999999999999998E-2</v>
      </c>
    </row>
    <row r="51" spans="2:6" x14ac:dyDescent="0.25">
      <c r="B51" s="76">
        <f t="shared" si="2"/>
        <v>18</v>
      </c>
      <c r="C51" s="75">
        <f t="shared" si="0"/>
        <v>0.779829358853252</v>
      </c>
      <c r="D51" s="75">
        <f t="shared" si="0"/>
        <v>0.43670444095782118</v>
      </c>
      <c r="E51" s="75">
        <f t="shared" si="0"/>
        <v>0.15596587177065041</v>
      </c>
      <c r="F51" s="75">
        <f t="shared" si="0"/>
        <v>5.1999999999999998E-2</v>
      </c>
    </row>
    <row r="52" spans="2:6" x14ac:dyDescent="0.25">
      <c r="B52" s="76">
        <f t="shared" si="2"/>
        <v>19</v>
      </c>
      <c r="C52" s="75">
        <f t="shared" si="0"/>
        <v>0.79932509282458331</v>
      </c>
      <c r="D52" s="75">
        <f t="shared" si="0"/>
        <v>0.44762205198176669</v>
      </c>
      <c r="E52" s="75">
        <f t="shared" si="0"/>
        <v>0.15986501856491667</v>
      </c>
      <c r="F52" s="75">
        <f t="shared" si="0"/>
        <v>5.1999999999999998E-2</v>
      </c>
    </row>
    <row r="53" spans="2:6" x14ac:dyDescent="0.25">
      <c r="B53" s="76">
        <f t="shared" si="2"/>
        <v>20</v>
      </c>
      <c r="C53" s="75">
        <f t="shared" si="0"/>
        <v>0.81930822014519777</v>
      </c>
      <c r="D53" s="75">
        <f t="shared" si="0"/>
        <v>0.45881260328131079</v>
      </c>
      <c r="E53" s="75">
        <f t="shared" si="0"/>
        <v>0.16386164402903958</v>
      </c>
      <c r="F53" s="75">
        <f t="shared" si="0"/>
        <v>5.1999999999999998E-2</v>
      </c>
    </row>
    <row r="54" spans="2:6" x14ac:dyDescent="0.25">
      <c r="B54" s="76">
        <f t="shared" si="2"/>
        <v>21</v>
      </c>
      <c r="C54" s="75">
        <f t="shared" si="0"/>
        <v>0.83979092564882762</v>
      </c>
      <c r="D54" s="75">
        <f t="shared" si="0"/>
        <v>0.47028291836334352</v>
      </c>
      <c r="E54" s="75">
        <f t="shared" si="0"/>
        <v>0.16795818512976554</v>
      </c>
      <c r="F54" s="75">
        <f t="shared" si="0"/>
        <v>5.1999999999999998E-2</v>
      </c>
    </row>
    <row r="55" spans="2:6" x14ac:dyDescent="0.25">
      <c r="B55" s="76">
        <f t="shared" si="2"/>
        <v>22</v>
      </c>
      <c r="C55" s="75">
        <f t="shared" si="0"/>
        <v>0.86078569879004829</v>
      </c>
      <c r="D55" s="75">
        <f t="shared" si="0"/>
        <v>0.48203999132242709</v>
      </c>
      <c r="E55" s="75">
        <f t="shared" si="0"/>
        <v>0.17215713975800967</v>
      </c>
      <c r="F55" s="75">
        <f t="shared" si="0"/>
        <v>5.1999999999999998E-2</v>
      </c>
    </row>
    <row r="56" spans="2:6" x14ac:dyDescent="0.25">
      <c r="B56" s="76">
        <f t="shared" si="2"/>
        <v>23</v>
      </c>
      <c r="C56" s="75">
        <f t="shared" si="0"/>
        <v>0.88230534125979954</v>
      </c>
      <c r="D56" s="75">
        <f t="shared" si="0"/>
        <v>0.49409099110548776</v>
      </c>
      <c r="E56" s="75">
        <f t="shared" si="0"/>
        <v>0.17646106825195992</v>
      </c>
      <c r="F56" s="75">
        <f t="shared" si="0"/>
        <v>5.1999999999999998E-2</v>
      </c>
    </row>
    <row r="57" spans="2:6" x14ac:dyDescent="0.25">
      <c r="B57" s="76">
        <f t="shared" si="2"/>
        <v>24</v>
      </c>
      <c r="C57" s="75">
        <f t="shared" si="0"/>
        <v>0.90436297479129446</v>
      </c>
      <c r="D57" s="75">
        <f t="shared" si="0"/>
        <v>0.50644326588312494</v>
      </c>
      <c r="E57" s="75">
        <f t="shared" si="0"/>
        <v>0.18087259495825891</v>
      </c>
      <c r="F57" s="75">
        <f t="shared" si="0"/>
        <v>5.1999999999999998E-2</v>
      </c>
    </row>
    <row r="58" spans="2:6" x14ac:dyDescent="0.25">
      <c r="B58" s="76">
        <f t="shared" si="2"/>
        <v>25</v>
      </c>
      <c r="C58" s="75">
        <f t="shared" si="0"/>
        <v>0.92697204916107667</v>
      </c>
      <c r="D58" s="75">
        <f t="shared" si="0"/>
        <v>0.51910434753020296</v>
      </c>
      <c r="E58" s="75">
        <f t="shared" si="0"/>
        <v>0.18539440983221533</v>
      </c>
      <c r="F58" s="75">
        <f t="shared" si="0"/>
        <v>5.1999999999999998E-2</v>
      </c>
    </row>
    <row r="59" spans="2:6" x14ac:dyDescent="0.25">
      <c r="B59" s="76">
        <f t="shared" si="2"/>
        <v>26</v>
      </c>
      <c r="C59" s="75">
        <f t="shared" si="0"/>
        <v>0.95014635039010353</v>
      </c>
      <c r="D59" s="75">
        <f t="shared" si="0"/>
        <v>0.532081956218458</v>
      </c>
      <c r="E59" s="75">
        <f t="shared" si="0"/>
        <v>0.19002927007802073</v>
      </c>
      <c r="F59" s="75">
        <f t="shared" si="0"/>
        <v>5.1999999999999998E-2</v>
      </c>
    </row>
    <row r="60" spans="2:6" x14ac:dyDescent="0.25">
      <c r="B60" s="76">
        <f t="shared" si="2"/>
        <v>27</v>
      </c>
      <c r="C60" s="75">
        <f t="shared" si="0"/>
        <v>0.97390000914985608</v>
      </c>
      <c r="D60" s="75">
        <f t="shared" si="0"/>
        <v>0.54538400512391949</v>
      </c>
      <c r="E60" s="75">
        <f t="shared" si="0"/>
        <v>0.19478000182997124</v>
      </c>
      <c r="F60" s="75">
        <f t="shared" si="0"/>
        <v>5.1999999999999998E-2</v>
      </c>
    </row>
    <row r="61" spans="2:6" x14ac:dyDescent="0.25">
      <c r="B61" s="76">
        <f t="shared" si="2"/>
        <v>28</v>
      </c>
      <c r="C61" s="75">
        <f t="shared" si="0"/>
        <v>0.9982475093786024</v>
      </c>
      <c r="D61" s="75">
        <f t="shared" si="0"/>
        <v>0.55901860525201741</v>
      </c>
      <c r="E61" s="75">
        <f t="shared" si="0"/>
        <v>0.1996495018757205</v>
      </c>
      <c r="F61" s="75">
        <f t="shared" si="0"/>
        <v>5.1999999999999998E-2</v>
      </c>
    </row>
    <row r="62" spans="2:6" x14ac:dyDescent="0.25">
      <c r="B62" s="76">
        <f t="shared" si="2"/>
        <v>29</v>
      </c>
      <c r="C62" s="75">
        <f t="shared" si="0"/>
        <v>1.0232036971130676</v>
      </c>
      <c r="D62" s="75">
        <f t="shared" si="0"/>
        <v>0.57299407038331784</v>
      </c>
      <c r="E62" s="75">
        <f t="shared" si="0"/>
        <v>0.20464073942261352</v>
      </c>
      <c r="F62" s="75">
        <f t="shared" si="0"/>
        <v>5.1999999999999998E-2</v>
      </c>
    </row>
    <row r="63" spans="2:6" x14ac:dyDescent="0.25">
      <c r="B63" s="76">
        <f t="shared" si="2"/>
        <v>30</v>
      </c>
      <c r="C63" s="75">
        <f t="shared" si="0"/>
        <v>1.048783789540894</v>
      </c>
      <c r="D63" s="75">
        <f t="shared" si="0"/>
        <v>0.58731892214290071</v>
      </c>
      <c r="E63" s="75">
        <f t="shared" si="0"/>
        <v>0.20975675790817883</v>
      </c>
      <c r="F63" s="75">
        <f t="shared" si="0"/>
        <v>5.1999999999999998E-2</v>
      </c>
    </row>
    <row r="64" spans="2:6" x14ac:dyDescent="0.25">
      <c r="B64" s="101"/>
      <c r="C64" s="102"/>
      <c r="D64" s="102"/>
      <c r="E64" s="102"/>
      <c r="F64" s="102"/>
    </row>
    <row r="65" spans="2:10" x14ac:dyDescent="0.25">
      <c r="B65" s="101"/>
    </row>
    <row r="66" spans="2:10" x14ac:dyDescent="0.25">
      <c r="E66" s="80" t="s">
        <v>467</v>
      </c>
      <c r="F66" s="80" t="s">
        <v>466</v>
      </c>
      <c r="G66" s="80" t="s">
        <v>465</v>
      </c>
      <c r="H66" s="80" t="s">
        <v>464</v>
      </c>
    </row>
    <row r="67" spans="2:10" x14ac:dyDescent="0.25">
      <c r="C67" s="84" t="s">
        <v>463</v>
      </c>
      <c r="D67" s="80" t="s">
        <v>462</v>
      </c>
      <c r="E67" s="84">
        <v>5</v>
      </c>
      <c r="F67" s="84">
        <v>2</v>
      </c>
      <c r="G67" s="84">
        <v>0</v>
      </c>
      <c r="H67" s="84">
        <v>0</v>
      </c>
      <c r="I67" s="80" t="s">
        <v>461</v>
      </c>
      <c r="J67" s="80" t="s">
        <v>460</v>
      </c>
    </row>
    <row r="68" spans="2:10" x14ac:dyDescent="0.25">
      <c r="C68" s="82"/>
      <c r="D68" s="80" t="s">
        <v>459</v>
      </c>
      <c r="E68" s="84">
        <v>5</v>
      </c>
      <c r="F68" s="84">
        <v>2</v>
      </c>
      <c r="G68" s="84">
        <v>0</v>
      </c>
      <c r="H68" s="84">
        <v>0</v>
      </c>
      <c r="I68" s="25">
        <f t="shared" ref="I68:I76" si="3">E67+G67</f>
        <v>5</v>
      </c>
      <c r="J68" s="25">
        <f t="shared" ref="J68:J76" si="4">F67+H67</f>
        <v>2</v>
      </c>
    </row>
    <row r="69" spans="2:10" x14ac:dyDescent="0.25">
      <c r="C69" s="82"/>
      <c r="D69" s="80" t="s">
        <v>458</v>
      </c>
      <c r="E69" s="84">
        <v>0</v>
      </c>
      <c r="F69" s="84">
        <v>0</v>
      </c>
      <c r="G69" s="84">
        <v>5</v>
      </c>
      <c r="H69" s="84">
        <v>2</v>
      </c>
      <c r="I69" s="25">
        <f t="shared" si="3"/>
        <v>5</v>
      </c>
      <c r="J69" s="25">
        <f t="shared" si="4"/>
        <v>2</v>
      </c>
    </row>
    <row r="70" spans="2:10" x14ac:dyDescent="0.25">
      <c r="D70" s="80" t="s">
        <v>457</v>
      </c>
      <c r="E70" s="84">
        <v>5</v>
      </c>
      <c r="F70" s="84">
        <v>0</v>
      </c>
      <c r="G70" s="84">
        <v>5</v>
      </c>
      <c r="H70" s="84">
        <v>0</v>
      </c>
      <c r="I70" s="25">
        <f t="shared" si="3"/>
        <v>5</v>
      </c>
      <c r="J70" s="25">
        <f t="shared" si="4"/>
        <v>2</v>
      </c>
    </row>
    <row r="71" spans="2:10" x14ac:dyDescent="0.25">
      <c r="D71" s="80" t="s">
        <v>456</v>
      </c>
      <c r="E71" s="84">
        <v>5</v>
      </c>
      <c r="F71" s="84">
        <v>0</v>
      </c>
      <c r="G71" s="84">
        <v>0</v>
      </c>
      <c r="H71" s="84">
        <v>0</v>
      </c>
      <c r="I71" s="25">
        <f t="shared" si="3"/>
        <v>10</v>
      </c>
      <c r="J71" s="25">
        <f t="shared" si="4"/>
        <v>0</v>
      </c>
    </row>
    <row r="72" spans="2:10" x14ac:dyDescent="0.25">
      <c r="D72" s="80" t="s">
        <v>455</v>
      </c>
      <c r="E72" s="84">
        <v>0</v>
      </c>
      <c r="F72" s="84">
        <v>0</v>
      </c>
      <c r="G72" s="84">
        <v>5</v>
      </c>
      <c r="H72" s="84">
        <v>0</v>
      </c>
      <c r="I72" s="25">
        <f t="shared" si="3"/>
        <v>5</v>
      </c>
      <c r="J72" s="25">
        <f t="shared" si="4"/>
        <v>0</v>
      </c>
    </row>
    <row r="73" spans="2:10" x14ac:dyDescent="0.25">
      <c r="D73" s="80" t="s">
        <v>454</v>
      </c>
      <c r="E73" s="84">
        <v>0</v>
      </c>
      <c r="F73" s="84">
        <v>0</v>
      </c>
      <c r="G73" s="84">
        <v>5</v>
      </c>
      <c r="H73" s="84">
        <v>0</v>
      </c>
      <c r="I73" s="25">
        <f t="shared" si="3"/>
        <v>5</v>
      </c>
      <c r="J73" s="25">
        <f t="shared" si="4"/>
        <v>0</v>
      </c>
    </row>
    <row r="74" spans="2:10" x14ac:dyDescent="0.25">
      <c r="D74" s="80" t="s">
        <v>453</v>
      </c>
      <c r="E74" s="84">
        <v>0</v>
      </c>
      <c r="F74" s="84">
        <v>0</v>
      </c>
      <c r="G74" s="84">
        <v>0</v>
      </c>
      <c r="H74" s="84">
        <v>0</v>
      </c>
      <c r="I74" s="25">
        <f t="shared" si="3"/>
        <v>5</v>
      </c>
      <c r="J74" s="25">
        <f t="shared" si="4"/>
        <v>0</v>
      </c>
    </row>
    <row r="75" spans="2:10" x14ac:dyDescent="0.25">
      <c r="D75" s="80" t="s">
        <v>452</v>
      </c>
      <c r="E75" s="84">
        <v>0</v>
      </c>
      <c r="F75" s="84">
        <v>0</v>
      </c>
      <c r="G75" s="84">
        <v>5</v>
      </c>
      <c r="H75" s="84">
        <v>0</v>
      </c>
      <c r="I75" s="25">
        <f t="shared" si="3"/>
        <v>0</v>
      </c>
      <c r="J75" s="25">
        <f t="shared" si="4"/>
        <v>0</v>
      </c>
    </row>
    <row r="76" spans="2:10" x14ac:dyDescent="0.25">
      <c r="D76" s="100" t="s">
        <v>451</v>
      </c>
      <c r="E76" s="49">
        <f>INDEX(E$67:E$75, MATCH(TimeofUseStructure, TimeofuseOptions, FALSE))</f>
        <v>5</v>
      </c>
      <c r="F76" s="49">
        <f>INDEX(F$67:F$75, MATCH(TimeofUseStructure, TimeofuseOptions, FALSE))</f>
        <v>2</v>
      </c>
      <c r="G76" s="49">
        <f>INDEX(G$67:G$75, MATCH(TimeofUseStructure, TimeofuseOptions, FALSE))</f>
        <v>0</v>
      </c>
      <c r="H76" s="49">
        <f>INDEX(H$67:H$75, MATCH(TimeofUseStructure, TimeofuseOptions, FALSE))</f>
        <v>0</v>
      </c>
      <c r="I76" s="25">
        <f t="shared" si="3"/>
        <v>5</v>
      </c>
      <c r="J76" s="25">
        <f t="shared" si="4"/>
        <v>0</v>
      </c>
    </row>
    <row r="77" spans="2:10" x14ac:dyDescent="0.25">
      <c r="I77" s="49">
        <f>INDEX(I$68:I$76, MATCH(TimeofUseStructure, TimeofuseOptions, FALSE))</f>
        <v>5</v>
      </c>
      <c r="J77" s="49">
        <f>INDEX(J$68:J$76, MATCH(TimeofUseStructure, TimeofuseOptions, FALSE))</f>
        <v>2</v>
      </c>
    </row>
    <row r="78" spans="2:10" x14ac:dyDescent="0.25">
      <c r="D78" s="99" t="s">
        <v>32</v>
      </c>
      <c r="E78" s="98">
        <f>VLOOKUP(RoundTripEfficiency,I15:J21, 2, FALSE)</f>
        <v>0.85</v>
      </c>
      <c r="F78" s="98">
        <f>VLOOKUP(RoundTripEfficiency, $I$15:$J$21, 2, FALSE)</f>
        <v>0.85</v>
      </c>
      <c r="G78" s="98">
        <f>VLOOKUP(RoundTripEfficiency, $I$15:$J$21, 2, FALSE)</f>
        <v>0.85</v>
      </c>
      <c r="H78" s="98">
        <f>VLOOKUP(RoundTripEfficiency, $I$15:$J$21, 2, FALSE)</f>
        <v>0.85</v>
      </c>
    </row>
    <row r="80" spans="2:10" x14ac:dyDescent="0.25">
      <c r="D80" s="80" t="s">
        <v>450</v>
      </c>
    </row>
    <row r="81" spans="4:8" x14ac:dyDescent="0.25">
      <c r="D81" s="76">
        <v>0</v>
      </c>
      <c r="E81" s="75">
        <f t="shared" ref="E81:E111" si="5">IF((C33-F33/$E$78)&gt;0,(C33-F33/$E$78),0)</f>
        <v>0.43882352941176472</v>
      </c>
      <c r="F81" s="75">
        <f t="shared" ref="F81:F111" si="6">IF((D33-F33/$F$78)&gt;0,(D33-F33/$F$78),0)</f>
        <v>0.21882352941176475</v>
      </c>
      <c r="G81" s="75">
        <f t="shared" ref="G81:G111" si="7">IF((C33-E33/$G$78)&gt;0,(C33-E33/$G$78),0)</f>
        <v>0.38235294117647056</v>
      </c>
      <c r="H81" s="75">
        <f t="shared" ref="H81:H111" si="8">IF((D33-E33/$H$78)&gt;0,(D33-E33/$H$78),0)</f>
        <v>0.16235294117647059</v>
      </c>
    </row>
    <row r="82" spans="4:8" x14ac:dyDescent="0.25">
      <c r="D82" s="76">
        <v>1</v>
      </c>
      <c r="E82" s="75">
        <f t="shared" si="5"/>
        <v>0.45132352941176468</v>
      </c>
      <c r="F82" s="75">
        <f t="shared" si="6"/>
        <v>0.2258235294117647</v>
      </c>
      <c r="G82" s="75">
        <f t="shared" si="7"/>
        <v>0.39191176470588229</v>
      </c>
      <c r="H82" s="75">
        <f t="shared" si="8"/>
        <v>0.16641176470588231</v>
      </c>
    </row>
    <row r="83" spans="4:8" x14ac:dyDescent="0.25">
      <c r="D83" s="76">
        <f t="shared" ref="D83:D111" si="9">D82+1</f>
        <v>2</v>
      </c>
      <c r="E83" s="75">
        <f t="shared" si="5"/>
        <v>0.46413602941176468</v>
      </c>
      <c r="F83" s="75">
        <f t="shared" si="6"/>
        <v>0.23299852941176474</v>
      </c>
      <c r="G83" s="75">
        <f t="shared" si="7"/>
        <v>0.40170955882352938</v>
      </c>
      <c r="H83" s="75">
        <f t="shared" si="8"/>
        <v>0.17057205882352944</v>
      </c>
    </row>
    <row r="84" spans="4:8" x14ac:dyDescent="0.25">
      <c r="D84" s="76">
        <f t="shared" si="9"/>
        <v>3</v>
      </c>
      <c r="E84" s="75">
        <f t="shared" si="5"/>
        <v>0.47726884191176466</v>
      </c>
      <c r="F84" s="75">
        <f t="shared" si="6"/>
        <v>0.24035290441176471</v>
      </c>
      <c r="G84" s="75">
        <f t="shared" si="7"/>
        <v>0.41175229779411759</v>
      </c>
      <c r="H84" s="75">
        <f t="shared" si="8"/>
        <v>0.17483636029411764</v>
      </c>
    </row>
    <row r="85" spans="4:8" x14ac:dyDescent="0.25">
      <c r="D85" s="76">
        <f t="shared" si="9"/>
        <v>4</v>
      </c>
      <c r="E85" s="75">
        <f t="shared" si="5"/>
        <v>0.49072997472426461</v>
      </c>
      <c r="F85" s="75">
        <f t="shared" si="6"/>
        <v>0.24789113878676466</v>
      </c>
      <c r="G85" s="75">
        <f t="shared" si="7"/>
        <v>0.42204610523897046</v>
      </c>
      <c r="H85" s="75">
        <f t="shared" si="8"/>
        <v>0.17920726930147055</v>
      </c>
    </row>
    <row r="86" spans="4:8" x14ac:dyDescent="0.25">
      <c r="D86" s="76">
        <f t="shared" si="9"/>
        <v>5</v>
      </c>
      <c r="E86" s="75">
        <f t="shared" si="5"/>
        <v>0.50452763585707705</v>
      </c>
      <c r="F86" s="75">
        <f t="shared" si="6"/>
        <v>0.25561782902113966</v>
      </c>
      <c r="G86" s="75">
        <f t="shared" si="7"/>
        <v>0.43259725786994474</v>
      </c>
      <c r="H86" s="75">
        <f t="shared" si="8"/>
        <v>0.18368745103400733</v>
      </c>
    </row>
    <row r="87" spans="4:8" x14ac:dyDescent="0.25">
      <c r="D87" s="76">
        <f t="shared" si="9"/>
        <v>6</v>
      </c>
      <c r="E87" s="75">
        <f t="shared" si="5"/>
        <v>0.51867023851820981</v>
      </c>
      <c r="F87" s="75">
        <f t="shared" si="6"/>
        <v>0.26353768651137399</v>
      </c>
      <c r="G87" s="75">
        <f t="shared" si="7"/>
        <v>0.44341218931669329</v>
      </c>
      <c r="H87" s="75">
        <f t="shared" si="8"/>
        <v>0.18827963730985747</v>
      </c>
    </row>
    <row r="88" spans="4:8" x14ac:dyDescent="0.25">
      <c r="D88" s="76">
        <f t="shared" si="9"/>
        <v>7</v>
      </c>
      <c r="E88" s="75">
        <f t="shared" si="5"/>
        <v>0.53316640624587097</v>
      </c>
      <c r="F88" s="75">
        <f t="shared" si="6"/>
        <v>0.27165554043886425</v>
      </c>
      <c r="G88" s="75">
        <f t="shared" si="7"/>
        <v>0.45449749404961065</v>
      </c>
      <c r="H88" s="75">
        <f t="shared" si="8"/>
        <v>0.19298662824260393</v>
      </c>
    </row>
    <row r="89" spans="4:8" x14ac:dyDescent="0.25">
      <c r="D89" s="76">
        <f t="shared" si="9"/>
        <v>8</v>
      </c>
      <c r="E89" s="75">
        <f t="shared" si="5"/>
        <v>0.54802497816672358</v>
      </c>
      <c r="F89" s="75">
        <f t="shared" si="6"/>
        <v>0.27997634071454169</v>
      </c>
      <c r="G89" s="75">
        <f t="shared" si="7"/>
        <v>0.46585993140085091</v>
      </c>
      <c r="H89" s="75">
        <f t="shared" si="8"/>
        <v>0.197811293948669</v>
      </c>
    </row>
    <row r="90" spans="4:8" x14ac:dyDescent="0.25">
      <c r="D90" s="76">
        <f t="shared" si="9"/>
        <v>9</v>
      </c>
      <c r="E90" s="75">
        <f t="shared" si="5"/>
        <v>0.56325501438559744</v>
      </c>
      <c r="F90" s="75">
        <f t="shared" si="6"/>
        <v>0.2885051609971111</v>
      </c>
      <c r="G90" s="75">
        <f t="shared" si="7"/>
        <v>0.47750642968587209</v>
      </c>
      <c r="H90" s="75">
        <f t="shared" si="8"/>
        <v>0.20275657629738572</v>
      </c>
    </row>
    <row r="91" spans="4:8" x14ac:dyDescent="0.25">
      <c r="D91" s="76">
        <f t="shared" si="9"/>
        <v>10</v>
      </c>
      <c r="E91" s="75">
        <f t="shared" si="5"/>
        <v>0.57886580150994327</v>
      </c>
      <c r="F91" s="75">
        <f t="shared" si="6"/>
        <v>0.29724720178674474</v>
      </c>
      <c r="G91" s="75">
        <f t="shared" si="7"/>
        <v>0.4894440904280189</v>
      </c>
      <c r="H91" s="75">
        <f t="shared" si="8"/>
        <v>0.20782549070482037</v>
      </c>
    </row>
    <row r="92" spans="4:8" x14ac:dyDescent="0.25">
      <c r="D92" s="76">
        <f t="shared" si="9"/>
        <v>11</v>
      </c>
      <c r="E92" s="75">
        <f t="shared" si="5"/>
        <v>0.59486685831239772</v>
      </c>
      <c r="F92" s="75">
        <f t="shared" si="6"/>
        <v>0.30620779359611922</v>
      </c>
      <c r="G92" s="75">
        <f t="shared" si="7"/>
        <v>0.50168019268871933</v>
      </c>
      <c r="H92" s="75">
        <f t="shared" si="8"/>
        <v>0.21302112797244083</v>
      </c>
    </row>
    <row r="93" spans="4:8" x14ac:dyDescent="0.25">
      <c r="D93" s="76">
        <f t="shared" si="9"/>
        <v>12</v>
      </c>
      <c r="E93" s="75">
        <f t="shared" si="5"/>
        <v>0.61126794153491348</v>
      </c>
      <c r="F93" s="75">
        <f t="shared" si="6"/>
        <v>0.31539240020072806</v>
      </c>
      <c r="G93" s="75">
        <f t="shared" si="7"/>
        <v>0.51422219750593734</v>
      </c>
      <c r="H93" s="75">
        <f t="shared" si="8"/>
        <v>0.21834665617175186</v>
      </c>
    </row>
    <row r="94" spans="4:8" x14ac:dyDescent="0.25">
      <c r="D94" s="76">
        <f t="shared" si="9"/>
        <v>13</v>
      </c>
      <c r="E94" s="75">
        <f t="shared" si="5"/>
        <v>0.62807905183799217</v>
      </c>
      <c r="F94" s="75">
        <f t="shared" si="6"/>
        <v>0.32480662197045213</v>
      </c>
      <c r="G94" s="75">
        <f t="shared" si="7"/>
        <v>0.52707775244358568</v>
      </c>
      <c r="H94" s="75">
        <f t="shared" si="8"/>
        <v>0.22380532257604566</v>
      </c>
    </row>
    <row r="95" spans="4:8" x14ac:dyDescent="0.25">
      <c r="D95" s="76">
        <f t="shared" si="9"/>
        <v>14</v>
      </c>
      <c r="E95" s="75">
        <f t="shared" si="5"/>
        <v>0.64531043989864778</v>
      </c>
      <c r="F95" s="75">
        <f t="shared" si="6"/>
        <v>0.33445619928441928</v>
      </c>
      <c r="G95" s="75">
        <f t="shared" si="7"/>
        <v>0.54025469625467526</v>
      </c>
      <c r="H95" s="75">
        <f t="shared" si="8"/>
        <v>0.22940045564044678</v>
      </c>
    </row>
    <row r="96" spans="4:8" x14ac:dyDescent="0.25">
      <c r="D96" s="76">
        <f t="shared" si="9"/>
        <v>15</v>
      </c>
      <c r="E96" s="75">
        <f t="shared" si="5"/>
        <v>0.66297261266081997</v>
      </c>
      <c r="F96" s="75">
        <f t="shared" si="6"/>
        <v>0.34434701603123569</v>
      </c>
      <c r="G96" s="75">
        <f t="shared" si="7"/>
        <v>0.55376106366104216</v>
      </c>
      <c r="H96" s="75">
        <f t="shared" si="8"/>
        <v>0.23513546703145793</v>
      </c>
    </row>
    <row r="97" spans="4:8" x14ac:dyDescent="0.25">
      <c r="D97" s="76">
        <f t="shared" si="9"/>
        <v>16</v>
      </c>
      <c r="E97" s="75">
        <f t="shared" si="5"/>
        <v>0.68107633974204629</v>
      </c>
      <c r="F97" s="75">
        <f t="shared" si="6"/>
        <v>0.35448510319672244</v>
      </c>
      <c r="G97" s="75">
        <f t="shared" si="7"/>
        <v>0.56760509025256822</v>
      </c>
      <c r="H97" s="75">
        <f t="shared" si="8"/>
        <v>0.2410138537072444</v>
      </c>
    </row>
    <row r="98" spans="4:8" x14ac:dyDescent="0.25">
      <c r="D98" s="76">
        <f t="shared" si="9"/>
        <v>17</v>
      </c>
      <c r="E98" s="75">
        <f t="shared" si="5"/>
        <v>0.69963266000030322</v>
      </c>
      <c r="F98" s="75">
        <f t="shared" si="6"/>
        <v>0.36487664254134633</v>
      </c>
      <c r="G98" s="75">
        <f t="shared" si="7"/>
        <v>0.5817952175088823</v>
      </c>
      <c r="H98" s="75">
        <f t="shared" si="8"/>
        <v>0.24703920004992547</v>
      </c>
    </row>
    <row r="99" spans="4:8" x14ac:dyDescent="0.25">
      <c r="D99" s="76">
        <f t="shared" si="9"/>
        <v>18</v>
      </c>
      <c r="E99" s="75">
        <f t="shared" si="5"/>
        <v>0.71865288826501672</v>
      </c>
      <c r="F99" s="75">
        <f t="shared" si="6"/>
        <v>0.37552797036958591</v>
      </c>
      <c r="G99" s="75">
        <f t="shared" si="7"/>
        <v>0.59634009794660447</v>
      </c>
      <c r="H99" s="75">
        <f t="shared" si="8"/>
        <v>0.25321518005117361</v>
      </c>
    </row>
    <row r="100" spans="4:8" x14ac:dyDescent="0.25">
      <c r="D100" s="76">
        <f t="shared" si="9"/>
        <v>19</v>
      </c>
      <c r="E100" s="75">
        <f t="shared" si="5"/>
        <v>0.73814862223634803</v>
      </c>
      <c r="F100" s="75">
        <f t="shared" si="6"/>
        <v>0.38644558139353141</v>
      </c>
      <c r="G100" s="75">
        <f t="shared" si="7"/>
        <v>0.61124860039526951</v>
      </c>
      <c r="H100" s="75">
        <f t="shared" si="8"/>
        <v>0.25954555955245295</v>
      </c>
    </row>
    <row r="101" spans="4:8" x14ac:dyDescent="0.25">
      <c r="D101" s="76">
        <f t="shared" si="9"/>
        <v>20</v>
      </c>
      <c r="E101" s="75">
        <f t="shared" si="5"/>
        <v>0.7581317495569625</v>
      </c>
      <c r="F101" s="75">
        <f t="shared" si="6"/>
        <v>0.39763613269307552</v>
      </c>
      <c r="G101" s="75">
        <f t="shared" si="7"/>
        <v>0.62652981540515118</v>
      </c>
      <c r="H101" s="75">
        <f t="shared" si="8"/>
        <v>0.2660341985412642</v>
      </c>
    </row>
    <row r="102" spans="4:8" x14ac:dyDescent="0.25">
      <c r="D102" s="76">
        <f t="shared" si="9"/>
        <v>21</v>
      </c>
      <c r="E102" s="75">
        <f t="shared" si="5"/>
        <v>0.77861445506059235</v>
      </c>
      <c r="F102" s="75">
        <f t="shared" si="6"/>
        <v>0.40910644777510824</v>
      </c>
      <c r="G102" s="75">
        <f t="shared" si="7"/>
        <v>0.64219306079027993</v>
      </c>
      <c r="H102" s="75">
        <f t="shared" si="8"/>
        <v>0.27268505350479583</v>
      </c>
    </row>
    <row r="103" spans="4:8" x14ac:dyDescent="0.25">
      <c r="D103" s="76">
        <f t="shared" si="9"/>
        <v>22</v>
      </c>
      <c r="E103" s="75">
        <f t="shared" si="5"/>
        <v>0.79960922820181302</v>
      </c>
      <c r="F103" s="75">
        <f t="shared" si="6"/>
        <v>0.42086352073419181</v>
      </c>
      <c r="G103" s="75">
        <f t="shared" si="7"/>
        <v>0.65824788731003692</v>
      </c>
      <c r="H103" s="75">
        <f t="shared" si="8"/>
        <v>0.27950217984241571</v>
      </c>
    </row>
    <row r="104" spans="4:8" x14ac:dyDescent="0.25">
      <c r="D104" s="76">
        <f t="shared" si="9"/>
        <v>23</v>
      </c>
      <c r="E104" s="75">
        <f t="shared" si="5"/>
        <v>0.82112887067156426</v>
      </c>
      <c r="F104" s="75">
        <f t="shared" si="6"/>
        <v>0.43291452051725249</v>
      </c>
      <c r="G104" s="75">
        <f t="shared" si="7"/>
        <v>0.67470408449278785</v>
      </c>
      <c r="H104" s="75">
        <f t="shared" si="8"/>
        <v>0.28648973433847608</v>
      </c>
    </row>
    <row r="105" spans="4:8" x14ac:dyDescent="0.25">
      <c r="D105" s="76">
        <f t="shared" si="9"/>
        <v>24</v>
      </c>
      <c r="E105" s="75">
        <f t="shared" si="5"/>
        <v>0.84318650420305918</v>
      </c>
      <c r="F105" s="75">
        <f t="shared" si="6"/>
        <v>0.44526679529488966</v>
      </c>
      <c r="G105" s="75">
        <f t="shared" si="7"/>
        <v>0.69157168660510748</v>
      </c>
      <c r="H105" s="75">
        <f t="shared" si="8"/>
        <v>0.29365197769693796</v>
      </c>
    </row>
    <row r="106" spans="4:8" x14ac:dyDescent="0.25">
      <c r="D106" s="76">
        <f t="shared" si="9"/>
        <v>25</v>
      </c>
      <c r="E106" s="75">
        <f t="shared" si="5"/>
        <v>0.8657955785728414</v>
      </c>
      <c r="F106" s="75">
        <f t="shared" si="6"/>
        <v>0.45792787694196768</v>
      </c>
      <c r="G106" s="75">
        <f t="shared" si="7"/>
        <v>0.70886097877023513</v>
      </c>
      <c r="H106" s="75">
        <f t="shared" si="8"/>
        <v>0.30099327713936141</v>
      </c>
    </row>
    <row r="107" spans="4:8" x14ac:dyDescent="0.25">
      <c r="D107" s="76">
        <f t="shared" si="9"/>
        <v>26</v>
      </c>
      <c r="E107" s="75">
        <f t="shared" si="5"/>
        <v>0.88896987980186826</v>
      </c>
      <c r="F107" s="75">
        <f t="shared" si="6"/>
        <v>0.47090548563022272</v>
      </c>
      <c r="G107" s="75">
        <f t="shared" si="7"/>
        <v>0.72658250323949092</v>
      </c>
      <c r="H107" s="75">
        <f t="shared" si="8"/>
        <v>0.30851810906784538</v>
      </c>
    </row>
    <row r="108" spans="4:8" x14ac:dyDescent="0.25">
      <c r="D108" s="76">
        <f t="shared" si="9"/>
        <v>27</v>
      </c>
      <c r="E108" s="75">
        <f t="shared" si="5"/>
        <v>0.91272353856162081</v>
      </c>
      <c r="F108" s="75">
        <f t="shared" si="6"/>
        <v>0.48420753453568421</v>
      </c>
      <c r="G108" s="75">
        <f t="shared" si="7"/>
        <v>0.74474706582047812</v>
      </c>
      <c r="H108" s="75">
        <f t="shared" si="8"/>
        <v>0.31623106179454152</v>
      </c>
    </row>
    <row r="109" spans="4:8" x14ac:dyDescent="0.25">
      <c r="D109" s="76">
        <f t="shared" si="9"/>
        <v>28</v>
      </c>
      <c r="E109" s="75">
        <f t="shared" si="5"/>
        <v>0.93707103879036713</v>
      </c>
      <c r="F109" s="75">
        <f t="shared" si="6"/>
        <v>0.49784213466378213</v>
      </c>
      <c r="G109" s="75">
        <f t="shared" si="7"/>
        <v>0.76336574246599009</v>
      </c>
      <c r="H109" s="75">
        <f t="shared" si="8"/>
        <v>0.32413683833940504</v>
      </c>
    </row>
    <row r="110" spans="4:8" x14ac:dyDescent="0.25">
      <c r="D110" s="76">
        <f t="shared" si="9"/>
        <v>29</v>
      </c>
      <c r="E110" s="75">
        <f t="shared" si="5"/>
        <v>0.9620272265248323</v>
      </c>
      <c r="F110" s="75">
        <f t="shared" si="6"/>
        <v>0.51181759979508257</v>
      </c>
      <c r="G110" s="75">
        <f t="shared" si="7"/>
        <v>0.78244988602763987</v>
      </c>
      <c r="H110" s="75">
        <f t="shared" si="8"/>
        <v>0.33224025929789014</v>
      </c>
    </row>
    <row r="111" spans="4:8" x14ac:dyDescent="0.25">
      <c r="D111" s="76">
        <f t="shared" si="9"/>
        <v>30</v>
      </c>
      <c r="E111" s="75">
        <f t="shared" si="5"/>
        <v>0.98760731895265874</v>
      </c>
      <c r="F111" s="75">
        <f t="shared" si="6"/>
        <v>0.52614245155466544</v>
      </c>
      <c r="G111" s="75">
        <f t="shared" si="7"/>
        <v>0.80201113317833073</v>
      </c>
      <c r="H111" s="75">
        <f t="shared" si="8"/>
        <v>0.34054626578033742</v>
      </c>
    </row>
    <row r="113" spans="2:9" x14ac:dyDescent="0.25">
      <c r="B113" s="84" t="s">
        <v>449</v>
      </c>
      <c r="C113" s="80" t="str">
        <f>INDEX($D$20:$F$22, MATCH(CustomSolar, $C$20:$C$22, 0), MATCH(TOUTariffModel, 'Profit per cycles Model'!$D$19:$F$19, 0))</f>
        <v>SB</v>
      </c>
      <c r="D113" s="80" t="s">
        <v>448</v>
      </c>
      <c r="E113" s="84">
        <f>$D$10*E76</f>
        <v>260.75</v>
      </c>
      <c r="F113" s="84">
        <f>$D$10*F76</f>
        <v>104.3</v>
      </c>
      <c r="G113" s="84">
        <f>$D$10*G76</f>
        <v>0</v>
      </c>
      <c r="H113" s="84">
        <f>$D$10*H76</f>
        <v>0</v>
      </c>
      <c r="I113" s="84">
        <f>IF(SUM(E113:H113)=0, -1, SUM(E113:H113))</f>
        <v>365.05</v>
      </c>
    </row>
    <row r="115" spans="2:9" x14ac:dyDescent="0.25">
      <c r="D115" s="80" t="s">
        <v>447</v>
      </c>
    </row>
    <row r="116" spans="2:9" x14ac:dyDescent="0.25">
      <c r="D116" s="76">
        <v>0</v>
      </c>
      <c r="E116" s="97">
        <f t="shared" ref="E116:H146" si="10">E$113*E81</f>
        <v>114.42323529411765</v>
      </c>
      <c r="F116" s="97">
        <f t="shared" si="10"/>
        <v>22.823294117647063</v>
      </c>
      <c r="G116" s="97">
        <f t="shared" si="10"/>
        <v>0</v>
      </c>
      <c r="H116" s="97">
        <f t="shared" si="10"/>
        <v>0</v>
      </c>
      <c r="I116" s="81">
        <f t="shared" ref="I116:I146" si="11">SUM(E116:H116)</f>
        <v>137.2465294117647</v>
      </c>
    </row>
    <row r="117" spans="2:9" x14ac:dyDescent="0.25">
      <c r="D117" s="76">
        <v>1</v>
      </c>
      <c r="E117" s="97">
        <f t="shared" si="10"/>
        <v>117.68261029411764</v>
      </c>
      <c r="F117" s="97">
        <f t="shared" si="10"/>
        <v>23.553394117647059</v>
      </c>
      <c r="G117" s="97">
        <f t="shared" si="10"/>
        <v>0</v>
      </c>
      <c r="H117" s="97">
        <f t="shared" si="10"/>
        <v>0</v>
      </c>
      <c r="I117" s="81">
        <f t="shared" si="11"/>
        <v>141.2360044117647</v>
      </c>
    </row>
    <row r="118" spans="2:9" x14ac:dyDescent="0.25">
      <c r="D118" s="76">
        <f t="shared" ref="D118:D146" si="12">D117+1</f>
        <v>2</v>
      </c>
      <c r="E118" s="97">
        <f t="shared" si="10"/>
        <v>121.02346966911765</v>
      </c>
      <c r="F118" s="97">
        <f t="shared" si="10"/>
        <v>24.301746617647062</v>
      </c>
      <c r="G118" s="97">
        <f t="shared" si="10"/>
        <v>0</v>
      </c>
      <c r="H118" s="97">
        <f t="shared" si="10"/>
        <v>0</v>
      </c>
      <c r="I118" s="81">
        <f t="shared" si="11"/>
        <v>145.32521628676471</v>
      </c>
    </row>
    <row r="119" spans="2:9" x14ac:dyDescent="0.25">
      <c r="D119" s="76">
        <f t="shared" si="12"/>
        <v>3</v>
      </c>
      <c r="E119" s="97">
        <f t="shared" si="10"/>
        <v>124.44785052849264</v>
      </c>
      <c r="F119" s="97">
        <f t="shared" si="10"/>
        <v>25.068807930147059</v>
      </c>
      <c r="G119" s="97">
        <f t="shared" si="10"/>
        <v>0</v>
      </c>
      <c r="H119" s="97">
        <f t="shared" si="10"/>
        <v>0</v>
      </c>
      <c r="I119" s="81">
        <f t="shared" si="11"/>
        <v>149.51665845863971</v>
      </c>
    </row>
    <row r="120" spans="2:9" x14ac:dyDescent="0.25">
      <c r="D120" s="76">
        <f t="shared" si="12"/>
        <v>4</v>
      </c>
      <c r="E120" s="97">
        <f t="shared" si="10"/>
        <v>127.957840909352</v>
      </c>
      <c r="F120" s="97">
        <f t="shared" si="10"/>
        <v>25.855045775459555</v>
      </c>
      <c r="G120" s="97">
        <f t="shared" si="10"/>
        <v>0</v>
      </c>
      <c r="H120" s="97">
        <f t="shared" si="10"/>
        <v>0</v>
      </c>
      <c r="I120" s="81">
        <f t="shared" si="11"/>
        <v>153.81288668481156</v>
      </c>
    </row>
    <row r="121" spans="2:9" x14ac:dyDescent="0.25">
      <c r="D121" s="76">
        <f t="shared" si="12"/>
        <v>5</v>
      </c>
      <c r="E121" s="97">
        <f t="shared" si="10"/>
        <v>131.55558104973284</v>
      </c>
      <c r="F121" s="97">
        <f t="shared" si="10"/>
        <v>26.660939566904865</v>
      </c>
      <c r="G121" s="97">
        <f t="shared" si="10"/>
        <v>0</v>
      </c>
      <c r="H121" s="97">
        <f t="shared" si="10"/>
        <v>0</v>
      </c>
      <c r="I121" s="81">
        <f t="shared" si="11"/>
        <v>158.21652061663769</v>
      </c>
    </row>
    <row r="122" spans="2:9" x14ac:dyDescent="0.25">
      <c r="D122" s="76">
        <f t="shared" si="12"/>
        <v>6</v>
      </c>
      <c r="E122" s="97">
        <f t="shared" si="10"/>
        <v>135.24326469362322</v>
      </c>
      <c r="F122" s="97">
        <f t="shared" si="10"/>
        <v>27.486980703136307</v>
      </c>
      <c r="G122" s="97">
        <f t="shared" si="10"/>
        <v>0</v>
      </c>
      <c r="H122" s="97">
        <f t="shared" si="10"/>
        <v>0</v>
      </c>
      <c r="I122" s="81">
        <f t="shared" si="11"/>
        <v>162.73024539675953</v>
      </c>
    </row>
    <row r="123" spans="2:9" x14ac:dyDescent="0.25">
      <c r="D123" s="76">
        <f t="shared" si="12"/>
        <v>7</v>
      </c>
      <c r="E123" s="97">
        <f t="shared" si="10"/>
        <v>139.02314042861084</v>
      </c>
      <c r="F123" s="97">
        <f t="shared" si="10"/>
        <v>28.33367286777354</v>
      </c>
      <c r="G123" s="97">
        <f t="shared" si="10"/>
        <v>0</v>
      </c>
      <c r="H123" s="97">
        <f t="shared" si="10"/>
        <v>0</v>
      </c>
      <c r="I123" s="81">
        <f t="shared" si="11"/>
        <v>167.35681329638439</v>
      </c>
    </row>
    <row r="124" spans="2:9" x14ac:dyDescent="0.25">
      <c r="D124" s="76">
        <f t="shared" si="12"/>
        <v>8</v>
      </c>
      <c r="E124" s="97">
        <f t="shared" si="10"/>
        <v>142.89751305697317</v>
      </c>
      <c r="F124" s="97">
        <f t="shared" si="10"/>
        <v>29.201532336526697</v>
      </c>
      <c r="G124" s="97">
        <f t="shared" si="10"/>
        <v>0</v>
      </c>
      <c r="H124" s="97">
        <f t="shared" si="10"/>
        <v>0</v>
      </c>
      <c r="I124" s="81">
        <f t="shared" si="11"/>
        <v>172.09904539349986</v>
      </c>
    </row>
    <row r="125" spans="2:9" x14ac:dyDescent="0.25">
      <c r="D125" s="76">
        <f t="shared" si="12"/>
        <v>9</v>
      </c>
      <c r="E125" s="97">
        <f t="shared" si="10"/>
        <v>146.86874500104454</v>
      </c>
      <c r="F125" s="97">
        <f t="shared" si="10"/>
        <v>30.091088291998688</v>
      </c>
      <c r="G125" s="97">
        <f t="shared" si="10"/>
        <v>0</v>
      </c>
      <c r="H125" s="97">
        <f t="shared" si="10"/>
        <v>0</v>
      </c>
      <c r="I125" s="81">
        <f t="shared" si="11"/>
        <v>176.95983329304323</v>
      </c>
    </row>
    <row r="126" spans="2:9" x14ac:dyDescent="0.25">
      <c r="D126" s="76">
        <f t="shared" si="12"/>
        <v>10</v>
      </c>
      <c r="E126" s="97">
        <f t="shared" si="10"/>
        <v>150.93925774371772</v>
      </c>
      <c r="F126" s="97">
        <f t="shared" si="10"/>
        <v>31.002883146357476</v>
      </c>
      <c r="G126" s="97">
        <f t="shared" si="10"/>
        <v>0</v>
      </c>
      <c r="H126" s="97">
        <f t="shared" si="10"/>
        <v>0</v>
      </c>
      <c r="I126" s="81">
        <f t="shared" si="11"/>
        <v>181.94214089007519</v>
      </c>
    </row>
    <row r="127" spans="2:9" x14ac:dyDescent="0.25">
      <c r="D127" s="76">
        <f t="shared" si="12"/>
        <v>11</v>
      </c>
      <c r="E127" s="97">
        <f t="shared" si="10"/>
        <v>155.1115333049577</v>
      </c>
      <c r="F127" s="97">
        <f t="shared" si="10"/>
        <v>31.937472872075233</v>
      </c>
      <c r="G127" s="97">
        <f t="shared" si="10"/>
        <v>0</v>
      </c>
      <c r="H127" s="97">
        <f t="shared" si="10"/>
        <v>0</v>
      </c>
      <c r="I127" s="81">
        <f t="shared" si="11"/>
        <v>187.04900617703294</v>
      </c>
    </row>
    <row r="128" spans="2:9" x14ac:dyDescent="0.25">
      <c r="D128" s="76">
        <f t="shared" si="12"/>
        <v>12</v>
      </c>
      <c r="E128" s="97">
        <f t="shared" si="10"/>
        <v>159.38811575522868</v>
      </c>
      <c r="F128" s="97">
        <f t="shared" si="10"/>
        <v>32.895427340935939</v>
      </c>
      <c r="G128" s="97">
        <f t="shared" si="10"/>
        <v>0</v>
      </c>
      <c r="H128" s="97">
        <f t="shared" si="10"/>
        <v>0</v>
      </c>
      <c r="I128" s="81">
        <f t="shared" si="11"/>
        <v>192.28354309616464</v>
      </c>
    </row>
    <row r="129" spans="4:9" x14ac:dyDescent="0.25">
      <c r="D129" s="76">
        <f t="shared" si="12"/>
        <v>13</v>
      </c>
      <c r="E129" s="97">
        <f t="shared" si="10"/>
        <v>163.77161276675645</v>
      </c>
      <c r="F129" s="97">
        <f t="shared" si="10"/>
        <v>33.877330671518159</v>
      </c>
      <c r="G129" s="97">
        <f t="shared" si="10"/>
        <v>0</v>
      </c>
      <c r="H129" s="97">
        <f t="shared" si="10"/>
        <v>0</v>
      </c>
      <c r="I129" s="81">
        <f t="shared" si="11"/>
        <v>197.64894343827461</v>
      </c>
    </row>
    <row r="130" spans="4:9" x14ac:dyDescent="0.25">
      <c r="D130" s="76">
        <f t="shared" si="12"/>
        <v>14</v>
      </c>
      <c r="E130" s="97">
        <f t="shared" si="10"/>
        <v>168.26469720357241</v>
      </c>
      <c r="F130" s="97">
        <f t="shared" si="10"/>
        <v>34.883781585364929</v>
      </c>
      <c r="G130" s="97">
        <f t="shared" si="10"/>
        <v>0</v>
      </c>
      <c r="H130" s="97">
        <f t="shared" si="10"/>
        <v>0</v>
      </c>
      <c r="I130" s="81">
        <f t="shared" si="11"/>
        <v>203.14847878893733</v>
      </c>
    </row>
    <row r="131" spans="4:9" x14ac:dyDescent="0.25">
      <c r="D131" s="76">
        <f t="shared" si="12"/>
        <v>15</v>
      </c>
      <c r="E131" s="97">
        <f t="shared" si="10"/>
        <v>172.87010875130881</v>
      </c>
      <c r="F131" s="97">
        <f t="shared" si="10"/>
        <v>35.915393772057882</v>
      </c>
      <c r="G131" s="97">
        <f t="shared" si="10"/>
        <v>0</v>
      </c>
      <c r="H131" s="97">
        <f t="shared" si="10"/>
        <v>0</v>
      </c>
      <c r="I131" s="81">
        <f t="shared" si="11"/>
        <v>208.78550252336669</v>
      </c>
    </row>
    <row r="132" spans="4:9" x14ac:dyDescent="0.25">
      <c r="D132" s="76">
        <f t="shared" si="12"/>
        <v>16</v>
      </c>
      <c r="E132" s="97">
        <f t="shared" si="10"/>
        <v>177.59065558773858</v>
      </c>
      <c r="F132" s="97">
        <f t="shared" si="10"/>
        <v>36.972796263418147</v>
      </c>
      <c r="G132" s="97">
        <f t="shared" si="10"/>
        <v>0</v>
      </c>
      <c r="H132" s="97">
        <f t="shared" si="10"/>
        <v>0</v>
      </c>
      <c r="I132" s="81">
        <f t="shared" si="11"/>
        <v>214.56345185115674</v>
      </c>
    </row>
    <row r="133" spans="4:9" x14ac:dyDescent="0.25">
      <c r="D133" s="76">
        <f t="shared" si="12"/>
        <v>17</v>
      </c>
      <c r="E133" s="97">
        <f t="shared" si="10"/>
        <v>182.42921609507906</v>
      </c>
      <c r="F133" s="97">
        <f t="shared" si="10"/>
        <v>38.056633817062419</v>
      </c>
      <c r="G133" s="97">
        <f t="shared" si="10"/>
        <v>0</v>
      </c>
      <c r="H133" s="97">
        <f t="shared" si="10"/>
        <v>0</v>
      </c>
      <c r="I133" s="81">
        <f t="shared" si="11"/>
        <v>220.48584991214148</v>
      </c>
    </row>
    <row r="134" spans="4:9" x14ac:dyDescent="0.25">
      <c r="D134" s="76">
        <f t="shared" si="12"/>
        <v>18</v>
      </c>
      <c r="E134" s="97">
        <f t="shared" si="10"/>
        <v>187.3887406151031</v>
      </c>
      <c r="F134" s="97">
        <f t="shared" si="10"/>
        <v>39.167567309547806</v>
      </c>
      <c r="G134" s="97">
        <f t="shared" si="10"/>
        <v>0</v>
      </c>
      <c r="H134" s="97">
        <f t="shared" si="10"/>
        <v>0</v>
      </c>
      <c r="I134" s="81">
        <f t="shared" si="11"/>
        <v>226.55630792465092</v>
      </c>
    </row>
    <row r="135" spans="4:9" x14ac:dyDescent="0.25">
      <c r="D135" s="76">
        <f t="shared" si="12"/>
        <v>19</v>
      </c>
      <c r="E135" s="97">
        <f t="shared" si="10"/>
        <v>192.47225324812774</v>
      </c>
      <c r="F135" s="97">
        <f t="shared" si="10"/>
        <v>40.306274139345327</v>
      </c>
      <c r="G135" s="97">
        <f t="shared" si="10"/>
        <v>0</v>
      </c>
      <c r="H135" s="97">
        <f t="shared" si="10"/>
        <v>0</v>
      </c>
      <c r="I135" s="81">
        <f t="shared" si="11"/>
        <v>232.77852738747308</v>
      </c>
    </row>
    <row r="136" spans="4:9" x14ac:dyDescent="0.25">
      <c r="D136" s="76">
        <f t="shared" si="12"/>
        <v>20</v>
      </c>
      <c r="E136" s="97">
        <f t="shared" si="10"/>
        <v>197.68285369697796</v>
      </c>
      <c r="F136" s="97">
        <f t="shared" si="10"/>
        <v>41.473448639887778</v>
      </c>
      <c r="G136" s="97">
        <f t="shared" si="10"/>
        <v>0</v>
      </c>
      <c r="H136" s="97">
        <f t="shared" si="10"/>
        <v>0</v>
      </c>
      <c r="I136" s="81">
        <f t="shared" si="11"/>
        <v>239.15630233686574</v>
      </c>
    </row>
    <row r="137" spans="4:9" x14ac:dyDescent="0.25">
      <c r="D137" s="76">
        <f t="shared" si="12"/>
        <v>21</v>
      </c>
      <c r="E137" s="97">
        <f t="shared" si="10"/>
        <v>203.02371915704944</v>
      </c>
      <c r="F137" s="97">
        <f t="shared" si="10"/>
        <v>42.669802502943789</v>
      </c>
      <c r="G137" s="97">
        <f t="shared" si="10"/>
        <v>0</v>
      </c>
      <c r="H137" s="97">
        <f t="shared" si="10"/>
        <v>0</v>
      </c>
      <c r="I137" s="81">
        <f t="shared" si="11"/>
        <v>245.69352165999322</v>
      </c>
    </row>
    <row r="138" spans="4:9" x14ac:dyDescent="0.25">
      <c r="D138" s="76">
        <f t="shared" si="12"/>
        <v>22</v>
      </c>
      <c r="E138" s="97">
        <f t="shared" si="10"/>
        <v>208.49810625362275</v>
      </c>
      <c r="F138" s="97">
        <f t="shared" si="10"/>
        <v>43.896065212576204</v>
      </c>
      <c r="G138" s="97">
        <f t="shared" si="10"/>
        <v>0</v>
      </c>
      <c r="H138" s="97">
        <f t="shared" si="10"/>
        <v>0</v>
      </c>
      <c r="I138" s="81">
        <f t="shared" si="11"/>
        <v>252.39417146619894</v>
      </c>
    </row>
    <row r="139" spans="4:9" x14ac:dyDescent="0.25">
      <c r="D139" s="76">
        <f t="shared" si="12"/>
        <v>23</v>
      </c>
      <c r="E139" s="97">
        <f t="shared" si="10"/>
        <v>214.10935302761038</v>
      </c>
      <c r="F139" s="97">
        <f t="shared" si="10"/>
        <v>45.152984489949432</v>
      </c>
      <c r="G139" s="97">
        <f t="shared" si="10"/>
        <v>0</v>
      </c>
      <c r="H139" s="97">
        <f t="shared" si="10"/>
        <v>0</v>
      </c>
      <c r="I139" s="81">
        <f t="shared" si="11"/>
        <v>259.26233751755979</v>
      </c>
    </row>
    <row r="140" spans="4:9" x14ac:dyDescent="0.25">
      <c r="D140" s="76">
        <f t="shared" si="12"/>
        <v>24</v>
      </c>
      <c r="E140" s="97">
        <f t="shared" si="10"/>
        <v>219.86088097094768</v>
      </c>
      <c r="F140" s="97">
        <f t="shared" si="10"/>
        <v>46.441326749256987</v>
      </c>
      <c r="G140" s="97">
        <f t="shared" si="10"/>
        <v>0</v>
      </c>
      <c r="H140" s="97">
        <f t="shared" si="10"/>
        <v>0</v>
      </c>
      <c r="I140" s="81">
        <f t="shared" si="11"/>
        <v>266.30220772020465</v>
      </c>
    </row>
    <row r="141" spans="4:9" x14ac:dyDescent="0.25">
      <c r="D141" s="76">
        <f t="shared" si="12"/>
        <v>25</v>
      </c>
      <c r="E141" s="97">
        <f t="shared" si="10"/>
        <v>225.75619711286839</v>
      </c>
      <c r="F141" s="97">
        <f t="shared" si="10"/>
        <v>47.761877565047229</v>
      </c>
      <c r="G141" s="97">
        <f t="shared" si="10"/>
        <v>0</v>
      </c>
      <c r="H141" s="97">
        <f t="shared" si="10"/>
        <v>0</v>
      </c>
      <c r="I141" s="81">
        <f t="shared" si="11"/>
        <v>273.51807467791559</v>
      </c>
    </row>
    <row r="142" spans="4:9" x14ac:dyDescent="0.25">
      <c r="D142" s="76">
        <f t="shared" si="12"/>
        <v>26</v>
      </c>
      <c r="E142" s="97">
        <f t="shared" si="10"/>
        <v>231.79889615833716</v>
      </c>
      <c r="F142" s="97">
        <f t="shared" si="10"/>
        <v>49.11544215123223</v>
      </c>
      <c r="G142" s="97">
        <f t="shared" si="10"/>
        <v>0</v>
      </c>
      <c r="H142" s="97">
        <f t="shared" si="10"/>
        <v>0</v>
      </c>
      <c r="I142" s="81">
        <f t="shared" si="11"/>
        <v>280.91433830956942</v>
      </c>
    </row>
    <row r="143" spans="4:9" x14ac:dyDescent="0.25">
      <c r="D143" s="76">
        <f t="shared" si="12"/>
        <v>27</v>
      </c>
      <c r="E143" s="97">
        <f t="shared" si="10"/>
        <v>237.99266267994261</v>
      </c>
      <c r="F143" s="97">
        <f t="shared" si="10"/>
        <v>50.502845852071864</v>
      </c>
      <c r="G143" s="97">
        <f t="shared" si="10"/>
        <v>0</v>
      </c>
      <c r="H143" s="97">
        <f t="shared" si="10"/>
        <v>0</v>
      </c>
      <c r="I143" s="81">
        <f t="shared" si="11"/>
        <v>288.49550853201447</v>
      </c>
    </row>
    <row r="144" spans="4:9" x14ac:dyDescent="0.25">
      <c r="D144" s="76">
        <f t="shared" si="12"/>
        <v>28</v>
      </c>
      <c r="E144" s="97">
        <f t="shared" si="10"/>
        <v>244.34127336458823</v>
      </c>
      <c r="F144" s="97">
        <f t="shared" si="10"/>
        <v>51.924934645432472</v>
      </c>
      <c r="G144" s="97">
        <f t="shared" si="10"/>
        <v>0</v>
      </c>
      <c r="H144" s="97">
        <f t="shared" si="10"/>
        <v>0</v>
      </c>
      <c r="I144" s="81">
        <f t="shared" si="11"/>
        <v>296.2662080100207</v>
      </c>
    </row>
    <row r="145" spans="4:9" x14ac:dyDescent="0.25">
      <c r="D145" s="76">
        <f t="shared" si="12"/>
        <v>29</v>
      </c>
      <c r="E145" s="97">
        <f t="shared" si="10"/>
        <v>250.84859931635003</v>
      </c>
      <c r="F145" s="97">
        <f t="shared" si="10"/>
        <v>53.382575658627111</v>
      </c>
      <c r="G145" s="97">
        <f t="shared" si="10"/>
        <v>0</v>
      </c>
      <c r="H145" s="97">
        <f t="shared" si="10"/>
        <v>0</v>
      </c>
      <c r="I145" s="81">
        <f t="shared" si="11"/>
        <v>304.23117497497714</v>
      </c>
    </row>
    <row r="146" spans="4:9" x14ac:dyDescent="0.25">
      <c r="D146" s="76">
        <f t="shared" si="12"/>
        <v>30</v>
      </c>
      <c r="E146" s="97">
        <f t="shared" si="10"/>
        <v>257.51860841690575</v>
      </c>
      <c r="F146" s="97">
        <f t="shared" si="10"/>
        <v>54.8766576971516</v>
      </c>
      <c r="G146" s="97">
        <f t="shared" si="10"/>
        <v>0</v>
      </c>
      <c r="H146" s="97">
        <f t="shared" si="10"/>
        <v>0</v>
      </c>
      <c r="I146" s="81">
        <f t="shared" si="11"/>
        <v>312.39526611405734</v>
      </c>
    </row>
    <row r="148" spans="4:9" x14ac:dyDescent="0.25">
      <c r="H148" s="25" t="s">
        <v>446</v>
      </c>
    </row>
    <row r="149" spans="4:9" x14ac:dyDescent="0.25">
      <c r="H149" s="76">
        <v>0</v>
      </c>
      <c r="I149" s="34">
        <f t="shared" ref="I149:I179" si="13">IF($I$113&gt;0, I116/$I$113, -1)</f>
        <v>0.37596638655462183</v>
      </c>
    </row>
    <row r="150" spans="4:9" x14ac:dyDescent="0.25">
      <c r="H150" s="76">
        <v>1</v>
      </c>
      <c r="I150" s="34">
        <f t="shared" si="13"/>
        <v>0.38689495798319323</v>
      </c>
    </row>
    <row r="151" spans="4:9" x14ac:dyDescent="0.25">
      <c r="H151" s="76">
        <f t="shared" ref="H151:H179" si="14">H150+1</f>
        <v>2</v>
      </c>
      <c r="I151" s="34">
        <f t="shared" si="13"/>
        <v>0.39809674369747899</v>
      </c>
    </row>
    <row r="152" spans="4:9" x14ac:dyDescent="0.25">
      <c r="H152" s="76">
        <f t="shared" si="14"/>
        <v>3</v>
      </c>
      <c r="I152" s="34">
        <f t="shared" si="13"/>
        <v>0.40957857405462184</v>
      </c>
    </row>
    <row r="153" spans="4:9" x14ac:dyDescent="0.25">
      <c r="H153" s="76">
        <f t="shared" si="14"/>
        <v>4</v>
      </c>
      <c r="I153" s="34">
        <f t="shared" si="13"/>
        <v>0.42134745017069319</v>
      </c>
    </row>
    <row r="154" spans="4:9" x14ac:dyDescent="0.25">
      <c r="H154" s="76">
        <f t="shared" si="14"/>
        <v>5</v>
      </c>
      <c r="I154" s="34">
        <f t="shared" si="13"/>
        <v>0.43341054818966634</v>
      </c>
    </row>
    <row r="155" spans="4:9" x14ac:dyDescent="0.25">
      <c r="H155" s="76">
        <f t="shared" si="14"/>
        <v>6</v>
      </c>
      <c r="I155" s="34">
        <f t="shared" si="13"/>
        <v>0.44577522365911387</v>
      </c>
    </row>
    <row r="156" spans="4:9" x14ac:dyDescent="0.25">
      <c r="H156" s="76">
        <f t="shared" si="14"/>
        <v>7</v>
      </c>
      <c r="I156" s="34">
        <f t="shared" si="13"/>
        <v>0.45844901601529758</v>
      </c>
    </row>
    <row r="157" spans="4:9" x14ac:dyDescent="0.25">
      <c r="H157" s="76">
        <f t="shared" si="14"/>
        <v>8</v>
      </c>
      <c r="I157" s="34">
        <f t="shared" si="13"/>
        <v>0.47143965318038589</v>
      </c>
    </row>
    <row r="158" spans="4:9" x14ac:dyDescent="0.25">
      <c r="H158" s="76">
        <f t="shared" si="14"/>
        <v>9</v>
      </c>
      <c r="I158" s="34">
        <f t="shared" si="13"/>
        <v>0.48475505627460136</v>
      </c>
    </row>
    <row r="159" spans="4:9" x14ac:dyDescent="0.25">
      <c r="H159" s="76">
        <f t="shared" si="14"/>
        <v>10</v>
      </c>
      <c r="I159" s="34">
        <f t="shared" si="13"/>
        <v>0.49840334444617229</v>
      </c>
    </row>
    <row r="160" spans="4:9" x14ac:dyDescent="0.25">
      <c r="H160" s="76">
        <f t="shared" si="14"/>
        <v>11</v>
      </c>
      <c r="I160" s="34">
        <f t="shared" si="13"/>
        <v>0.51239283982203243</v>
      </c>
    </row>
    <row r="161" spans="8:9" x14ac:dyDescent="0.25">
      <c r="H161" s="76">
        <f t="shared" si="14"/>
        <v>12</v>
      </c>
      <c r="I161" s="34">
        <f t="shared" si="13"/>
        <v>0.52673207258228905</v>
      </c>
    </row>
    <row r="162" spans="8:9" x14ac:dyDescent="0.25">
      <c r="H162" s="76">
        <f t="shared" si="14"/>
        <v>13</v>
      </c>
      <c r="I162" s="34">
        <f t="shared" si="13"/>
        <v>0.54142978616155213</v>
      </c>
    </row>
    <row r="163" spans="8:9" x14ac:dyDescent="0.25">
      <c r="H163" s="76">
        <f t="shared" si="14"/>
        <v>14</v>
      </c>
      <c r="I163" s="34">
        <f t="shared" si="13"/>
        <v>0.55649494258029675</v>
      </c>
    </row>
    <row r="164" spans="8:9" x14ac:dyDescent="0.25">
      <c r="H164" s="76">
        <f t="shared" si="14"/>
        <v>15</v>
      </c>
      <c r="I164" s="34">
        <f t="shared" si="13"/>
        <v>0.57193672790951011</v>
      </c>
    </row>
    <row r="165" spans="8:9" x14ac:dyDescent="0.25">
      <c r="H165" s="76">
        <f t="shared" si="14"/>
        <v>16</v>
      </c>
      <c r="I165" s="34">
        <f t="shared" si="13"/>
        <v>0.58776455787195381</v>
      </c>
    </row>
    <row r="166" spans="8:9" x14ac:dyDescent="0.25">
      <c r="H166" s="76">
        <f t="shared" si="14"/>
        <v>17</v>
      </c>
      <c r="I166" s="34">
        <f t="shared" si="13"/>
        <v>0.60398808358345835</v>
      </c>
    </row>
    <row r="167" spans="8:9" x14ac:dyDescent="0.25">
      <c r="H167" s="76">
        <f t="shared" si="14"/>
        <v>18</v>
      </c>
      <c r="I167" s="34">
        <f t="shared" si="13"/>
        <v>0.62061719743775079</v>
      </c>
    </row>
    <row r="168" spans="8:9" x14ac:dyDescent="0.25">
      <c r="H168" s="76">
        <f t="shared" si="14"/>
        <v>19</v>
      </c>
      <c r="I168" s="34">
        <f t="shared" si="13"/>
        <v>0.63766203913840036</v>
      </c>
    </row>
    <row r="169" spans="8:9" x14ac:dyDescent="0.25">
      <c r="H169" s="76">
        <f t="shared" si="14"/>
        <v>20</v>
      </c>
      <c r="I169" s="34">
        <f t="shared" si="13"/>
        <v>0.6551330018815662</v>
      </c>
    </row>
    <row r="170" spans="8:9" x14ac:dyDescent="0.25">
      <c r="H170" s="76">
        <f t="shared" si="14"/>
        <v>21</v>
      </c>
      <c r="I170" s="34">
        <f t="shared" si="13"/>
        <v>0.67304073869331105</v>
      </c>
    </row>
    <row r="171" spans="8:9" x14ac:dyDescent="0.25">
      <c r="H171" s="76">
        <f t="shared" si="14"/>
        <v>22</v>
      </c>
      <c r="I171" s="34">
        <f t="shared" si="13"/>
        <v>0.69139616892534972</v>
      </c>
    </row>
    <row r="172" spans="8:9" x14ac:dyDescent="0.25">
      <c r="H172" s="76">
        <f t="shared" si="14"/>
        <v>23</v>
      </c>
      <c r="I172" s="34">
        <f t="shared" si="13"/>
        <v>0.71021048491318939</v>
      </c>
    </row>
    <row r="173" spans="8:9" x14ac:dyDescent="0.25">
      <c r="H173" s="76">
        <f t="shared" si="14"/>
        <v>24</v>
      </c>
      <c r="I173" s="34">
        <f t="shared" si="13"/>
        <v>0.72949515880072491</v>
      </c>
    </row>
    <row r="174" spans="8:9" x14ac:dyDescent="0.25">
      <c r="H174" s="76">
        <f t="shared" si="14"/>
        <v>25</v>
      </c>
      <c r="I174" s="34">
        <f t="shared" si="13"/>
        <v>0.74926194953544878</v>
      </c>
    </row>
    <row r="175" spans="8:9" x14ac:dyDescent="0.25">
      <c r="H175" s="76">
        <f t="shared" si="14"/>
        <v>26</v>
      </c>
      <c r="I175" s="34">
        <f t="shared" si="13"/>
        <v>0.76952291003854101</v>
      </c>
    </row>
    <row r="176" spans="8:9" x14ac:dyDescent="0.25">
      <c r="H176" s="76">
        <f t="shared" si="14"/>
        <v>27</v>
      </c>
      <c r="I176" s="34">
        <f t="shared" si="13"/>
        <v>0.79029039455421024</v>
      </c>
    </row>
    <row r="177" spans="8:9" x14ac:dyDescent="0.25">
      <c r="H177" s="76">
        <f t="shared" si="14"/>
        <v>28</v>
      </c>
      <c r="I177" s="34">
        <f t="shared" si="13"/>
        <v>0.81157706618277137</v>
      </c>
    </row>
    <row r="178" spans="8:9" x14ac:dyDescent="0.25">
      <c r="H178" s="76">
        <f t="shared" si="14"/>
        <v>29</v>
      </c>
      <c r="I178" s="34">
        <f t="shared" si="13"/>
        <v>0.8333959046020466</v>
      </c>
    </row>
    <row r="179" spans="8:9" x14ac:dyDescent="0.25">
      <c r="H179" s="76">
        <f t="shared" si="14"/>
        <v>30</v>
      </c>
      <c r="I179" s="34">
        <f t="shared" si="13"/>
        <v>0.85576021398180335</v>
      </c>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B2:K27"/>
  <sheetViews>
    <sheetView workbookViewId="0">
      <selection activeCell="J38" sqref="J38"/>
    </sheetView>
  </sheetViews>
  <sheetFormatPr defaultColWidth="8.85546875" defaultRowHeight="15" x14ac:dyDescent="0.25"/>
  <cols>
    <col min="2" max="2" width="32" customWidth="1"/>
    <col min="4" max="4" width="13.85546875" customWidth="1"/>
    <col min="7" max="7" width="33.140625" customWidth="1"/>
    <col min="8" max="8" width="12.42578125" customWidth="1"/>
  </cols>
  <sheetData>
    <row r="2" spans="2:11" x14ac:dyDescent="0.25">
      <c r="B2" t="s">
        <v>501</v>
      </c>
    </row>
    <row r="3" spans="2:11" ht="14.45" customHeight="1" x14ac:dyDescent="0.25"/>
    <row r="5" spans="2:11" x14ac:dyDescent="0.25">
      <c r="G5" s="107" t="s">
        <v>500</v>
      </c>
      <c r="H5" s="107">
        <v>1.36</v>
      </c>
      <c r="J5" s="184" t="s">
        <v>499</v>
      </c>
      <c r="K5" s="185"/>
    </row>
    <row r="6" spans="2:11" x14ac:dyDescent="0.25">
      <c r="G6" s="25" t="s">
        <v>498</v>
      </c>
      <c r="H6" s="25">
        <v>15</v>
      </c>
      <c r="J6" s="25" t="s">
        <v>497</v>
      </c>
      <c r="K6" s="25" t="s">
        <v>57</v>
      </c>
    </row>
    <row r="7" spans="2:11" x14ac:dyDescent="0.25">
      <c r="G7" s="25" t="s">
        <v>496</v>
      </c>
      <c r="H7" s="28">
        <f>H5*10000</f>
        <v>13600.000000000002</v>
      </c>
      <c r="J7" s="25" t="s">
        <v>495</v>
      </c>
      <c r="K7" s="25" t="s">
        <v>314</v>
      </c>
    </row>
    <row r="8" spans="2:11" x14ac:dyDescent="0.25">
      <c r="G8" s="106" t="s">
        <v>494</v>
      </c>
      <c r="H8" s="25">
        <v>14143</v>
      </c>
    </row>
    <row r="9" spans="2:11" x14ac:dyDescent="0.25">
      <c r="G9" s="51" t="s">
        <v>493</v>
      </c>
      <c r="H9" s="25">
        <f>H8*H6</f>
        <v>212145</v>
      </c>
    </row>
    <row r="10" spans="2:11" x14ac:dyDescent="0.25">
      <c r="G10" s="25" t="s">
        <v>492</v>
      </c>
      <c r="H10" s="105">
        <f>H7/H9</f>
        <v>6.4107096561314206E-2</v>
      </c>
    </row>
    <row r="11" spans="2:11" x14ac:dyDescent="0.25">
      <c r="G11" s="25" t="s">
        <v>849</v>
      </c>
      <c r="H11" s="105">
        <v>5.1999999999999998E-2</v>
      </c>
    </row>
    <row r="27" spans="2:2" x14ac:dyDescent="0.25">
      <c r="B27" t="s">
        <v>491</v>
      </c>
    </row>
  </sheetData>
  <mergeCells count="1">
    <mergeCell ref="J5:K5"/>
  </mergeCells>
  <pageMargins left="0.7" right="0.7" top="0.75" bottom="0.75" header="0.3" footer="0.3"/>
  <pageSetup paperSize="9" orientation="portrait" horizontalDpi="4294967293" verticalDpi="429496729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2:M31"/>
  <sheetViews>
    <sheetView workbookViewId="0">
      <selection activeCell="F41" sqref="F41"/>
    </sheetView>
  </sheetViews>
  <sheetFormatPr defaultColWidth="8.85546875" defaultRowHeight="15" x14ac:dyDescent="0.25"/>
  <cols>
    <col min="2" max="2" width="32" customWidth="1"/>
    <col min="3" max="3" width="12.85546875" customWidth="1"/>
    <col min="4" max="4" width="13.85546875" customWidth="1"/>
    <col min="6" max="6" width="11.85546875" customWidth="1"/>
    <col min="7" max="7" width="6.42578125" customWidth="1"/>
  </cols>
  <sheetData>
    <row r="2" spans="2:13" x14ac:dyDescent="0.25">
      <c r="F2" s="25"/>
      <c r="G2" s="197" t="s">
        <v>523</v>
      </c>
      <c r="H2" s="197"/>
      <c r="I2" s="197"/>
      <c r="J2" s="197"/>
      <c r="K2" s="197"/>
      <c r="L2" s="197"/>
      <c r="M2" s="197"/>
    </row>
    <row r="3" spans="2:13" x14ac:dyDescent="0.25">
      <c r="F3" s="257" t="s">
        <v>522</v>
      </c>
      <c r="G3" s="110"/>
      <c r="H3" s="110">
        <v>2.5</v>
      </c>
      <c r="I3" s="110">
        <v>5</v>
      </c>
      <c r="J3" s="110">
        <v>6</v>
      </c>
      <c r="K3" s="110">
        <v>9</v>
      </c>
      <c r="L3" s="110">
        <v>10</v>
      </c>
      <c r="M3" s="110">
        <v>20</v>
      </c>
    </row>
    <row r="4" spans="2:13" x14ac:dyDescent="0.25">
      <c r="B4" s="8" t="s">
        <v>521</v>
      </c>
      <c r="C4" s="8" t="s">
        <v>504</v>
      </c>
      <c r="D4" s="8" t="s">
        <v>520</v>
      </c>
      <c r="F4" s="257"/>
      <c r="G4" s="110">
        <v>7.5</v>
      </c>
      <c r="H4" s="108">
        <f>$C5+$C7</f>
        <v>9000</v>
      </c>
      <c r="I4" s="108">
        <f>$C5+$C7*2</f>
        <v>10500</v>
      </c>
      <c r="J4" s="108">
        <f>$C5+C6</f>
        <v>12500</v>
      </c>
      <c r="K4" s="108" t="s">
        <v>519</v>
      </c>
      <c r="L4" s="108" t="s">
        <v>519</v>
      </c>
      <c r="M4" s="25"/>
    </row>
    <row r="5" spans="2:13" x14ac:dyDescent="0.25">
      <c r="B5" s="8" t="s">
        <v>518</v>
      </c>
      <c r="C5" s="111">
        <v>7500</v>
      </c>
      <c r="D5" s="8" t="s">
        <v>517</v>
      </c>
      <c r="F5" s="257"/>
      <c r="G5" s="110">
        <v>15</v>
      </c>
      <c r="H5" s="108">
        <f>($C5)*2+C7</f>
        <v>16500</v>
      </c>
      <c r="I5" s="108">
        <f>($C5+$C7)*2</f>
        <v>18000</v>
      </c>
      <c r="J5" s="108">
        <f>$C6+C7</f>
        <v>6500</v>
      </c>
      <c r="K5" s="25"/>
      <c r="L5" s="25"/>
      <c r="M5" s="25"/>
    </row>
    <row r="6" spans="2:13" x14ac:dyDescent="0.25">
      <c r="B6" s="25" t="s">
        <v>516</v>
      </c>
      <c r="C6" s="108">
        <v>5000</v>
      </c>
      <c r="D6" s="25" t="s">
        <v>515</v>
      </c>
      <c r="F6" s="257"/>
      <c r="G6" s="110">
        <v>17</v>
      </c>
      <c r="H6" s="108">
        <f>$C7+$C8</f>
        <v>21500</v>
      </c>
      <c r="I6" s="108">
        <f>$C6+$C8</f>
        <v>25000</v>
      </c>
      <c r="J6" s="108">
        <f>$C6+$C8</f>
        <v>25000</v>
      </c>
      <c r="K6" s="108">
        <f>$C10+$C8</f>
        <v>27000</v>
      </c>
      <c r="L6" s="108">
        <f>$C10+$C8</f>
        <v>27000</v>
      </c>
      <c r="M6" s="108">
        <f>$C10+$C8</f>
        <v>27000</v>
      </c>
    </row>
    <row r="7" spans="2:13" x14ac:dyDescent="0.25">
      <c r="B7" s="25" t="s">
        <v>514</v>
      </c>
      <c r="C7" s="108">
        <v>1500</v>
      </c>
      <c r="D7" s="25" t="s">
        <v>513</v>
      </c>
      <c r="F7" s="257"/>
      <c r="G7" s="110">
        <v>22.5</v>
      </c>
      <c r="H7" s="108">
        <f>$C7+$C5*3</f>
        <v>24000</v>
      </c>
      <c r="I7" s="108">
        <f>$C6+$C5*3</f>
        <v>27500</v>
      </c>
      <c r="J7" s="108">
        <f>$C6+$C5*3</f>
        <v>27500</v>
      </c>
      <c r="K7" s="108">
        <f>$C10+$C5*3</f>
        <v>29500</v>
      </c>
      <c r="L7" s="108">
        <f>$C10+$C5*3</f>
        <v>29500</v>
      </c>
      <c r="M7" s="108">
        <f>$C10+$C5*3</f>
        <v>29500</v>
      </c>
    </row>
    <row r="8" spans="2:13" x14ac:dyDescent="0.25">
      <c r="B8" s="25" t="s">
        <v>512</v>
      </c>
      <c r="C8" s="108">
        <v>20000</v>
      </c>
      <c r="D8" s="25" t="s">
        <v>511</v>
      </c>
      <c r="F8" s="257"/>
      <c r="G8" s="110">
        <v>30</v>
      </c>
      <c r="H8" s="108">
        <f>$C7+$C5*4</f>
        <v>31500</v>
      </c>
      <c r="I8" s="108">
        <f>$C6+$C5*4</f>
        <v>35000</v>
      </c>
      <c r="J8" s="108">
        <f>$C6+$C5*4</f>
        <v>35000</v>
      </c>
      <c r="K8" s="108">
        <f>$C10+$C5*4</f>
        <v>37000</v>
      </c>
      <c r="L8" s="108">
        <f>$C10+$C5*4</f>
        <v>37000</v>
      </c>
      <c r="M8" s="108">
        <f>$C10+$C5*4</f>
        <v>37000</v>
      </c>
    </row>
    <row r="9" spans="2:13" x14ac:dyDescent="0.25">
      <c r="B9" s="25" t="s">
        <v>510</v>
      </c>
      <c r="C9" s="108">
        <v>36000</v>
      </c>
      <c r="D9" s="25" t="s">
        <v>509</v>
      </c>
      <c r="F9" s="257"/>
      <c r="G9" s="110">
        <v>36</v>
      </c>
      <c r="H9" s="108">
        <f>$C9+$C7</f>
        <v>37500</v>
      </c>
      <c r="I9" s="108">
        <f>$C9+$C6</f>
        <v>41000</v>
      </c>
      <c r="J9" s="108">
        <f>$C9+$C6</f>
        <v>41000</v>
      </c>
      <c r="K9" s="108">
        <f>$C9+$C10</f>
        <v>43000</v>
      </c>
      <c r="L9" s="108">
        <f>$C9+$C10</f>
        <v>43000</v>
      </c>
      <c r="M9" s="108">
        <f>$C9+$C10</f>
        <v>43000</v>
      </c>
    </row>
    <row r="10" spans="2:13" x14ac:dyDescent="0.25">
      <c r="B10" s="25" t="s">
        <v>508</v>
      </c>
      <c r="C10" s="108">
        <v>7000</v>
      </c>
      <c r="D10" s="25" t="s">
        <v>507</v>
      </c>
      <c r="F10" s="257"/>
      <c r="G10" s="110">
        <v>72</v>
      </c>
      <c r="H10" s="108"/>
      <c r="I10" s="108">
        <f>$C9*2+$C6</f>
        <v>77000</v>
      </c>
      <c r="J10" s="108">
        <f>$C9*2+$C6</f>
        <v>77000</v>
      </c>
      <c r="K10" s="108">
        <f>$C9*2+$C10</f>
        <v>79000</v>
      </c>
      <c r="L10" s="108">
        <f>$C9*2+$C10</f>
        <v>79000</v>
      </c>
      <c r="M10" s="108">
        <f>$C9*2+$C10</f>
        <v>79000</v>
      </c>
    </row>
    <row r="13" spans="2:13" x14ac:dyDescent="0.25">
      <c r="B13" s="25" t="s">
        <v>506</v>
      </c>
      <c r="C13" s="109">
        <v>970</v>
      </c>
    </row>
    <row r="15" spans="2:13" x14ac:dyDescent="0.25">
      <c r="B15" s="159" t="s">
        <v>963</v>
      </c>
      <c r="C15" s="159" t="str">
        <f>C24</f>
        <v>$1000 per kWh</v>
      </c>
    </row>
    <row r="16" spans="2:13" x14ac:dyDescent="0.25">
      <c r="B16" s="25" t="s">
        <v>505</v>
      </c>
      <c r="C16" s="25" t="s">
        <v>504</v>
      </c>
      <c r="D16" s="25" t="s">
        <v>503</v>
      </c>
    </row>
    <row r="17" spans="1:4" x14ac:dyDescent="0.25">
      <c r="B17" s="25" t="s">
        <v>502</v>
      </c>
      <c r="C17" s="108">
        <v>1000</v>
      </c>
      <c r="D17" s="31">
        <v>1</v>
      </c>
    </row>
    <row r="18" spans="1:4" x14ac:dyDescent="0.25">
      <c r="A18" s="156"/>
      <c r="B18" s="25"/>
      <c r="C18" s="108" t="s">
        <v>7</v>
      </c>
      <c r="D18" s="31" t="s">
        <v>1</v>
      </c>
    </row>
    <row r="19" spans="1:4" x14ac:dyDescent="0.25">
      <c r="A19" s="156"/>
      <c r="B19" s="108">
        <f t="shared" ref="B19:B29" si="0">$C$17*D19</f>
        <v>1500</v>
      </c>
      <c r="C19" s="25" t="str">
        <f t="shared" ref="C19:C29" si="1">"$"&amp;B19&amp;" per kWh"</f>
        <v>$1500 per kWh</v>
      </c>
      <c r="D19" s="31">
        <v>1.5</v>
      </c>
    </row>
    <row r="20" spans="1:4" x14ac:dyDescent="0.25">
      <c r="A20" s="156"/>
      <c r="B20" s="108">
        <f t="shared" si="0"/>
        <v>1400</v>
      </c>
      <c r="C20" s="25" t="str">
        <f t="shared" si="1"/>
        <v>$1400 per kWh</v>
      </c>
      <c r="D20" s="31">
        <v>1.4</v>
      </c>
    </row>
    <row r="21" spans="1:4" x14ac:dyDescent="0.25">
      <c r="A21" s="156"/>
      <c r="B21" s="108">
        <f t="shared" si="0"/>
        <v>1300</v>
      </c>
      <c r="C21" s="25" t="str">
        <f t="shared" si="1"/>
        <v>$1300 per kWh</v>
      </c>
      <c r="D21" s="31">
        <v>1.3</v>
      </c>
    </row>
    <row r="22" spans="1:4" x14ac:dyDescent="0.25">
      <c r="A22" s="156"/>
      <c r="B22" s="108">
        <f t="shared" ref="B22:B26" si="2">$C$17*D22</f>
        <v>1200</v>
      </c>
      <c r="C22" s="159" t="str">
        <f t="shared" ref="C22:C26" si="3">"$"&amp;B22&amp;" per kWh"</f>
        <v>$1200 per kWh</v>
      </c>
      <c r="D22" s="31">
        <v>1.2</v>
      </c>
    </row>
    <row r="23" spans="1:4" x14ac:dyDescent="0.25">
      <c r="A23" s="156"/>
      <c r="B23" s="108">
        <f t="shared" si="2"/>
        <v>1100</v>
      </c>
      <c r="C23" s="159" t="str">
        <f t="shared" si="3"/>
        <v>$1100 per kWh</v>
      </c>
      <c r="D23" s="31">
        <v>1.1000000000000001</v>
      </c>
    </row>
    <row r="24" spans="1:4" x14ac:dyDescent="0.25">
      <c r="A24" s="156"/>
      <c r="B24" s="108">
        <f t="shared" si="2"/>
        <v>1000</v>
      </c>
      <c r="C24" s="159" t="str">
        <f t="shared" si="3"/>
        <v>$1000 per kWh</v>
      </c>
      <c r="D24" s="31">
        <v>1</v>
      </c>
    </row>
    <row r="25" spans="1:4" x14ac:dyDescent="0.25">
      <c r="A25" s="156"/>
      <c r="B25" s="108">
        <f t="shared" si="2"/>
        <v>900</v>
      </c>
      <c r="C25" s="159" t="str">
        <f t="shared" si="3"/>
        <v>$900 per kWh</v>
      </c>
      <c r="D25" s="31">
        <v>0.9</v>
      </c>
    </row>
    <row r="26" spans="1:4" x14ac:dyDescent="0.25">
      <c r="A26" s="156"/>
      <c r="B26" s="108">
        <f t="shared" si="2"/>
        <v>800</v>
      </c>
      <c r="C26" s="159" t="str">
        <f t="shared" si="3"/>
        <v>$800 per kWh</v>
      </c>
      <c r="D26" s="31">
        <v>0.8</v>
      </c>
    </row>
    <row r="27" spans="1:4" x14ac:dyDescent="0.25">
      <c r="A27" s="156"/>
      <c r="B27" s="108">
        <f t="shared" si="0"/>
        <v>700</v>
      </c>
      <c r="C27" s="25" t="str">
        <f t="shared" si="1"/>
        <v>$700 per kWh</v>
      </c>
      <c r="D27" s="31">
        <v>0.7</v>
      </c>
    </row>
    <row r="28" spans="1:4" x14ac:dyDescent="0.25">
      <c r="A28" s="156"/>
      <c r="B28" s="108">
        <f t="shared" si="0"/>
        <v>600</v>
      </c>
      <c r="C28" s="25" t="str">
        <f t="shared" si="1"/>
        <v>$600 per kWh</v>
      </c>
      <c r="D28" s="31">
        <v>0.6</v>
      </c>
    </row>
    <row r="29" spans="1:4" x14ac:dyDescent="0.25">
      <c r="A29" s="156"/>
      <c r="B29" s="108">
        <f t="shared" si="0"/>
        <v>500</v>
      </c>
      <c r="C29" s="25" t="str">
        <f t="shared" si="1"/>
        <v>$500 per kWh</v>
      </c>
      <c r="D29" s="31">
        <v>0.5</v>
      </c>
    </row>
    <row r="30" spans="1:4" x14ac:dyDescent="0.25">
      <c r="A30" s="156"/>
    </row>
    <row r="31" spans="1:4" x14ac:dyDescent="0.25">
      <c r="A31" s="156"/>
    </row>
  </sheetData>
  <mergeCells count="2">
    <mergeCell ref="F3:F10"/>
    <mergeCell ref="G2:M2"/>
  </mergeCells>
  <pageMargins left="0.7" right="0.7" top="0.75" bottom="0.75" header="0.3" footer="0.3"/>
  <pageSetup paperSize="9" orientation="portrait" horizontalDpi="4294967293" verticalDpi="429496729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B3:F21"/>
  <sheetViews>
    <sheetView workbookViewId="0">
      <selection activeCell="E32" sqref="E32"/>
    </sheetView>
  </sheetViews>
  <sheetFormatPr defaultColWidth="8.85546875" defaultRowHeight="15" x14ac:dyDescent="0.25"/>
  <cols>
    <col min="2" max="2" width="25" customWidth="1"/>
    <col min="3" max="3" width="25.85546875" customWidth="1"/>
    <col min="4" max="5" width="14.42578125" customWidth="1"/>
    <col min="6" max="6" width="16.42578125" customWidth="1"/>
    <col min="7" max="7" width="16.85546875" customWidth="1"/>
    <col min="8" max="8" width="11.85546875" customWidth="1"/>
  </cols>
  <sheetData>
    <row r="3" spans="2:6" x14ac:dyDescent="0.25">
      <c r="B3" s="25"/>
      <c r="C3" s="25" t="s">
        <v>473</v>
      </c>
      <c r="D3" s="25" t="s">
        <v>472</v>
      </c>
      <c r="E3" s="25" t="s">
        <v>471</v>
      </c>
      <c r="F3" s="51" t="s">
        <v>533</v>
      </c>
    </row>
    <row r="4" spans="2:6" x14ac:dyDescent="0.25">
      <c r="B4" s="25" t="s">
        <v>99</v>
      </c>
      <c r="C4" s="25" t="s">
        <v>525</v>
      </c>
      <c r="D4" s="25" t="s">
        <v>525</v>
      </c>
      <c r="E4" s="25" t="s">
        <v>525</v>
      </c>
      <c r="F4" s="25"/>
    </row>
    <row r="5" spans="2:6" x14ac:dyDescent="0.25">
      <c r="B5" s="25" t="s">
        <v>7</v>
      </c>
      <c r="C5" s="25">
        <v>0.5</v>
      </c>
      <c r="D5" s="25">
        <v>0.28000000000000003</v>
      </c>
      <c r="E5" s="25">
        <v>0.1</v>
      </c>
      <c r="F5" s="25"/>
    </row>
    <row r="6" spans="2:6" x14ac:dyDescent="0.25">
      <c r="B6" s="25" t="s">
        <v>441</v>
      </c>
      <c r="C6" s="25">
        <v>0.25</v>
      </c>
      <c r="D6" s="25">
        <v>0.25</v>
      </c>
      <c r="E6" s="25">
        <v>0.25</v>
      </c>
      <c r="F6" s="25">
        <v>0.83</v>
      </c>
    </row>
    <row r="7" spans="2:6" x14ac:dyDescent="0.25">
      <c r="B7" s="25" t="s">
        <v>532</v>
      </c>
      <c r="C7" s="25">
        <v>0.5</v>
      </c>
      <c r="D7" s="25">
        <v>0.28000000000000003</v>
      </c>
      <c r="E7" s="25">
        <v>0.1</v>
      </c>
      <c r="F7" s="25">
        <v>0.83</v>
      </c>
    </row>
    <row r="8" spans="2:6" x14ac:dyDescent="0.25">
      <c r="B8" s="25" t="s">
        <v>198</v>
      </c>
      <c r="C8" s="25">
        <v>0.41</v>
      </c>
      <c r="D8" s="25">
        <v>0.18</v>
      </c>
      <c r="E8" s="25">
        <v>9.1999999999999998E-2</v>
      </c>
      <c r="F8" s="25">
        <v>1.29</v>
      </c>
    </row>
    <row r="9" spans="2:6" x14ac:dyDescent="0.25">
      <c r="B9" s="25" t="s">
        <v>197</v>
      </c>
      <c r="C9" s="25">
        <v>0.28599999999999998</v>
      </c>
      <c r="D9" s="25">
        <v>0.20899999999999999</v>
      </c>
      <c r="E9" s="25">
        <v>0.1232</v>
      </c>
      <c r="F9" s="25">
        <v>6.29</v>
      </c>
    </row>
    <row r="10" spans="2:6" x14ac:dyDescent="0.25">
      <c r="B10" s="25" t="s">
        <v>196</v>
      </c>
      <c r="C10" s="25">
        <v>0.19</v>
      </c>
      <c r="D10" s="25">
        <v>0.14000000000000001</v>
      </c>
      <c r="E10" s="25">
        <v>0.08</v>
      </c>
      <c r="F10" s="25">
        <v>18.95</v>
      </c>
    </row>
    <row r="11" spans="2:6" x14ac:dyDescent="0.25">
      <c r="B11" s="25" t="s">
        <v>377</v>
      </c>
      <c r="C11" s="25">
        <v>0.05</v>
      </c>
      <c r="D11" s="25">
        <v>0.04</v>
      </c>
      <c r="E11" s="25">
        <v>0.03</v>
      </c>
      <c r="F11" s="25"/>
    </row>
    <row r="13" spans="2:6" x14ac:dyDescent="0.25">
      <c r="B13" s="25" t="s">
        <v>531</v>
      </c>
      <c r="C13" s="25" t="s">
        <v>530</v>
      </c>
      <c r="D13" s="10"/>
    </row>
    <row r="14" spans="2:6" x14ac:dyDescent="0.25">
      <c r="B14" s="51" t="s">
        <v>529</v>
      </c>
      <c r="C14" s="25">
        <f>0.351909*365/12</f>
        <v>10.70389875</v>
      </c>
      <c r="D14" s="25"/>
      <c r="E14" s="26"/>
    </row>
    <row r="15" spans="2:6" x14ac:dyDescent="0.25">
      <c r="B15" s="51" t="s">
        <v>528</v>
      </c>
      <c r="C15" s="25">
        <f>((10.4581*8)+(9.7237*4))/12</f>
        <v>10.213299999999998</v>
      </c>
      <c r="D15" s="25"/>
      <c r="E15" s="26"/>
    </row>
    <row r="16" spans="2:6" x14ac:dyDescent="0.25">
      <c r="B16" s="51" t="s">
        <v>527</v>
      </c>
      <c r="C16" s="25">
        <v>11.332700000000001</v>
      </c>
      <c r="D16" s="25"/>
      <c r="E16" s="26"/>
    </row>
    <row r="17" spans="2:3" x14ac:dyDescent="0.25">
      <c r="B17" s="25" t="s">
        <v>526</v>
      </c>
      <c r="C17" s="25">
        <f>AVERAGE(C14:C16)</f>
        <v>10.74996625</v>
      </c>
    </row>
    <row r="18" spans="2:3" x14ac:dyDescent="0.25">
      <c r="B18" s="51" t="s">
        <v>99</v>
      </c>
      <c r="C18" s="25" t="s">
        <v>525</v>
      </c>
    </row>
    <row r="20" spans="2:3" x14ac:dyDescent="0.25">
      <c r="B20" s="25" t="s">
        <v>15</v>
      </c>
    </row>
    <row r="21" spans="2:3" x14ac:dyDescent="0.25">
      <c r="B21" s="25" t="s">
        <v>524</v>
      </c>
    </row>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B2:V32"/>
  <sheetViews>
    <sheetView workbookViewId="0">
      <pane xSplit="2" ySplit="2" topLeftCell="C3" activePane="bottomRight" state="frozen"/>
      <selection activeCell="J38" sqref="J38"/>
      <selection pane="topRight" activeCell="J38" sqref="J38"/>
      <selection pane="bottomLeft" activeCell="J38" sqref="J38"/>
      <selection pane="bottomRight" activeCell="J38" sqref="J38"/>
    </sheetView>
  </sheetViews>
  <sheetFormatPr defaultColWidth="8.85546875" defaultRowHeight="15" x14ac:dyDescent="0.25"/>
  <cols>
    <col min="2" max="2" width="61.140625" bestFit="1" customWidth="1"/>
    <col min="3" max="3" width="61.140625" customWidth="1"/>
    <col min="4" max="5" width="20.42578125" customWidth="1"/>
    <col min="6" max="6" width="19.85546875" customWidth="1"/>
    <col min="12" max="12" width="28.42578125" customWidth="1"/>
    <col min="16" max="16" width="25.85546875" customWidth="1"/>
    <col min="17" max="18" width="29.42578125" customWidth="1"/>
  </cols>
  <sheetData>
    <row r="2" spans="2:22" x14ac:dyDescent="0.25">
      <c r="C2" t="s">
        <v>829</v>
      </c>
      <c r="D2" t="s">
        <v>828</v>
      </c>
      <c r="E2" t="s">
        <v>827</v>
      </c>
      <c r="F2" t="s">
        <v>826</v>
      </c>
      <c r="G2" t="s">
        <v>825</v>
      </c>
      <c r="H2" t="s">
        <v>824</v>
      </c>
      <c r="I2" t="s">
        <v>823</v>
      </c>
      <c r="J2" t="s">
        <v>822</v>
      </c>
      <c r="K2" t="s">
        <v>821</v>
      </c>
      <c r="L2" t="s">
        <v>820</v>
      </c>
      <c r="M2" t="s">
        <v>819</v>
      </c>
      <c r="N2" t="s">
        <v>818</v>
      </c>
      <c r="O2" t="s">
        <v>817</v>
      </c>
      <c r="P2" t="s">
        <v>816</v>
      </c>
      <c r="Q2" t="s">
        <v>815</v>
      </c>
      <c r="R2" s="114" t="s">
        <v>814</v>
      </c>
      <c r="S2" t="s">
        <v>813</v>
      </c>
      <c r="T2" t="s">
        <v>812</v>
      </c>
      <c r="U2" t="s">
        <v>811</v>
      </c>
      <c r="V2" t="s">
        <v>810</v>
      </c>
    </row>
    <row r="3" spans="2:22" x14ac:dyDescent="0.25">
      <c r="B3" t="s">
        <v>809</v>
      </c>
      <c r="C3" s="114" t="s">
        <v>800</v>
      </c>
      <c r="D3" s="114" t="s">
        <v>800</v>
      </c>
      <c r="E3" t="s">
        <v>800</v>
      </c>
      <c r="F3" t="s">
        <v>808</v>
      </c>
      <c r="G3" t="s">
        <v>800</v>
      </c>
      <c r="H3" t="s">
        <v>799</v>
      </c>
      <c r="I3" t="s">
        <v>807</v>
      </c>
      <c r="J3" t="s">
        <v>806</v>
      </c>
      <c r="K3" t="s">
        <v>799</v>
      </c>
      <c r="L3" t="s">
        <v>799</v>
      </c>
      <c r="M3" t="s">
        <v>805</v>
      </c>
      <c r="N3" t="s">
        <v>804</v>
      </c>
      <c r="O3" t="s">
        <v>803</v>
      </c>
      <c r="P3" t="s">
        <v>802</v>
      </c>
      <c r="Q3" t="s">
        <v>799</v>
      </c>
      <c r="R3" s="114" t="s">
        <v>799</v>
      </c>
      <c r="S3" t="s">
        <v>801</v>
      </c>
      <c r="T3" t="s">
        <v>800</v>
      </c>
      <c r="U3" t="s">
        <v>799</v>
      </c>
      <c r="V3" t="s">
        <v>798</v>
      </c>
    </row>
    <row r="4" spans="2:22" x14ac:dyDescent="0.25">
      <c r="B4" t="s">
        <v>797</v>
      </c>
      <c r="C4" s="114" t="s">
        <v>314</v>
      </c>
      <c r="D4" s="114" t="s">
        <v>314</v>
      </c>
      <c r="E4" t="s">
        <v>314</v>
      </c>
      <c r="F4" t="s">
        <v>314</v>
      </c>
      <c r="G4" t="s">
        <v>314</v>
      </c>
      <c r="H4" t="s">
        <v>314</v>
      </c>
      <c r="I4" t="s">
        <v>314</v>
      </c>
      <c r="J4" t="s">
        <v>314</v>
      </c>
      <c r="K4" t="s">
        <v>314</v>
      </c>
      <c r="L4" t="s">
        <v>314</v>
      </c>
      <c r="M4" t="s">
        <v>314</v>
      </c>
      <c r="N4" t="s">
        <v>57</v>
      </c>
      <c r="O4" t="s">
        <v>796</v>
      </c>
      <c r="P4" t="s">
        <v>57</v>
      </c>
      <c r="Q4" t="s">
        <v>57</v>
      </c>
      <c r="R4" s="114" t="s">
        <v>57</v>
      </c>
      <c r="S4" t="s">
        <v>57</v>
      </c>
      <c r="T4" t="s">
        <v>57</v>
      </c>
      <c r="U4" t="s">
        <v>57</v>
      </c>
      <c r="V4" t="s">
        <v>57</v>
      </c>
    </row>
    <row r="5" spans="2:22" x14ac:dyDescent="0.25">
      <c r="B5" t="s">
        <v>795</v>
      </c>
      <c r="C5" s="114" t="s">
        <v>794</v>
      </c>
      <c r="D5" s="114">
        <f>7500 +3640*2</f>
        <v>14780</v>
      </c>
      <c r="E5" t="s">
        <v>794</v>
      </c>
      <c r="F5" s="121">
        <v>12600</v>
      </c>
      <c r="G5" s="121">
        <v>8000</v>
      </c>
      <c r="H5" t="s">
        <v>793</v>
      </c>
      <c r="I5" t="s">
        <v>792</v>
      </c>
      <c r="J5" t="s">
        <v>791</v>
      </c>
      <c r="K5" t="s">
        <v>790</v>
      </c>
      <c r="L5" t="s">
        <v>789</v>
      </c>
      <c r="M5" t="s">
        <v>788</v>
      </c>
      <c r="N5" s="121">
        <v>6990</v>
      </c>
      <c r="O5" t="s">
        <v>787</v>
      </c>
      <c r="P5" t="s">
        <v>786</v>
      </c>
      <c r="Q5" s="121">
        <v>9990</v>
      </c>
      <c r="R5" s="122">
        <v>17950</v>
      </c>
      <c r="S5" s="121">
        <v>12000</v>
      </c>
      <c r="T5" t="s">
        <v>785</v>
      </c>
      <c r="U5" t="s">
        <v>784</v>
      </c>
      <c r="V5" t="s">
        <v>783</v>
      </c>
    </row>
    <row r="6" spans="2:22" x14ac:dyDescent="0.25">
      <c r="B6" t="s">
        <v>782</v>
      </c>
      <c r="C6" s="120" t="s">
        <v>781</v>
      </c>
      <c r="D6" s="120">
        <v>12.8</v>
      </c>
      <c r="E6" s="120" t="s">
        <v>772</v>
      </c>
      <c r="F6" t="s">
        <v>749</v>
      </c>
      <c r="G6" t="s">
        <v>772</v>
      </c>
      <c r="H6" t="s">
        <v>780</v>
      </c>
      <c r="I6" t="s">
        <v>779</v>
      </c>
      <c r="J6" t="s">
        <v>778</v>
      </c>
      <c r="K6" t="s">
        <v>777</v>
      </c>
      <c r="L6" t="s">
        <v>776</v>
      </c>
      <c r="M6" t="s">
        <v>775</v>
      </c>
      <c r="N6" t="s">
        <v>774</v>
      </c>
      <c r="O6" t="s">
        <v>773</v>
      </c>
      <c r="P6" t="s">
        <v>772</v>
      </c>
      <c r="Q6" t="s">
        <v>771</v>
      </c>
      <c r="R6" s="114" t="s">
        <v>770</v>
      </c>
      <c r="S6" t="s">
        <v>769</v>
      </c>
      <c r="T6" t="s">
        <v>768</v>
      </c>
      <c r="U6" t="s">
        <v>747</v>
      </c>
      <c r="V6" t="s">
        <v>767</v>
      </c>
    </row>
    <row r="7" spans="2:22" x14ac:dyDescent="0.25">
      <c r="B7" t="s">
        <v>766</v>
      </c>
      <c r="C7" s="120"/>
      <c r="D7" s="120">
        <v>0.8</v>
      </c>
      <c r="E7" s="120"/>
      <c r="R7" s="114"/>
    </row>
    <row r="8" spans="2:22" x14ac:dyDescent="0.25">
      <c r="B8" t="s">
        <v>765</v>
      </c>
      <c r="C8" s="114" t="s">
        <v>764</v>
      </c>
      <c r="D8" s="114">
        <f>D6*D7</f>
        <v>10.240000000000002</v>
      </c>
      <c r="E8" t="s">
        <v>763</v>
      </c>
      <c r="F8" t="s">
        <v>749</v>
      </c>
      <c r="G8" t="s">
        <v>762</v>
      </c>
      <c r="H8" t="s">
        <v>761</v>
      </c>
      <c r="I8" t="s">
        <v>760</v>
      </c>
      <c r="J8" t="s">
        <v>759</v>
      </c>
      <c r="K8" t="s">
        <v>758</v>
      </c>
      <c r="L8" t="s">
        <v>757</v>
      </c>
      <c r="M8" t="s">
        <v>756</v>
      </c>
      <c r="N8" t="s">
        <v>755</v>
      </c>
      <c r="O8" t="s">
        <v>754</v>
      </c>
      <c r="P8" t="s">
        <v>753</v>
      </c>
      <c r="Q8" t="s">
        <v>752</v>
      </c>
      <c r="R8" s="114" t="s">
        <v>751</v>
      </c>
      <c r="S8" t="s">
        <v>750</v>
      </c>
      <c r="T8" t="s">
        <v>749</v>
      </c>
      <c r="U8" t="s">
        <v>748</v>
      </c>
      <c r="V8" t="s">
        <v>747</v>
      </c>
    </row>
    <row r="9" spans="2:22" x14ac:dyDescent="0.25">
      <c r="B9" t="s">
        <v>746</v>
      </c>
      <c r="C9" s="114" t="s">
        <v>745</v>
      </c>
      <c r="D9" s="114" t="s">
        <v>745</v>
      </c>
      <c r="E9" t="s">
        <v>745</v>
      </c>
      <c r="F9" t="s">
        <v>744</v>
      </c>
      <c r="G9" t="s">
        <v>743</v>
      </c>
      <c r="H9" t="s">
        <v>742</v>
      </c>
      <c r="I9" t="s">
        <v>741</v>
      </c>
      <c r="J9" t="s">
        <v>740</v>
      </c>
      <c r="K9" t="s">
        <v>739</v>
      </c>
      <c r="L9" t="s">
        <v>738</v>
      </c>
      <c r="M9" t="s">
        <v>737</v>
      </c>
      <c r="N9" t="s">
        <v>736</v>
      </c>
      <c r="O9" t="s">
        <v>735</v>
      </c>
      <c r="P9" t="s">
        <v>734</v>
      </c>
      <c r="Q9" t="s">
        <v>733</v>
      </c>
      <c r="R9" s="114" t="s">
        <v>733</v>
      </c>
      <c r="S9" t="s">
        <v>732</v>
      </c>
      <c r="T9" t="s">
        <v>731</v>
      </c>
      <c r="U9" t="s">
        <v>730</v>
      </c>
      <c r="V9" t="s">
        <v>729</v>
      </c>
    </row>
    <row r="10" spans="2:22" x14ac:dyDescent="0.25">
      <c r="B10" t="s">
        <v>728</v>
      </c>
      <c r="C10" s="114" t="s">
        <v>727</v>
      </c>
      <c r="D10" s="114" t="s">
        <v>727</v>
      </c>
      <c r="E10" t="s">
        <v>727</v>
      </c>
      <c r="F10" t="s">
        <v>726</v>
      </c>
      <c r="G10" t="s">
        <v>725</v>
      </c>
      <c r="H10" t="s">
        <v>724</v>
      </c>
      <c r="I10" t="s">
        <v>723</v>
      </c>
      <c r="J10" t="s">
        <v>722</v>
      </c>
      <c r="K10" t="s">
        <v>721</v>
      </c>
      <c r="L10" t="s">
        <v>720</v>
      </c>
      <c r="M10" t="s">
        <v>719</v>
      </c>
      <c r="N10" t="s">
        <v>718</v>
      </c>
      <c r="O10" t="s">
        <v>717</v>
      </c>
      <c r="P10" t="s">
        <v>716</v>
      </c>
      <c r="Q10" t="s">
        <v>715</v>
      </c>
      <c r="R10" s="114" t="s">
        <v>715</v>
      </c>
      <c r="S10" t="s">
        <v>714</v>
      </c>
      <c r="T10" t="s">
        <v>713</v>
      </c>
      <c r="U10" t="s">
        <v>712</v>
      </c>
      <c r="V10" t="s">
        <v>711</v>
      </c>
    </row>
    <row r="11" spans="2:22" x14ac:dyDescent="0.25">
      <c r="B11" t="s">
        <v>710</v>
      </c>
      <c r="C11" s="114" t="s">
        <v>709</v>
      </c>
      <c r="D11" s="114" t="s">
        <v>709</v>
      </c>
      <c r="E11" t="s">
        <v>709</v>
      </c>
      <c r="F11" t="s">
        <v>708</v>
      </c>
      <c r="G11" t="s">
        <v>707</v>
      </c>
      <c r="H11" t="s">
        <v>706</v>
      </c>
      <c r="I11" t="s">
        <v>705</v>
      </c>
      <c r="J11" t="s">
        <v>704</v>
      </c>
      <c r="K11" t="s">
        <v>703</v>
      </c>
      <c r="L11" t="s">
        <v>702</v>
      </c>
      <c r="M11" t="s">
        <v>701</v>
      </c>
      <c r="N11" t="s">
        <v>700</v>
      </c>
      <c r="O11" t="s">
        <v>699</v>
      </c>
      <c r="P11" t="s">
        <v>698</v>
      </c>
      <c r="Q11" t="s">
        <v>697</v>
      </c>
      <c r="R11" s="114" t="s">
        <v>697</v>
      </c>
      <c r="S11" t="s">
        <v>696</v>
      </c>
      <c r="T11" t="s">
        <v>695</v>
      </c>
      <c r="U11" t="s">
        <v>694</v>
      </c>
      <c r="V11" t="s">
        <v>693</v>
      </c>
    </row>
    <row r="12" spans="2:22" x14ac:dyDescent="0.25">
      <c r="B12" t="s">
        <v>692</v>
      </c>
      <c r="C12" s="114" t="s">
        <v>691</v>
      </c>
      <c r="D12" s="114" t="s">
        <v>691</v>
      </c>
      <c r="E12" t="s">
        <v>691</v>
      </c>
      <c r="F12" t="s">
        <v>690</v>
      </c>
      <c r="G12" t="s">
        <v>689</v>
      </c>
      <c r="H12" t="s">
        <v>688</v>
      </c>
      <c r="I12" t="s">
        <v>687</v>
      </c>
      <c r="J12" t="s">
        <v>686</v>
      </c>
      <c r="K12" t="s">
        <v>685</v>
      </c>
      <c r="L12" t="s">
        <v>684</v>
      </c>
      <c r="M12" t="s">
        <v>683</v>
      </c>
      <c r="N12" t="s">
        <v>682</v>
      </c>
      <c r="O12" t="s">
        <v>681</v>
      </c>
      <c r="P12" t="s">
        <v>677</v>
      </c>
      <c r="Q12" t="s">
        <v>680</v>
      </c>
      <c r="R12" s="114" t="s">
        <v>680</v>
      </c>
      <c r="S12" t="s">
        <v>679</v>
      </c>
      <c r="T12" t="s">
        <v>678</v>
      </c>
      <c r="U12" t="s">
        <v>677</v>
      </c>
      <c r="V12" t="s">
        <v>676</v>
      </c>
    </row>
    <row r="13" spans="2:22" x14ac:dyDescent="0.25">
      <c r="B13" t="s">
        <v>675</v>
      </c>
      <c r="C13" s="114" t="s">
        <v>674</v>
      </c>
      <c r="D13" s="114" t="s">
        <v>674</v>
      </c>
      <c r="E13" t="s">
        <v>674</v>
      </c>
      <c r="F13" t="s">
        <v>673</v>
      </c>
      <c r="G13" t="s">
        <v>672</v>
      </c>
      <c r="H13" t="s">
        <v>671</v>
      </c>
      <c r="I13" t="s">
        <v>670</v>
      </c>
      <c r="J13" t="s">
        <v>669</v>
      </c>
      <c r="K13" t="s">
        <v>668</v>
      </c>
      <c r="L13" t="s">
        <v>667</v>
      </c>
      <c r="M13" t="s">
        <v>666</v>
      </c>
      <c r="N13" t="s">
        <v>665</v>
      </c>
      <c r="O13" t="s">
        <v>664</v>
      </c>
      <c r="P13" t="s">
        <v>663</v>
      </c>
      <c r="Q13" t="s">
        <v>662</v>
      </c>
      <c r="R13" s="114" t="s">
        <v>662</v>
      </c>
      <c r="S13" t="s">
        <v>661</v>
      </c>
      <c r="T13" t="s">
        <v>660</v>
      </c>
      <c r="U13" t="s">
        <v>659</v>
      </c>
      <c r="V13" t="s">
        <v>658</v>
      </c>
    </row>
    <row r="14" spans="2:22" x14ac:dyDescent="0.25">
      <c r="B14" t="s">
        <v>657</v>
      </c>
      <c r="C14" s="114" t="s">
        <v>656</v>
      </c>
      <c r="D14" s="114" t="s">
        <v>656</v>
      </c>
      <c r="E14" t="s">
        <v>656</v>
      </c>
      <c r="F14" t="s">
        <v>655</v>
      </c>
      <c r="G14" t="s">
        <v>654</v>
      </c>
      <c r="H14" t="s">
        <v>653</v>
      </c>
      <c r="I14" t="s">
        <v>652</v>
      </c>
      <c r="J14" t="s">
        <v>651</v>
      </c>
      <c r="K14" t="s">
        <v>650</v>
      </c>
      <c r="L14" t="s">
        <v>649</v>
      </c>
      <c r="M14" t="s">
        <v>648</v>
      </c>
      <c r="N14" t="s">
        <v>647</v>
      </c>
      <c r="O14" t="s">
        <v>646</v>
      </c>
      <c r="P14" t="s">
        <v>645</v>
      </c>
      <c r="Q14" t="s">
        <v>644</v>
      </c>
      <c r="R14" s="114" t="s">
        <v>644</v>
      </c>
      <c r="S14" t="s">
        <v>643</v>
      </c>
      <c r="T14" t="s">
        <v>642</v>
      </c>
      <c r="U14" t="s">
        <v>641</v>
      </c>
      <c r="V14" t="s">
        <v>640</v>
      </c>
    </row>
    <row r="15" spans="2:22" x14ac:dyDescent="0.25">
      <c r="B15" t="s">
        <v>32</v>
      </c>
      <c r="C15" s="118">
        <v>0.95</v>
      </c>
      <c r="D15" s="118">
        <v>0.95</v>
      </c>
      <c r="E15" s="117">
        <v>0.95</v>
      </c>
      <c r="F15" s="117">
        <v>0.8</v>
      </c>
      <c r="G15" s="119">
        <v>0.92500000000000004</v>
      </c>
      <c r="H15" s="117">
        <v>0.98</v>
      </c>
      <c r="I15" s="117">
        <v>0.97</v>
      </c>
      <c r="J15" t="s">
        <v>639</v>
      </c>
      <c r="K15" t="s">
        <v>639</v>
      </c>
      <c r="L15" t="s">
        <v>638</v>
      </c>
      <c r="M15" s="117">
        <v>0.9</v>
      </c>
      <c r="N15" t="s">
        <v>637</v>
      </c>
      <c r="O15" s="117">
        <v>0.96</v>
      </c>
      <c r="P15" s="117">
        <v>0.97</v>
      </c>
      <c r="Q15" s="117">
        <v>0.97</v>
      </c>
      <c r="R15" s="118">
        <v>0.97</v>
      </c>
      <c r="S15" s="117">
        <v>0.95</v>
      </c>
      <c r="T15" s="117">
        <v>0.96</v>
      </c>
      <c r="U15" s="117">
        <v>0.95</v>
      </c>
      <c r="V15" s="117">
        <v>0.98</v>
      </c>
    </row>
    <row r="16" spans="2:22" x14ac:dyDescent="0.25">
      <c r="B16" t="s">
        <v>636</v>
      </c>
      <c r="C16" s="114" t="s">
        <v>57</v>
      </c>
      <c r="D16" s="114" t="s">
        <v>57</v>
      </c>
      <c r="E16" t="s">
        <v>57</v>
      </c>
      <c r="F16" t="s">
        <v>57</v>
      </c>
      <c r="G16" t="s">
        <v>314</v>
      </c>
      <c r="H16" t="s">
        <v>57</v>
      </c>
      <c r="I16" t="s">
        <v>635</v>
      </c>
      <c r="J16" t="s">
        <v>634</v>
      </c>
      <c r="K16" t="s">
        <v>57</v>
      </c>
      <c r="L16" t="s">
        <v>633</v>
      </c>
      <c r="M16" t="s">
        <v>57</v>
      </c>
      <c r="N16" t="s">
        <v>632</v>
      </c>
      <c r="O16" t="s">
        <v>314</v>
      </c>
      <c r="P16" t="s">
        <v>314</v>
      </c>
      <c r="Q16" t="s">
        <v>632</v>
      </c>
      <c r="R16" s="114" t="s">
        <v>632</v>
      </c>
      <c r="S16" t="s">
        <v>57</v>
      </c>
      <c r="T16" t="s">
        <v>314</v>
      </c>
      <c r="U16" t="s">
        <v>57</v>
      </c>
      <c r="V16" t="s">
        <v>631</v>
      </c>
    </row>
    <row r="17" spans="2:22" x14ac:dyDescent="0.25">
      <c r="B17" t="s">
        <v>630</v>
      </c>
      <c r="C17" s="114" t="s">
        <v>629</v>
      </c>
      <c r="D17" s="114" t="s">
        <v>629</v>
      </c>
      <c r="E17" t="s">
        <v>629</v>
      </c>
      <c r="F17" t="s">
        <v>628</v>
      </c>
      <c r="G17" t="s">
        <v>627</v>
      </c>
      <c r="H17" t="s">
        <v>626</v>
      </c>
      <c r="I17" t="s">
        <v>314</v>
      </c>
      <c r="J17" t="s">
        <v>314</v>
      </c>
      <c r="K17" t="s">
        <v>314</v>
      </c>
      <c r="L17" t="s">
        <v>625</v>
      </c>
      <c r="M17" t="s">
        <v>314</v>
      </c>
      <c r="N17" t="s">
        <v>625</v>
      </c>
      <c r="O17" t="s">
        <v>57</v>
      </c>
      <c r="P17" t="s">
        <v>57</v>
      </c>
      <c r="Q17" t="s">
        <v>625</v>
      </c>
      <c r="R17" s="114" t="s">
        <v>625</v>
      </c>
      <c r="S17" t="s">
        <v>314</v>
      </c>
      <c r="T17" t="s">
        <v>624</v>
      </c>
      <c r="U17" t="s">
        <v>623</v>
      </c>
      <c r="V17" t="s">
        <v>622</v>
      </c>
    </row>
    <row r="18" spans="2:22" x14ac:dyDescent="0.25">
      <c r="B18" t="s">
        <v>621</v>
      </c>
      <c r="C18" s="114" t="s">
        <v>57</v>
      </c>
      <c r="D18" s="114" t="s">
        <v>57</v>
      </c>
      <c r="E18" t="s">
        <v>57</v>
      </c>
      <c r="F18" t="s">
        <v>57</v>
      </c>
      <c r="G18" t="s">
        <v>57</v>
      </c>
      <c r="H18" t="s">
        <v>57</v>
      </c>
      <c r="I18" t="s">
        <v>57</v>
      </c>
      <c r="J18" t="s">
        <v>57</v>
      </c>
      <c r="K18" t="s">
        <v>620</v>
      </c>
      <c r="L18" t="s">
        <v>619</v>
      </c>
      <c r="M18" t="s">
        <v>57</v>
      </c>
      <c r="N18" t="s">
        <v>616</v>
      </c>
      <c r="O18" t="s">
        <v>618</v>
      </c>
      <c r="P18" t="s">
        <v>617</v>
      </c>
      <c r="Q18" t="s">
        <v>616</v>
      </c>
      <c r="R18" s="114" t="s">
        <v>616</v>
      </c>
      <c r="S18" t="s">
        <v>57</v>
      </c>
      <c r="T18" t="s">
        <v>57</v>
      </c>
      <c r="U18" t="s">
        <v>615</v>
      </c>
      <c r="V18" t="s">
        <v>57</v>
      </c>
    </row>
    <row r="19" spans="2:22" x14ac:dyDescent="0.25">
      <c r="B19" t="s">
        <v>614</v>
      </c>
      <c r="C19" s="114" t="s">
        <v>613</v>
      </c>
      <c r="D19" s="114" t="s">
        <v>613</v>
      </c>
      <c r="E19" t="s">
        <v>613</v>
      </c>
      <c r="F19" t="s">
        <v>612</v>
      </c>
      <c r="G19" t="s">
        <v>611</v>
      </c>
      <c r="H19" t="s">
        <v>603</v>
      </c>
      <c r="I19" t="s">
        <v>610</v>
      </c>
      <c r="J19" t="s">
        <v>603</v>
      </c>
      <c r="K19" t="s">
        <v>609</v>
      </c>
      <c r="L19" t="s">
        <v>608</v>
      </c>
      <c r="M19" t="s">
        <v>607</v>
      </c>
      <c r="N19" t="s">
        <v>606</v>
      </c>
      <c r="O19" t="s">
        <v>603</v>
      </c>
      <c r="P19" t="s">
        <v>605</v>
      </c>
      <c r="Q19" t="s">
        <v>604</v>
      </c>
      <c r="R19" s="114" t="s">
        <v>604</v>
      </c>
      <c r="S19" t="s">
        <v>604</v>
      </c>
      <c r="T19" t="s">
        <v>603</v>
      </c>
      <c r="U19" t="s">
        <v>602</v>
      </c>
      <c r="V19" t="s">
        <v>601</v>
      </c>
    </row>
    <row r="20" spans="2:22" x14ac:dyDescent="0.25">
      <c r="B20" t="s">
        <v>600</v>
      </c>
      <c r="C20" s="114" t="s">
        <v>57</v>
      </c>
      <c r="D20" s="114" t="s">
        <v>57</v>
      </c>
      <c r="E20" t="s">
        <v>57</v>
      </c>
      <c r="F20" t="s">
        <v>57</v>
      </c>
      <c r="G20" t="s">
        <v>57</v>
      </c>
      <c r="H20" t="s">
        <v>57</v>
      </c>
      <c r="I20" t="s">
        <v>314</v>
      </c>
      <c r="J20" t="s">
        <v>314</v>
      </c>
      <c r="K20" t="s">
        <v>57</v>
      </c>
      <c r="L20" t="s">
        <v>57</v>
      </c>
      <c r="M20" t="s">
        <v>314</v>
      </c>
      <c r="N20" t="s">
        <v>314</v>
      </c>
      <c r="O20" t="s">
        <v>314</v>
      </c>
      <c r="P20" t="s">
        <v>314</v>
      </c>
      <c r="Q20" t="s">
        <v>314</v>
      </c>
      <c r="R20" s="114" t="s">
        <v>314</v>
      </c>
      <c r="S20" t="s">
        <v>599</v>
      </c>
      <c r="T20" t="s">
        <v>57</v>
      </c>
      <c r="U20" t="s">
        <v>314</v>
      </c>
      <c r="V20" t="s">
        <v>314</v>
      </c>
    </row>
    <row r="21" spans="2:22" x14ac:dyDescent="0.25">
      <c r="B21" t="s">
        <v>598</v>
      </c>
      <c r="C21" s="114">
        <f>2625*9.6*0.8+1500*9.6*0.6</f>
        <v>28800</v>
      </c>
      <c r="D21" s="114">
        <v>38400</v>
      </c>
      <c r="E21" t="s">
        <v>597</v>
      </c>
      <c r="F21" t="s">
        <v>596</v>
      </c>
      <c r="G21" t="s">
        <v>595</v>
      </c>
      <c r="H21" t="s">
        <v>594</v>
      </c>
      <c r="I21" t="s">
        <v>593</v>
      </c>
      <c r="J21" t="s">
        <v>592</v>
      </c>
      <c r="K21" t="s">
        <v>591</v>
      </c>
      <c r="L21" t="s">
        <v>590</v>
      </c>
      <c r="M21" t="s">
        <v>589</v>
      </c>
      <c r="N21" t="s">
        <v>588</v>
      </c>
      <c r="O21" t="s">
        <v>587</v>
      </c>
      <c r="P21" t="s">
        <v>586</v>
      </c>
      <c r="Q21" t="s">
        <v>585</v>
      </c>
      <c r="R21" s="114" t="s">
        <v>584</v>
      </c>
      <c r="S21" t="s">
        <v>583</v>
      </c>
      <c r="T21" t="s">
        <v>582</v>
      </c>
      <c r="U21" t="s">
        <v>581</v>
      </c>
      <c r="V21" t="s">
        <v>580</v>
      </c>
    </row>
    <row r="22" spans="2:22" x14ac:dyDescent="0.25">
      <c r="B22" t="s">
        <v>579</v>
      </c>
      <c r="C22" s="114" t="s">
        <v>578</v>
      </c>
      <c r="D22" s="114">
        <f>D5/D21</f>
        <v>0.38489583333333333</v>
      </c>
      <c r="E22" t="s">
        <v>577</v>
      </c>
      <c r="F22" t="s">
        <v>576</v>
      </c>
      <c r="G22" t="s">
        <v>575</v>
      </c>
      <c r="H22" t="s">
        <v>574</v>
      </c>
      <c r="I22" t="s">
        <v>573</v>
      </c>
      <c r="J22" t="s">
        <v>572</v>
      </c>
      <c r="K22" t="s">
        <v>571</v>
      </c>
      <c r="L22" t="s">
        <v>570</v>
      </c>
      <c r="M22" t="s">
        <v>569</v>
      </c>
      <c r="N22" t="s">
        <v>568</v>
      </c>
      <c r="O22" t="s">
        <v>567</v>
      </c>
      <c r="P22" t="s">
        <v>566</v>
      </c>
      <c r="Q22" t="s">
        <v>565</v>
      </c>
      <c r="R22" s="113" t="s">
        <v>564</v>
      </c>
      <c r="S22" t="s">
        <v>563</v>
      </c>
      <c r="T22" t="s">
        <v>562</v>
      </c>
      <c r="U22" t="s">
        <v>561</v>
      </c>
      <c r="V22" t="s">
        <v>560</v>
      </c>
    </row>
    <row r="23" spans="2:22" x14ac:dyDescent="0.25">
      <c r="C23" s="114"/>
      <c r="D23" s="114"/>
      <c r="R23" s="114"/>
    </row>
    <row r="24" spans="2:22" x14ac:dyDescent="0.25">
      <c r="C24" s="114"/>
      <c r="D24" s="114"/>
      <c r="F24" t="s">
        <v>559</v>
      </c>
      <c r="R24" s="114"/>
      <c r="U24" t="s">
        <v>558</v>
      </c>
    </row>
    <row r="25" spans="2:22" x14ac:dyDescent="0.25">
      <c r="C25" s="114"/>
      <c r="D25" s="114"/>
      <c r="R25" s="114"/>
    </row>
    <row r="26" spans="2:22" x14ac:dyDescent="0.25">
      <c r="C26" s="114"/>
      <c r="D26" s="114"/>
      <c r="R26" s="114"/>
      <c r="U26" t="s">
        <v>557</v>
      </c>
    </row>
    <row r="27" spans="2:22" x14ac:dyDescent="0.25">
      <c r="B27" t="s">
        <v>556</v>
      </c>
      <c r="C27" s="116">
        <v>25788</v>
      </c>
      <c r="D27" s="116">
        <v>34384</v>
      </c>
      <c r="E27" s="115">
        <v>17192</v>
      </c>
      <c r="F27" s="115">
        <v>30000</v>
      </c>
      <c r="G27" s="115">
        <v>16000</v>
      </c>
      <c r="H27" s="115">
        <v>10037</v>
      </c>
      <c r="I27" s="115">
        <v>13797</v>
      </c>
      <c r="J27" s="115">
        <v>11315</v>
      </c>
      <c r="K27" t="s">
        <v>555</v>
      </c>
      <c r="L27" s="115">
        <v>3650</v>
      </c>
      <c r="M27" t="s">
        <v>554</v>
      </c>
      <c r="N27" s="115">
        <v>4336</v>
      </c>
      <c r="O27" s="115">
        <v>4161</v>
      </c>
      <c r="P27" t="s">
        <v>553</v>
      </c>
      <c r="Q27" s="115">
        <v>6935</v>
      </c>
      <c r="R27" s="116">
        <v>20987</v>
      </c>
      <c r="S27" s="115">
        <v>11863</v>
      </c>
      <c r="T27" s="115">
        <v>34675</v>
      </c>
      <c r="U27" t="s">
        <v>552</v>
      </c>
      <c r="V27" s="115">
        <v>10950</v>
      </c>
    </row>
    <row r="28" spans="2:22" x14ac:dyDescent="0.25">
      <c r="B28" t="s">
        <v>551</v>
      </c>
      <c r="C28" s="113">
        <v>0.28999999999999998</v>
      </c>
      <c r="D28" s="114">
        <f>D5/D27</f>
        <v>0.42985109353187528</v>
      </c>
      <c r="E28" t="s">
        <v>550</v>
      </c>
      <c r="F28" t="s">
        <v>549</v>
      </c>
      <c r="G28" t="s">
        <v>548</v>
      </c>
      <c r="H28" t="s">
        <v>547</v>
      </c>
      <c r="I28" t="s">
        <v>546</v>
      </c>
      <c r="J28" t="s">
        <v>545</v>
      </c>
      <c r="K28" t="s">
        <v>544</v>
      </c>
      <c r="L28" t="s">
        <v>543</v>
      </c>
      <c r="M28" t="s">
        <v>542</v>
      </c>
      <c r="N28" s="112">
        <v>1.61</v>
      </c>
      <c r="O28" s="112">
        <v>0.48</v>
      </c>
      <c r="P28" t="s">
        <v>541</v>
      </c>
      <c r="Q28" t="s">
        <v>540</v>
      </c>
      <c r="R28" s="113">
        <v>0.86</v>
      </c>
      <c r="S28" s="112">
        <v>1.01</v>
      </c>
      <c r="T28" s="112">
        <v>0.43</v>
      </c>
      <c r="U28" t="s">
        <v>539</v>
      </c>
      <c r="V28" s="112">
        <v>0.76</v>
      </c>
    </row>
    <row r="30" spans="2:22" x14ac:dyDescent="0.25">
      <c r="K30" t="s">
        <v>538</v>
      </c>
      <c r="P30" t="s">
        <v>537</v>
      </c>
      <c r="U30" t="s">
        <v>536</v>
      </c>
    </row>
    <row r="32" spans="2:22" x14ac:dyDescent="0.25">
      <c r="C32" t="s">
        <v>535</v>
      </c>
      <c r="K32" t="s">
        <v>534</v>
      </c>
    </row>
  </sheetData>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N35"/>
  <sheetViews>
    <sheetView topLeftCell="A10" zoomScaleNormal="100" workbookViewId="0">
      <selection activeCell="J38" sqref="J38"/>
    </sheetView>
  </sheetViews>
  <sheetFormatPr defaultRowHeight="15" outlineLevelCol="1" x14ac:dyDescent="0.25"/>
  <cols>
    <col min="1" max="1" width="13.42578125" customWidth="1"/>
    <col min="2" max="2" width="10.42578125" customWidth="1"/>
    <col min="3" max="3" width="13.85546875" hidden="1" customWidth="1" outlineLevel="1"/>
    <col min="4" max="4" width="14.85546875" hidden="1" customWidth="1" outlineLevel="1"/>
    <col min="5" max="5" width="16.42578125" hidden="1" customWidth="1" outlineLevel="1"/>
    <col min="6" max="6" width="20.85546875" customWidth="1" collapsed="1"/>
    <col min="7" max="7" width="11.85546875" hidden="1" customWidth="1" outlineLevel="1"/>
    <col min="8" max="8" width="15.42578125" hidden="1" customWidth="1" outlineLevel="1"/>
    <col min="9" max="9" width="15.140625" hidden="1" customWidth="1" outlineLevel="1"/>
    <col min="10" max="10" width="13.85546875" customWidth="1" collapsed="1"/>
    <col min="11" max="11" width="11.85546875" hidden="1" customWidth="1" outlineLevel="1"/>
    <col min="12" max="12" width="15.42578125" hidden="1" customWidth="1" outlineLevel="1"/>
    <col min="13" max="13" width="15.140625" hidden="1" customWidth="1" outlineLevel="1"/>
    <col min="14" max="14" width="17" customWidth="1" collapsed="1"/>
  </cols>
  <sheetData>
    <row r="1" spans="1:14" ht="15.75" thickBot="1" x14ac:dyDescent="0.3"/>
    <row r="2" spans="1:14" ht="16.5" thickTop="1" thickBot="1" x14ac:dyDescent="0.3">
      <c r="A2" s="87" t="s">
        <v>837</v>
      </c>
      <c r="B2" s="127">
        <v>3</v>
      </c>
    </row>
    <row r="3" spans="1:14" ht="15.75" thickTop="1" x14ac:dyDescent="0.25"/>
    <row r="4" spans="1:14" x14ac:dyDescent="0.25">
      <c r="C4" s="258" t="s">
        <v>836</v>
      </c>
      <c r="D4" s="258"/>
      <c r="E4" s="258"/>
      <c r="F4" s="258"/>
      <c r="G4" s="258" t="s">
        <v>835</v>
      </c>
      <c r="H4" s="258"/>
      <c r="I4" s="258"/>
      <c r="J4" s="258"/>
      <c r="K4" s="258" t="s">
        <v>834</v>
      </c>
      <c r="L4" s="258"/>
      <c r="M4" s="258"/>
      <c r="N4" s="258"/>
    </row>
    <row r="5" spans="1:14" x14ac:dyDescent="0.25">
      <c r="B5" s="25"/>
      <c r="C5" s="126">
        <f>AVERAGE('Tariff Model '!$C$8:$E$8)</f>
        <v>0.2273333333333333</v>
      </c>
      <c r="D5" s="126">
        <f>'Tariff Model '!$F$8</f>
        <v>1.29</v>
      </c>
      <c r="E5" s="126">
        <f>0</f>
        <v>0</v>
      </c>
      <c r="F5" s="126"/>
      <c r="G5" s="126">
        <f>AVERAGE('Tariff Model '!$C$9:$E$9)</f>
        <v>0.20606666666666665</v>
      </c>
      <c r="H5" s="126">
        <f>'Tariff Model '!$F$9</f>
        <v>6.29</v>
      </c>
      <c r="I5" s="126">
        <f>AVERAGE('Tariff Model '!$C$14:$C$16)</f>
        <v>10.74996625</v>
      </c>
      <c r="J5" s="126"/>
      <c r="K5" s="126">
        <f>AVERAGE('Tariff Model '!$C$10:$E$10)</f>
        <v>0.13666666666666669</v>
      </c>
      <c r="L5" s="126">
        <f>'Tariff Model '!$F$10</f>
        <v>18.95</v>
      </c>
      <c r="M5" s="126">
        <f>AVERAGE('Tariff Model '!$C$14:$C$16)</f>
        <v>10.74996625</v>
      </c>
      <c r="N5" s="126"/>
    </row>
    <row r="6" spans="1:14" x14ac:dyDescent="0.25">
      <c r="B6" s="25" t="s">
        <v>833</v>
      </c>
      <c r="C6" s="25" t="s">
        <v>832</v>
      </c>
      <c r="D6" s="25" t="s">
        <v>831</v>
      </c>
      <c r="E6" s="25" t="s">
        <v>119</v>
      </c>
      <c r="F6" s="25" t="s">
        <v>830</v>
      </c>
      <c r="G6" s="25" t="s">
        <v>832</v>
      </c>
      <c r="H6" s="25" t="s">
        <v>831</v>
      </c>
      <c r="I6" s="25" t="s">
        <v>119</v>
      </c>
      <c r="J6" s="25" t="s">
        <v>830</v>
      </c>
      <c r="K6" s="25" t="s">
        <v>832</v>
      </c>
      <c r="L6" s="25" t="s">
        <v>831</v>
      </c>
      <c r="M6" s="25" t="s">
        <v>119</v>
      </c>
      <c r="N6" s="25" t="s">
        <v>830</v>
      </c>
    </row>
    <row r="7" spans="1:14" x14ac:dyDescent="0.25">
      <c r="B7" s="25">
        <v>10000</v>
      </c>
      <c r="C7" s="123">
        <f t="shared" ref="C7:C30" si="0">B7*$C$5</f>
        <v>2273.333333333333</v>
      </c>
      <c r="D7" s="123">
        <f t="shared" ref="D7:D30" si="1">365*$D$5</f>
        <v>470.85</v>
      </c>
      <c r="E7" s="123">
        <f t="shared" ref="E7:E30" si="2">(B7*$B$2/(24*365))*$E$5</f>
        <v>0</v>
      </c>
      <c r="F7" s="123">
        <f t="shared" ref="F7:F22" si="3">C7+D7+E7</f>
        <v>2744.1833333333329</v>
      </c>
      <c r="G7" s="123">
        <f t="shared" ref="G7:G30" si="4">$B7*$G$5</f>
        <v>2060.6666666666665</v>
      </c>
      <c r="H7" s="123">
        <f t="shared" ref="H7:H30" si="5">365*$H$5</f>
        <v>2295.85</v>
      </c>
      <c r="I7" s="123">
        <f t="shared" ref="I7:I30" si="6">(B7*$B$2/(24*365))*$I$5</f>
        <v>36.814952910958901</v>
      </c>
      <c r="J7" s="123">
        <f t="shared" ref="J7:J30" si="7">G7+H7+I7</f>
        <v>4393.3316195776251</v>
      </c>
      <c r="K7" s="123">
        <f t="shared" ref="K7:K30" si="8">$B7*$K$5</f>
        <v>1366.666666666667</v>
      </c>
      <c r="L7" s="123">
        <f t="shared" ref="L7:L30" si="9">365*$L$5</f>
        <v>6916.75</v>
      </c>
      <c r="M7" s="123">
        <f t="shared" ref="M7:M30" si="10">(B7*$B$2/(24*365))*$M$5</f>
        <v>36.814952910958901</v>
      </c>
      <c r="N7" s="123"/>
    </row>
    <row r="8" spans="1:14" x14ac:dyDescent="0.25">
      <c r="B8" s="25">
        <f t="shared" ref="B8:B30" si="11">B7+10000</f>
        <v>20000</v>
      </c>
      <c r="C8" s="123">
        <f t="shared" si="0"/>
        <v>4546.6666666666661</v>
      </c>
      <c r="D8" s="123">
        <f t="shared" si="1"/>
        <v>470.85</v>
      </c>
      <c r="E8" s="123">
        <f t="shared" si="2"/>
        <v>0</v>
      </c>
      <c r="F8" s="123">
        <f t="shared" si="3"/>
        <v>5017.5166666666664</v>
      </c>
      <c r="G8" s="123">
        <f t="shared" si="4"/>
        <v>4121.333333333333</v>
      </c>
      <c r="H8" s="123">
        <f t="shared" si="5"/>
        <v>2295.85</v>
      </c>
      <c r="I8" s="123">
        <f t="shared" si="6"/>
        <v>73.629905821917802</v>
      </c>
      <c r="J8" s="123">
        <f t="shared" si="7"/>
        <v>6490.8132391552499</v>
      </c>
      <c r="K8" s="123">
        <f t="shared" si="8"/>
        <v>2733.3333333333339</v>
      </c>
      <c r="L8" s="123">
        <f t="shared" si="9"/>
        <v>6916.75</v>
      </c>
      <c r="M8" s="123">
        <f t="shared" si="10"/>
        <v>73.629905821917802</v>
      </c>
      <c r="N8" s="123"/>
    </row>
    <row r="9" spans="1:14" x14ac:dyDescent="0.25">
      <c r="B9" s="25">
        <f t="shared" si="11"/>
        <v>30000</v>
      </c>
      <c r="C9" s="123">
        <f t="shared" si="0"/>
        <v>6819.9999999999991</v>
      </c>
      <c r="D9" s="123">
        <f t="shared" si="1"/>
        <v>470.85</v>
      </c>
      <c r="E9" s="123">
        <f t="shared" si="2"/>
        <v>0</v>
      </c>
      <c r="F9" s="123">
        <f t="shared" si="3"/>
        <v>7290.8499999999995</v>
      </c>
      <c r="G9" s="123">
        <f t="shared" si="4"/>
        <v>6181.9999999999991</v>
      </c>
      <c r="H9" s="123">
        <f t="shared" si="5"/>
        <v>2295.85</v>
      </c>
      <c r="I9" s="123">
        <f t="shared" si="6"/>
        <v>110.44485873287671</v>
      </c>
      <c r="J9" s="123">
        <f t="shared" si="7"/>
        <v>8588.2948587328756</v>
      </c>
      <c r="K9" s="123">
        <f t="shared" si="8"/>
        <v>4100.0000000000009</v>
      </c>
      <c r="L9" s="123">
        <f t="shared" si="9"/>
        <v>6916.75</v>
      </c>
      <c r="M9" s="123">
        <f t="shared" si="10"/>
        <v>110.44485873287671</v>
      </c>
      <c r="N9" s="123"/>
    </row>
    <row r="10" spans="1:14" x14ac:dyDescent="0.25">
      <c r="B10" s="25">
        <f t="shared" si="11"/>
        <v>40000</v>
      </c>
      <c r="C10" s="123">
        <f t="shared" si="0"/>
        <v>9093.3333333333321</v>
      </c>
      <c r="D10" s="123">
        <f t="shared" si="1"/>
        <v>470.85</v>
      </c>
      <c r="E10" s="123">
        <f t="shared" si="2"/>
        <v>0</v>
      </c>
      <c r="F10" s="123">
        <f t="shared" si="3"/>
        <v>9564.1833333333325</v>
      </c>
      <c r="G10" s="123">
        <f t="shared" si="4"/>
        <v>8242.6666666666661</v>
      </c>
      <c r="H10" s="123">
        <f t="shared" si="5"/>
        <v>2295.85</v>
      </c>
      <c r="I10" s="123">
        <f t="shared" si="6"/>
        <v>147.2598116438356</v>
      </c>
      <c r="J10" s="123">
        <f t="shared" si="7"/>
        <v>10685.776478310501</v>
      </c>
      <c r="K10" s="123">
        <f t="shared" si="8"/>
        <v>5466.6666666666679</v>
      </c>
      <c r="L10" s="123">
        <f t="shared" si="9"/>
        <v>6916.75</v>
      </c>
      <c r="M10" s="123">
        <f t="shared" si="10"/>
        <v>147.2598116438356</v>
      </c>
      <c r="N10" s="123"/>
    </row>
    <row r="11" spans="1:14" x14ac:dyDescent="0.25">
      <c r="B11" s="25">
        <f t="shared" si="11"/>
        <v>50000</v>
      </c>
      <c r="C11" s="123">
        <f t="shared" si="0"/>
        <v>11366.666666666666</v>
      </c>
      <c r="D11" s="123">
        <f t="shared" si="1"/>
        <v>470.85</v>
      </c>
      <c r="E11" s="123">
        <f t="shared" si="2"/>
        <v>0</v>
      </c>
      <c r="F11" s="123">
        <f t="shared" si="3"/>
        <v>11837.516666666666</v>
      </c>
      <c r="G11" s="123">
        <f t="shared" si="4"/>
        <v>10303.333333333332</v>
      </c>
      <c r="H11" s="123">
        <f t="shared" si="5"/>
        <v>2295.85</v>
      </c>
      <c r="I11" s="123">
        <f t="shared" si="6"/>
        <v>184.07476455479451</v>
      </c>
      <c r="J11" s="123">
        <f t="shared" si="7"/>
        <v>12783.258097888127</v>
      </c>
      <c r="K11" s="123">
        <f t="shared" si="8"/>
        <v>6833.3333333333339</v>
      </c>
      <c r="L11" s="123">
        <f t="shared" si="9"/>
        <v>6916.75</v>
      </c>
      <c r="M11" s="123">
        <f t="shared" si="10"/>
        <v>184.07476455479451</v>
      </c>
      <c r="N11" s="123"/>
    </row>
    <row r="12" spans="1:14" x14ac:dyDescent="0.25">
      <c r="B12" s="25">
        <f t="shared" si="11"/>
        <v>60000</v>
      </c>
      <c r="C12" s="123">
        <f t="shared" si="0"/>
        <v>13639.999999999998</v>
      </c>
      <c r="D12" s="123">
        <f t="shared" si="1"/>
        <v>470.85</v>
      </c>
      <c r="E12" s="123">
        <f t="shared" si="2"/>
        <v>0</v>
      </c>
      <c r="F12" s="123">
        <f t="shared" si="3"/>
        <v>14110.849999999999</v>
      </c>
      <c r="G12" s="123">
        <f t="shared" si="4"/>
        <v>12363.999999999998</v>
      </c>
      <c r="H12" s="123">
        <f t="shared" si="5"/>
        <v>2295.85</v>
      </c>
      <c r="I12" s="123">
        <f t="shared" si="6"/>
        <v>220.88971746575342</v>
      </c>
      <c r="J12" s="123">
        <f t="shared" si="7"/>
        <v>14880.739717465753</v>
      </c>
      <c r="K12" s="123">
        <f t="shared" si="8"/>
        <v>8200.0000000000018</v>
      </c>
      <c r="L12" s="123">
        <f t="shared" si="9"/>
        <v>6916.75</v>
      </c>
      <c r="M12" s="123">
        <f t="shared" si="10"/>
        <v>220.88971746575342</v>
      </c>
      <c r="N12" s="123"/>
    </row>
    <row r="13" spans="1:14" x14ac:dyDescent="0.25">
      <c r="B13" s="25">
        <f t="shared" si="11"/>
        <v>70000</v>
      </c>
      <c r="C13" s="123">
        <f t="shared" si="0"/>
        <v>15913.333333333332</v>
      </c>
      <c r="D13" s="123">
        <f t="shared" si="1"/>
        <v>470.85</v>
      </c>
      <c r="E13" s="123">
        <f t="shared" si="2"/>
        <v>0</v>
      </c>
      <c r="F13" s="123">
        <f t="shared" si="3"/>
        <v>16384.183333333331</v>
      </c>
      <c r="G13" s="123">
        <f t="shared" si="4"/>
        <v>14424.666666666666</v>
      </c>
      <c r="H13" s="123">
        <f t="shared" si="5"/>
        <v>2295.85</v>
      </c>
      <c r="I13" s="123">
        <f t="shared" si="6"/>
        <v>257.70467037671233</v>
      </c>
      <c r="J13" s="123">
        <f t="shared" si="7"/>
        <v>16978.221337043378</v>
      </c>
      <c r="K13" s="123">
        <f t="shared" si="8"/>
        <v>9566.6666666666679</v>
      </c>
      <c r="L13" s="123">
        <f t="shared" si="9"/>
        <v>6916.75</v>
      </c>
      <c r="M13" s="123">
        <f t="shared" si="10"/>
        <v>257.70467037671233</v>
      </c>
      <c r="N13" s="123"/>
    </row>
    <row r="14" spans="1:14" x14ac:dyDescent="0.25">
      <c r="B14" s="25">
        <f t="shared" si="11"/>
        <v>80000</v>
      </c>
      <c r="C14" s="123">
        <f t="shared" si="0"/>
        <v>18186.666666666664</v>
      </c>
      <c r="D14" s="123">
        <f t="shared" si="1"/>
        <v>470.85</v>
      </c>
      <c r="E14" s="123">
        <f t="shared" si="2"/>
        <v>0</v>
      </c>
      <c r="F14" s="123">
        <f t="shared" si="3"/>
        <v>18657.516666666663</v>
      </c>
      <c r="G14" s="123">
        <f t="shared" si="4"/>
        <v>16485.333333333332</v>
      </c>
      <c r="H14" s="123">
        <f t="shared" si="5"/>
        <v>2295.85</v>
      </c>
      <c r="I14" s="123">
        <f t="shared" si="6"/>
        <v>294.51962328767121</v>
      </c>
      <c r="J14" s="123">
        <f t="shared" si="7"/>
        <v>19075.702956621</v>
      </c>
      <c r="K14" s="123">
        <f t="shared" si="8"/>
        <v>10933.333333333336</v>
      </c>
      <c r="L14" s="123">
        <f t="shared" si="9"/>
        <v>6916.75</v>
      </c>
      <c r="M14" s="123">
        <f t="shared" si="10"/>
        <v>294.51962328767121</v>
      </c>
      <c r="N14" s="123"/>
    </row>
    <row r="15" spans="1:14" x14ac:dyDescent="0.25">
      <c r="B15" s="25">
        <f t="shared" si="11"/>
        <v>90000</v>
      </c>
      <c r="C15" s="123">
        <f t="shared" si="0"/>
        <v>20459.999999999996</v>
      </c>
      <c r="D15" s="123">
        <f t="shared" si="1"/>
        <v>470.85</v>
      </c>
      <c r="E15" s="123">
        <f t="shared" si="2"/>
        <v>0</v>
      </c>
      <c r="F15" s="123">
        <f t="shared" si="3"/>
        <v>20930.849999999995</v>
      </c>
      <c r="G15" s="123">
        <f t="shared" si="4"/>
        <v>18546</v>
      </c>
      <c r="H15" s="123">
        <f t="shared" si="5"/>
        <v>2295.85</v>
      </c>
      <c r="I15" s="123">
        <f t="shared" si="6"/>
        <v>331.33457619863015</v>
      </c>
      <c r="J15" s="123">
        <f t="shared" si="7"/>
        <v>21173.18457619863</v>
      </c>
      <c r="K15" s="123">
        <f t="shared" si="8"/>
        <v>12300.000000000002</v>
      </c>
      <c r="L15" s="123">
        <f t="shared" si="9"/>
        <v>6916.75</v>
      </c>
      <c r="M15" s="123">
        <f t="shared" si="10"/>
        <v>331.33457619863015</v>
      </c>
      <c r="N15" s="123"/>
    </row>
    <row r="16" spans="1:14" x14ac:dyDescent="0.25">
      <c r="B16" s="125">
        <f t="shared" si="11"/>
        <v>100000</v>
      </c>
      <c r="C16" s="124">
        <f t="shared" si="0"/>
        <v>22733.333333333332</v>
      </c>
      <c r="D16" s="124">
        <f t="shared" si="1"/>
        <v>470.85</v>
      </c>
      <c r="E16" s="124">
        <f t="shared" si="2"/>
        <v>0</v>
      </c>
      <c r="F16" s="124">
        <f t="shared" si="3"/>
        <v>23204.183333333331</v>
      </c>
      <c r="G16" s="124">
        <f t="shared" si="4"/>
        <v>20606.666666666664</v>
      </c>
      <c r="H16" s="124">
        <f t="shared" si="5"/>
        <v>2295.85</v>
      </c>
      <c r="I16" s="124">
        <f t="shared" si="6"/>
        <v>368.14952910958903</v>
      </c>
      <c r="J16" s="124">
        <f t="shared" si="7"/>
        <v>23270.666195776252</v>
      </c>
      <c r="K16" s="124">
        <f t="shared" si="8"/>
        <v>13666.666666666668</v>
      </c>
      <c r="L16" s="124">
        <f t="shared" si="9"/>
        <v>6916.75</v>
      </c>
      <c r="M16" s="124">
        <f t="shared" si="10"/>
        <v>368.14952910958903</v>
      </c>
      <c r="N16" s="124">
        <f t="shared" ref="N16:N30" si="12">K16+L16+M16</f>
        <v>20951.566195776257</v>
      </c>
    </row>
    <row r="17" spans="2:14" x14ac:dyDescent="0.25">
      <c r="B17" s="25">
        <f t="shared" si="11"/>
        <v>110000</v>
      </c>
      <c r="C17" s="123">
        <f t="shared" si="0"/>
        <v>25006.666666666664</v>
      </c>
      <c r="D17" s="123">
        <f t="shared" si="1"/>
        <v>470.85</v>
      </c>
      <c r="E17" s="123">
        <f t="shared" si="2"/>
        <v>0</v>
      </c>
      <c r="F17" s="123">
        <f t="shared" si="3"/>
        <v>25477.516666666663</v>
      </c>
      <c r="G17" s="123">
        <f t="shared" si="4"/>
        <v>22667.333333333332</v>
      </c>
      <c r="H17" s="123">
        <f t="shared" si="5"/>
        <v>2295.85</v>
      </c>
      <c r="I17" s="123">
        <f t="shared" si="6"/>
        <v>404.96448202054796</v>
      </c>
      <c r="J17" s="123">
        <f t="shared" si="7"/>
        <v>25368.147815353877</v>
      </c>
      <c r="K17" s="123">
        <f t="shared" si="8"/>
        <v>15033.333333333336</v>
      </c>
      <c r="L17" s="123">
        <f t="shared" si="9"/>
        <v>6916.75</v>
      </c>
      <c r="M17" s="123">
        <f t="shared" si="10"/>
        <v>404.96448202054796</v>
      </c>
      <c r="N17" s="123">
        <f t="shared" si="12"/>
        <v>22355.047815353882</v>
      </c>
    </row>
    <row r="18" spans="2:14" x14ac:dyDescent="0.25">
      <c r="B18" s="25">
        <f t="shared" si="11"/>
        <v>120000</v>
      </c>
      <c r="C18" s="123">
        <f t="shared" si="0"/>
        <v>27279.999999999996</v>
      </c>
      <c r="D18" s="123">
        <f t="shared" si="1"/>
        <v>470.85</v>
      </c>
      <c r="E18" s="123">
        <f t="shared" si="2"/>
        <v>0</v>
      </c>
      <c r="F18" s="123">
        <f t="shared" si="3"/>
        <v>27750.849999999995</v>
      </c>
      <c r="G18" s="123">
        <f t="shared" si="4"/>
        <v>24727.999999999996</v>
      </c>
      <c r="H18" s="123">
        <f t="shared" si="5"/>
        <v>2295.85</v>
      </c>
      <c r="I18" s="123">
        <f t="shared" si="6"/>
        <v>441.77943493150684</v>
      </c>
      <c r="J18" s="123">
        <f t="shared" si="7"/>
        <v>27465.629434931503</v>
      </c>
      <c r="K18" s="123">
        <f t="shared" si="8"/>
        <v>16400.000000000004</v>
      </c>
      <c r="L18" s="123">
        <f t="shared" si="9"/>
        <v>6916.75</v>
      </c>
      <c r="M18" s="123">
        <f t="shared" si="10"/>
        <v>441.77943493150684</v>
      </c>
      <c r="N18" s="123">
        <f t="shared" si="12"/>
        <v>23758.529434931512</v>
      </c>
    </row>
    <row r="19" spans="2:14" x14ac:dyDescent="0.25">
      <c r="B19" s="25">
        <f t="shared" si="11"/>
        <v>130000</v>
      </c>
      <c r="C19" s="123">
        <f t="shared" si="0"/>
        <v>29553.333333333328</v>
      </c>
      <c r="D19" s="123">
        <f t="shared" si="1"/>
        <v>470.85</v>
      </c>
      <c r="E19" s="123">
        <f t="shared" si="2"/>
        <v>0</v>
      </c>
      <c r="F19" s="123">
        <f t="shared" si="3"/>
        <v>30024.183333333327</v>
      </c>
      <c r="G19" s="123">
        <f t="shared" si="4"/>
        <v>26788.666666666664</v>
      </c>
      <c r="H19" s="123">
        <f t="shared" si="5"/>
        <v>2295.85</v>
      </c>
      <c r="I19" s="123">
        <f t="shared" si="6"/>
        <v>478.59438784246572</v>
      </c>
      <c r="J19" s="123">
        <f t="shared" si="7"/>
        <v>29563.111054509129</v>
      </c>
      <c r="K19" s="123">
        <f t="shared" si="8"/>
        <v>17766.666666666668</v>
      </c>
      <c r="L19" s="123">
        <f t="shared" si="9"/>
        <v>6916.75</v>
      </c>
      <c r="M19" s="123">
        <f t="shared" si="10"/>
        <v>478.59438784246572</v>
      </c>
      <c r="N19" s="123">
        <f t="shared" si="12"/>
        <v>25162.011054509134</v>
      </c>
    </row>
    <row r="20" spans="2:14" x14ac:dyDescent="0.25">
      <c r="B20" s="25">
        <f t="shared" si="11"/>
        <v>140000</v>
      </c>
      <c r="C20" s="123">
        <f t="shared" si="0"/>
        <v>31826.666666666664</v>
      </c>
      <c r="D20" s="123">
        <f t="shared" si="1"/>
        <v>470.85</v>
      </c>
      <c r="E20" s="123">
        <f t="shared" si="2"/>
        <v>0</v>
      </c>
      <c r="F20" s="123">
        <f t="shared" si="3"/>
        <v>32297.516666666663</v>
      </c>
      <c r="G20" s="123">
        <f t="shared" si="4"/>
        <v>28849.333333333332</v>
      </c>
      <c r="H20" s="123">
        <f t="shared" si="5"/>
        <v>2295.85</v>
      </c>
      <c r="I20" s="123">
        <f t="shared" si="6"/>
        <v>515.40934075342466</v>
      </c>
      <c r="J20" s="123">
        <f t="shared" si="7"/>
        <v>31660.592674086754</v>
      </c>
      <c r="K20" s="123">
        <f t="shared" si="8"/>
        <v>19133.333333333336</v>
      </c>
      <c r="L20" s="123">
        <f t="shared" si="9"/>
        <v>6916.75</v>
      </c>
      <c r="M20" s="123">
        <f t="shared" si="10"/>
        <v>515.40934075342466</v>
      </c>
      <c r="N20" s="123">
        <f t="shared" si="12"/>
        <v>26565.49267408676</v>
      </c>
    </row>
    <row r="21" spans="2:14" x14ac:dyDescent="0.25">
      <c r="B21" s="25">
        <f t="shared" si="11"/>
        <v>150000</v>
      </c>
      <c r="C21" s="123">
        <f t="shared" si="0"/>
        <v>34099.999999999993</v>
      </c>
      <c r="D21" s="123">
        <f t="shared" si="1"/>
        <v>470.85</v>
      </c>
      <c r="E21" s="123">
        <f t="shared" si="2"/>
        <v>0</v>
      </c>
      <c r="F21" s="123">
        <f t="shared" si="3"/>
        <v>34570.849999999991</v>
      </c>
      <c r="G21" s="123">
        <f t="shared" si="4"/>
        <v>30909.999999999996</v>
      </c>
      <c r="H21" s="123">
        <f t="shared" si="5"/>
        <v>2295.85</v>
      </c>
      <c r="I21" s="123">
        <f t="shared" si="6"/>
        <v>552.22429366438348</v>
      </c>
      <c r="J21" s="123">
        <f t="shared" si="7"/>
        <v>33758.07429366438</v>
      </c>
      <c r="K21" s="123">
        <f t="shared" si="8"/>
        <v>20500.000000000004</v>
      </c>
      <c r="L21" s="123">
        <f t="shared" si="9"/>
        <v>6916.75</v>
      </c>
      <c r="M21" s="123">
        <f t="shared" si="10"/>
        <v>552.22429366438348</v>
      </c>
      <c r="N21" s="123">
        <f t="shared" si="12"/>
        <v>27968.974293664389</v>
      </c>
    </row>
    <row r="22" spans="2:14" x14ac:dyDescent="0.25">
      <c r="B22" s="125">
        <f t="shared" si="11"/>
        <v>160000</v>
      </c>
      <c r="C22" s="124">
        <f t="shared" si="0"/>
        <v>36373.333333333328</v>
      </c>
      <c r="D22" s="124">
        <f t="shared" si="1"/>
        <v>470.85</v>
      </c>
      <c r="E22" s="124">
        <f t="shared" si="2"/>
        <v>0</v>
      </c>
      <c r="F22" s="124">
        <f t="shared" si="3"/>
        <v>36844.183333333327</v>
      </c>
      <c r="G22" s="124">
        <f t="shared" si="4"/>
        <v>32970.666666666664</v>
      </c>
      <c r="H22" s="124">
        <f t="shared" si="5"/>
        <v>2295.85</v>
      </c>
      <c r="I22" s="124">
        <f t="shared" si="6"/>
        <v>589.03924657534242</v>
      </c>
      <c r="J22" s="124">
        <f t="shared" si="7"/>
        <v>35855.555913242002</v>
      </c>
      <c r="K22" s="124">
        <f t="shared" si="8"/>
        <v>21866.666666666672</v>
      </c>
      <c r="L22" s="124">
        <f t="shared" si="9"/>
        <v>6916.75</v>
      </c>
      <c r="M22" s="124">
        <f t="shared" si="10"/>
        <v>589.03924657534242</v>
      </c>
      <c r="N22" s="124">
        <f t="shared" si="12"/>
        <v>29372.455913242015</v>
      </c>
    </row>
    <row r="23" spans="2:14" x14ac:dyDescent="0.25">
      <c r="B23" s="25">
        <f t="shared" si="11"/>
        <v>170000</v>
      </c>
      <c r="C23" s="123">
        <f t="shared" si="0"/>
        <v>38646.666666666664</v>
      </c>
      <c r="D23" s="123">
        <f t="shared" si="1"/>
        <v>470.85</v>
      </c>
      <c r="E23" s="123">
        <f t="shared" si="2"/>
        <v>0</v>
      </c>
      <c r="F23" s="123"/>
      <c r="G23" s="123">
        <f t="shared" si="4"/>
        <v>35031.333333333328</v>
      </c>
      <c r="H23" s="123">
        <f t="shared" si="5"/>
        <v>2295.85</v>
      </c>
      <c r="I23" s="123">
        <f t="shared" si="6"/>
        <v>625.85419948630135</v>
      </c>
      <c r="J23" s="123">
        <f t="shared" si="7"/>
        <v>37953.037532819631</v>
      </c>
      <c r="K23" s="123">
        <f t="shared" si="8"/>
        <v>23233.333333333336</v>
      </c>
      <c r="L23" s="123">
        <f t="shared" si="9"/>
        <v>6916.75</v>
      </c>
      <c r="M23" s="123">
        <f t="shared" si="10"/>
        <v>625.85419948630135</v>
      </c>
      <c r="N23" s="123">
        <f t="shared" si="12"/>
        <v>30775.937532819637</v>
      </c>
    </row>
    <row r="24" spans="2:14" x14ac:dyDescent="0.25">
      <c r="B24" s="25">
        <f t="shared" si="11"/>
        <v>180000</v>
      </c>
      <c r="C24" s="123">
        <f t="shared" si="0"/>
        <v>40919.999999999993</v>
      </c>
      <c r="D24" s="123">
        <f t="shared" si="1"/>
        <v>470.85</v>
      </c>
      <c r="E24" s="123">
        <f t="shared" si="2"/>
        <v>0</v>
      </c>
      <c r="F24" s="123"/>
      <c r="G24" s="123">
        <f t="shared" si="4"/>
        <v>37092</v>
      </c>
      <c r="H24" s="123">
        <f t="shared" si="5"/>
        <v>2295.85</v>
      </c>
      <c r="I24" s="123">
        <f t="shared" si="6"/>
        <v>662.66915239726029</v>
      </c>
      <c r="J24" s="123">
        <f t="shared" si="7"/>
        <v>40050.519152397261</v>
      </c>
      <c r="K24" s="123">
        <f t="shared" si="8"/>
        <v>24600.000000000004</v>
      </c>
      <c r="L24" s="123">
        <f t="shared" si="9"/>
        <v>6916.75</v>
      </c>
      <c r="M24" s="123">
        <f t="shared" si="10"/>
        <v>662.66915239726029</v>
      </c>
      <c r="N24" s="123">
        <f t="shared" si="12"/>
        <v>32179.419152397262</v>
      </c>
    </row>
    <row r="25" spans="2:14" x14ac:dyDescent="0.25">
      <c r="B25" s="25">
        <f t="shared" si="11"/>
        <v>190000</v>
      </c>
      <c r="C25" s="123">
        <f t="shared" si="0"/>
        <v>43193.333333333328</v>
      </c>
      <c r="D25" s="123">
        <f t="shared" si="1"/>
        <v>470.85</v>
      </c>
      <c r="E25" s="123">
        <f t="shared" si="2"/>
        <v>0</v>
      </c>
      <c r="F25" s="123"/>
      <c r="G25" s="123">
        <f t="shared" si="4"/>
        <v>39152.666666666664</v>
      </c>
      <c r="H25" s="123">
        <f t="shared" si="5"/>
        <v>2295.85</v>
      </c>
      <c r="I25" s="123">
        <f t="shared" si="6"/>
        <v>699.48410530821911</v>
      </c>
      <c r="J25" s="123">
        <f t="shared" si="7"/>
        <v>42148.000771974883</v>
      </c>
      <c r="K25" s="123">
        <f t="shared" si="8"/>
        <v>25966.666666666672</v>
      </c>
      <c r="L25" s="123">
        <f t="shared" si="9"/>
        <v>6916.75</v>
      </c>
      <c r="M25" s="123">
        <f t="shared" si="10"/>
        <v>699.48410530821911</v>
      </c>
      <c r="N25" s="123">
        <f t="shared" si="12"/>
        <v>33582.900771974892</v>
      </c>
    </row>
    <row r="26" spans="2:14" x14ac:dyDescent="0.25">
      <c r="B26" s="25">
        <f t="shared" si="11"/>
        <v>200000</v>
      </c>
      <c r="C26" s="123">
        <f t="shared" si="0"/>
        <v>45466.666666666664</v>
      </c>
      <c r="D26" s="123">
        <f t="shared" si="1"/>
        <v>470.85</v>
      </c>
      <c r="E26" s="123">
        <f t="shared" si="2"/>
        <v>0</v>
      </c>
      <c r="F26" s="123"/>
      <c r="G26" s="123">
        <f t="shared" si="4"/>
        <v>41213.333333333328</v>
      </c>
      <c r="H26" s="123">
        <f t="shared" si="5"/>
        <v>2295.85</v>
      </c>
      <c r="I26" s="123">
        <f t="shared" si="6"/>
        <v>736.29905821917805</v>
      </c>
      <c r="J26" s="123">
        <f t="shared" si="7"/>
        <v>44245.482391552505</v>
      </c>
      <c r="K26" s="123">
        <f t="shared" si="8"/>
        <v>27333.333333333336</v>
      </c>
      <c r="L26" s="123">
        <f t="shared" si="9"/>
        <v>6916.75</v>
      </c>
      <c r="M26" s="123">
        <f t="shared" si="10"/>
        <v>736.29905821917805</v>
      </c>
      <c r="N26" s="123">
        <f t="shared" si="12"/>
        <v>34986.382391552514</v>
      </c>
    </row>
    <row r="27" spans="2:14" x14ac:dyDescent="0.25">
      <c r="B27" s="25">
        <f t="shared" si="11"/>
        <v>210000</v>
      </c>
      <c r="C27" s="123">
        <f t="shared" si="0"/>
        <v>47739.999999999993</v>
      </c>
      <c r="D27" s="123">
        <f t="shared" si="1"/>
        <v>470.85</v>
      </c>
      <c r="E27" s="123">
        <f t="shared" si="2"/>
        <v>0</v>
      </c>
      <c r="F27" s="123"/>
      <c r="G27" s="123">
        <f t="shared" si="4"/>
        <v>43273.999999999993</v>
      </c>
      <c r="H27" s="123">
        <f t="shared" si="5"/>
        <v>2295.85</v>
      </c>
      <c r="I27" s="123">
        <f t="shared" si="6"/>
        <v>773.11401113013699</v>
      </c>
      <c r="J27" s="123">
        <f t="shared" si="7"/>
        <v>46342.964011130127</v>
      </c>
      <c r="K27" s="123">
        <f t="shared" si="8"/>
        <v>28700.000000000004</v>
      </c>
      <c r="L27" s="123">
        <f t="shared" si="9"/>
        <v>6916.75</v>
      </c>
      <c r="M27" s="123">
        <f t="shared" si="10"/>
        <v>773.11401113013699</v>
      </c>
      <c r="N27" s="123">
        <f t="shared" si="12"/>
        <v>36389.864011130136</v>
      </c>
    </row>
    <row r="28" spans="2:14" x14ac:dyDescent="0.25">
      <c r="B28" s="25">
        <f t="shared" si="11"/>
        <v>220000</v>
      </c>
      <c r="C28" s="123">
        <f t="shared" si="0"/>
        <v>50013.333333333328</v>
      </c>
      <c r="D28" s="123">
        <f t="shared" si="1"/>
        <v>470.85</v>
      </c>
      <c r="E28" s="123">
        <f t="shared" si="2"/>
        <v>0</v>
      </c>
      <c r="F28" s="123"/>
      <c r="G28" s="123">
        <f t="shared" si="4"/>
        <v>45334.666666666664</v>
      </c>
      <c r="H28" s="123">
        <f t="shared" si="5"/>
        <v>2295.85</v>
      </c>
      <c r="I28" s="123">
        <f t="shared" si="6"/>
        <v>809.92896404109592</v>
      </c>
      <c r="J28" s="123">
        <f t="shared" si="7"/>
        <v>48440.445630707756</v>
      </c>
      <c r="K28" s="123">
        <f t="shared" si="8"/>
        <v>30066.666666666672</v>
      </c>
      <c r="L28" s="123">
        <f t="shared" si="9"/>
        <v>6916.75</v>
      </c>
      <c r="M28" s="123">
        <f t="shared" si="10"/>
        <v>809.92896404109592</v>
      </c>
      <c r="N28" s="123">
        <f t="shared" si="12"/>
        <v>37793.345630707765</v>
      </c>
    </row>
    <row r="29" spans="2:14" x14ac:dyDescent="0.25">
      <c r="B29" s="25">
        <f t="shared" si="11"/>
        <v>230000</v>
      </c>
      <c r="C29" s="123">
        <f t="shared" si="0"/>
        <v>52286.666666666657</v>
      </c>
      <c r="D29" s="123">
        <f t="shared" si="1"/>
        <v>470.85</v>
      </c>
      <c r="E29" s="123">
        <f t="shared" si="2"/>
        <v>0</v>
      </c>
      <c r="F29" s="123"/>
      <c r="G29" s="123">
        <f t="shared" si="4"/>
        <v>47395.333333333328</v>
      </c>
      <c r="H29" s="123">
        <f t="shared" si="5"/>
        <v>2295.85</v>
      </c>
      <c r="I29" s="123">
        <f t="shared" si="6"/>
        <v>846.74391695205486</v>
      </c>
      <c r="J29" s="123">
        <f t="shared" si="7"/>
        <v>50537.927250285386</v>
      </c>
      <c r="K29" s="123">
        <f t="shared" si="8"/>
        <v>31433.333333333339</v>
      </c>
      <c r="L29" s="123">
        <f t="shared" si="9"/>
        <v>6916.75</v>
      </c>
      <c r="M29" s="123">
        <f t="shared" si="10"/>
        <v>846.74391695205486</v>
      </c>
      <c r="N29" s="123">
        <f t="shared" si="12"/>
        <v>39196.827250285394</v>
      </c>
    </row>
    <row r="30" spans="2:14" x14ac:dyDescent="0.25">
      <c r="B30" s="25">
        <f t="shared" si="11"/>
        <v>240000</v>
      </c>
      <c r="C30" s="123">
        <f t="shared" si="0"/>
        <v>54559.999999999993</v>
      </c>
      <c r="D30" s="123">
        <f t="shared" si="1"/>
        <v>470.85</v>
      </c>
      <c r="E30" s="123">
        <f t="shared" si="2"/>
        <v>0</v>
      </c>
      <c r="F30" s="123"/>
      <c r="G30" s="123">
        <f t="shared" si="4"/>
        <v>49455.999999999993</v>
      </c>
      <c r="H30" s="123">
        <f t="shared" si="5"/>
        <v>2295.85</v>
      </c>
      <c r="I30" s="123">
        <f t="shared" si="6"/>
        <v>883.55886986301368</v>
      </c>
      <c r="J30" s="123">
        <f t="shared" si="7"/>
        <v>52635.408869863008</v>
      </c>
      <c r="K30" s="123">
        <f t="shared" si="8"/>
        <v>32800.000000000007</v>
      </c>
      <c r="L30" s="123">
        <f t="shared" si="9"/>
        <v>6916.75</v>
      </c>
      <c r="M30" s="123">
        <f t="shared" si="10"/>
        <v>883.55886986301368</v>
      </c>
      <c r="N30" s="123">
        <f t="shared" si="12"/>
        <v>40600.308869863024</v>
      </c>
    </row>
    <row r="35" spans="10:10" x14ac:dyDescent="0.25">
      <c r="J35" s="45"/>
    </row>
  </sheetData>
  <mergeCells count="3">
    <mergeCell ref="C4:F4"/>
    <mergeCell ref="G4:J4"/>
    <mergeCell ref="K4:N4"/>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3:N51"/>
  <sheetViews>
    <sheetView showGridLines="0" showRowColHeaders="0" topLeftCell="E1" zoomScaleNormal="100" workbookViewId="0">
      <selection activeCell="M31" sqref="M31"/>
    </sheetView>
  </sheetViews>
  <sheetFormatPr defaultRowHeight="15" x14ac:dyDescent="0.25"/>
  <cols>
    <col min="1" max="3" width="8.85546875" hidden="1" customWidth="1"/>
    <col min="4" max="4" width="6.140625" hidden="1" customWidth="1"/>
    <col min="5" max="5" width="9" customWidth="1"/>
  </cols>
  <sheetData>
    <row r="3" spans="1:2" ht="13.5" customHeight="1" x14ac:dyDescent="0.25">
      <c r="A3" t="s">
        <v>923</v>
      </c>
      <c r="B3">
        <v>0</v>
      </c>
    </row>
    <row r="4" spans="1:2" x14ac:dyDescent="0.25">
      <c r="A4" t="s">
        <v>924</v>
      </c>
      <c r="B4">
        <v>0</v>
      </c>
    </row>
    <row r="5" spans="1:2" x14ac:dyDescent="0.25">
      <c r="A5" t="s">
        <v>925</v>
      </c>
      <c r="B5">
        <v>0</v>
      </c>
    </row>
    <row r="6" spans="1:2" x14ac:dyDescent="0.25">
      <c r="A6" t="s">
        <v>926</v>
      </c>
      <c r="B6">
        <v>0</v>
      </c>
    </row>
    <row r="7" spans="1:2" x14ac:dyDescent="0.25">
      <c r="A7" t="s">
        <v>927</v>
      </c>
      <c r="B7">
        <v>0</v>
      </c>
    </row>
    <row r="8" spans="1:2" x14ac:dyDescent="0.25">
      <c r="A8" t="s">
        <v>928</v>
      </c>
      <c r="B8">
        <v>0</v>
      </c>
    </row>
    <row r="9" spans="1:2" x14ac:dyDescent="0.25">
      <c r="A9" t="s">
        <v>929</v>
      </c>
      <c r="B9">
        <v>0</v>
      </c>
    </row>
    <row r="11" spans="1:2" ht="13.5" customHeight="1" x14ac:dyDescent="0.25">
      <c r="A11" t="s">
        <v>838</v>
      </c>
      <c r="B11" t="str">
        <f>IF(B3=1,"Yes",IF(B3=2,"Game Over",IF(B3=3,"This is too expensive but let's continue anyway", "")))</f>
        <v/>
      </c>
    </row>
    <row r="12" spans="1:2" x14ac:dyDescent="0.25">
      <c r="A12" t="s">
        <v>839</v>
      </c>
      <c r="B12" t="str">
        <f>IF(B4=1,"Yes",IF(B4=2,"Game Over",""))</f>
        <v/>
      </c>
    </row>
    <row r="13" spans="1:2" x14ac:dyDescent="0.25">
      <c r="A13" t="s">
        <v>840</v>
      </c>
      <c r="B13" t="str">
        <f>IF(B5=1,"Yes",IF(B5=2,"Continue, but I need more info about a battery room",IF(B5=3,"Game Over","")))</f>
        <v/>
      </c>
    </row>
    <row r="14" spans="1:2" x14ac:dyDescent="0.25">
      <c r="A14" t="s">
        <v>841</v>
      </c>
      <c r="B14" t="str">
        <f>IF(B6=1,"I can get all the power I need from the grid, I want to save money",IF(B6=2,"Power failures are very costly to my business and I need a back-up option",IF(B6=3,"The grid seldom (or never) supplies what I need, I want an off-grid set-up","")))</f>
        <v/>
      </c>
    </row>
    <row r="15" spans="1:2" x14ac:dyDescent="0.25">
      <c r="A15" t="s">
        <v>842</v>
      </c>
      <c r="B15" t="str">
        <f>IF(B7=1,"Small Energy Customer ( &lt; 100MWh per year or average of 274 kWh per day)",IF(B7=2,"Medium Energy Customer",IF(B7=3,"Large Energy Customer ( &gt; 160MWh per year or average of 274 kWh per day)","")))</f>
        <v/>
      </c>
    </row>
    <row r="16" spans="1:2" x14ac:dyDescent="0.25">
      <c r="A16" t="s">
        <v>843</v>
      </c>
      <c r="B16" t="str">
        <f>IF(B8=1,"I want the shortest payback possible",IF(B8=2,"Batteries last a long time, so I'm happy if the lifetime ROI makes sense",IF(B8=3,"I'm more interested in grid-independence, renewable energy targets and tax-deductions","")))</f>
        <v/>
      </c>
    </row>
    <row r="17" spans="1:14" x14ac:dyDescent="0.25">
      <c r="A17" t="s">
        <v>844</v>
      </c>
      <c r="B17" t="str">
        <f>IF(B9=1,"3-7 Years",IF(B9=2,"7-10 Years",IF(B9=3,"More than 10 years","")))</f>
        <v/>
      </c>
    </row>
    <row r="18" spans="1:14" ht="18" x14ac:dyDescent="0.25">
      <c r="N18" s="1"/>
    </row>
    <row r="19" spans="1:14" x14ac:dyDescent="0.25">
      <c r="A19" t="s">
        <v>923</v>
      </c>
    </row>
    <row r="20" spans="1:14" x14ac:dyDescent="0.25">
      <c r="A20" t="s">
        <v>921</v>
      </c>
    </row>
    <row r="21" spans="1:14" x14ac:dyDescent="0.25">
      <c r="A21" t="s">
        <v>314</v>
      </c>
    </row>
    <row r="22" spans="1:14" x14ac:dyDescent="0.25">
      <c r="A22" t="s">
        <v>922</v>
      </c>
    </row>
    <row r="24" spans="1:14" x14ac:dyDescent="0.25">
      <c r="A24" t="s">
        <v>924</v>
      </c>
    </row>
    <row r="25" spans="1:14" x14ac:dyDescent="0.25">
      <c r="A25" t="s">
        <v>57</v>
      </c>
    </row>
    <row r="26" spans="1:14" x14ac:dyDescent="0.25">
      <c r="A26" t="s">
        <v>314</v>
      </c>
    </row>
    <row r="28" spans="1:14" x14ac:dyDescent="0.25">
      <c r="A28" t="s">
        <v>925</v>
      </c>
    </row>
    <row r="29" spans="1:14" x14ac:dyDescent="0.25">
      <c r="A29" t="s">
        <v>57</v>
      </c>
    </row>
    <row r="30" spans="1:14" x14ac:dyDescent="0.25">
      <c r="A30" t="s">
        <v>930</v>
      </c>
    </row>
    <row r="31" spans="1:14" x14ac:dyDescent="0.25">
      <c r="A31" t="s">
        <v>314</v>
      </c>
    </row>
    <row r="33" spans="1:1" x14ac:dyDescent="0.25">
      <c r="A33" t="s">
        <v>926</v>
      </c>
    </row>
    <row r="34" spans="1:1" x14ac:dyDescent="0.25">
      <c r="A34" t="s">
        <v>931</v>
      </c>
    </row>
    <row r="35" spans="1:1" x14ac:dyDescent="0.25">
      <c r="A35" t="s">
        <v>406</v>
      </c>
    </row>
    <row r="36" spans="1:1" x14ac:dyDescent="0.25">
      <c r="A36" t="s">
        <v>932</v>
      </c>
    </row>
    <row r="38" spans="1:1" x14ac:dyDescent="0.25">
      <c r="A38" t="s">
        <v>927</v>
      </c>
    </row>
    <row r="39" spans="1:1" x14ac:dyDescent="0.25">
      <c r="A39" t="s">
        <v>939</v>
      </c>
    </row>
    <row r="40" spans="1:1" x14ac:dyDescent="0.25">
      <c r="A40" t="s">
        <v>933</v>
      </c>
    </row>
    <row r="41" spans="1:1" x14ac:dyDescent="0.25">
      <c r="A41" t="s">
        <v>938</v>
      </c>
    </row>
    <row r="43" spans="1:1" x14ac:dyDescent="0.25">
      <c r="A43" t="s">
        <v>928</v>
      </c>
    </row>
    <row r="44" spans="1:1" x14ac:dyDescent="0.25">
      <c r="A44" t="s">
        <v>47</v>
      </c>
    </row>
    <row r="45" spans="1:1" x14ac:dyDescent="0.25">
      <c r="A45" t="s">
        <v>935</v>
      </c>
    </row>
    <row r="46" spans="1:1" x14ac:dyDescent="0.25">
      <c r="A46" t="s">
        <v>934</v>
      </c>
    </row>
    <row r="48" spans="1:1" x14ac:dyDescent="0.25">
      <c r="A48" t="s">
        <v>929</v>
      </c>
    </row>
    <row r="49" spans="1:1" x14ac:dyDescent="0.25">
      <c r="A49" t="s">
        <v>936</v>
      </c>
    </row>
    <row r="50" spans="1:1" x14ac:dyDescent="0.25">
      <c r="A50" t="s">
        <v>937</v>
      </c>
    </row>
    <row r="51" spans="1:1" x14ac:dyDescent="0.25">
      <c r="A51" t="s">
        <v>353</v>
      </c>
    </row>
  </sheetData>
  <pageMargins left="0.25" right="0.25" top="0.75" bottom="0.75" header="0.3" footer="0.3"/>
  <pageSetup paperSize="9" orientation="landscape" horizontalDpi="4294967293" verticalDpi="4294967293" r:id="rId1"/>
  <colBreaks count="1" manualBreakCount="1">
    <brk id="19"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1143" r:id="rId4" name="Q1ListBox">
              <controlPr defaultSize="0" autoLine="0" autoPict="0" macro="[0]!Update_click" altText="Q1. Batttery systems typically range from $15,000 to $250,000. Do you have this budget?">
                <anchor moveWithCells="1">
                  <from>
                    <xdr:col>4</xdr:col>
                    <xdr:colOff>523875</xdr:colOff>
                    <xdr:row>11</xdr:row>
                    <xdr:rowOff>9525</xdr:rowOff>
                  </from>
                  <to>
                    <xdr:col>11</xdr:col>
                    <xdr:colOff>200025</xdr:colOff>
                    <xdr:row>13</xdr:row>
                    <xdr:rowOff>95250</xdr:rowOff>
                  </to>
                </anchor>
              </controlPr>
            </control>
          </mc:Choice>
        </mc:AlternateContent>
        <mc:AlternateContent xmlns:mc="http://schemas.openxmlformats.org/markup-compatibility/2006">
          <mc:Choice Requires="x14">
            <control shapeId="1144" r:id="rId5" name="Q2ListBox">
              <controlPr defaultSize="0" disabled="1" autoLine="0" autoPict="0" macro="[0]!Update_click" altText="Q1. Batttery systems typically range from $15,000 to $250,000. Do you have this budget?">
                <anchor moveWithCells="1">
                  <from>
                    <xdr:col>4</xdr:col>
                    <xdr:colOff>523875</xdr:colOff>
                    <xdr:row>17</xdr:row>
                    <xdr:rowOff>123825</xdr:rowOff>
                  </from>
                  <to>
                    <xdr:col>11</xdr:col>
                    <xdr:colOff>200025</xdr:colOff>
                    <xdr:row>19</xdr:row>
                    <xdr:rowOff>57150</xdr:rowOff>
                  </to>
                </anchor>
              </controlPr>
            </control>
          </mc:Choice>
        </mc:AlternateContent>
        <mc:AlternateContent xmlns:mc="http://schemas.openxmlformats.org/markup-compatibility/2006">
          <mc:Choice Requires="x14">
            <control shapeId="1145" r:id="rId6" name="Q3ListBox">
              <controlPr defaultSize="0" disabled="1" autoLine="0" autoPict="0" macro="[0]!Update_click" altText="Q1. Batttery systems typically range from $15,000 to $250,000. Do you have this budget?">
                <anchor moveWithCells="1">
                  <from>
                    <xdr:col>4</xdr:col>
                    <xdr:colOff>523875</xdr:colOff>
                    <xdr:row>24</xdr:row>
                    <xdr:rowOff>0</xdr:rowOff>
                  </from>
                  <to>
                    <xdr:col>11</xdr:col>
                    <xdr:colOff>200025</xdr:colOff>
                    <xdr:row>27</xdr:row>
                    <xdr:rowOff>0</xdr:rowOff>
                  </to>
                </anchor>
              </controlPr>
            </control>
          </mc:Choice>
        </mc:AlternateContent>
        <mc:AlternateContent xmlns:mc="http://schemas.openxmlformats.org/markup-compatibility/2006">
          <mc:Choice Requires="x14">
            <control shapeId="1146" r:id="rId7" name="Q4ListBox">
              <controlPr defaultSize="0" disabled="1" autoLine="0" autoPict="0" macro="[0]!Update_click" altText="Q1. Batttery systems typically range from $15,000 to $250,000. Do you have this budget?">
                <anchor moveWithCells="1">
                  <from>
                    <xdr:col>12</xdr:col>
                    <xdr:colOff>142875</xdr:colOff>
                    <xdr:row>11</xdr:row>
                    <xdr:rowOff>9525</xdr:rowOff>
                  </from>
                  <to>
                    <xdr:col>19</xdr:col>
                    <xdr:colOff>371475</xdr:colOff>
                    <xdr:row>14</xdr:row>
                    <xdr:rowOff>0</xdr:rowOff>
                  </to>
                </anchor>
              </controlPr>
            </control>
          </mc:Choice>
        </mc:AlternateContent>
        <mc:AlternateContent xmlns:mc="http://schemas.openxmlformats.org/markup-compatibility/2006">
          <mc:Choice Requires="x14">
            <control shapeId="1148" r:id="rId8" name="Q6ListBox">
              <controlPr defaultSize="0" disabled="1" autoLine="0" autoPict="0" macro="[0]!Update_click" altText="Q1. Batttery systems typically range from $15,000 to $250,000. Do you have this budget?">
                <anchor moveWithCells="1">
                  <from>
                    <xdr:col>12</xdr:col>
                    <xdr:colOff>142875</xdr:colOff>
                    <xdr:row>23</xdr:row>
                    <xdr:rowOff>161925</xdr:rowOff>
                  </from>
                  <to>
                    <xdr:col>19</xdr:col>
                    <xdr:colOff>333375</xdr:colOff>
                    <xdr:row>26</xdr:row>
                    <xdr:rowOff>76200</xdr:rowOff>
                  </to>
                </anchor>
              </controlPr>
            </control>
          </mc:Choice>
        </mc:AlternateContent>
        <mc:AlternateContent xmlns:mc="http://schemas.openxmlformats.org/markup-compatibility/2006">
          <mc:Choice Requires="x14">
            <control shapeId="1149" r:id="rId9" name="Q5ListBox">
              <controlPr defaultSize="0" disabled="1" autoLine="0" autoPict="0" macro="[0]!Update_click" altText="Q1. Batttery systems typically range from $15,000 to $250,000. Do you have this budget?">
                <anchor moveWithCells="1">
                  <from>
                    <xdr:col>12</xdr:col>
                    <xdr:colOff>142875</xdr:colOff>
                    <xdr:row>17</xdr:row>
                    <xdr:rowOff>47625</xdr:rowOff>
                  </from>
                  <to>
                    <xdr:col>19</xdr:col>
                    <xdr:colOff>295275</xdr:colOff>
                    <xdr:row>19</xdr:row>
                    <xdr:rowOff>161925</xdr:rowOff>
                  </to>
                </anchor>
              </controlPr>
            </control>
          </mc:Choice>
        </mc:AlternateContent>
        <mc:AlternateContent xmlns:mc="http://schemas.openxmlformats.org/markup-compatibility/2006">
          <mc:Choice Requires="x14">
            <control shapeId="1152" r:id="rId10" name="OpenLink">
              <controlPr defaultSize="0" print="0" autoFill="0" autoPict="0" macro="[0]!OpenLink_Click" altText="energy.saver@environment.nsw.gov.au">
                <anchor moveWithCells="1" sizeWithCells="1">
                  <from>
                    <xdr:col>27</xdr:col>
                    <xdr:colOff>581025</xdr:colOff>
                    <xdr:row>31</xdr:row>
                    <xdr:rowOff>9525</xdr:rowOff>
                  </from>
                  <to>
                    <xdr:col>29</xdr:col>
                    <xdr:colOff>314325</xdr:colOff>
                    <xdr:row>32</xdr:row>
                    <xdr:rowOff>66675</xdr:rowOff>
                  </to>
                </anchor>
              </controlPr>
            </control>
          </mc:Choice>
        </mc:AlternateContent>
        <mc:AlternateContent xmlns:mc="http://schemas.openxmlformats.org/markup-compatibility/2006">
          <mc:Choice Requires="x14">
            <control shapeId="1155" r:id="rId11" name="Q7ListBox">
              <controlPr defaultSize="0" disabled="1" autoLine="0" autoPict="0" macro="[0]!Update_click" altText="Q1. Batttery systems typically range from $15,000 to $250,000. Do you have this budget?">
                <anchor moveWithCells="1">
                  <from>
                    <xdr:col>13</xdr:col>
                    <xdr:colOff>276225</xdr:colOff>
                    <xdr:row>28</xdr:row>
                    <xdr:rowOff>133350</xdr:rowOff>
                  </from>
                  <to>
                    <xdr:col>19</xdr:col>
                    <xdr:colOff>257175</xdr:colOff>
                    <xdr:row>31</xdr:row>
                    <xdr:rowOff>9525</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Customise"/>
  <dimension ref="A1:E48"/>
  <sheetViews>
    <sheetView showGridLines="0" showRowColHeaders="0" topLeftCell="F6" zoomScaleNormal="100" workbookViewId="0">
      <selection activeCell="AB30" sqref="AB30"/>
    </sheetView>
  </sheetViews>
  <sheetFormatPr defaultRowHeight="15" x14ac:dyDescent="0.25"/>
  <cols>
    <col min="1" max="1" width="18.85546875" hidden="1" customWidth="1"/>
    <col min="2" max="2" width="8.85546875" hidden="1" customWidth="1"/>
    <col min="3" max="3" width="20.140625" hidden="1" customWidth="1"/>
    <col min="4" max="4" width="8.85546875" hidden="1" customWidth="1"/>
    <col min="5" max="5" width="6.140625" hidden="1" customWidth="1"/>
  </cols>
  <sheetData>
    <row r="1" spans="1:3" hidden="1" x14ac:dyDescent="0.25">
      <c r="A1" s="16" t="s">
        <v>941</v>
      </c>
    </row>
    <row r="2" spans="1:3" hidden="1" x14ac:dyDescent="0.25">
      <c r="A2" s="25" t="s">
        <v>888</v>
      </c>
      <c r="B2" s="25">
        <v>1</v>
      </c>
      <c r="C2" s="131" t="str">
        <f>INDEX('Profit per cycles Model'!D13:F13, B2)</f>
        <v xml:space="preserve">Standard </v>
      </c>
    </row>
    <row r="3" spans="1:3" ht="6" customHeight="1" x14ac:dyDescent="0.25">
      <c r="A3" s="25" t="s">
        <v>942</v>
      </c>
    </row>
    <row r="4" spans="1:3" x14ac:dyDescent="0.25">
      <c r="A4" s="25" t="s">
        <v>943</v>
      </c>
      <c r="B4" s="25"/>
    </row>
    <row r="5" spans="1:3" x14ac:dyDescent="0.25">
      <c r="A5" s="25" t="s">
        <v>944</v>
      </c>
      <c r="B5" s="25">
        <v>1</v>
      </c>
      <c r="C5" s="131" t="str">
        <f>INDEX(A5:A6, B5)</f>
        <v>Standard energy prices</v>
      </c>
    </row>
    <row r="6" spans="1:3" x14ac:dyDescent="0.25">
      <c r="A6" s="51" t="s">
        <v>945</v>
      </c>
    </row>
    <row r="7" spans="1:3" x14ac:dyDescent="0.25">
      <c r="A7" s="25">
        <v>28.599999999999998</v>
      </c>
      <c r="B7" s="25" t="str">
        <f>"$"&amp;(A7/100)</f>
        <v>$0.286</v>
      </c>
      <c r="C7" s="131">
        <f>IF(LEFT(B7,3)="$0.",IF(ISNUMBER(VALUE(B7)),VALUE(B7),"Error"), "Error")</f>
        <v>0.28599999999999998</v>
      </c>
    </row>
    <row r="8" spans="1:3" x14ac:dyDescent="0.25">
      <c r="A8" s="25">
        <v>20.9</v>
      </c>
      <c r="B8" s="25" t="str">
        <f t="shared" ref="B8:B9" si="0">"$"&amp;(A8/100)</f>
        <v>$0.209</v>
      </c>
      <c r="C8" s="131">
        <f>IF(LEFT(B8,3)="$0.",IF(ISNUMBER(VALUE(B8)),VALUE(B8),"Error"), "Error")</f>
        <v>0.20899999999999999</v>
      </c>
    </row>
    <row r="9" spans="1:3" x14ac:dyDescent="0.25">
      <c r="A9" s="25">
        <v>12.32</v>
      </c>
      <c r="B9" s="25" t="str">
        <f t="shared" si="0"/>
        <v>$0.1232</v>
      </c>
      <c r="C9" s="131">
        <f>IF(LEFT(B9,3)="$0.",IF(ISNUMBER(VALUE(B9)),VALUE(B9),"Error"), "Error")</f>
        <v>0.1232</v>
      </c>
    </row>
    <row r="10" spans="1:3" x14ac:dyDescent="0.25">
      <c r="A10" s="25" t="s">
        <v>34</v>
      </c>
      <c r="B10" s="25">
        <v>1</v>
      </c>
      <c r="C10" s="131" t="str">
        <f>INDEX('Profit per cycles Model'!C20:C22, B10)</f>
        <v>Both</v>
      </c>
    </row>
    <row r="11" spans="1:3" x14ac:dyDescent="0.25">
      <c r="A11" s="25" t="s">
        <v>470</v>
      </c>
      <c r="B11" s="25"/>
    </row>
    <row r="12" spans="1:3" x14ac:dyDescent="0.25">
      <c r="A12" s="25" t="s">
        <v>946</v>
      </c>
      <c r="B12" s="25"/>
    </row>
    <row r="14" spans="1:3" x14ac:dyDescent="0.25">
      <c r="A14" s="25" t="s">
        <v>947</v>
      </c>
      <c r="B14" s="25">
        <v>1</v>
      </c>
      <c r="C14" s="148" t="str">
        <f>INDEX(A19:A25, B14)</f>
        <v>Default</v>
      </c>
    </row>
    <row r="15" spans="1:3" x14ac:dyDescent="0.25">
      <c r="A15" s="25" t="s">
        <v>948</v>
      </c>
      <c r="B15" s="25">
        <v>1</v>
      </c>
      <c r="C15" s="131" t="str">
        <f>INDEX(B28:B48, B15)</f>
        <v>Default</v>
      </c>
    </row>
    <row r="18" spans="1:2" x14ac:dyDescent="0.25">
      <c r="A18" s="25" t="s">
        <v>851</v>
      </c>
    </row>
    <row r="19" spans="1:2" x14ac:dyDescent="0.25">
      <c r="A19" s="25" t="s">
        <v>7</v>
      </c>
    </row>
    <row r="20" spans="1:2" x14ac:dyDescent="0.25">
      <c r="A20" s="31" t="str">
        <f>"100%"</f>
        <v>100%</v>
      </c>
    </row>
    <row r="21" spans="1:2" x14ac:dyDescent="0.25">
      <c r="A21" s="31" t="str">
        <f>"95%"</f>
        <v>95%</v>
      </c>
    </row>
    <row r="22" spans="1:2" x14ac:dyDescent="0.25">
      <c r="A22" s="31" t="str">
        <f>"90%"</f>
        <v>90%</v>
      </c>
    </row>
    <row r="23" spans="1:2" x14ac:dyDescent="0.25">
      <c r="A23" s="31" t="str">
        <f>"85%"</f>
        <v>85%</v>
      </c>
    </row>
    <row r="24" spans="1:2" x14ac:dyDescent="0.25">
      <c r="A24" s="31" t="str">
        <f>"80%"</f>
        <v>80%</v>
      </c>
    </row>
    <row r="25" spans="1:2" x14ac:dyDescent="0.25">
      <c r="A25" s="31" t="str">
        <f>"75%"</f>
        <v>75%</v>
      </c>
    </row>
    <row r="27" spans="1:2" x14ac:dyDescent="0.25">
      <c r="A27" s="25" t="s">
        <v>852</v>
      </c>
    </row>
    <row r="28" spans="1:2" x14ac:dyDescent="0.25">
      <c r="A28" s="25" t="s">
        <v>7</v>
      </c>
      <c r="B28" s="25" t="s">
        <v>7</v>
      </c>
    </row>
    <row r="29" spans="1:2" x14ac:dyDescent="0.25">
      <c r="A29" s="132" t="s">
        <v>853</v>
      </c>
      <c r="B29" s="25">
        <v>1</v>
      </c>
    </row>
    <row r="30" spans="1:2" x14ac:dyDescent="0.25">
      <c r="A30" s="132" t="s">
        <v>606</v>
      </c>
      <c r="B30" s="25">
        <f>B29+1</f>
        <v>2</v>
      </c>
    </row>
    <row r="31" spans="1:2" x14ac:dyDescent="0.25">
      <c r="A31" s="132" t="s">
        <v>854</v>
      </c>
      <c r="B31" s="25">
        <f t="shared" ref="B31:B48" si="1">B30+1</f>
        <v>3</v>
      </c>
    </row>
    <row r="32" spans="1:2" x14ac:dyDescent="0.25">
      <c r="A32" s="132" t="s">
        <v>855</v>
      </c>
      <c r="B32" s="25">
        <f t="shared" si="1"/>
        <v>4</v>
      </c>
    </row>
    <row r="33" spans="1:2" x14ac:dyDescent="0.25">
      <c r="A33" s="132" t="s">
        <v>604</v>
      </c>
      <c r="B33" s="25">
        <f t="shared" si="1"/>
        <v>5</v>
      </c>
    </row>
    <row r="34" spans="1:2" x14ac:dyDescent="0.25">
      <c r="A34" s="132" t="s">
        <v>856</v>
      </c>
      <c r="B34" s="25">
        <f t="shared" si="1"/>
        <v>6</v>
      </c>
    </row>
    <row r="35" spans="1:2" x14ac:dyDescent="0.25">
      <c r="A35" s="132" t="s">
        <v>610</v>
      </c>
      <c r="B35" s="25">
        <f t="shared" si="1"/>
        <v>7</v>
      </c>
    </row>
    <row r="36" spans="1:2" x14ac:dyDescent="0.25">
      <c r="A36" s="132" t="s">
        <v>857</v>
      </c>
      <c r="B36" s="25">
        <f t="shared" si="1"/>
        <v>8</v>
      </c>
    </row>
    <row r="37" spans="1:2" x14ac:dyDescent="0.25">
      <c r="A37" s="132" t="s">
        <v>858</v>
      </c>
      <c r="B37" s="25">
        <f t="shared" si="1"/>
        <v>9</v>
      </c>
    </row>
    <row r="38" spans="1:2" x14ac:dyDescent="0.25">
      <c r="A38" s="132" t="s">
        <v>603</v>
      </c>
      <c r="B38" s="25">
        <f t="shared" si="1"/>
        <v>10</v>
      </c>
    </row>
    <row r="39" spans="1:2" x14ac:dyDescent="0.25">
      <c r="A39" s="132" t="s">
        <v>859</v>
      </c>
      <c r="B39" s="25">
        <f t="shared" si="1"/>
        <v>11</v>
      </c>
    </row>
    <row r="40" spans="1:2" x14ac:dyDescent="0.25">
      <c r="A40" s="132" t="s">
        <v>860</v>
      </c>
      <c r="B40" s="25">
        <f t="shared" si="1"/>
        <v>12</v>
      </c>
    </row>
    <row r="41" spans="1:2" x14ac:dyDescent="0.25">
      <c r="A41" s="132" t="s">
        <v>861</v>
      </c>
      <c r="B41" s="25">
        <f t="shared" si="1"/>
        <v>13</v>
      </c>
    </row>
    <row r="42" spans="1:2" x14ac:dyDescent="0.25">
      <c r="A42" s="132" t="s">
        <v>862</v>
      </c>
      <c r="B42" s="25">
        <f t="shared" si="1"/>
        <v>14</v>
      </c>
    </row>
    <row r="43" spans="1:2" x14ac:dyDescent="0.25">
      <c r="A43" s="132" t="s">
        <v>863</v>
      </c>
      <c r="B43" s="25">
        <f t="shared" si="1"/>
        <v>15</v>
      </c>
    </row>
    <row r="44" spans="1:2" x14ac:dyDescent="0.25">
      <c r="A44" s="132" t="s">
        <v>864</v>
      </c>
      <c r="B44" s="25">
        <f t="shared" si="1"/>
        <v>16</v>
      </c>
    </row>
    <row r="45" spans="1:2" x14ac:dyDescent="0.25">
      <c r="A45" s="132" t="s">
        <v>865</v>
      </c>
      <c r="B45" s="25">
        <f t="shared" si="1"/>
        <v>17</v>
      </c>
    </row>
    <row r="46" spans="1:2" x14ac:dyDescent="0.25">
      <c r="A46" s="132" t="s">
        <v>866</v>
      </c>
      <c r="B46" s="25">
        <f t="shared" si="1"/>
        <v>18</v>
      </c>
    </row>
    <row r="47" spans="1:2" x14ac:dyDescent="0.25">
      <c r="A47" s="132" t="s">
        <v>867</v>
      </c>
      <c r="B47" s="25">
        <f t="shared" si="1"/>
        <v>19</v>
      </c>
    </row>
    <row r="48" spans="1:2" x14ac:dyDescent="0.25">
      <c r="A48" s="132" t="s">
        <v>868</v>
      </c>
      <c r="B48" s="25">
        <f t="shared" si="1"/>
        <v>20</v>
      </c>
    </row>
  </sheetData>
  <pageMargins left="0.25" right="0.25" top="0.75" bottom="0.75" header="0.3" footer="0.3"/>
  <pageSetup paperSize="9"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26737" r:id="rId4" name="StorageDropDown">
              <controlPr defaultSize="0" autoLine="0" autoPict="0" macro="[0]!UpdateEfficiency">
                <anchor moveWithCells="1">
                  <from>
                    <xdr:col>14</xdr:col>
                    <xdr:colOff>76200</xdr:colOff>
                    <xdr:row>17</xdr:row>
                    <xdr:rowOff>0</xdr:rowOff>
                  </from>
                  <to>
                    <xdr:col>16</xdr:col>
                    <xdr:colOff>142875</xdr:colOff>
                    <xdr:row>18</xdr:row>
                    <xdr:rowOff>66675</xdr:rowOff>
                  </to>
                </anchor>
              </controlPr>
            </control>
          </mc:Choice>
        </mc:AlternateContent>
        <mc:AlternateContent xmlns:mc="http://schemas.openxmlformats.org/markup-compatibility/2006">
          <mc:Choice Requires="x14">
            <control shapeId="26739" r:id="rId5" name="InvestmentDropDown">
              <controlPr defaultSize="0" autoLine="0" autoPict="0" macro="[0]!UpdateInvestment">
                <anchor moveWithCells="1">
                  <from>
                    <xdr:col>17</xdr:col>
                    <xdr:colOff>0</xdr:colOff>
                    <xdr:row>17</xdr:row>
                    <xdr:rowOff>0</xdr:rowOff>
                  </from>
                  <to>
                    <xdr:col>19</xdr:col>
                    <xdr:colOff>66675</xdr:colOff>
                    <xdr:row>18</xdr:row>
                    <xdr:rowOff>66675</xdr:rowOff>
                  </to>
                </anchor>
              </controlPr>
            </control>
          </mc:Choice>
        </mc:AlternateContent>
        <mc:AlternateContent xmlns:mc="http://schemas.openxmlformats.org/markup-compatibility/2006">
          <mc:Choice Requires="x14">
            <control shapeId="26740" r:id="rId6" name="TOUListBox">
              <controlPr defaultSize="0" autoLine="0" autoPict="0" macro="[0]!UpdateStaticText">
                <anchor moveWithCells="1">
                  <from>
                    <xdr:col>5</xdr:col>
                    <xdr:colOff>247650</xdr:colOff>
                    <xdr:row>16</xdr:row>
                    <xdr:rowOff>133350</xdr:rowOff>
                  </from>
                  <to>
                    <xdr:col>7</xdr:col>
                    <xdr:colOff>352425</xdr:colOff>
                    <xdr:row>19</xdr:row>
                    <xdr:rowOff>19050</xdr:rowOff>
                  </to>
                </anchor>
              </controlPr>
            </control>
          </mc:Choice>
        </mc:AlternateContent>
        <mc:AlternateContent xmlns:mc="http://schemas.openxmlformats.org/markup-compatibility/2006">
          <mc:Choice Requires="x14">
            <control shapeId="26741" r:id="rId7" name="TariffListBox">
              <controlPr defaultSize="0" autoLine="0" autoPict="0" macro="[0]!UpdateEnergyTariff">
                <anchor moveWithCells="1">
                  <from>
                    <xdr:col>8</xdr:col>
                    <xdr:colOff>85725</xdr:colOff>
                    <xdr:row>16</xdr:row>
                    <xdr:rowOff>133350</xdr:rowOff>
                  </from>
                  <to>
                    <xdr:col>10</xdr:col>
                    <xdr:colOff>409575</xdr:colOff>
                    <xdr:row>19</xdr:row>
                    <xdr:rowOff>19050</xdr:rowOff>
                  </to>
                </anchor>
              </controlPr>
            </control>
          </mc:Choice>
        </mc:AlternateContent>
        <mc:AlternateContent xmlns:mc="http://schemas.openxmlformats.org/markup-compatibility/2006">
          <mc:Choice Requires="x14">
            <control shapeId="26742" r:id="rId8" name="EnergySourceListBox">
              <controlPr defaultSize="0" autoLine="0" autoPict="0" macro="[0]!UpdateStaticText">
                <anchor moveWithCells="1">
                  <from>
                    <xdr:col>11</xdr:col>
                    <xdr:colOff>66675</xdr:colOff>
                    <xdr:row>16</xdr:row>
                    <xdr:rowOff>133350</xdr:rowOff>
                  </from>
                  <to>
                    <xdr:col>13</xdr:col>
                    <xdr:colOff>390525</xdr:colOff>
                    <xdr:row>19</xdr:row>
                    <xdr:rowOff>19050</xdr:rowOff>
                  </to>
                </anchor>
              </controlPr>
            </control>
          </mc:Choice>
        </mc:AlternateContent>
        <mc:AlternateContent xmlns:mc="http://schemas.openxmlformats.org/markup-compatibility/2006">
          <mc:Choice Requires="x14">
            <control shapeId="26744" r:id="rId9" name="SpinnerPeak">
              <controlPr defaultSize="0" disabled="1" autoPict="0" macro="[0]!UpdateMacroPeak">
                <anchor moveWithCells="1" sizeWithCells="1">
                  <from>
                    <xdr:col>9</xdr:col>
                    <xdr:colOff>409575</xdr:colOff>
                    <xdr:row>24</xdr:row>
                    <xdr:rowOff>85725</xdr:rowOff>
                  </from>
                  <to>
                    <xdr:col>10</xdr:col>
                    <xdr:colOff>123825</xdr:colOff>
                    <xdr:row>25</xdr:row>
                    <xdr:rowOff>142875</xdr:rowOff>
                  </to>
                </anchor>
              </controlPr>
            </control>
          </mc:Choice>
        </mc:AlternateContent>
        <mc:AlternateContent xmlns:mc="http://schemas.openxmlformats.org/markup-compatibility/2006">
          <mc:Choice Requires="x14">
            <control shapeId="26750" r:id="rId10" name="SpinnerShoulder">
              <controlPr defaultSize="0" disabled="1" autoPict="0" macro="[0]!UpdateMacroShoulder">
                <anchor moveWithCells="1" sizeWithCells="1">
                  <from>
                    <xdr:col>9</xdr:col>
                    <xdr:colOff>419100</xdr:colOff>
                    <xdr:row>28</xdr:row>
                    <xdr:rowOff>0</xdr:rowOff>
                  </from>
                  <to>
                    <xdr:col>10</xdr:col>
                    <xdr:colOff>142875</xdr:colOff>
                    <xdr:row>29</xdr:row>
                    <xdr:rowOff>66675</xdr:rowOff>
                  </to>
                </anchor>
              </controlPr>
            </control>
          </mc:Choice>
        </mc:AlternateContent>
        <mc:AlternateContent xmlns:mc="http://schemas.openxmlformats.org/markup-compatibility/2006">
          <mc:Choice Requires="x14">
            <control shapeId="26751" r:id="rId11" name="SpinnerOffPeak">
              <controlPr defaultSize="0" disabled="1" autoPict="0" macro="[0]!UpdateMacroOffPeak">
                <anchor moveWithCells="1" sizeWithCells="1">
                  <from>
                    <xdr:col>9</xdr:col>
                    <xdr:colOff>419100</xdr:colOff>
                    <xdr:row>32</xdr:row>
                    <xdr:rowOff>0</xdr:rowOff>
                  </from>
                  <to>
                    <xdr:col>10</xdr:col>
                    <xdr:colOff>142875</xdr:colOff>
                    <xdr:row>33</xdr:row>
                    <xdr:rowOff>66675</xdr:rowOff>
                  </to>
                </anchor>
              </controlPr>
            </control>
          </mc:Choice>
        </mc:AlternateContent>
        <mc:AlternateContent xmlns:mc="http://schemas.openxmlformats.org/markup-compatibility/2006">
          <mc:Choice Requires="x14">
            <control shapeId="26753" r:id="rId12" name="Custom1Show">
              <controlPr defaultSize="0" print="0" autoFill="0" autoPict="0" macro="[0]!Custom1Show_Click">
                <anchor moveWithCells="1" sizeWithCells="1">
                  <from>
                    <xdr:col>5</xdr:col>
                    <xdr:colOff>352425</xdr:colOff>
                    <xdr:row>21</xdr:row>
                    <xdr:rowOff>28575</xdr:rowOff>
                  </from>
                  <to>
                    <xdr:col>7</xdr:col>
                    <xdr:colOff>200025</xdr:colOff>
                    <xdr:row>22</xdr:row>
                    <xdr:rowOff>76200</xdr:rowOff>
                  </to>
                </anchor>
              </controlPr>
            </control>
          </mc:Choice>
        </mc:AlternateContent>
        <mc:AlternateContent xmlns:mc="http://schemas.openxmlformats.org/markup-compatibility/2006">
          <mc:Choice Requires="x14">
            <control shapeId="26755" r:id="rId13" name="Custom1Hide">
              <controlPr defaultSize="0" print="0" autoFill="0" autoPict="0" macro="[0]!Custom1Hide_Click">
                <anchor moveWithCells="1" sizeWithCells="1">
                  <from>
                    <xdr:col>5</xdr:col>
                    <xdr:colOff>352425</xdr:colOff>
                    <xdr:row>34</xdr:row>
                    <xdr:rowOff>38100</xdr:rowOff>
                  </from>
                  <to>
                    <xdr:col>7</xdr:col>
                    <xdr:colOff>200025</xdr:colOff>
                    <xdr:row>35</xdr:row>
                    <xdr:rowOff>85725</xdr:rowOff>
                  </to>
                </anchor>
              </controlPr>
            </control>
          </mc:Choice>
        </mc:AlternateContent>
        <mc:AlternateContent xmlns:mc="http://schemas.openxmlformats.org/markup-compatibility/2006">
          <mc:Choice Requires="x14">
            <control shapeId="26756" r:id="rId14" name="Custom2Show">
              <controlPr defaultSize="0" print="0" autoFill="0" autoPict="0" macro="[0]!Custom2Show_Click">
                <anchor moveWithCells="1" sizeWithCells="1">
                  <from>
                    <xdr:col>8</xdr:col>
                    <xdr:colOff>219075</xdr:colOff>
                    <xdr:row>21</xdr:row>
                    <xdr:rowOff>28575</xdr:rowOff>
                  </from>
                  <to>
                    <xdr:col>10</xdr:col>
                    <xdr:colOff>66675</xdr:colOff>
                    <xdr:row>22</xdr:row>
                    <xdr:rowOff>76200</xdr:rowOff>
                  </to>
                </anchor>
              </controlPr>
            </control>
          </mc:Choice>
        </mc:AlternateContent>
        <mc:AlternateContent xmlns:mc="http://schemas.openxmlformats.org/markup-compatibility/2006">
          <mc:Choice Requires="x14">
            <control shapeId="26757" r:id="rId15" name="Custom2Hide">
              <controlPr defaultSize="0" print="0" autoFill="0" autoPict="0" macro="[0]!Custom2Hide_Click">
                <anchor moveWithCells="1" sizeWithCells="1">
                  <from>
                    <xdr:col>8</xdr:col>
                    <xdr:colOff>219075</xdr:colOff>
                    <xdr:row>34</xdr:row>
                    <xdr:rowOff>38100</xdr:rowOff>
                  </from>
                  <to>
                    <xdr:col>10</xdr:col>
                    <xdr:colOff>66675</xdr:colOff>
                    <xdr:row>35</xdr:row>
                    <xdr:rowOff>85725</xdr:rowOff>
                  </to>
                </anchor>
              </controlPr>
            </control>
          </mc:Choice>
        </mc:AlternateContent>
        <mc:AlternateContent xmlns:mc="http://schemas.openxmlformats.org/markup-compatibility/2006">
          <mc:Choice Requires="x14">
            <control shapeId="26758" r:id="rId16" name="Custom3Show">
              <controlPr defaultSize="0" print="0" autoFill="0" autoPict="0" macro="[0]!Custom3Show_Click">
                <anchor moveWithCells="1" sizeWithCells="1">
                  <from>
                    <xdr:col>11</xdr:col>
                    <xdr:colOff>152400</xdr:colOff>
                    <xdr:row>21</xdr:row>
                    <xdr:rowOff>28575</xdr:rowOff>
                  </from>
                  <to>
                    <xdr:col>13</xdr:col>
                    <xdr:colOff>0</xdr:colOff>
                    <xdr:row>22</xdr:row>
                    <xdr:rowOff>76200</xdr:rowOff>
                  </to>
                </anchor>
              </controlPr>
            </control>
          </mc:Choice>
        </mc:AlternateContent>
        <mc:AlternateContent xmlns:mc="http://schemas.openxmlformats.org/markup-compatibility/2006">
          <mc:Choice Requires="x14">
            <control shapeId="26759" r:id="rId17" name="Custom3Hide">
              <controlPr defaultSize="0" print="0" autoFill="0" autoPict="0" macro="[0]!Custom3Hide_Click">
                <anchor moveWithCells="1" sizeWithCells="1">
                  <from>
                    <xdr:col>11</xdr:col>
                    <xdr:colOff>152400</xdr:colOff>
                    <xdr:row>34</xdr:row>
                    <xdr:rowOff>38100</xdr:rowOff>
                  </from>
                  <to>
                    <xdr:col>13</xdr:col>
                    <xdr:colOff>0</xdr:colOff>
                    <xdr:row>35</xdr:row>
                    <xdr:rowOff>85725</xdr:rowOff>
                  </to>
                </anchor>
              </controlPr>
            </control>
          </mc:Choice>
        </mc:AlternateContent>
        <mc:AlternateContent xmlns:mc="http://schemas.openxmlformats.org/markup-compatibility/2006">
          <mc:Choice Requires="x14">
            <control shapeId="26760" r:id="rId18" name="Custom4Show">
              <controlPr defaultSize="0" print="0" autoFill="0" autoPict="0" macro="[0]!Custom4Show_Click">
                <anchor moveWithCells="1" sizeWithCells="1">
                  <from>
                    <xdr:col>14</xdr:col>
                    <xdr:colOff>171450</xdr:colOff>
                    <xdr:row>21</xdr:row>
                    <xdr:rowOff>28575</xdr:rowOff>
                  </from>
                  <to>
                    <xdr:col>16</xdr:col>
                    <xdr:colOff>19050</xdr:colOff>
                    <xdr:row>22</xdr:row>
                    <xdr:rowOff>76200</xdr:rowOff>
                  </to>
                </anchor>
              </controlPr>
            </control>
          </mc:Choice>
        </mc:AlternateContent>
        <mc:AlternateContent xmlns:mc="http://schemas.openxmlformats.org/markup-compatibility/2006">
          <mc:Choice Requires="x14">
            <control shapeId="26761" r:id="rId19" name="Custom4Hide">
              <controlPr defaultSize="0" print="0" autoFill="0" autoPict="0" macro="[0]!Custom4Hide_Click">
                <anchor moveWithCells="1" sizeWithCells="1">
                  <from>
                    <xdr:col>14</xdr:col>
                    <xdr:colOff>171450</xdr:colOff>
                    <xdr:row>34</xdr:row>
                    <xdr:rowOff>38100</xdr:rowOff>
                  </from>
                  <to>
                    <xdr:col>16</xdr:col>
                    <xdr:colOff>19050</xdr:colOff>
                    <xdr:row>35</xdr:row>
                    <xdr:rowOff>85725</xdr:rowOff>
                  </to>
                </anchor>
              </controlPr>
            </control>
          </mc:Choice>
        </mc:AlternateContent>
        <mc:AlternateContent xmlns:mc="http://schemas.openxmlformats.org/markup-compatibility/2006">
          <mc:Choice Requires="x14">
            <control shapeId="26762" r:id="rId20" name="Custom5Show">
              <controlPr defaultSize="0" print="0" autoFill="0" autoPict="0" macro="[0]!Custom5Show_Click">
                <anchor moveWithCells="1" sizeWithCells="1">
                  <from>
                    <xdr:col>16</xdr:col>
                    <xdr:colOff>561975</xdr:colOff>
                    <xdr:row>21</xdr:row>
                    <xdr:rowOff>28575</xdr:rowOff>
                  </from>
                  <to>
                    <xdr:col>18</xdr:col>
                    <xdr:colOff>409575</xdr:colOff>
                    <xdr:row>22</xdr:row>
                    <xdr:rowOff>76200</xdr:rowOff>
                  </to>
                </anchor>
              </controlPr>
            </control>
          </mc:Choice>
        </mc:AlternateContent>
        <mc:AlternateContent xmlns:mc="http://schemas.openxmlformats.org/markup-compatibility/2006">
          <mc:Choice Requires="x14">
            <control shapeId="26763" r:id="rId21" name="Custom5Hide">
              <controlPr defaultSize="0" print="0" autoFill="0" autoPict="0" macro="[0]!Custom5Hide_Click">
                <anchor moveWithCells="1" sizeWithCells="1">
                  <from>
                    <xdr:col>16</xdr:col>
                    <xdr:colOff>561975</xdr:colOff>
                    <xdr:row>34</xdr:row>
                    <xdr:rowOff>38100</xdr:rowOff>
                  </from>
                  <to>
                    <xdr:col>18</xdr:col>
                    <xdr:colOff>409575</xdr:colOff>
                    <xdr:row>35</xdr:row>
                    <xdr:rowOff>85725</xdr:rowOff>
                  </to>
                </anchor>
              </controlPr>
            </control>
          </mc:Choice>
        </mc:AlternateContent>
        <mc:AlternateContent xmlns:mc="http://schemas.openxmlformats.org/markup-compatibility/2006">
          <mc:Choice Requires="x14">
            <control shapeId="26764" r:id="rId22" name="PeakShavingButton">
              <controlPr defaultSize="0" print="0" autoFill="0" autoPict="0" macro="[0]!PeakLoppingButton_Click">
                <anchor moveWithCells="1" sizeWithCells="1">
                  <from>
                    <xdr:col>21</xdr:col>
                    <xdr:colOff>123825</xdr:colOff>
                    <xdr:row>42</xdr:row>
                    <xdr:rowOff>114300</xdr:rowOff>
                  </from>
                  <to>
                    <xdr:col>25</xdr:col>
                    <xdr:colOff>238125</xdr:colOff>
                    <xdr:row>45</xdr:row>
                    <xdr:rowOff>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Summary">
    <pageSetUpPr fitToPage="1"/>
  </sheetPr>
  <dimension ref="A2:E48"/>
  <sheetViews>
    <sheetView showGridLines="0" showRowColHeaders="0" topLeftCell="B1" zoomScaleNormal="100" workbookViewId="0">
      <selection activeCell="D54" sqref="D54"/>
    </sheetView>
  </sheetViews>
  <sheetFormatPr defaultColWidth="10.85546875" defaultRowHeight="15" x14ac:dyDescent="0.25"/>
  <cols>
    <col min="1" max="1" width="7.42578125" style="136" hidden="1" customWidth="1"/>
    <col min="2" max="2" width="2.85546875" style="136" customWidth="1"/>
    <col min="3" max="3" width="63.85546875" style="136" customWidth="1"/>
    <col min="4" max="4" width="60.85546875" style="136" customWidth="1"/>
    <col min="5" max="5" width="76.85546875" style="136" customWidth="1"/>
    <col min="6" max="16384" width="10.85546875" style="136"/>
  </cols>
  <sheetData>
    <row r="2" ht="45.95" customHeight="1" x14ac:dyDescent="0.25"/>
    <row r="3" ht="58.5" customHeight="1" x14ac:dyDescent="0.25"/>
    <row r="27" spans="3:5" ht="25.5" hidden="1" customHeight="1" x14ac:dyDescent="0.25"/>
    <row r="28" spans="3:5" hidden="1" x14ac:dyDescent="0.25"/>
    <row r="29" spans="3:5" hidden="1" x14ac:dyDescent="0.25">
      <c r="C29" s="149" t="s">
        <v>885</v>
      </c>
      <c r="D29" s="150" t="s">
        <v>5</v>
      </c>
      <c r="E29" s="150" t="s">
        <v>907</v>
      </c>
    </row>
    <row r="30" spans="3:5" ht="144.6" hidden="1" customHeight="1" x14ac:dyDescent="0.25">
      <c r="C30" s="151" t="str">
        <f>'Conversion All'!C27</f>
        <v xml:space="preserve"> -  
</v>
      </c>
      <c r="D30" s="151" t="str">
        <f>'Arbitrage Assumptions Page'!G72</f>
        <v>User entered customisations of the model are as follows:
 - Energy prices are based on standard tariffs
 - The payback year nominated by the user is 25 years
 - The standard average costs of battery storage $1000 per kWh has been used in these calculations
 - A default inflation of 2.5% per annum has been applied to the cost of electricity</v>
      </c>
      <c r="E30" s="176" t="str">
        <f>'Arbitrage Assumptions Page'!G57</f>
        <v xml:space="preserve"> - The battery is always fully charged and discharged in the usable range each cycle
 - The average cost of battery storage of $1000 per kWh represents the installed cost of the entire system per usable kWh
 - If solar charging is selected it is assumed that there is always enough solar power to fill the battery completely every day 
 - The cost of solar power is the capital costs averaged over 15 years, which is equal to a kWh rate of $0.052
 - A solar to peak cycle occurs every weekday when there is a peak period in the evening
 - An off peak to peak cycle occurs every weekday when there is a peak period in the morning
 - If the weekend has a shoulder rate then a solar to shoulder cycle will occur
 - No degradation of performance over the battery lifetime has been modelled. Consider modifying the average cost per kWh instead
</v>
      </c>
    </row>
    <row r="31" spans="3:5" hidden="1" x14ac:dyDescent="0.25">
      <c r="C31" s="150" t="str">
        <f>'Arbitrage Assumptions Page'!B25</f>
        <v>Time of use tariff periods</v>
      </c>
      <c r="D31" s="150" t="s">
        <v>905</v>
      </c>
      <c r="E31" s="176"/>
    </row>
    <row r="32" spans="3:5" hidden="1" x14ac:dyDescent="0.25">
      <c r="C32" s="151" t="str">
        <f>'Arbitrage Assumptions Page'!B26&amp;" : "&amp;'Arbitrage Assumptions Page'!C26</f>
        <v>Peak : 2-8pm (Weekdays)</v>
      </c>
      <c r="D32" s="177" t="str">
        <f>'Arbitrage Assumptions Page'!C18</f>
        <v>Battery storage is financially feasible because the system could potentially pay for itself with 419% profit at the payback year</v>
      </c>
      <c r="E32" s="176"/>
    </row>
    <row r="33" spans="3:5" hidden="1" x14ac:dyDescent="0.25">
      <c r="C33" s="151" t="str">
        <f>'Arbitrage Assumptions Page'!B27&amp;" : "&amp;'Arbitrage Assumptions Page'!C27</f>
        <v>Shoulder : 9am-2pm , 8-10pm</v>
      </c>
      <c r="D33" s="177"/>
      <c r="E33" s="176"/>
    </row>
    <row r="34" spans="3:5" hidden="1" x14ac:dyDescent="0.25">
      <c r="C34" s="151" t="str">
        <f>'Arbitrage Assumptions Page'!B28&amp;" : "&amp;'Arbitrage Assumptions Page'!C28</f>
        <v>Off Peak : 10pm-9am</v>
      </c>
      <c r="D34" s="152" t="str">
        <f>'Arbitrage Assumptions Page'!C19</f>
        <v xml:space="preserve"> - The return on investment after 25 Years is 419%</v>
      </c>
      <c r="E34" s="176"/>
    </row>
    <row r="35" spans="3:5" ht="14.45" hidden="1" customHeight="1" x14ac:dyDescent="0.25">
      <c r="C35" s="151"/>
      <c r="D35" s="152" t="str">
        <f>'Arbitrage Assumptions Page'!C20</f>
        <v xml:space="preserve"> - The return on investment at the possible lifetime of 15 Years is 152%</v>
      </c>
      <c r="E35" s="176"/>
    </row>
    <row r="36" spans="3:5" hidden="1" x14ac:dyDescent="0.25">
      <c r="C36" s="150" t="str">
        <f>'Arbitrage Assumptions Page'!B29</f>
        <v>Tariff rates</v>
      </c>
      <c r="D36" s="152" t="str">
        <f>'Arbitrage Assumptions Page'!C21</f>
        <v xml:space="preserve"> - This system is expected to break even after 6.7 years</v>
      </c>
      <c r="E36" s="176"/>
    </row>
    <row r="37" spans="3:5" hidden="1" x14ac:dyDescent="0.25">
      <c r="C37" s="151" t="str">
        <f>'Arbitrage Assumptions Page'!B30&amp;" : $"&amp;'Arbitrage Assumptions Page'!C30&amp;" per kWh"</f>
        <v>Peak : $0.5 per kWh</v>
      </c>
      <c r="D37" s="153"/>
      <c r="E37" s="176"/>
    </row>
    <row r="38" spans="3:5" hidden="1" x14ac:dyDescent="0.25">
      <c r="C38" s="151" t="str">
        <f>'Arbitrage Assumptions Page'!B31&amp;" : $"&amp;'Arbitrage Assumptions Page'!C31&amp;" per kWh"</f>
        <v>Shoulder : $0.28 per kWh</v>
      </c>
      <c r="D38" s="153"/>
      <c r="E38" s="176"/>
    </row>
    <row r="39" spans="3:5" hidden="1" x14ac:dyDescent="0.25">
      <c r="C39" s="151" t="str">
        <f>'Arbitrage Assumptions Page'!B32&amp;" : $"&amp;'Arbitrage Assumptions Page'!C32&amp;" per kWh"</f>
        <v>Off Peak : $0.1 per kWh</v>
      </c>
      <c r="D39" s="153"/>
      <c r="E39" s="176"/>
    </row>
    <row r="40" spans="3:5" hidden="1" x14ac:dyDescent="0.25">
      <c r="C40" s="140"/>
      <c r="D40" s="137"/>
      <c r="E40" s="140"/>
    </row>
    <row r="41" spans="3:5" hidden="1" x14ac:dyDescent="0.25">
      <c r="C41" s="140"/>
      <c r="D41" s="137"/>
      <c r="E41" s="140"/>
    </row>
    <row r="42" spans="3:5" hidden="1" x14ac:dyDescent="0.25">
      <c r="C42" s="149" t="s">
        <v>904</v>
      </c>
      <c r="D42" s="150" t="s">
        <v>906</v>
      </c>
      <c r="E42" s="150" t="s">
        <v>908</v>
      </c>
    </row>
    <row r="43" spans="3:5" ht="30" hidden="1" customHeight="1" x14ac:dyDescent="0.25">
      <c r="C43" s="176" t="str">
        <f>'Conversion All'!F27</f>
        <v xml:space="preserve">
</v>
      </c>
      <c r="D43" s="155" t="e">
        <f>'Peak Lopping Assumptions Page'!C18</f>
        <v>#N/A</v>
      </c>
      <c r="E43" s="176" t="str">
        <f>'Peak Lopping Assumptions Page'!G51</f>
        <v xml:space="preserve">General Assumptions: 
- It is assumed that the battery is always fully charged before a peak event occurs
- It is assumed that the battery is always charged from off-peak power
- It is assumed that the average cost of battery storage of $1000 per kWh represents the installed cost of the entire system per usable kWh
- This may vary based on the size of the system and cost of installation
- A default inflation of 2.5% per annum has been applied to the cost of electricity
- A peak event is approximated such that the power consumption increases to a maximum, remains at that point for a set duration and decreases linearly
- The duration for a peak event is the answer selected in Q4.  'Between 1 and 2 hours' assumes 2 hours. 'More than 3 hours' assumes 4 hours
- The default duration for this maximum peak duration is the average between the total time of peak event and 30 minutes
- It is assumed that the system never fails to fully supply the load above the peak threshold
- The default number of peak events per year is set at 40. This should be considered by the user to be a large number of peaks
- The user should balance the peak threshold such that the battery is not insubstantially small but at the same time only the largest peaks will require battery intervention
- It is CRITICAL that careful analysis is performed to ensure that the battery is sized correctly to supply ALL events
</v>
      </c>
    </row>
    <row r="44" spans="3:5" ht="16.5" hidden="1" customHeight="1" x14ac:dyDescent="0.25">
      <c r="C44" s="176"/>
      <c r="D44" s="155" t="e">
        <f>'Peak Lopping Assumptions Page'!C19</f>
        <v>#N/A</v>
      </c>
      <c r="E44" s="176"/>
    </row>
    <row r="45" spans="3:5" ht="18.95" hidden="1" customHeight="1" x14ac:dyDescent="0.25">
      <c r="C45" s="176"/>
      <c r="D45" s="155" t="e">
        <f>'Peak Lopping Assumptions Page'!C20</f>
        <v>#N/A</v>
      </c>
      <c r="E45" s="176"/>
    </row>
    <row r="46" spans="3:5" ht="209.45" hidden="1" customHeight="1" x14ac:dyDescent="0.25">
      <c r="C46" s="162" t="s">
        <v>909</v>
      </c>
      <c r="D46" s="155" t="e">
        <f>'Peak Lopping Assumptions Page'!C21</f>
        <v>#N/A</v>
      </c>
      <c r="E46" s="176"/>
    </row>
    <row r="47" spans="3:5" ht="17.45" hidden="1" customHeight="1" x14ac:dyDescent="0.25">
      <c r="C47" s="154" t="e">
        <f>'Arbitrage Assumptions Page'!B33&amp;" : "&amp;'Arbitrage Assumptions Page'!C33</f>
        <v>#N/A</v>
      </c>
      <c r="D47" s="155"/>
      <c r="E47" s="161"/>
    </row>
    <row r="48" spans="3:5" ht="54.6" customHeight="1" x14ac:dyDescent="0.25">
      <c r="D48" s="139"/>
    </row>
  </sheetData>
  <mergeCells count="4">
    <mergeCell ref="E43:E46"/>
    <mergeCell ref="E30:E39"/>
    <mergeCell ref="D32:D33"/>
    <mergeCell ref="C43:C45"/>
  </mergeCells>
  <pageMargins left="0.25" right="0.25" top="0.75" bottom="0.75" header="0.3" footer="0.3"/>
  <pageSetup paperSize="9" scale="71" fitToHeight="0" orientation="landscape" horizontalDpi="4294967293" verticalDpi="4294967293" r:id="rId1"/>
  <drawing r:id="rId2"/>
  <legacyDrawing r:id="rId3"/>
  <mc:AlternateContent xmlns:mc="http://schemas.openxmlformats.org/markup-compatibility/2006">
    <mc:Choice Requires="x14">
      <controls>
        <mc:AlternateContent xmlns:mc="http://schemas.openxmlformats.org/markup-compatibility/2006">
          <mc:Choice Requires="x14">
            <control shapeId="95270" r:id="rId4" name="ShowSummary">
              <controlPr defaultSize="0" print="0" autoFill="0" autoPict="0" macro="[0]!ShowSummary_Click">
                <anchor moveWithCells="1" sizeWithCells="1">
                  <from>
                    <xdr:col>3</xdr:col>
                    <xdr:colOff>666750</xdr:colOff>
                    <xdr:row>47</xdr:row>
                    <xdr:rowOff>19050</xdr:rowOff>
                  </from>
                  <to>
                    <xdr:col>3</xdr:col>
                    <xdr:colOff>2838450</xdr:colOff>
                    <xdr:row>47</xdr:row>
                    <xdr:rowOff>276225</xdr:rowOff>
                  </to>
                </anchor>
              </controlPr>
            </control>
          </mc:Choice>
        </mc:AlternateContent>
        <mc:AlternateContent xmlns:mc="http://schemas.openxmlformats.org/markup-compatibility/2006">
          <mc:Choice Requires="x14">
            <control shapeId="95271" r:id="rId5" name="HideSummary">
              <controlPr defaultSize="0" print="0" autoFill="0" autoPict="0" macro="[0]!HideSummary_Click">
                <anchor moveWithCells="1" sizeWithCells="1">
                  <from>
                    <xdr:col>3</xdr:col>
                    <xdr:colOff>666750</xdr:colOff>
                    <xdr:row>47</xdr:row>
                    <xdr:rowOff>19050</xdr:rowOff>
                  </from>
                  <to>
                    <xdr:col>3</xdr:col>
                    <xdr:colOff>2838450</xdr:colOff>
                    <xdr:row>47</xdr:row>
                    <xdr:rowOff>276225</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PeakShaving"/>
  <dimension ref="A1:N23"/>
  <sheetViews>
    <sheetView showGridLines="0" showRowColHeaders="0" topLeftCell="E3" zoomScaleNormal="100" workbookViewId="0">
      <selection activeCell="Y32" sqref="Y32"/>
    </sheetView>
  </sheetViews>
  <sheetFormatPr defaultRowHeight="15" x14ac:dyDescent="0.25"/>
  <cols>
    <col min="1" max="3" width="8.85546875" hidden="1" customWidth="1"/>
    <col min="4" max="4" width="8.7109375" hidden="1" customWidth="1"/>
  </cols>
  <sheetData>
    <row r="1" spans="1:1" hidden="1" x14ac:dyDescent="0.25">
      <c r="A1" t="s">
        <v>940</v>
      </c>
    </row>
    <row r="2" spans="1:1" hidden="1" x14ac:dyDescent="0.25">
      <c r="A2" t="s">
        <v>25</v>
      </c>
    </row>
    <row r="3" spans="1:1" x14ac:dyDescent="0.25">
      <c r="A3" t="s">
        <v>344</v>
      </c>
    </row>
    <row r="4" spans="1:1" x14ac:dyDescent="0.25">
      <c r="A4" t="s">
        <v>950</v>
      </c>
    </row>
    <row r="5" spans="1:1" x14ac:dyDescent="0.25">
      <c r="A5" t="s">
        <v>23</v>
      </c>
    </row>
    <row r="6" spans="1:1" x14ac:dyDescent="0.25">
      <c r="A6" t="s">
        <v>341</v>
      </c>
    </row>
    <row r="7" spans="1:1" x14ac:dyDescent="0.25">
      <c r="A7" t="s">
        <v>951</v>
      </c>
    </row>
    <row r="8" spans="1:1" x14ac:dyDescent="0.25">
      <c r="A8" t="s">
        <v>955</v>
      </c>
    </row>
    <row r="9" spans="1:1" x14ac:dyDescent="0.25">
      <c r="A9" t="s">
        <v>952</v>
      </c>
    </row>
    <row r="10" spans="1:1" ht="13.5" customHeight="1" x14ac:dyDescent="0.25">
      <c r="A10" t="s">
        <v>333</v>
      </c>
    </row>
    <row r="11" spans="1:1" x14ac:dyDescent="0.25">
      <c r="A11" t="s">
        <v>953</v>
      </c>
    </row>
    <row r="12" spans="1:1" x14ac:dyDescent="0.25">
      <c r="A12" t="s">
        <v>954</v>
      </c>
    </row>
    <row r="13" spans="1:1" x14ac:dyDescent="0.25">
      <c r="A13" t="s">
        <v>338</v>
      </c>
    </row>
    <row r="14" spans="1:1" x14ac:dyDescent="0.25">
      <c r="A14" t="s">
        <v>330</v>
      </c>
    </row>
    <row r="15" spans="1:1" x14ac:dyDescent="0.25">
      <c r="A15" t="s">
        <v>18</v>
      </c>
    </row>
    <row r="16" spans="1:1" x14ac:dyDescent="0.25">
      <c r="A16" t="s">
        <v>327</v>
      </c>
    </row>
    <row r="17" spans="1:14" ht="18" x14ac:dyDescent="0.25">
      <c r="A17" t="s">
        <v>325</v>
      </c>
      <c r="N17" s="1"/>
    </row>
    <row r="19" spans="1:14" x14ac:dyDescent="0.25">
      <c r="A19" t="s">
        <v>838</v>
      </c>
      <c r="B19">
        <v>0</v>
      </c>
      <c r="C19" t="str">
        <f>IF(B19=1,A2,IF(B19=2,A3, ""))</f>
        <v/>
      </c>
    </row>
    <row r="20" spans="1:14" x14ac:dyDescent="0.25">
      <c r="A20" t="s">
        <v>839</v>
      </c>
      <c r="B20">
        <v>0</v>
      </c>
      <c r="C20" t="str">
        <f>IF(B20=1,A4,IF(B20=2,A5, IF(B20=3,A6, "")))</f>
        <v/>
      </c>
    </row>
    <row r="21" spans="1:14" x14ac:dyDescent="0.25">
      <c r="A21" t="s">
        <v>840</v>
      </c>
      <c r="B21">
        <v>0</v>
      </c>
      <c r="C21" t="str">
        <f>IF(B21=1,A7,IF(B21=2,A8, IF(B21=3,A9, "")))</f>
        <v/>
      </c>
    </row>
    <row r="22" spans="1:14" x14ac:dyDescent="0.25">
      <c r="A22" t="s">
        <v>841</v>
      </c>
      <c r="B22">
        <v>0</v>
      </c>
      <c r="C22" t="str">
        <f>IF(B22=1,"More than 3 hours",IF(B22=2,"Less than 3 hours", IF(B22=3,"Less than 2 hours",  IF(B22=4,"Less than 1 hour", ""))))</f>
        <v/>
      </c>
    </row>
    <row r="23" spans="1:14" x14ac:dyDescent="0.25">
      <c r="A23" t="s">
        <v>842</v>
      </c>
      <c r="B23">
        <v>0</v>
      </c>
      <c r="C23" t="str">
        <f>IF(B23=1,A14,IF(B23=2,A15, IF(B23=3,A16,  IF(B23=4,A17, ""))))</f>
        <v/>
      </c>
    </row>
  </sheetData>
  <pageMargins left="0.25" right="0.25" top="0.75" bottom="0.75" header="0.3" footer="0.3"/>
  <pageSetup paperSize="9" orientation="landscape" horizontalDpi="4294967293" verticalDpi="4294967293" r:id="rId1"/>
  <drawing r:id="rId2"/>
  <legacyDrawing r:id="rId3"/>
  <mc:AlternateContent xmlns:mc="http://schemas.openxmlformats.org/markup-compatibility/2006">
    <mc:Choice Requires="x14">
      <controls>
        <mc:AlternateContent xmlns:mc="http://schemas.openxmlformats.org/markup-compatibility/2006">
          <mc:Choice Requires="x14">
            <control shapeId="72816" r:id="rId4" name="Q1PeakListBox">
              <controlPr defaultSize="0" autoLine="0" autoPict="0" macro="[0]!PeakUpdate_click" altText="Q1. Batttery systems typically range from $15,000 to $250,000. Do you have this budget?">
                <anchor moveWithCells="1">
                  <from>
                    <xdr:col>4</xdr:col>
                    <xdr:colOff>295275</xdr:colOff>
                    <xdr:row>14</xdr:row>
                    <xdr:rowOff>152400</xdr:rowOff>
                  </from>
                  <to>
                    <xdr:col>11</xdr:col>
                    <xdr:colOff>9525</xdr:colOff>
                    <xdr:row>16</xdr:row>
                    <xdr:rowOff>200025</xdr:rowOff>
                  </to>
                </anchor>
              </controlPr>
            </control>
          </mc:Choice>
        </mc:AlternateContent>
        <mc:AlternateContent xmlns:mc="http://schemas.openxmlformats.org/markup-compatibility/2006">
          <mc:Choice Requires="x14">
            <control shapeId="72818" r:id="rId5" name="Q2PeakListBox">
              <controlPr defaultSize="0" disabled="1" autoLine="0" autoPict="0" macro="[0]!PeakUpdate_click" altText="Q1. Batttery systems typically range from $15,000 to $250,000. Do you have this budget?">
                <anchor moveWithCells="1">
                  <from>
                    <xdr:col>4</xdr:col>
                    <xdr:colOff>295275</xdr:colOff>
                    <xdr:row>20</xdr:row>
                    <xdr:rowOff>28575</xdr:rowOff>
                  </from>
                  <to>
                    <xdr:col>11</xdr:col>
                    <xdr:colOff>123825</xdr:colOff>
                    <xdr:row>23</xdr:row>
                    <xdr:rowOff>38100</xdr:rowOff>
                  </to>
                </anchor>
              </controlPr>
            </control>
          </mc:Choice>
        </mc:AlternateContent>
        <mc:AlternateContent xmlns:mc="http://schemas.openxmlformats.org/markup-compatibility/2006">
          <mc:Choice Requires="x14">
            <control shapeId="72819" r:id="rId6" name="Q3PeakListBox">
              <controlPr defaultSize="0" disabled="1" autoLine="0" autoPict="0" macro="[0]!PeakUpdate_click" altText="Q1. Batttery systems typically range from $15,000 to $250,000. Do you have this budget?">
                <anchor moveWithCells="1">
                  <from>
                    <xdr:col>4</xdr:col>
                    <xdr:colOff>295275</xdr:colOff>
                    <xdr:row>26</xdr:row>
                    <xdr:rowOff>66675</xdr:rowOff>
                  </from>
                  <to>
                    <xdr:col>11</xdr:col>
                    <xdr:colOff>85725</xdr:colOff>
                    <xdr:row>29</xdr:row>
                    <xdr:rowOff>57150</xdr:rowOff>
                  </to>
                </anchor>
              </controlPr>
            </control>
          </mc:Choice>
        </mc:AlternateContent>
        <mc:AlternateContent xmlns:mc="http://schemas.openxmlformats.org/markup-compatibility/2006">
          <mc:Choice Requires="x14">
            <control shapeId="72820" r:id="rId7" name="Q4PeakListBox">
              <controlPr defaultSize="0" disabled="1" autoLine="0" autoPict="0" macro="[0]!PeakUpdate_click" altText="Q1. Batttery systems typically range from $15,000 to $250,000. Do you have this budget?">
                <anchor moveWithCells="1">
                  <from>
                    <xdr:col>11</xdr:col>
                    <xdr:colOff>600075</xdr:colOff>
                    <xdr:row>15</xdr:row>
                    <xdr:rowOff>95250</xdr:rowOff>
                  </from>
                  <to>
                    <xdr:col>18</xdr:col>
                    <xdr:colOff>333375</xdr:colOff>
                    <xdr:row>19</xdr:row>
                    <xdr:rowOff>28575</xdr:rowOff>
                  </to>
                </anchor>
              </controlPr>
            </control>
          </mc:Choice>
        </mc:AlternateContent>
        <mc:AlternateContent xmlns:mc="http://schemas.openxmlformats.org/markup-compatibility/2006">
          <mc:Choice Requires="x14">
            <control shapeId="72821" r:id="rId8" name="Q5PeakListBox">
              <controlPr defaultSize="0" disabled="1" autoLine="0" autoPict="0" macro="[0]!PeakUpdate_click" altText="Q1. Batttery systems typically range from $15,000 to $250,000. Do you have this budget?">
                <anchor moveWithCells="1">
                  <from>
                    <xdr:col>11</xdr:col>
                    <xdr:colOff>600075</xdr:colOff>
                    <xdr:row>23</xdr:row>
                    <xdr:rowOff>47625</xdr:rowOff>
                  </from>
                  <to>
                    <xdr:col>18</xdr:col>
                    <xdr:colOff>390525</xdr:colOff>
                    <xdr:row>26</xdr:row>
                    <xdr:rowOff>152400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Advanced"/>
  <dimension ref="A1:C48"/>
  <sheetViews>
    <sheetView showGridLines="0" showRowColHeaders="0" topLeftCell="D4" zoomScaleNormal="100" zoomScaleSheetLayoutView="70" workbookViewId="0">
      <selection activeCell="G20" sqref="G20"/>
    </sheetView>
  </sheetViews>
  <sheetFormatPr defaultRowHeight="15" x14ac:dyDescent="0.25"/>
  <cols>
    <col min="1" max="1" width="13" hidden="1" customWidth="1"/>
    <col min="2" max="2" width="12.140625" hidden="1" customWidth="1"/>
    <col min="3" max="3" width="8.85546875" hidden="1" customWidth="1"/>
    <col min="4" max="4" width="4" customWidth="1"/>
  </cols>
  <sheetData>
    <row r="1" spans="1:3" hidden="1" x14ac:dyDescent="0.25"/>
    <row r="2" spans="1:3" ht="13.5" hidden="1" customHeight="1" x14ac:dyDescent="0.25">
      <c r="A2" s="25" t="s">
        <v>894</v>
      </c>
      <c r="B2" s="25">
        <v>1</v>
      </c>
      <c r="C2" s="130" t="str">
        <f>INDEX(A7:A18, B2)</f>
        <v>Default</v>
      </c>
    </row>
    <row r="3" spans="1:3" hidden="1" x14ac:dyDescent="0.25">
      <c r="A3" s="25" t="s">
        <v>901</v>
      </c>
      <c r="B3" s="25">
        <v>1</v>
      </c>
      <c r="C3" s="130" t="str">
        <f>INDEX(A23:A29, B3)</f>
        <v>Default</v>
      </c>
    </row>
    <row r="6" spans="1:3" x14ac:dyDescent="0.25">
      <c r="A6" s="157" t="s">
        <v>894</v>
      </c>
    </row>
    <row r="7" spans="1:3" x14ac:dyDescent="0.25">
      <c r="A7" s="157" t="s">
        <v>7</v>
      </c>
    </row>
    <row r="8" spans="1:3" x14ac:dyDescent="0.25">
      <c r="A8" s="157" t="s">
        <v>956</v>
      </c>
    </row>
    <row r="9" spans="1:3" x14ac:dyDescent="0.25">
      <c r="A9" s="157" t="s">
        <v>957</v>
      </c>
    </row>
    <row r="10" spans="1:3" x14ac:dyDescent="0.25">
      <c r="A10" s="157" t="s">
        <v>958</v>
      </c>
    </row>
    <row r="11" spans="1:3" x14ac:dyDescent="0.25">
      <c r="A11" s="157" t="s">
        <v>959</v>
      </c>
    </row>
    <row r="12" spans="1:3" x14ac:dyDescent="0.25">
      <c r="A12" s="157" t="s">
        <v>960</v>
      </c>
    </row>
    <row r="13" spans="1:3" x14ac:dyDescent="0.25">
      <c r="A13" s="157" t="s">
        <v>190</v>
      </c>
    </row>
    <row r="14" spans="1:3" x14ac:dyDescent="0.25">
      <c r="A14" s="157" t="s">
        <v>891</v>
      </c>
    </row>
    <row r="15" spans="1:3" x14ac:dyDescent="0.25">
      <c r="A15" s="157" t="s">
        <v>892</v>
      </c>
    </row>
    <row r="16" spans="1:3" x14ac:dyDescent="0.25">
      <c r="A16" s="157" t="s">
        <v>961</v>
      </c>
    </row>
    <row r="17" spans="1:1" x14ac:dyDescent="0.25">
      <c r="A17" s="157" t="s">
        <v>962</v>
      </c>
    </row>
    <row r="18" spans="1:1" x14ac:dyDescent="0.25">
      <c r="A18" s="157" t="s">
        <v>893</v>
      </c>
    </row>
    <row r="19" spans="1:1" x14ac:dyDescent="0.25">
      <c r="A19" s="156"/>
    </row>
    <row r="20" spans="1:1" x14ac:dyDescent="0.25">
      <c r="A20" s="156"/>
    </row>
    <row r="21" spans="1:1" x14ac:dyDescent="0.25">
      <c r="A21" s="156"/>
    </row>
    <row r="22" spans="1:1" x14ac:dyDescent="0.25">
      <c r="A22" s="156"/>
    </row>
    <row r="23" spans="1:1" x14ac:dyDescent="0.25">
      <c r="A23" s="157" t="s">
        <v>7</v>
      </c>
    </row>
    <row r="24" spans="1:1" x14ac:dyDescent="0.25">
      <c r="A24" s="157" t="s">
        <v>895</v>
      </c>
    </row>
    <row r="25" spans="1:1" x14ac:dyDescent="0.25">
      <c r="A25" s="157" t="s">
        <v>896</v>
      </c>
    </row>
    <row r="26" spans="1:1" x14ac:dyDescent="0.25">
      <c r="A26" s="157" t="s">
        <v>897</v>
      </c>
    </row>
    <row r="27" spans="1:1" x14ac:dyDescent="0.25">
      <c r="A27" s="157" t="s">
        <v>898</v>
      </c>
    </row>
    <row r="28" spans="1:1" x14ac:dyDescent="0.25">
      <c r="A28" s="157" t="s">
        <v>899</v>
      </c>
    </row>
    <row r="29" spans="1:1" x14ac:dyDescent="0.25">
      <c r="A29" s="157" t="s">
        <v>900</v>
      </c>
    </row>
    <row r="41" spans="1:3" x14ac:dyDescent="0.25">
      <c r="A41" s="158" t="s">
        <v>944</v>
      </c>
      <c r="B41" s="25">
        <v>1</v>
      </c>
    </row>
    <row r="42" spans="1:3" x14ac:dyDescent="0.25">
      <c r="A42" s="158" t="s">
        <v>945</v>
      </c>
      <c r="B42" s="25"/>
    </row>
    <row r="43" spans="1:3" x14ac:dyDescent="0.25">
      <c r="A43" s="25"/>
      <c r="B43" s="25"/>
    </row>
    <row r="44" spans="1:3" x14ac:dyDescent="0.25">
      <c r="A44" s="25"/>
      <c r="B44" s="25"/>
    </row>
    <row r="45" spans="1:3" x14ac:dyDescent="0.25">
      <c r="B45" s="131" t="str">
        <f>IF(B41=2, "Custom Capacity Charges",  "Standard Capacity Charges")</f>
        <v>Standard Capacity Charges</v>
      </c>
    </row>
    <row r="47" spans="1:3" x14ac:dyDescent="0.25">
      <c r="A47" s="25" t="s">
        <v>911</v>
      </c>
      <c r="B47" s="25"/>
      <c r="C47" s="159"/>
    </row>
    <row r="48" spans="1:3" x14ac:dyDescent="0.25">
      <c r="A48" s="159">
        <v>1133.27</v>
      </c>
      <c r="B48" s="131" t="str">
        <f>TEXT("$"&amp;(A48/100), "$##.00")</f>
        <v>$11.33</v>
      </c>
      <c r="C48" s="160">
        <f>VALUE(B49)</f>
        <v>0</v>
      </c>
    </row>
  </sheetData>
  <pageMargins left="0.23622047244094491" right="0.23622047244094491" top="0.74803149606299213" bottom="0.74803149606299213" header="0.31496062992125984" footer="0.31496062992125984"/>
  <pageSetup paperSize="9" scale="95" fitToWidth="0" fitToHeight="2" pageOrder="overThenDown" orientation="landscape" r:id="rId1"/>
  <rowBreaks count="2" manualBreakCount="2">
    <brk id="13" min="4" max="26" man="1"/>
    <brk id="44" min="4" max="19" man="1"/>
  </rowBreaks>
  <colBreaks count="1" manualBreakCount="1">
    <brk id="20" min="3" max="72" man="1"/>
  </colBreaks>
  <drawing r:id="rId2"/>
  <legacyDrawing r:id="rId3"/>
  <mc:AlternateContent xmlns:mc="http://schemas.openxmlformats.org/markup-compatibility/2006">
    <mc:Choice Requires="x14">
      <controls>
        <mc:AlternateContent xmlns:mc="http://schemas.openxmlformats.org/markup-compatibility/2006">
          <mc:Choice Requires="x14">
            <control shapeId="139305" r:id="rId4" name="SpinnerDemand">
              <controlPr defaultSize="0" disabled="1" autoPict="0" macro="[0]!UpdateMacroDemand">
                <anchor moveWithCells="1" sizeWithCells="1">
                  <from>
                    <xdr:col>5</xdr:col>
                    <xdr:colOff>561975</xdr:colOff>
                    <xdr:row>54</xdr:row>
                    <xdr:rowOff>152400</xdr:rowOff>
                  </from>
                  <to>
                    <xdr:col>6</xdr:col>
                    <xdr:colOff>295275</xdr:colOff>
                    <xdr:row>56</xdr:row>
                    <xdr:rowOff>47625</xdr:rowOff>
                  </to>
                </anchor>
              </controlPr>
            </control>
          </mc:Choice>
        </mc:AlternateContent>
        <mc:AlternateContent xmlns:mc="http://schemas.openxmlformats.org/markup-compatibility/2006">
          <mc:Choice Requires="x14">
            <control shapeId="139302" r:id="rId5" name="BatteryPriceDropDown">
              <controlPr defaultSize="0" autoLine="0" autoPict="0" macro="[0]!UpdateBatteryPrice">
                <anchor moveWithCells="1">
                  <from>
                    <xdr:col>4</xdr:col>
                    <xdr:colOff>333375</xdr:colOff>
                    <xdr:row>18</xdr:row>
                    <xdr:rowOff>123825</xdr:rowOff>
                  </from>
                  <to>
                    <xdr:col>6</xdr:col>
                    <xdr:colOff>409575</xdr:colOff>
                    <xdr:row>20</xdr:row>
                    <xdr:rowOff>0</xdr:rowOff>
                  </to>
                </anchor>
              </controlPr>
            </control>
          </mc:Choice>
        </mc:AlternateContent>
        <mc:AlternateContent xmlns:mc="http://schemas.openxmlformats.org/markup-compatibility/2006">
          <mc:Choice Requires="x14">
            <control shapeId="139303" r:id="rId6" name="InflationDropDown">
              <controlPr defaultSize="0" autoLine="0" autoPict="0" macro="[0]!UpdateInflation">
                <anchor moveWithCells="1">
                  <from>
                    <xdr:col>4</xdr:col>
                    <xdr:colOff>333375</xdr:colOff>
                    <xdr:row>26</xdr:row>
                    <xdr:rowOff>161925</xdr:rowOff>
                  </from>
                  <to>
                    <xdr:col>6</xdr:col>
                    <xdr:colOff>409575</xdr:colOff>
                    <xdr:row>28</xdr:row>
                    <xdr:rowOff>38100</xdr:rowOff>
                  </to>
                </anchor>
              </controlPr>
            </control>
          </mc:Choice>
        </mc:AlternateContent>
        <mc:AlternateContent xmlns:mc="http://schemas.openxmlformats.org/markup-compatibility/2006">
          <mc:Choice Requires="x14">
            <control shapeId="139304" r:id="rId7" name="DemandListBox">
              <controlPr defaultSize="0" autoLine="0" autoPict="0" macro="[0]!UpdateDemandDetails">
                <anchor moveWithCells="1">
                  <from>
                    <xdr:col>4</xdr:col>
                    <xdr:colOff>200025</xdr:colOff>
                    <xdr:row>48</xdr:row>
                    <xdr:rowOff>9525</xdr:rowOff>
                  </from>
                  <to>
                    <xdr:col>6</xdr:col>
                    <xdr:colOff>561975</xdr:colOff>
                    <xdr:row>50</xdr:row>
                    <xdr:rowOff>76200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B1:AM1065"/>
  <sheetViews>
    <sheetView topLeftCell="L1" workbookViewId="0">
      <pane ySplit="9" topLeftCell="A10" activePane="bottomLeft" state="frozen"/>
      <selection activeCell="J38" sqref="J38"/>
      <selection pane="bottomLeft" activeCell="Y10" sqref="Y10"/>
    </sheetView>
  </sheetViews>
  <sheetFormatPr defaultColWidth="8.85546875" defaultRowHeight="15" x14ac:dyDescent="0.25"/>
  <cols>
    <col min="2" max="2" width="15.140625" customWidth="1"/>
    <col min="3" max="3" width="12.140625" customWidth="1"/>
    <col min="4" max="4" width="24.85546875" customWidth="1"/>
    <col min="5" max="5" width="12.140625" customWidth="1"/>
    <col min="6" max="6" width="20.140625" bestFit="1" customWidth="1"/>
    <col min="7" max="8" width="14.42578125" customWidth="1"/>
    <col min="9" max="9" width="3.42578125" customWidth="1"/>
    <col min="10" max="10" width="19.42578125" customWidth="1"/>
    <col min="11" max="11" width="25.42578125" customWidth="1"/>
    <col min="12" max="12" width="19.42578125" customWidth="1"/>
    <col min="13" max="14" width="14.42578125" customWidth="1"/>
    <col min="15" max="15" width="5.42578125" customWidth="1"/>
    <col min="16" max="19" width="14.42578125" customWidth="1"/>
    <col min="20" max="20" width="4.140625" customWidth="1"/>
    <col min="21" max="21" width="13.42578125" customWidth="1"/>
    <col min="22" max="22" width="10.140625" customWidth="1"/>
    <col min="23" max="23" width="15.42578125" customWidth="1"/>
    <col min="24" max="24" width="18.42578125" customWidth="1"/>
    <col min="25" max="25" width="17.85546875" customWidth="1"/>
    <col min="26" max="26" width="4" customWidth="1"/>
    <col min="27" max="27" width="9.140625" customWidth="1"/>
    <col min="28" max="28" width="14.42578125" customWidth="1"/>
    <col min="29" max="29" width="11.42578125" bestFit="1" customWidth="1"/>
    <col min="30" max="31" width="11.42578125" customWidth="1"/>
    <col min="32" max="33" width="14.42578125" customWidth="1"/>
    <col min="34" max="34" width="4.42578125" customWidth="1"/>
    <col min="35" max="35" width="17.42578125" bestFit="1" customWidth="1"/>
    <col min="36" max="36" width="16.85546875" customWidth="1"/>
    <col min="37" max="37" width="32.140625" bestFit="1" customWidth="1"/>
    <col min="38" max="39" width="4.42578125" customWidth="1"/>
  </cols>
  <sheetData>
    <row r="1" spans="2:39" x14ac:dyDescent="0.25">
      <c r="K1" s="45"/>
      <c r="X1" s="184" t="s">
        <v>109</v>
      </c>
      <c r="Y1" s="185"/>
      <c r="Z1" s="45"/>
      <c r="AA1" s="45"/>
      <c r="AB1" s="45"/>
      <c r="AC1" s="45"/>
      <c r="AD1" s="45"/>
      <c r="AE1" s="45"/>
      <c r="AF1" s="45"/>
      <c r="AG1" s="45"/>
      <c r="AH1" s="45"/>
      <c r="AI1" s="45"/>
      <c r="AJ1" s="45"/>
      <c r="AK1" s="45"/>
      <c r="AL1" s="45"/>
      <c r="AM1" s="45"/>
    </row>
    <row r="2" spans="2:39" x14ac:dyDescent="0.25">
      <c r="K2" s="37"/>
      <c r="X2" s="25" t="str">
        <f>'Question List'!D52</f>
        <v>3-7 Years</v>
      </c>
      <c r="Y2" s="25">
        <v>7</v>
      </c>
      <c r="Z2" s="37"/>
      <c r="AA2" s="37"/>
      <c r="AB2" s="25" t="s">
        <v>108</v>
      </c>
      <c r="AC2" s="25">
        <v>1000</v>
      </c>
      <c r="AD2" s="37"/>
      <c r="AE2" s="47" t="s">
        <v>107</v>
      </c>
      <c r="AF2" s="46" t="s">
        <v>106</v>
      </c>
      <c r="AG2" s="46" t="s">
        <v>105</v>
      </c>
      <c r="AH2" s="37"/>
      <c r="AI2" s="37"/>
      <c r="AJ2" s="37"/>
      <c r="AK2" s="37"/>
      <c r="AL2" s="37"/>
      <c r="AM2" s="37"/>
    </row>
    <row r="3" spans="2:39" x14ac:dyDescent="0.25">
      <c r="K3" s="37"/>
      <c r="X3" s="25" t="str">
        <f>'Question List'!D53</f>
        <v>7-10 Years</v>
      </c>
      <c r="Y3" s="25">
        <v>10</v>
      </c>
      <c r="Z3" s="37"/>
      <c r="AA3" s="37"/>
      <c r="AB3" s="25" t="s">
        <v>104</v>
      </c>
      <c r="AC3" s="25">
        <v>0</v>
      </c>
      <c r="AD3" s="37"/>
      <c r="AE3" s="25" t="s">
        <v>103</v>
      </c>
      <c r="AF3" s="25">
        <f>AVERAGE(W10, 0)</f>
        <v>12.5</v>
      </c>
      <c r="AG3" s="25">
        <f>AVERAGE(W10, 0)</f>
        <v>12.5</v>
      </c>
      <c r="AH3" s="37"/>
      <c r="AI3" s="37"/>
      <c r="AJ3" s="37"/>
      <c r="AK3" s="37"/>
      <c r="AL3" s="37"/>
      <c r="AM3" s="37"/>
    </row>
    <row r="4" spans="2:39" x14ac:dyDescent="0.25">
      <c r="K4" s="37"/>
      <c r="X4" s="25" t="str">
        <f>'Question List'!D54</f>
        <v>More than 10 years</v>
      </c>
      <c r="Y4" s="25">
        <v>15</v>
      </c>
      <c r="Z4" s="37"/>
      <c r="AA4" s="37"/>
      <c r="AB4" s="25" t="s">
        <v>102</v>
      </c>
      <c r="AC4" s="25">
        <f>$E$1063</f>
        <v>28.872757156553895</v>
      </c>
      <c r="AD4" s="37"/>
      <c r="AE4" s="25" t="s">
        <v>101</v>
      </c>
      <c r="AF4" s="28">
        <f>IF(AI8&gt;0, AVERAGE(AB10,AC10), -1)</f>
        <v>0.24280775468081969</v>
      </c>
      <c r="AG4" s="28">
        <f>IF(AI8&lt;0, AVERAGE(AB10,AC10), -1)</f>
        <v>-1</v>
      </c>
      <c r="AH4" s="37"/>
      <c r="AI4" s="37"/>
      <c r="AJ4" s="37"/>
      <c r="AK4" s="37"/>
      <c r="AL4" s="37"/>
      <c r="AM4" s="37"/>
    </row>
    <row r="5" spans="2:39" ht="15.75" thickBot="1" x14ac:dyDescent="0.3">
      <c r="H5" s="8" t="s">
        <v>100</v>
      </c>
      <c r="I5" s="45"/>
      <c r="K5" s="39" t="s">
        <v>75</v>
      </c>
      <c r="L5" s="44">
        <f>IF(MIN('Arbitrage Payback Engine'!$L$10:$L$1063)=999,-1,INDEX('Arbitrage Payback Engine'!$E$10:$E$1063,MATCH(MIN('Arbitrage Payback Engine'!$L$10:$L$1063),'Arbitrage Payback Engine'!$L$10:$L$1063,FALSE)))</f>
        <v>6.7114093959731544</v>
      </c>
      <c r="M5" s="44">
        <f>INDEX('Arbitrage Payback Engine'!$E$10:$E$1063, MATCH(MIN('Arbitrage Payback Engine'!$M$10:$M$1063), 'Arbitrage Payback Engine'!$M$10:$M$1063, FALSE))</f>
        <v>6.7114093959731544</v>
      </c>
      <c r="N5" s="44">
        <f>IF(MIN('Arbitrage Payback Engine'!$N$10:$N$1063)=999,-1,INDEX('Arbitrage Payback Engine'!$E$10:$E$1063,MATCH(MIN('Arbitrage Payback Engine'!$N$10:$N$1063),'Arbitrage Payback Engine'!$N$10:$N$1063,FALSE)))</f>
        <v>-1</v>
      </c>
      <c r="R5" s="39" t="s">
        <v>85</v>
      </c>
      <c r="S5" s="39">
        <v>20</v>
      </c>
      <c r="X5" s="25" t="s">
        <v>99</v>
      </c>
      <c r="Y5" s="25">
        <f>IF(PaybackCustom="Default", -1, PaybackCustom)</f>
        <v>-1</v>
      </c>
      <c r="Z5" s="37"/>
      <c r="AA5" s="37"/>
      <c r="AC5" s="37"/>
      <c r="AD5" s="37"/>
      <c r="AE5" s="37"/>
      <c r="AF5" s="37"/>
      <c r="AG5" s="37"/>
      <c r="AH5" s="37"/>
      <c r="AI5" s="37"/>
      <c r="AJ5" s="37"/>
      <c r="AK5" s="37"/>
      <c r="AL5" s="37"/>
      <c r="AM5" s="37"/>
    </row>
    <row r="6" spans="2:39" ht="16.5" thickTop="1" thickBot="1" x14ac:dyDescent="0.3">
      <c r="H6" s="43" t="str">
        <f>VLOOKUP(AlternativeModelCustom,'Battery Pricing Model'!C18:D29, 2, FALSE)</f>
        <v>None</v>
      </c>
      <c r="I6" s="42"/>
      <c r="K6" s="37"/>
      <c r="N6" s="41"/>
      <c r="X6" s="25" t="s">
        <v>7</v>
      </c>
      <c r="Y6" s="25">
        <v>25</v>
      </c>
      <c r="Z6" s="37"/>
      <c r="AA6" s="188" t="s">
        <v>98</v>
      </c>
      <c r="AB6" s="188"/>
      <c r="AC6" s="188"/>
      <c r="AD6" s="181" t="s">
        <v>97</v>
      </c>
      <c r="AE6" s="182"/>
      <c r="AF6" s="182"/>
      <c r="AG6" s="183"/>
      <c r="AH6" s="37"/>
      <c r="AI6" s="181" t="s">
        <v>6</v>
      </c>
      <c r="AJ6" s="182"/>
      <c r="AK6" s="183"/>
      <c r="AL6" s="37"/>
      <c r="AM6" s="37"/>
    </row>
    <row r="7" spans="2:39" ht="16.5" thickTop="1" thickBot="1" x14ac:dyDescent="0.3">
      <c r="H7" s="42"/>
      <c r="I7" s="42"/>
      <c r="N7" s="41"/>
      <c r="X7" s="37"/>
      <c r="Y7" s="37"/>
      <c r="Z7" s="37"/>
      <c r="AA7" s="187"/>
      <c r="AB7" s="187"/>
      <c r="AC7" s="187"/>
      <c r="AD7" s="8" t="s">
        <v>68</v>
      </c>
      <c r="AE7" s="8" t="s">
        <v>96</v>
      </c>
      <c r="AF7" s="8" t="s">
        <v>95</v>
      </c>
      <c r="AG7" s="8" t="s">
        <v>94</v>
      </c>
      <c r="AH7" s="37"/>
      <c r="AI7" s="8" t="str">
        <f>"after "&amp;TRUNC(W10,0)&amp;" Years"</f>
        <v>after 25 Years</v>
      </c>
      <c r="AJ7" s="8" t="s">
        <v>93</v>
      </c>
      <c r="AK7" s="8" t="s">
        <v>92</v>
      </c>
      <c r="AL7" s="37"/>
      <c r="AM7" s="37"/>
    </row>
    <row r="8" spans="2:39" ht="16.5" thickTop="1" thickBot="1" x14ac:dyDescent="0.3">
      <c r="D8" s="186" t="s">
        <v>68</v>
      </c>
      <c r="E8" s="186"/>
      <c r="F8" s="181" t="s">
        <v>91</v>
      </c>
      <c r="G8" s="182"/>
      <c r="H8" s="182"/>
      <c r="J8" s="178" t="s">
        <v>90</v>
      </c>
      <c r="K8" s="179"/>
      <c r="L8" s="179"/>
      <c r="M8" s="179"/>
      <c r="N8" s="180"/>
      <c r="P8" s="181" t="s">
        <v>89</v>
      </c>
      <c r="Q8" s="182"/>
      <c r="R8" s="182"/>
      <c r="S8" s="182"/>
      <c r="U8" s="181" t="s">
        <v>88</v>
      </c>
      <c r="V8" s="182"/>
      <c r="W8" s="182"/>
      <c r="X8" s="182"/>
      <c r="Y8" s="183"/>
      <c r="Z8" s="37"/>
      <c r="AA8" s="187"/>
      <c r="AB8" s="187"/>
      <c r="AC8" s="187"/>
      <c r="AD8" s="29">
        <v>0</v>
      </c>
      <c r="AE8" s="25">
        <v>0</v>
      </c>
      <c r="AF8" s="25">
        <v>0</v>
      </c>
      <c r="AG8" s="25">
        <v>0</v>
      </c>
      <c r="AI8" s="31">
        <f>INDEX($AI$10:$AI$1063,MATCH(W10,$E$10:$E$1063,1))</f>
        <v>4.1877334385878067</v>
      </c>
      <c r="AJ8" s="40" t="str">
        <f>IF(L5&gt;0, ROUND(L5, 1) &amp; " years","&gt; 20 Years")</f>
        <v>6.7 years</v>
      </c>
      <c r="AK8" s="31">
        <f>INDEX($AI$10:$AI$1063,MATCH(Y4,$E$10:$E$1063,1))</f>
        <v>1.5238890821189341</v>
      </c>
    </row>
    <row r="9" spans="2:39" ht="15.75" thickTop="1" x14ac:dyDescent="0.25">
      <c r="B9" s="8" t="s">
        <v>87</v>
      </c>
      <c r="D9" s="25" t="s">
        <v>86</v>
      </c>
      <c r="E9" s="25" t="s">
        <v>85</v>
      </c>
      <c r="F9" s="25" t="s">
        <v>84</v>
      </c>
      <c r="G9" s="25" t="s">
        <v>83</v>
      </c>
      <c r="H9" s="25" t="s">
        <v>82</v>
      </c>
      <c r="I9" s="25"/>
      <c r="J9" s="25" t="s">
        <v>81</v>
      </c>
      <c r="K9" s="8" t="s">
        <v>80</v>
      </c>
      <c r="L9" s="25" t="s">
        <v>79</v>
      </c>
      <c r="M9" s="25" t="s">
        <v>78</v>
      </c>
      <c r="N9" s="25" t="s">
        <v>77</v>
      </c>
      <c r="O9" s="25"/>
      <c r="P9" s="25" t="s">
        <v>76</v>
      </c>
      <c r="Q9" s="39" t="s">
        <v>75</v>
      </c>
      <c r="R9" s="39" t="s">
        <v>75</v>
      </c>
      <c r="S9" s="39" t="s">
        <v>74</v>
      </c>
      <c r="U9" s="25" t="s">
        <v>73</v>
      </c>
      <c r="V9" s="25" t="s">
        <v>72</v>
      </c>
      <c r="W9" s="25" t="s">
        <v>71</v>
      </c>
      <c r="X9" s="39" t="s">
        <v>70</v>
      </c>
      <c r="Y9" s="38" t="s">
        <v>69</v>
      </c>
      <c r="Z9" s="37"/>
      <c r="AA9" s="36" t="s">
        <v>68</v>
      </c>
      <c r="AB9" s="8" t="s">
        <v>67</v>
      </c>
      <c r="AC9" s="8" t="s">
        <v>66</v>
      </c>
      <c r="AD9" s="29">
        <f>AD10</f>
        <v>0.94876660341555974</v>
      </c>
      <c r="AE9" s="28">
        <v>0</v>
      </c>
      <c r="AF9" s="28">
        <v>0</v>
      </c>
      <c r="AG9" s="28">
        <v>0</v>
      </c>
      <c r="AH9" t="s">
        <v>64</v>
      </c>
      <c r="AI9" s="8" t="s">
        <v>65</v>
      </c>
      <c r="AJ9" t="s">
        <v>64</v>
      </c>
      <c r="AK9" t="s">
        <v>64</v>
      </c>
      <c r="AL9" t="s">
        <v>64</v>
      </c>
    </row>
    <row r="10" spans="2:39" x14ac:dyDescent="0.25">
      <c r="B10" s="8" t="s">
        <v>7</v>
      </c>
      <c r="D10" s="25">
        <f>E10*'Profit per cycles Model'!$I$113</f>
        <v>10</v>
      </c>
      <c r="E10" s="25">
        <v>2.7393507738665935E-2</v>
      </c>
      <c r="F10" s="28">
        <f t="shared" ref="F10:F73" si="0">IF(OR($H$6="None", $H$6=0), G10, H10)</f>
        <v>100</v>
      </c>
      <c r="G10" s="28">
        <f>'Battery Pricing Model'!$C$17/D10</f>
        <v>100</v>
      </c>
      <c r="H10" s="28">
        <f t="shared" ref="H10:H73" si="1">IF(OR($H$6="None", $H$6=0), 999, $G10*(H$6))</f>
        <v>999</v>
      </c>
      <c r="I10" s="28"/>
      <c r="J10" s="34">
        <f>INDEX('Profit per cycles Model'!$I$149:$I$179, MATCH(TRUNC(E10, 0), 'Profit per cycles Model'!$H$149:$H$179, 0))</f>
        <v>0.37596638655462183</v>
      </c>
      <c r="K10" s="27">
        <f>AVERAGE($AB$10:AB10)</f>
        <v>0.37596638655462183</v>
      </c>
      <c r="L10" s="28">
        <f t="shared" ref="L10:L73" si="2">IF(K10-F10&lt;0, 999, K10-F10)</f>
        <v>999</v>
      </c>
      <c r="M10" s="28">
        <f t="shared" ref="M10:M73" si="3">IF(K10-F10&lt;0, 999, K10-F10)</f>
        <v>999</v>
      </c>
      <c r="N10" s="28">
        <f t="shared" ref="N10:N73" si="4">IF(K10-H10&lt;0, 999, K10-H10)</f>
        <v>999</v>
      </c>
      <c r="O10" s="28"/>
      <c r="P10" s="29">
        <f>1/1000</f>
        <v>1E-3</v>
      </c>
      <c r="Q10" s="33">
        <f t="shared" ref="Q10:Q73" si="5">$L$5</f>
        <v>6.7114093959731544</v>
      </c>
      <c r="R10" s="33">
        <f t="shared" ref="R10:R73" si="6">$M$5</f>
        <v>6.7114093959731544</v>
      </c>
      <c r="S10" s="33">
        <f t="shared" ref="S10:S73" si="7">$N$5</f>
        <v>-1</v>
      </c>
      <c r="T10" s="27"/>
      <c r="U10" s="28">
        <f t="shared" ref="U10:U73" si="8">IF(ISNA(INDEX($F$10:$F$1063,MATCH(W10,$E$10:$E$1063,1))),-1,INDEX($F$10:$F$1063,MATCH(W10,$E$10:$E$1063,1)))</f>
        <v>0.10964912280701754</v>
      </c>
      <c r="V10" s="25">
        <f t="shared" ref="V10:V73" si="9">IF(ISNA(INDEX($H$10:$H$1063, MATCH(X10, $E$10:$E$1063,1))),-1,  INDEX($H$10:$H$1063, MATCH(X10, $E$10:$E$1063,1)))</f>
        <v>999</v>
      </c>
      <c r="W10" s="35">
        <f>IF( AND(X10&gt;0, Y10&gt;0), IF(X10&lt;Y10, X10, Y10),  IF(X10&gt;0, X10, IF(Y10&gt;0, Y10, -1)) )</f>
        <v>25</v>
      </c>
      <c r="X10" s="33">
        <f t="shared" ref="X10:X73" si="10">IF(PaybackCustom&gt;0, IF(PaybackCustom&lt;&gt;"Default", PaybackCustom, IF(PaybackStatus&lt;&gt;"",INDEX($Y$2:$Y$6,MATCH(PaybackStatus,$X$2:$X$6,FALSE)),-1)))</f>
        <v>25</v>
      </c>
      <c r="Y10" s="32">
        <f>IF(PaybackStatus&lt;&gt;"",IF(PaybackStatus=$X$4,IF(X10&lt;=$Y$4,$Y$4,-1), -1), -1)</f>
        <v>-1</v>
      </c>
      <c r="Z10" s="32"/>
      <c r="AA10" s="30">
        <f t="shared" ref="AA10:AA73" si="11">E10</f>
        <v>2.7393507738665935E-2</v>
      </c>
      <c r="AB10" s="28">
        <f t="shared" ref="AB10:AB73" si="12">J10</f>
        <v>0.37596638655462183</v>
      </c>
      <c r="AC10" s="28">
        <f t="shared" ref="AC10:AC73" si="13">U10</f>
        <v>0.10964912280701754</v>
      </c>
      <c r="AD10" s="29">
        <f t="shared" ref="AD10:AD73" si="14">$AC$2*(AA10-$AC$3)/($AC$4-$AC$3)</f>
        <v>0.94876660341555974</v>
      </c>
      <c r="AE10" s="28">
        <f t="shared" ref="AE10:AE73" si="15">MIN(AC10, AB10)</f>
        <v>0.10964912280701754</v>
      </c>
      <c r="AF10" s="28">
        <f t="shared" ref="AF10:AF73" si="16">IF(AND(AA10&lt;X10, AB10&gt;AC10), AB10-AC10, 0)</f>
        <v>0.26631726374760428</v>
      </c>
      <c r="AG10" s="28">
        <f t="shared" ref="AG10:AG73" si="17">IF(AND(AA10&lt;X10, AC10&gt;AB10), AC10-AB10, 0)</f>
        <v>0</v>
      </c>
      <c r="AI10" s="31">
        <f t="shared" ref="AI10:AI73" si="18">(K10-F10)/F10</f>
        <v>-0.99624033613445373</v>
      </c>
      <c r="AJ10" s="25"/>
      <c r="AK10" s="31"/>
      <c r="AM10" s="27"/>
    </row>
    <row r="11" spans="2:39" x14ac:dyDescent="0.25">
      <c r="B11" s="8">
        <v>1</v>
      </c>
      <c r="D11" s="25">
        <f>E11*'Profit per cycles Model'!$I$113</f>
        <v>20</v>
      </c>
      <c r="E11" s="25">
        <v>5.478701547733187E-2</v>
      </c>
      <c r="F11" s="28">
        <f t="shared" si="0"/>
        <v>50</v>
      </c>
      <c r="G11" s="28">
        <f>'Battery Pricing Model'!$C$17/D11</f>
        <v>50</v>
      </c>
      <c r="H11" s="28">
        <f t="shared" si="1"/>
        <v>999</v>
      </c>
      <c r="I11" s="28"/>
      <c r="J11" s="34">
        <f>INDEX('Profit per cycles Model'!$I$149:$I$179, MATCH(TRUNC(E11, 0), 'Profit per cycles Model'!$H$149:$H$179, 0))</f>
        <v>0.37596638655462183</v>
      </c>
      <c r="K11" s="27">
        <f>AVERAGE($AB$10:AB11)</f>
        <v>0.37596638655462183</v>
      </c>
      <c r="L11" s="28">
        <f t="shared" si="2"/>
        <v>999</v>
      </c>
      <c r="M11" s="28">
        <f t="shared" si="3"/>
        <v>999</v>
      </c>
      <c r="N11" s="28">
        <f t="shared" si="4"/>
        <v>999</v>
      </c>
      <c r="O11" s="28"/>
      <c r="P11" s="29">
        <f t="shared" ref="P11:P74" si="19">P10+0.001</f>
        <v>2E-3</v>
      </c>
      <c r="Q11" s="33">
        <f t="shared" si="5"/>
        <v>6.7114093959731544</v>
      </c>
      <c r="R11" s="33">
        <f t="shared" si="6"/>
        <v>6.7114093959731544</v>
      </c>
      <c r="S11" s="33">
        <f t="shared" si="7"/>
        <v>-1</v>
      </c>
      <c r="T11" s="27"/>
      <c r="U11" s="28">
        <f t="shared" si="8"/>
        <v>0.10964912280701754</v>
      </c>
      <c r="V11" s="25">
        <f t="shared" si="9"/>
        <v>999</v>
      </c>
      <c r="W11" s="35">
        <f t="shared" ref="W11:W74" si="20">IF( AND(X11&gt;0, Y11&gt;0), IF(X11&lt;Y11, X11, Y11),  IF(X11&gt;0, X11, IF(Y11&gt;0, Y11, -1)) )</f>
        <v>25</v>
      </c>
      <c r="X11" s="33">
        <f t="shared" si="10"/>
        <v>25</v>
      </c>
      <c r="Y11" s="32">
        <f t="shared" ref="Y11:Y73" si="21">IF(PaybackStatus&lt;&gt;"",IF(PaybackStatus=$X$4,IF(X11&lt;=$Y$4,$Y$4,-1), -1), -1)</f>
        <v>-1</v>
      </c>
      <c r="Z11" s="32"/>
      <c r="AA11" s="30">
        <f t="shared" si="11"/>
        <v>5.478701547733187E-2</v>
      </c>
      <c r="AB11" s="28">
        <f t="shared" si="12"/>
        <v>0.37596638655462183</v>
      </c>
      <c r="AC11" s="28">
        <f t="shared" si="13"/>
        <v>0.10964912280701754</v>
      </c>
      <c r="AD11" s="29">
        <f t="shared" si="14"/>
        <v>1.8975332068311195</v>
      </c>
      <c r="AE11" s="28">
        <f t="shared" si="15"/>
        <v>0.10964912280701754</v>
      </c>
      <c r="AF11" s="28">
        <f t="shared" si="16"/>
        <v>0.26631726374760428</v>
      </c>
      <c r="AG11" s="28">
        <f t="shared" si="17"/>
        <v>0</v>
      </c>
      <c r="AI11" s="31">
        <f t="shared" si="18"/>
        <v>-0.99248067226890757</v>
      </c>
      <c r="AJ11" s="25"/>
      <c r="AK11" s="31"/>
      <c r="AM11" s="27"/>
    </row>
    <row r="12" spans="2:39" x14ac:dyDescent="0.25">
      <c r="B12" s="8">
        <f t="shared" ref="B12:B30" si="22">B11+1</f>
        <v>2</v>
      </c>
      <c r="D12" s="25">
        <f>E12*'Profit per cycles Model'!$I$113</f>
        <v>30</v>
      </c>
      <c r="E12" s="25">
        <v>8.2180523215997808E-2</v>
      </c>
      <c r="F12" s="28">
        <f t="shared" si="0"/>
        <v>33.333333333333336</v>
      </c>
      <c r="G12" s="28">
        <f>'Battery Pricing Model'!$C$17/D12</f>
        <v>33.333333333333336</v>
      </c>
      <c r="H12" s="28">
        <f t="shared" si="1"/>
        <v>999</v>
      </c>
      <c r="I12" s="28"/>
      <c r="J12" s="34">
        <f>INDEX('Profit per cycles Model'!$I$149:$I$179, MATCH(TRUNC(E12, 0), 'Profit per cycles Model'!$H$149:$H$179, 0))</f>
        <v>0.37596638655462183</v>
      </c>
      <c r="K12" s="27">
        <f>AVERAGE($AB$10:AB12)</f>
        <v>0.37596638655462183</v>
      </c>
      <c r="L12" s="28">
        <f t="shared" si="2"/>
        <v>999</v>
      </c>
      <c r="M12" s="28">
        <f t="shared" si="3"/>
        <v>999</v>
      </c>
      <c r="N12" s="28">
        <f t="shared" si="4"/>
        <v>999</v>
      </c>
      <c r="O12" s="28"/>
      <c r="P12" s="29">
        <f t="shared" si="19"/>
        <v>3.0000000000000001E-3</v>
      </c>
      <c r="Q12" s="33">
        <f t="shared" si="5"/>
        <v>6.7114093959731544</v>
      </c>
      <c r="R12" s="33">
        <f t="shared" si="6"/>
        <v>6.7114093959731544</v>
      </c>
      <c r="S12" s="33">
        <f t="shared" si="7"/>
        <v>-1</v>
      </c>
      <c r="T12" s="27"/>
      <c r="U12" s="28">
        <f t="shared" si="8"/>
        <v>0.10964912280701754</v>
      </c>
      <c r="V12" s="25">
        <f t="shared" si="9"/>
        <v>999</v>
      </c>
      <c r="W12" s="35">
        <f t="shared" si="20"/>
        <v>25</v>
      </c>
      <c r="X12" s="33">
        <f t="shared" si="10"/>
        <v>25</v>
      </c>
      <c r="Y12" s="32">
        <f t="shared" si="21"/>
        <v>-1</v>
      </c>
      <c r="Z12" s="32"/>
      <c r="AA12" s="30">
        <f t="shared" si="11"/>
        <v>8.2180523215997808E-2</v>
      </c>
      <c r="AB12" s="28">
        <f t="shared" si="12"/>
        <v>0.37596638655462183</v>
      </c>
      <c r="AC12" s="28">
        <f t="shared" si="13"/>
        <v>0.10964912280701754</v>
      </c>
      <c r="AD12" s="29">
        <f t="shared" si="14"/>
        <v>2.8462998102466797</v>
      </c>
      <c r="AE12" s="28">
        <f t="shared" si="15"/>
        <v>0.10964912280701754</v>
      </c>
      <c r="AF12" s="28">
        <f t="shared" si="16"/>
        <v>0.26631726374760428</v>
      </c>
      <c r="AG12" s="28">
        <f t="shared" si="17"/>
        <v>0</v>
      </c>
      <c r="AI12" s="31">
        <f t="shared" si="18"/>
        <v>-0.9887210084033613</v>
      </c>
      <c r="AJ12" s="25"/>
      <c r="AK12" s="31"/>
      <c r="AM12" s="27"/>
    </row>
    <row r="13" spans="2:39" x14ac:dyDescent="0.25">
      <c r="B13" s="8">
        <f t="shared" si="22"/>
        <v>3</v>
      </c>
      <c r="D13" s="25">
        <f>E13*'Profit per cycles Model'!$I$113</f>
        <v>40</v>
      </c>
      <c r="E13" s="25">
        <v>0.10957403095466374</v>
      </c>
      <c r="F13" s="28">
        <f t="shared" si="0"/>
        <v>25</v>
      </c>
      <c r="G13" s="28">
        <f>'Battery Pricing Model'!$C$17/D13</f>
        <v>25</v>
      </c>
      <c r="H13" s="28">
        <f t="shared" si="1"/>
        <v>999</v>
      </c>
      <c r="I13" s="28"/>
      <c r="J13" s="34">
        <f>INDEX('Profit per cycles Model'!$I$149:$I$179, MATCH(TRUNC(E13, 0), 'Profit per cycles Model'!$H$149:$H$179, 0))</f>
        <v>0.37596638655462183</v>
      </c>
      <c r="K13" s="27">
        <f>AVERAGE($AB$10:AB13)</f>
        <v>0.37596638655462183</v>
      </c>
      <c r="L13" s="28">
        <f t="shared" si="2"/>
        <v>999</v>
      </c>
      <c r="M13" s="28">
        <f t="shared" si="3"/>
        <v>999</v>
      </c>
      <c r="N13" s="28">
        <f t="shared" si="4"/>
        <v>999</v>
      </c>
      <c r="O13" s="28"/>
      <c r="P13" s="29">
        <f t="shared" si="19"/>
        <v>4.0000000000000001E-3</v>
      </c>
      <c r="Q13" s="33">
        <f t="shared" si="5"/>
        <v>6.7114093959731544</v>
      </c>
      <c r="R13" s="33">
        <f t="shared" si="6"/>
        <v>6.7114093959731544</v>
      </c>
      <c r="S13" s="33">
        <f t="shared" si="7"/>
        <v>-1</v>
      </c>
      <c r="T13" s="27"/>
      <c r="U13" s="28">
        <f t="shared" si="8"/>
        <v>0.10964912280701754</v>
      </c>
      <c r="V13" s="25">
        <f t="shared" si="9"/>
        <v>999</v>
      </c>
      <c r="W13" s="35">
        <f t="shared" si="20"/>
        <v>25</v>
      </c>
      <c r="X13" s="33">
        <f t="shared" si="10"/>
        <v>25</v>
      </c>
      <c r="Y13" s="32">
        <f t="shared" si="21"/>
        <v>-1</v>
      </c>
      <c r="Z13" s="32"/>
      <c r="AA13" s="30">
        <f t="shared" si="11"/>
        <v>0.10957403095466374</v>
      </c>
      <c r="AB13" s="28">
        <f t="shared" si="12"/>
        <v>0.37596638655462183</v>
      </c>
      <c r="AC13" s="28">
        <f t="shared" si="13"/>
        <v>0.10964912280701754</v>
      </c>
      <c r="AD13" s="29">
        <f t="shared" si="14"/>
        <v>3.795066413662239</v>
      </c>
      <c r="AE13" s="28">
        <f t="shared" si="15"/>
        <v>0.10964912280701754</v>
      </c>
      <c r="AF13" s="28">
        <f t="shared" si="16"/>
        <v>0.26631726374760428</v>
      </c>
      <c r="AG13" s="28">
        <f t="shared" si="17"/>
        <v>0</v>
      </c>
      <c r="AI13" s="31">
        <f t="shared" si="18"/>
        <v>-0.98496134453781503</v>
      </c>
      <c r="AJ13" s="25"/>
      <c r="AK13" s="31"/>
      <c r="AM13" s="27"/>
    </row>
    <row r="14" spans="2:39" x14ac:dyDescent="0.25">
      <c r="B14" s="8">
        <f t="shared" si="22"/>
        <v>4</v>
      </c>
      <c r="D14" s="25">
        <f>E14*'Profit per cycles Model'!$I$113</f>
        <v>50</v>
      </c>
      <c r="E14" s="25">
        <v>0.13696753869332967</v>
      </c>
      <c r="F14" s="28">
        <f t="shared" si="0"/>
        <v>20</v>
      </c>
      <c r="G14" s="28">
        <f>'Battery Pricing Model'!$C$17/D14</f>
        <v>20</v>
      </c>
      <c r="H14" s="28">
        <f t="shared" si="1"/>
        <v>999</v>
      </c>
      <c r="I14" s="28"/>
      <c r="J14" s="34">
        <f>INDEX('Profit per cycles Model'!$I$149:$I$179, MATCH(TRUNC(E14, 0), 'Profit per cycles Model'!$H$149:$H$179, 0))</f>
        <v>0.37596638655462183</v>
      </c>
      <c r="K14" s="27">
        <f>AVERAGE($AB$10:AB14)</f>
        <v>0.37596638655462183</v>
      </c>
      <c r="L14" s="28">
        <f t="shared" si="2"/>
        <v>999</v>
      </c>
      <c r="M14" s="28">
        <f t="shared" si="3"/>
        <v>999</v>
      </c>
      <c r="N14" s="28">
        <f t="shared" si="4"/>
        <v>999</v>
      </c>
      <c r="O14" s="28"/>
      <c r="P14" s="29">
        <f t="shared" si="19"/>
        <v>5.0000000000000001E-3</v>
      </c>
      <c r="Q14" s="33">
        <f t="shared" si="5"/>
        <v>6.7114093959731544</v>
      </c>
      <c r="R14" s="33">
        <f t="shared" si="6"/>
        <v>6.7114093959731544</v>
      </c>
      <c r="S14" s="33">
        <f t="shared" si="7"/>
        <v>-1</v>
      </c>
      <c r="T14" s="27"/>
      <c r="U14" s="28">
        <f t="shared" si="8"/>
        <v>0.10964912280701754</v>
      </c>
      <c r="V14" s="25">
        <f t="shared" si="9"/>
        <v>999</v>
      </c>
      <c r="W14" s="35">
        <f t="shared" si="20"/>
        <v>25</v>
      </c>
      <c r="X14" s="33">
        <f t="shared" si="10"/>
        <v>25</v>
      </c>
      <c r="Y14" s="32">
        <f t="shared" si="21"/>
        <v>-1</v>
      </c>
      <c r="Z14" s="32"/>
      <c r="AA14" s="30">
        <f t="shared" si="11"/>
        <v>0.13696753869332967</v>
      </c>
      <c r="AB14" s="28">
        <f t="shared" si="12"/>
        <v>0.37596638655462183</v>
      </c>
      <c r="AC14" s="28">
        <f t="shared" si="13"/>
        <v>0.10964912280701754</v>
      </c>
      <c r="AD14" s="29">
        <f t="shared" si="14"/>
        <v>4.7438330170777983</v>
      </c>
      <c r="AE14" s="28">
        <f t="shared" si="15"/>
        <v>0.10964912280701754</v>
      </c>
      <c r="AF14" s="28">
        <f t="shared" si="16"/>
        <v>0.26631726374760428</v>
      </c>
      <c r="AG14" s="28">
        <f t="shared" si="17"/>
        <v>0</v>
      </c>
      <c r="AI14" s="31">
        <f t="shared" si="18"/>
        <v>-0.98120168067226887</v>
      </c>
      <c r="AJ14" s="25"/>
      <c r="AK14" s="31"/>
      <c r="AM14" s="27"/>
    </row>
    <row r="15" spans="2:39" x14ac:dyDescent="0.25">
      <c r="B15" s="8">
        <f t="shared" si="22"/>
        <v>5</v>
      </c>
      <c r="D15" s="25">
        <f>E15*'Profit per cycles Model'!$I$113</f>
        <v>60</v>
      </c>
      <c r="E15" s="25">
        <v>0.16436104643199562</v>
      </c>
      <c r="F15" s="28">
        <f t="shared" si="0"/>
        <v>16.666666666666668</v>
      </c>
      <c r="G15" s="28">
        <f>'Battery Pricing Model'!$C$17/D15</f>
        <v>16.666666666666668</v>
      </c>
      <c r="H15" s="28">
        <f t="shared" si="1"/>
        <v>999</v>
      </c>
      <c r="I15" s="28"/>
      <c r="J15" s="34">
        <f>INDEX('Profit per cycles Model'!$I$149:$I$179, MATCH(TRUNC(E15, 0), 'Profit per cycles Model'!$H$149:$H$179, 0))</f>
        <v>0.37596638655462183</v>
      </c>
      <c r="K15" s="27">
        <f>AVERAGE($AB$10:AB15)</f>
        <v>0.37596638655462183</v>
      </c>
      <c r="L15" s="28">
        <f t="shared" si="2"/>
        <v>999</v>
      </c>
      <c r="M15" s="28">
        <f t="shared" si="3"/>
        <v>999</v>
      </c>
      <c r="N15" s="28">
        <f t="shared" si="4"/>
        <v>999</v>
      </c>
      <c r="O15" s="28"/>
      <c r="P15" s="29">
        <f t="shared" si="19"/>
        <v>6.0000000000000001E-3</v>
      </c>
      <c r="Q15" s="33">
        <f t="shared" si="5"/>
        <v>6.7114093959731544</v>
      </c>
      <c r="R15" s="33">
        <f t="shared" si="6"/>
        <v>6.7114093959731544</v>
      </c>
      <c r="S15" s="33">
        <f t="shared" si="7"/>
        <v>-1</v>
      </c>
      <c r="T15" s="27"/>
      <c r="U15" s="28">
        <f t="shared" si="8"/>
        <v>0.10964912280701754</v>
      </c>
      <c r="V15" s="25">
        <f t="shared" si="9"/>
        <v>999</v>
      </c>
      <c r="W15" s="35">
        <f t="shared" si="20"/>
        <v>25</v>
      </c>
      <c r="X15" s="33">
        <f t="shared" si="10"/>
        <v>25</v>
      </c>
      <c r="Y15" s="32">
        <f t="shared" si="21"/>
        <v>-1</v>
      </c>
      <c r="Z15" s="32"/>
      <c r="AA15" s="30">
        <f t="shared" si="11"/>
        <v>0.16436104643199562</v>
      </c>
      <c r="AB15" s="28">
        <f t="shared" si="12"/>
        <v>0.37596638655462183</v>
      </c>
      <c r="AC15" s="28">
        <f t="shared" si="13"/>
        <v>0.10964912280701754</v>
      </c>
      <c r="AD15" s="29">
        <f t="shared" si="14"/>
        <v>5.6925996204933593</v>
      </c>
      <c r="AE15" s="28">
        <f t="shared" si="15"/>
        <v>0.10964912280701754</v>
      </c>
      <c r="AF15" s="28">
        <f t="shared" si="16"/>
        <v>0.26631726374760428</v>
      </c>
      <c r="AG15" s="28">
        <f t="shared" si="17"/>
        <v>0</v>
      </c>
      <c r="AI15" s="31">
        <f t="shared" si="18"/>
        <v>-0.9774420168067226</v>
      </c>
      <c r="AJ15" s="25"/>
      <c r="AK15" s="31"/>
      <c r="AM15" s="27"/>
    </row>
    <row r="16" spans="2:39" x14ac:dyDescent="0.25">
      <c r="B16" s="8">
        <f t="shared" si="22"/>
        <v>6</v>
      </c>
      <c r="D16" s="25">
        <f>E16*'Profit per cycles Model'!$I$113</f>
        <v>70</v>
      </c>
      <c r="E16" s="25">
        <v>0.19175455417066153</v>
      </c>
      <c r="F16" s="28">
        <f t="shared" si="0"/>
        <v>14.285714285714286</v>
      </c>
      <c r="G16" s="28">
        <f>'Battery Pricing Model'!$C$17/D16</f>
        <v>14.285714285714286</v>
      </c>
      <c r="H16" s="28">
        <f t="shared" si="1"/>
        <v>999</v>
      </c>
      <c r="I16" s="28"/>
      <c r="J16" s="34">
        <f>INDEX('Profit per cycles Model'!$I$149:$I$179, MATCH(TRUNC(E16, 0), 'Profit per cycles Model'!$H$149:$H$179, 0))</f>
        <v>0.37596638655462183</v>
      </c>
      <c r="K16" s="27">
        <f>AVERAGE($AB$10:AB16)</f>
        <v>0.37596638655462178</v>
      </c>
      <c r="L16" s="28">
        <f t="shared" si="2"/>
        <v>999</v>
      </c>
      <c r="M16" s="28">
        <f t="shared" si="3"/>
        <v>999</v>
      </c>
      <c r="N16" s="28">
        <f t="shared" si="4"/>
        <v>999</v>
      </c>
      <c r="O16" s="28"/>
      <c r="P16" s="29">
        <f t="shared" si="19"/>
        <v>7.0000000000000001E-3</v>
      </c>
      <c r="Q16" s="33">
        <f t="shared" si="5"/>
        <v>6.7114093959731544</v>
      </c>
      <c r="R16" s="33">
        <f t="shared" si="6"/>
        <v>6.7114093959731544</v>
      </c>
      <c r="S16" s="33">
        <f t="shared" si="7"/>
        <v>-1</v>
      </c>
      <c r="T16" s="27"/>
      <c r="U16" s="28">
        <f t="shared" si="8"/>
        <v>0.10964912280701754</v>
      </c>
      <c r="V16" s="25">
        <f t="shared" si="9"/>
        <v>999</v>
      </c>
      <c r="W16" s="35">
        <f t="shared" si="20"/>
        <v>25</v>
      </c>
      <c r="X16" s="33">
        <f t="shared" si="10"/>
        <v>25</v>
      </c>
      <c r="Y16" s="32">
        <f t="shared" si="21"/>
        <v>-1</v>
      </c>
      <c r="Z16" s="32"/>
      <c r="AA16" s="30">
        <f t="shared" si="11"/>
        <v>0.19175455417066153</v>
      </c>
      <c r="AB16" s="28">
        <f t="shared" si="12"/>
        <v>0.37596638655462183</v>
      </c>
      <c r="AC16" s="28">
        <f t="shared" si="13"/>
        <v>0.10964912280701754</v>
      </c>
      <c r="AD16" s="29">
        <f t="shared" si="14"/>
        <v>6.6413662239089177</v>
      </c>
      <c r="AE16" s="28">
        <f t="shared" si="15"/>
        <v>0.10964912280701754</v>
      </c>
      <c r="AF16" s="28">
        <f t="shared" si="16"/>
        <v>0.26631726374760428</v>
      </c>
      <c r="AG16" s="28">
        <f t="shared" si="17"/>
        <v>0</v>
      </c>
      <c r="AI16" s="31">
        <f t="shared" si="18"/>
        <v>-0.97368235294117655</v>
      </c>
      <c r="AJ16" s="25"/>
      <c r="AK16" s="31"/>
      <c r="AM16" s="27"/>
    </row>
    <row r="17" spans="2:39" x14ac:dyDescent="0.25">
      <c r="B17" s="8">
        <f t="shared" si="22"/>
        <v>7</v>
      </c>
      <c r="D17" s="25">
        <f>E17*'Profit per cycles Model'!$I$113</f>
        <v>80</v>
      </c>
      <c r="E17" s="25">
        <v>0.21914806190932748</v>
      </c>
      <c r="F17" s="28">
        <f t="shared" si="0"/>
        <v>12.5</v>
      </c>
      <c r="G17" s="28">
        <f>'Battery Pricing Model'!$C$17/D17</f>
        <v>12.5</v>
      </c>
      <c r="H17" s="28">
        <f t="shared" si="1"/>
        <v>999</v>
      </c>
      <c r="I17" s="28"/>
      <c r="J17" s="34">
        <f>INDEX('Profit per cycles Model'!$I$149:$I$179, MATCH(TRUNC(E17, 0), 'Profit per cycles Model'!$H$149:$H$179, 0))</f>
        <v>0.37596638655462183</v>
      </c>
      <c r="K17" s="27">
        <f>AVERAGE($AB$10:AB17)</f>
        <v>0.37596638655462178</v>
      </c>
      <c r="L17" s="28">
        <f t="shared" si="2"/>
        <v>999</v>
      </c>
      <c r="M17" s="28">
        <f t="shared" si="3"/>
        <v>999</v>
      </c>
      <c r="N17" s="28">
        <f t="shared" si="4"/>
        <v>999</v>
      </c>
      <c r="O17" s="28"/>
      <c r="P17" s="29">
        <f t="shared" si="19"/>
        <v>8.0000000000000002E-3</v>
      </c>
      <c r="Q17" s="33">
        <f t="shared" si="5"/>
        <v>6.7114093959731544</v>
      </c>
      <c r="R17" s="33">
        <f t="shared" si="6"/>
        <v>6.7114093959731544</v>
      </c>
      <c r="S17" s="33">
        <f t="shared" si="7"/>
        <v>-1</v>
      </c>
      <c r="T17" s="27"/>
      <c r="U17" s="28">
        <f t="shared" si="8"/>
        <v>0.10964912280701754</v>
      </c>
      <c r="V17" s="25">
        <f t="shared" si="9"/>
        <v>999</v>
      </c>
      <c r="W17" s="35">
        <f t="shared" si="20"/>
        <v>25</v>
      </c>
      <c r="X17" s="33">
        <f t="shared" si="10"/>
        <v>25</v>
      </c>
      <c r="Y17" s="32">
        <f t="shared" si="21"/>
        <v>-1</v>
      </c>
      <c r="Z17" s="32"/>
      <c r="AA17" s="30">
        <f t="shared" si="11"/>
        <v>0.21914806190932748</v>
      </c>
      <c r="AB17" s="28">
        <f t="shared" si="12"/>
        <v>0.37596638655462183</v>
      </c>
      <c r="AC17" s="28">
        <f t="shared" si="13"/>
        <v>0.10964912280701754</v>
      </c>
      <c r="AD17" s="29">
        <f t="shared" si="14"/>
        <v>7.5901328273244779</v>
      </c>
      <c r="AE17" s="28">
        <f t="shared" si="15"/>
        <v>0.10964912280701754</v>
      </c>
      <c r="AF17" s="28">
        <f t="shared" si="16"/>
        <v>0.26631726374760428</v>
      </c>
      <c r="AG17" s="28">
        <f t="shared" si="17"/>
        <v>0</v>
      </c>
      <c r="AI17" s="31">
        <f t="shared" si="18"/>
        <v>-0.96992268907563028</v>
      </c>
      <c r="AJ17" s="25"/>
      <c r="AK17" s="31"/>
      <c r="AM17" s="27"/>
    </row>
    <row r="18" spans="2:39" x14ac:dyDescent="0.25">
      <c r="B18" s="8">
        <f t="shared" si="22"/>
        <v>8</v>
      </c>
      <c r="D18" s="25">
        <f>E18*'Profit per cycles Model'!$I$113</f>
        <v>90</v>
      </c>
      <c r="E18" s="25">
        <v>0.24654156964799342</v>
      </c>
      <c r="F18" s="28">
        <f t="shared" si="0"/>
        <v>11.111111111111111</v>
      </c>
      <c r="G18" s="28">
        <f>'Battery Pricing Model'!$C$17/D18</f>
        <v>11.111111111111111</v>
      </c>
      <c r="H18" s="28">
        <f t="shared" si="1"/>
        <v>999</v>
      </c>
      <c r="I18" s="28"/>
      <c r="J18" s="34">
        <f>INDEX('Profit per cycles Model'!$I$149:$I$179, MATCH(TRUNC(E18, 0), 'Profit per cycles Model'!$H$149:$H$179, 0))</f>
        <v>0.37596638655462183</v>
      </c>
      <c r="K18" s="27">
        <f>AVERAGE($AB$10:AB18)</f>
        <v>0.37596638655462178</v>
      </c>
      <c r="L18" s="28">
        <f t="shared" si="2"/>
        <v>999</v>
      </c>
      <c r="M18" s="28">
        <f t="shared" si="3"/>
        <v>999</v>
      </c>
      <c r="N18" s="28">
        <f t="shared" si="4"/>
        <v>999</v>
      </c>
      <c r="O18" s="28"/>
      <c r="P18" s="29">
        <f t="shared" si="19"/>
        <v>9.0000000000000011E-3</v>
      </c>
      <c r="Q18" s="33">
        <f t="shared" si="5"/>
        <v>6.7114093959731544</v>
      </c>
      <c r="R18" s="33">
        <f t="shared" si="6"/>
        <v>6.7114093959731544</v>
      </c>
      <c r="S18" s="33">
        <f t="shared" si="7"/>
        <v>-1</v>
      </c>
      <c r="T18" s="27"/>
      <c r="U18" s="28">
        <f t="shared" si="8"/>
        <v>0.10964912280701754</v>
      </c>
      <c r="V18" s="25">
        <f t="shared" si="9"/>
        <v>999</v>
      </c>
      <c r="W18" s="35">
        <f t="shared" si="20"/>
        <v>25</v>
      </c>
      <c r="X18" s="33">
        <f t="shared" si="10"/>
        <v>25</v>
      </c>
      <c r="Y18" s="32">
        <f t="shared" si="21"/>
        <v>-1</v>
      </c>
      <c r="Z18" s="32"/>
      <c r="AA18" s="30">
        <f t="shared" si="11"/>
        <v>0.24654156964799342</v>
      </c>
      <c r="AB18" s="28">
        <f t="shared" si="12"/>
        <v>0.37596638655462183</v>
      </c>
      <c r="AC18" s="28">
        <f t="shared" si="13"/>
        <v>0.10964912280701754</v>
      </c>
      <c r="AD18" s="29">
        <f t="shared" si="14"/>
        <v>8.5388994307400381</v>
      </c>
      <c r="AE18" s="28">
        <f t="shared" si="15"/>
        <v>0.10964912280701754</v>
      </c>
      <c r="AF18" s="28">
        <f t="shared" si="16"/>
        <v>0.26631726374760428</v>
      </c>
      <c r="AG18" s="28">
        <f t="shared" si="17"/>
        <v>0</v>
      </c>
      <c r="AI18" s="31">
        <f t="shared" si="18"/>
        <v>-0.96616302521008413</v>
      </c>
      <c r="AJ18" s="25"/>
      <c r="AK18" s="31"/>
      <c r="AM18" s="27"/>
    </row>
    <row r="19" spans="2:39" x14ac:dyDescent="0.25">
      <c r="B19" s="8">
        <f t="shared" si="22"/>
        <v>9</v>
      </c>
      <c r="D19" s="25">
        <f>E19*'Profit per cycles Model'!$I$113</f>
        <v>100</v>
      </c>
      <c r="E19" s="25">
        <v>0.27393507738665934</v>
      </c>
      <c r="F19" s="28">
        <f t="shared" si="0"/>
        <v>10</v>
      </c>
      <c r="G19" s="28">
        <f>'Battery Pricing Model'!$C$17/D19</f>
        <v>10</v>
      </c>
      <c r="H19" s="28">
        <f t="shared" si="1"/>
        <v>999</v>
      </c>
      <c r="I19" s="28"/>
      <c r="J19" s="34">
        <f>INDEX('Profit per cycles Model'!$I$149:$I$179, MATCH(TRUNC(E19, 0), 'Profit per cycles Model'!$H$149:$H$179, 0))</f>
        <v>0.37596638655462183</v>
      </c>
      <c r="K19" s="27">
        <f>AVERAGE($AB$10:AB19)</f>
        <v>0.37596638655462178</v>
      </c>
      <c r="L19" s="28">
        <f t="shared" si="2"/>
        <v>999</v>
      </c>
      <c r="M19" s="28">
        <f t="shared" si="3"/>
        <v>999</v>
      </c>
      <c r="N19" s="28">
        <f t="shared" si="4"/>
        <v>999</v>
      </c>
      <c r="O19" s="28"/>
      <c r="P19" s="29">
        <f t="shared" si="19"/>
        <v>1.0000000000000002E-2</v>
      </c>
      <c r="Q19" s="33">
        <f t="shared" si="5"/>
        <v>6.7114093959731544</v>
      </c>
      <c r="R19" s="33">
        <f t="shared" si="6"/>
        <v>6.7114093959731544</v>
      </c>
      <c r="S19" s="33">
        <f t="shared" si="7"/>
        <v>-1</v>
      </c>
      <c r="T19" s="27"/>
      <c r="U19" s="28">
        <f t="shared" si="8"/>
        <v>0.10964912280701754</v>
      </c>
      <c r="V19" s="25">
        <f t="shared" si="9"/>
        <v>999</v>
      </c>
      <c r="W19" s="35">
        <f t="shared" si="20"/>
        <v>25</v>
      </c>
      <c r="X19" s="33">
        <f t="shared" si="10"/>
        <v>25</v>
      </c>
      <c r="Y19" s="32">
        <f t="shared" si="21"/>
        <v>-1</v>
      </c>
      <c r="Z19" s="32"/>
      <c r="AA19" s="30">
        <f t="shared" si="11"/>
        <v>0.27393507738665934</v>
      </c>
      <c r="AB19" s="28">
        <f t="shared" si="12"/>
        <v>0.37596638655462183</v>
      </c>
      <c r="AC19" s="28">
        <f t="shared" si="13"/>
        <v>0.10964912280701754</v>
      </c>
      <c r="AD19" s="29">
        <f t="shared" si="14"/>
        <v>9.4876660341555965</v>
      </c>
      <c r="AE19" s="28">
        <f t="shared" si="15"/>
        <v>0.10964912280701754</v>
      </c>
      <c r="AF19" s="28">
        <f t="shared" si="16"/>
        <v>0.26631726374760428</v>
      </c>
      <c r="AG19" s="28">
        <f t="shared" si="17"/>
        <v>0</v>
      </c>
      <c r="AI19" s="31">
        <f t="shared" si="18"/>
        <v>-0.96240336134453786</v>
      </c>
      <c r="AJ19" s="25"/>
      <c r="AK19" s="31"/>
      <c r="AM19" s="27"/>
    </row>
    <row r="20" spans="2:39" x14ac:dyDescent="0.25">
      <c r="B20" s="8">
        <f t="shared" si="22"/>
        <v>10</v>
      </c>
      <c r="D20" s="25">
        <f>E20*'Profit per cycles Model'!$I$113</f>
        <v>110</v>
      </c>
      <c r="E20" s="25">
        <v>0.30132858512532529</v>
      </c>
      <c r="F20" s="28">
        <f t="shared" si="0"/>
        <v>9.0909090909090917</v>
      </c>
      <c r="G20" s="28">
        <f>'Battery Pricing Model'!$C$17/D20</f>
        <v>9.0909090909090917</v>
      </c>
      <c r="H20" s="28">
        <f t="shared" si="1"/>
        <v>999</v>
      </c>
      <c r="I20" s="28"/>
      <c r="J20" s="34">
        <f>INDEX('Profit per cycles Model'!$I$149:$I$179, MATCH(TRUNC(E20, 0), 'Profit per cycles Model'!$H$149:$H$179, 0))</f>
        <v>0.37596638655462183</v>
      </c>
      <c r="K20" s="27">
        <f>AVERAGE($AB$10:AB20)</f>
        <v>0.37596638655462178</v>
      </c>
      <c r="L20" s="28">
        <f t="shared" si="2"/>
        <v>999</v>
      </c>
      <c r="M20" s="28">
        <f t="shared" si="3"/>
        <v>999</v>
      </c>
      <c r="N20" s="28">
        <f t="shared" si="4"/>
        <v>999</v>
      </c>
      <c r="O20" s="28"/>
      <c r="P20" s="29">
        <f t="shared" si="19"/>
        <v>1.1000000000000003E-2</v>
      </c>
      <c r="Q20" s="33">
        <f t="shared" si="5"/>
        <v>6.7114093959731544</v>
      </c>
      <c r="R20" s="33">
        <f t="shared" si="6"/>
        <v>6.7114093959731544</v>
      </c>
      <c r="S20" s="33">
        <f t="shared" si="7"/>
        <v>-1</v>
      </c>
      <c r="T20" s="27"/>
      <c r="U20" s="28">
        <f t="shared" si="8"/>
        <v>0.10964912280701754</v>
      </c>
      <c r="V20" s="25">
        <f t="shared" si="9"/>
        <v>999</v>
      </c>
      <c r="W20" s="35">
        <f t="shared" si="20"/>
        <v>25</v>
      </c>
      <c r="X20" s="33">
        <f t="shared" si="10"/>
        <v>25</v>
      </c>
      <c r="Y20" s="32">
        <f t="shared" si="21"/>
        <v>-1</v>
      </c>
      <c r="Z20" s="32"/>
      <c r="AA20" s="30">
        <f t="shared" si="11"/>
        <v>0.30132858512532529</v>
      </c>
      <c r="AB20" s="28">
        <f t="shared" si="12"/>
        <v>0.37596638655462183</v>
      </c>
      <c r="AC20" s="28">
        <f t="shared" si="13"/>
        <v>0.10964912280701754</v>
      </c>
      <c r="AD20" s="29">
        <f t="shared" si="14"/>
        <v>10.436432637571157</v>
      </c>
      <c r="AE20" s="28">
        <f t="shared" si="15"/>
        <v>0.10964912280701754</v>
      </c>
      <c r="AF20" s="28">
        <f t="shared" si="16"/>
        <v>0.26631726374760428</v>
      </c>
      <c r="AG20" s="28">
        <f t="shared" si="17"/>
        <v>0</v>
      </c>
      <c r="AI20" s="31">
        <f t="shared" si="18"/>
        <v>-0.9586436974789917</v>
      </c>
      <c r="AJ20" s="25"/>
      <c r="AK20" s="31"/>
      <c r="AM20" s="27"/>
    </row>
    <row r="21" spans="2:39" x14ac:dyDescent="0.25">
      <c r="B21" s="8">
        <f t="shared" si="22"/>
        <v>11</v>
      </c>
      <c r="D21" s="25">
        <f>E21*'Profit per cycles Model'!$I$113</f>
        <v>120</v>
      </c>
      <c r="E21" s="25">
        <v>0.32872209286399123</v>
      </c>
      <c r="F21" s="28">
        <f t="shared" si="0"/>
        <v>8.3333333333333339</v>
      </c>
      <c r="G21" s="28">
        <f>'Battery Pricing Model'!$C$17/D21</f>
        <v>8.3333333333333339</v>
      </c>
      <c r="H21" s="28">
        <f t="shared" si="1"/>
        <v>999</v>
      </c>
      <c r="I21" s="28"/>
      <c r="J21" s="34">
        <f>INDEX('Profit per cycles Model'!$I$149:$I$179, MATCH(TRUNC(E21, 0), 'Profit per cycles Model'!$H$149:$H$179, 0))</f>
        <v>0.37596638655462183</v>
      </c>
      <c r="K21" s="27">
        <f>AVERAGE($AB$10:AB21)</f>
        <v>0.37596638655462183</v>
      </c>
      <c r="L21" s="28">
        <f t="shared" si="2"/>
        <v>999</v>
      </c>
      <c r="M21" s="28">
        <f t="shared" si="3"/>
        <v>999</v>
      </c>
      <c r="N21" s="28">
        <f t="shared" si="4"/>
        <v>999</v>
      </c>
      <c r="O21" s="28"/>
      <c r="P21" s="29">
        <f t="shared" si="19"/>
        <v>1.2000000000000004E-2</v>
      </c>
      <c r="Q21" s="33">
        <f t="shared" si="5"/>
        <v>6.7114093959731544</v>
      </c>
      <c r="R21" s="33">
        <f t="shared" si="6"/>
        <v>6.7114093959731544</v>
      </c>
      <c r="S21" s="33">
        <f t="shared" si="7"/>
        <v>-1</v>
      </c>
      <c r="T21" s="27"/>
      <c r="U21" s="28">
        <f t="shared" si="8"/>
        <v>0.10964912280701754</v>
      </c>
      <c r="V21" s="25">
        <f t="shared" si="9"/>
        <v>999</v>
      </c>
      <c r="W21" s="35">
        <f t="shared" si="20"/>
        <v>25</v>
      </c>
      <c r="X21" s="33">
        <f t="shared" si="10"/>
        <v>25</v>
      </c>
      <c r="Y21" s="32">
        <f t="shared" si="21"/>
        <v>-1</v>
      </c>
      <c r="Z21" s="32"/>
      <c r="AA21" s="30">
        <f t="shared" si="11"/>
        <v>0.32872209286399123</v>
      </c>
      <c r="AB21" s="28">
        <f t="shared" si="12"/>
        <v>0.37596638655462183</v>
      </c>
      <c r="AC21" s="28">
        <f t="shared" si="13"/>
        <v>0.10964912280701754</v>
      </c>
      <c r="AD21" s="29">
        <f t="shared" si="14"/>
        <v>11.385199240986719</v>
      </c>
      <c r="AE21" s="28">
        <f t="shared" si="15"/>
        <v>0.10964912280701754</v>
      </c>
      <c r="AF21" s="28">
        <f t="shared" si="16"/>
        <v>0.26631726374760428</v>
      </c>
      <c r="AG21" s="28">
        <f t="shared" si="17"/>
        <v>0</v>
      </c>
      <c r="AI21" s="31">
        <f t="shared" si="18"/>
        <v>-0.95488403361344532</v>
      </c>
      <c r="AJ21" s="25"/>
      <c r="AK21" s="31"/>
      <c r="AM21" s="27"/>
    </row>
    <row r="22" spans="2:39" x14ac:dyDescent="0.25">
      <c r="B22" s="8">
        <f t="shared" si="22"/>
        <v>12</v>
      </c>
      <c r="D22" s="25">
        <f>E22*'Profit per cycles Model'!$I$113</f>
        <v>130</v>
      </c>
      <c r="E22" s="25">
        <v>0.35611560060265718</v>
      </c>
      <c r="F22" s="28">
        <f t="shared" si="0"/>
        <v>7.6923076923076925</v>
      </c>
      <c r="G22" s="28">
        <f>'Battery Pricing Model'!$C$17/D22</f>
        <v>7.6923076923076925</v>
      </c>
      <c r="H22" s="28">
        <f t="shared" si="1"/>
        <v>999</v>
      </c>
      <c r="I22" s="28"/>
      <c r="J22" s="34">
        <f>INDEX('Profit per cycles Model'!$I$149:$I$179, MATCH(TRUNC(E22, 0), 'Profit per cycles Model'!$H$149:$H$179, 0))</f>
        <v>0.37596638655462183</v>
      </c>
      <c r="K22" s="27">
        <f>AVERAGE($AB$10:AB22)</f>
        <v>0.37596638655462183</v>
      </c>
      <c r="L22" s="28">
        <f t="shared" si="2"/>
        <v>999</v>
      </c>
      <c r="M22" s="28">
        <f t="shared" si="3"/>
        <v>999</v>
      </c>
      <c r="N22" s="28">
        <f t="shared" si="4"/>
        <v>999</v>
      </c>
      <c r="O22" s="28"/>
      <c r="P22" s="29">
        <f t="shared" si="19"/>
        <v>1.3000000000000005E-2</v>
      </c>
      <c r="Q22" s="33">
        <f t="shared" si="5"/>
        <v>6.7114093959731544</v>
      </c>
      <c r="R22" s="33">
        <f t="shared" si="6"/>
        <v>6.7114093959731544</v>
      </c>
      <c r="S22" s="33">
        <f t="shared" si="7"/>
        <v>-1</v>
      </c>
      <c r="T22" s="27"/>
      <c r="U22" s="28">
        <f t="shared" si="8"/>
        <v>0.10964912280701754</v>
      </c>
      <c r="V22" s="25">
        <f t="shared" si="9"/>
        <v>999</v>
      </c>
      <c r="W22" s="35">
        <f t="shared" si="20"/>
        <v>25</v>
      </c>
      <c r="X22" s="33">
        <f t="shared" si="10"/>
        <v>25</v>
      </c>
      <c r="Y22" s="32">
        <f t="shared" si="21"/>
        <v>-1</v>
      </c>
      <c r="Z22" s="32"/>
      <c r="AA22" s="30">
        <f t="shared" si="11"/>
        <v>0.35611560060265718</v>
      </c>
      <c r="AB22" s="28">
        <f t="shared" si="12"/>
        <v>0.37596638655462183</v>
      </c>
      <c r="AC22" s="28">
        <f t="shared" si="13"/>
        <v>0.10964912280701754</v>
      </c>
      <c r="AD22" s="29">
        <f t="shared" si="14"/>
        <v>12.333965844402279</v>
      </c>
      <c r="AE22" s="28">
        <f t="shared" si="15"/>
        <v>0.10964912280701754</v>
      </c>
      <c r="AF22" s="28">
        <f t="shared" si="16"/>
        <v>0.26631726374760428</v>
      </c>
      <c r="AG22" s="28">
        <f t="shared" si="17"/>
        <v>0</v>
      </c>
      <c r="AI22" s="31">
        <f t="shared" si="18"/>
        <v>-0.95112436974789916</v>
      </c>
      <c r="AJ22" s="25"/>
      <c r="AK22" s="31"/>
      <c r="AM22" s="27"/>
    </row>
    <row r="23" spans="2:39" x14ac:dyDescent="0.25">
      <c r="B23" s="8">
        <f t="shared" si="22"/>
        <v>13</v>
      </c>
      <c r="D23" s="25">
        <f>E23*'Profit per cycles Model'!$I$113</f>
        <v>140</v>
      </c>
      <c r="E23" s="25">
        <v>0.38350910834132307</v>
      </c>
      <c r="F23" s="28">
        <f t="shared" si="0"/>
        <v>7.1428571428571432</v>
      </c>
      <c r="G23" s="28">
        <f>'Battery Pricing Model'!$C$17/D23</f>
        <v>7.1428571428571432</v>
      </c>
      <c r="H23" s="28">
        <f t="shared" si="1"/>
        <v>999</v>
      </c>
      <c r="I23" s="28"/>
      <c r="J23" s="34">
        <f>INDEX('Profit per cycles Model'!$I$149:$I$179, MATCH(TRUNC(E23, 0), 'Profit per cycles Model'!$H$149:$H$179, 0))</f>
        <v>0.37596638655462183</v>
      </c>
      <c r="K23" s="27">
        <f>AVERAGE($AB$10:AB23)</f>
        <v>0.37596638655462183</v>
      </c>
      <c r="L23" s="28">
        <f t="shared" si="2"/>
        <v>999</v>
      </c>
      <c r="M23" s="28">
        <f t="shared" si="3"/>
        <v>999</v>
      </c>
      <c r="N23" s="28">
        <f t="shared" si="4"/>
        <v>999</v>
      </c>
      <c r="O23" s="28"/>
      <c r="P23" s="29">
        <f t="shared" si="19"/>
        <v>1.4000000000000005E-2</v>
      </c>
      <c r="Q23" s="33">
        <f t="shared" si="5"/>
        <v>6.7114093959731544</v>
      </c>
      <c r="R23" s="33">
        <f t="shared" si="6"/>
        <v>6.7114093959731544</v>
      </c>
      <c r="S23" s="33">
        <f t="shared" si="7"/>
        <v>-1</v>
      </c>
      <c r="T23" s="27"/>
      <c r="U23" s="28">
        <f t="shared" si="8"/>
        <v>0.10964912280701754</v>
      </c>
      <c r="V23" s="25">
        <f t="shared" si="9"/>
        <v>999</v>
      </c>
      <c r="W23" s="35">
        <f t="shared" si="20"/>
        <v>25</v>
      </c>
      <c r="X23" s="33">
        <f t="shared" si="10"/>
        <v>25</v>
      </c>
      <c r="Y23" s="32">
        <f t="shared" si="21"/>
        <v>-1</v>
      </c>
      <c r="Z23" s="32"/>
      <c r="AA23" s="30">
        <f t="shared" si="11"/>
        <v>0.38350910834132307</v>
      </c>
      <c r="AB23" s="28">
        <f t="shared" si="12"/>
        <v>0.37596638655462183</v>
      </c>
      <c r="AC23" s="28">
        <f t="shared" si="13"/>
        <v>0.10964912280701754</v>
      </c>
      <c r="AD23" s="29">
        <f t="shared" si="14"/>
        <v>13.282732447817835</v>
      </c>
      <c r="AE23" s="28">
        <f t="shared" si="15"/>
        <v>0.10964912280701754</v>
      </c>
      <c r="AF23" s="28">
        <f t="shared" si="16"/>
        <v>0.26631726374760428</v>
      </c>
      <c r="AG23" s="28">
        <f t="shared" si="17"/>
        <v>0</v>
      </c>
      <c r="AI23" s="31">
        <f t="shared" si="18"/>
        <v>-0.94736470588235289</v>
      </c>
      <c r="AJ23" s="25"/>
      <c r="AK23" s="31"/>
      <c r="AM23" s="27"/>
    </row>
    <row r="24" spans="2:39" x14ac:dyDescent="0.25">
      <c r="B24" s="8">
        <f t="shared" si="22"/>
        <v>14</v>
      </c>
      <c r="D24" s="25">
        <f>E24*'Profit per cycles Model'!$I$113</f>
        <v>150</v>
      </c>
      <c r="E24" s="25">
        <v>0.41090261607998901</v>
      </c>
      <c r="F24" s="28">
        <f t="shared" si="0"/>
        <v>6.666666666666667</v>
      </c>
      <c r="G24" s="28">
        <f>'Battery Pricing Model'!$C$17/D24</f>
        <v>6.666666666666667</v>
      </c>
      <c r="H24" s="28">
        <f t="shared" si="1"/>
        <v>999</v>
      </c>
      <c r="I24" s="28"/>
      <c r="J24" s="34">
        <f>INDEX('Profit per cycles Model'!$I$149:$I$179, MATCH(TRUNC(E24, 0), 'Profit per cycles Model'!$H$149:$H$179, 0))</f>
        <v>0.37596638655462183</v>
      </c>
      <c r="K24" s="27">
        <f>AVERAGE($AB$10:AB24)</f>
        <v>0.37596638655462189</v>
      </c>
      <c r="L24" s="28">
        <f t="shared" si="2"/>
        <v>999</v>
      </c>
      <c r="M24" s="28">
        <f t="shared" si="3"/>
        <v>999</v>
      </c>
      <c r="N24" s="28">
        <f t="shared" si="4"/>
        <v>999</v>
      </c>
      <c r="O24" s="28"/>
      <c r="P24" s="29">
        <f t="shared" si="19"/>
        <v>1.5000000000000006E-2</v>
      </c>
      <c r="Q24" s="33">
        <f t="shared" si="5"/>
        <v>6.7114093959731544</v>
      </c>
      <c r="R24" s="33">
        <f t="shared" si="6"/>
        <v>6.7114093959731544</v>
      </c>
      <c r="S24" s="33">
        <f t="shared" si="7"/>
        <v>-1</v>
      </c>
      <c r="T24" s="27"/>
      <c r="U24" s="28">
        <f t="shared" si="8"/>
        <v>0.10964912280701754</v>
      </c>
      <c r="V24" s="25">
        <f t="shared" si="9"/>
        <v>999</v>
      </c>
      <c r="W24" s="35">
        <f t="shared" si="20"/>
        <v>25</v>
      </c>
      <c r="X24" s="33">
        <f t="shared" si="10"/>
        <v>25</v>
      </c>
      <c r="Y24" s="32">
        <f t="shared" si="21"/>
        <v>-1</v>
      </c>
      <c r="Z24" s="32"/>
      <c r="AA24" s="30">
        <f t="shared" si="11"/>
        <v>0.41090261607998901</v>
      </c>
      <c r="AB24" s="28">
        <f t="shared" si="12"/>
        <v>0.37596638655462183</v>
      </c>
      <c r="AC24" s="28">
        <f t="shared" si="13"/>
        <v>0.10964912280701754</v>
      </c>
      <c r="AD24" s="29">
        <f t="shared" si="14"/>
        <v>14.231499051233396</v>
      </c>
      <c r="AE24" s="28">
        <f t="shared" si="15"/>
        <v>0.10964912280701754</v>
      </c>
      <c r="AF24" s="28">
        <f t="shared" si="16"/>
        <v>0.26631726374760428</v>
      </c>
      <c r="AG24" s="28">
        <f t="shared" si="17"/>
        <v>0</v>
      </c>
      <c r="AI24" s="31">
        <f t="shared" si="18"/>
        <v>-0.94360504201680673</v>
      </c>
      <c r="AJ24" s="25"/>
      <c r="AK24" s="31"/>
      <c r="AM24" s="27"/>
    </row>
    <row r="25" spans="2:39" x14ac:dyDescent="0.25">
      <c r="B25" s="8">
        <f t="shared" si="22"/>
        <v>15</v>
      </c>
      <c r="D25" s="25">
        <f>E25*'Profit per cycles Model'!$I$113</f>
        <v>160</v>
      </c>
      <c r="E25" s="25">
        <v>0.43829612381865496</v>
      </c>
      <c r="F25" s="28">
        <f t="shared" si="0"/>
        <v>6.25</v>
      </c>
      <c r="G25" s="28">
        <f>'Battery Pricing Model'!$C$17/D25</f>
        <v>6.25</v>
      </c>
      <c r="H25" s="28">
        <f t="shared" si="1"/>
        <v>999</v>
      </c>
      <c r="I25" s="28"/>
      <c r="J25" s="34">
        <f>INDEX('Profit per cycles Model'!$I$149:$I$179, MATCH(TRUNC(E25, 0), 'Profit per cycles Model'!$H$149:$H$179, 0))</f>
        <v>0.37596638655462183</v>
      </c>
      <c r="K25" s="27">
        <f>AVERAGE($AB$10:AB25)</f>
        <v>0.37596638655462189</v>
      </c>
      <c r="L25" s="28">
        <f t="shared" si="2"/>
        <v>999</v>
      </c>
      <c r="M25" s="28">
        <f t="shared" si="3"/>
        <v>999</v>
      </c>
      <c r="N25" s="28">
        <f t="shared" si="4"/>
        <v>999</v>
      </c>
      <c r="O25" s="28"/>
      <c r="P25" s="29">
        <f t="shared" si="19"/>
        <v>1.6000000000000007E-2</v>
      </c>
      <c r="Q25" s="33">
        <f t="shared" si="5"/>
        <v>6.7114093959731544</v>
      </c>
      <c r="R25" s="33">
        <f t="shared" si="6"/>
        <v>6.7114093959731544</v>
      </c>
      <c r="S25" s="33">
        <f t="shared" si="7"/>
        <v>-1</v>
      </c>
      <c r="T25" s="27"/>
      <c r="U25" s="28">
        <f t="shared" si="8"/>
        <v>0.10964912280701754</v>
      </c>
      <c r="V25" s="25">
        <f t="shared" si="9"/>
        <v>999</v>
      </c>
      <c r="W25" s="35">
        <f t="shared" si="20"/>
        <v>25</v>
      </c>
      <c r="X25" s="33">
        <f t="shared" si="10"/>
        <v>25</v>
      </c>
      <c r="Y25" s="32">
        <f t="shared" si="21"/>
        <v>-1</v>
      </c>
      <c r="Z25" s="32"/>
      <c r="AA25" s="30">
        <f t="shared" si="11"/>
        <v>0.43829612381865496</v>
      </c>
      <c r="AB25" s="28">
        <f t="shared" si="12"/>
        <v>0.37596638655462183</v>
      </c>
      <c r="AC25" s="28">
        <f t="shared" si="13"/>
        <v>0.10964912280701754</v>
      </c>
      <c r="AD25" s="29">
        <f t="shared" si="14"/>
        <v>15.180265654648956</v>
      </c>
      <c r="AE25" s="28">
        <f t="shared" si="15"/>
        <v>0.10964912280701754</v>
      </c>
      <c r="AF25" s="28">
        <f t="shared" si="16"/>
        <v>0.26631726374760428</v>
      </c>
      <c r="AG25" s="28">
        <f t="shared" si="17"/>
        <v>0</v>
      </c>
      <c r="AI25" s="31">
        <f t="shared" si="18"/>
        <v>-0.93984537815126046</v>
      </c>
      <c r="AJ25" s="25"/>
      <c r="AK25" s="31"/>
      <c r="AM25" s="27"/>
    </row>
    <row r="26" spans="2:39" x14ac:dyDescent="0.25">
      <c r="B26" s="8">
        <f t="shared" si="22"/>
        <v>16</v>
      </c>
      <c r="D26" s="25">
        <f>E26*'Profit per cycles Model'!$I$113</f>
        <v>170</v>
      </c>
      <c r="E26" s="25">
        <v>0.4656896315573209</v>
      </c>
      <c r="F26" s="28">
        <f t="shared" si="0"/>
        <v>5.882352941176471</v>
      </c>
      <c r="G26" s="28">
        <f>'Battery Pricing Model'!$C$17/D26</f>
        <v>5.882352941176471</v>
      </c>
      <c r="H26" s="28">
        <f t="shared" si="1"/>
        <v>999</v>
      </c>
      <c r="I26" s="28"/>
      <c r="J26" s="34">
        <f>INDEX('Profit per cycles Model'!$I$149:$I$179, MATCH(TRUNC(E26, 0), 'Profit per cycles Model'!$H$149:$H$179, 0))</f>
        <v>0.37596638655462183</v>
      </c>
      <c r="K26" s="27">
        <f>AVERAGE($AB$10:AB26)</f>
        <v>0.37596638655462189</v>
      </c>
      <c r="L26" s="28">
        <f t="shared" si="2"/>
        <v>999</v>
      </c>
      <c r="M26" s="28">
        <f t="shared" si="3"/>
        <v>999</v>
      </c>
      <c r="N26" s="28">
        <f t="shared" si="4"/>
        <v>999</v>
      </c>
      <c r="O26" s="28"/>
      <c r="P26" s="29">
        <f t="shared" si="19"/>
        <v>1.7000000000000008E-2</v>
      </c>
      <c r="Q26" s="33">
        <f t="shared" si="5"/>
        <v>6.7114093959731544</v>
      </c>
      <c r="R26" s="33">
        <f t="shared" si="6"/>
        <v>6.7114093959731544</v>
      </c>
      <c r="S26" s="33">
        <f t="shared" si="7"/>
        <v>-1</v>
      </c>
      <c r="T26" s="27"/>
      <c r="U26" s="28">
        <f t="shared" si="8"/>
        <v>0.10964912280701754</v>
      </c>
      <c r="V26" s="25">
        <f t="shared" si="9"/>
        <v>999</v>
      </c>
      <c r="W26" s="35">
        <f t="shared" si="20"/>
        <v>25</v>
      </c>
      <c r="X26" s="33">
        <f t="shared" si="10"/>
        <v>25</v>
      </c>
      <c r="Y26" s="32">
        <f t="shared" si="21"/>
        <v>-1</v>
      </c>
      <c r="Z26" s="32"/>
      <c r="AA26" s="30">
        <f t="shared" si="11"/>
        <v>0.4656896315573209</v>
      </c>
      <c r="AB26" s="28">
        <f t="shared" si="12"/>
        <v>0.37596638655462183</v>
      </c>
      <c r="AC26" s="28">
        <f t="shared" si="13"/>
        <v>0.10964912280701754</v>
      </c>
      <c r="AD26" s="29">
        <f t="shared" si="14"/>
        <v>16.129032258064516</v>
      </c>
      <c r="AE26" s="28">
        <f t="shared" si="15"/>
        <v>0.10964912280701754</v>
      </c>
      <c r="AF26" s="28">
        <f t="shared" si="16"/>
        <v>0.26631726374760428</v>
      </c>
      <c r="AG26" s="28">
        <f t="shared" si="17"/>
        <v>0</v>
      </c>
      <c r="AI26" s="31">
        <f t="shared" si="18"/>
        <v>-0.9360857142857143</v>
      </c>
      <c r="AJ26" s="25"/>
      <c r="AK26" s="31"/>
      <c r="AM26" s="27"/>
    </row>
    <row r="27" spans="2:39" x14ac:dyDescent="0.25">
      <c r="B27" s="8">
        <f t="shared" si="22"/>
        <v>17</v>
      </c>
      <c r="D27" s="25">
        <f>E27*'Profit per cycles Model'!$I$113</f>
        <v>180</v>
      </c>
      <c r="E27" s="25">
        <v>0.49308313929598685</v>
      </c>
      <c r="F27" s="28">
        <f t="shared" si="0"/>
        <v>5.5555555555555554</v>
      </c>
      <c r="G27" s="28">
        <f>'Battery Pricing Model'!$C$17/D27</f>
        <v>5.5555555555555554</v>
      </c>
      <c r="H27" s="28">
        <f t="shared" si="1"/>
        <v>999</v>
      </c>
      <c r="I27" s="28"/>
      <c r="J27" s="34">
        <f>INDEX('Profit per cycles Model'!$I$149:$I$179, MATCH(TRUNC(E27, 0), 'Profit per cycles Model'!$H$149:$H$179, 0))</f>
        <v>0.37596638655462183</v>
      </c>
      <c r="K27" s="27">
        <f>AVERAGE($AB$10:AB27)</f>
        <v>0.37596638655462189</v>
      </c>
      <c r="L27" s="28">
        <f t="shared" si="2"/>
        <v>999</v>
      </c>
      <c r="M27" s="28">
        <f t="shared" si="3"/>
        <v>999</v>
      </c>
      <c r="N27" s="28">
        <f t="shared" si="4"/>
        <v>999</v>
      </c>
      <c r="O27" s="28"/>
      <c r="P27" s="29">
        <f t="shared" si="19"/>
        <v>1.8000000000000009E-2</v>
      </c>
      <c r="Q27" s="33">
        <f t="shared" si="5"/>
        <v>6.7114093959731544</v>
      </c>
      <c r="R27" s="33">
        <f t="shared" si="6"/>
        <v>6.7114093959731544</v>
      </c>
      <c r="S27" s="33">
        <f t="shared" si="7"/>
        <v>-1</v>
      </c>
      <c r="T27" s="27"/>
      <c r="U27" s="28">
        <f t="shared" si="8"/>
        <v>0.10964912280701754</v>
      </c>
      <c r="V27" s="25">
        <f t="shared" si="9"/>
        <v>999</v>
      </c>
      <c r="W27" s="35">
        <f t="shared" si="20"/>
        <v>25</v>
      </c>
      <c r="X27" s="33">
        <f t="shared" si="10"/>
        <v>25</v>
      </c>
      <c r="Y27" s="32">
        <f t="shared" si="21"/>
        <v>-1</v>
      </c>
      <c r="Z27" s="32"/>
      <c r="AA27" s="30">
        <f t="shared" si="11"/>
        <v>0.49308313929598685</v>
      </c>
      <c r="AB27" s="28">
        <f t="shared" si="12"/>
        <v>0.37596638655462183</v>
      </c>
      <c r="AC27" s="28">
        <f t="shared" si="13"/>
        <v>0.10964912280701754</v>
      </c>
      <c r="AD27" s="29">
        <f t="shared" si="14"/>
        <v>17.077798861480076</v>
      </c>
      <c r="AE27" s="28">
        <f t="shared" si="15"/>
        <v>0.10964912280701754</v>
      </c>
      <c r="AF27" s="28">
        <f t="shared" si="16"/>
        <v>0.26631726374760428</v>
      </c>
      <c r="AG27" s="28">
        <f t="shared" si="17"/>
        <v>0</v>
      </c>
      <c r="AI27" s="31">
        <f t="shared" si="18"/>
        <v>-0.93232605042016803</v>
      </c>
      <c r="AJ27" s="25"/>
      <c r="AK27" s="31"/>
      <c r="AM27" s="27"/>
    </row>
    <row r="28" spans="2:39" x14ac:dyDescent="0.25">
      <c r="B28" s="8">
        <f t="shared" si="22"/>
        <v>18</v>
      </c>
      <c r="D28" s="25">
        <f>E28*'Profit per cycles Model'!$I$113</f>
        <v>190</v>
      </c>
      <c r="E28" s="25">
        <v>0.5204766470346528</v>
      </c>
      <c r="F28" s="28">
        <f t="shared" si="0"/>
        <v>5.2631578947368425</v>
      </c>
      <c r="G28" s="28">
        <f>'Battery Pricing Model'!$C$17/D28</f>
        <v>5.2631578947368425</v>
      </c>
      <c r="H28" s="28">
        <f t="shared" si="1"/>
        <v>999</v>
      </c>
      <c r="I28" s="28"/>
      <c r="J28" s="34">
        <f>INDEX('Profit per cycles Model'!$I$149:$I$179, MATCH(TRUNC(E28, 0), 'Profit per cycles Model'!$H$149:$H$179, 0))</f>
        <v>0.37596638655462183</v>
      </c>
      <c r="K28" s="27">
        <f>AVERAGE($AB$10:AB28)</f>
        <v>0.37596638655462195</v>
      </c>
      <c r="L28" s="28">
        <f t="shared" si="2"/>
        <v>999</v>
      </c>
      <c r="M28" s="28">
        <f t="shared" si="3"/>
        <v>999</v>
      </c>
      <c r="N28" s="28">
        <f t="shared" si="4"/>
        <v>999</v>
      </c>
      <c r="O28" s="28"/>
      <c r="P28" s="29">
        <f t="shared" si="19"/>
        <v>1.900000000000001E-2</v>
      </c>
      <c r="Q28" s="33">
        <f t="shared" si="5"/>
        <v>6.7114093959731544</v>
      </c>
      <c r="R28" s="33">
        <f t="shared" si="6"/>
        <v>6.7114093959731544</v>
      </c>
      <c r="S28" s="33">
        <f t="shared" si="7"/>
        <v>-1</v>
      </c>
      <c r="T28" s="27"/>
      <c r="U28" s="28">
        <f t="shared" si="8"/>
        <v>0.10964912280701754</v>
      </c>
      <c r="V28" s="25">
        <f t="shared" si="9"/>
        <v>999</v>
      </c>
      <c r="W28" s="35">
        <f t="shared" si="20"/>
        <v>25</v>
      </c>
      <c r="X28" s="33">
        <f t="shared" si="10"/>
        <v>25</v>
      </c>
      <c r="Y28" s="32">
        <f t="shared" si="21"/>
        <v>-1</v>
      </c>
      <c r="Z28" s="32"/>
      <c r="AA28" s="30">
        <f t="shared" si="11"/>
        <v>0.5204766470346528</v>
      </c>
      <c r="AB28" s="28">
        <f t="shared" si="12"/>
        <v>0.37596638655462183</v>
      </c>
      <c r="AC28" s="28">
        <f t="shared" si="13"/>
        <v>0.10964912280701754</v>
      </c>
      <c r="AD28" s="29">
        <f t="shared" si="14"/>
        <v>18.02656546489564</v>
      </c>
      <c r="AE28" s="28">
        <f t="shared" si="15"/>
        <v>0.10964912280701754</v>
      </c>
      <c r="AF28" s="28">
        <f t="shared" si="16"/>
        <v>0.26631726374760428</v>
      </c>
      <c r="AG28" s="28">
        <f t="shared" si="17"/>
        <v>0</v>
      </c>
      <c r="AI28" s="31">
        <f t="shared" si="18"/>
        <v>-0.92856638655462176</v>
      </c>
      <c r="AJ28" s="25"/>
      <c r="AK28" s="31"/>
      <c r="AM28" s="27"/>
    </row>
    <row r="29" spans="2:39" x14ac:dyDescent="0.25">
      <c r="B29" s="8">
        <f t="shared" si="22"/>
        <v>19</v>
      </c>
      <c r="D29" s="25">
        <f>E29*'Profit per cycles Model'!$I$113</f>
        <v>200</v>
      </c>
      <c r="E29" s="25">
        <v>0.54787015477331868</v>
      </c>
      <c r="F29" s="28">
        <f t="shared" si="0"/>
        <v>5</v>
      </c>
      <c r="G29" s="28">
        <f>'Battery Pricing Model'!$C$17/D29</f>
        <v>5</v>
      </c>
      <c r="H29" s="28">
        <f t="shared" si="1"/>
        <v>999</v>
      </c>
      <c r="I29" s="28"/>
      <c r="J29" s="34">
        <f>INDEX('Profit per cycles Model'!$I$149:$I$179, MATCH(TRUNC(E29, 0), 'Profit per cycles Model'!$H$149:$H$179, 0))</f>
        <v>0.37596638655462183</v>
      </c>
      <c r="K29" s="27">
        <f>AVERAGE($AB$10:AB29)</f>
        <v>0.37596638655462195</v>
      </c>
      <c r="L29" s="28">
        <f t="shared" si="2"/>
        <v>999</v>
      </c>
      <c r="M29" s="28">
        <f t="shared" si="3"/>
        <v>999</v>
      </c>
      <c r="N29" s="28">
        <f t="shared" si="4"/>
        <v>999</v>
      </c>
      <c r="O29" s="28"/>
      <c r="P29" s="29">
        <f t="shared" si="19"/>
        <v>2.0000000000000011E-2</v>
      </c>
      <c r="Q29" s="33">
        <f t="shared" si="5"/>
        <v>6.7114093959731544</v>
      </c>
      <c r="R29" s="33">
        <f t="shared" si="6"/>
        <v>6.7114093959731544</v>
      </c>
      <c r="S29" s="33">
        <f t="shared" si="7"/>
        <v>-1</v>
      </c>
      <c r="T29" s="27"/>
      <c r="U29" s="28">
        <f t="shared" si="8"/>
        <v>0.10964912280701754</v>
      </c>
      <c r="V29" s="25">
        <f t="shared" si="9"/>
        <v>999</v>
      </c>
      <c r="W29" s="35">
        <f t="shared" si="20"/>
        <v>25</v>
      </c>
      <c r="X29" s="33">
        <f t="shared" si="10"/>
        <v>25</v>
      </c>
      <c r="Y29" s="32">
        <f t="shared" si="21"/>
        <v>-1</v>
      </c>
      <c r="Z29" s="32"/>
      <c r="AA29" s="30">
        <f t="shared" si="11"/>
        <v>0.54787015477331868</v>
      </c>
      <c r="AB29" s="28">
        <f t="shared" si="12"/>
        <v>0.37596638655462183</v>
      </c>
      <c r="AC29" s="28">
        <f t="shared" si="13"/>
        <v>0.10964912280701754</v>
      </c>
      <c r="AD29" s="29">
        <f t="shared" si="14"/>
        <v>18.975332068311193</v>
      </c>
      <c r="AE29" s="28">
        <f t="shared" si="15"/>
        <v>0.10964912280701754</v>
      </c>
      <c r="AF29" s="28">
        <f t="shared" si="16"/>
        <v>0.26631726374760428</v>
      </c>
      <c r="AG29" s="28">
        <f t="shared" si="17"/>
        <v>0</v>
      </c>
      <c r="AI29" s="31">
        <f t="shared" si="18"/>
        <v>-0.9248067226890756</v>
      </c>
      <c r="AJ29" s="25"/>
      <c r="AK29" s="31"/>
      <c r="AM29" s="27"/>
    </row>
    <row r="30" spans="2:39" x14ac:dyDescent="0.25">
      <c r="B30" s="8">
        <f t="shared" si="22"/>
        <v>20</v>
      </c>
      <c r="D30" s="25">
        <f>E30*'Profit per cycles Model'!$I$113</f>
        <v>210.00000000000003</v>
      </c>
      <c r="E30" s="25">
        <v>0.57526366251198469</v>
      </c>
      <c r="F30" s="28">
        <f t="shared" si="0"/>
        <v>4.761904761904761</v>
      </c>
      <c r="G30" s="28">
        <f>'Battery Pricing Model'!$C$17/D30</f>
        <v>4.761904761904761</v>
      </c>
      <c r="H30" s="28">
        <f t="shared" si="1"/>
        <v>999</v>
      </c>
      <c r="I30" s="28"/>
      <c r="J30" s="34">
        <f>INDEX('Profit per cycles Model'!$I$149:$I$179, MATCH(TRUNC(E30, 0), 'Profit per cycles Model'!$H$149:$H$179, 0))</f>
        <v>0.37596638655462183</v>
      </c>
      <c r="K30" s="27">
        <f>AVERAGE($AB$10:AB30)</f>
        <v>0.37596638655462195</v>
      </c>
      <c r="L30" s="28">
        <f t="shared" si="2"/>
        <v>999</v>
      </c>
      <c r="M30" s="28">
        <f t="shared" si="3"/>
        <v>999</v>
      </c>
      <c r="N30" s="28">
        <f t="shared" si="4"/>
        <v>999</v>
      </c>
      <c r="O30" s="28"/>
      <c r="P30" s="29">
        <f t="shared" si="19"/>
        <v>2.1000000000000012E-2</v>
      </c>
      <c r="Q30" s="33">
        <f t="shared" si="5"/>
        <v>6.7114093959731544</v>
      </c>
      <c r="R30" s="33">
        <f t="shared" si="6"/>
        <v>6.7114093959731544</v>
      </c>
      <c r="S30" s="33">
        <f t="shared" si="7"/>
        <v>-1</v>
      </c>
      <c r="T30" s="27"/>
      <c r="U30" s="28">
        <f t="shared" si="8"/>
        <v>0.10964912280701754</v>
      </c>
      <c r="V30" s="25">
        <f t="shared" si="9"/>
        <v>999</v>
      </c>
      <c r="W30" s="35">
        <f t="shared" si="20"/>
        <v>25</v>
      </c>
      <c r="X30" s="33">
        <f t="shared" si="10"/>
        <v>25</v>
      </c>
      <c r="Y30" s="32">
        <f t="shared" si="21"/>
        <v>-1</v>
      </c>
      <c r="Z30" s="32"/>
      <c r="AA30" s="30">
        <f t="shared" si="11"/>
        <v>0.57526366251198469</v>
      </c>
      <c r="AB30" s="28">
        <f t="shared" si="12"/>
        <v>0.37596638655462183</v>
      </c>
      <c r="AC30" s="28">
        <f t="shared" si="13"/>
        <v>0.10964912280701754</v>
      </c>
      <c r="AD30" s="29">
        <f t="shared" si="14"/>
        <v>19.924098671726757</v>
      </c>
      <c r="AE30" s="28">
        <f t="shared" si="15"/>
        <v>0.10964912280701754</v>
      </c>
      <c r="AF30" s="28">
        <f t="shared" si="16"/>
        <v>0.26631726374760428</v>
      </c>
      <c r="AG30" s="28">
        <f t="shared" si="17"/>
        <v>0</v>
      </c>
      <c r="AI30" s="31">
        <f t="shared" si="18"/>
        <v>-0.92104705882352933</v>
      </c>
      <c r="AJ30" s="25"/>
      <c r="AK30" s="31"/>
      <c r="AM30" s="27"/>
    </row>
    <row r="31" spans="2:39" x14ac:dyDescent="0.25">
      <c r="D31" s="25">
        <f>E31*'Profit per cycles Model'!$I$113</f>
        <v>220</v>
      </c>
      <c r="E31" s="25">
        <v>0.60265717025065058</v>
      </c>
      <c r="F31" s="28">
        <f t="shared" si="0"/>
        <v>4.5454545454545459</v>
      </c>
      <c r="G31" s="28">
        <f>'Battery Pricing Model'!$C$17/D31</f>
        <v>4.5454545454545459</v>
      </c>
      <c r="H31" s="28">
        <f t="shared" si="1"/>
        <v>999</v>
      </c>
      <c r="I31" s="28"/>
      <c r="J31" s="34">
        <f>INDEX('Profit per cycles Model'!$I$149:$I$179, MATCH(TRUNC(E31, 0), 'Profit per cycles Model'!$H$149:$H$179, 0))</f>
        <v>0.37596638655462183</v>
      </c>
      <c r="K31" s="27">
        <f>AVERAGE($AB$10:AB31)</f>
        <v>0.37596638655462195</v>
      </c>
      <c r="L31" s="28">
        <f t="shared" si="2"/>
        <v>999</v>
      </c>
      <c r="M31" s="28">
        <f t="shared" si="3"/>
        <v>999</v>
      </c>
      <c r="N31" s="28">
        <f t="shared" si="4"/>
        <v>999</v>
      </c>
      <c r="O31" s="28"/>
      <c r="P31" s="29">
        <f t="shared" si="19"/>
        <v>2.2000000000000013E-2</v>
      </c>
      <c r="Q31" s="33">
        <f t="shared" si="5"/>
        <v>6.7114093959731544</v>
      </c>
      <c r="R31" s="33">
        <f t="shared" si="6"/>
        <v>6.7114093959731544</v>
      </c>
      <c r="S31" s="33">
        <f t="shared" si="7"/>
        <v>-1</v>
      </c>
      <c r="T31" s="27"/>
      <c r="U31" s="28">
        <f t="shared" si="8"/>
        <v>0.10964912280701754</v>
      </c>
      <c r="V31" s="25">
        <f t="shared" si="9"/>
        <v>999</v>
      </c>
      <c r="W31" s="35">
        <f t="shared" si="20"/>
        <v>25</v>
      </c>
      <c r="X31" s="33">
        <f t="shared" si="10"/>
        <v>25</v>
      </c>
      <c r="Y31" s="32">
        <f t="shared" si="21"/>
        <v>-1</v>
      </c>
      <c r="Z31" s="32"/>
      <c r="AA31" s="30">
        <f t="shared" si="11"/>
        <v>0.60265717025065058</v>
      </c>
      <c r="AB31" s="28">
        <f t="shared" si="12"/>
        <v>0.37596638655462183</v>
      </c>
      <c r="AC31" s="28">
        <f t="shared" si="13"/>
        <v>0.10964912280701754</v>
      </c>
      <c r="AD31" s="29">
        <f t="shared" si="14"/>
        <v>20.872865275142313</v>
      </c>
      <c r="AE31" s="28">
        <f t="shared" si="15"/>
        <v>0.10964912280701754</v>
      </c>
      <c r="AF31" s="28">
        <f t="shared" si="16"/>
        <v>0.26631726374760428</v>
      </c>
      <c r="AG31" s="28">
        <f t="shared" si="17"/>
        <v>0</v>
      </c>
      <c r="AI31" s="31">
        <f t="shared" si="18"/>
        <v>-0.91728739495798317</v>
      </c>
      <c r="AJ31" s="25"/>
      <c r="AK31" s="31"/>
      <c r="AM31" s="27"/>
    </row>
    <row r="32" spans="2:39" x14ac:dyDescent="0.25">
      <c r="D32" s="25">
        <f>E32*'Profit per cycles Model'!$I$113</f>
        <v>229.99999999999997</v>
      </c>
      <c r="E32" s="25">
        <v>0.63005067798931647</v>
      </c>
      <c r="F32" s="28">
        <f t="shared" si="0"/>
        <v>4.3478260869565224</v>
      </c>
      <c r="G32" s="28">
        <f>'Battery Pricing Model'!$C$17/D32</f>
        <v>4.3478260869565224</v>
      </c>
      <c r="H32" s="28">
        <f t="shared" si="1"/>
        <v>999</v>
      </c>
      <c r="I32" s="28"/>
      <c r="J32" s="34">
        <f>INDEX('Profit per cycles Model'!$I$149:$I$179, MATCH(TRUNC(E32, 0), 'Profit per cycles Model'!$H$149:$H$179, 0))</f>
        <v>0.37596638655462183</v>
      </c>
      <c r="K32" s="27">
        <f>AVERAGE($AB$10:AB32)</f>
        <v>0.37596638655462195</v>
      </c>
      <c r="L32" s="28">
        <f t="shared" si="2"/>
        <v>999</v>
      </c>
      <c r="M32" s="28">
        <f t="shared" si="3"/>
        <v>999</v>
      </c>
      <c r="N32" s="28">
        <f t="shared" si="4"/>
        <v>999</v>
      </c>
      <c r="O32" s="28"/>
      <c r="P32" s="29">
        <f t="shared" si="19"/>
        <v>2.3000000000000013E-2</v>
      </c>
      <c r="Q32" s="33">
        <f t="shared" si="5"/>
        <v>6.7114093959731544</v>
      </c>
      <c r="R32" s="33">
        <f t="shared" si="6"/>
        <v>6.7114093959731544</v>
      </c>
      <c r="S32" s="33">
        <f t="shared" si="7"/>
        <v>-1</v>
      </c>
      <c r="T32" s="27"/>
      <c r="U32" s="28">
        <f t="shared" si="8"/>
        <v>0.10964912280701754</v>
      </c>
      <c r="V32" s="25">
        <f t="shared" si="9"/>
        <v>999</v>
      </c>
      <c r="W32" s="35">
        <f t="shared" si="20"/>
        <v>25</v>
      </c>
      <c r="X32" s="33">
        <f t="shared" si="10"/>
        <v>25</v>
      </c>
      <c r="Y32" s="32">
        <f t="shared" si="21"/>
        <v>-1</v>
      </c>
      <c r="Z32" s="32"/>
      <c r="AA32" s="30">
        <f t="shared" si="11"/>
        <v>0.63005067798931647</v>
      </c>
      <c r="AB32" s="28">
        <f t="shared" si="12"/>
        <v>0.37596638655462183</v>
      </c>
      <c r="AC32" s="28">
        <f t="shared" si="13"/>
        <v>0.10964912280701754</v>
      </c>
      <c r="AD32" s="29">
        <f t="shared" si="14"/>
        <v>21.821631878557874</v>
      </c>
      <c r="AE32" s="28">
        <f t="shared" si="15"/>
        <v>0.10964912280701754</v>
      </c>
      <c r="AF32" s="28">
        <f t="shared" si="16"/>
        <v>0.26631726374760428</v>
      </c>
      <c r="AG32" s="28">
        <f t="shared" si="17"/>
        <v>0</v>
      </c>
      <c r="AI32" s="31">
        <f t="shared" si="18"/>
        <v>-0.9135277310924369</v>
      </c>
      <c r="AJ32" s="25"/>
      <c r="AK32" s="31"/>
      <c r="AM32" s="27"/>
    </row>
    <row r="33" spans="4:39" x14ac:dyDescent="0.25">
      <c r="D33" s="25">
        <f>E33*'Profit per cycles Model'!$I$113</f>
        <v>240</v>
      </c>
      <c r="E33" s="25">
        <v>0.65744418572798247</v>
      </c>
      <c r="F33" s="28">
        <f t="shared" si="0"/>
        <v>4.166666666666667</v>
      </c>
      <c r="G33" s="28">
        <f>'Battery Pricing Model'!$C$17/D33</f>
        <v>4.166666666666667</v>
      </c>
      <c r="H33" s="28">
        <f t="shared" si="1"/>
        <v>999</v>
      </c>
      <c r="I33" s="28"/>
      <c r="J33" s="34">
        <f>INDEX('Profit per cycles Model'!$I$149:$I$179, MATCH(TRUNC(E33, 0), 'Profit per cycles Model'!$H$149:$H$179, 0))</f>
        <v>0.37596638655462183</v>
      </c>
      <c r="K33" s="27">
        <f>AVERAGE($AB$10:AB33)</f>
        <v>0.37596638655462189</v>
      </c>
      <c r="L33" s="28">
        <f t="shared" si="2"/>
        <v>999</v>
      </c>
      <c r="M33" s="28">
        <f t="shared" si="3"/>
        <v>999</v>
      </c>
      <c r="N33" s="28">
        <f t="shared" si="4"/>
        <v>999</v>
      </c>
      <c r="O33" s="28"/>
      <c r="P33" s="29">
        <f t="shared" si="19"/>
        <v>2.4000000000000014E-2</v>
      </c>
      <c r="Q33" s="33">
        <f t="shared" si="5"/>
        <v>6.7114093959731544</v>
      </c>
      <c r="R33" s="33">
        <f t="shared" si="6"/>
        <v>6.7114093959731544</v>
      </c>
      <c r="S33" s="33">
        <f t="shared" si="7"/>
        <v>-1</v>
      </c>
      <c r="T33" s="27"/>
      <c r="U33" s="28">
        <f t="shared" si="8"/>
        <v>0.10964912280701754</v>
      </c>
      <c r="V33" s="25">
        <f t="shared" si="9"/>
        <v>999</v>
      </c>
      <c r="W33" s="35">
        <f t="shared" si="20"/>
        <v>25</v>
      </c>
      <c r="X33" s="33">
        <f t="shared" si="10"/>
        <v>25</v>
      </c>
      <c r="Y33" s="32">
        <f t="shared" si="21"/>
        <v>-1</v>
      </c>
      <c r="Z33" s="32"/>
      <c r="AA33" s="30">
        <f t="shared" si="11"/>
        <v>0.65744418572798247</v>
      </c>
      <c r="AB33" s="28">
        <f t="shared" si="12"/>
        <v>0.37596638655462183</v>
      </c>
      <c r="AC33" s="28">
        <f t="shared" si="13"/>
        <v>0.10964912280701754</v>
      </c>
      <c r="AD33" s="29">
        <f t="shared" si="14"/>
        <v>22.770398481973437</v>
      </c>
      <c r="AE33" s="28">
        <f t="shared" si="15"/>
        <v>0.10964912280701754</v>
      </c>
      <c r="AF33" s="28">
        <f t="shared" si="16"/>
        <v>0.26631726374760428</v>
      </c>
      <c r="AG33" s="28">
        <f t="shared" si="17"/>
        <v>0</v>
      </c>
      <c r="AI33" s="31">
        <f t="shared" si="18"/>
        <v>-0.90976806722689074</v>
      </c>
      <c r="AJ33" s="25"/>
      <c r="AK33" s="31"/>
      <c r="AM33" s="27"/>
    </row>
    <row r="34" spans="4:39" x14ac:dyDescent="0.25">
      <c r="D34" s="25">
        <f>E34*'Profit per cycles Model'!$I$113</f>
        <v>250</v>
      </c>
      <c r="E34" s="25">
        <v>0.68483769346664836</v>
      </c>
      <c r="F34" s="28">
        <f t="shared" si="0"/>
        <v>4</v>
      </c>
      <c r="G34" s="28">
        <f>'Battery Pricing Model'!$C$17/D34</f>
        <v>4</v>
      </c>
      <c r="H34" s="28">
        <f t="shared" si="1"/>
        <v>999</v>
      </c>
      <c r="I34" s="28"/>
      <c r="J34" s="34">
        <f>INDEX('Profit per cycles Model'!$I$149:$I$179, MATCH(TRUNC(E34, 0), 'Profit per cycles Model'!$H$149:$H$179, 0))</f>
        <v>0.37596638655462183</v>
      </c>
      <c r="K34" s="27">
        <f>AVERAGE($AB$10:AB34)</f>
        <v>0.37596638655462189</v>
      </c>
      <c r="L34" s="28">
        <f t="shared" si="2"/>
        <v>999</v>
      </c>
      <c r="M34" s="28">
        <f t="shared" si="3"/>
        <v>999</v>
      </c>
      <c r="N34" s="28">
        <f t="shared" si="4"/>
        <v>999</v>
      </c>
      <c r="O34" s="28"/>
      <c r="P34" s="29">
        <f t="shared" si="19"/>
        <v>2.5000000000000015E-2</v>
      </c>
      <c r="Q34" s="33">
        <f t="shared" si="5"/>
        <v>6.7114093959731544</v>
      </c>
      <c r="R34" s="33">
        <f t="shared" si="6"/>
        <v>6.7114093959731544</v>
      </c>
      <c r="S34" s="33">
        <f t="shared" si="7"/>
        <v>-1</v>
      </c>
      <c r="T34" s="27"/>
      <c r="U34" s="28">
        <f t="shared" si="8"/>
        <v>0.10964912280701754</v>
      </c>
      <c r="V34" s="25">
        <f t="shared" si="9"/>
        <v>999</v>
      </c>
      <c r="W34" s="35">
        <f t="shared" si="20"/>
        <v>25</v>
      </c>
      <c r="X34" s="33">
        <f t="shared" si="10"/>
        <v>25</v>
      </c>
      <c r="Y34" s="32">
        <f t="shared" si="21"/>
        <v>-1</v>
      </c>
      <c r="Z34" s="32"/>
      <c r="AA34" s="30">
        <f t="shared" si="11"/>
        <v>0.68483769346664836</v>
      </c>
      <c r="AB34" s="28">
        <f t="shared" si="12"/>
        <v>0.37596638655462183</v>
      </c>
      <c r="AC34" s="28">
        <f t="shared" si="13"/>
        <v>0.10964912280701754</v>
      </c>
      <c r="AD34" s="29">
        <f t="shared" si="14"/>
        <v>23.719165085388994</v>
      </c>
      <c r="AE34" s="28">
        <f t="shared" si="15"/>
        <v>0.10964912280701754</v>
      </c>
      <c r="AF34" s="28">
        <f t="shared" si="16"/>
        <v>0.26631726374760428</v>
      </c>
      <c r="AG34" s="28">
        <f t="shared" si="17"/>
        <v>0</v>
      </c>
      <c r="AI34" s="31">
        <f t="shared" si="18"/>
        <v>-0.90600840336134447</v>
      </c>
      <c r="AJ34" s="25"/>
      <c r="AK34" s="31"/>
      <c r="AM34" s="27"/>
    </row>
    <row r="35" spans="4:39" x14ac:dyDescent="0.25">
      <c r="D35" s="25">
        <f>E35*'Profit per cycles Model'!$I$113</f>
        <v>260</v>
      </c>
      <c r="E35" s="25">
        <v>0.71223120120531436</v>
      </c>
      <c r="F35" s="28">
        <f t="shared" si="0"/>
        <v>3.8461538461538463</v>
      </c>
      <c r="G35" s="28">
        <f>'Battery Pricing Model'!$C$17/D35</f>
        <v>3.8461538461538463</v>
      </c>
      <c r="H35" s="28">
        <f t="shared" si="1"/>
        <v>999</v>
      </c>
      <c r="I35" s="28"/>
      <c r="J35" s="34">
        <f>INDEX('Profit per cycles Model'!$I$149:$I$179, MATCH(TRUNC(E35, 0), 'Profit per cycles Model'!$H$149:$H$179, 0))</f>
        <v>0.37596638655462183</v>
      </c>
      <c r="K35" s="27">
        <f>AVERAGE($AB$10:AB35)</f>
        <v>0.37596638655462183</v>
      </c>
      <c r="L35" s="28">
        <f t="shared" si="2"/>
        <v>999</v>
      </c>
      <c r="M35" s="28">
        <f t="shared" si="3"/>
        <v>999</v>
      </c>
      <c r="N35" s="28">
        <f t="shared" si="4"/>
        <v>999</v>
      </c>
      <c r="O35" s="28"/>
      <c r="P35" s="29">
        <f t="shared" si="19"/>
        <v>2.6000000000000016E-2</v>
      </c>
      <c r="Q35" s="33">
        <f t="shared" si="5"/>
        <v>6.7114093959731544</v>
      </c>
      <c r="R35" s="33">
        <f t="shared" si="6"/>
        <v>6.7114093959731544</v>
      </c>
      <c r="S35" s="33">
        <f t="shared" si="7"/>
        <v>-1</v>
      </c>
      <c r="T35" s="27"/>
      <c r="U35" s="28">
        <f t="shared" si="8"/>
        <v>0.10964912280701754</v>
      </c>
      <c r="V35" s="25">
        <f t="shared" si="9"/>
        <v>999</v>
      </c>
      <c r="W35" s="35">
        <f t="shared" si="20"/>
        <v>25</v>
      </c>
      <c r="X35" s="33">
        <f t="shared" si="10"/>
        <v>25</v>
      </c>
      <c r="Y35" s="32">
        <f t="shared" si="21"/>
        <v>-1</v>
      </c>
      <c r="Z35" s="32"/>
      <c r="AA35" s="30">
        <f t="shared" si="11"/>
        <v>0.71223120120531436</v>
      </c>
      <c r="AB35" s="28">
        <f t="shared" si="12"/>
        <v>0.37596638655462183</v>
      </c>
      <c r="AC35" s="28">
        <f t="shared" si="13"/>
        <v>0.10964912280701754</v>
      </c>
      <c r="AD35" s="29">
        <f t="shared" si="14"/>
        <v>24.667931688804558</v>
      </c>
      <c r="AE35" s="28">
        <f t="shared" si="15"/>
        <v>0.10964912280701754</v>
      </c>
      <c r="AF35" s="28">
        <f t="shared" si="16"/>
        <v>0.26631726374760428</v>
      </c>
      <c r="AG35" s="28">
        <f t="shared" si="17"/>
        <v>0</v>
      </c>
      <c r="AI35" s="31">
        <f t="shared" si="18"/>
        <v>-0.90224873949579842</v>
      </c>
      <c r="AJ35" s="25"/>
      <c r="AK35" s="31"/>
      <c r="AM35" s="27"/>
    </row>
    <row r="36" spans="4:39" x14ac:dyDescent="0.25">
      <c r="D36" s="25">
        <f>E36*'Profit per cycles Model'!$I$113</f>
        <v>270</v>
      </c>
      <c r="E36" s="25">
        <v>0.73962470894398025</v>
      </c>
      <c r="F36" s="28">
        <f t="shared" si="0"/>
        <v>3.7037037037037037</v>
      </c>
      <c r="G36" s="28">
        <f>'Battery Pricing Model'!$C$17/D36</f>
        <v>3.7037037037037037</v>
      </c>
      <c r="H36" s="28">
        <f t="shared" si="1"/>
        <v>999</v>
      </c>
      <c r="I36" s="28"/>
      <c r="J36" s="34">
        <f>INDEX('Profit per cycles Model'!$I$149:$I$179, MATCH(TRUNC(E36, 0), 'Profit per cycles Model'!$H$149:$H$179, 0))</f>
        <v>0.37596638655462183</v>
      </c>
      <c r="K36" s="27">
        <f>AVERAGE($AB$10:AB36)</f>
        <v>0.37596638655462183</v>
      </c>
      <c r="L36" s="28">
        <f t="shared" si="2"/>
        <v>999</v>
      </c>
      <c r="M36" s="28">
        <f t="shared" si="3"/>
        <v>999</v>
      </c>
      <c r="N36" s="28">
        <f t="shared" si="4"/>
        <v>999</v>
      </c>
      <c r="O36" s="28"/>
      <c r="P36" s="29">
        <f t="shared" si="19"/>
        <v>2.7000000000000017E-2</v>
      </c>
      <c r="Q36" s="33">
        <f t="shared" si="5"/>
        <v>6.7114093959731544</v>
      </c>
      <c r="R36" s="33">
        <f t="shared" si="6"/>
        <v>6.7114093959731544</v>
      </c>
      <c r="S36" s="33">
        <f t="shared" si="7"/>
        <v>-1</v>
      </c>
      <c r="T36" s="27"/>
      <c r="U36" s="28">
        <f t="shared" si="8"/>
        <v>0.10964912280701754</v>
      </c>
      <c r="V36" s="25">
        <f t="shared" si="9"/>
        <v>999</v>
      </c>
      <c r="W36" s="35">
        <f t="shared" si="20"/>
        <v>25</v>
      </c>
      <c r="X36" s="33">
        <f t="shared" si="10"/>
        <v>25</v>
      </c>
      <c r="Y36" s="32">
        <f t="shared" si="21"/>
        <v>-1</v>
      </c>
      <c r="Z36" s="32"/>
      <c r="AA36" s="30">
        <f t="shared" si="11"/>
        <v>0.73962470894398025</v>
      </c>
      <c r="AB36" s="28">
        <f t="shared" si="12"/>
        <v>0.37596638655462183</v>
      </c>
      <c r="AC36" s="28">
        <f t="shared" si="13"/>
        <v>0.10964912280701754</v>
      </c>
      <c r="AD36" s="29">
        <f t="shared" si="14"/>
        <v>25.616698292220114</v>
      </c>
      <c r="AE36" s="28">
        <f t="shared" si="15"/>
        <v>0.10964912280701754</v>
      </c>
      <c r="AF36" s="28">
        <f t="shared" si="16"/>
        <v>0.26631726374760428</v>
      </c>
      <c r="AG36" s="28">
        <f t="shared" si="17"/>
        <v>0</v>
      </c>
      <c r="AI36" s="31">
        <f t="shared" si="18"/>
        <v>-0.89848907563025215</v>
      </c>
      <c r="AJ36" s="25"/>
      <c r="AK36" s="31"/>
      <c r="AM36" s="27"/>
    </row>
    <row r="37" spans="4:39" x14ac:dyDescent="0.25">
      <c r="D37" s="25">
        <f>E37*'Profit per cycles Model'!$I$113</f>
        <v>280</v>
      </c>
      <c r="E37" s="25">
        <v>0.76701821668264614</v>
      </c>
      <c r="F37" s="28">
        <f t="shared" si="0"/>
        <v>3.5714285714285716</v>
      </c>
      <c r="G37" s="28">
        <f>'Battery Pricing Model'!$C$17/D37</f>
        <v>3.5714285714285716</v>
      </c>
      <c r="H37" s="28">
        <f t="shared" si="1"/>
        <v>999</v>
      </c>
      <c r="I37" s="28"/>
      <c r="J37" s="34">
        <f>INDEX('Profit per cycles Model'!$I$149:$I$179, MATCH(TRUNC(E37, 0), 'Profit per cycles Model'!$H$149:$H$179, 0))</f>
        <v>0.37596638655462183</v>
      </c>
      <c r="K37" s="27">
        <f>AVERAGE($AB$10:AB37)</f>
        <v>0.37596638655462178</v>
      </c>
      <c r="L37" s="28">
        <f t="shared" si="2"/>
        <v>999</v>
      </c>
      <c r="M37" s="28">
        <f t="shared" si="3"/>
        <v>999</v>
      </c>
      <c r="N37" s="28">
        <f t="shared" si="4"/>
        <v>999</v>
      </c>
      <c r="O37" s="28"/>
      <c r="P37" s="29">
        <f t="shared" si="19"/>
        <v>2.8000000000000018E-2</v>
      </c>
      <c r="Q37" s="33">
        <f t="shared" si="5"/>
        <v>6.7114093959731544</v>
      </c>
      <c r="R37" s="33">
        <f t="shared" si="6"/>
        <v>6.7114093959731544</v>
      </c>
      <c r="S37" s="33">
        <f t="shared" si="7"/>
        <v>-1</v>
      </c>
      <c r="T37" s="27"/>
      <c r="U37" s="28">
        <f t="shared" si="8"/>
        <v>0.10964912280701754</v>
      </c>
      <c r="V37" s="25">
        <f t="shared" si="9"/>
        <v>999</v>
      </c>
      <c r="W37" s="35">
        <f t="shared" si="20"/>
        <v>25</v>
      </c>
      <c r="X37" s="33">
        <f t="shared" si="10"/>
        <v>25</v>
      </c>
      <c r="Y37" s="32">
        <f t="shared" si="21"/>
        <v>-1</v>
      </c>
      <c r="Z37" s="32"/>
      <c r="AA37" s="30">
        <f t="shared" si="11"/>
        <v>0.76701821668264614</v>
      </c>
      <c r="AB37" s="28">
        <f t="shared" si="12"/>
        <v>0.37596638655462183</v>
      </c>
      <c r="AC37" s="28">
        <f t="shared" si="13"/>
        <v>0.10964912280701754</v>
      </c>
      <c r="AD37" s="29">
        <f t="shared" si="14"/>
        <v>26.565464895635671</v>
      </c>
      <c r="AE37" s="28">
        <f t="shared" si="15"/>
        <v>0.10964912280701754</v>
      </c>
      <c r="AF37" s="28">
        <f t="shared" si="16"/>
        <v>0.26631726374760428</v>
      </c>
      <c r="AG37" s="28">
        <f t="shared" si="17"/>
        <v>0</v>
      </c>
      <c r="AI37" s="31">
        <f t="shared" si="18"/>
        <v>-0.89472941176470588</v>
      </c>
      <c r="AJ37" s="25"/>
      <c r="AK37" s="31"/>
      <c r="AM37" s="27"/>
    </row>
    <row r="38" spans="4:39" x14ac:dyDescent="0.25">
      <c r="D38" s="25">
        <f>E38*'Profit per cycles Model'!$I$113</f>
        <v>290</v>
      </c>
      <c r="E38" s="25">
        <v>0.79441172442131214</v>
      </c>
      <c r="F38" s="28">
        <f t="shared" si="0"/>
        <v>3.4482758620689653</v>
      </c>
      <c r="G38" s="28">
        <f>'Battery Pricing Model'!$C$17/D38</f>
        <v>3.4482758620689653</v>
      </c>
      <c r="H38" s="28">
        <f t="shared" si="1"/>
        <v>999</v>
      </c>
      <c r="I38" s="28"/>
      <c r="J38" s="34">
        <f>INDEX('Profit per cycles Model'!$I$149:$I$179, MATCH(TRUNC(E38, 0), 'Profit per cycles Model'!$H$149:$H$179, 0))</f>
        <v>0.37596638655462183</v>
      </c>
      <c r="K38" s="27">
        <f>AVERAGE($AB$10:AB38)</f>
        <v>0.37596638655462178</v>
      </c>
      <c r="L38" s="28">
        <f t="shared" si="2"/>
        <v>999</v>
      </c>
      <c r="M38" s="28">
        <f t="shared" si="3"/>
        <v>999</v>
      </c>
      <c r="N38" s="28">
        <f t="shared" si="4"/>
        <v>999</v>
      </c>
      <c r="O38" s="28"/>
      <c r="P38" s="29">
        <f t="shared" si="19"/>
        <v>2.9000000000000019E-2</v>
      </c>
      <c r="Q38" s="33">
        <f t="shared" si="5"/>
        <v>6.7114093959731544</v>
      </c>
      <c r="R38" s="33">
        <f t="shared" si="6"/>
        <v>6.7114093959731544</v>
      </c>
      <c r="S38" s="33">
        <f t="shared" si="7"/>
        <v>-1</v>
      </c>
      <c r="T38" s="27"/>
      <c r="U38" s="28">
        <f t="shared" si="8"/>
        <v>0.10964912280701754</v>
      </c>
      <c r="V38" s="25">
        <f t="shared" si="9"/>
        <v>999</v>
      </c>
      <c r="W38" s="35">
        <f t="shared" si="20"/>
        <v>25</v>
      </c>
      <c r="X38" s="33">
        <f t="shared" si="10"/>
        <v>25</v>
      </c>
      <c r="Y38" s="32">
        <f t="shared" si="21"/>
        <v>-1</v>
      </c>
      <c r="Z38" s="32"/>
      <c r="AA38" s="30">
        <f t="shared" si="11"/>
        <v>0.79441172442131214</v>
      </c>
      <c r="AB38" s="28">
        <f t="shared" si="12"/>
        <v>0.37596638655462183</v>
      </c>
      <c r="AC38" s="28">
        <f t="shared" si="13"/>
        <v>0.10964912280701754</v>
      </c>
      <c r="AD38" s="29">
        <f t="shared" si="14"/>
        <v>27.514231499051235</v>
      </c>
      <c r="AE38" s="28">
        <f t="shared" si="15"/>
        <v>0.10964912280701754</v>
      </c>
      <c r="AF38" s="28">
        <f t="shared" si="16"/>
        <v>0.26631726374760428</v>
      </c>
      <c r="AG38" s="28">
        <f t="shared" si="17"/>
        <v>0</v>
      </c>
      <c r="AI38" s="31">
        <f t="shared" si="18"/>
        <v>-0.89096974789915973</v>
      </c>
      <c r="AJ38" s="25"/>
      <c r="AK38" s="31"/>
      <c r="AM38" s="27"/>
    </row>
    <row r="39" spans="4:39" x14ac:dyDescent="0.25">
      <c r="D39" s="25">
        <f>E39*'Profit per cycles Model'!$I$113</f>
        <v>300</v>
      </c>
      <c r="E39" s="25">
        <v>0.82180523215997803</v>
      </c>
      <c r="F39" s="28">
        <f t="shared" si="0"/>
        <v>3.3333333333333335</v>
      </c>
      <c r="G39" s="28">
        <f>'Battery Pricing Model'!$C$17/D39</f>
        <v>3.3333333333333335</v>
      </c>
      <c r="H39" s="28">
        <f t="shared" si="1"/>
        <v>999</v>
      </c>
      <c r="I39" s="28"/>
      <c r="J39" s="34">
        <f>INDEX('Profit per cycles Model'!$I$149:$I$179, MATCH(TRUNC(E39, 0), 'Profit per cycles Model'!$H$149:$H$179, 0))</f>
        <v>0.37596638655462183</v>
      </c>
      <c r="K39" s="27">
        <f>AVERAGE($AB$10:AB39)</f>
        <v>0.37596638655462178</v>
      </c>
      <c r="L39" s="28">
        <f t="shared" si="2"/>
        <v>999</v>
      </c>
      <c r="M39" s="28">
        <f t="shared" si="3"/>
        <v>999</v>
      </c>
      <c r="N39" s="28">
        <f t="shared" si="4"/>
        <v>999</v>
      </c>
      <c r="O39" s="28"/>
      <c r="P39" s="29">
        <f t="shared" si="19"/>
        <v>3.000000000000002E-2</v>
      </c>
      <c r="Q39" s="33">
        <f t="shared" si="5"/>
        <v>6.7114093959731544</v>
      </c>
      <c r="R39" s="33">
        <f t="shared" si="6"/>
        <v>6.7114093959731544</v>
      </c>
      <c r="S39" s="33">
        <f t="shared" si="7"/>
        <v>-1</v>
      </c>
      <c r="T39" s="27"/>
      <c r="U39" s="28">
        <f t="shared" si="8"/>
        <v>0.10964912280701754</v>
      </c>
      <c r="V39" s="25">
        <f t="shared" si="9"/>
        <v>999</v>
      </c>
      <c r="W39" s="35">
        <f t="shared" si="20"/>
        <v>25</v>
      </c>
      <c r="X39" s="33">
        <f t="shared" si="10"/>
        <v>25</v>
      </c>
      <c r="Y39" s="32">
        <f t="shared" si="21"/>
        <v>-1</v>
      </c>
      <c r="Z39" s="32"/>
      <c r="AA39" s="30">
        <f t="shared" si="11"/>
        <v>0.82180523215997803</v>
      </c>
      <c r="AB39" s="28">
        <f t="shared" si="12"/>
        <v>0.37596638655462183</v>
      </c>
      <c r="AC39" s="28">
        <f t="shared" si="13"/>
        <v>0.10964912280701754</v>
      </c>
      <c r="AD39" s="29">
        <f t="shared" si="14"/>
        <v>28.462998102466791</v>
      </c>
      <c r="AE39" s="28">
        <f t="shared" si="15"/>
        <v>0.10964912280701754</v>
      </c>
      <c r="AF39" s="28">
        <f t="shared" si="16"/>
        <v>0.26631726374760428</v>
      </c>
      <c r="AG39" s="28">
        <f t="shared" si="17"/>
        <v>0</v>
      </c>
      <c r="AI39" s="31">
        <f t="shared" si="18"/>
        <v>-0.88721008403361346</v>
      </c>
      <c r="AJ39" s="25"/>
      <c r="AK39" s="31"/>
      <c r="AM39" s="27"/>
    </row>
    <row r="40" spans="4:39" x14ac:dyDescent="0.25">
      <c r="D40" s="25">
        <f>E40*'Profit per cycles Model'!$I$113</f>
        <v>310</v>
      </c>
      <c r="E40" s="25">
        <v>0.84919873989864403</v>
      </c>
      <c r="F40" s="28">
        <f t="shared" si="0"/>
        <v>3.225806451612903</v>
      </c>
      <c r="G40" s="28">
        <f>'Battery Pricing Model'!$C$17/D40</f>
        <v>3.225806451612903</v>
      </c>
      <c r="H40" s="28">
        <f t="shared" si="1"/>
        <v>999</v>
      </c>
      <c r="I40" s="28"/>
      <c r="J40" s="34">
        <f>INDEX('Profit per cycles Model'!$I$149:$I$179, MATCH(TRUNC(E40, 0), 'Profit per cycles Model'!$H$149:$H$179, 0))</f>
        <v>0.37596638655462183</v>
      </c>
      <c r="K40" s="27">
        <f>AVERAGE($AB$10:AB40)</f>
        <v>0.37596638655462172</v>
      </c>
      <c r="L40" s="28">
        <f t="shared" si="2"/>
        <v>999</v>
      </c>
      <c r="M40" s="28">
        <f t="shared" si="3"/>
        <v>999</v>
      </c>
      <c r="N40" s="28">
        <f t="shared" si="4"/>
        <v>999</v>
      </c>
      <c r="O40" s="28"/>
      <c r="P40" s="29">
        <f t="shared" si="19"/>
        <v>3.1000000000000021E-2</v>
      </c>
      <c r="Q40" s="33">
        <f t="shared" si="5"/>
        <v>6.7114093959731544</v>
      </c>
      <c r="R40" s="33">
        <f t="shared" si="6"/>
        <v>6.7114093959731544</v>
      </c>
      <c r="S40" s="33">
        <f t="shared" si="7"/>
        <v>-1</v>
      </c>
      <c r="T40" s="27"/>
      <c r="U40" s="28">
        <f t="shared" si="8"/>
        <v>0.10964912280701754</v>
      </c>
      <c r="V40" s="25">
        <f t="shared" si="9"/>
        <v>999</v>
      </c>
      <c r="W40" s="35">
        <f t="shared" si="20"/>
        <v>25</v>
      </c>
      <c r="X40" s="33">
        <f t="shared" si="10"/>
        <v>25</v>
      </c>
      <c r="Y40" s="32">
        <f t="shared" si="21"/>
        <v>-1</v>
      </c>
      <c r="Z40" s="32"/>
      <c r="AA40" s="30">
        <f t="shared" si="11"/>
        <v>0.84919873989864403</v>
      </c>
      <c r="AB40" s="28">
        <f t="shared" si="12"/>
        <v>0.37596638655462183</v>
      </c>
      <c r="AC40" s="28">
        <f t="shared" si="13"/>
        <v>0.10964912280701754</v>
      </c>
      <c r="AD40" s="29">
        <f t="shared" si="14"/>
        <v>29.411764705882355</v>
      </c>
      <c r="AE40" s="28">
        <f t="shared" si="15"/>
        <v>0.10964912280701754</v>
      </c>
      <c r="AF40" s="28">
        <f t="shared" si="16"/>
        <v>0.26631726374760428</v>
      </c>
      <c r="AG40" s="28">
        <f t="shared" si="17"/>
        <v>0</v>
      </c>
      <c r="AI40" s="31">
        <f t="shared" si="18"/>
        <v>-0.8834504201680673</v>
      </c>
      <c r="AJ40" s="25"/>
      <c r="AK40" s="31"/>
      <c r="AM40" s="27"/>
    </row>
    <row r="41" spans="4:39" x14ac:dyDescent="0.25">
      <c r="D41" s="25">
        <f>E41*'Profit per cycles Model'!$I$113</f>
        <v>320</v>
      </c>
      <c r="E41" s="25">
        <v>0.87659224763730992</v>
      </c>
      <c r="F41" s="28">
        <f t="shared" si="0"/>
        <v>3.125</v>
      </c>
      <c r="G41" s="28">
        <f>'Battery Pricing Model'!$C$17/D41</f>
        <v>3.125</v>
      </c>
      <c r="H41" s="28">
        <f t="shared" si="1"/>
        <v>999</v>
      </c>
      <c r="I41" s="28"/>
      <c r="J41" s="34">
        <f>INDEX('Profit per cycles Model'!$I$149:$I$179, MATCH(TRUNC(E41, 0), 'Profit per cycles Model'!$H$149:$H$179, 0))</f>
        <v>0.37596638655462183</v>
      </c>
      <c r="K41" s="27">
        <f>AVERAGE($AB$10:AB41)</f>
        <v>0.37596638655462172</v>
      </c>
      <c r="L41" s="28">
        <f t="shared" si="2"/>
        <v>999</v>
      </c>
      <c r="M41" s="28">
        <f t="shared" si="3"/>
        <v>999</v>
      </c>
      <c r="N41" s="28">
        <f t="shared" si="4"/>
        <v>999</v>
      </c>
      <c r="O41" s="28"/>
      <c r="P41" s="29">
        <f t="shared" si="19"/>
        <v>3.2000000000000021E-2</v>
      </c>
      <c r="Q41" s="33">
        <f t="shared" si="5"/>
        <v>6.7114093959731544</v>
      </c>
      <c r="R41" s="33">
        <f t="shared" si="6"/>
        <v>6.7114093959731544</v>
      </c>
      <c r="S41" s="33">
        <f t="shared" si="7"/>
        <v>-1</v>
      </c>
      <c r="T41" s="27"/>
      <c r="U41" s="28">
        <f t="shared" si="8"/>
        <v>0.10964912280701754</v>
      </c>
      <c r="V41" s="25">
        <f t="shared" si="9"/>
        <v>999</v>
      </c>
      <c r="W41" s="35">
        <f t="shared" si="20"/>
        <v>25</v>
      </c>
      <c r="X41" s="33">
        <f t="shared" si="10"/>
        <v>25</v>
      </c>
      <c r="Y41" s="32">
        <f t="shared" si="21"/>
        <v>-1</v>
      </c>
      <c r="Z41" s="32"/>
      <c r="AA41" s="30">
        <f t="shared" si="11"/>
        <v>0.87659224763730992</v>
      </c>
      <c r="AB41" s="28">
        <f t="shared" si="12"/>
        <v>0.37596638655462183</v>
      </c>
      <c r="AC41" s="28">
        <f t="shared" si="13"/>
        <v>0.10964912280701754</v>
      </c>
      <c r="AD41" s="29">
        <f t="shared" si="14"/>
        <v>30.360531309297912</v>
      </c>
      <c r="AE41" s="28">
        <f t="shared" si="15"/>
        <v>0.10964912280701754</v>
      </c>
      <c r="AF41" s="28">
        <f t="shared" si="16"/>
        <v>0.26631726374760428</v>
      </c>
      <c r="AG41" s="28">
        <f t="shared" si="17"/>
        <v>0</v>
      </c>
      <c r="AI41" s="31">
        <f t="shared" si="18"/>
        <v>-0.87969075630252103</v>
      </c>
      <c r="AJ41" s="25"/>
      <c r="AK41" s="31"/>
      <c r="AM41" s="27"/>
    </row>
    <row r="42" spans="4:39" x14ac:dyDescent="0.25">
      <c r="D42" s="25">
        <f>E42*'Profit per cycles Model'!$I$113</f>
        <v>330</v>
      </c>
      <c r="E42" s="25">
        <v>0.90398575537597592</v>
      </c>
      <c r="F42" s="28">
        <f t="shared" si="0"/>
        <v>3.0303030303030303</v>
      </c>
      <c r="G42" s="28">
        <f>'Battery Pricing Model'!$C$17/D42</f>
        <v>3.0303030303030303</v>
      </c>
      <c r="H42" s="28">
        <f t="shared" si="1"/>
        <v>999</v>
      </c>
      <c r="I42" s="28"/>
      <c r="J42" s="34">
        <f>INDEX('Profit per cycles Model'!$I$149:$I$179, MATCH(TRUNC(E42, 0), 'Profit per cycles Model'!$H$149:$H$179, 0))</f>
        <v>0.37596638655462183</v>
      </c>
      <c r="K42" s="27">
        <f>AVERAGE($AB$10:AB42)</f>
        <v>0.37596638655462172</v>
      </c>
      <c r="L42" s="28">
        <f t="shared" si="2"/>
        <v>999</v>
      </c>
      <c r="M42" s="28">
        <f t="shared" si="3"/>
        <v>999</v>
      </c>
      <c r="N42" s="28">
        <f t="shared" si="4"/>
        <v>999</v>
      </c>
      <c r="O42" s="28"/>
      <c r="P42" s="29">
        <f t="shared" si="19"/>
        <v>3.3000000000000022E-2</v>
      </c>
      <c r="Q42" s="33">
        <f t="shared" si="5"/>
        <v>6.7114093959731544</v>
      </c>
      <c r="R42" s="33">
        <f t="shared" si="6"/>
        <v>6.7114093959731544</v>
      </c>
      <c r="S42" s="33">
        <f t="shared" si="7"/>
        <v>-1</v>
      </c>
      <c r="T42" s="27"/>
      <c r="U42" s="28">
        <f t="shared" si="8"/>
        <v>0.10964912280701754</v>
      </c>
      <c r="V42" s="25">
        <f t="shared" si="9"/>
        <v>999</v>
      </c>
      <c r="W42" s="35">
        <f t="shared" si="20"/>
        <v>25</v>
      </c>
      <c r="X42" s="33">
        <f t="shared" si="10"/>
        <v>25</v>
      </c>
      <c r="Y42" s="32">
        <f t="shared" si="21"/>
        <v>-1</v>
      </c>
      <c r="Z42" s="32"/>
      <c r="AA42" s="30">
        <f t="shared" si="11"/>
        <v>0.90398575537597592</v>
      </c>
      <c r="AB42" s="28">
        <f t="shared" si="12"/>
        <v>0.37596638655462183</v>
      </c>
      <c r="AC42" s="28">
        <f t="shared" si="13"/>
        <v>0.10964912280701754</v>
      </c>
      <c r="AD42" s="29">
        <f t="shared" si="14"/>
        <v>31.309297912713475</v>
      </c>
      <c r="AE42" s="28">
        <f t="shared" si="15"/>
        <v>0.10964912280701754</v>
      </c>
      <c r="AF42" s="28">
        <f t="shared" si="16"/>
        <v>0.26631726374760428</v>
      </c>
      <c r="AG42" s="28">
        <f t="shared" si="17"/>
        <v>0</v>
      </c>
      <c r="AI42" s="31">
        <f t="shared" si="18"/>
        <v>-0.87593109243697487</v>
      </c>
      <c r="AJ42" s="25"/>
      <c r="AK42" s="31"/>
      <c r="AM42" s="27"/>
    </row>
    <row r="43" spans="4:39" x14ac:dyDescent="0.25">
      <c r="D43" s="25">
        <f>E43*'Profit per cycles Model'!$I$113</f>
        <v>340</v>
      </c>
      <c r="E43" s="25">
        <v>0.93137926311464181</v>
      </c>
      <c r="F43" s="28">
        <f t="shared" si="0"/>
        <v>2.9411764705882355</v>
      </c>
      <c r="G43" s="28">
        <f>'Battery Pricing Model'!$C$17/D43</f>
        <v>2.9411764705882355</v>
      </c>
      <c r="H43" s="28">
        <f t="shared" si="1"/>
        <v>999</v>
      </c>
      <c r="I43" s="28"/>
      <c r="J43" s="34">
        <f>INDEX('Profit per cycles Model'!$I$149:$I$179, MATCH(TRUNC(E43, 0), 'Profit per cycles Model'!$H$149:$H$179, 0))</f>
        <v>0.37596638655462183</v>
      </c>
      <c r="K43" s="27">
        <f>AVERAGE($AB$10:AB43)</f>
        <v>0.37596638655462167</v>
      </c>
      <c r="L43" s="28">
        <f t="shared" si="2"/>
        <v>999</v>
      </c>
      <c r="M43" s="28">
        <f t="shared" si="3"/>
        <v>999</v>
      </c>
      <c r="N43" s="28">
        <f t="shared" si="4"/>
        <v>999</v>
      </c>
      <c r="O43" s="28"/>
      <c r="P43" s="29">
        <f t="shared" si="19"/>
        <v>3.4000000000000023E-2</v>
      </c>
      <c r="Q43" s="33">
        <f t="shared" si="5"/>
        <v>6.7114093959731544</v>
      </c>
      <c r="R43" s="33">
        <f t="shared" si="6"/>
        <v>6.7114093959731544</v>
      </c>
      <c r="S43" s="33">
        <f t="shared" si="7"/>
        <v>-1</v>
      </c>
      <c r="T43" s="27"/>
      <c r="U43" s="28">
        <f t="shared" si="8"/>
        <v>0.10964912280701754</v>
      </c>
      <c r="V43" s="25">
        <f t="shared" si="9"/>
        <v>999</v>
      </c>
      <c r="W43" s="35">
        <f t="shared" si="20"/>
        <v>25</v>
      </c>
      <c r="X43" s="33">
        <f t="shared" si="10"/>
        <v>25</v>
      </c>
      <c r="Y43" s="32">
        <f t="shared" si="21"/>
        <v>-1</v>
      </c>
      <c r="Z43" s="32"/>
      <c r="AA43" s="30">
        <f t="shared" si="11"/>
        <v>0.93137926311464181</v>
      </c>
      <c r="AB43" s="28">
        <f t="shared" si="12"/>
        <v>0.37596638655462183</v>
      </c>
      <c r="AC43" s="28">
        <f t="shared" si="13"/>
        <v>0.10964912280701754</v>
      </c>
      <c r="AD43" s="29">
        <f t="shared" si="14"/>
        <v>32.258064516129032</v>
      </c>
      <c r="AE43" s="28">
        <f t="shared" si="15"/>
        <v>0.10964912280701754</v>
      </c>
      <c r="AF43" s="28">
        <f t="shared" si="16"/>
        <v>0.26631726374760428</v>
      </c>
      <c r="AG43" s="28">
        <f t="shared" si="17"/>
        <v>0</v>
      </c>
      <c r="AI43" s="31">
        <f t="shared" si="18"/>
        <v>-0.8721714285714286</v>
      </c>
      <c r="AJ43" s="25"/>
      <c r="AK43" s="31"/>
      <c r="AM43" s="27"/>
    </row>
    <row r="44" spans="4:39" x14ac:dyDescent="0.25">
      <c r="D44" s="25">
        <f>E44*'Profit per cycles Model'!$I$113</f>
        <v>350</v>
      </c>
      <c r="E44" s="25">
        <v>0.9587727708533077</v>
      </c>
      <c r="F44" s="28">
        <f t="shared" si="0"/>
        <v>2.8571428571428572</v>
      </c>
      <c r="G44" s="28">
        <f>'Battery Pricing Model'!$C$17/D44</f>
        <v>2.8571428571428572</v>
      </c>
      <c r="H44" s="28">
        <f t="shared" si="1"/>
        <v>999</v>
      </c>
      <c r="I44" s="28"/>
      <c r="J44" s="34">
        <f>INDEX('Profit per cycles Model'!$I$149:$I$179, MATCH(TRUNC(E44, 0), 'Profit per cycles Model'!$H$149:$H$179, 0))</f>
        <v>0.37596638655462183</v>
      </c>
      <c r="K44" s="27">
        <f>AVERAGE($AB$10:AB44)</f>
        <v>0.37596638655462167</v>
      </c>
      <c r="L44" s="28">
        <f t="shared" si="2"/>
        <v>999</v>
      </c>
      <c r="M44" s="28">
        <f t="shared" si="3"/>
        <v>999</v>
      </c>
      <c r="N44" s="28">
        <f t="shared" si="4"/>
        <v>999</v>
      </c>
      <c r="O44" s="28"/>
      <c r="P44" s="29">
        <f t="shared" si="19"/>
        <v>3.5000000000000024E-2</v>
      </c>
      <c r="Q44" s="33">
        <f t="shared" si="5"/>
        <v>6.7114093959731544</v>
      </c>
      <c r="R44" s="33">
        <f t="shared" si="6"/>
        <v>6.7114093959731544</v>
      </c>
      <c r="S44" s="33">
        <f t="shared" si="7"/>
        <v>-1</v>
      </c>
      <c r="T44" s="27"/>
      <c r="U44" s="28">
        <f t="shared" si="8"/>
        <v>0.10964912280701754</v>
      </c>
      <c r="V44" s="25">
        <f t="shared" si="9"/>
        <v>999</v>
      </c>
      <c r="W44" s="35">
        <f t="shared" si="20"/>
        <v>25</v>
      </c>
      <c r="X44" s="33">
        <f t="shared" si="10"/>
        <v>25</v>
      </c>
      <c r="Y44" s="32">
        <f t="shared" si="21"/>
        <v>-1</v>
      </c>
      <c r="Z44" s="32"/>
      <c r="AA44" s="30">
        <f t="shared" si="11"/>
        <v>0.9587727708533077</v>
      </c>
      <c r="AB44" s="28">
        <f t="shared" si="12"/>
        <v>0.37596638655462183</v>
      </c>
      <c r="AC44" s="28">
        <f t="shared" si="13"/>
        <v>0.10964912280701754</v>
      </c>
      <c r="AD44" s="29">
        <f t="shared" si="14"/>
        <v>33.206831119544596</v>
      </c>
      <c r="AE44" s="28">
        <f t="shared" si="15"/>
        <v>0.10964912280701754</v>
      </c>
      <c r="AF44" s="28">
        <f t="shared" si="16"/>
        <v>0.26631726374760428</v>
      </c>
      <c r="AG44" s="28">
        <f t="shared" si="17"/>
        <v>0</v>
      </c>
      <c r="AI44" s="31">
        <f t="shared" si="18"/>
        <v>-0.86841176470588244</v>
      </c>
      <c r="AJ44" s="25"/>
      <c r="AK44" s="31"/>
      <c r="AM44" s="27"/>
    </row>
    <row r="45" spans="4:39" x14ac:dyDescent="0.25">
      <c r="D45" s="25">
        <f>E45*'Profit per cycles Model'!$I$113</f>
        <v>360</v>
      </c>
      <c r="E45" s="25">
        <v>0.9861662785919737</v>
      </c>
      <c r="F45" s="28">
        <f t="shared" si="0"/>
        <v>2.7777777777777777</v>
      </c>
      <c r="G45" s="28">
        <f>'Battery Pricing Model'!$C$17/D45</f>
        <v>2.7777777777777777</v>
      </c>
      <c r="H45" s="28">
        <f t="shared" si="1"/>
        <v>999</v>
      </c>
      <c r="I45" s="28"/>
      <c r="J45" s="34">
        <f>INDEX('Profit per cycles Model'!$I$149:$I$179, MATCH(TRUNC(E45, 0), 'Profit per cycles Model'!$H$149:$H$179, 0))</f>
        <v>0.37596638655462183</v>
      </c>
      <c r="K45" s="27">
        <f>AVERAGE($AB$10:AB45)</f>
        <v>0.37596638655462167</v>
      </c>
      <c r="L45" s="28">
        <f t="shared" si="2"/>
        <v>999</v>
      </c>
      <c r="M45" s="28">
        <f t="shared" si="3"/>
        <v>999</v>
      </c>
      <c r="N45" s="28">
        <f t="shared" si="4"/>
        <v>999</v>
      </c>
      <c r="O45" s="28"/>
      <c r="P45" s="29">
        <f t="shared" si="19"/>
        <v>3.6000000000000025E-2</v>
      </c>
      <c r="Q45" s="33">
        <f t="shared" si="5"/>
        <v>6.7114093959731544</v>
      </c>
      <c r="R45" s="33">
        <f t="shared" si="6"/>
        <v>6.7114093959731544</v>
      </c>
      <c r="S45" s="33">
        <f t="shared" si="7"/>
        <v>-1</v>
      </c>
      <c r="T45" s="27"/>
      <c r="U45" s="28">
        <f t="shared" si="8"/>
        <v>0.10964912280701754</v>
      </c>
      <c r="V45" s="25">
        <f t="shared" si="9"/>
        <v>999</v>
      </c>
      <c r="W45" s="35">
        <f t="shared" si="20"/>
        <v>25</v>
      </c>
      <c r="X45" s="33">
        <f t="shared" si="10"/>
        <v>25</v>
      </c>
      <c r="Y45" s="32">
        <f t="shared" si="21"/>
        <v>-1</v>
      </c>
      <c r="Z45" s="32"/>
      <c r="AA45" s="30">
        <f t="shared" si="11"/>
        <v>0.9861662785919737</v>
      </c>
      <c r="AB45" s="28">
        <f t="shared" si="12"/>
        <v>0.37596638655462183</v>
      </c>
      <c r="AC45" s="28">
        <f t="shared" si="13"/>
        <v>0.10964912280701754</v>
      </c>
      <c r="AD45" s="29">
        <f t="shared" si="14"/>
        <v>34.155597722960152</v>
      </c>
      <c r="AE45" s="28">
        <f t="shared" si="15"/>
        <v>0.10964912280701754</v>
      </c>
      <c r="AF45" s="28">
        <f t="shared" si="16"/>
        <v>0.26631726374760428</v>
      </c>
      <c r="AG45" s="28">
        <f t="shared" si="17"/>
        <v>0</v>
      </c>
      <c r="AI45" s="31">
        <f t="shared" si="18"/>
        <v>-0.86465210084033617</v>
      </c>
      <c r="AJ45" s="25"/>
      <c r="AK45" s="31"/>
      <c r="AM45" s="27"/>
    </row>
    <row r="46" spans="4:39" x14ac:dyDescent="0.25">
      <c r="D46" s="25">
        <f>E46*'Profit per cycles Model'!$I$113</f>
        <v>370</v>
      </c>
      <c r="E46" s="25">
        <v>1.0135597863306396</v>
      </c>
      <c r="F46" s="28">
        <f t="shared" si="0"/>
        <v>2.7027027027027026</v>
      </c>
      <c r="G46" s="28">
        <f>'Battery Pricing Model'!$C$17/D46</f>
        <v>2.7027027027027026</v>
      </c>
      <c r="H46" s="28">
        <f t="shared" si="1"/>
        <v>999</v>
      </c>
      <c r="I46" s="28"/>
      <c r="J46" s="34">
        <f>INDEX('Profit per cycles Model'!$I$149:$I$179, MATCH(TRUNC(E46, 0), 'Profit per cycles Model'!$H$149:$H$179, 0))</f>
        <v>0.38689495798319323</v>
      </c>
      <c r="K46" s="27">
        <f>AVERAGE($AB$10:AB46)</f>
        <v>0.37626175334998846</v>
      </c>
      <c r="L46" s="28">
        <f t="shared" si="2"/>
        <v>999</v>
      </c>
      <c r="M46" s="28">
        <f t="shared" si="3"/>
        <v>999</v>
      </c>
      <c r="N46" s="28">
        <f t="shared" si="4"/>
        <v>999</v>
      </c>
      <c r="O46" s="28"/>
      <c r="P46" s="29">
        <f t="shared" si="19"/>
        <v>3.7000000000000026E-2</v>
      </c>
      <c r="Q46" s="33">
        <f t="shared" si="5"/>
        <v>6.7114093959731544</v>
      </c>
      <c r="R46" s="33">
        <f t="shared" si="6"/>
        <v>6.7114093959731544</v>
      </c>
      <c r="S46" s="33">
        <f t="shared" si="7"/>
        <v>-1</v>
      </c>
      <c r="T46" s="27"/>
      <c r="U46" s="28">
        <f t="shared" si="8"/>
        <v>0.10964912280701754</v>
      </c>
      <c r="V46" s="25">
        <f t="shared" si="9"/>
        <v>999</v>
      </c>
      <c r="W46" s="35">
        <f t="shared" si="20"/>
        <v>25</v>
      </c>
      <c r="X46" s="33">
        <f t="shared" si="10"/>
        <v>25</v>
      </c>
      <c r="Y46" s="32">
        <f t="shared" si="21"/>
        <v>-1</v>
      </c>
      <c r="Z46" s="32"/>
      <c r="AA46" s="30">
        <f t="shared" si="11"/>
        <v>1.0135597863306396</v>
      </c>
      <c r="AB46" s="28">
        <f t="shared" si="12"/>
        <v>0.38689495798319323</v>
      </c>
      <c r="AC46" s="28">
        <f t="shared" si="13"/>
        <v>0.10964912280701754</v>
      </c>
      <c r="AD46" s="29">
        <f t="shared" si="14"/>
        <v>35.104364326375709</v>
      </c>
      <c r="AE46" s="28">
        <f t="shared" si="15"/>
        <v>0.10964912280701754</v>
      </c>
      <c r="AF46" s="28">
        <f t="shared" si="16"/>
        <v>0.27724583517617568</v>
      </c>
      <c r="AG46" s="28">
        <f t="shared" si="17"/>
        <v>0</v>
      </c>
      <c r="AI46" s="31">
        <f t="shared" si="18"/>
        <v>-0.8607831512605042</v>
      </c>
      <c r="AJ46" s="25"/>
      <c r="AK46" s="31"/>
      <c r="AM46" s="27"/>
    </row>
    <row r="47" spans="4:39" x14ac:dyDescent="0.25">
      <c r="D47" s="25">
        <f>E47*'Profit per cycles Model'!$I$113</f>
        <v>380</v>
      </c>
      <c r="E47" s="25">
        <v>1.0409532940693056</v>
      </c>
      <c r="F47" s="28">
        <f t="shared" si="0"/>
        <v>2.6315789473684212</v>
      </c>
      <c r="G47" s="28">
        <f>'Battery Pricing Model'!$C$17/D47</f>
        <v>2.6315789473684212</v>
      </c>
      <c r="H47" s="28">
        <f t="shared" si="1"/>
        <v>999</v>
      </c>
      <c r="I47" s="28"/>
      <c r="J47" s="34">
        <f>INDEX('Profit per cycles Model'!$I$149:$I$179, MATCH(TRUNC(E47, 0), 'Profit per cycles Model'!$H$149:$H$179, 0))</f>
        <v>0.38689495798319323</v>
      </c>
      <c r="K47" s="27">
        <f>AVERAGE($AB$10:AB47)</f>
        <v>0.37654157452454645</v>
      </c>
      <c r="L47" s="28">
        <f t="shared" si="2"/>
        <v>999</v>
      </c>
      <c r="M47" s="28">
        <f t="shared" si="3"/>
        <v>999</v>
      </c>
      <c r="N47" s="28">
        <f t="shared" si="4"/>
        <v>999</v>
      </c>
      <c r="O47" s="28"/>
      <c r="P47" s="29">
        <f t="shared" si="19"/>
        <v>3.8000000000000027E-2</v>
      </c>
      <c r="Q47" s="33">
        <f t="shared" si="5"/>
        <v>6.7114093959731544</v>
      </c>
      <c r="R47" s="33">
        <f t="shared" si="6"/>
        <v>6.7114093959731544</v>
      </c>
      <c r="S47" s="33">
        <f t="shared" si="7"/>
        <v>-1</v>
      </c>
      <c r="T47" s="27"/>
      <c r="U47" s="28">
        <f t="shared" si="8"/>
        <v>0.10964912280701754</v>
      </c>
      <c r="V47" s="25">
        <f t="shared" si="9"/>
        <v>999</v>
      </c>
      <c r="W47" s="35">
        <f t="shared" si="20"/>
        <v>25</v>
      </c>
      <c r="X47" s="33">
        <f t="shared" si="10"/>
        <v>25</v>
      </c>
      <c r="Y47" s="32">
        <f t="shared" si="21"/>
        <v>-1</v>
      </c>
      <c r="Z47" s="32"/>
      <c r="AA47" s="30">
        <f t="shared" si="11"/>
        <v>1.0409532940693056</v>
      </c>
      <c r="AB47" s="28">
        <f t="shared" si="12"/>
        <v>0.38689495798319323</v>
      </c>
      <c r="AC47" s="28">
        <f t="shared" si="13"/>
        <v>0.10964912280701754</v>
      </c>
      <c r="AD47" s="29">
        <f t="shared" si="14"/>
        <v>36.05313092979128</v>
      </c>
      <c r="AE47" s="28">
        <f t="shared" si="15"/>
        <v>0.10964912280701754</v>
      </c>
      <c r="AF47" s="28">
        <f t="shared" si="16"/>
        <v>0.27724583517617568</v>
      </c>
      <c r="AG47" s="28">
        <f t="shared" si="17"/>
        <v>0</v>
      </c>
      <c r="AI47" s="31">
        <f t="shared" si="18"/>
        <v>-0.85691420168067234</v>
      </c>
      <c r="AJ47" s="25"/>
      <c r="AK47" s="31"/>
      <c r="AM47" s="27"/>
    </row>
    <row r="48" spans="4:39" x14ac:dyDescent="0.25">
      <c r="D48" s="25">
        <f>E48*'Profit per cycles Model'!$I$113</f>
        <v>389.99999999999994</v>
      </c>
      <c r="E48" s="25">
        <v>1.0683468018079714</v>
      </c>
      <c r="F48" s="28">
        <f t="shared" si="0"/>
        <v>2.5641025641025643</v>
      </c>
      <c r="G48" s="28">
        <f>'Battery Pricing Model'!$C$17/D48</f>
        <v>2.5641025641025643</v>
      </c>
      <c r="H48" s="28">
        <f t="shared" si="1"/>
        <v>999</v>
      </c>
      <c r="I48" s="28"/>
      <c r="J48" s="34">
        <f>INDEX('Profit per cycles Model'!$I$149:$I$179, MATCH(TRUNC(E48, 0), 'Profit per cycles Model'!$H$149:$H$179, 0))</f>
        <v>0.38689495798319323</v>
      </c>
      <c r="K48" s="27">
        <f>AVERAGE($AB$10:AB48)</f>
        <v>0.37680704589528102</v>
      </c>
      <c r="L48" s="28">
        <f t="shared" si="2"/>
        <v>999</v>
      </c>
      <c r="M48" s="28">
        <f t="shared" si="3"/>
        <v>999</v>
      </c>
      <c r="N48" s="28">
        <f t="shared" si="4"/>
        <v>999</v>
      </c>
      <c r="O48" s="28"/>
      <c r="P48" s="29">
        <f t="shared" si="19"/>
        <v>3.9000000000000028E-2</v>
      </c>
      <c r="Q48" s="33">
        <f t="shared" si="5"/>
        <v>6.7114093959731544</v>
      </c>
      <c r="R48" s="33">
        <f t="shared" si="6"/>
        <v>6.7114093959731544</v>
      </c>
      <c r="S48" s="33">
        <f t="shared" si="7"/>
        <v>-1</v>
      </c>
      <c r="T48" s="27"/>
      <c r="U48" s="28">
        <f t="shared" si="8"/>
        <v>0.10964912280701754</v>
      </c>
      <c r="V48" s="25">
        <f t="shared" si="9"/>
        <v>999</v>
      </c>
      <c r="W48" s="35">
        <f t="shared" si="20"/>
        <v>25</v>
      </c>
      <c r="X48" s="33">
        <f t="shared" si="10"/>
        <v>25</v>
      </c>
      <c r="Y48" s="32">
        <f t="shared" si="21"/>
        <v>-1</v>
      </c>
      <c r="Z48" s="32"/>
      <c r="AA48" s="30">
        <f t="shared" si="11"/>
        <v>1.0683468018079714</v>
      </c>
      <c r="AB48" s="28">
        <f t="shared" si="12"/>
        <v>0.38689495798319323</v>
      </c>
      <c r="AC48" s="28">
        <f t="shared" si="13"/>
        <v>0.10964912280701754</v>
      </c>
      <c r="AD48" s="29">
        <f t="shared" si="14"/>
        <v>37.001897533206829</v>
      </c>
      <c r="AE48" s="28">
        <f t="shared" si="15"/>
        <v>0.10964912280701754</v>
      </c>
      <c r="AF48" s="28">
        <f t="shared" si="16"/>
        <v>0.27724583517617568</v>
      </c>
      <c r="AG48" s="28">
        <f t="shared" si="17"/>
        <v>0</v>
      </c>
      <c r="AI48" s="31">
        <f t="shared" si="18"/>
        <v>-0.85304525210084037</v>
      </c>
      <c r="AJ48" s="25"/>
      <c r="AK48" s="31"/>
      <c r="AM48" s="27"/>
    </row>
    <row r="49" spans="4:39" x14ac:dyDescent="0.25">
      <c r="D49" s="25">
        <f>E49*'Profit per cycles Model'!$I$113</f>
        <v>400</v>
      </c>
      <c r="E49" s="25">
        <v>1.0957403095466374</v>
      </c>
      <c r="F49" s="28">
        <f t="shared" si="0"/>
        <v>2.5</v>
      </c>
      <c r="G49" s="28">
        <f>'Battery Pricing Model'!$C$17/D49</f>
        <v>2.5</v>
      </c>
      <c r="H49" s="28">
        <f t="shared" si="1"/>
        <v>999</v>
      </c>
      <c r="I49" s="28"/>
      <c r="J49" s="34">
        <f>INDEX('Profit per cycles Model'!$I$149:$I$179, MATCH(TRUNC(E49, 0), 'Profit per cycles Model'!$H$149:$H$179, 0))</f>
        <v>0.38689495798319323</v>
      </c>
      <c r="K49" s="27">
        <f>AVERAGE($AB$10:AB49)</f>
        <v>0.37705924369747879</v>
      </c>
      <c r="L49" s="28">
        <f t="shared" si="2"/>
        <v>999</v>
      </c>
      <c r="M49" s="28">
        <f t="shared" si="3"/>
        <v>999</v>
      </c>
      <c r="N49" s="28">
        <f t="shared" si="4"/>
        <v>999</v>
      </c>
      <c r="O49" s="28"/>
      <c r="P49" s="29">
        <f t="shared" si="19"/>
        <v>4.0000000000000029E-2</v>
      </c>
      <c r="Q49" s="33">
        <f t="shared" si="5"/>
        <v>6.7114093959731544</v>
      </c>
      <c r="R49" s="33">
        <f t="shared" si="6"/>
        <v>6.7114093959731544</v>
      </c>
      <c r="S49" s="33">
        <f t="shared" si="7"/>
        <v>-1</v>
      </c>
      <c r="T49" s="27"/>
      <c r="U49" s="28">
        <f t="shared" si="8"/>
        <v>0.10964912280701754</v>
      </c>
      <c r="V49" s="25">
        <f t="shared" si="9"/>
        <v>999</v>
      </c>
      <c r="W49" s="35">
        <f t="shared" si="20"/>
        <v>25</v>
      </c>
      <c r="X49" s="33">
        <f t="shared" si="10"/>
        <v>25</v>
      </c>
      <c r="Y49" s="32">
        <f t="shared" si="21"/>
        <v>-1</v>
      </c>
      <c r="Z49" s="32"/>
      <c r="AA49" s="30">
        <f t="shared" si="11"/>
        <v>1.0957403095466374</v>
      </c>
      <c r="AB49" s="28">
        <f t="shared" si="12"/>
        <v>0.38689495798319323</v>
      </c>
      <c r="AC49" s="28">
        <f t="shared" si="13"/>
        <v>0.10964912280701754</v>
      </c>
      <c r="AD49" s="29">
        <f t="shared" si="14"/>
        <v>37.950664136622386</v>
      </c>
      <c r="AE49" s="28">
        <f t="shared" si="15"/>
        <v>0.10964912280701754</v>
      </c>
      <c r="AF49" s="28">
        <f t="shared" si="16"/>
        <v>0.27724583517617568</v>
      </c>
      <c r="AG49" s="28">
        <f t="shared" si="17"/>
        <v>0</v>
      </c>
      <c r="AI49" s="31">
        <f t="shared" si="18"/>
        <v>-0.84917630252100851</v>
      </c>
      <c r="AJ49" s="25"/>
      <c r="AK49" s="31"/>
      <c r="AM49" s="27"/>
    </row>
    <row r="50" spans="4:39" x14ac:dyDescent="0.25">
      <c r="D50" s="25">
        <f>E50*'Profit per cycles Model'!$I$113</f>
        <v>410</v>
      </c>
      <c r="E50" s="25">
        <v>1.1231338172853034</v>
      </c>
      <c r="F50" s="28">
        <f t="shared" si="0"/>
        <v>2.4390243902439024</v>
      </c>
      <c r="G50" s="28">
        <f>'Battery Pricing Model'!$C$17/D50</f>
        <v>2.4390243902439024</v>
      </c>
      <c r="H50" s="28">
        <f t="shared" si="1"/>
        <v>999</v>
      </c>
      <c r="I50" s="28"/>
      <c r="J50" s="34">
        <f>INDEX('Profit per cycles Model'!$I$149:$I$179, MATCH(TRUNC(E50, 0), 'Profit per cycles Model'!$H$149:$H$179, 0))</f>
        <v>0.38689495798319323</v>
      </c>
      <c r="K50" s="27">
        <f>AVERAGE($AB$10:AB50)</f>
        <v>0.37729913916786206</v>
      </c>
      <c r="L50" s="28">
        <f t="shared" si="2"/>
        <v>999</v>
      </c>
      <c r="M50" s="28">
        <f t="shared" si="3"/>
        <v>999</v>
      </c>
      <c r="N50" s="28">
        <f t="shared" si="4"/>
        <v>999</v>
      </c>
      <c r="O50" s="28"/>
      <c r="P50" s="29">
        <f t="shared" si="19"/>
        <v>4.1000000000000029E-2</v>
      </c>
      <c r="Q50" s="33">
        <f t="shared" si="5"/>
        <v>6.7114093959731544</v>
      </c>
      <c r="R50" s="33">
        <f t="shared" si="6"/>
        <v>6.7114093959731544</v>
      </c>
      <c r="S50" s="33">
        <f t="shared" si="7"/>
        <v>-1</v>
      </c>
      <c r="T50" s="27"/>
      <c r="U50" s="28">
        <f t="shared" si="8"/>
        <v>0.10964912280701754</v>
      </c>
      <c r="V50" s="25">
        <f t="shared" si="9"/>
        <v>999</v>
      </c>
      <c r="W50" s="35">
        <f t="shared" si="20"/>
        <v>25</v>
      </c>
      <c r="X50" s="33">
        <f t="shared" si="10"/>
        <v>25</v>
      </c>
      <c r="Y50" s="32">
        <f t="shared" si="21"/>
        <v>-1</v>
      </c>
      <c r="Z50" s="32"/>
      <c r="AA50" s="30">
        <f t="shared" si="11"/>
        <v>1.1231338172853034</v>
      </c>
      <c r="AB50" s="28">
        <f t="shared" si="12"/>
        <v>0.38689495798319323</v>
      </c>
      <c r="AC50" s="28">
        <f t="shared" si="13"/>
        <v>0.10964912280701754</v>
      </c>
      <c r="AD50" s="29">
        <f t="shared" si="14"/>
        <v>38.89943074003795</v>
      </c>
      <c r="AE50" s="28">
        <f t="shared" si="15"/>
        <v>0.10964912280701754</v>
      </c>
      <c r="AF50" s="28">
        <f t="shared" si="16"/>
        <v>0.27724583517617568</v>
      </c>
      <c r="AG50" s="28">
        <f t="shared" si="17"/>
        <v>0</v>
      </c>
      <c r="AI50" s="31">
        <f t="shared" si="18"/>
        <v>-0.84530735294117665</v>
      </c>
      <c r="AJ50" s="25"/>
      <c r="AK50" s="31"/>
      <c r="AM50" s="27"/>
    </row>
    <row r="51" spans="4:39" x14ac:dyDescent="0.25">
      <c r="D51" s="25">
        <f>E51*'Profit per cycles Model'!$I$113</f>
        <v>420.00000000000006</v>
      </c>
      <c r="E51" s="25">
        <v>1.1505273250239694</v>
      </c>
      <c r="F51" s="28">
        <f t="shared" si="0"/>
        <v>2.3809523809523805</v>
      </c>
      <c r="G51" s="28">
        <f>'Battery Pricing Model'!$C$17/D51</f>
        <v>2.3809523809523805</v>
      </c>
      <c r="H51" s="28">
        <f t="shared" si="1"/>
        <v>999</v>
      </c>
      <c r="I51" s="28"/>
      <c r="J51" s="34">
        <f>INDEX('Profit per cycles Model'!$I$149:$I$179, MATCH(TRUNC(E51, 0), 'Profit per cycles Model'!$H$149:$H$179, 0))</f>
        <v>0.38689495798319323</v>
      </c>
      <c r="K51" s="27">
        <f>AVERAGE($AB$10:AB51)</f>
        <v>0.37752761104441757</v>
      </c>
      <c r="L51" s="28">
        <f t="shared" si="2"/>
        <v>999</v>
      </c>
      <c r="M51" s="28">
        <f t="shared" si="3"/>
        <v>999</v>
      </c>
      <c r="N51" s="28">
        <f t="shared" si="4"/>
        <v>999</v>
      </c>
      <c r="O51" s="28"/>
      <c r="P51" s="29">
        <f t="shared" si="19"/>
        <v>4.200000000000003E-2</v>
      </c>
      <c r="Q51" s="33">
        <f t="shared" si="5"/>
        <v>6.7114093959731544</v>
      </c>
      <c r="R51" s="33">
        <f t="shared" si="6"/>
        <v>6.7114093959731544</v>
      </c>
      <c r="S51" s="33">
        <f t="shared" si="7"/>
        <v>-1</v>
      </c>
      <c r="T51" s="27"/>
      <c r="U51" s="28">
        <f t="shared" si="8"/>
        <v>0.10964912280701754</v>
      </c>
      <c r="V51" s="25">
        <f t="shared" si="9"/>
        <v>999</v>
      </c>
      <c r="W51" s="35">
        <f t="shared" si="20"/>
        <v>25</v>
      </c>
      <c r="X51" s="33">
        <f t="shared" si="10"/>
        <v>25</v>
      </c>
      <c r="Y51" s="32">
        <f t="shared" si="21"/>
        <v>-1</v>
      </c>
      <c r="Z51" s="32"/>
      <c r="AA51" s="30">
        <f t="shared" si="11"/>
        <v>1.1505273250239694</v>
      </c>
      <c r="AB51" s="28">
        <f t="shared" si="12"/>
        <v>0.38689495798319323</v>
      </c>
      <c r="AC51" s="28">
        <f t="shared" si="13"/>
        <v>0.10964912280701754</v>
      </c>
      <c r="AD51" s="29">
        <f t="shared" si="14"/>
        <v>39.848197343453513</v>
      </c>
      <c r="AE51" s="28">
        <f t="shared" si="15"/>
        <v>0.10964912280701754</v>
      </c>
      <c r="AF51" s="28">
        <f t="shared" si="16"/>
        <v>0.27724583517617568</v>
      </c>
      <c r="AG51" s="28">
        <f t="shared" si="17"/>
        <v>0</v>
      </c>
      <c r="AI51" s="31">
        <f t="shared" si="18"/>
        <v>-0.84143840336134468</v>
      </c>
      <c r="AJ51" s="25"/>
      <c r="AK51" s="31"/>
      <c r="AM51" s="27"/>
    </row>
    <row r="52" spans="4:39" x14ac:dyDescent="0.25">
      <c r="D52" s="25">
        <f>E52*'Profit per cycles Model'!$I$113</f>
        <v>430</v>
      </c>
      <c r="E52" s="25">
        <v>1.1779208327626352</v>
      </c>
      <c r="F52" s="28">
        <f t="shared" si="0"/>
        <v>2.3255813953488373</v>
      </c>
      <c r="G52" s="28">
        <f>'Battery Pricing Model'!$C$17/D52</f>
        <v>2.3255813953488373</v>
      </c>
      <c r="H52" s="28">
        <f t="shared" si="1"/>
        <v>999</v>
      </c>
      <c r="I52" s="28"/>
      <c r="J52" s="34">
        <f>INDEX('Profit per cycles Model'!$I$149:$I$179, MATCH(TRUNC(E52, 0), 'Profit per cycles Model'!$H$149:$H$179, 0))</f>
        <v>0.38689495798319323</v>
      </c>
      <c r="K52" s="27">
        <f>AVERAGE($AB$10:AB52)</f>
        <v>0.37774545632206352</v>
      </c>
      <c r="L52" s="28">
        <f t="shared" si="2"/>
        <v>999</v>
      </c>
      <c r="M52" s="28">
        <f t="shared" si="3"/>
        <v>999</v>
      </c>
      <c r="N52" s="28">
        <f t="shared" si="4"/>
        <v>999</v>
      </c>
      <c r="O52" s="28"/>
      <c r="P52" s="29">
        <f t="shared" si="19"/>
        <v>4.3000000000000031E-2</v>
      </c>
      <c r="Q52" s="33">
        <f t="shared" si="5"/>
        <v>6.7114093959731544</v>
      </c>
      <c r="R52" s="33">
        <f t="shared" si="6"/>
        <v>6.7114093959731544</v>
      </c>
      <c r="S52" s="33">
        <f t="shared" si="7"/>
        <v>-1</v>
      </c>
      <c r="T52" s="27"/>
      <c r="U52" s="28">
        <f t="shared" si="8"/>
        <v>0.10964912280701754</v>
      </c>
      <c r="V52" s="25">
        <f t="shared" si="9"/>
        <v>999</v>
      </c>
      <c r="W52" s="35">
        <f t="shared" si="20"/>
        <v>25</v>
      </c>
      <c r="X52" s="33">
        <f t="shared" si="10"/>
        <v>25</v>
      </c>
      <c r="Y52" s="32">
        <f t="shared" si="21"/>
        <v>-1</v>
      </c>
      <c r="Z52" s="32"/>
      <c r="AA52" s="30">
        <f t="shared" si="11"/>
        <v>1.1779208327626352</v>
      </c>
      <c r="AB52" s="28">
        <f t="shared" si="12"/>
        <v>0.38689495798319323</v>
      </c>
      <c r="AC52" s="28">
        <f t="shared" si="13"/>
        <v>0.10964912280701754</v>
      </c>
      <c r="AD52" s="29">
        <f t="shared" si="14"/>
        <v>40.79696394686907</v>
      </c>
      <c r="AE52" s="28">
        <f t="shared" si="15"/>
        <v>0.10964912280701754</v>
      </c>
      <c r="AF52" s="28">
        <f t="shared" si="16"/>
        <v>0.27724583517617568</v>
      </c>
      <c r="AG52" s="28">
        <f t="shared" si="17"/>
        <v>0</v>
      </c>
      <c r="AI52" s="31">
        <f t="shared" si="18"/>
        <v>-0.83756945378151271</v>
      </c>
      <c r="AJ52" s="25"/>
      <c r="AK52" s="31"/>
      <c r="AM52" s="27"/>
    </row>
    <row r="53" spans="4:39" x14ac:dyDescent="0.25">
      <c r="D53" s="25">
        <f>E53*'Profit per cycles Model'!$I$113</f>
        <v>440</v>
      </c>
      <c r="E53" s="25">
        <v>1.2053143405013012</v>
      </c>
      <c r="F53" s="28">
        <f t="shared" si="0"/>
        <v>2.2727272727272729</v>
      </c>
      <c r="G53" s="28">
        <f>'Battery Pricing Model'!$C$17/D53</f>
        <v>2.2727272727272729</v>
      </c>
      <c r="H53" s="28">
        <f t="shared" si="1"/>
        <v>999</v>
      </c>
      <c r="I53" s="28"/>
      <c r="J53" s="34">
        <f>INDEX('Profit per cycles Model'!$I$149:$I$179, MATCH(TRUNC(E53, 0), 'Profit per cycles Model'!$H$149:$H$179, 0))</f>
        <v>0.38689495798319323</v>
      </c>
      <c r="K53" s="27">
        <f>AVERAGE($AB$10:AB53)</f>
        <v>0.3779533995416347</v>
      </c>
      <c r="L53" s="28">
        <f t="shared" si="2"/>
        <v>999</v>
      </c>
      <c r="M53" s="28">
        <f t="shared" si="3"/>
        <v>999</v>
      </c>
      <c r="N53" s="28">
        <f t="shared" si="4"/>
        <v>999</v>
      </c>
      <c r="O53" s="28"/>
      <c r="P53" s="29">
        <f t="shared" si="19"/>
        <v>4.4000000000000032E-2</v>
      </c>
      <c r="Q53" s="33">
        <f t="shared" si="5"/>
        <v>6.7114093959731544</v>
      </c>
      <c r="R53" s="33">
        <f t="shared" si="6"/>
        <v>6.7114093959731544</v>
      </c>
      <c r="S53" s="33">
        <f t="shared" si="7"/>
        <v>-1</v>
      </c>
      <c r="T53" s="27"/>
      <c r="U53" s="28">
        <f t="shared" si="8"/>
        <v>0.10964912280701754</v>
      </c>
      <c r="V53" s="25">
        <f t="shared" si="9"/>
        <v>999</v>
      </c>
      <c r="W53" s="35">
        <f t="shared" si="20"/>
        <v>25</v>
      </c>
      <c r="X53" s="33">
        <f t="shared" si="10"/>
        <v>25</v>
      </c>
      <c r="Y53" s="32">
        <f t="shared" si="21"/>
        <v>-1</v>
      </c>
      <c r="Z53" s="32"/>
      <c r="AA53" s="30">
        <f t="shared" si="11"/>
        <v>1.2053143405013012</v>
      </c>
      <c r="AB53" s="28">
        <f t="shared" si="12"/>
        <v>0.38689495798319323</v>
      </c>
      <c r="AC53" s="28">
        <f t="shared" si="13"/>
        <v>0.10964912280701754</v>
      </c>
      <c r="AD53" s="29">
        <f t="shared" si="14"/>
        <v>41.745730550284627</v>
      </c>
      <c r="AE53" s="28">
        <f t="shared" si="15"/>
        <v>0.10964912280701754</v>
      </c>
      <c r="AF53" s="28">
        <f t="shared" si="16"/>
        <v>0.27724583517617568</v>
      </c>
      <c r="AG53" s="28">
        <f t="shared" si="17"/>
        <v>0</v>
      </c>
      <c r="AI53" s="31">
        <f t="shared" si="18"/>
        <v>-0.83370050420168074</v>
      </c>
      <c r="AJ53" s="25"/>
      <c r="AK53" s="31"/>
      <c r="AM53" s="27"/>
    </row>
    <row r="54" spans="4:39" x14ac:dyDescent="0.25">
      <c r="D54" s="25">
        <f>E54*'Profit per cycles Model'!$I$113</f>
        <v>450</v>
      </c>
      <c r="E54" s="25">
        <v>1.2327078482399672</v>
      </c>
      <c r="F54" s="28">
        <f t="shared" si="0"/>
        <v>2.2222222222222223</v>
      </c>
      <c r="G54" s="28">
        <f>'Battery Pricing Model'!$C$17/D54</f>
        <v>2.2222222222222223</v>
      </c>
      <c r="H54" s="28">
        <f t="shared" si="1"/>
        <v>999</v>
      </c>
      <c r="I54" s="28"/>
      <c r="J54" s="34">
        <f>INDEX('Profit per cycles Model'!$I$149:$I$179, MATCH(TRUNC(E54, 0), 'Profit per cycles Model'!$H$149:$H$179, 0))</f>
        <v>0.38689495798319323</v>
      </c>
      <c r="K54" s="27">
        <f>AVERAGE($AB$10:AB54)</f>
        <v>0.37815210084033601</v>
      </c>
      <c r="L54" s="28">
        <f t="shared" si="2"/>
        <v>999</v>
      </c>
      <c r="M54" s="28">
        <f t="shared" si="3"/>
        <v>999</v>
      </c>
      <c r="N54" s="28">
        <f t="shared" si="4"/>
        <v>999</v>
      </c>
      <c r="O54" s="28"/>
      <c r="P54" s="29">
        <f t="shared" si="19"/>
        <v>4.5000000000000033E-2</v>
      </c>
      <c r="Q54" s="33">
        <f t="shared" si="5"/>
        <v>6.7114093959731544</v>
      </c>
      <c r="R54" s="33">
        <f t="shared" si="6"/>
        <v>6.7114093959731544</v>
      </c>
      <c r="S54" s="33">
        <f t="shared" si="7"/>
        <v>-1</v>
      </c>
      <c r="T54" s="27"/>
      <c r="U54" s="28">
        <f t="shared" si="8"/>
        <v>0.10964912280701754</v>
      </c>
      <c r="V54" s="25">
        <f t="shared" si="9"/>
        <v>999</v>
      </c>
      <c r="W54" s="35">
        <f t="shared" si="20"/>
        <v>25</v>
      </c>
      <c r="X54" s="33">
        <f t="shared" si="10"/>
        <v>25</v>
      </c>
      <c r="Y54" s="32">
        <f t="shared" si="21"/>
        <v>-1</v>
      </c>
      <c r="Z54" s="32"/>
      <c r="AA54" s="30">
        <f t="shared" si="11"/>
        <v>1.2327078482399672</v>
      </c>
      <c r="AB54" s="28">
        <f t="shared" si="12"/>
        <v>0.38689495798319323</v>
      </c>
      <c r="AC54" s="28">
        <f t="shared" si="13"/>
        <v>0.10964912280701754</v>
      </c>
      <c r="AD54" s="29">
        <f t="shared" si="14"/>
        <v>42.694497153700198</v>
      </c>
      <c r="AE54" s="28">
        <f t="shared" si="15"/>
        <v>0.10964912280701754</v>
      </c>
      <c r="AF54" s="28">
        <f t="shared" si="16"/>
        <v>0.27724583517617568</v>
      </c>
      <c r="AG54" s="28">
        <f t="shared" si="17"/>
        <v>0</v>
      </c>
      <c r="AI54" s="31">
        <f t="shared" si="18"/>
        <v>-0.82983155462184877</v>
      </c>
      <c r="AJ54" s="25"/>
      <c r="AK54" s="31"/>
      <c r="AM54" s="27"/>
    </row>
    <row r="55" spans="4:39" x14ac:dyDescent="0.25">
      <c r="D55" s="25">
        <f>E55*'Profit per cycles Model'!$I$113</f>
        <v>459.99999999999994</v>
      </c>
      <c r="E55" s="25">
        <v>1.2601013559786329</v>
      </c>
      <c r="F55" s="28">
        <f t="shared" si="0"/>
        <v>2.1739130434782612</v>
      </c>
      <c r="G55" s="28">
        <f>'Battery Pricing Model'!$C$17/D55</f>
        <v>2.1739130434782612</v>
      </c>
      <c r="H55" s="28">
        <f t="shared" si="1"/>
        <v>999</v>
      </c>
      <c r="I55" s="28"/>
      <c r="J55" s="34">
        <f>INDEX('Profit per cycles Model'!$I$149:$I$179, MATCH(TRUNC(E55, 0), 'Profit per cycles Model'!$H$149:$H$179, 0))</f>
        <v>0.38689495798319323</v>
      </c>
      <c r="K55" s="27">
        <f>AVERAGE($AB$10:AB55)</f>
        <v>0.3783421629521373</v>
      </c>
      <c r="L55" s="28">
        <f t="shared" si="2"/>
        <v>999</v>
      </c>
      <c r="M55" s="28">
        <f t="shared" si="3"/>
        <v>999</v>
      </c>
      <c r="N55" s="28">
        <f t="shared" si="4"/>
        <v>999</v>
      </c>
      <c r="O55" s="28"/>
      <c r="P55" s="29">
        <f t="shared" si="19"/>
        <v>4.6000000000000034E-2</v>
      </c>
      <c r="Q55" s="33">
        <f t="shared" si="5"/>
        <v>6.7114093959731544</v>
      </c>
      <c r="R55" s="33">
        <f t="shared" si="6"/>
        <v>6.7114093959731544</v>
      </c>
      <c r="S55" s="33">
        <f t="shared" si="7"/>
        <v>-1</v>
      </c>
      <c r="T55" s="27"/>
      <c r="U55" s="28">
        <f t="shared" si="8"/>
        <v>0.10964912280701754</v>
      </c>
      <c r="V55" s="25">
        <f t="shared" si="9"/>
        <v>999</v>
      </c>
      <c r="W55" s="35">
        <f t="shared" si="20"/>
        <v>25</v>
      </c>
      <c r="X55" s="33">
        <f t="shared" si="10"/>
        <v>25</v>
      </c>
      <c r="Y55" s="32">
        <f t="shared" si="21"/>
        <v>-1</v>
      </c>
      <c r="Z55" s="32"/>
      <c r="AA55" s="30">
        <f t="shared" si="11"/>
        <v>1.2601013559786329</v>
      </c>
      <c r="AB55" s="28">
        <f t="shared" si="12"/>
        <v>0.38689495798319323</v>
      </c>
      <c r="AC55" s="28">
        <f t="shared" si="13"/>
        <v>0.10964912280701754</v>
      </c>
      <c r="AD55" s="29">
        <f t="shared" si="14"/>
        <v>43.643263757115747</v>
      </c>
      <c r="AE55" s="28">
        <f t="shared" si="15"/>
        <v>0.10964912280701754</v>
      </c>
      <c r="AF55" s="28">
        <f t="shared" si="16"/>
        <v>0.27724583517617568</v>
      </c>
      <c r="AG55" s="28">
        <f t="shared" si="17"/>
        <v>0</v>
      </c>
      <c r="AI55" s="31">
        <f t="shared" si="18"/>
        <v>-0.82596260504201691</v>
      </c>
      <c r="AJ55" s="25"/>
      <c r="AK55" s="31"/>
      <c r="AM55" s="27"/>
    </row>
    <row r="56" spans="4:39" x14ac:dyDescent="0.25">
      <c r="D56" s="25">
        <f>E56*'Profit per cycles Model'!$I$113</f>
        <v>470</v>
      </c>
      <c r="E56" s="25">
        <v>1.2874948637172989</v>
      </c>
      <c r="F56" s="28">
        <f t="shared" si="0"/>
        <v>2.1276595744680851</v>
      </c>
      <c r="G56" s="28">
        <f>'Battery Pricing Model'!$C$17/D56</f>
        <v>2.1276595744680851</v>
      </c>
      <c r="H56" s="28">
        <f t="shared" si="1"/>
        <v>999</v>
      </c>
      <c r="I56" s="28"/>
      <c r="J56" s="34">
        <f>INDEX('Profit per cycles Model'!$I$149:$I$179, MATCH(TRUNC(E56, 0), 'Profit per cycles Model'!$H$149:$H$179, 0))</f>
        <v>0.38689495798319323</v>
      </c>
      <c r="K56" s="27">
        <f>AVERAGE($AB$10:AB56)</f>
        <v>0.37852413731450024</v>
      </c>
      <c r="L56" s="28">
        <f t="shared" si="2"/>
        <v>999</v>
      </c>
      <c r="M56" s="28">
        <f t="shared" si="3"/>
        <v>999</v>
      </c>
      <c r="N56" s="28">
        <f t="shared" si="4"/>
        <v>999</v>
      </c>
      <c r="O56" s="28"/>
      <c r="P56" s="29">
        <f t="shared" si="19"/>
        <v>4.7000000000000035E-2</v>
      </c>
      <c r="Q56" s="33">
        <f t="shared" si="5"/>
        <v>6.7114093959731544</v>
      </c>
      <c r="R56" s="33">
        <f t="shared" si="6"/>
        <v>6.7114093959731544</v>
      </c>
      <c r="S56" s="33">
        <f t="shared" si="7"/>
        <v>-1</v>
      </c>
      <c r="T56" s="27"/>
      <c r="U56" s="28">
        <f t="shared" si="8"/>
        <v>0.10964912280701754</v>
      </c>
      <c r="V56" s="25">
        <f t="shared" si="9"/>
        <v>999</v>
      </c>
      <c r="W56" s="35">
        <f t="shared" si="20"/>
        <v>25</v>
      </c>
      <c r="X56" s="33">
        <f t="shared" si="10"/>
        <v>25</v>
      </c>
      <c r="Y56" s="32">
        <f t="shared" si="21"/>
        <v>-1</v>
      </c>
      <c r="Z56" s="32"/>
      <c r="AA56" s="30">
        <f t="shared" si="11"/>
        <v>1.2874948637172989</v>
      </c>
      <c r="AB56" s="28">
        <f t="shared" si="12"/>
        <v>0.38689495798319323</v>
      </c>
      <c r="AC56" s="28">
        <f t="shared" si="13"/>
        <v>0.10964912280701754</v>
      </c>
      <c r="AD56" s="29">
        <f t="shared" si="14"/>
        <v>44.592030360531311</v>
      </c>
      <c r="AE56" s="28">
        <f t="shared" si="15"/>
        <v>0.10964912280701754</v>
      </c>
      <c r="AF56" s="28">
        <f t="shared" si="16"/>
        <v>0.27724583517617568</v>
      </c>
      <c r="AG56" s="28">
        <f t="shared" si="17"/>
        <v>0</v>
      </c>
      <c r="AI56" s="31">
        <f t="shared" si="18"/>
        <v>-0.82209365546218482</v>
      </c>
      <c r="AJ56" s="25"/>
      <c r="AK56" s="31"/>
      <c r="AM56" s="27"/>
    </row>
    <row r="57" spans="4:39" x14ac:dyDescent="0.25">
      <c r="D57" s="25">
        <f>E57*'Profit per cycles Model'!$I$113</f>
        <v>480</v>
      </c>
      <c r="E57" s="25">
        <v>1.3148883714559649</v>
      </c>
      <c r="F57" s="28">
        <f t="shared" si="0"/>
        <v>2.0833333333333335</v>
      </c>
      <c r="G57" s="28">
        <f>'Battery Pricing Model'!$C$17/D57</f>
        <v>2.0833333333333335</v>
      </c>
      <c r="H57" s="28">
        <f t="shared" si="1"/>
        <v>999</v>
      </c>
      <c r="I57" s="28"/>
      <c r="J57" s="34">
        <f>INDEX('Profit per cycles Model'!$I$149:$I$179, MATCH(TRUNC(E57, 0), 'Profit per cycles Model'!$H$149:$H$179, 0))</f>
        <v>0.38689495798319323</v>
      </c>
      <c r="K57" s="27">
        <f>AVERAGE($AB$10:AB57)</f>
        <v>0.37869852941176468</v>
      </c>
      <c r="L57" s="28">
        <f t="shared" si="2"/>
        <v>999</v>
      </c>
      <c r="M57" s="28">
        <f t="shared" si="3"/>
        <v>999</v>
      </c>
      <c r="N57" s="28">
        <f t="shared" si="4"/>
        <v>999</v>
      </c>
      <c r="O57" s="28"/>
      <c r="P57" s="29">
        <f t="shared" si="19"/>
        <v>4.8000000000000036E-2</v>
      </c>
      <c r="Q57" s="33">
        <f t="shared" si="5"/>
        <v>6.7114093959731544</v>
      </c>
      <c r="R57" s="33">
        <f t="shared" si="6"/>
        <v>6.7114093959731544</v>
      </c>
      <c r="S57" s="33">
        <f t="shared" si="7"/>
        <v>-1</v>
      </c>
      <c r="T57" s="27"/>
      <c r="U57" s="28">
        <f t="shared" si="8"/>
        <v>0.10964912280701754</v>
      </c>
      <c r="V57" s="25">
        <f t="shared" si="9"/>
        <v>999</v>
      </c>
      <c r="W57" s="35">
        <f t="shared" si="20"/>
        <v>25</v>
      </c>
      <c r="X57" s="33">
        <f t="shared" si="10"/>
        <v>25</v>
      </c>
      <c r="Y57" s="32">
        <f t="shared" si="21"/>
        <v>-1</v>
      </c>
      <c r="Z57" s="32"/>
      <c r="AA57" s="30">
        <f t="shared" si="11"/>
        <v>1.3148883714559649</v>
      </c>
      <c r="AB57" s="28">
        <f t="shared" si="12"/>
        <v>0.38689495798319323</v>
      </c>
      <c r="AC57" s="28">
        <f t="shared" si="13"/>
        <v>0.10964912280701754</v>
      </c>
      <c r="AD57" s="29">
        <f t="shared" si="14"/>
        <v>45.540796963946875</v>
      </c>
      <c r="AE57" s="28">
        <f t="shared" si="15"/>
        <v>0.10964912280701754</v>
      </c>
      <c r="AF57" s="28">
        <f t="shared" si="16"/>
        <v>0.27724583517617568</v>
      </c>
      <c r="AG57" s="28">
        <f t="shared" si="17"/>
        <v>0</v>
      </c>
      <c r="AI57" s="31">
        <f t="shared" si="18"/>
        <v>-0.81822470588235297</v>
      </c>
      <c r="AJ57" s="25"/>
      <c r="AK57" s="31"/>
      <c r="AM57" s="27"/>
    </row>
    <row r="58" spans="4:39" x14ac:dyDescent="0.25">
      <c r="D58" s="25">
        <f>E58*'Profit per cycles Model'!$I$113</f>
        <v>490.00000000000006</v>
      </c>
      <c r="E58" s="25">
        <v>1.3422818791946309</v>
      </c>
      <c r="F58" s="28">
        <f t="shared" si="0"/>
        <v>2.0408163265306118</v>
      </c>
      <c r="G58" s="28">
        <f>'Battery Pricing Model'!$C$17/D58</f>
        <v>2.0408163265306118</v>
      </c>
      <c r="H58" s="28">
        <f t="shared" si="1"/>
        <v>999</v>
      </c>
      <c r="I58" s="28"/>
      <c r="J58" s="34">
        <f>INDEX('Profit per cycles Model'!$I$149:$I$179, MATCH(TRUNC(E58, 0), 'Profit per cycles Model'!$H$149:$H$179, 0))</f>
        <v>0.38689495798319323</v>
      </c>
      <c r="K58" s="27">
        <f>AVERAGE($AB$10:AB58)</f>
        <v>0.37886580346424287</v>
      </c>
      <c r="L58" s="28">
        <f t="shared" si="2"/>
        <v>999</v>
      </c>
      <c r="M58" s="28">
        <f t="shared" si="3"/>
        <v>999</v>
      </c>
      <c r="N58" s="28">
        <f t="shared" si="4"/>
        <v>999</v>
      </c>
      <c r="O58" s="28"/>
      <c r="P58" s="29">
        <f t="shared" si="19"/>
        <v>4.9000000000000037E-2</v>
      </c>
      <c r="Q58" s="33">
        <f t="shared" si="5"/>
        <v>6.7114093959731544</v>
      </c>
      <c r="R58" s="33">
        <f t="shared" si="6"/>
        <v>6.7114093959731544</v>
      </c>
      <c r="S58" s="33">
        <f t="shared" si="7"/>
        <v>-1</v>
      </c>
      <c r="T58" s="27"/>
      <c r="U58" s="28">
        <f t="shared" si="8"/>
        <v>0.10964912280701754</v>
      </c>
      <c r="V58" s="25">
        <f t="shared" si="9"/>
        <v>999</v>
      </c>
      <c r="W58" s="35">
        <f t="shared" si="20"/>
        <v>25</v>
      </c>
      <c r="X58" s="33">
        <f t="shared" si="10"/>
        <v>25</v>
      </c>
      <c r="Y58" s="32">
        <f t="shared" si="21"/>
        <v>-1</v>
      </c>
      <c r="Z58" s="32"/>
      <c r="AA58" s="30">
        <f t="shared" si="11"/>
        <v>1.3422818791946309</v>
      </c>
      <c r="AB58" s="28">
        <f t="shared" si="12"/>
        <v>0.38689495798319323</v>
      </c>
      <c r="AC58" s="28">
        <f t="shared" si="13"/>
        <v>0.10964912280701754</v>
      </c>
      <c r="AD58" s="29">
        <f t="shared" si="14"/>
        <v>46.489563567362431</v>
      </c>
      <c r="AE58" s="28">
        <f t="shared" si="15"/>
        <v>0.10964912280701754</v>
      </c>
      <c r="AF58" s="28">
        <f t="shared" si="16"/>
        <v>0.27724583517617568</v>
      </c>
      <c r="AG58" s="28">
        <f t="shared" si="17"/>
        <v>0</v>
      </c>
      <c r="AI58" s="31">
        <f t="shared" si="18"/>
        <v>-0.81435575630252088</v>
      </c>
      <c r="AJ58" s="25"/>
      <c r="AK58" s="31"/>
      <c r="AM58" s="27"/>
    </row>
    <row r="59" spans="4:39" x14ac:dyDescent="0.25">
      <c r="D59" s="25">
        <f>E59*'Profit per cycles Model'!$I$113</f>
        <v>500</v>
      </c>
      <c r="E59" s="25">
        <v>1.3696753869332967</v>
      </c>
      <c r="F59" s="28">
        <f t="shared" si="0"/>
        <v>2</v>
      </c>
      <c r="G59" s="28">
        <f>'Battery Pricing Model'!$C$17/D59</f>
        <v>2</v>
      </c>
      <c r="H59" s="28">
        <f t="shared" si="1"/>
        <v>999</v>
      </c>
      <c r="I59" s="28"/>
      <c r="J59" s="34">
        <f>INDEX('Profit per cycles Model'!$I$149:$I$179, MATCH(TRUNC(E59, 0), 'Profit per cycles Model'!$H$149:$H$179, 0))</f>
        <v>0.38689495798319323</v>
      </c>
      <c r="K59" s="27">
        <f>AVERAGE($AB$10:AB59)</f>
        <v>0.3790263865546219</v>
      </c>
      <c r="L59" s="28">
        <f t="shared" si="2"/>
        <v>999</v>
      </c>
      <c r="M59" s="28">
        <f t="shared" si="3"/>
        <v>999</v>
      </c>
      <c r="N59" s="28">
        <f t="shared" si="4"/>
        <v>999</v>
      </c>
      <c r="O59" s="28"/>
      <c r="P59" s="29">
        <f t="shared" si="19"/>
        <v>5.0000000000000037E-2</v>
      </c>
      <c r="Q59" s="33">
        <f t="shared" si="5"/>
        <v>6.7114093959731544</v>
      </c>
      <c r="R59" s="33">
        <f t="shared" si="6"/>
        <v>6.7114093959731544</v>
      </c>
      <c r="S59" s="33">
        <f t="shared" si="7"/>
        <v>-1</v>
      </c>
      <c r="T59" s="27"/>
      <c r="U59" s="28">
        <f t="shared" si="8"/>
        <v>0.10964912280701754</v>
      </c>
      <c r="V59" s="25">
        <f t="shared" si="9"/>
        <v>999</v>
      </c>
      <c r="W59" s="35">
        <f t="shared" si="20"/>
        <v>25</v>
      </c>
      <c r="X59" s="33">
        <f t="shared" si="10"/>
        <v>25</v>
      </c>
      <c r="Y59" s="32">
        <f t="shared" si="21"/>
        <v>-1</v>
      </c>
      <c r="Z59" s="32"/>
      <c r="AA59" s="30">
        <f t="shared" si="11"/>
        <v>1.3696753869332967</v>
      </c>
      <c r="AB59" s="28">
        <f t="shared" si="12"/>
        <v>0.38689495798319323</v>
      </c>
      <c r="AC59" s="28">
        <f t="shared" si="13"/>
        <v>0.10964912280701754</v>
      </c>
      <c r="AD59" s="29">
        <f t="shared" si="14"/>
        <v>47.438330170777988</v>
      </c>
      <c r="AE59" s="28">
        <f t="shared" si="15"/>
        <v>0.10964912280701754</v>
      </c>
      <c r="AF59" s="28">
        <f t="shared" si="16"/>
        <v>0.27724583517617568</v>
      </c>
      <c r="AG59" s="28">
        <f t="shared" si="17"/>
        <v>0</v>
      </c>
      <c r="AI59" s="31">
        <f t="shared" si="18"/>
        <v>-0.81048680672268902</v>
      </c>
      <c r="AJ59" s="25"/>
      <c r="AK59" s="31"/>
      <c r="AM59" s="27"/>
    </row>
    <row r="60" spans="4:39" x14ac:dyDescent="0.25">
      <c r="D60" s="25">
        <f>E60*'Profit per cycles Model'!$I$113</f>
        <v>510</v>
      </c>
      <c r="E60" s="25">
        <v>1.3970688946719627</v>
      </c>
      <c r="F60" s="28">
        <f t="shared" si="0"/>
        <v>1.9607843137254901</v>
      </c>
      <c r="G60" s="28">
        <f>'Battery Pricing Model'!$C$17/D60</f>
        <v>1.9607843137254901</v>
      </c>
      <c r="H60" s="28">
        <f t="shared" si="1"/>
        <v>999</v>
      </c>
      <c r="I60" s="28"/>
      <c r="J60" s="34">
        <f>INDEX('Profit per cycles Model'!$I$149:$I$179, MATCH(TRUNC(E60, 0), 'Profit per cycles Model'!$H$149:$H$179, 0))</f>
        <v>0.38689495798319323</v>
      </c>
      <c r="K60" s="27">
        <f>AVERAGE($AB$10:AB60)</f>
        <v>0.37918067226890767</v>
      </c>
      <c r="L60" s="28">
        <f t="shared" si="2"/>
        <v>999</v>
      </c>
      <c r="M60" s="28">
        <f t="shared" si="3"/>
        <v>999</v>
      </c>
      <c r="N60" s="28">
        <f t="shared" si="4"/>
        <v>999</v>
      </c>
      <c r="O60" s="28"/>
      <c r="P60" s="29">
        <f t="shared" si="19"/>
        <v>5.1000000000000038E-2</v>
      </c>
      <c r="Q60" s="33">
        <f t="shared" si="5"/>
        <v>6.7114093959731544</v>
      </c>
      <c r="R60" s="33">
        <f t="shared" si="6"/>
        <v>6.7114093959731544</v>
      </c>
      <c r="S60" s="33">
        <f t="shared" si="7"/>
        <v>-1</v>
      </c>
      <c r="T60" s="27"/>
      <c r="U60" s="28">
        <f t="shared" si="8"/>
        <v>0.10964912280701754</v>
      </c>
      <c r="V60" s="25">
        <f t="shared" si="9"/>
        <v>999</v>
      </c>
      <c r="W60" s="35">
        <f t="shared" si="20"/>
        <v>25</v>
      </c>
      <c r="X60" s="33">
        <f t="shared" si="10"/>
        <v>25</v>
      </c>
      <c r="Y60" s="32">
        <f t="shared" si="21"/>
        <v>-1</v>
      </c>
      <c r="Z60" s="32"/>
      <c r="AA60" s="30">
        <f t="shared" si="11"/>
        <v>1.3970688946719627</v>
      </c>
      <c r="AB60" s="28">
        <f t="shared" si="12"/>
        <v>0.38689495798319323</v>
      </c>
      <c r="AC60" s="28">
        <f t="shared" si="13"/>
        <v>0.10964912280701754</v>
      </c>
      <c r="AD60" s="29">
        <f t="shared" si="14"/>
        <v>48.387096774193544</v>
      </c>
      <c r="AE60" s="28">
        <f t="shared" si="15"/>
        <v>0.10964912280701754</v>
      </c>
      <c r="AF60" s="28">
        <f t="shared" si="16"/>
        <v>0.27724583517617568</v>
      </c>
      <c r="AG60" s="28">
        <f t="shared" si="17"/>
        <v>0</v>
      </c>
      <c r="AI60" s="31">
        <f t="shared" si="18"/>
        <v>-0.80661785714285705</v>
      </c>
      <c r="AJ60" s="25"/>
      <c r="AK60" s="31"/>
      <c r="AM60" s="27"/>
    </row>
    <row r="61" spans="4:39" x14ac:dyDescent="0.25">
      <c r="D61" s="25">
        <f>E61*'Profit per cycles Model'!$I$113</f>
        <v>520</v>
      </c>
      <c r="E61" s="25">
        <v>1.4244624024106287</v>
      </c>
      <c r="F61" s="28">
        <f t="shared" si="0"/>
        <v>1.9230769230769231</v>
      </c>
      <c r="G61" s="28">
        <f>'Battery Pricing Model'!$C$17/D61</f>
        <v>1.9230769230769231</v>
      </c>
      <c r="H61" s="28">
        <f t="shared" si="1"/>
        <v>999</v>
      </c>
      <c r="I61" s="28"/>
      <c r="J61" s="34">
        <f>INDEX('Profit per cycles Model'!$I$149:$I$179, MATCH(TRUNC(E61, 0), 'Profit per cycles Model'!$H$149:$H$179, 0))</f>
        <v>0.38689495798319323</v>
      </c>
      <c r="K61" s="27">
        <f>AVERAGE($AB$10:AB61)</f>
        <v>0.37932902391725931</v>
      </c>
      <c r="L61" s="28">
        <f t="shared" si="2"/>
        <v>999</v>
      </c>
      <c r="M61" s="28">
        <f t="shared" si="3"/>
        <v>999</v>
      </c>
      <c r="N61" s="28">
        <f t="shared" si="4"/>
        <v>999</v>
      </c>
      <c r="O61" s="28"/>
      <c r="P61" s="29">
        <f t="shared" si="19"/>
        <v>5.2000000000000039E-2</v>
      </c>
      <c r="Q61" s="33">
        <f t="shared" si="5"/>
        <v>6.7114093959731544</v>
      </c>
      <c r="R61" s="33">
        <f t="shared" si="6"/>
        <v>6.7114093959731544</v>
      </c>
      <c r="S61" s="33">
        <f t="shared" si="7"/>
        <v>-1</v>
      </c>
      <c r="T61" s="27"/>
      <c r="U61" s="28">
        <f t="shared" si="8"/>
        <v>0.10964912280701754</v>
      </c>
      <c r="V61" s="25">
        <f t="shared" si="9"/>
        <v>999</v>
      </c>
      <c r="W61" s="35">
        <f t="shared" si="20"/>
        <v>25</v>
      </c>
      <c r="X61" s="33">
        <f t="shared" si="10"/>
        <v>25</v>
      </c>
      <c r="Y61" s="32">
        <f t="shared" si="21"/>
        <v>-1</v>
      </c>
      <c r="Z61" s="32"/>
      <c r="AA61" s="30">
        <f t="shared" si="11"/>
        <v>1.4244624024106287</v>
      </c>
      <c r="AB61" s="28">
        <f t="shared" si="12"/>
        <v>0.38689495798319323</v>
      </c>
      <c r="AC61" s="28">
        <f t="shared" si="13"/>
        <v>0.10964912280701754</v>
      </c>
      <c r="AD61" s="29">
        <f t="shared" si="14"/>
        <v>49.335863377609115</v>
      </c>
      <c r="AE61" s="28">
        <f t="shared" si="15"/>
        <v>0.10964912280701754</v>
      </c>
      <c r="AF61" s="28">
        <f t="shared" si="16"/>
        <v>0.27724583517617568</v>
      </c>
      <c r="AG61" s="28">
        <f t="shared" si="17"/>
        <v>0</v>
      </c>
      <c r="AI61" s="31">
        <f t="shared" si="18"/>
        <v>-0.80274890756302519</v>
      </c>
      <c r="AJ61" s="25"/>
      <c r="AK61" s="31"/>
      <c r="AM61" s="27"/>
    </row>
    <row r="62" spans="4:39" x14ac:dyDescent="0.25">
      <c r="D62" s="25">
        <f>E62*'Profit per cycles Model'!$I$113</f>
        <v>530</v>
      </c>
      <c r="E62" s="25">
        <v>1.4518559101492945</v>
      </c>
      <c r="F62" s="28">
        <f t="shared" si="0"/>
        <v>1.8867924528301887</v>
      </c>
      <c r="G62" s="28">
        <f>'Battery Pricing Model'!$C$17/D62</f>
        <v>1.8867924528301887</v>
      </c>
      <c r="H62" s="28">
        <f t="shared" si="1"/>
        <v>999</v>
      </c>
      <c r="I62" s="28"/>
      <c r="J62" s="34">
        <f>INDEX('Profit per cycles Model'!$I$149:$I$179, MATCH(TRUNC(E62, 0), 'Profit per cycles Model'!$H$149:$H$179, 0))</f>
        <v>0.38689495798319323</v>
      </c>
      <c r="K62" s="27">
        <f>AVERAGE($AB$10:AB62)</f>
        <v>0.37947177739020149</v>
      </c>
      <c r="L62" s="28">
        <f t="shared" si="2"/>
        <v>999</v>
      </c>
      <c r="M62" s="28">
        <f t="shared" si="3"/>
        <v>999</v>
      </c>
      <c r="N62" s="28">
        <f t="shared" si="4"/>
        <v>999</v>
      </c>
      <c r="O62" s="28"/>
      <c r="P62" s="29">
        <f t="shared" si="19"/>
        <v>5.300000000000004E-2</v>
      </c>
      <c r="Q62" s="33">
        <f t="shared" si="5"/>
        <v>6.7114093959731544</v>
      </c>
      <c r="R62" s="33">
        <f t="shared" si="6"/>
        <v>6.7114093959731544</v>
      </c>
      <c r="S62" s="33">
        <f t="shared" si="7"/>
        <v>-1</v>
      </c>
      <c r="T62" s="27"/>
      <c r="U62" s="28">
        <f t="shared" si="8"/>
        <v>0.10964912280701754</v>
      </c>
      <c r="V62" s="25">
        <f t="shared" si="9"/>
        <v>999</v>
      </c>
      <c r="W62" s="35">
        <f t="shared" si="20"/>
        <v>25</v>
      </c>
      <c r="X62" s="33">
        <f t="shared" si="10"/>
        <v>25</v>
      </c>
      <c r="Y62" s="32">
        <f t="shared" si="21"/>
        <v>-1</v>
      </c>
      <c r="Z62" s="32"/>
      <c r="AA62" s="30">
        <f t="shared" si="11"/>
        <v>1.4518559101492945</v>
      </c>
      <c r="AB62" s="28">
        <f t="shared" si="12"/>
        <v>0.38689495798319323</v>
      </c>
      <c r="AC62" s="28">
        <f t="shared" si="13"/>
        <v>0.10964912280701754</v>
      </c>
      <c r="AD62" s="29">
        <f t="shared" si="14"/>
        <v>50.284629981024665</v>
      </c>
      <c r="AE62" s="28">
        <f t="shared" si="15"/>
        <v>0.10964912280701754</v>
      </c>
      <c r="AF62" s="28">
        <f t="shared" si="16"/>
        <v>0.27724583517617568</v>
      </c>
      <c r="AG62" s="28">
        <f t="shared" si="17"/>
        <v>0</v>
      </c>
      <c r="AI62" s="31">
        <f t="shared" si="18"/>
        <v>-0.79887995798319322</v>
      </c>
      <c r="AJ62" s="25"/>
      <c r="AK62" s="31"/>
      <c r="AM62" s="27"/>
    </row>
    <row r="63" spans="4:39" x14ac:dyDescent="0.25">
      <c r="D63" s="25">
        <f>E63*'Profit per cycles Model'!$I$113</f>
        <v>540</v>
      </c>
      <c r="E63" s="25">
        <v>1.4792494178879605</v>
      </c>
      <c r="F63" s="28">
        <f t="shared" si="0"/>
        <v>1.8518518518518519</v>
      </c>
      <c r="G63" s="28">
        <f>'Battery Pricing Model'!$C$17/D63</f>
        <v>1.8518518518518519</v>
      </c>
      <c r="H63" s="28">
        <f t="shared" si="1"/>
        <v>999</v>
      </c>
      <c r="I63" s="28"/>
      <c r="J63" s="34">
        <f>INDEX('Profit per cycles Model'!$I$149:$I$179, MATCH(TRUNC(E63, 0), 'Profit per cycles Model'!$H$149:$H$179, 0))</f>
        <v>0.38689495798319323</v>
      </c>
      <c r="K63" s="27">
        <f>AVERAGE($AB$10:AB63)</f>
        <v>0.37960924369747917</v>
      </c>
      <c r="L63" s="28">
        <f t="shared" si="2"/>
        <v>999</v>
      </c>
      <c r="M63" s="28">
        <f t="shared" si="3"/>
        <v>999</v>
      </c>
      <c r="N63" s="28">
        <f t="shared" si="4"/>
        <v>999</v>
      </c>
      <c r="O63" s="28"/>
      <c r="P63" s="29">
        <f t="shared" si="19"/>
        <v>5.4000000000000041E-2</v>
      </c>
      <c r="Q63" s="33">
        <f t="shared" si="5"/>
        <v>6.7114093959731544</v>
      </c>
      <c r="R63" s="33">
        <f t="shared" si="6"/>
        <v>6.7114093959731544</v>
      </c>
      <c r="S63" s="33">
        <f t="shared" si="7"/>
        <v>-1</v>
      </c>
      <c r="T63" s="27"/>
      <c r="U63" s="28">
        <f t="shared" si="8"/>
        <v>0.10964912280701754</v>
      </c>
      <c r="V63" s="25">
        <f t="shared" si="9"/>
        <v>999</v>
      </c>
      <c r="W63" s="35">
        <f t="shared" si="20"/>
        <v>25</v>
      </c>
      <c r="X63" s="33">
        <f t="shared" si="10"/>
        <v>25</v>
      </c>
      <c r="Y63" s="32">
        <f t="shared" si="21"/>
        <v>-1</v>
      </c>
      <c r="Z63" s="32"/>
      <c r="AA63" s="30">
        <f t="shared" si="11"/>
        <v>1.4792494178879605</v>
      </c>
      <c r="AB63" s="28">
        <f t="shared" si="12"/>
        <v>0.38689495798319323</v>
      </c>
      <c r="AC63" s="28">
        <f t="shared" si="13"/>
        <v>0.10964912280701754</v>
      </c>
      <c r="AD63" s="29">
        <f t="shared" si="14"/>
        <v>51.233396584440229</v>
      </c>
      <c r="AE63" s="28">
        <f t="shared" si="15"/>
        <v>0.10964912280701754</v>
      </c>
      <c r="AF63" s="28">
        <f t="shared" si="16"/>
        <v>0.27724583517617568</v>
      </c>
      <c r="AG63" s="28">
        <f t="shared" si="17"/>
        <v>0</v>
      </c>
      <c r="AI63" s="31">
        <f t="shared" si="18"/>
        <v>-0.79501100840336125</v>
      </c>
      <c r="AJ63" s="25"/>
      <c r="AK63" s="31"/>
      <c r="AM63" s="27"/>
    </row>
    <row r="64" spans="4:39" x14ac:dyDescent="0.25">
      <c r="D64" s="25">
        <f>E64*'Profit per cycles Model'!$I$113</f>
        <v>550</v>
      </c>
      <c r="E64" s="25">
        <v>1.5066429256266265</v>
      </c>
      <c r="F64" s="28">
        <f t="shared" si="0"/>
        <v>1.8181818181818181</v>
      </c>
      <c r="G64" s="28">
        <f>'Battery Pricing Model'!$C$17/D64</f>
        <v>1.8181818181818181</v>
      </c>
      <c r="H64" s="28">
        <f t="shared" si="1"/>
        <v>999</v>
      </c>
      <c r="I64" s="28"/>
      <c r="J64" s="34">
        <f>INDEX('Profit per cycles Model'!$I$149:$I$179, MATCH(TRUNC(E64, 0), 'Profit per cycles Model'!$H$149:$H$179, 0))</f>
        <v>0.38689495798319323</v>
      </c>
      <c r="K64" s="27">
        <f>AVERAGE($AB$10:AB64)</f>
        <v>0.37974171122994671</v>
      </c>
      <c r="L64" s="28">
        <f t="shared" si="2"/>
        <v>999</v>
      </c>
      <c r="M64" s="28">
        <f t="shared" si="3"/>
        <v>999</v>
      </c>
      <c r="N64" s="28">
        <f t="shared" si="4"/>
        <v>999</v>
      </c>
      <c r="O64" s="28"/>
      <c r="P64" s="29">
        <f t="shared" si="19"/>
        <v>5.5000000000000042E-2</v>
      </c>
      <c r="Q64" s="33">
        <f t="shared" si="5"/>
        <v>6.7114093959731544</v>
      </c>
      <c r="R64" s="33">
        <f t="shared" si="6"/>
        <v>6.7114093959731544</v>
      </c>
      <c r="S64" s="33">
        <f t="shared" si="7"/>
        <v>-1</v>
      </c>
      <c r="T64" s="27"/>
      <c r="U64" s="28">
        <f t="shared" si="8"/>
        <v>0.10964912280701754</v>
      </c>
      <c r="V64" s="25">
        <f t="shared" si="9"/>
        <v>999</v>
      </c>
      <c r="W64" s="35">
        <f t="shared" si="20"/>
        <v>25</v>
      </c>
      <c r="X64" s="33">
        <f t="shared" si="10"/>
        <v>25</v>
      </c>
      <c r="Y64" s="32">
        <f t="shared" si="21"/>
        <v>-1</v>
      </c>
      <c r="Z64" s="32"/>
      <c r="AA64" s="30">
        <f t="shared" si="11"/>
        <v>1.5066429256266265</v>
      </c>
      <c r="AB64" s="28">
        <f t="shared" si="12"/>
        <v>0.38689495798319323</v>
      </c>
      <c r="AC64" s="28">
        <f t="shared" si="13"/>
        <v>0.10964912280701754</v>
      </c>
      <c r="AD64" s="29">
        <f t="shared" si="14"/>
        <v>52.182163187855792</v>
      </c>
      <c r="AE64" s="28">
        <f t="shared" si="15"/>
        <v>0.10964912280701754</v>
      </c>
      <c r="AF64" s="28">
        <f t="shared" si="16"/>
        <v>0.27724583517617568</v>
      </c>
      <c r="AG64" s="28">
        <f t="shared" si="17"/>
        <v>0</v>
      </c>
      <c r="AI64" s="31">
        <f t="shared" si="18"/>
        <v>-0.79114205882352928</v>
      </c>
      <c r="AJ64" s="25"/>
      <c r="AK64" s="31"/>
      <c r="AM64" s="27"/>
    </row>
    <row r="65" spans="4:39" x14ac:dyDescent="0.25">
      <c r="D65" s="25">
        <f>E65*'Profit per cycles Model'!$I$113</f>
        <v>560</v>
      </c>
      <c r="E65" s="25">
        <v>1.5340364333652923</v>
      </c>
      <c r="F65" s="28">
        <f t="shared" si="0"/>
        <v>1.7857142857142858</v>
      </c>
      <c r="G65" s="28">
        <f>'Battery Pricing Model'!$C$17/D65</f>
        <v>1.7857142857142858</v>
      </c>
      <c r="H65" s="28">
        <f t="shared" si="1"/>
        <v>999</v>
      </c>
      <c r="I65" s="28"/>
      <c r="J65" s="34">
        <f>INDEX('Profit per cycles Model'!$I$149:$I$179, MATCH(TRUNC(E65, 0), 'Profit per cycles Model'!$H$149:$H$179, 0))</f>
        <v>0.38689495798319323</v>
      </c>
      <c r="K65" s="27">
        <f>AVERAGE($AB$10:AB65)</f>
        <v>0.37986944777911186</v>
      </c>
      <c r="L65" s="28">
        <f t="shared" si="2"/>
        <v>999</v>
      </c>
      <c r="M65" s="28">
        <f t="shared" si="3"/>
        <v>999</v>
      </c>
      <c r="N65" s="28">
        <f t="shared" si="4"/>
        <v>999</v>
      </c>
      <c r="O65" s="28"/>
      <c r="P65" s="29">
        <f t="shared" si="19"/>
        <v>5.6000000000000043E-2</v>
      </c>
      <c r="Q65" s="33">
        <f t="shared" si="5"/>
        <v>6.7114093959731544</v>
      </c>
      <c r="R65" s="33">
        <f t="shared" si="6"/>
        <v>6.7114093959731544</v>
      </c>
      <c r="S65" s="33">
        <f t="shared" si="7"/>
        <v>-1</v>
      </c>
      <c r="T65" s="27"/>
      <c r="U65" s="28">
        <f t="shared" si="8"/>
        <v>0.10964912280701754</v>
      </c>
      <c r="V65" s="25">
        <f t="shared" si="9"/>
        <v>999</v>
      </c>
      <c r="W65" s="35">
        <f t="shared" si="20"/>
        <v>25</v>
      </c>
      <c r="X65" s="33">
        <f t="shared" si="10"/>
        <v>25</v>
      </c>
      <c r="Y65" s="32">
        <f t="shared" si="21"/>
        <v>-1</v>
      </c>
      <c r="Z65" s="32"/>
      <c r="AA65" s="30">
        <f t="shared" si="11"/>
        <v>1.5340364333652923</v>
      </c>
      <c r="AB65" s="28">
        <f t="shared" si="12"/>
        <v>0.38689495798319323</v>
      </c>
      <c r="AC65" s="28">
        <f t="shared" si="13"/>
        <v>0.10964912280701754</v>
      </c>
      <c r="AD65" s="29">
        <f t="shared" si="14"/>
        <v>53.130929791271342</v>
      </c>
      <c r="AE65" s="28">
        <f t="shared" si="15"/>
        <v>0.10964912280701754</v>
      </c>
      <c r="AF65" s="28">
        <f t="shared" si="16"/>
        <v>0.27724583517617568</v>
      </c>
      <c r="AG65" s="28">
        <f t="shared" si="17"/>
        <v>0</v>
      </c>
      <c r="AI65" s="31">
        <f t="shared" si="18"/>
        <v>-0.78727310924369742</v>
      </c>
      <c r="AJ65" s="25"/>
      <c r="AK65" s="31"/>
      <c r="AM65" s="27"/>
    </row>
    <row r="66" spans="4:39" x14ac:dyDescent="0.25">
      <c r="D66" s="25">
        <f>E66*'Profit per cycles Model'!$I$113</f>
        <v>570</v>
      </c>
      <c r="E66" s="25">
        <v>1.5614299411039583</v>
      </c>
      <c r="F66" s="28">
        <f t="shared" si="0"/>
        <v>1.7543859649122806</v>
      </c>
      <c r="G66" s="28">
        <f>'Battery Pricing Model'!$C$17/D66</f>
        <v>1.7543859649122806</v>
      </c>
      <c r="H66" s="28">
        <f t="shared" si="1"/>
        <v>999</v>
      </c>
      <c r="I66" s="28"/>
      <c r="J66" s="34">
        <f>INDEX('Profit per cycles Model'!$I$149:$I$179, MATCH(TRUNC(E66, 0), 'Profit per cycles Model'!$H$149:$H$179, 0))</f>
        <v>0.38689495798319323</v>
      </c>
      <c r="K66" s="27">
        <f>AVERAGE($AB$10:AB66)</f>
        <v>0.37999270234409577</v>
      </c>
      <c r="L66" s="28">
        <f t="shared" si="2"/>
        <v>999</v>
      </c>
      <c r="M66" s="28">
        <f t="shared" si="3"/>
        <v>999</v>
      </c>
      <c r="N66" s="28">
        <f t="shared" si="4"/>
        <v>999</v>
      </c>
      <c r="O66" s="28"/>
      <c r="P66" s="29">
        <f t="shared" si="19"/>
        <v>5.7000000000000044E-2</v>
      </c>
      <c r="Q66" s="33">
        <f t="shared" si="5"/>
        <v>6.7114093959731544</v>
      </c>
      <c r="R66" s="33">
        <f t="shared" si="6"/>
        <v>6.7114093959731544</v>
      </c>
      <c r="S66" s="33">
        <f t="shared" si="7"/>
        <v>-1</v>
      </c>
      <c r="T66" s="27"/>
      <c r="U66" s="28">
        <f t="shared" si="8"/>
        <v>0.10964912280701754</v>
      </c>
      <c r="V66" s="25">
        <f t="shared" si="9"/>
        <v>999</v>
      </c>
      <c r="W66" s="35">
        <f t="shared" si="20"/>
        <v>25</v>
      </c>
      <c r="X66" s="33">
        <f t="shared" si="10"/>
        <v>25</v>
      </c>
      <c r="Y66" s="32">
        <f t="shared" si="21"/>
        <v>-1</v>
      </c>
      <c r="Z66" s="32"/>
      <c r="AA66" s="30">
        <f t="shared" si="11"/>
        <v>1.5614299411039583</v>
      </c>
      <c r="AB66" s="28">
        <f t="shared" si="12"/>
        <v>0.38689495798319323</v>
      </c>
      <c r="AC66" s="28">
        <f t="shared" si="13"/>
        <v>0.10964912280701754</v>
      </c>
      <c r="AD66" s="29">
        <f t="shared" si="14"/>
        <v>54.079696394686906</v>
      </c>
      <c r="AE66" s="28">
        <f t="shared" si="15"/>
        <v>0.10964912280701754</v>
      </c>
      <c r="AF66" s="28">
        <f t="shared" si="16"/>
        <v>0.27724583517617568</v>
      </c>
      <c r="AG66" s="28">
        <f t="shared" si="17"/>
        <v>0</v>
      </c>
      <c r="AI66" s="31">
        <f t="shared" si="18"/>
        <v>-0.78340415966386545</v>
      </c>
      <c r="AJ66" s="25"/>
      <c r="AK66" s="31"/>
      <c r="AM66" s="27"/>
    </row>
    <row r="67" spans="4:39" x14ac:dyDescent="0.25">
      <c r="D67" s="25">
        <f>E67*'Profit per cycles Model'!$I$113</f>
        <v>580</v>
      </c>
      <c r="E67" s="25">
        <v>1.5888234488426243</v>
      </c>
      <c r="F67" s="28">
        <f t="shared" si="0"/>
        <v>1.7241379310344827</v>
      </c>
      <c r="G67" s="28">
        <f>'Battery Pricing Model'!$C$17/D67</f>
        <v>1.7241379310344827</v>
      </c>
      <c r="H67" s="28">
        <f t="shared" si="1"/>
        <v>999</v>
      </c>
      <c r="I67" s="28"/>
      <c r="J67" s="34">
        <f>INDEX('Profit per cycles Model'!$I$149:$I$179, MATCH(TRUNC(E67, 0), 'Profit per cycles Model'!$H$149:$H$179, 0))</f>
        <v>0.38689495798319323</v>
      </c>
      <c r="K67" s="27">
        <f>AVERAGE($AB$10:AB67)</f>
        <v>0.38011170675166644</v>
      </c>
      <c r="L67" s="28">
        <f t="shared" si="2"/>
        <v>999</v>
      </c>
      <c r="M67" s="28">
        <f t="shared" si="3"/>
        <v>999</v>
      </c>
      <c r="N67" s="28">
        <f t="shared" si="4"/>
        <v>999</v>
      </c>
      <c r="O67" s="28"/>
      <c r="P67" s="29">
        <f t="shared" si="19"/>
        <v>5.8000000000000045E-2</v>
      </c>
      <c r="Q67" s="33">
        <f t="shared" si="5"/>
        <v>6.7114093959731544</v>
      </c>
      <c r="R67" s="33">
        <f t="shared" si="6"/>
        <v>6.7114093959731544</v>
      </c>
      <c r="S67" s="33">
        <f t="shared" si="7"/>
        <v>-1</v>
      </c>
      <c r="T67" s="27"/>
      <c r="U67" s="28">
        <f t="shared" si="8"/>
        <v>0.10964912280701754</v>
      </c>
      <c r="V67" s="25">
        <f t="shared" si="9"/>
        <v>999</v>
      </c>
      <c r="W67" s="35">
        <f t="shared" si="20"/>
        <v>25</v>
      </c>
      <c r="X67" s="33">
        <f t="shared" si="10"/>
        <v>25</v>
      </c>
      <c r="Y67" s="32">
        <f t="shared" si="21"/>
        <v>-1</v>
      </c>
      <c r="Z67" s="32"/>
      <c r="AA67" s="30">
        <f t="shared" si="11"/>
        <v>1.5888234488426243</v>
      </c>
      <c r="AB67" s="28">
        <f t="shared" si="12"/>
        <v>0.38689495798319323</v>
      </c>
      <c r="AC67" s="28">
        <f t="shared" si="13"/>
        <v>0.10964912280701754</v>
      </c>
      <c r="AD67" s="29">
        <f t="shared" si="14"/>
        <v>55.028462998102469</v>
      </c>
      <c r="AE67" s="28">
        <f t="shared" si="15"/>
        <v>0.10964912280701754</v>
      </c>
      <c r="AF67" s="28">
        <f t="shared" si="16"/>
        <v>0.27724583517617568</v>
      </c>
      <c r="AG67" s="28">
        <f t="shared" si="17"/>
        <v>0</v>
      </c>
      <c r="AI67" s="31">
        <f t="shared" si="18"/>
        <v>-0.77953521008403348</v>
      </c>
      <c r="AJ67" s="25"/>
      <c r="AK67" s="31"/>
      <c r="AM67" s="27"/>
    </row>
    <row r="68" spans="4:39" x14ac:dyDescent="0.25">
      <c r="D68" s="25">
        <f>E68*'Profit per cycles Model'!$I$113</f>
        <v>590</v>
      </c>
      <c r="E68" s="25">
        <v>1.6162169565812903</v>
      </c>
      <c r="F68" s="28">
        <f t="shared" si="0"/>
        <v>1.6949152542372881</v>
      </c>
      <c r="G68" s="28">
        <f>'Battery Pricing Model'!$C$17/D68</f>
        <v>1.6949152542372881</v>
      </c>
      <c r="H68" s="28">
        <f t="shared" si="1"/>
        <v>999</v>
      </c>
      <c r="I68" s="28"/>
      <c r="J68" s="34">
        <f>INDEX('Profit per cycles Model'!$I$149:$I$179, MATCH(TRUNC(E68, 0), 'Profit per cycles Model'!$H$149:$H$179, 0))</f>
        <v>0.38689495798319323</v>
      </c>
      <c r="K68" s="27">
        <f>AVERAGE($AB$10:AB68)</f>
        <v>0.38022667711152286</v>
      </c>
      <c r="L68" s="28">
        <f t="shared" si="2"/>
        <v>999</v>
      </c>
      <c r="M68" s="28">
        <f t="shared" si="3"/>
        <v>999</v>
      </c>
      <c r="N68" s="28">
        <f t="shared" si="4"/>
        <v>999</v>
      </c>
      <c r="O68" s="28"/>
      <c r="P68" s="29">
        <f t="shared" si="19"/>
        <v>5.9000000000000045E-2</v>
      </c>
      <c r="Q68" s="33">
        <f t="shared" si="5"/>
        <v>6.7114093959731544</v>
      </c>
      <c r="R68" s="33">
        <f t="shared" si="6"/>
        <v>6.7114093959731544</v>
      </c>
      <c r="S68" s="33">
        <f t="shared" si="7"/>
        <v>-1</v>
      </c>
      <c r="T68" s="27"/>
      <c r="U68" s="28">
        <f t="shared" si="8"/>
        <v>0.10964912280701754</v>
      </c>
      <c r="V68" s="25">
        <f t="shared" si="9"/>
        <v>999</v>
      </c>
      <c r="W68" s="35">
        <f t="shared" si="20"/>
        <v>25</v>
      </c>
      <c r="X68" s="33">
        <f t="shared" si="10"/>
        <v>25</v>
      </c>
      <c r="Y68" s="32">
        <f t="shared" si="21"/>
        <v>-1</v>
      </c>
      <c r="Z68" s="32"/>
      <c r="AA68" s="30">
        <f t="shared" si="11"/>
        <v>1.6162169565812903</v>
      </c>
      <c r="AB68" s="28">
        <f t="shared" si="12"/>
        <v>0.38689495798319323</v>
      </c>
      <c r="AC68" s="28">
        <f t="shared" si="13"/>
        <v>0.10964912280701754</v>
      </c>
      <c r="AD68" s="29">
        <f t="shared" si="14"/>
        <v>55.977229601518033</v>
      </c>
      <c r="AE68" s="28">
        <f t="shared" si="15"/>
        <v>0.10964912280701754</v>
      </c>
      <c r="AF68" s="28">
        <f t="shared" si="16"/>
        <v>0.27724583517617568</v>
      </c>
      <c r="AG68" s="28">
        <f t="shared" si="17"/>
        <v>0</v>
      </c>
      <c r="AI68" s="31">
        <f t="shared" si="18"/>
        <v>-0.77566626050420151</v>
      </c>
      <c r="AJ68" s="25"/>
      <c r="AK68" s="31"/>
      <c r="AM68" s="27"/>
    </row>
    <row r="69" spans="4:39" x14ac:dyDescent="0.25">
      <c r="D69" s="25">
        <f>E69*'Profit per cycles Model'!$I$113</f>
        <v>600</v>
      </c>
      <c r="E69" s="25">
        <v>1.6436104643199561</v>
      </c>
      <c r="F69" s="28">
        <f t="shared" si="0"/>
        <v>1.6666666666666667</v>
      </c>
      <c r="G69" s="28">
        <f>'Battery Pricing Model'!$C$17/D69</f>
        <v>1.6666666666666667</v>
      </c>
      <c r="H69" s="28">
        <f t="shared" si="1"/>
        <v>999</v>
      </c>
      <c r="I69" s="28"/>
      <c r="J69" s="34">
        <f>INDEX('Profit per cycles Model'!$I$149:$I$179, MATCH(TRUNC(E69, 0), 'Profit per cycles Model'!$H$149:$H$179, 0))</f>
        <v>0.38689495798319323</v>
      </c>
      <c r="K69" s="27">
        <f>AVERAGE($AB$10:AB69)</f>
        <v>0.38033781512605075</v>
      </c>
      <c r="L69" s="28">
        <f t="shared" si="2"/>
        <v>999</v>
      </c>
      <c r="M69" s="28">
        <f t="shared" si="3"/>
        <v>999</v>
      </c>
      <c r="N69" s="28">
        <f t="shared" si="4"/>
        <v>999</v>
      </c>
      <c r="O69" s="28"/>
      <c r="P69" s="29">
        <f t="shared" si="19"/>
        <v>6.0000000000000046E-2</v>
      </c>
      <c r="Q69" s="33">
        <f t="shared" si="5"/>
        <v>6.7114093959731544</v>
      </c>
      <c r="R69" s="33">
        <f t="shared" si="6"/>
        <v>6.7114093959731544</v>
      </c>
      <c r="S69" s="33">
        <f t="shared" si="7"/>
        <v>-1</v>
      </c>
      <c r="T69" s="27"/>
      <c r="U69" s="28">
        <f t="shared" si="8"/>
        <v>0.10964912280701754</v>
      </c>
      <c r="V69" s="25">
        <f t="shared" si="9"/>
        <v>999</v>
      </c>
      <c r="W69" s="35">
        <f t="shared" si="20"/>
        <v>25</v>
      </c>
      <c r="X69" s="33">
        <f t="shared" si="10"/>
        <v>25</v>
      </c>
      <c r="Y69" s="32">
        <f t="shared" si="21"/>
        <v>-1</v>
      </c>
      <c r="Z69" s="32"/>
      <c r="AA69" s="30">
        <f t="shared" si="11"/>
        <v>1.6436104643199561</v>
      </c>
      <c r="AB69" s="28">
        <f t="shared" si="12"/>
        <v>0.38689495798319323</v>
      </c>
      <c r="AC69" s="28">
        <f t="shared" si="13"/>
        <v>0.10964912280701754</v>
      </c>
      <c r="AD69" s="29">
        <f t="shared" si="14"/>
        <v>56.925996204933583</v>
      </c>
      <c r="AE69" s="28">
        <f t="shared" si="15"/>
        <v>0.10964912280701754</v>
      </c>
      <c r="AF69" s="28">
        <f t="shared" si="16"/>
        <v>0.27724583517617568</v>
      </c>
      <c r="AG69" s="28">
        <f t="shared" si="17"/>
        <v>0</v>
      </c>
      <c r="AI69" s="31">
        <f t="shared" si="18"/>
        <v>-0.77179731092436954</v>
      </c>
      <c r="AJ69" s="25"/>
      <c r="AK69" s="31"/>
      <c r="AM69" s="27"/>
    </row>
    <row r="70" spans="4:39" x14ac:dyDescent="0.25">
      <c r="D70" s="25">
        <f>E70*'Profit per cycles Model'!$I$113</f>
        <v>610</v>
      </c>
      <c r="E70" s="25">
        <v>1.6710039720586221</v>
      </c>
      <c r="F70" s="28">
        <f t="shared" si="0"/>
        <v>1.639344262295082</v>
      </c>
      <c r="G70" s="28">
        <f>'Battery Pricing Model'!$C$17/D70</f>
        <v>1.639344262295082</v>
      </c>
      <c r="H70" s="28">
        <f t="shared" si="1"/>
        <v>999</v>
      </c>
      <c r="I70" s="28"/>
      <c r="J70" s="34">
        <f>INDEX('Profit per cycles Model'!$I$149:$I$179, MATCH(TRUNC(E70, 0), 'Profit per cycles Model'!$H$149:$H$179, 0))</f>
        <v>0.38689495798319323</v>
      </c>
      <c r="K70" s="27">
        <f>AVERAGE($AB$10:AB70)</f>
        <v>0.38044530927124981</v>
      </c>
      <c r="L70" s="28">
        <f t="shared" si="2"/>
        <v>999</v>
      </c>
      <c r="M70" s="28">
        <f t="shared" si="3"/>
        <v>999</v>
      </c>
      <c r="N70" s="28">
        <f t="shared" si="4"/>
        <v>999</v>
      </c>
      <c r="O70" s="28"/>
      <c r="P70" s="29">
        <f t="shared" si="19"/>
        <v>6.1000000000000047E-2</v>
      </c>
      <c r="Q70" s="33">
        <f t="shared" si="5"/>
        <v>6.7114093959731544</v>
      </c>
      <c r="R70" s="33">
        <f t="shared" si="6"/>
        <v>6.7114093959731544</v>
      </c>
      <c r="S70" s="33">
        <f t="shared" si="7"/>
        <v>-1</v>
      </c>
      <c r="T70" s="27"/>
      <c r="U70" s="28">
        <f t="shared" si="8"/>
        <v>0.10964912280701754</v>
      </c>
      <c r="V70" s="25">
        <f t="shared" si="9"/>
        <v>999</v>
      </c>
      <c r="W70" s="35">
        <f t="shared" si="20"/>
        <v>25</v>
      </c>
      <c r="X70" s="33">
        <f t="shared" si="10"/>
        <v>25</v>
      </c>
      <c r="Y70" s="32">
        <f t="shared" si="21"/>
        <v>-1</v>
      </c>
      <c r="Z70" s="32"/>
      <c r="AA70" s="30">
        <f t="shared" si="11"/>
        <v>1.6710039720586221</v>
      </c>
      <c r="AB70" s="28">
        <f t="shared" si="12"/>
        <v>0.38689495798319323</v>
      </c>
      <c r="AC70" s="28">
        <f t="shared" si="13"/>
        <v>0.10964912280701754</v>
      </c>
      <c r="AD70" s="29">
        <f t="shared" si="14"/>
        <v>57.874762808349153</v>
      </c>
      <c r="AE70" s="28">
        <f t="shared" si="15"/>
        <v>0.10964912280701754</v>
      </c>
      <c r="AF70" s="28">
        <f t="shared" si="16"/>
        <v>0.27724583517617568</v>
      </c>
      <c r="AG70" s="28">
        <f t="shared" si="17"/>
        <v>0</v>
      </c>
      <c r="AI70" s="31">
        <f t="shared" si="18"/>
        <v>-0.76792836134453757</v>
      </c>
      <c r="AJ70" s="25"/>
      <c r="AK70" s="31"/>
      <c r="AM70" s="27"/>
    </row>
    <row r="71" spans="4:39" x14ac:dyDescent="0.25">
      <c r="D71" s="25">
        <f>E71*'Profit per cycles Model'!$I$113</f>
        <v>620</v>
      </c>
      <c r="E71" s="25">
        <v>1.6983974797972881</v>
      </c>
      <c r="F71" s="28">
        <f t="shared" si="0"/>
        <v>1.6129032258064515</v>
      </c>
      <c r="G71" s="28">
        <f>'Battery Pricing Model'!$C$17/D71</f>
        <v>1.6129032258064515</v>
      </c>
      <c r="H71" s="28">
        <f t="shared" si="1"/>
        <v>999</v>
      </c>
      <c r="I71" s="28"/>
      <c r="J71" s="34">
        <f>INDEX('Profit per cycles Model'!$I$149:$I$179, MATCH(TRUNC(E71, 0), 'Profit per cycles Model'!$H$149:$H$179, 0))</f>
        <v>0.38689495798319323</v>
      </c>
      <c r="K71" s="27">
        <f>AVERAGE($AB$10:AB71)</f>
        <v>0.38054933586337797</v>
      </c>
      <c r="L71" s="28">
        <f t="shared" si="2"/>
        <v>999</v>
      </c>
      <c r="M71" s="28">
        <f t="shared" si="3"/>
        <v>999</v>
      </c>
      <c r="N71" s="28">
        <f t="shared" si="4"/>
        <v>999</v>
      </c>
      <c r="O71" s="28"/>
      <c r="P71" s="29">
        <f t="shared" si="19"/>
        <v>6.2000000000000048E-2</v>
      </c>
      <c r="Q71" s="33">
        <f t="shared" si="5"/>
        <v>6.7114093959731544</v>
      </c>
      <c r="R71" s="33">
        <f t="shared" si="6"/>
        <v>6.7114093959731544</v>
      </c>
      <c r="S71" s="33">
        <f t="shared" si="7"/>
        <v>-1</v>
      </c>
      <c r="T71" s="27"/>
      <c r="U71" s="28">
        <f t="shared" si="8"/>
        <v>0.10964912280701754</v>
      </c>
      <c r="V71" s="25">
        <f t="shared" si="9"/>
        <v>999</v>
      </c>
      <c r="W71" s="35">
        <f t="shared" si="20"/>
        <v>25</v>
      </c>
      <c r="X71" s="33">
        <f t="shared" si="10"/>
        <v>25</v>
      </c>
      <c r="Y71" s="32">
        <f t="shared" si="21"/>
        <v>-1</v>
      </c>
      <c r="Z71" s="32"/>
      <c r="AA71" s="30">
        <f t="shared" si="11"/>
        <v>1.6983974797972881</v>
      </c>
      <c r="AB71" s="28">
        <f t="shared" si="12"/>
        <v>0.38689495798319323</v>
      </c>
      <c r="AC71" s="28">
        <f t="shared" si="13"/>
        <v>0.10964912280701754</v>
      </c>
      <c r="AD71" s="29">
        <f t="shared" si="14"/>
        <v>58.82352941176471</v>
      </c>
      <c r="AE71" s="28">
        <f t="shared" si="15"/>
        <v>0.10964912280701754</v>
      </c>
      <c r="AF71" s="28">
        <f t="shared" si="16"/>
        <v>0.27724583517617568</v>
      </c>
      <c r="AG71" s="28">
        <f t="shared" si="17"/>
        <v>0</v>
      </c>
      <c r="AI71" s="31">
        <f t="shared" si="18"/>
        <v>-0.7640594117647056</v>
      </c>
      <c r="AJ71" s="25"/>
      <c r="AK71" s="31"/>
      <c r="AM71" s="27"/>
    </row>
    <row r="72" spans="4:39" x14ac:dyDescent="0.25">
      <c r="D72" s="25">
        <f>E72*'Profit per cycles Model'!$I$113</f>
        <v>630</v>
      </c>
      <c r="E72" s="25">
        <v>1.7257909875359538</v>
      </c>
      <c r="F72" s="28">
        <f t="shared" si="0"/>
        <v>1.5873015873015872</v>
      </c>
      <c r="G72" s="28">
        <f>'Battery Pricing Model'!$C$17/D72</f>
        <v>1.5873015873015872</v>
      </c>
      <c r="H72" s="28">
        <f t="shared" si="1"/>
        <v>999</v>
      </c>
      <c r="I72" s="28"/>
      <c r="J72" s="34">
        <f>INDEX('Profit per cycles Model'!$I$149:$I$179, MATCH(TRUNC(E72, 0), 'Profit per cycles Model'!$H$149:$H$179, 0))</f>
        <v>0.38689495798319323</v>
      </c>
      <c r="K72" s="27">
        <f>AVERAGE($AB$10:AB72)</f>
        <v>0.38065006002400997</v>
      </c>
      <c r="L72" s="28">
        <f t="shared" si="2"/>
        <v>999</v>
      </c>
      <c r="M72" s="28">
        <f t="shared" si="3"/>
        <v>999</v>
      </c>
      <c r="N72" s="28">
        <f t="shared" si="4"/>
        <v>999</v>
      </c>
      <c r="O72" s="28"/>
      <c r="P72" s="29">
        <f t="shared" si="19"/>
        <v>6.3000000000000042E-2</v>
      </c>
      <c r="Q72" s="33">
        <f t="shared" si="5"/>
        <v>6.7114093959731544</v>
      </c>
      <c r="R72" s="33">
        <f t="shared" si="6"/>
        <v>6.7114093959731544</v>
      </c>
      <c r="S72" s="33">
        <f t="shared" si="7"/>
        <v>-1</v>
      </c>
      <c r="T72" s="27"/>
      <c r="U72" s="28">
        <f t="shared" si="8"/>
        <v>0.10964912280701754</v>
      </c>
      <c r="V72" s="25">
        <f t="shared" si="9"/>
        <v>999</v>
      </c>
      <c r="W72" s="35">
        <f t="shared" si="20"/>
        <v>25</v>
      </c>
      <c r="X72" s="33">
        <f t="shared" si="10"/>
        <v>25</v>
      </c>
      <c r="Y72" s="32">
        <f t="shared" si="21"/>
        <v>-1</v>
      </c>
      <c r="Z72" s="32"/>
      <c r="AA72" s="30">
        <f t="shared" si="11"/>
        <v>1.7257909875359538</v>
      </c>
      <c r="AB72" s="28">
        <f t="shared" si="12"/>
        <v>0.38689495798319323</v>
      </c>
      <c r="AC72" s="28">
        <f t="shared" si="13"/>
        <v>0.10964912280701754</v>
      </c>
      <c r="AD72" s="29">
        <f t="shared" si="14"/>
        <v>59.772296015180267</v>
      </c>
      <c r="AE72" s="28">
        <f t="shared" si="15"/>
        <v>0.10964912280701754</v>
      </c>
      <c r="AF72" s="28">
        <f t="shared" si="16"/>
        <v>0.27724583517617568</v>
      </c>
      <c r="AG72" s="28">
        <f t="shared" si="17"/>
        <v>0</v>
      </c>
      <c r="AI72" s="31">
        <f t="shared" si="18"/>
        <v>-0.76019046218487374</v>
      </c>
      <c r="AJ72" s="25"/>
      <c r="AK72" s="31"/>
      <c r="AM72" s="27"/>
    </row>
    <row r="73" spans="4:39" x14ac:dyDescent="0.25">
      <c r="D73" s="25">
        <f>E73*'Profit per cycles Model'!$I$113</f>
        <v>640</v>
      </c>
      <c r="E73" s="25">
        <v>1.7531844952746198</v>
      </c>
      <c r="F73" s="28">
        <f t="shared" si="0"/>
        <v>1.5625</v>
      </c>
      <c r="G73" s="28">
        <f>'Battery Pricing Model'!$C$17/D73</f>
        <v>1.5625</v>
      </c>
      <c r="H73" s="28">
        <f t="shared" si="1"/>
        <v>999</v>
      </c>
      <c r="I73" s="28"/>
      <c r="J73" s="34">
        <f>INDEX('Profit per cycles Model'!$I$149:$I$179, MATCH(TRUNC(E73, 0), 'Profit per cycles Model'!$H$149:$H$179, 0))</f>
        <v>0.38689495798319323</v>
      </c>
      <c r="K73" s="27">
        <f>AVERAGE($AB$10:AB73)</f>
        <v>0.38074763655462224</v>
      </c>
      <c r="L73" s="28">
        <f t="shared" si="2"/>
        <v>999</v>
      </c>
      <c r="M73" s="28">
        <f t="shared" si="3"/>
        <v>999</v>
      </c>
      <c r="N73" s="28">
        <f t="shared" si="4"/>
        <v>999</v>
      </c>
      <c r="O73" s="28"/>
      <c r="P73" s="29">
        <f t="shared" si="19"/>
        <v>6.4000000000000043E-2</v>
      </c>
      <c r="Q73" s="33">
        <f t="shared" si="5"/>
        <v>6.7114093959731544</v>
      </c>
      <c r="R73" s="33">
        <f t="shared" si="6"/>
        <v>6.7114093959731544</v>
      </c>
      <c r="S73" s="33">
        <f t="shared" si="7"/>
        <v>-1</v>
      </c>
      <c r="T73" s="27"/>
      <c r="U73" s="28">
        <f t="shared" si="8"/>
        <v>0.10964912280701754</v>
      </c>
      <c r="V73" s="25">
        <f t="shared" si="9"/>
        <v>999</v>
      </c>
      <c r="W73" s="35">
        <f t="shared" si="20"/>
        <v>25</v>
      </c>
      <c r="X73" s="33">
        <f t="shared" si="10"/>
        <v>25</v>
      </c>
      <c r="Y73" s="32">
        <f t="shared" si="21"/>
        <v>-1</v>
      </c>
      <c r="Z73" s="32"/>
      <c r="AA73" s="30">
        <f t="shared" si="11"/>
        <v>1.7531844952746198</v>
      </c>
      <c r="AB73" s="28">
        <f t="shared" si="12"/>
        <v>0.38689495798319323</v>
      </c>
      <c r="AC73" s="28">
        <f t="shared" si="13"/>
        <v>0.10964912280701754</v>
      </c>
      <c r="AD73" s="29">
        <f t="shared" si="14"/>
        <v>60.721062618595823</v>
      </c>
      <c r="AE73" s="28">
        <f t="shared" si="15"/>
        <v>0.10964912280701754</v>
      </c>
      <c r="AF73" s="28">
        <f t="shared" si="16"/>
        <v>0.27724583517617568</v>
      </c>
      <c r="AG73" s="28">
        <f t="shared" si="17"/>
        <v>0</v>
      </c>
      <c r="AI73" s="31">
        <f t="shared" si="18"/>
        <v>-0.75632151260504177</v>
      </c>
      <c r="AJ73" s="25"/>
      <c r="AK73" s="31"/>
      <c r="AM73" s="27"/>
    </row>
    <row r="74" spans="4:39" x14ac:dyDescent="0.25">
      <c r="D74" s="25">
        <f>E74*'Profit per cycles Model'!$I$113</f>
        <v>650</v>
      </c>
      <c r="E74" s="25">
        <v>1.7805780030132858</v>
      </c>
      <c r="F74" s="28">
        <f t="shared" ref="F74:F137" si="23">IF(OR($H$6="None", $H$6=0), G74, H74)</f>
        <v>1.5384615384615385</v>
      </c>
      <c r="G74" s="28">
        <f>'Battery Pricing Model'!$C$17/D74</f>
        <v>1.5384615384615385</v>
      </c>
      <c r="H74" s="28">
        <f t="shared" ref="H74:H137" si="24">IF(OR($H$6="None", $H$6=0), 999, $G74*(H$6))</f>
        <v>999</v>
      </c>
      <c r="I74" s="28"/>
      <c r="J74" s="34">
        <f>INDEX('Profit per cycles Model'!$I$149:$I$179, MATCH(TRUNC(E74, 0), 'Profit per cycles Model'!$H$149:$H$179, 0))</f>
        <v>0.38689495798319323</v>
      </c>
      <c r="K74" s="27">
        <f>AVERAGE($AB$10:AB74)</f>
        <v>0.38084221073044644</v>
      </c>
      <c r="L74" s="28">
        <f t="shared" ref="L74:L137" si="25">IF(K74-F74&lt;0, 999, K74-F74)</f>
        <v>999</v>
      </c>
      <c r="M74" s="28">
        <f t="shared" ref="M74:M137" si="26">IF(K74-F74&lt;0, 999, K74-F74)</f>
        <v>999</v>
      </c>
      <c r="N74" s="28">
        <f t="shared" ref="N74:N137" si="27">IF(K74-H74&lt;0, 999, K74-H74)</f>
        <v>999</v>
      </c>
      <c r="O74" s="28"/>
      <c r="P74" s="29">
        <f t="shared" si="19"/>
        <v>6.5000000000000044E-2</v>
      </c>
      <c r="Q74" s="33">
        <f t="shared" ref="Q74:Q137" si="28">$L$5</f>
        <v>6.7114093959731544</v>
      </c>
      <c r="R74" s="33">
        <f t="shared" ref="R74:R137" si="29">$M$5</f>
        <v>6.7114093959731544</v>
      </c>
      <c r="S74" s="33">
        <f t="shared" ref="S74:S137" si="30">$N$5</f>
        <v>-1</v>
      </c>
      <c r="T74" s="27"/>
      <c r="U74" s="28">
        <f t="shared" ref="U74:U137" si="31">IF(ISNA(INDEX($F$10:$F$1063,MATCH(W74,$E$10:$E$1063,1))),-1,INDEX($F$10:$F$1063,MATCH(W74,$E$10:$E$1063,1)))</f>
        <v>0.10964912280701754</v>
      </c>
      <c r="V74" s="25">
        <f t="shared" ref="V74:V137" si="32">IF(ISNA(INDEX($H$10:$H$1063, MATCH(X74, $E$10:$E$1063,1))),-1,  INDEX($H$10:$H$1063, MATCH(X74, $E$10:$E$1063,1)))</f>
        <v>999</v>
      </c>
      <c r="W74" s="35">
        <f t="shared" si="20"/>
        <v>25</v>
      </c>
      <c r="X74" s="33">
        <f t="shared" ref="X74:X137" si="33">IF(PaybackCustom&gt;0, IF(PaybackCustom&lt;&gt;"Default", PaybackCustom, IF(PaybackStatus&lt;&gt;"",INDEX($Y$2:$Y$6,MATCH(PaybackStatus,$X$2:$X$6,FALSE)),-1)))</f>
        <v>25</v>
      </c>
      <c r="Y74" s="32">
        <f t="shared" ref="Y74:Y137" si="34">IF(PaybackStatus&lt;&gt;"",IF(PaybackStatus=$X$4,IF(X74&lt;=$Y$4,$Y$4,-1), -1), -1)</f>
        <v>-1</v>
      </c>
      <c r="Z74" s="32"/>
      <c r="AA74" s="30">
        <f t="shared" ref="AA74:AA137" si="35">E74</f>
        <v>1.7805780030132858</v>
      </c>
      <c r="AB74" s="28">
        <f t="shared" ref="AB74:AB137" si="36">J74</f>
        <v>0.38689495798319323</v>
      </c>
      <c r="AC74" s="28">
        <f t="shared" ref="AC74:AC137" si="37">U74</f>
        <v>0.10964912280701754</v>
      </c>
      <c r="AD74" s="29">
        <f t="shared" ref="AD74:AD137" si="38">$AC$2*(AA74-$AC$3)/($AC$4-$AC$3)</f>
        <v>61.669829222011387</v>
      </c>
      <c r="AE74" s="28">
        <f t="shared" ref="AE74:AE137" si="39">MIN(AC74, AB74)</f>
        <v>0.10964912280701754</v>
      </c>
      <c r="AF74" s="28">
        <f t="shared" ref="AF74:AF137" si="40">IF(AND(AA74&lt;X74, AB74&gt;AC74), AB74-AC74, 0)</f>
        <v>0.27724583517617568</v>
      </c>
      <c r="AG74" s="28">
        <f t="shared" ref="AG74:AG137" si="41">IF(AND(AA74&lt;X74, AC74&gt;AB74), AC74-AB74, 0)</f>
        <v>0</v>
      </c>
      <c r="AI74" s="31">
        <f t="shared" ref="AI74:AI137" si="42">(K74-F74)/F74</f>
        <v>-0.7524525630252098</v>
      </c>
      <c r="AJ74" s="25"/>
      <c r="AK74" s="31"/>
      <c r="AM74" s="27"/>
    </row>
    <row r="75" spans="4:39" x14ac:dyDescent="0.25">
      <c r="D75" s="25">
        <f>E75*'Profit per cycles Model'!$I$113</f>
        <v>660</v>
      </c>
      <c r="E75" s="25">
        <v>1.8079715107519518</v>
      </c>
      <c r="F75" s="28">
        <f t="shared" si="23"/>
        <v>1.5151515151515151</v>
      </c>
      <c r="G75" s="28">
        <f>'Battery Pricing Model'!$C$17/D75</f>
        <v>1.5151515151515151</v>
      </c>
      <c r="H75" s="28">
        <f t="shared" si="24"/>
        <v>999</v>
      </c>
      <c r="I75" s="28"/>
      <c r="J75" s="34">
        <f>INDEX('Profit per cycles Model'!$I$149:$I$179, MATCH(TRUNC(E75, 0), 'Profit per cycles Model'!$H$149:$H$179, 0))</f>
        <v>0.38689495798319323</v>
      </c>
      <c r="K75" s="27">
        <f>AVERAGE($AB$10:AB75)</f>
        <v>0.38093391902215473</v>
      </c>
      <c r="L75" s="28">
        <f t="shared" si="25"/>
        <v>999</v>
      </c>
      <c r="M75" s="28">
        <f t="shared" si="26"/>
        <v>999</v>
      </c>
      <c r="N75" s="28">
        <f t="shared" si="27"/>
        <v>999</v>
      </c>
      <c r="O75" s="28"/>
      <c r="P75" s="29">
        <f t="shared" ref="P75:P138" si="43">P74+0.001</f>
        <v>6.6000000000000045E-2</v>
      </c>
      <c r="Q75" s="33">
        <f t="shared" si="28"/>
        <v>6.7114093959731544</v>
      </c>
      <c r="R75" s="33">
        <f t="shared" si="29"/>
        <v>6.7114093959731544</v>
      </c>
      <c r="S75" s="33">
        <f t="shared" si="30"/>
        <v>-1</v>
      </c>
      <c r="T75" s="27"/>
      <c r="U75" s="28">
        <f t="shared" si="31"/>
        <v>0.10964912280701754</v>
      </c>
      <c r="V75" s="25">
        <f t="shared" si="32"/>
        <v>999</v>
      </c>
      <c r="W75" s="35">
        <f t="shared" ref="W75:W138" si="44">IF( AND(X75&gt;0, Y75&gt;0), IF(X75&lt;Y75, X75, Y75),  IF(X75&gt;0, X75, IF(Y75&gt;0, Y75, -1)) )</f>
        <v>25</v>
      </c>
      <c r="X75" s="33">
        <f t="shared" si="33"/>
        <v>25</v>
      </c>
      <c r="Y75" s="32">
        <f t="shared" si="34"/>
        <v>-1</v>
      </c>
      <c r="Z75" s="32"/>
      <c r="AA75" s="30">
        <f t="shared" si="35"/>
        <v>1.8079715107519518</v>
      </c>
      <c r="AB75" s="28">
        <f t="shared" si="36"/>
        <v>0.38689495798319323</v>
      </c>
      <c r="AC75" s="28">
        <f t="shared" si="37"/>
        <v>0.10964912280701754</v>
      </c>
      <c r="AD75" s="29">
        <f t="shared" si="38"/>
        <v>62.618595825426951</v>
      </c>
      <c r="AE75" s="28">
        <f t="shared" si="39"/>
        <v>0.10964912280701754</v>
      </c>
      <c r="AF75" s="28">
        <f t="shared" si="40"/>
        <v>0.27724583517617568</v>
      </c>
      <c r="AG75" s="28">
        <f t="shared" si="41"/>
        <v>0</v>
      </c>
      <c r="AI75" s="31">
        <f t="shared" si="42"/>
        <v>-0.74858361344537783</v>
      </c>
      <c r="AJ75" s="25"/>
      <c r="AK75" s="31"/>
      <c r="AM75" s="27"/>
    </row>
    <row r="76" spans="4:39" x14ac:dyDescent="0.25">
      <c r="D76" s="25">
        <f>E76*'Profit per cycles Model'!$I$113</f>
        <v>670</v>
      </c>
      <c r="E76" s="25">
        <v>1.8353650184906176</v>
      </c>
      <c r="F76" s="28">
        <f t="shared" si="23"/>
        <v>1.4925373134328359</v>
      </c>
      <c r="G76" s="28">
        <f>'Battery Pricing Model'!$C$17/D76</f>
        <v>1.4925373134328359</v>
      </c>
      <c r="H76" s="28">
        <f t="shared" si="24"/>
        <v>999</v>
      </c>
      <c r="I76" s="28"/>
      <c r="J76" s="34">
        <f>INDEX('Profit per cycles Model'!$I$149:$I$179, MATCH(TRUNC(E76, 0), 'Profit per cycles Model'!$H$149:$H$179, 0))</f>
        <v>0.38689495798319323</v>
      </c>
      <c r="K76" s="27">
        <f>AVERAGE($AB$10:AB76)</f>
        <v>0.38102288975291654</v>
      </c>
      <c r="L76" s="28">
        <f t="shared" si="25"/>
        <v>999</v>
      </c>
      <c r="M76" s="28">
        <f t="shared" si="26"/>
        <v>999</v>
      </c>
      <c r="N76" s="28">
        <f t="shared" si="27"/>
        <v>999</v>
      </c>
      <c r="O76" s="28"/>
      <c r="P76" s="29">
        <f t="shared" si="43"/>
        <v>6.7000000000000046E-2</v>
      </c>
      <c r="Q76" s="33">
        <f t="shared" si="28"/>
        <v>6.7114093959731544</v>
      </c>
      <c r="R76" s="33">
        <f t="shared" si="29"/>
        <v>6.7114093959731544</v>
      </c>
      <c r="S76" s="33">
        <f t="shared" si="30"/>
        <v>-1</v>
      </c>
      <c r="T76" s="27"/>
      <c r="U76" s="28">
        <f t="shared" si="31"/>
        <v>0.10964912280701754</v>
      </c>
      <c r="V76" s="25">
        <f t="shared" si="32"/>
        <v>999</v>
      </c>
      <c r="W76" s="35">
        <f t="shared" si="44"/>
        <v>25</v>
      </c>
      <c r="X76" s="33">
        <f t="shared" si="33"/>
        <v>25</v>
      </c>
      <c r="Y76" s="32">
        <f t="shared" si="34"/>
        <v>-1</v>
      </c>
      <c r="Z76" s="32"/>
      <c r="AA76" s="30">
        <f t="shared" si="35"/>
        <v>1.8353650184906176</v>
      </c>
      <c r="AB76" s="28">
        <f t="shared" si="36"/>
        <v>0.38689495798319323</v>
      </c>
      <c r="AC76" s="28">
        <f t="shared" si="37"/>
        <v>0.10964912280701754</v>
      </c>
      <c r="AD76" s="29">
        <f t="shared" si="38"/>
        <v>63.5673624288425</v>
      </c>
      <c r="AE76" s="28">
        <f t="shared" si="39"/>
        <v>0.10964912280701754</v>
      </c>
      <c r="AF76" s="28">
        <f t="shared" si="40"/>
        <v>0.27724583517617568</v>
      </c>
      <c r="AG76" s="28">
        <f t="shared" si="41"/>
        <v>0</v>
      </c>
      <c r="AI76" s="31">
        <f t="shared" si="42"/>
        <v>-0.74471466386554586</v>
      </c>
      <c r="AJ76" s="25"/>
      <c r="AK76" s="31"/>
      <c r="AM76" s="27"/>
    </row>
    <row r="77" spans="4:39" x14ac:dyDescent="0.25">
      <c r="D77" s="25">
        <f>E77*'Profit per cycles Model'!$I$113</f>
        <v>680</v>
      </c>
      <c r="E77" s="25">
        <v>1.8627585262292836</v>
      </c>
      <c r="F77" s="28">
        <f t="shared" si="23"/>
        <v>1.4705882352941178</v>
      </c>
      <c r="G77" s="28">
        <f>'Battery Pricing Model'!$C$17/D77</f>
        <v>1.4705882352941178</v>
      </c>
      <c r="H77" s="28">
        <f t="shared" si="24"/>
        <v>999</v>
      </c>
      <c r="I77" s="28"/>
      <c r="J77" s="34">
        <f>INDEX('Profit per cycles Model'!$I$149:$I$179, MATCH(TRUNC(E77, 0), 'Profit per cycles Model'!$H$149:$H$179, 0))</f>
        <v>0.38689495798319323</v>
      </c>
      <c r="K77" s="27">
        <f>AVERAGE($AB$10:AB77)</f>
        <v>0.38110924369747945</v>
      </c>
      <c r="L77" s="28">
        <f t="shared" si="25"/>
        <v>999</v>
      </c>
      <c r="M77" s="28">
        <f t="shared" si="26"/>
        <v>999</v>
      </c>
      <c r="N77" s="28">
        <f t="shared" si="27"/>
        <v>999</v>
      </c>
      <c r="O77" s="28"/>
      <c r="P77" s="29">
        <f t="shared" si="43"/>
        <v>6.8000000000000047E-2</v>
      </c>
      <c r="Q77" s="33">
        <f t="shared" si="28"/>
        <v>6.7114093959731544</v>
      </c>
      <c r="R77" s="33">
        <f t="shared" si="29"/>
        <v>6.7114093959731544</v>
      </c>
      <c r="S77" s="33">
        <f t="shared" si="30"/>
        <v>-1</v>
      </c>
      <c r="T77" s="27"/>
      <c r="U77" s="28">
        <f t="shared" si="31"/>
        <v>0.10964912280701754</v>
      </c>
      <c r="V77" s="25">
        <f t="shared" si="32"/>
        <v>999</v>
      </c>
      <c r="W77" s="35">
        <f t="shared" si="44"/>
        <v>25</v>
      </c>
      <c r="X77" s="33">
        <f t="shared" si="33"/>
        <v>25</v>
      </c>
      <c r="Y77" s="32">
        <f t="shared" si="34"/>
        <v>-1</v>
      </c>
      <c r="Z77" s="32"/>
      <c r="AA77" s="30">
        <f t="shared" si="35"/>
        <v>1.8627585262292836</v>
      </c>
      <c r="AB77" s="28">
        <f t="shared" si="36"/>
        <v>0.38689495798319323</v>
      </c>
      <c r="AC77" s="28">
        <f t="shared" si="37"/>
        <v>0.10964912280701754</v>
      </c>
      <c r="AD77" s="29">
        <f t="shared" si="38"/>
        <v>64.516129032258064</v>
      </c>
      <c r="AE77" s="28">
        <f t="shared" si="39"/>
        <v>0.10964912280701754</v>
      </c>
      <c r="AF77" s="28">
        <f t="shared" si="40"/>
        <v>0.27724583517617568</v>
      </c>
      <c r="AG77" s="28">
        <f t="shared" si="41"/>
        <v>0</v>
      </c>
      <c r="AI77" s="31">
        <f t="shared" si="42"/>
        <v>-0.740845714285714</v>
      </c>
      <c r="AJ77" s="25"/>
      <c r="AK77" s="31"/>
      <c r="AM77" s="27"/>
    </row>
    <row r="78" spans="4:39" x14ac:dyDescent="0.25">
      <c r="D78" s="25">
        <f>E78*'Profit per cycles Model'!$I$113</f>
        <v>690</v>
      </c>
      <c r="E78" s="25">
        <v>1.8901520339679496</v>
      </c>
      <c r="F78" s="28">
        <f t="shared" si="23"/>
        <v>1.4492753623188406</v>
      </c>
      <c r="G78" s="28">
        <f>'Battery Pricing Model'!$C$17/D78</f>
        <v>1.4492753623188406</v>
      </c>
      <c r="H78" s="28">
        <f t="shared" si="24"/>
        <v>999</v>
      </c>
      <c r="I78" s="28"/>
      <c r="J78" s="34">
        <f>INDEX('Profit per cycles Model'!$I$149:$I$179, MATCH(TRUNC(E78, 0), 'Profit per cycles Model'!$H$149:$H$179, 0))</f>
        <v>0.38689495798319323</v>
      </c>
      <c r="K78" s="27">
        <f>AVERAGE($AB$10:AB78)</f>
        <v>0.38119309462915646</v>
      </c>
      <c r="L78" s="28">
        <f t="shared" si="25"/>
        <v>999</v>
      </c>
      <c r="M78" s="28">
        <f t="shared" si="26"/>
        <v>999</v>
      </c>
      <c r="N78" s="28">
        <f t="shared" si="27"/>
        <v>999</v>
      </c>
      <c r="O78" s="28"/>
      <c r="P78" s="29">
        <f t="shared" si="43"/>
        <v>6.9000000000000047E-2</v>
      </c>
      <c r="Q78" s="33">
        <f t="shared" si="28"/>
        <v>6.7114093959731544</v>
      </c>
      <c r="R78" s="33">
        <f t="shared" si="29"/>
        <v>6.7114093959731544</v>
      </c>
      <c r="S78" s="33">
        <f t="shared" si="30"/>
        <v>-1</v>
      </c>
      <c r="T78" s="27"/>
      <c r="U78" s="28">
        <f t="shared" si="31"/>
        <v>0.10964912280701754</v>
      </c>
      <c r="V78" s="25">
        <f t="shared" si="32"/>
        <v>999</v>
      </c>
      <c r="W78" s="35">
        <f t="shared" si="44"/>
        <v>25</v>
      </c>
      <c r="X78" s="33">
        <f t="shared" si="33"/>
        <v>25</v>
      </c>
      <c r="Y78" s="32">
        <f t="shared" si="34"/>
        <v>-1</v>
      </c>
      <c r="Z78" s="32"/>
      <c r="AA78" s="30">
        <f t="shared" si="35"/>
        <v>1.8901520339679496</v>
      </c>
      <c r="AB78" s="28">
        <f t="shared" si="36"/>
        <v>0.38689495798319323</v>
      </c>
      <c r="AC78" s="28">
        <f t="shared" si="37"/>
        <v>0.10964912280701754</v>
      </c>
      <c r="AD78" s="29">
        <f t="shared" si="38"/>
        <v>65.464895635673628</v>
      </c>
      <c r="AE78" s="28">
        <f t="shared" si="39"/>
        <v>0.10964912280701754</v>
      </c>
      <c r="AF78" s="28">
        <f t="shared" si="40"/>
        <v>0.27724583517617568</v>
      </c>
      <c r="AG78" s="28">
        <f t="shared" si="41"/>
        <v>0</v>
      </c>
      <c r="AI78" s="31">
        <f t="shared" si="42"/>
        <v>-0.73697676470588203</v>
      </c>
      <c r="AJ78" s="25"/>
      <c r="AK78" s="31"/>
      <c r="AM78" s="27"/>
    </row>
    <row r="79" spans="4:39" x14ac:dyDescent="0.25">
      <c r="D79" s="25">
        <f>E79*'Profit per cycles Model'!$I$113</f>
        <v>700</v>
      </c>
      <c r="E79" s="25">
        <v>1.9175455417066154</v>
      </c>
      <c r="F79" s="28">
        <f t="shared" si="23"/>
        <v>1.4285714285714286</v>
      </c>
      <c r="G79" s="28">
        <f>'Battery Pricing Model'!$C$17/D79</f>
        <v>1.4285714285714286</v>
      </c>
      <c r="H79" s="28">
        <f t="shared" si="24"/>
        <v>999</v>
      </c>
      <c r="I79" s="28"/>
      <c r="J79" s="34">
        <f>INDEX('Profit per cycles Model'!$I$149:$I$179, MATCH(TRUNC(E79, 0), 'Profit per cycles Model'!$H$149:$H$179, 0))</f>
        <v>0.38689495798319323</v>
      </c>
      <c r="K79" s="27">
        <f>AVERAGE($AB$10:AB79)</f>
        <v>0.38127454981992848</v>
      </c>
      <c r="L79" s="28">
        <f t="shared" si="25"/>
        <v>999</v>
      </c>
      <c r="M79" s="28">
        <f t="shared" si="26"/>
        <v>999</v>
      </c>
      <c r="N79" s="28">
        <f t="shared" si="27"/>
        <v>999</v>
      </c>
      <c r="O79" s="28"/>
      <c r="P79" s="29">
        <f t="shared" si="43"/>
        <v>7.0000000000000048E-2</v>
      </c>
      <c r="Q79" s="33">
        <f t="shared" si="28"/>
        <v>6.7114093959731544</v>
      </c>
      <c r="R79" s="33">
        <f t="shared" si="29"/>
        <v>6.7114093959731544</v>
      </c>
      <c r="S79" s="33">
        <f t="shared" si="30"/>
        <v>-1</v>
      </c>
      <c r="T79" s="27"/>
      <c r="U79" s="28">
        <f t="shared" si="31"/>
        <v>0.10964912280701754</v>
      </c>
      <c r="V79" s="25">
        <f t="shared" si="32"/>
        <v>999</v>
      </c>
      <c r="W79" s="35">
        <f t="shared" si="44"/>
        <v>25</v>
      </c>
      <c r="X79" s="33">
        <f t="shared" si="33"/>
        <v>25</v>
      </c>
      <c r="Y79" s="32">
        <f t="shared" si="34"/>
        <v>-1</v>
      </c>
      <c r="Z79" s="32"/>
      <c r="AA79" s="30">
        <f t="shared" si="35"/>
        <v>1.9175455417066154</v>
      </c>
      <c r="AB79" s="28">
        <f t="shared" si="36"/>
        <v>0.38689495798319323</v>
      </c>
      <c r="AC79" s="28">
        <f t="shared" si="37"/>
        <v>0.10964912280701754</v>
      </c>
      <c r="AD79" s="29">
        <f t="shared" si="38"/>
        <v>66.413662239089192</v>
      </c>
      <c r="AE79" s="28">
        <f t="shared" si="39"/>
        <v>0.10964912280701754</v>
      </c>
      <c r="AF79" s="28">
        <f t="shared" si="40"/>
        <v>0.27724583517617568</v>
      </c>
      <c r="AG79" s="28">
        <f t="shared" si="41"/>
        <v>0</v>
      </c>
      <c r="AI79" s="31">
        <f t="shared" si="42"/>
        <v>-0.73310781512605017</v>
      </c>
      <c r="AJ79" s="25"/>
      <c r="AK79" s="31"/>
      <c r="AM79" s="27"/>
    </row>
    <row r="80" spans="4:39" x14ac:dyDescent="0.25">
      <c r="D80" s="25">
        <f>E80*'Profit per cycles Model'!$I$113</f>
        <v>710</v>
      </c>
      <c r="E80" s="25">
        <v>1.9449390494452814</v>
      </c>
      <c r="F80" s="28">
        <f t="shared" si="23"/>
        <v>1.408450704225352</v>
      </c>
      <c r="G80" s="28">
        <f>'Battery Pricing Model'!$C$17/D80</f>
        <v>1.408450704225352</v>
      </c>
      <c r="H80" s="28">
        <f t="shared" si="24"/>
        <v>999</v>
      </c>
      <c r="I80" s="28"/>
      <c r="J80" s="34">
        <f>INDEX('Profit per cycles Model'!$I$149:$I$179, MATCH(TRUNC(E80, 0), 'Profit per cycles Model'!$H$149:$H$179, 0))</f>
        <v>0.38689495798319323</v>
      </c>
      <c r="K80" s="27">
        <f>AVERAGE($AB$10:AB80)</f>
        <v>0.38135371049828432</v>
      </c>
      <c r="L80" s="28">
        <f t="shared" si="25"/>
        <v>999</v>
      </c>
      <c r="M80" s="28">
        <f t="shared" si="26"/>
        <v>999</v>
      </c>
      <c r="N80" s="28">
        <f t="shared" si="27"/>
        <v>999</v>
      </c>
      <c r="O80" s="28"/>
      <c r="P80" s="29">
        <f t="shared" si="43"/>
        <v>7.1000000000000049E-2</v>
      </c>
      <c r="Q80" s="33">
        <f t="shared" si="28"/>
        <v>6.7114093959731544</v>
      </c>
      <c r="R80" s="33">
        <f t="shared" si="29"/>
        <v>6.7114093959731544</v>
      </c>
      <c r="S80" s="33">
        <f t="shared" si="30"/>
        <v>-1</v>
      </c>
      <c r="T80" s="27"/>
      <c r="U80" s="28">
        <f t="shared" si="31"/>
        <v>0.10964912280701754</v>
      </c>
      <c r="V80" s="25">
        <f t="shared" si="32"/>
        <v>999</v>
      </c>
      <c r="W80" s="35">
        <f t="shared" si="44"/>
        <v>25</v>
      </c>
      <c r="X80" s="33">
        <f t="shared" si="33"/>
        <v>25</v>
      </c>
      <c r="Y80" s="32">
        <f t="shared" si="34"/>
        <v>-1</v>
      </c>
      <c r="Z80" s="32"/>
      <c r="AA80" s="30">
        <f t="shared" si="35"/>
        <v>1.9449390494452814</v>
      </c>
      <c r="AB80" s="28">
        <f t="shared" si="36"/>
        <v>0.38689495798319323</v>
      </c>
      <c r="AC80" s="28">
        <f t="shared" si="37"/>
        <v>0.10964912280701754</v>
      </c>
      <c r="AD80" s="29">
        <f t="shared" si="38"/>
        <v>67.362428842504741</v>
      </c>
      <c r="AE80" s="28">
        <f t="shared" si="39"/>
        <v>0.10964912280701754</v>
      </c>
      <c r="AF80" s="28">
        <f t="shared" si="40"/>
        <v>0.27724583517617568</v>
      </c>
      <c r="AG80" s="28">
        <f t="shared" si="41"/>
        <v>0</v>
      </c>
      <c r="AI80" s="31">
        <f t="shared" si="42"/>
        <v>-0.7292388655462182</v>
      </c>
      <c r="AJ80" s="25"/>
      <c r="AK80" s="31"/>
      <c r="AM80" s="27"/>
    </row>
    <row r="81" spans="4:39" x14ac:dyDescent="0.25">
      <c r="D81" s="25">
        <f>E81*'Profit per cycles Model'!$I$113</f>
        <v>720</v>
      </c>
      <c r="E81" s="25">
        <v>1.9723325571839474</v>
      </c>
      <c r="F81" s="28">
        <f t="shared" si="23"/>
        <v>1.3888888888888888</v>
      </c>
      <c r="G81" s="28">
        <f>'Battery Pricing Model'!$C$17/D81</f>
        <v>1.3888888888888888</v>
      </c>
      <c r="H81" s="28">
        <f t="shared" si="24"/>
        <v>999</v>
      </c>
      <c r="I81" s="28"/>
      <c r="J81" s="34">
        <f>INDEX('Profit per cycles Model'!$I$149:$I$179, MATCH(TRUNC(E81, 0), 'Profit per cycles Model'!$H$149:$H$179, 0))</f>
        <v>0.38689495798319323</v>
      </c>
      <c r="K81" s="27">
        <f>AVERAGE($AB$10:AB81)</f>
        <v>0.38143067226890809</v>
      </c>
      <c r="L81" s="28">
        <f t="shared" si="25"/>
        <v>999</v>
      </c>
      <c r="M81" s="28">
        <f t="shared" si="26"/>
        <v>999</v>
      </c>
      <c r="N81" s="28">
        <f t="shared" si="27"/>
        <v>999</v>
      </c>
      <c r="O81" s="28"/>
      <c r="P81" s="29">
        <f t="shared" si="43"/>
        <v>7.200000000000005E-2</v>
      </c>
      <c r="Q81" s="33">
        <f t="shared" si="28"/>
        <v>6.7114093959731544</v>
      </c>
      <c r="R81" s="33">
        <f t="shared" si="29"/>
        <v>6.7114093959731544</v>
      </c>
      <c r="S81" s="33">
        <f t="shared" si="30"/>
        <v>-1</v>
      </c>
      <c r="T81" s="27"/>
      <c r="U81" s="28">
        <f t="shared" si="31"/>
        <v>0.10964912280701754</v>
      </c>
      <c r="V81" s="25">
        <f t="shared" si="32"/>
        <v>999</v>
      </c>
      <c r="W81" s="35">
        <f t="shared" si="44"/>
        <v>25</v>
      </c>
      <c r="X81" s="33">
        <f t="shared" si="33"/>
        <v>25</v>
      </c>
      <c r="Y81" s="32">
        <f t="shared" si="34"/>
        <v>-1</v>
      </c>
      <c r="Z81" s="32"/>
      <c r="AA81" s="30">
        <f t="shared" si="35"/>
        <v>1.9723325571839474</v>
      </c>
      <c r="AB81" s="28">
        <f t="shared" si="36"/>
        <v>0.38689495798319323</v>
      </c>
      <c r="AC81" s="28">
        <f t="shared" si="37"/>
        <v>0.10964912280701754</v>
      </c>
      <c r="AD81" s="29">
        <f t="shared" si="38"/>
        <v>68.311195445920305</v>
      </c>
      <c r="AE81" s="28">
        <f t="shared" si="39"/>
        <v>0.10964912280701754</v>
      </c>
      <c r="AF81" s="28">
        <f t="shared" si="40"/>
        <v>0.27724583517617568</v>
      </c>
      <c r="AG81" s="28">
        <f t="shared" si="41"/>
        <v>0</v>
      </c>
      <c r="AI81" s="31">
        <f t="shared" si="42"/>
        <v>-0.72536991596638623</v>
      </c>
      <c r="AJ81" s="25"/>
      <c r="AK81" s="31"/>
      <c r="AM81" s="27"/>
    </row>
    <row r="82" spans="4:39" x14ac:dyDescent="0.25">
      <c r="D82" s="25">
        <f>E82*'Profit per cycles Model'!$I$113</f>
        <v>730</v>
      </c>
      <c r="E82" s="25">
        <v>1.9997260649226132</v>
      </c>
      <c r="F82" s="28">
        <f t="shared" si="23"/>
        <v>1.3698630136986301</v>
      </c>
      <c r="G82" s="28">
        <f>'Battery Pricing Model'!$C$17/D82</f>
        <v>1.3698630136986301</v>
      </c>
      <c r="H82" s="28">
        <f t="shared" si="24"/>
        <v>999</v>
      </c>
      <c r="I82" s="28"/>
      <c r="J82" s="34">
        <f>INDEX('Profit per cycles Model'!$I$149:$I$179, MATCH(TRUNC(E82, 0), 'Profit per cycles Model'!$H$149:$H$179, 0))</f>
        <v>0.38689495798319323</v>
      </c>
      <c r="K82" s="27">
        <f>AVERAGE($AB$10:AB82)</f>
        <v>0.38150552549787092</v>
      </c>
      <c r="L82" s="28">
        <f t="shared" si="25"/>
        <v>999</v>
      </c>
      <c r="M82" s="28">
        <f t="shared" si="26"/>
        <v>999</v>
      </c>
      <c r="N82" s="28">
        <f t="shared" si="27"/>
        <v>999</v>
      </c>
      <c r="O82" s="28"/>
      <c r="P82" s="29">
        <f t="shared" si="43"/>
        <v>7.3000000000000051E-2</v>
      </c>
      <c r="Q82" s="33">
        <f t="shared" si="28"/>
        <v>6.7114093959731544</v>
      </c>
      <c r="R82" s="33">
        <f t="shared" si="29"/>
        <v>6.7114093959731544</v>
      </c>
      <c r="S82" s="33">
        <f t="shared" si="30"/>
        <v>-1</v>
      </c>
      <c r="T82" s="27"/>
      <c r="U82" s="28">
        <f t="shared" si="31"/>
        <v>0.10964912280701754</v>
      </c>
      <c r="V82" s="25">
        <f t="shared" si="32"/>
        <v>999</v>
      </c>
      <c r="W82" s="35">
        <f t="shared" si="44"/>
        <v>25</v>
      </c>
      <c r="X82" s="33">
        <f t="shared" si="33"/>
        <v>25</v>
      </c>
      <c r="Y82" s="32">
        <f t="shared" si="34"/>
        <v>-1</v>
      </c>
      <c r="Z82" s="32"/>
      <c r="AA82" s="30">
        <f t="shared" si="35"/>
        <v>1.9997260649226132</v>
      </c>
      <c r="AB82" s="28">
        <f t="shared" si="36"/>
        <v>0.38689495798319323</v>
      </c>
      <c r="AC82" s="28">
        <f t="shared" si="37"/>
        <v>0.10964912280701754</v>
      </c>
      <c r="AD82" s="29">
        <f t="shared" si="38"/>
        <v>69.259962049335869</v>
      </c>
      <c r="AE82" s="28">
        <f t="shared" si="39"/>
        <v>0.10964912280701754</v>
      </c>
      <c r="AF82" s="28">
        <f t="shared" si="40"/>
        <v>0.27724583517617568</v>
      </c>
      <c r="AG82" s="28">
        <f t="shared" si="41"/>
        <v>0</v>
      </c>
      <c r="AI82" s="31">
        <f t="shared" si="42"/>
        <v>-0.72150096638655414</v>
      </c>
      <c r="AJ82" s="25"/>
      <c r="AK82" s="31"/>
      <c r="AM82" s="27"/>
    </row>
    <row r="83" spans="4:39" x14ac:dyDescent="0.25">
      <c r="D83" s="25">
        <f>E83*'Profit per cycles Model'!$I$113</f>
        <v>740</v>
      </c>
      <c r="E83" s="25">
        <v>2.0271195726612792</v>
      </c>
      <c r="F83" s="28">
        <f t="shared" si="23"/>
        <v>1.3513513513513513</v>
      </c>
      <c r="G83" s="28">
        <f>'Battery Pricing Model'!$C$17/D83</f>
        <v>1.3513513513513513</v>
      </c>
      <c r="H83" s="28">
        <f t="shared" si="24"/>
        <v>999</v>
      </c>
      <c r="I83" s="28"/>
      <c r="J83" s="34">
        <f>INDEX('Profit per cycles Model'!$I$149:$I$179, MATCH(TRUNC(E83, 0), 'Profit per cycles Model'!$H$149:$H$179, 0))</f>
        <v>0.39809674369747899</v>
      </c>
      <c r="K83" s="27">
        <f>AVERAGE($AB$10:AB83)</f>
        <v>0.38172973114921699</v>
      </c>
      <c r="L83" s="28">
        <f t="shared" si="25"/>
        <v>999</v>
      </c>
      <c r="M83" s="28">
        <f t="shared" si="26"/>
        <v>999</v>
      </c>
      <c r="N83" s="28">
        <f t="shared" si="27"/>
        <v>999</v>
      </c>
      <c r="O83" s="28"/>
      <c r="P83" s="29">
        <f t="shared" si="43"/>
        <v>7.4000000000000052E-2</v>
      </c>
      <c r="Q83" s="33">
        <f t="shared" si="28"/>
        <v>6.7114093959731544</v>
      </c>
      <c r="R83" s="33">
        <f t="shared" si="29"/>
        <v>6.7114093959731544</v>
      </c>
      <c r="S83" s="33">
        <f t="shared" si="30"/>
        <v>-1</v>
      </c>
      <c r="T83" s="27"/>
      <c r="U83" s="28">
        <f t="shared" si="31"/>
        <v>0.10964912280701754</v>
      </c>
      <c r="V83" s="25">
        <f t="shared" si="32"/>
        <v>999</v>
      </c>
      <c r="W83" s="35">
        <f t="shared" si="44"/>
        <v>25</v>
      </c>
      <c r="X83" s="33">
        <f t="shared" si="33"/>
        <v>25</v>
      </c>
      <c r="Y83" s="32">
        <f t="shared" si="34"/>
        <v>-1</v>
      </c>
      <c r="Z83" s="32"/>
      <c r="AA83" s="30">
        <f t="shared" si="35"/>
        <v>2.0271195726612792</v>
      </c>
      <c r="AB83" s="28">
        <f t="shared" si="36"/>
        <v>0.39809674369747899</v>
      </c>
      <c r="AC83" s="28">
        <f t="shared" si="37"/>
        <v>0.10964912280701754</v>
      </c>
      <c r="AD83" s="29">
        <f t="shared" si="38"/>
        <v>70.208728652751418</v>
      </c>
      <c r="AE83" s="28">
        <f t="shared" si="39"/>
        <v>0.10964912280701754</v>
      </c>
      <c r="AF83" s="28">
        <f t="shared" si="40"/>
        <v>0.28844762089046144</v>
      </c>
      <c r="AG83" s="28">
        <f t="shared" si="41"/>
        <v>0</v>
      </c>
      <c r="AI83" s="31">
        <f t="shared" si="42"/>
        <v>-0.71751999894957941</v>
      </c>
      <c r="AJ83" s="25"/>
      <c r="AK83" s="31"/>
      <c r="AM83" s="27"/>
    </row>
    <row r="84" spans="4:39" x14ac:dyDescent="0.25">
      <c r="D84" s="25">
        <f>E84*'Profit per cycles Model'!$I$113</f>
        <v>749.99999999999989</v>
      </c>
      <c r="E84" s="25">
        <v>2.054513080399945</v>
      </c>
      <c r="F84" s="28">
        <f t="shared" si="23"/>
        <v>1.3333333333333335</v>
      </c>
      <c r="G84" s="28">
        <f>'Battery Pricing Model'!$C$17/D84</f>
        <v>1.3333333333333335</v>
      </c>
      <c r="H84" s="28">
        <f t="shared" si="24"/>
        <v>999</v>
      </c>
      <c r="I84" s="28"/>
      <c r="J84" s="34">
        <f>INDEX('Profit per cycles Model'!$I$149:$I$179, MATCH(TRUNC(E84, 0), 'Profit per cycles Model'!$H$149:$H$179, 0))</f>
        <v>0.39809674369747899</v>
      </c>
      <c r="K84" s="27">
        <f>AVERAGE($AB$10:AB84)</f>
        <v>0.38194795798319381</v>
      </c>
      <c r="L84" s="28">
        <f t="shared" si="25"/>
        <v>999</v>
      </c>
      <c r="M84" s="28">
        <f t="shared" si="26"/>
        <v>999</v>
      </c>
      <c r="N84" s="28">
        <f t="shared" si="27"/>
        <v>999</v>
      </c>
      <c r="O84" s="28"/>
      <c r="P84" s="29">
        <f t="shared" si="43"/>
        <v>7.5000000000000053E-2</v>
      </c>
      <c r="Q84" s="33">
        <f t="shared" si="28"/>
        <v>6.7114093959731544</v>
      </c>
      <c r="R84" s="33">
        <f t="shared" si="29"/>
        <v>6.7114093959731544</v>
      </c>
      <c r="S84" s="33">
        <f t="shared" si="30"/>
        <v>-1</v>
      </c>
      <c r="T84" s="27"/>
      <c r="U84" s="28">
        <f t="shared" si="31"/>
        <v>0.10964912280701754</v>
      </c>
      <c r="V84" s="25">
        <f t="shared" si="32"/>
        <v>999</v>
      </c>
      <c r="W84" s="35">
        <f t="shared" si="44"/>
        <v>25</v>
      </c>
      <c r="X84" s="33">
        <f t="shared" si="33"/>
        <v>25</v>
      </c>
      <c r="Y84" s="32">
        <f t="shared" si="34"/>
        <v>-1</v>
      </c>
      <c r="Z84" s="32"/>
      <c r="AA84" s="30">
        <f t="shared" si="35"/>
        <v>2.054513080399945</v>
      </c>
      <c r="AB84" s="28">
        <f t="shared" si="36"/>
        <v>0.39809674369747899</v>
      </c>
      <c r="AC84" s="28">
        <f t="shared" si="37"/>
        <v>0.10964912280701754</v>
      </c>
      <c r="AD84" s="29">
        <f t="shared" si="38"/>
        <v>71.157495256166982</v>
      </c>
      <c r="AE84" s="28">
        <f t="shared" si="39"/>
        <v>0.10964912280701754</v>
      </c>
      <c r="AF84" s="28">
        <f t="shared" si="40"/>
        <v>0.28844762089046144</v>
      </c>
      <c r="AG84" s="28">
        <f t="shared" si="41"/>
        <v>0</v>
      </c>
      <c r="AI84" s="31">
        <f t="shared" si="42"/>
        <v>-0.71353903151260467</v>
      </c>
      <c r="AJ84" s="25"/>
      <c r="AK84" s="31"/>
      <c r="AM84" s="27"/>
    </row>
    <row r="85" spans="4:39" x14ac:dyDescent="0.25">
      <c r="D85" s="25">
        <f>E85*'Profit per cycles Model'!$I$113</f>
        <v>760</v>
      </c>
      <c r="E85" s="25">
        <v>2.0819065881386112</v>
      </c>
      <c r="F85" s="28">
        <f t="shared" si="23"/>
        <v>1.3157894736842106</v>
      </c>
      <c r="G85" s="28">
        <f>'Battery Pricing Model'!$C$17/D85</f>
        <v>1.3157894736842106</v>
      </c>
      <c r="H85" s="28">
        <f t="shared" si="24"/>
        <v>999</v>
      </c>
      <c r="I85" s="28"/>
      <c r="J85" s="34">
        <f>INDEX('Profit per cycles Model'!$I$149:$I$179, MATCH(TRUNC(E85, 0), 'Profit per cycles Model'!$H$149:$H$179, 0))</f>
        <v>0.39809674369747899</v>
      </c>
      <c r="K85" s="27">
        <f>AVERAGE($AB$10:AB85)</f>
        <v>0.38216044200575022</v>
      </c>
      <c r="L85" s="28">
        <f t="shared" si="25"/>
        <v>999</v>
      </c>
      <c r="M85" s="28">
        <f t="shared" si="26"/>
        <v>999</v>
      </c>
      <c r="N85" s="28">
        <f t="shared" si="27"/>
        <v>999</v>
      </c>
      <c r="O85" s="28"/>
      <c r="P85" s="29">
        <f t="shared" si="43"/>
        <v>7.6000000000000054E-2</v>
      </c>
      <c r="Q85" s="33">
        <f t="shared" si="28"/>
        <v>6.7114093959731544</v>
      </c>
      <c r="R85" s="33">
        <f t="shared" si="29"/>
        <v>6.7114093959731544</v>
      </c>
      <c r="S85" s="33">
        <f t="shared" si="30"/>
        <v>-1</v>
      </c>
      <c r="T85" s="27"/>
      <c r="U85" s="28">
        <f t="shared" si="31"/>
        <v>0.10964912280701754</v>
      </c>
      <c r="V85" s="25">
        <f t="shared" si="32"/>
        <v>999</v>
      </c>
      <c r="W85" s="35">
        <f t="shared" si="44"/>
        <v>25</v>
      </c>
      <c r="X85" s="33">
        <f t="shared" si="33"/>
        <v>25</v>
      </c>
      <c r="Y85" s="32">
        <f t="shared" si="34"/>
        <v>-1</v>
      </c>
      <c r="Z85" s="32"/>
      <c r="AA85" s="30">
        <f t="shared" si="35"/>
        <v>2.0819065881386112</v>
      </c>
      <c r="AB85" s="28">
        <f t="shared" si="36"/>
        <v>0.39809674369747899</v>
      </c>
      <c r="AC85" s="28">
        <f t="shared" si="37"/>
        <v>0.10964912280701754</v>
      </c>
      <c r="AD85" s="29">
        <f t="shared" si="38"/>
        <v>72.10626185958256</v>
      </c>
      <c r="AE85" s="28">
        <f t="shared" si="39"/>
        <v>0.10964912280701754</v>
      </c>
      <c r="AF85" s="28">
        <f t="shared" si="40"/>
        <v>0.28844762089046144</v>
      </c>
      <c r="AG85" s="28">
        <f t="shared" si="41"/>
        <v>0</v>
      </c>
      <c r="AI85" s="31">
        <f t="shared" si="42"/>
        <v>-0.70955806407562982</v>
      </c>
      <c r="AJ85" s="25"/>
      <c r="AK85" s="31"/>
      <c r="AM85" s="27"/>
    </row>
    <row r="86" spans="4:39" x14ac:dyDescent="0.25">
      <c r="D86" s="25">
        <f>E86*'Profit per cycles Model'!$I$113</f>
        <v>770</v>
      </c>
      <c r="E86" s="25">
        <v>2.109300095877277</v>
      </c>
      <c r="F86" s="28">
        <f t="shared" si="23"/>
        <v>1.2987012987012987</v>
      </c>
      <c r="G86" s="28">
        <f>'Battery Pricing Model'!$C$17/D86</f>
        <v>1.2987012987012987</v>
      </c>
      <c r="H86" s="28">
        <f t="shared" si="24"/>
        <v>999</v>
      </c>
      <c r="I86" s="28"/>
      <c r="J86" s="34">
        <f>INDEX('Profit per cycles Model'!$I$149:$I$179, MATCH(TRUNC(E86, 0), 'Profit per cycles Model'!$H$149:$H$179, 0))</f>
        <v>0.39809674369747899</v>
      </c>
      <c r="K86" s="27">
        <f>AVERAGE($AB$10:AB86)</f>
        <v>0.38236740696278565</v>
      </c>
      <c r="L86" s="28">
        <f t="shared" si="25"/>
        <v>999</v>
      </c>
      <c r="M86" s="28">
        <f t="shared" si="26"/>
        <v>999</v>
      </c>
      <c r="N86" s="28">
        <f t="shared" si="27"/>
        <v>999</v>
      </c>
      <c r="O86" s="28"/>
      <c r="P86" s="29">
        <f t="shared" si="43"/>
        <v>7.7000000000000055E-2</v>
      </c>
      <c r="Q86" s="33">
        <f t="shared" si="28"/>
        <v>6.7114093959731544</v>
      </c>
      <c r="R86" s="33">
        <f t="shared" si="29"/>
        <v>6.7114093959731544</v>
      </c>
      <c r="S86" s="33">
        <f t="shared" si="30"/>
        <v>-1</v>
      </c>
      <c r="T86" s="27"/>
      <c r="U86" s="28">
        <f t="shared" si="31"/>
        <v>0.10964912280701754</v>
      </c>
      <c r="V86" s="25">
        <f t="shared" si="32"/>
        <v>999</v>
      </c>
      <c r="W86" s="35">
        <f t="shared" si="44"/>
        <v>25</v>
      </c>
      <c r="X86" s="33">
        <f t="shared" si="33"/>
        <v>25</v>
      </c>
      <c r="Y86" s="32">
        <f t="shared" si="34"/>
        <v>-1</v>
      </c>
      <c r="Z86" s="32"/>
      <c r="AA86" s="30">
        <f t="shared" si="35"/>
        <v>2.109300095877277</v>
      </c>
      <c r="AB86" s="28">
        <f t="shared" si="36"/>
        <v>0.39809674369747899</v>
      </c>
      <c r="AC86" s="28">
        <f t="shared" si="37"/>
        <v>0.10964912280701754</v>
      </c>
      <c r="AD86" s="29">
        <f t="shared" si="38"/>
        <v>73.055028462998095</v>
      </c>
      <c r="AE86" s="28">
        <f t="shared" si="39"/>
        <v>0.10964912280701754</v>
      </c>
      <c r="AF86" s="28">
        <f t="shared" si="40"/>
        <v>0.28844762089046144</v>
      </c>
      <c r="AG86" s="28">
        <f t="shared" si="41"/>
        <v>0</v>
      </c>
      <c r="AI86" s="31">
        <f t="shared" si="42"/>
        <v>-0.70557709663865509</v>
      </c>
      <c r="AJ86" s="25"/>
      <c r="AK86" s="31"/>
      <c r="AM86" s="27"/>
    </row>
    <row r="87" spans="4:39" x14ac:dyDescent="0.25">
      <c r="D87" s="25">
        <f>E87*'Profit per cycles Model'!$I$113</f>
        <v>779.99999999999989</v>
      </c>
      <c r="E87" s="25">
        <v>2.1366936036159427</v>
      </c>
      <c r="F87" s="28">
        <f t="shared" si="23"/>
        <v>1.2820512820512822</v>
      </c>
      <c r="G87" s="28">
        <f>'Battery Pricing Model'!$C$17/D87</f>
        <v>1.2820512820512822</v>
      </c>
      <c r="H87" s="28">
        <f t="shared" si="24"/>
        <v>999</v>
      </c>
      <c r="I87" s="28"/>
      <c r="J87" s="34">
        <f>INDEX('Profit per cycles Model'!$I$149:$I$179, MATCH(TRUNC(E87, 0), 'Profit per cycles Model'!$H$149:$H$179, 0))</f>
        <v>0.39809674369747899</v>
      </c>
      <c r="K87" s="27">
        <f>AVERAGE($AB$10:AB87)</f>
        <v>0.38256906512605093</v>
      </c>
      <c r="L87" s="28">
        <f t="shared" si="25"/>
        <v>999</v>
      </c>
      <c r="M87" s="28">
        <f t="shared" si="26"/>
        <v>999</v>
      </c>
      <c r="N87" s="28">
        <f t="shared" si="27"/>
        <v>999</v>
      </c>
      <c r="O87" s="28"/>
      <c r="P87" s="29">
        <f t="shared" si="43"/>
        <v>7.8000000000000055E-2</v>
      </c>
      <c r="Q87" s="33">
        <f t="shared" si="28"/>
        <v>6.7114093959731544</v>
      </c>
      <c r="R87" s="33">
        <f t="shared" si="29"/>
        <v>6.7114093959731544</v>
      </c>
      <c r="S87" s="33">
        <f t="shared" si="30"/>
        <v>-1</v>
      </c>
      <c r="T87" s="27"/>
      <c r="U87" s="28">
        <f t="shared" si="31"/>
        <v>0.10964912280701754</v>
      </c>
      <c r="V87" s="25">
        <f t="shared" si="32"/>
        <v>999</v>
      </c>
      <c r="W87" s="35">
        <f t="shared" si="44"/>
        <v>25</v>
      </c>
      <c r="X87" s="33">
        <f t="shared" si="33"/>
        <v>25</v>
      </c>
      <c r="Y87" s="32">
        <f t="shared" si="34"/>
        <v>-1</v>
      </c>
      <c r="Z87" s="32"/>
      <c r="AA87" s="30">
        <f t="shared" si="35"/>
        <v>2.1366936036159427</v>
      </c>
      <c r="AB87" s="28">
        <f t="shared" si="36"/>
        <v>0.39809674369747899</v>
      </c>
      <c r="AC87" s="28">
        <f t="shared" si="37"/>
        <v>0.10964912280701754</v>
      </c>
      <c r="AD87" s="29">
        <f t="shared" si="38"/>
        <v>74.003795066413659</v>
      </c>
      <c r="AE87" s="28">
        <f t="shared" si="39"/>
        <v>0.10964912280701754</v>
      </c>
      <c r="AF87" s="28">
        <f t="shared" si="40"/>
        <v>0.28844762089046144</v>
      </c>
      <c r="AG87" s="28">
        <f t="shared" si="41"/>
        <v>0</v>
      </c>
      <c r="AI87" s="31">
        <f t="shared" si="42"/>
        <v>-0.70159612920168035</v>
      </c>
      <c r="AJ87" s="25"/>
      <c r="AK87" s="31"/>
      <c r="AM87" s="27"/>
    </row>
    <row r="88" spans="4:39" x14ac:dyDescent="0.25">
      <c r="D88" s="25">
        <f>E88*'Profit per cycles Model'!$I$113</f>
        <v>790</v>
      </c>
      <c r="E88" s="25">
        <v>2.164087111354609</v>
      </c>
      <c r="F88" s="28">
        <f t="shared" si="23"/>
        <v>1.2658227848101267</v>
      </c>
      <c r="G88" s="28">
        <f>'Battery Pricing Model'!$C$17/D88</f>
        <v>1.2658227848101267</v>
      </c>
      <c r="H88" s="28">
        <f t="shared" si="24"/>
        <v>999</v>
      </c>
      <c r="I88" s="28"/>
      <c r="J88" s="34">
        <f>INDEX('Profit per cycles Model'!$I$149:$I$179, MATCH(TRUNC(E88, 0), 'Profit per cycles Model'!$H$149:$H$179, 0))</f>
        <v>0.39809674369747899</v>
      </c>
      <c r="K88" s="27">
        <f>AVERAGE($AB$10:AB88)</f>
        <v>0.38276561801936015</v>
      </c>
      <c r="L88" s="28">
        <f t="shared" si="25"/>
        <v>999</v>
      </c>
      <c r="M88" s="28">
        <f t="shared" si="26"/>
        <v>999</v>
      </c>
      <c r="N88" s="28">
        <f t="shared" si="27"/>
        <v>999</v>
      </c>
      <c r="O88" s="28"/>
      <c r="P88" s="29">
        <f t="shared" si="43"/>
        <v>7.9000000000000056E-2</v>
      </c>
      <c r="Q88" s="33">
        <f t="shared" si="28"/>
        <v>6.7114093959731544</v>
      </c>
      <c r="R88" s="33">
        <f t="shared" si="29"/>
        <v>6.7114093959731544</v>
      </c>
      <c r="S88" s="33">
        <f t="shared" si="30"/>
        <v>-1</v>
      </c>
      <c r="T88" s="27"/>
      <c r="U88" s="28">
        <f t="shared" si="31"/>
        <v>0.10964912280701754</v>
      </c>
      <c r="V88" s="25">
        <f t="shared" si="32"/>
        <v>999</v>
      </c>
      <c r="W88" s="35">
        <f t="shared" si="44"/>
        <v>25</v>
      </c>
      <c r="X88" s="33">
        <f t="shared" si="33"/>
        <v>25</v>
      </c>
      <c r="Y88" s="32">
        <f t="shared" si="34"/>
        <v>-1</v>
      </c>
      <c r="Z88" s="32"/>
      <c r="AA88" s="30">
        <f t="shared" si="35"/>
        <v>2.164087111354609</v>
      </c>
      <c r="AB88" s="28">
        <f t="shared" si="36"/>
        <v>0.39809674369747899</v>
      </c>
      <c r="AC88" s="28">
        <f t="shared" si="37"/>
        <v>0.10964912280701754</v>
      </c>
      <c r="AD88" s="29">
        <f t="shared" si="38"/>
        <v>74.952561669829237</v>
      </c>
      <c r="AE88" s="28">
        <f t="shared" si="39"/>
        <v>0.10964912280701754</v>
      </c>
      <c r="AF88" s="28">
        <f t="shared" si="40"/>
        <v>0.28844762089046144</v>
      </c>
      <c r="AG88" s="28">
        <f t="shared" si="41"/>
        <v>0</v>
      </c>
      <c r="AI88" s="31">
        <f t="shared" si="42"/>
        <v>-0.6976151617647055</v>
      </c>
      <c r="AJ88" s="25"/>
      <c r="AK88" s="31"/>
      <c r="AM88" s="27"/>
    </row>
    <row r="89" spans="4:39" x14ac:dyDescent="0.25">
      <c r="D89" s="25">
        <f>E89*'Profit per cycles Model'!$I$113</f>
        <v>800</v>
      </c>
      <c r="E89" s="25">
        <v>2.1914806190932747</v>
      </c>
      <c r="F89" s="28">
        <f t="shared" si="23"/>
        <v>1.25</v>
      </c>
      <c r="G89" s="28">
        <f>'Battery Pricing Model'!$C$17/D89</f>
        <v>1.25</v>
      </c>
      <c r="H89" s="28">
        <f t="shared" si="24"/>
        <v>999</v>
      </c>
      <c r="I89" s="28"/>
      <c r="J89" s="34">
        <f>INDEX('Profit per cycles Model'!$I$149:$I$179, MATCH(TRUNC(E89, 0), 'Profit per cycles Model'!$H$149:$H$179, 0))</f>
        <v>0.39809674369747899</v>
      </c>
      <c r="K89" s="27">
        <f>AVERAGE($AB$10:AB89)</f>
        <v>0.38295725709033668</v>
      </c>
      <c r="L89" s="28">
        <f t="shared" si="25"/>
        <v>999</v>
      </c>
      <c r="M89" s="28">
        <f t="shared" si="26"/>
        <v>999</v>
      </c>
      <c r="N89" s="28">
        <f t="shared" si="27"/>
        <v>999</v>
      </c>
      <c r="O89" s="28"/>
      <c r="P89" s="29">
        <f t="shared" si="43"/>
        <v>8.0000000000000057E-2</v>
      </c>
      <c r="Q89" s="33">
        <f t="shared" si="28"/>
        <v>6.7114093959731544</v>
      </c>
      <c r="R89" s="33">
        <f t="shared" si="29"/>
        <v>6.7114093959731544</v>
      </c>
      <c r="S89" s="33">
        <f t="shared" si="30"/>
        <v>-1</v>
      </c>
      <c r="T89" s="27"/>
      <c r="U89" s="28">
        <f t="shared" si="31"/>
        <v>0.10964912280701754</v>
      </c>
      <c r="V89" s="25">
        <f t="shared" si="32"/>
        <v>999</v>
      </c>
      <c r="W89" s="35">
        <f t="shared" si="44"/>
        <v>25</v>
      </c>
      <c r="X89" s="33">
        <f t="shared" si="33"/>
        <v>25</v>
      </c>
      <c r="Y89" s="32">
        <f t="shared" si="34"/>
        <v>-1</v>
      </c>
      <c r="Z89" s="32"/>
      <c r="AA89" s="30">
        <f t="shared" si="35"/>
        <v>2.1914806190932747</v>
      </c>
      <c r="AB89" s="28">
        <f t="shared" si="36"/>
        <v>0.39809674369747899</v>
      </c>
      <c r="AC89" s="28">
        <f t="shared" si="37"/>
        <v>0.10964912280701754</v>
      </c>
      <c r="AD89" s="29">
        <f t="shared" si="38"/>
        <v>75.901328273244772</v>
      </c>
      <c r="AE89" s="28">
        <f t="shared" si="39"/>
        <v>0.10964912280701754</v>
      </c>
      <c r="AF89" s="28">
        <f t="shared" si="40"/>
        <v>0.28844762089046144</v>
      </c>
      <c r="AG89" s="28">
        <f t="shared" si="41"/>
        <v>0</v>
      </c>
      <c r="AI89" s="31">
        <f t="shared" si="42"/>
        <v>-0.69363419432773066</v>
      </c>
      <c r="AJ89" s="25"/>
      <c r="AK89" s="31"/>
      <c r="AM89" s="27"/>
    </row>
    <row r="90" spans="4:39" x14ac:dyDescent="0.25">
      <c r="D90" s="25">
        <f>E90*'Profit per cycles Model'!$I$113</f>
        <v>810.00000000000011</v>
      </c>
      <c r="E90" s="25">
        <v>2.218874126831941</v>
      </c>
      <c r="F90" s="28">
        <f t="shared" si="23"/>
        <v>1.2345679012345678</v>
      </c>
      <c r="G90" s="28">
        <f>'Battery Pricing Model'!$C$17/D90</f>
        <v>1.2345679012345678</v>
      </c>
      <c r="H90" s="28">
        <f t="shared" si="24"/>
        <v>999</v>
      </c>
      <c r="I90" s="28"/>
      <c r="J90" s="34">
        <f>INDEX('Profit per cycles Model'!$I$149:$I$179, MATCH(TRUNC(E90, 0), 'Profit per cycles Model'!$H$149:$H$179, 0))</f>
        <v>0.39809674369747899</v>
      </c>
      <c r="K90" s="27">
        <f>AVERAGE($AB$10:AB90)</f>
        <v>0.38314416433240017</v>
      </c>
      <c r="L90" s="28">
        <f t="shared" si="25"/>
        <v>999</v>
      </c>
      <c r="M90" s="28">
        <f t="shared" si="26"/>
        <v>999</v>
      </c>
      <c r="N90" s="28">
        <f t="shared" si="27"/>
        <v>999</v>
      </c>
      <c r="O90" s="28"/>
      <c r="P90" s="29">
        <f t="shared" si="43"/>
        <v>8.1000000000000058E-2</v>
      </c>
      <c r="Q90" s="33">
        <f t="shared" si="28"/>
        <v>6.7114093959731544</v>
      </c>
      <c r="R90" s="33">
        <f t="shared" si="29"/>
        <v>6.7114093959731544</v>
      </c>
      <c r="S90" s="33">
        <f t="shared" si="30"/>
        <v>-1</v>
      </c>
      <c r="T90" s="27"/>
      <c r="U90" s="28">
        <f t="shared" si="31"/>
        <v>0.10964912280701754</v>
      </c>
      <c r="V90" s="25">
        <f t="shared" si="32"/>
        <v>999</v>
      </c>
      <c r="W90" s="35">
        <f t="shared" si="44"/>
        <v>25</v>
      </c>
      <c r="X90" s="33">
        <f t="shared" si="33"/>
        <v>25</v>
      </c>
      <c r="Y90" s="32">
        <f t="shared" si="34"/>
        <v>-1</v>
      </c>
      <c r="Z90" s="32"/>
      <c r="AA90" s="30">
        <f t="shared" si="35"/>
        <v>2.218874126831941</v>
      </c>
      <c r="AB90" s="28">
        <f t="shared" si="36"/>
        <v>0.39809674369747899</v>
      </c>
      <c r="AC90" s="28">
        <f t="shared" si="37"/>
        <v>0.10964912280701754</v>
      </c>
      <c r="AD90" s="29">
        <f t="shared" si="38"/>
        <v>76.85009487666035</v>
      </c>
      <c r="AE90" s="28">
        <f t="shared" si="39"/>
        <v>0.10964912280701754</v>
      </c>
      <c r="AF90" s="28">
        <f t="shared" si="40"/>
        <v>0.28844762089046144</v>
      </c>
      <c r="AG90" s="28">
        <f t="shared" si="41"/>
        <v>0</v>
      </c>
      <c r="AI90" s="31">
        <f t="shared" si="42"/>
        <v>-0.68965322689075581</v>
      </c>
      <c r="AJ90" s="25"/>
      <c r="AK90" s="31"/>
      <c r="AM90" s="27"/>
    </row>
    <row r="91" spans="4:39" x14ac:dyDescent="0.25">
      <c r="D91" s="25">
        <f>E91*'Profit per cycles Model'!$I$113</f>
        <v>820</v>
      </c>
      <c r="E91" s="25">
        <v>2.2462676345706067</v>
      </c>
      <c r="F91" s="28">
        <f t="shared" si="23"/>
        <v>1.2195121951219512</v>
      </c>
      <c r="G91" s="28">
        <f>'Battery Pricing Model'!$C$17/D91</f>
        <v>1.2195121951219512</v>
      </c>
      <c r="H91" s="28">
        <f t="shared" si="24"/>
        <v>999</v>
      </c>
      <c r="I91" s="28"/>
      <c r="J91" s="34">
        <f>INDEX('Profit per cycles Model'!$I$149:$I$179, MATCH(TRUNC(E91, 0), 'Profit per cycles Model'!$H$149:$H$179, 0))</f>
        <v>0.39809674369747899</v>
      </c>
      <c r="K91" s="27">
        <f>AVERAGE($AB$10:AB91)</f>
        <v>0.38332651286124259</v>
      </c>
      <c r="L91" s="28">
        <f t="shared" si="25"/>
        <v>999</v>
      </c>
      <c r="M91" s="28">
        <f t="shared" si="26"/>
        <v>999</v>
      </c>
      <c r="N91" s="28">
        <f t="shared" si="27"/>
        <v>999</v>
      </c>
      <c r="O91" s="28"/>
      <c r="P91" s="29">
        <f t="shared" si="43"/>
        <v>8.2000000000000059E-2</v>
      </c>
      <c r="Q91" s="33">
        <f t="shared" si="28"/>
        <v>6.7114093959731544</v>
      </c>
      <c r="R91" s="33">
        <f t="shared" si="29"/>
        <v>6.7114093959731544</v>
      </c>
      <c r="S91" s="33">
        <f t="shared" si="30"/>
        <v>-1</v>
      </c>
      <c r="T91" s="27"/>
      <c r="U91" s="28">
        <f t="shared" si="31"/>
        <v>0.10964912280701754</v>
      </c>
      <c r="V91" s="25">
        <f t="shared" si="32"/>
        <v>999</v>
      </c>
      <c r="W91" s="35">
        <f t="shared" si="44"/>
        <v>25</v>
      </c>
      <c r="X91" s="33">
        <f t="shared" si="33"/>
        <v>25</v>
      </c>
      <c r="Y91" s="32">
        <f t="shared" si="34"/>
        <v>-1</v>
      </c>
      <c r="Z91" s="32"/>
      <c r="AA91" s="30">
        <f t="shared" si="35"/>
        <v>2.2462676345706067</v>
      </c>
      <c r="AB91" s="28">
        <f t="shared" si="36"/>
        <v>0.39809674369747899</v>
      </c>
      <c r="AC91" s="28">
        <f t="shared" si="37"/>
        <v>0.10964912280701754</v>
      </c>
      <c r="AD91" s="29">
        <f t="shared" si="38"/>
        <v>77.7988614800759</v>
      </c>
      <c r="AE91" s="28">
        <f t="shared" si="39"/>
        <v>0.10964912280701754</v>
      </c>
      <c r="AF91" s="28">
        <f t="shared" si="40"/>
        <v>0.28844762089046144</v>
      </c>
      <c r="AG91" s="28">
        <f t="shared" si="41"/>
        <v>0</v>
      </c>
      <c r="AI91" s="31">
        <f t="shared" si="42"/>
        <v>-0.68567225945378107</v>
      </c>
      <c r="AJ91" s="25"/>
      <c r="AK91" s="31"/>
      <c r="AM91" s="27"/>
    </row>
    <row r="92" spans="4:39" x14ac:dyDescent="0.25">
      <c r="D92" s="25">
        <f>E92*'Profit per cycles Model'!$I$113</f>
        <v>830</v>
      </c>
      <c r="E92" s="25">
        <v>2.2736611423092725</v>
      </c>
      <c r="F92" s="28">
        <f t="shared" si="23"/>
        <v>1.2048192771084338</v>
      </c>
      <c r="G92" s="28">
        <f>'Battery Pricing Model'!$C$17/D92</f>
        <v>1.2048192771084338</v>
      </c>
      <c r="H92" s="28">
        <f t="shared" si="24"/>
        <v>999</v>
      </c>
      <c r="I92" s="28"/>
      <c r="J92" s="34">
        <f>INDEX('Profit per cycles Model'!$I$149:$I$179, MATCH(TRUNC(E92, 0), 'Profit per cycles Model'!$H$149:$H$179, 0))</f>
        <v>0.39809674369747899</v>
      </c>
      <c r="K92" s="27">
        <f>AVERAGE($AB$10:AB92)</f>
        <v>0.38350446744963096</v>
      </c>
      <c r="L92" s="28">
        <f t="shared" si="25"/>
        <v>999</v>
      </c>
      <c r="M92" s="28">
        <f t="shared" si="26"/>
        <v>999</v>
      </c>
      <c r="N92" s="28">
        <f t="shared" si="27"/>
        <v>999</v>
      </c>
      <c r="O92" s="28"/>
      <c r="P92" s="29">
        <f t="shared" si="43"/>
        <v>8.300000000000006E-2</v>
      </c>
      <c r="Q92" s="33">
        <f t="shared" si="28"/>
        <v>6.7114093959731544</v>
      </c>
      <c r="R92" s="33">
        <f t="shared" si="29"/>
        <v>6.7114093959731544</v>
      </c>
      <c r="S92" s="33">
        <f t="shared" si="30"/>
        <v>-1</v>
      </c>
      <c r="T92" s="27"/>
      <c r="U92" s="28">
        <f t="shared" si="31"/>
        <v>0.10964912280701754</v>
      </c>
      <c r="V92" s="25">
        <f t="shared" si="32"/>
        <v>999</v>
      </c>
      <c r="W92" s="35">
        <f t="shared" si="44"/>
        <v>25</v>
      </c>
      <c r="X92" s="33">
        <f t="shared" si="33"/>
        <v>25</v>
      </c>
      <c r="Y92" s="32">
        <f t="shared" si="34"/>
        <v>-1</v>
      </c>
      <c r="Z92" s="32"/>
      <c r="AA92" s="30">
        <f t="shared" si="35"/>
        <v>2.2736611423092725</v>
      </c>
      <c r="AB92" s="28">
        <f t="shared" si="36"/>
        <v>0.39809674369747899</v>
      </c>
      <c r="AC92" s="28">
        <f t="shared" si="37"/>
        <v>0.10964912280701754</v>
      </c>
      <c r="AD92" s="29">
        <f t="shared" si="38"/>
        <v>78.747628083491463</v>
      </c>
      <c r="AE92" s="28">
        <f t="shared" si="39"/>
        <v>0.10964912280701754</v>
      </c>
      <c r="AF92" s="28">
        <f t="shared" si="40"/>
        <v>0.28844762089046144</v>
      </c>
      <c r="AG92" s="28">
        <f t="shared" si="41"/>
        <v>0</v>
      </c>
      <c r="AI92" s="31">
        <f t="shared" si="42"/>
        <v>-0.68169129201680634</v>
      </c>
      <c r="AJ92" s="25"/>
      <c r="AK92" s="31"/>
      <c r="AM92" s="27"/>
    </row>
    <row r="93" spans="4:39" x14ac:dyDescent="0.25">
      <c r="D93" s="25">
        <f>E93*'Profit per cycles Model'!$I$113</f>
        <v>840.00000000000011</v>
      </c>
      <c r="E93" s="25">
        <v>2.3010546500479387</v>
      </c>
      <c r="F93" s="28">
        <f t="shared" si="23"/>
        <v>1.1904761904761902</v>
      </c>
      <c r="G93" s="28">
        <f>'Battery Pricing Model'!$C$17/D93</f>
        <v>1.1904761904761902</v>
      </c>
      <c r="H93" s="28">
        <f t="shared" si="24"/>
        <v>999</v>
      </c>
      <c r="I93" s="28"/>
      <c r="J93" s="34">
        <f>INDEX('Profit per cycles Model'!$I$149:$I$179, MATCH(TRUNC(E93, 0), 'Profit per cycles Model'!$H$149:$H$179, 0))</f>
        <v>0.39809674369747899</v>
      </c>
      <c r="K93" s="27">
        <f>AVERAGE($AB$10:AB93)</f>
        <v>0.38367818502401008</v>
      </c>
      <c r="L93" s="28">
        <f t="shared" si="25"/>
        <v>999</v>
      </c>
      <c r="M93" s="28">
        <f t="shared" si="26"/>
        <v>999</v>
      </c>
      <c r="N93" s="28">
        <f t="shared" si="27"/>
        <v>999</v>
      </c>
      <c r="O93" s="28"/>
      <c r="P93" s="29">
        <f t="shared" si="43"/>
        <v>8.4000000000000061E-2</v>
      </c>
      <c r="Q93" s="33">
        <f t="shared" si="28"/>
        <v>6.7114093959731544</v>
      </c>
      <c r="R93" s="33">
        <f t="shared" si="29"/>
        <v>6.7114093959731544</v>
      </c>
      <c r="S93" s="33">
        <f t="shared" si="30"/>
        <v>-1</v>
      </c>
      <c r="T93" s="27"/>
      <c r="U93" s="28">
        <f t="shared" si="31"/>
        <v>0.10964912280701754</v>
      </c>
      <c r="V93" s="25">
        <f t="shared" si="32"/>
        <v>999</v>
      </c>
      <c r="W93" s="35">
        <f t="shared" si="44"/>
        <v>25</v>
      </c>
      <c r="X93" s="33">
        <f t="shared" si="33"/>
        <v>25</v>
      </c>
      <c r="Y93" s="32">
        <f t="shared" si="34"/>
        <v>-1</v>
      </c>
      <c r="Z93" s="32"/>
      <c r="AA93" s="30">
        <f t="shared" si="35"/>
        <v>2.3010546500479387</v>
      </c>
      <c r="AB93" s="28">
        <f t="shared" si="36"/>
        <v>0.39809674369747899</v>
      </c>
      <c r="AC93" s="28">
        <f t="shared" si="37"/>
        <v>0.10964912280701754</v>
      </c>
      <c r="AD93" s="29">
        <f t="shared" si="38"/>
        <v>79.696394686907027</v>
      </c>
      <c r="AE93" s="28">
        <f t="shared" si="39"/>
        <v>0.10964912280701754</v>
      </c>
      <c r="AF93" s="28">
        <f t="shared" si="40"/>
        <v>0.28844762089046144</v>
      </c>
      <c r="AG93" s="28">
        <f t="shared" si="41"/>
        <v>0</v>
      </c>
      <c r="AI93" s="31">
        <f t="shared" si="42"/>
        <v>-0.67771032457983149</v>
      </c>
      <c r="AJ93" s="25"/>
      <c r="AK93" s="31"/>
      <c r="AM93" s="27"/>
    </row>
    <row r="94" spans="4:39" x14ac:dyDescent="0.25">
      <c r="D94" s="25">
        <f>E94*'Profit per cycles Model'!$I$113</f>
        <v>850</v>
      </c>
      <c r="E94" s="25">
        <v>2.3284481577866045</v>
      </c>
      <c r="F94" s="28">
        <f t="shared" si="23"/>
        <v>1.1764705882352942</v>
      </c>
      <c r="G94" s="28">
        <f>'Battery Pricing Model'!$C$17/D94</f>
        <v>1.1764705882352942</v>
      </c>
      <c r="H94" s="28">
        <f t="shared" si="24"/>
        <v>999</v>
      </c>
      <c r="I94" s="28"/>
      <c r="J94" s="34">
        <f>INDEX('Profit per cycles Model'!$I$149:$I$179, MATCH(TRUNC(E94, 0), 'Profit per cycles Model'!$H$149:$H$179, 0))</f>
        <v>0.39809674369747899</v>
      </c>
      <c r="K94" s="27">
        <f>AVERAGE($AB$10:AB94)</f>
        <v>0.38384781512605087</v>
      </c>
      <c r="L94" s="28">
        <f t="shared" si="25"/>
        <v>999</v>
      </c>
      <c r="M94" s="28">
        <f t="shared" si="26"/>
        <v>999</v>
      </c>
      <c r="N94" s="28">
        <f t="shared" si="27"/>
        <v>999</v>
      </c>
      <c r="O94" s="28"/>
      <c r="P94" s="29">
        <f t="shared" si="43"/>
        <v>8.5000000000000062E-2</v>
      </c>
      <c r="Q94" s="33">
        <f t="shared" si="28"/>
        <v>6.7114093959731544</v>
      </c>
      <c r="R94" s="33">
        <f t="shared" si="29"/>
        <v>6.7114093959731544</v>
      </c>
      <c r="S94" s="33">
        <f t="shared" si="30"/>
        <v>-1</v>
      </c>
      <c r="T94" s="27"/>
      <c r="U94" s="28">
        <f t="shared" si="31"/>
        <v>0.10964912280701754</v>
      </c>
      <c r="V94" s="25">
        <f t="shared" si="32"/>
        <v>999</v>
      </c>
      <c r="W94" s="35">
        <f t="shared" si="44"/>
        <v>25</v>
      </c>
      <c r="X94" s="33">
        <f t="shared" si="33"/>
        <v>25</v>
      </c>
      <c r="Y94" s="32">
        <f t="shared" si="34"/>
        <v>-1</v>
      </c>
      <c r="Z94" s="32"/>
      <c r="AA94" s="30">
        <f t="shared" si="35"/>
        <v>2.3284481577866045</v>
      </c>
      <c r="AB94" s="28">
        <f t="shared" si="36"/>
        <v>0.39809674369747899</v>
      </c>
      <c r="AC94" s="28">
        <f t="shared" si="37"/>
        <v>0.10964912280701754</v>
      </c>
      <c r="AD94" s="29">
        <f t="shared" si="38"/>
        <v>80.645161290322577</v>
      </c>
      <c r="AE94" s="28">
        <f t="shared" si="39"/>
        <v>0.10964912280701754</v>
      </c>
      <c r="AF94" s="28">
        <f t="shared" si="40"/>
        <v>0.28844762089046144</v>
      </c>
      <c r="AG94" s="28">
        <f t="shared" si="41"/>
        <v>0</v>
      </c>
      <c r="AI94" s="31">
        <f t="shared" si="42"/>
        <v>-0.67372935714285676</v>
      </c>
      <c r="AJ94" s="25"/>
      <c r="AK94" s="31"/>
      <c r="AM94" s="27"/>
    </row>
    <row r="95" spans="4:39" x14ac:dyDescent="0.25">
      <c r="D95" s="25">
        <f>E95*'Profit per cycles Model'!$I$113</f>
        <v>860</v>
      </c>
      <c r="E95" s="25">
        <v>2.3558416655252703</v>
      </c>
      <c r="F95" s="28">
        <f t="shared" si="23"/>
        <v>1.1627906976744187</v>
      </c>
      <c r="G95" s="28">
        <f>'Battery Pricing Model'!$C$17/D95</f>
        <v>1.1627906976744187</v>
      </c>
      <c r="H95" s="28">
        <f t="shared" si="24"/>
        <v>999</v>
      </c>
      <c r="I95" s="28"/>
      <c r="J95" s="34">
        <f>INDEX('Profit per cycles Model'!$I$149:$I$179, MATCH(TRUNC(E95, 0), 'Profit per cycles Model'!$H$149:$H$179, 0))</f>
        <v>0.39809674369747899</v>
      </c>
      <c r="K95" s="27">
        <f>AVERAGE($AB$10:AB95)</f>
        <v>0.38401350034199772</v>
      </c>
      <c r="L95" s="28">
        <f t="shared" si="25"/>
        <v>999</v>
      </c>
      <c r="M95" s="28">
        <f t="shared" si="26"/>
        <v>999</v>
      </c>
      <c r="N95" s="28">
        <f t="shared" si="27"/>
        <v>999</v>
      </c>
      <c r="O95" s="28"/>
      <c r="P95" s="29">
        <f t="shared" si="43"/>
        <v>8.6000000000000063E-2</v>
      </c>
      <c r="Q95" s="33">
        <f t="shared" si="28"/>
        <v>6.7114093959731544</v>
      </c>
      <c r="R95" s="33">
        <f t="shared" si="29"/>
        <v>6.7114093959731544</v>
      </c>
      <c r="S95" s="33">
        <f t="shared" si="30"/>
        <v>-1</v>
      </c>
      <c r="T95" s="27"/>
      <c r="U95" s="28">
        <f t="shared" si="31"/>
        <v>0.10964912280701754</v>
      </c>
      <c r="V95" s="25">
        <f t="shared" si="32"/>
        <v>999</v>
      </c>
      <c r="W95" s="35">
        <f t="shared" si="44"/>
        <v>25</v>
      </c>
      <c r="X95" s="33">
        <f t="shared" si="33"/>
        <v>25</v>
      </c>
      <c r="Y95" s="32">
        <f t="shared" si="34"/>
        <v>-1</v>
      </c>
      <c r="Z95" s="32"/>
      <c r="AA95" s="30">
        <f t="shared" si="35"/>
        <v>2.3558416655252703</v>
      </c>
      <c r="AB95" s="28">
        <f t="shared" si="36"/>
        <v>0.39809674369747899</v>
      </c>
      <c r="AC95" s="28">
        <f t="shared" si="37"/>
        <v>0.10964912280701754</v>
      </c>
      <c r="AD95" s="29">
        <f t="shared" si="38"/>
        <v>81.59392789373814</v>
      </c>
      <c r="AE95" s="28">
        <f t="shared" si="39"/>
        <v>0.10964912280701754</v>
      </c>
      <c r="AF95" s="28">
        <f t="shared" si="40"/>
        <v>0.28844762089046144</v>
      </c>
      <c r="AG95" s="28">
        <f t="shared" si="41"/>
        <v>0</v>
      </c>
      <c r="AI95" s="31">
        <f t="shared" si="42"/>
        <v>-0.66974838970588191</v>
      </c>
      <c r="AJ95" s="25"/>
      <c r="AK95" s="31"/>
      <c r="AM95" s="27"/>
    </row>
    <row r="96" spans="4:39" x14ac:dyDescent="0.25">
      <c r="D96" s="25">
        <f>E96*'Profit per cycles Model'!$I$113</f>
        <v>870</v>
      </c>
      <c r="E96" s="25">
        <v>2.3832351732639365</v>
      </c>
      <c r="F96" s="28">
        <f t="shared" si="23"/>
        <v>1.1494252873563218</v>
      </c>
      <c r="G96" s="28">
        <f>'Battery Pricing Model'!$C$17/D96</f>
        <v>1.1494252873563218</v>
      </c>
      <c r="H96" s="28">
        <f t="shared" si="24"/>
        <v>999</v>
      </c>
      <c r="I96" s="28"/>
      <c r="J96" s="34">
        <f>INDEX('Profit per cycles Model'!$I$149:$I$179, MATCH(TRUNC(E96, 0), 'Profit per cycles Model'!$H$149:$H$179, 0))</f>
        <v>0.39809674369747899</v>
      </c>
      <c r="K96" s="27">
        <f>AVERAGE($AB$10:AB96)</f>
        <v>0.38417537670240559</v>
      </c>
      <c r="L96" s="28">
        <f t="shared" si="25"/>
        <v>999</v>
      </c>
      <c r="M96" s="28">
        <f t="shared" si="26"/>
        <v>999</v>
      </c>
      <c r="N96" s="28">
        <f t="shared" si="27"/>
        <v>999</v>
      </c>
      <c r="O96" s="28"/>
      <c r="P96" s="29">
        <f t="shared" si="43"/>
        <v>8.7000000000000063E-2</v>
      </c>
      <c r="Q96" s="33">
        <f t="shared" si="28"/>
        <v>6.7114093959731544</v>
      </c>
      <c r="R96" s="33">
        <f t="shared" si="29"/>
        <v>6.7114093959731544</v>
      </c>
      <c r="S96" s="33">
        <f t="shared" si="30"/>
        <v>-1</v>
      </c>
      <c r="T96" s="27"/>
      <c r="U96" s="28">
        <f t="shared" si="31"/>
        <v>0.10964912280701754</v>
      </c>
      <c r="V96" s="25">
        <f t="shared" si="32"/>
        <v>999</v>
      </c>
      <c r="W96" s="35">
        <f t="shared" si="44"/>
        <v>25</v>
      </c>
      <c r="X96" s="33">
        <f t="shared" si="33"/>
        <v>25</v>
      </c>
      <c r="Y96" s="32">
        <f t="shared" si="34"/>
        <v>-1</v>
      </c>
      <c r="Z96" s="32"/>
      <c r="AA96" s="30">
        <f t="shared" si="35"/>
        <v>2.3832351732639365</v>
      </c>
      <c r="AB96" s="28">
        <f t="shared" si="36"/>
        <v>0.39809674369747899</v>
      </c>
      <c r="AC96" s="28">
        <f t="shared" si="37"/>
        <v>0.10964912280701754</v>
      </c>
      <c r="AD96" s="29">
        <f t="shared" si="38"/>
        <v>82.542694497153704</v>
      </c>
      <c r="AE96" s="28">
        <f t="shared" si="39"/>
        <v>0.10964912280701754</v>
      </c>
      <c r="AF96" s="28">
        <f t="shared" si="40"/>
        <v>0.28844762089046144</v>
      </c>
      <c r="AG96" s="28">
        <f t="shared" si="41"/>
        <v>0</v>
      </c>
      <c r="AI96" s="31">
        <f t="shared" si="42"/>
        <v>-0.66576742226890706</v>
      </c>
      <c r="AJ96" s="25"/>
      <c r="AK96" s="31"/>
      <c r="AM96" s="27"/>
    </row>
    <row r="97" spans="4:39" x14ac:dyDescent="0.25">
      <c r="D97" s="25">
        <f>E97*'Profit per cycles Model'!$I$113</f>
        <v>880</v>
      </c>
      <c r="E97" s="25">
        <v>2.4106286810026023</v>
      </c>
      <c r="F97" s="28">
        <f t="shared" si="23"/>
        <v>1.1363636363636365</v>
      </c>
      <c r="G97" s="28">
        <f>'Battery Pricing Model'!$C$17/D97</f>
        <v>1.1363636363636365</v>
      </c>
      <c r="H97" s="28">
        <f t="shared" si="24"/>
        <v>999</v>
      </c>
      <c r="I97" s="28"/>
      <c r="J97" s="34">
        <f>INDEX('Profit per cycles Model'!$I$149:$I$179, MATCH(TRUNC(E97, 0), 'Profit per cycles Model'!$H$149:$H$179, 0))</f>
        <v>0.39809674369747899</v>
      </c>
      <c r="K97" s="27">
        <f>AVERAGE($AB$10:AB97)</f>
        <v>0.38433357405462232</v>
      </c>
      <c r="L97" s="28">
        <f t="shared" si="25"/>
        <v>999</v>
      </c>
      <c r="M97" s="28">
        <f t="shared" si="26"/>
        <v>999</v>
      </c>
      <c r="N97" s="28">
        <f t="shared" si="27"/>
        <v>999</v>
      </c>
      <c r="O97" s="28"/>
      <c r="P97" s="29">
        <f t="shared" si="43"/>
        <v>8.8000000000000064E-2</v>
      </c>
      <c r="Q97" s="33">
        <f t="shared" si="28"/>
        <v>6.7114093959731544</v>
      </c>
      <c r="R97" s="33">
        <f t="shared" si="29"/>
        <v>6.7114093959731544</v>
      </c>
      <c r="S97" s="33">
        <f t="shared" si="30"/>
        <v>-1</v>
      </c>
      <c r="T97" s="27"/>
      <c r="U97" s="28">
        <f t="shared" si="31"/>
        <v>0.10964912280701754</v>
      </c>
      <c r="V97" s="25">
        <f t="shared" si="32"/>
        <v>999</v>
      </c>
      <c r="W97" s="35">
        <f t="shared" si="44"/>
        <v>25</v>
      </c>
      <c r="X97" s="33">
        <f t="shared" si="33"/>
        <v>25</v>
      </c>
      <c r="Y97" s="32">
        <f t="shared" si="34"/>
        <v>-1</v>
      </c>
      <c r="Z97" s="32"/>
      <c r="AA97" s="30">
        <f t="shared" si="35"/>
        <v>2.4106286810026023</v>
      </c>
      <c r="AB97" s="28">
        <f t="shared" si="36"/>
        <v>0.39809674369747899</v>
      </c>
      <c r="AC97" s="28">
        <f t="shared" si="37"/>
        <v>0.10964912280701754</v>
      </c>
      <c r="AD97" s="29">
        <f t="shared" si="38"/>
        <v>83.491461100569254</v>
      </c>
      <c r="AE97" s="28">
        <f t="shared" si="39"/>
        <v>0.10964912280701754</v>
      </c>
      <c r="AF97" s="28">
        <f t="shared" si="40"/>
        <v>0.28844762089046144</v>
      </c>
      <c r="AG97" s="28">
        <f t="shared" si="41"/>
        <v>0</v>
      </c>
      <c r="AI97" s="31">
        <f t="shared" si="42"/>
        <v>-0.66178645483193244</v>
      </c>
      <c r="AJ97" s="25"/>
      <c r="AK97" s="31"/>
      <c r="AM97" s="27"/>
    </row>
    <row r="98" spans="4:39" x14ac:dyDescent="0.25">
      <c r="D98" s="25">
        <f>E98*'Profit per cycles Model'!$I$113</f>
        <v>889.99999999999989</v>
      </c>
      <c r="E98" s="25">
        <v>2.4380221887412681</v>
      </c>
      <c r="F98" s="28">
        <f t="shared" si="23"/>
        <v>1.1235955056179776</v>
      </c>
      <c r="G98" s="28">
        <f>'Battery Pricing Model'!$C$17/D98</f>
        <v>1.1235955056179776</v>
      </c>
      <c r="H98" s="28">
        <f t="shared" si="24"/>
        <v>999</v>
      </c>
      <c r="I98" s="28"/>
      <c r="J98" s="34">
        <f>INDEX('Profit per cycles Model'!$I$149:$I$179, MATCH(TRUNC(E98, 0), 'Profit per cycles Model'!$H$149:$H$179, 0))</f>
        <v>0.39809674369747899</v>
      </c>
      <c r="K98" s="27">
        <f>AVERAGE($AB$10:AB98)</f>
        <v>0.38448821641016001</v>
      </c>
      <c r="L98" s="28">
        <f t="shared" si="25"/>
        <v>999</v>
      </c>
      <c r="M98" s="28">
        <f t="shared" si="26"/>
        <v>999</v>
      </c>
      <c r="N98" s="28">
        <f t="shared" si="27"/>
        <v>999</v>
      </c>
      <c r="O98" s="28"/>
      <c r="P98" s="29">
        <f t="shared" si="43"/>
        <v>8.9000000000000065E-2</v>
      </c>
      <c r="Q98" s="33">
        <f t="shared" si="28"/>
        <v>6.7114093959731544</v>
      </c>
      <c r="R98" s="33">
        <f t="shared" si="29"/>
        <v>6.7114093959731544</v>
      </c>
      <c r="S98" s="33">
        <f t="shared" si="30"/>
        <v>-1</v>
      </c>
      <c r="T98" s="27"/>
      <c r="U98" s="28">
        <f t="shared" si="31"/>
        <v>0.10964912280701754</v>
      </c>
      <c r="V98" s="25">
        <f t="shared" si="32"/>
        <v>999</v>
      </c>
      <c r="W98" s="35">
        <f t="shared" si="44"/>
        <v>25</v>
      </c>
      <c r="X98" s="33">
        <f t="shared" si="33"/>
        <v>25</v>
      </c>
      <c r="Y98" s="32">
        <f t="shared" si="34"/>
        <v>-1</v>
      </c>
      <c r="Z98" s="32"/>
      <c r="AA98" s="30">
        <f t="shared" si="35"/>
        <v>2.4380221887412681</v>
      </c>
      <c r="AB98" s="28">
        <f t="shared" si="36"/>
        <v>0.39809674369747899</v>
      </c>
      <c r="AC98" s="28">
        <f t="shared" si="37"/>
        <v>0.10964912280701754</v>
      </c>
      <c r="AD98" s="29">
        <f t="shared" si="38"/>
        <v>84.440227703984817</v>
      </c>
      <c r="AE98" s="28">
        <f t="shared" si="39"/>
        <v>0.10964912280701754</v>
      </c>
      <c r="AF98" s="28">
        <f t="shared" si="40"/>
        <v>0.28844762089046144</v>
      </c>
      <c r="AG98" s="28">
        <f t="shared" si="41"/>
        <v>0</v>
      </c>
      <c r="AI98" s="31">
        <f t="shared" si="42"/>
        <v>-0.6578054873949577</v>
      </c>
      <c r="AJ98" s="25"/>
      <c r="AK98" s="31"/>
      <c r="AM98" s="27"/>
    </row>
    <row r="99" spans="4:39" x14ac:dyDescent="0.25">
      <c r="D99" s="25">
        <f>E99*'Profit per cycles Model'!$I$113</f>
        <v>900</v>
      </c>
      <c r="E99" s="25">
        <v>2.4654156964799343</v>
      </c>
      <c r="F99" s="28">
        <f t="shared" si="23"/>
        <v>1.1111111111111112</v>
      </c>
      <c r="G99" s="28">
        <f>'Battery Pricing Model'!$C$17/D99</f>
        <v>1.1111111111111112</v>
      </c>
      <c r="H99" s="28">
        <f t="shared" si="24"/>
        <v>999</v>
      </c>
      <c r="I99" s="28"/>
      <c r="J99" s="34">
        <f>INDEX('Profit per cycles Model'!$I$149:$I$179, MATCH(TRUNC(E99, 0), 'Profit per cycles Model'!$H$149:$H$179, 0))</f>
        <v>0.39809674369747899</v>
      </c>
      <c r="K99" s="27">
        <f>AVERAGE($AB$10:AB99)</f>
        <v>0.38463942226890802</v>
      </c>
      <c r="L99" s="28">
        <f t="shared" si="25"/>
        <v>999</v>
      </c>
      <c r="M99" s="28">
        <f t="shared" si="26"/>
        <v>999</v>
      </c>
      <c r="N99" s="28">
        <f t="shared" si="27"/>
        <v>999</v>
      </c>
      <c r="O99" s="28"/>
      <c r="P99" s="29">
        <f t="shared" si="43"/>
        <v>9.0000000000000066E-2</v>
      </c>
      <c r="Q99" s="33">
        <f t="shared" si="28"/>
        <v>6.7114093959731544</v>
      </c>
      <c r="R99" s="33">
        <f t="shared" si="29"/>
        <v>6.7114093959731544</v>
      </c>
      <c r="S99" s="33">
        <f t="shared" si="30"/>
        <v>-1</v>
      </c>
      <c r="T99" s="27"/>
      <c r="U99" s="28">
        <f t="shared" si="31"/>
        <v>0.10964912280701754</v>
      </c>
      <c r="V99" s="25">
        <f t="shared" si="32"/>
        <v>999</v>
      </c>
      <c r="W99" s="35">
        <f t="shared" si="44"/>
        <v>25</v>
      </c>
      <c r="X99" s="33">
        <f t="shared" si="33"/>
        <v>25</v>
      </c>
      <c r="Y99" s="32">
        <f t="shared" si="34"/>
        <v>-1</v>
      </c>
      <c r="Z99" s="32"/>
      <c r="AA99" s="30">
        <f t="shared" si="35"/>
        <v>2.4654156964799343</v>
      </c>
      <c r="AB99" s="28">
        <f t="shared" si="36"/>
        <v>0.39809674369747899</v>
      </c>
      <c r="AC99" s="28">
        <f t="shared" si="37"/>
        <v>0.10964912280701754</v>
      </c>
      <c r="AD99" s="29">
        <f t="shared" si="38"/>
        <v>85.388994307400395</v>
      </c>
      <c r="AE99" s="28">
        <f t="shared" si="39"/>
        <v>0.10964912280701754</v>
      </c>
      <c r="AF99" s="28">
        <f t="shared" si="40"/>
        <v>0.28844762089046144</v>
      </c>
      <c r="AG99" s="28">
        <f t="shared" si="41"/>
        <v>0</v>
      </c>
      <c r="AI99" s="31">
        <f t="shared" si="42"/>
        <v>-0.65382451995798285</v>
      </c>
      <c r="AJ99" s="25"/>
      <c r="AK99" s="31"/>
      <c r="AM99" s="27"/>
    </row>
    <row r="100" spans="4:39" x14ac:dyDescent="0.25">
      <c r="D100" s="25">
        <f>E100*'Profit per cycles Model'!$I$113</f>
        <v>910</v>
      </c>
      <c r="E100" s="25">
        <v>2.4928092042186001</v>
      </c>
      <c r="F100" s="28">
        <f t="shared" si="23"/>
        <v>1.098901098901099</v>
      </c>
      <c r="G100" s="28">
        <f>'Battery Pricing Model'!$C$17/D100</f>
        <v>1.098901098901099</v>
      </c>
      <c r="H100" s="28">
        <f t="shared" si="24"/>
        <v>999</v>
      </c>
      <c r="I100" s="28"/>
      <c r="J100" s="34">
        <f>INDEX('Profit per cycles Model'!$I$149:$I$179, MATCH(TRUNC(E100, 0), 'Profit per cycles Model'!$H$149:$H$179, 0))</f>
        <v>0.39809674369747899</v>
      </c>
      <c r="K100" s="27">
        <f>AVERAGE($AB$10:AB100)</f>
        <v>0.38478730492196928</v>
      </c>
      <c r="L100" s="28">
        <f t="shared" si="25"/>
        <v>999</v>
      </c>
      <c r="M100" s="28">
        <f t="shared" si="26"/>
        <v>999</v>
      </c>
      <c r="N100" s="28">
        <f t="shared" si="27"/>
        <v>999</v>
      </c>
      <c r="O100" s="28"/>
      <c r="P100" s="29">
        <f t="shared" si="43"/>
        <v>9.1000000000000067E-2</v>
      </c>
      <c r="Q100" s="33">
        <f t="shared" si="28"/>
        <v>6.7114093959731544</v>
      </c>
      <c r="R100" s="33">
        <f t="shared" si="29"/>
        <v>6.7114093959731544</v>
      </c>
      <c r="S100" s="33">
        <f t="shared" si="30"/>
        <v>-1</v>
      </c>
      <c r="T100" s="27"/>
      <c r="U100" s="28">
        <f t="shared" si="31"/>
        <v>0.10964912280701754</v>
      </c>
      <c r="V100" s="25">
        <f t="shared" si="32"/>
        <v>999</v>
      </c>
      <c r="W100" s="35">
        <f t="shared" si="44"/>
        <v>25</v>
      </c>
      <c r="X100" s="33">
        <f t="shared" si="33"/>
        <v>25</v>
      </c>
      <c r="Y100" s="32">
        <f t="shared" si="34"/>
        <v>-1</v>
      </c>
      <c r="Z100" s="32"/>
      <c r="AA100" s="30">
        <f t="shared" si="35"/>
        <v>2.4928092042186001</v>
      </c>
      <c r="AB100" s="28">
        <f t="shared" si="36"/>
        <v>0.39809674369747899</v>
      </c>
      <c r="AC100" s="28">
        <f t="shared" si="37"/>
        <v>0.10964912280701754</v>
      </c>
      <c r="AD100" s="29">
        <f t="shared" si="38"/>
        <v>86.337760910815931</v>
      </c>
      <c r="AE100" s="28">
        <f t="shared" si="39"/>
        <v>0.10964912280701754</v>
      </c>
      <c r="AF100" s="28">
        <f t="shared" si="40"/>
        <v>0.28844762089046144</v>
      </c>
      <c r="AG100" s="28">
        <f t="shared" si="41"/>
        <v>0</v>
      </c>
      <c r="AI100" s="31">
        <f t="shared" si="42"/>
        <v>-0.64984355252100801</v>
      </c>
      <c r="AJ100" s="25"/>
      <c r="AK100" s="31"/>
      <c r="AM100" s="27"/>
    </row>
    <row r="101" spans="4:39" x14ac:dyDescent="0.25">
      <c r="D101" s="25">
        <f>E101*'Profit per cycles Model'!$I$113</f>
        <v>919.99999999999989</v>
      </c>
      <c r="E101" s="25">
        <v>2.5202027119572659</v>
      </c>
      <c r="F101" s="28">
        <f t="shared" si="23"/>
        <v>1.0869565217391306</v>
      </c>
      <c r="G101" s="28">
        <f>'Battery Pricing Model'!$C$17/D101</f>
        <v>1.0869565217391306</v>
      </c>
      <c r="H101" s="28">
        <f t="shared" si="24"/>
        <v>999</v>
      </c>
      <c r="I101" s="28"/>
      <c r="J101" s="34">
        <f>INDEX('Profit per cycles Model'!$I$149:$I$179, MATCH(TRUNC(E101, 0), 'Profit per cycles Model'!$H$149:$H$179, 0))</f>
        <v>0.39809674369747899</v>
      </c>
      <c r="K101" s="27">
        <f>AVERAGE($AB$10:AB101)</f>
        <v>0.38493197273474655</v>
      </c>
      <c r="L101" s="28">
        <f t="shared" si="25"/>
        <v>999</v>
      </c>
      <c r="M101" s="28">
        <f t="shared" si="26"/>
        <v>999</v>
      </c>
      <c r="N101" s="28">
        <f t="shared" si="27"/>
        <v>999</v>
      </c>
      <c r="O101" s="28"/>
      <c r="P101" s="29">
        <f t="shared" si="43"/>
        <v>9.2000000000000068E-2</v>
      </c>
      <c r="Q101" s="33">
        <f t="shared" si="28"/>
        <v>6.7114093959731544</v>
      </c>
      <c r="R101" s="33">
        <f t="shared" si="29"/>
        <v>6.7114093959731544</v>
      </c>
      <c r="S101" s="33">
        <f t="shared" si="30"/>
        <v>-1</v>
      </c>
      <c r="T101" s="27"/>
      <c r="U101" s="28">
        <f t="shared" si="31"/>
        <v>0.10964912280701754</v>
      </c>
      <c r="V101" s="25">
        <f t="shared" si="32"/>
        <v>999</v>
      </c>
      <c r="W101" s="35">
        <f t="shared" si="44"/>
        <v>25</v>
      </c>
      <c r="X101" s="33">
        <f t="shared" si="33"/>
        <v>25</v>
      </c>
      <c r="Y101" s="32">
        <f t="shared" si="34"/>
        <v>-1</v>
      </c>
      <c r="Z101" s="32"/>
      <c r="AA101" s="30">
        <f t="shared" si="35"/>
        <v>2.5202027119572659</v>
      </c>
      <c r="AB101" s="28">
        <f t="shared" si="36"/>
        <v>0.39809674369747899</v>
      </c>
      <c r="AC101" s="28">
        <f t="shared" si="37"/>
        <v>0.10964912280701754</v>
      </c>
      <c r="AD101" s="29">
        <f t="shared" si="38"/>
        <v>87.286527514231494</v>
      </c>
      <c r="AE101" s="28">
        <f t="shared" si="39"/>
        <v>0.10964912280701754</v>
      </c>
      <c r="AF101" s="28">
        <f t="shared" si="40"/>
        <v>0.28844762089046144</v>
      </c>
      <c r="AG101" s="28">
        <f t="shared" si="41"/>
        <v>0</v>
      </c>
      <c r="AI101" s="31">
        <f t="shared" si="42"/>
        <v>-0.64586258508403327</v>
      </c>
      <c r="AJ101" s="25"/>
      <c r="AK101" s="31"/>
      <c r="AM101" s="27"/>
    </row>
    <row r="102" spans="4:39" x14ac:dyDescent="0.25">
      <c r="D102" s="25">
        <f>E102*'Profit per cycles Model'!$I$113</f>
        <v>930</v>
      </c>
      <c r="E102" s="25">
        <v>2.5475962196959321</v>
      </c>
      <c r="F102" s="28">
        <f t="shared" si="23"/>
        <v>1.075268817204301</v>
      </c>
      <c r="G102" s="28">
        <f>'Battery Pricing Model'!$C$17/D102</f>
        <v>1.075268817204301</v>
      </c>
      <c r="H102" s="28">
        <f t="shared" si="24"/>
        <v>999</v>
      </c>
      <c r="I102" s="28"/>
      <c r="J102" s="34">
        <f>INDEX('Profit per cycles Model'!$I$149:$I$179, MATCH(TRUNC(E102, 0), 'Profit per cycles Model'!$H$149:$H$179, 0))</f>
        <v>0.39809674369747899</v>
      </c>
      <c r="K102" s="27">
        <f>AVERAGE($AB$10:AB102)</f>
        <v>0.38507352941176515</v>
      </c>
      <c r="L102" s="28">
        <f t="shared" si="25"/>
        <v>999</v>
      </c>
      <c r="M102" s="28">
        <f t="shared" si="26"/>
        <v>999</v>
      </c>
      <c r="N102" s="28">
        <f t="shared" si="27"/>
        <v>999</v>
      </c>
      <c r="O102" s="28"/>
      <c r="P102" s="29">
        <f t="shared" si="43"/>
        <v>9.3000000000000069E-2</v>
      </c>
      <c r="Q102" s="33">
        <f t="shared" si="28"/>
        <v>6.7114093959731544</v>
      </c>
      <c r="R102" s="33">
        <f t="shared" si="29"/>
        <v>6.7114093959731544</v>
      </c>
      <c r="S102" s="33">
        <f t="shared" si="30"/>
        <v>-1</v>
      </c>
      <c r="T102" s="27"/>
      <c r="U102" s="28">
        <f t="shared" si="31"/>
        <v>0.10964912280701754</v>
      </c>
      <c r="V102" s="25">
        <f t="shared" si="32"/>
        <v>999</v>
      </c>
      <c r="W102" s="35">
        <f t="shared" si="44"/>
        <v>25</v>
      </c>
      <c r="X102" s="33">
        <f t="shared" si="33"/>
        <v>25</v>
      </c>
      <c r="Y102" s="32">
        <f t="shared" si="34"/>
        <v>-1</v>
      </c>
      <c r="Z102" s="32"/>
      <c r="AA102" s="30">
        <f t="shared" si="35"/>
        <v>2.5475962196959321</v>
      </c>
      <c r="AB102" s="28">
        <f t="shared" si="36"/>
        <v>0.39809674369747899</v>
      </c>
      <c r="AC102" s="28">
        <f t="shared" si="37"/>
        <v>0.10964912280701754</v>
      </c>
      <c r="AD102" s="29">
        <f t="shared" si="38"/>
        <v>88.235294117647072</v>
      </c>
      <c r="AE102" s="28">
        <f t="shared" si="39"/>
        <v>0.10964912280701754</v>
      </c>
      <c r="AF102" s="28">
        <f t="shared" si="40"/>
        <v>0.28844762089046144</v>
      </c>
      <c r="AG102" s="28">
        <f t="shared" si="41"/>
        <v>0</v>
      </c>
      <c r="AI102" s="31">
        <f t="shared" si="42"/>
        <v>-0.64188161764705842</v>
      </c>
      <c r="AJ102" s="25"/>
      <c r="AK102" s="31"/>
      <c r="AM102" s="27"/>
    </row>
    <row r="103" spans="4:39" x14ac:dyDescent="0.25">
      <c r="D103" s="25">
        <f>E103*'Profit per cycles Model'!$I$113</f>
        <v>940</v>
      </c>
      <c r="E103" s="25">
        <v>2.5749897274345979</v>
      </c>
      <c r="F103" s="28">
        <f t="shared" si="23"/>
        <v>1.0638297872340425</v>
      </c>
      <c r="G103" s="28">
        <f>'Battery Pricing Model'!$C$17/D103</f>
        <v>1.0638297872340425</v>
      </c>
      <c r="H103" s="28">
        <f t="shared" si="24"/>
        <v>999</v>
      </c>
      <c r="I103" s="28"/>
      <c r="J103" s="34">
        <f>INDEX('Profit per cycles Model'!$I$149:$I$179, MATCH(TRUNC(E103, 0), 'Profit per cycles Model'!$H$149:$H$179, 0))</f>
        <v>0.39809674369747899</v>
      </c>
      <c r="K103" s="27">
        <f>AVERAGE($AB$10:AB103)</f>
        <v>0.38521207424459192</v>
      </c>
      <c r="L103" s="28">
        <f t="shared" si="25"/>
        <v>999</v>
      </c>
      <c r="M103" s="28">
        <f t="shared" si="26"/>
        <v>999</v>
      </c>
      <c r="N103" s="28">
        <f t="shared" si="27"/>
        <v>999</v>
      </c>
      <c r="O103" s="28"/>
      <c r="P103" s="29">
        <f t="shared" si="43"/>
        <v>9.400000000000007E-2</v>
      </c>
      <c r="Q103" s="33">
        <f t="shared" si="28"/>
        <v>6.7114093959731544</v>
      </c>
      <c r="R103" s="33">
        <f t="shared" si="29"/>
        <v>6.7114093959731544</v>
      </c>
      <c r="S103" s="33">
        <f t="shared" si="30"/>
        <v>-1</v>
      </c>
      <c r="T103" s="27"/>
      <c r="U103" s="28">
        <f t="shared" si="31"/>
        <v>0.10964912280701754</v>
      </c>
      <c r="V103" s="25">
        <f t="shared" si="32"/>
        <v>999</v>
      </c>
      <c r="W103" s="35">
        <f t="shared" si="44"/>
        <v>25</v>
      </c>
      <c r="X103" s="33">
        <f t="shared" si="33"/>
        <v>25</v>
      </c>
      <c r="Y103" s="32">
        <f t="shared" si="34"/>
        <v>-1</v>
      </c>
      <c r="Z103" s="32"/>
      <c r="AA103" s="30">
        <f t="shared" si="35"/>
        <v>2.5749897274345979</v>
      </c>
      <c r="AB103" s="28">
        <f t="shared" si="36"/>
        <v>0.39809674369747899</v>
      </c>
      <c r="AC103" s="28">
        <f t="shared" si="37"/>
        <v>0.10964912280701754</v>
      </c>
      <c r="AD103" s="29">
        <f t="shared" si="38"/>
        <v>89.184060721062622</v>
      </c>
      <c r="AE103" s="28">
        <f t="shared" si="39"/>
        <v>0.10964912280701754</v>
      </c>
      <c r="AF103" s="28">
        <f t="shared" si="40"/>
        <v>0.28844762089046144</v>
      </c>
      <c r="AG103" s="28">
        <f t="shared" si="41"/>
        <v>0</v>
      </c>
      <c r="AI103" s="31">
        <f t="shared" si="42"/>
        <v>-0.63790065021008358</v>
      </c>
      <c r="AJ103" s="25"/>
      <c r="AK103" s="31"/>
      <c r="AM103" s="27"/>
    </row>
    <row r="104" spans="4:39" x14ac:dyDescent="0.25">
      <c r="D104" s="25">
        <f>E104*'Profit per cycles Model'!$I$113</f>
        <v>949.99999999999989</v>
      </c>
      <c r="E104" s="25">
        <v>2.6023832351732636</v>
      </c>
      <c r="F104" s="28">
        <f t="shared" si="23"/>
        <v>1.0526315789473686</v>
      </c>
      <c r="G104" s="28">
        <f>'Battery Pricing Model'!$C$17/D104</f>
        <v>1.0526315789473686</v>
      </c>
      <c r="H104" s="28">
        <f t="shared" si="24"/>
        <v>999</v>
      </c>
      <c r="I104" s="28"/>
      <c r="J104" s="34">
        <f>INDEX('Profit per cycles Model'!$I$149:$I$179, MATCH(TRUNC(E104, 0), 'Profit per cycles Model'!$H$149:$H$179, 0))</f>
        <v>0.39809674369747899</v>
      </c>
      <c r="K104" s="27">
        <f>AVERAGE($AB$10:AB104)</f>
        <v>0.38534770234409599</v>
      </c>
      <c r="L104" s="28">
        <f t="shared" si="25"/>
        <v>999</v>
      </c>
      <c r="M104" s="28">
        <f t="shared" si="26"/>
        <v>999</v>
      </c>
      <c r="N104" s="28">
        <f t="shared" si="27"/>
        <v>999</v>
      </c>
      <c r="O104" s="28"/>
      <c r="P104" s="29">
        <f t="shared" si="43"/>
        <v>9.500000000000007E-2</v>
      </c>
      <c r="Q104" s="33">
        <f t="shared" si="28"/>
        <v>6.7114093959731544</v>
      </c>
      <c r="R104" s="33">
        <f t="shared" si="29"/>
        <v>6.7114093959731544</v>
      </c>
      <c r="S104" s="33">
        <f t="shared" si="30"/>
        <v>-1</v>
      </c>
      <c r="T104" s="27"/>
      <c r="U104" s="28">
        <f t="shared" si="31"/>
        <v>0.10964912280701754</v>
      </c>
      <c r="V104" s="25">
        <f t="shared" si="32"/>
        <v>999</v>
      </c>
      <c r="W104" s="35">
        <f t="shared" si="44"/>
        <v>25</v>
      </c>
      <c r="X104" s="33">
        <f t="shared" si="33"/>
        <v>25</v>
      </c>
      <c r="Y104" s="32">
        <f t="shared" si="34"/>
        <v>-1</v>
      </c>
      <c r="Z104" s="32"/>
      <c r="AA104" s="30">
        <f t="shared" si="35"/>
        <v>2.6023832351732636</v>
      </c>
      <c r="AB104" s="28">
        <f t="shared" si="36"/>
        <v>0.39809674369747899</v>
      </c>
      <c r="AC104" s="28">
        <f t="shared" si="37"/>
        <v>0.10964912280701754</v>
      </c>
      <c r="AD104" s="29">
        <f t="shared" si="38"/>
        <v>90.132827324478171</v>
      </c>
      <c r="AE104" s="28">
        <f t="shared" si="39"/>
        <v>0.10964912280701754</v>
      </c>
      <c r="AF104" s="28">
        <f t="shared" si="40"/>
        <v>0.28844762089046144</v>
      </c>
      <c r="AG104" s="28">
        <f t="shared" si="41"/>
        <v>0</v>
      </c>
      <c r="AI104" s="31">
        <f t="shared" si="42"/>
        <v>-0.63391968277310884</v>
      </c>
      <c r="AJ104" s="25"/>
      <c r="AK104" s="31"/>
      <c r="AM104" s="27"/>
    </row>
    <row r="105" spans="4:39" x14ac:dyDescent="0.25">
      <c r="D105" s="25">
        <f>E105*'Profit per cycles Model'!$I$113</f>
        <v>960</v>
      </c>
      <c r="E105" s="25">
        <v>2.6297767429119299</v>
      </c>
      <c r="F105" s="28">
        <f t="shared" si="23"/>
        <v>1.0416666666666667</v>
      </c>
      <c r="G105" s="28">
        <f>'Battery Pricing Model'!$C$17/D105</f>
        <v>1.0416666666666667</v>
      </c>
      <c r="H105" s="28">
        <f t="shared" si="24"/>
        <v>999</v>
      </c>
      <c r="I105" s="28"/>
      <c r="J105" s="34">
        <f>INDEX('Profit per cycles Model'!$I$149:$I$179, MATCH(TRUNC(E105, 0), 'Profit per cycles Model'!$H$149:$H$179, 0))</f>
        <v>0.39809674369747899</v>
      </c>
      <c r="K105" s="27">
        <f>AVERAGE($AB$10:AB105)</f>
        <v>0.38548050485819374</v>
      </c>
      <c r="L105" s="28">
        <f t="shared" si="25"/>
        <v>999</v>
      </c>
      <c r="M105" s="28">
        <f t="shared" si="26"/>
        <v>999</v>
      </c>
      <c r="N105" s="28">
        <f t="shared" si="27"/>
        <v>999</v>
      </c>
      <c r="O105" s="28"/>
      <c r="P105" s="29">
        <f t="shared" si="43"/>
        <v>9.6000000000000071E-2</v>
      </c>
      <c r="Q105" s="33">
        <f t="shared" si="28"/>
        <v>6.7114093959731544</v>
      </c>
      <c r="R105" s="33">
        <f t="shared" si="29"/>
        <v>6.7114093959731544</v>
      </c>
      <c r="S105" s="33">
        <f t="shared" si="30"/>
        <v>-1</v>
      </c>
      <c r="T105" s="27"/>
      <c r="U105" s="28">
        <f t="shared" si="31"/>
        <v>0.10964912280701754</v>
      </c>
      <c r="V105" s="25">
        <f t="shared" si="32"/>
        <v>999</v>
      </c>
      <c r="W105" s="35">
        <f t="shared" si="44"/>
        <v>25</v>
      </c>
      <c r="X105" s="33">
        <f t="shared" si="33"/>
        <v>25</v>
      </c>
      <c r="Y105" s="32">
        <f t="shared" si="34"/>
        <v>-1</v>
      </c>
      <c r="Z105" s="32"/>
      <c r="AA105" s="30">
        <f t="shared" si="35"/>
        <v>2.6297767429119299</v>
      </c>
      <c r="AB105" s="28">
        <f t="shared" si="36"/>
        <v>0.39809674369747899</v>
      </c>
      <c r="AC105" s="28">
        <f t="shared" si="37"/>
        <v>0.10964912280701754</v>
      </c>
      <c r="AD105" s="29">
        <f t="shared" si="38"/>
        <v>91.081593927893749</v>
      </c>
      <c r="AE105" s="28">
        <f t="shared" si="39"/>
        <v>0.10964912280701754</v>
      </c>
      <c r="AF105" s="28">
        <f t="shared" si="40"/>
        <v>0.28844762089046144</v>
      </c>
      <c r="AG105" s="28">
        <f t="shared" si="41"/>
        <v>0</v>
      </c>
      <c r="AI105" s="31">
        <f t="shared" si="42"/>
        <v>-0.62993871533613399</v>
      </c>
      <c r="AJ105" s="25"/>
      <c r="AK105" s="31"/>
      <c r="AM105" s="27"/>
    </row>
    <row r="106" spans="4:39" x14ac:dyDescent="0.25">
      <c r="D106" s="25">
        <f>E106*'Profit per cycles Model'!$I$113</f>
        <v>970</v>
      </c>
      <c r="E106" s="25">
        <v>2.6571702506505956</v>
      </c>
      <c r="F106" s="28">
        <f t="shared" si="23"/>
        <v>1.0309278350515463</v>
      </c>
      <c r="G106" s="28">
        <f>'Battery Pricing Model'!$C$17/D106</f>
        <v>1.0309278350515463</v>
      </c>
      <c r="H106" s="28">
        <f t="shared" si="24"/>
        <v>999</v>
      </c>
      <c r="I106" s="28"/>
      <c r="J106" s="34">
        <f>INDEX('Profit per cycles Model'!$I$149:$I$179, MATCH(TRUNC(E106, 0), 'Profit per cycles Model'!$H$149:$H$179, 0))</f>
        <v>0.39809674369747899</v>
      </c>
      <c r="K106" s="27">
        <f>AVERAGE($AB$10:AB106)</f>
        <v>0.38561056917612452</v>
      </c>
      <c r="L106" s="28">
        <f t="shared" si="25"/>
        <v>999</v>
      </c>
      <c r="M106" s="28">
        <f t="shared" si="26"/>
        <v>999</v>
      </c>
      <c r="N106" s="28">
        <f t="shared" si="27"/>
        <v>999</v>
      </c>
      <c r="O106" s="28"/>
      <c r="P106" s="29">
        <f t="shared" si="43"/>
        <v>9.7000000000000072E-2</v>
      </c>
      <c r="Q106" s="33">
        <f t="shared" si="28"/>
        <v>6.7114093959731544</v>
      </c>
      <c r="R106" s="33">
        <f t="shared" si="29"/>
        <v>6.7114093959731544</v>
      </c>
      <c r="S106" s="33">
        <f t="shared" si="30"/>
        <v>-1</v>
      </c>
      <c r="T106" s="27"/>
      <c r="U106" s="28">
        <f t="shared" si="31"/>
        <v>0.10964912280701754</v>
      </c>
      <c r="V106" s="25">
        <f t="shared" si="32"/>
        <v>999</v>
      </c>
      <c r="W106" s="35">
        <f t="shared" si="44"/>
        <v>25</v>
      </c>
      <c r="X106" s="33">
        <f t="shared" si="33"/>
        <v>25</v>
      </c>
      <c r="Y106" s="32">
        <f t="shared" si="34"/>
        <v>-1</v>
      </c>
      <c r="Z106" s="32"/>
      <c r="AA106" s="30">
        <f t="shared" si="35"/>
        <v>2.6571702506505956</v>
      </c>
      <c r="AB106" s="28">
        <f t="shared" si="36"/>
        <v>0.39809674369747899</v>
      </c>
      <c r="AC106" s="28">
        <f t="shared" si="37"/>
        <v>0.10964912280701754</v>
      </c>
      <c r="AD106" s="29">
        <f t="shared" si="38"/>
        <v>92.030360531309299</v>
      </c>
      <c r="AE106" s="28">
        <f t="shared" si="39"/>
        <v>0.10964912280701754</v>
      </c>
      <c r="AF106" s="28">
        <f t="shared" si="40"/>
        <v>0.28844762089046144</v>
      </c>
      <c r="AG106" s="28">
        <f t="shared" si="41"/>
        <v>0</v>
      </c>
      <c r="AI106" s="31">
        <f t="shared" si="42"/>
        <v>-0.62595774789915926</v>
      </c>
      <c r="AJ106" s="25"/>
      <c r="AK106" s="31"/>
      <c r="AM106" s="27"/>
    </row>
    <row r="107" spans="4:39" x14ac:dyDescent="0.25">
      <c r="D107" s="25">
        <f>E107*'Profit per cycles Model'!$I$113</f>
        <v>980.00000000000011</v>
      </c>
      <c r="E107" s="25">
        <v>2.6845637583892619</v>
      </c>
      <c r="F107" s="28">
        <f t="shared" si="23"/>
        <v>1.0204081632653059</v>
      </c>
      <c r="G107" s="28">
        <f>'Battery Pricing Model'!$C$17/D107</f>
        <v>1.0204081632653059</v>
      </c>
      <c r="H107" s="28">
        <f t="shared" si="24"/>
        <v>999</v>
      </c>
      <c r="I107" s="28"/>
      <c r="J107" s="34">
        <f>INDEX('Profit per cycles Model'!$I$149:$I$179, MATCH(TRUNC(E107, 0), 'Profit per cycles Model'!$H$149:$H$179, 0))</f>
        <v>0.39809674369747899</v>
      </c>
      <c r="K107" s="27">
        <f>AVERAGE($AB$10:AB107)</f>
        <v>0.38573797912021995</v>
      </c>
      <c r="L107" s="28">
        <f t="shared" si="25"/>
        <v>999</v>
      </c>
      <c r="M107" s="28">
        <f t="shared" si="26"/>
        <v>999</v>
      </c>
      <c r="N107" s="28">
        <f t="shared" si="27"/>
        <v>999</v>
      </c>
      <c r="O107" s="28"/>
      <c r="P107" s="29">
        <f t="shared" si="43"/>
        <v>9.8000000000000073E-2</v>
      </c>
      <c r="Q107" s="33">
        <f t="shared" si="28"/>
        <v>6.7114093959731544</v>
      </c>
      <c r="R107" s="33">
        <f t="shared" si="29"/>
        <v>6.7114093959731544</v>
      </c>
      <c r="S107" s="33">
        <f t="shared" si="30"/>
        <v>-1</v>
      </c>
      <c r="T107" s="27"/>
      <c r="U107" s="28">
        <f t="shared" si="31"/>
        <v>0.10964912280701754</v>
      </c>
      <c r="V107" s="25">
        <f t="shared" si="32"/>
        <v>999</v>
      </c>
      <c r="W107" s="35">
        <f t="shared" si="44"/>
        <v>25</v>
      </c>
      <c r="X107" s="33">
        <f t="shared" si="33"/>
        <v>25</v>
      </c>
      <c r="Y107" s="32">
        <f t="shared" si="34"/>
        <v>-1</v>
      </c>
      <c r="Z107" s="32"/>
      <c r="AA107" s="30">
        <f t="shared" si="35"/>
        <v>2.6845637583892619</v>
      </c>
      <c r="AB107" s="28">
        <f t="shared" si="36"/>
        <v>0.39809674369747899</v>
      </c>
      <c r="AC107" s="28">
        <f t="shared" si="37"/>
        <v>0.10964912280701754</v>
      </c>
      <c r="AD107" s="29">
        <f t="shared" si="38"/>
        <v>92.979127134724862</v>
      </c>
      <c r="AE107" s="28">
        <f t="shared" si="39"/>
        <v>0.10964912280701754</v>
      </c>
      <c r="AF107" s="28">
        <f t="shared" si="40"/>
        <v>0.28844762089046144</v>
      </c>
      <c r="AG107" s="28">
        <f t="shared" si="41"/>
        <v>0</v>
      </c>
      <c r="AI107" s="31">
        <f t="shared" si="42"/>
        <v>-0.6219767804621843</v>
      </c>
      <c r="AJ107" s="25"/>
      <c r="AK107" s="31"/>
      <c r="AM107" s="27"/>
    </row>
    <row r="108" spans="4:39" x14ac:dyDescent="0.25">
      <c r="D108" s="25">
        <f>E108*'Profit per cycles Model'!$I$113</f>
        <v>990</v>
      </c>
      <c r="E108" s="25">
        <v>2.7119572661279276</v>
      </c>
      <c r="F108" s="28">
        <f t="shared" si="23"/>
        <v>1.0101010101010102</v>
      </c>
      <c r="G108" s="28">
        <f>'Battery Pricing Model'!$C$17/D108</f>
        <v>1.0101010101010102</v>
      </c>
      <c r="H108" s="28">
        <f t="shared" si="24"/>
        <v>999</v>
      </c>
      <c r="I108" s="28"/>
      <c r="J108" s="34">
        <f>INDEX('Profit per cycles Model'!$I$149:$I$179, MATCH(TRUNC(E108, 0), 'Profit per cycles Model'!$H$149:$H$179, 0))</f>
        <v>0.39809674369747899</v>
      </c>
      <c r="K108" s="27">
        <f>AVERAGE($AB$10:AB108)</f>
        <v>0.38586281512605086</v>
      </c>
      <c r="L108" s="28">
        <f t="shared" si="25"/>
        <v>999</v>
      </c>
      <c r="M108" s="28">
        <f t="shared" si="26"/>
        <v>999</v>
      </c>
      <c r="N108" s="28">
        <f t="shared" si="27"/>
        <v>999</v>
      </c>
      <c r="O108" s="28"/>
      <c r="P108" s="29">
        <f t="shared" si="43"/>
        <v>9.9000000000000074E-2</v>
      </c>
      <c r="Q108" s="33">
        <f t="shared" si="28"/>
        <v>6.7114093959731544</v>
      </c>
      <c r="R108" s="33">
        <f t="shared" si="29"/>
        <v>6.7114093959731544</v>
      </c>
      <c r="S108" s="33">
        <f t="shared" si="30"/>
        <v>-1</v>
      </c>
      <c r="T108" s="27"/>
      <c r="U108" s="28">
        <f t="shared" si="31"/>
        <v>0.10964912280701754</v>
      </c>
      <c r="V108" s="25">
        <f t="shared" si="32"/>
        <v>999</v>
      </c>
      <c r="W108" s="35">
        <f t="shared" si="44"/>
        <v>25</v>
      </c>
      <c r="X108" s="33">
        <f t="shared" si="33"/>
        <v>25</v>
      </c>
      <c r="Y108" s="32">
        <f t="shared" si="34"/>
        <v>-1</v>
      </c>
      <c r="Z108" s="32"/>
      <c r="AA108" s="30">
        <f t="shared" si="35"/>
        <v>2.7119572661279276</v>
      </c>
      <c r="AB108" s="28">
        <f t="shared" si="36"/>
        <v>0.39809674369747899</v>
      </c>
      <c r="AC108" s="28">
        <f t="shared" si="37"/>
        <v>0.10964912280701754</v>
      </c>
      <c r="AD108" s="29">
        <f t="shared" si="38"/>
        <v>93.927893738140426</v>
      </c>
      <c r="AE108" s="28">
        <f t="shared" si="39"/>
        <v>0.10964912280701754</v>
      </c>
      <c r="AF108" s="28">
        <f t="shared" si="40"/>
        <v>0.28844762089046144</v>
      </c>
      <c r="AG108" s="28">
        <f t="shared" si="41"/>
        <v>0</v>
      </c>
      <c r="AI108" s="31">
        <f t="shared" si="42"/>
        <v>-0.61799581302520967</v>
      </c>
      <c r="AJ108" s="25"/>
      <c r="AK108" s="31"/>
      <c r="AM108" s="27"/>
    </row>
    <row r="109" spans="4:39" x14ac:dyDescent="0.25">
      <c r="D109" s="25">
        <f>E109*'Profit per cycles Model'!$I$113</f>
        <v>1000</v>
      </c>
      <c r="E109" s="25">
        <v>2.7393507738665934</v>
      </c>
      <c r="F109" s="28">
        <f t="shared" si="23"/>
        <v>1</v>
      </c>
      <c r="G109" s="28">
        <f>'Battery Pricing Model'!$C$17/D109</f>
        <v>1</v>
      </c>
      <c r="H109" s="28">
        <f t="shared" si="24"/>
        <v>999</v>
      </c>
      <c r="I109" s="28"/>
      <c r="J109" s="34">
        <f>INDEX('Profit per cycles Model'!$I$149:$I$179, MATCH(TRUNC(E109, 0), 'Profit per cycles Model'!$H$149:$H$179, 0))</f>
        <v>0.39809674369747899</v>
      </c>
      <c r="K109" s="27">
        <f>AVERAGE($AB$10:AB109)</f>
        <v>0.38598515441176517</v>
      </c>
      <c r="L109" s="28">
        <f t="shared" si="25"/>
        <v>999</v>
      </c>
      <c r="M109" s="28">
        <f t="shared" si="26"/>
        <v>999</v>
      </c>
      <c r="N109" s="28">
        <f t="shared" si="27"/>
        <v>999</v>
      </c>
      <c r="O109" s="28"/>
      <c r="P109" s="29">
        <f t="shared" si="43"/>
        <v>0.10000000000000007</v>
      </c>
      <c r="Q109" s="33">
        <f t="shared" si="28"/>
        <v>6.7114093959731544</v>
      </c>
      <c r="R109" s="33">
        <f t="shared" si="29"/>
        <v>6.7114093959731544</v>
      </c>
      <c r="S109" s="33">
        <f t="shared" si="30"/>
        <v>-1</v>
      </c>
      <c r="T109" s="27"/>
      <c r="U109" s="28">
        <f t="shared" si="31"/>
        <v>0.10964912280701754</v>
      </c>
      <c r="V109" s="25">
        <f t="shared" si="32"/>
        <v>999</v>
      </c>
      <c r="W109" s="35">
        <f t="shared" si="44"/>
        <v>25</v>
      </c>
      <c r="X109" s="33">
        <f t="shared" si="33"/>
        <v>25</v>
      </c>
      <c r="Y109" s="32">
        <f t="shared" si="34"/>
        <v>-1</v>
      </c>
      <c r="Z109" s="32"/>
      <c r="AA109" s="30">
        <f t="shared" si="35"/>
        <v>2.7393507738665934</v>
      </c>
      <c r="AB109" s="28">
        <f t="shared" si="36"/>
        <v>0.39809674369747899</v>
      </c>
      <c r="AC109" s="28">
        <f t="shared" si="37"/>
        <v>0.10964912280701754</v>
      </c>
      <c r="AD109" s="29">
        <f t="shared" si="38"/>
        <v>94.876660341555976</v>
      </c>
      <c r="AE109" s="28">
        <f t="shared" si="39"/>
        <v>0.10964912280701754</v>
      </c>
      <c r="AF109" s="28">
        <f t="shared" si="40"/>
        <v>0.28844762089046144</v>
      </c>
      <c r="AG109" s="28">
        <f t="shared" si="41"/>
        <v>0</v>
      </c>
      <c r="AI109" s="31">
        <f t="shared" si="42"/>
        <v>-0.61401484558823483</v>
      </c>
      <c r="AJ109" s="25"/>
      <c r="AK109" s="31"/>
      <c r="AM109" s="27"/>
    </row>
    <row r="110" spans="4:39" x14ac:dyDescent="0.25">
      <c r="D110" s="25">
        <f>E110*'Profit per cycles Model'!$I$113</f>
        <v>1010.0000000000001</v>
      </c>
      <c r="E110" s="25">
        <v>2.7667442816052596</v>
      </c>
      <c r="F110" s="28">
        <f t="shared" si="23"/>
        <v>0.99009900990098998</v>
      </c>
      <c r="G110" s="28">
        <f>'Battery Pricing Model'!$C$17/D110</f>
        <v>0.99009900990098998</v>
      </c>
      <c r="H110" s="28">
        <f t="shared" si="24"/>
        <v>999</v>
      </c>
      <c r="I110" s="28"/>
      <c r="J110" s="34">
        <f>INDEX('Profit per cycles Model'!$I$149:$I$179, MATCH(TRUNC(E110, 0), 'Profit per cycles Model'!$H$149:$H$179, 0))</f>
        <v>0.39809674369747899</v>
      </c>
      <c r="K110" s="27">
        <f>AVERAGE($AB$10:AB110)</f>
        <v>0.38610507113736631</v>
      </c>
      <c r="L110" s="28">
        <f t="shared" si="25"/>
        <v>999</v>
      </c>
      <c r="M110" s="28">
        <f t="shared" si="26"/>
        <v>999</v>
      </c>
      <c r="N110" s="28">
        <f t="shared" si="27"/>
        <v>999</v>
      </c>
      <c r="O110" s="28"/>
      <c r="P110" s="29">
        <f t="shared" si="43"/>
        <v>0.10100000000000008</v>
      </c>
      <c r="Q110" s="33">
        <f t="shared" si="28"/>
        <v>6.7114093959731544</v>
      </c>
      <c r="R110" s="33">
        <f t="shared" si="29"/>
        <v>6.7114093959731544</v>
      </c>
      <c r="S110" s="33">
        <f t="shared" si="30"/>
        <v>-1</v>
      </c>
      <c r="T110" s="27"/>
      <c r="U110" s="28">
        <f t="shared" si="31"/>
        <v>0.10964912280701754</v>
      </c>
      <c r="V110" s="25">
        <f t="shared" si="32"/>
        <v>999</v>
      </c>
      <c r="W110" s="35">
        <f t="shared" si="44"/>
        <v>25</v>
      </c>
      <c r="X110" s="33">
        <f t="shared" si="33"/>
        <v>25</v>
      </c>
      <c r="Y110" s="32">
        <f t="shared" si="34"/>
        <v>-1</v>
      </c>
      <c r="Z110" s="32"/>
      <c r="AA110" s="30">
        <f t="shared" si="35"/>
        <v>2.7667442816052596</v>
      </c>
      <c r="AB110" s="28">
        <f t="shared" si="36"/>
        <v>0.39809674369747899</v>
      </c>
      <c r="AC110" s="28">
        <f t="shared" si="37"/>
        <v>0.10964912280701754</v>
      </c>
      <c r="AD110" s="29">
        <f t="shared" si="38"/>
        <v>95.825426944971554</v>
      </c>
      <c r="AE110" s="28">
        <f t="shared" si="39"/>
        <v>0.10964912280701754</v>
      </c>
      <c r="AF110" s="28">
        <f t="shared" si="40"/>
        <v>0.28844762089046144</v>
      </c>
      <c r="AG110" s="28">
        <f t="shared" si="41"/>
        <v>0</v>
      </c>
      <c r="AI110" s="31">
        <f t="shared" si="42"/>
        <v>-0.61003387815126009</v>
      </c>
      <c r="AJ110" s="25"/>
      <c r="AK110" s="31"/>
      <c r="AM110" s="27"/>
    </row>
    <row r="111" spans="4:39" x14ac:dyDescent="0.25">
      <c r="D111" s="25">
        <f>E111*'Profit per cycles Model'!$I$113</f>
        <v>1020</v>
      </c>
      <c r="E111" s="25">
        <v>2.7941377893439254</v>
      </c>
      <c r="F111" s="28">
        <f t="shared" si="23"/>
        <v>0.98039215686274506</v>
      </c>
      <c r="G111" s="28">
        <f>'Battery Pricing Model'!$C$17/D111</f>
        <v>0.98039215686274506</v>
      </c>
      <c r="H111" s="28">
        <f t="shared" si="24"/>
        <v>999</v>
      </c>
      <c r="I111" s="28"/>
      <c r="J111" s="34">
        <f>INDEX('Profit per cycles Model'!$I$149:$I$179, MATCH(TRUNC(E111, 0), 'Profit per cycles Model'!$H$149:$H$179, 0))</f>
        <v>0.39809674369747899</v>
      </c>
      <c r="K111" s="27">
        <f>AVERAGE($AB$10:AB111)</f>
        <v>0.3862226365546223</v>
      </c>
      <c r="L111" s="28">
        <f t="shared" si="25"/>
        <v>999</v>
      </c>
      <c r="M111" s="28">
        <f t="shared" si="26"/>
        <v>999</v>
      </c>
      <c r="N111" s="28">
        <f t="shared" si="27"/>
        <v>999</v>
      </c>
      <c r="O111" s="28"/>
      <c r="P111" s="29">
        <f t="shared" si="43"/>
        <v>0.10200000000000008</v>
      </c>
      <c r="Q111" s="33">
        <f t="shared" si="28"/>
        <v>6.7114093959731544</v>
      </c>
      <c r="R111" s="33">
        <f t="shared" si="29"/>
        <v>6.7114093959731544</v>
      </c>
      <c r="S111" s="33">
        <f t="shared" si="30"/>
        <v>-1</v>
      </c>
      <c r="T111" s="27"/>
      <c r="U111" s="28">
        <f t="shared" si="31"/>
        <v>0.10964912280701754</v>
      </c>
      <c r="V111" s="25">
        <f t="shared" si="32"/>
        <v>999</v>
      </c>
      <c r="W111" s="35">
        <f t="shared" si="44"/>
        <v>25</v>
      </c>
      <c r="X111" s="33">
        <f t="shared" si="33"/>
        <v>25</v>
      </c>
      <c r="Y111" s="32">
        <f t="shared" si="34"/>
        <v>-1</v>
      </c>
      <c r="Z111" s="32"/>
      <c r="AA111" s="30">
        <f t="shared" si="35"/>
        <v>2.7941377893439254</v>
      </c>
      <c r="AB111" s="28">
        <f t="shared" si="36"/>
        <v>0.39809674369747899</v>
      </c>
      <c r="AC111" s="28">
        <f t="shared" si="37"/>
        <v>0.10964912280701754</v>
      </c>
      <c r="AD111" s="29">
        <f t="shared" si="38"/>
        <v>96.774193548387089</v>
      </c>
      <c r="AE111" s="28">
        <f t="shared" si="39"/>
        <v>0.10964912280701754</v>
      </c>
      <c r="AF111" s="28">
        <f t="shared" si="40"/>
        <v>0.28844762089046144</v>
      </c>
      <c r="AG111" s="28">
        <f t="shared" si="41"/>
        <v>0</v>
      </c>
      <c r="AI111" s="31">
        <f t="shared" si="42"/>
        <v>-0.60605291071428524</v>
      </c>
      <c r="AJ111" s="25"/>
      <c r="AK111" s="31"/>
      <c r="AM111" s="27"/>
    </row>
    <row r="112" spans="4:39" x14ac:dyDescent="0.25">
      <c r="D112" s="25">
        <f>E112*'Profit per cycles Model'!$I$113</f>
        <v>1030</v>
      </c>
      <c r="E112" s="25">
        <v>2.8215312970825912</v>
      </c>
      <c r="F112" s="28">
        <f t="shared" si="23"/>
        <v>0.970873786407767</v>
      </c>
      <c r="G112" s="28">
        <f>'Battery Pricing Model'!$C$17/D112</f>
        <v>0.970873786407767</v>
      </c>
      <c r="H112" s="28">
        <f t="shared" si="24"/>
        <v>999</v>
      </c>
      <c r="I112" s="28"/>
      <c r="J112" s="34">
        <f>INDEX('Profit per cycles Model'!$I$149:$I$179, MATCH(TRUNC(E112, 0), 'Profit per cycles Model'!$H$149:$H$179, 0))</f>
        <v>0.39809674369747899</v>
      </c>
      <c r="K112" s="27">
        <f>AVERAGE($AB$10:AB112)</f>
        <v>0.38633791914824228</v>
      </c>
      <c r="L112" s="28">
        <f t="shared" si="25"/>
        <v>999</v>
      </c>
      <c r="M112" s="28">
        <f t="shared" si="26"/>
        <v>999</v>
      </c>
      <c r="N112" s="28">
        <f t="shared" si="27"/>
        <v>999</v>
      </c>
      <c r="O112" s="28"/>
      <c r="P112" s="29">
        <f t="shared" si="43"/>
        <v>0.10300000000000008</v>
      </c>
      <c r="Q112" s="33">
        <f t="shared" si="28"/>
        <v>6.7114093959731544</v>
      </c>
      <c r="R112" s="33">
        <f t="shared" si="29"/>
        <v>6.7114093959731544</v>
      </c>
      <c r="S112" s="33">
        <f t="shared" si="30"/>
        <v>-1</v>
      </c>
      <c r="T112" s="27"/>
      <c r="U112" s="28">
        <f t="shared" si="31"/>
        <v>0.10964912280701754</v>
      </c>
      <c r="V112" s="25">
        <f t="shared" si="32"/>
        <v>999</v>
      </c>
      <c r="W112" s="35">
        <f t="shared" si="44"/>
        <v>25</v>
      </c>
      <c r="X112" s="33">
        <f t="shared" si="33"/>
        <v>25</v>
      </c>
      <c r="Y112" s="32">
        <f t="shared" si="34"/>
        <v>-1</v>
      </c>
      <c r="Z112" s="32"/>
      <c r="AA112" s="30">
        <f t="shared" si="35"/>
        <v>2.8215312970825912</v>
      </c>
      <c r="AB112" s="28">
        <f t="shared" si="36"/>
        <v>0.39809674369747899</v>
      </c>
      <c r="AC112" s="28">
        <f t="shared" si="37"/>
        <v>0.10964912280701754</v>
      </c>
      <c r="AD112" s="29">
        <f t="shared" si="38"/>
        <v>97.722960151802653</v>
      </c>
      <c r="AE112" s="28">
        <f t="shared" si="39"/>
        <v>0.10964912280701754</v>
      </c>
      <c r="AF112" s="28">
        <f t="shared" si="40"/>
        <v>0.28844762089046144</v>
      </c>
      <c r="AG112" s="28">
        <f t="shared" si="41"/>
        <v>0</v>
      </c>
      <c r="AI112" s="31">
        <f t="shared" si="42"/>
        <v>-0.6020719432773104</v>
      </c>
      <c r="AJ112" s="25"/>
      <c r="AK112" s="31"/>
      <c r="AM112" s="27"/>
    </row>
    <row r="113" spans="4:39" x14ac:dyDescent="0.25">
      <c r="D113" s="25">
        <f>E113*'Profit per cycles Model'!$I$113</f>
        <v>1040</v>
      </c>
      <c r="E113" s="25">
        <v>2.8489248048212574</v>
      </c>
      <c r="F113" s="28">
        <f t="shared" si="23"/>
        <v>0.96153846153846156</v>
      </c>
      <c r="G113" s="28">
        <f>'Battery Pricing Model'!$C$17/D113</f>
        <v>0.96153846153846156</v>
      </c>
      <c r="H113" s="28">
        <f t="shared" si="24"/>
        <v>999</v>
      </c>
      <c r="I113" s="28"/>
      <c r="J113" s="34">
        <f>INDEX('Profit per cycles Model'!$I$149:$I$179, MATCH(TRUNC(E113, 0), 'Profit per cycles Model'!$H$149:$H$179, 0))</f>
        <v>0.39809674369747899</v>
      </c>
      <c r="K113" s="27">
        <f>AVERAGE($AB$10:AB113)</f>
        <v>0.38645098476890805</v>
      </c>
      <c r="L113" s="28">
        <f t="shared" si="25"/>
        <v>999</v>
      </c>
      <c r="M113" s="28">
        <f t="shared" si="26"/>
        <v>999</v>
      </c>
      <c r="N113" s="28">
        <f t="shared" si="27"/>
        <v>999</v>
      </c>
      <c r="O113" s="28"/>
      <c r="P113" s="29">
        <f t="shared" si="43"/>
        <v>0.10400000000000008</v>
      </c>
      <c r="Q113" s="33">
        <f t="shared" si="28"/>
        <v>6.7114093959731544</v>
      </c>
      <c r="R113" s="33">
        <f t="shared" si="29"/>
        <v>6.7114093959731544</v>
      </c>
      <c r="S113" s="33">
        <f t="shared" si="30"/>
        <v>-1</v>
      </c>
      <c r="T113" s="27"/>
      <c r="U113" s="28">
        <f t="shared" si="31"/>
        <v>0.10964912280701754</v>
      </c>
      <c r="V113" s="25">
        <f t="shared" si="32"/>
        <v>999</v>
      </c>
      <c r="W113" s="35">
        <f t="shared" si="44"/>
        <v>25</v>
      </c>
      <c r="X113" s="33">
        <f t="shared" si="33"/>
        <v>25</v>
      </c>
      <c r="Y113" s="32">
        <f t="shared" si="34"/>
        <v>-1</v>
      </c>
      <c r="Z113" s="32"/>
      <c r="AA113" s="30">
        <f t="shared" si="35"/>
        <v>2.8489248048212574</v>
      </c>
      <c r="AB113" s="28">
        <f t="shared" si="36"/>
        <v>0.39809674369747899</v>
      </c>
      <c r="AC113" s="28">
        <f t="shared" si="37"/>
        <v>0.10964912280701754</v>
      </c>
      <c r="AD113" s="29">
        <f t="shared" si="38"/>
        <v>98.671726755218231</v>
      </c>
      <c r="AE113" s="28">
        <f t="shared" si="39"/>
        <v>0.10964912280701754</v>
      </c>
      <c r="AF113" s="28">
        <f t="shared" si="40"/>
        <v>0.28844762089046144</v>
      </c>
      <c r="AG113" s="28">
        <f t="shared" si="41"/>
        <v>0</v>
      </c>
      <c r="AI113" s="31">
        <f t="shared" si="42"/>
        <v>-0.59809097584033566</v>
      </c>
      <c r="AJ113" s="25"/>
      <c r="AK113" s="31"/>
      <c r="AM113" s="27"/>
    </row>
    <row r="114" spans="4:39" x14ac:dyDescent="0.25">
      <c r="D114" s="25">
        <f>E114*'Profit per cycles Model'!$I$113</f>
        <v>1050</v>
      </c>
      <c r="E114" s="25">
        <v>2.8763183125599232</v>
      </c>
      <c r="F114" s="28">
        <f t="shared" si="23"/>
        <v>0.95238095238095233</v>
      </c>
      <c r="G114" s="28">
        <f>'Battery Pricing Model'!$C$17/D114</f>
        <v>0.95238095238095233</v>
      </c>
      <c r="H114" s="28">
        <f t="shared" si="24"/>
        <v>999</v>
      </c>
      <c r="I114" s="28"/>
      <c r="J114" s="34">
        <f>INDEX('Profit per cycles Model'!$I$149:$I$179, MATCH(TRUNC(E114, 0), 'Profit per cycles Model'!$H$149:$H$179, 0))</f>
        <v>0.39809674369747899</v>
      </c>
      <c r="K114" s="27">
        <f>AVERAGE($AB$10:AB114)</f>
        <v>0.38656189675870395</v>
      </c>
      <c r="L114" s="28">
        <f t="shared" si="25"/>
        <v>999</v>
      </c>
      <c r="M114" s="28">
        <f t="shared" si="26"/>
        <v>999</v>
      </c>
      <c r="N114" s="28">
        <f t="shared" si="27"/>
        <v>999</v>
      </c>
      <c r="O114" s="28"/>
      <c r="P114" s="29">
        <f t="shared" si="43"/>
        <v>0.10500000000000008</v>
      </c>
      <c r="Q114" s="33">
        <f t="shared" si="28"/>
        <v>6.7114093959731544</v>
      </c>
      <c r="R114" s="33">
        <f t="shared" si="29"/>
        <v>6.7114093959731544</v>
      </c>
      <c r="S114" s="33">
        <f t="shared" si="30"/>
        <v>-1</v>
      </c>
      <c r="T114" s="27"/>
      <c r="U114" s="28">
        <f t="shared" si="31"/>
        <v>0.10964912280701754</v>
      </c>
      <c r="V114" s="25">
        <f t="shared" si="32"/>
        <v>999</v>
      </c>
      <c r="W114" s="35">
        <f t="shared" si="44"/>
        <v>25</v>
      </c>
      <c r="X114" s="33">
        <f t="shared" si="33"/>
        <v>25</v>
      </c>
      <c r="Y114" s="32">
        <f t="shared" si="34"/>
        <v>-1</v>
      </c>
      <c r="Z114" s="32"/>
      <c r="AA114" s="30">
        <f t="shared" si="35"/>
        <v>2.8763183125599232</v>
      </c>
      <c r="AB114" s="28">
        <f t="shared" si="36"/>
        <v>0.39809674369747899</v>
      </c>
      <c r="AC114" s="28">
        <f t="shared" si="37"/>
        <v>0.10964912280701754</v>
      </c>
      <c r="AD114" s="29">
        <f t="shared" si="38"/>
        <v>99.620493358633766</v>
      </c>
      <c r="AE114" s="28">
        <f t="shared" si="39"/>
        <v>0.10964912280701754</v>
      </c>
      <c r="AF114" s="28">
        <f t="shared" si="40"/>
        <v>0.28844762089046144</v>
      </c>
      <c r="AG114" s="28">
        <f t="shared" si="41"/>
        <v>0</v>
      </c>
      <c r="AI114" s="31">
        <f t="shared" si="42"/>
        <v>-0.59411000840336092</v>
      </c>
      <c r="AJ114" s="25"/>
      <c r="AK114" s="31"/>
      <c r="AM114" s="27"/>
    </row>
    <row r="115" spans="4:39" x14ac:dyDescent="0.25">
      <c r="D115" s="25">
        <f>E115*'Profit per cycles Model'!$I$113</f>
        <v>1060</v>
      </c>
      <c r="E115" s="25">
        <v>2.903711820298589</v>
      </c>
      <c r="F115" s="28">
        <f t="shared" si="23"/>
        <v>0.94339622641509435</v>
      </c>
      <c r="G115" s="28">
        <f>'Battery Pricing Model'!$C$17/D115</f>
        <v>0.94339622641509435</v>
      </c>
      <c r="H115" s="28">
        <f t="shared" si="24"/>
        <v>999</v>
      </c>
      <c r="I115" s="28"/>
      <c r="J115" s="34">
        <f>INDEX('Profit per cycles Model'!$I$149:$I$179, MATCH(TRUNC(E115, 0), 'Profit per cycles Model'!$H$149:$H$179, 0))</f>
        <v>0.39809674369747899</v>
      </c>
      <c r="K115" s="27">
        <f>AVERAGE($AB$10:AB115)</f>
        <v>0.38667071606944708</v>
      </c>
      <c r="L115" s="28">
        <f t="shared" si="25"/>
        <v>999</v>
      </c>
      <c r="M115" s="28">
        <f t="shared" si="26"/>
        <v>999</v>
      </c>
      <c r="N115" s="28">
        <f t="shared" si="27"/>
        <v>999</v>
      </c>
      <c r="O115" s="28"/>
      <c r="P115" s="29">
        <f t="shared" si="43"/>
        <v>0.10600000000000008</v>
      </c>
      <c r="Q115" s="33">
        <f t="shared" si="28"/>
        <v>6.7114093959731544</v>
      </c>
      <c r="R115" s="33">
        <f t="shared" si="29"/>
        <v>6.7114093959731544</v>
      </c>
      <c r="S115" s="33">
        <f t="shared" si="30"/>
        <v>-1</v>
      </c>
      <c r="T115" s="27"/>
      <c r="U115" s="28">
        <f t="shared" si="31"/>
        <v>0.10964912280701754</v>
      </c>
      <c r="V115" s="25">
        <f t="shared" si="32"/>
        <v>999</v>
      </c>
      <c r="W115" s="35">
        <f t="shared" si="44"/>
        <v>25</v>
      </c>
      <c r="X115" s="33">
        <f t="shared" si="33"/>
        <v>25</v>
      </c>
      <c r="Y115" s="32">
        <f t="shared" si="34"/>
        <v>-1</v>
      </c>
      <c r="Z115" s="32"/>
      <c r="AA115" s="30">
        <f t="shared" si="35"/>
        <v>2.903711820298589</v>
      </c>
      <c r="AB115" s="28">
        <f t="shared" si="36"/>
        <v>0.39809674369747899</v>
      </c>
      <c r="AC115" s="28">
        <f t="shared" si="37"/>
        <v>0.10964912280701754</v>
      </c>
      <c r="AD115" s="29">
        <f t="shared" si="38"/>
        <v>100.56925996204933</v>
      </c>
      <c r="AE115" s="28">
        <f t="shared" si="39"/>
        <v>0.10964912280701754</v>
      </c>
      <c r="AF115" s="28">
        <f t="shared" si="40"/>
        <v>0.28844762089046144</v>
      </c>
      <c r="AG115" s="28">
        <f t="shared" si="41"/>
        <v>0</v>
      </c>
      <c r="AI115" s="31">
        <f t="shared" si="42"/>
        <v>-0.59012904096638608</v>
      </c>
      <c r="AJ115" s="25"/>
      <c r="AK115" s="31"/>
      <c r="AM115" s="27"/>
    </row>
    <row r="116" spans="4:39" x14ac:dyDescent="0.25">
      <c r="D116" s="25">
        <f>E116*'Profit per cycles Model'!$I$113</f>
        <v>1070</v>
      </c>
      <c r="E116" s="25">
        <v>2.9311053280372552</v>
      </c>
      <c r="F116" s="28">
        <f t="shared" si="23"/>
        <v>0.93457943925233644</v>
      </c>
      <c r="G116" s="28">
        <f>'Battery Pricing Model'!$C$17/D116</f>
        <v>0.93457943925233644</v>
      </c>
      <c r="H116" s="28">
        <f t="shared" si="24"/>
        <v>999</v>
      </c>
      <c r="I116" s="28"/>
      <c r="J116" s="34">
        <f>INDEX('Profit per cycles Model'!$I$149:$I$179, MATCH(TRUNC(E116, 0), 'Profit per cycles Model'!$H$149:$H$179, 0))</f>
        <v>0.39809674369747899</v>
      </c>
      <c r="K116" s="27">
        <f>AVERAGE($AB$10:AB116)</f>
        <v>0.38677750137438199</v>
      </c>
      <c r="L116" s="28">
        <f t="shared" si="25"/>
        <v>999</v>
      </c>
      <c r="M116" s="28">
        <f t="shared" si="26"/>
        <v>999</v>
      </c>
      <c r="N116" s="28">
        <f t="shared" si="27"/>
        <v>999</v>
      </c>
      <c r="O116" s="28"/>
      <c r="P116" s="29">
        <f t="shared" si="43"/>
        <v>0.10700000000000008</v>
      </c>
      <c r="Q116" s="33">
        <f t="shared" si="28"/>
        <v>6.7114093959731544</v>
      </c>
      <c r="R116" s="33">
        <f t="shared" si="29"/>
        <v>6.7114093959731544</v>
      </c>
      <c r="S116" s="33">
        <f t="shared" si="30"/>
        <v>-1</v>
      </c>
      <c r="T116" s="27"/>
      <c r="U116" s="28">
        <f t="shared" si="31"/>
        <v>0.10964912280701754</v>
      </c>
      <c r="V116" s="25">
        <f t="shared" si="32"/>
        <v>999</v>
      </c>
      <c r="W116" s="35">
        <f t="shared" si="44"/>
        <v>25</v>
      </c>
      <c r="X116" s="33">
        <f t="shared" si="33"/>
        <v>25</v>
      </c>
      <c r="Y116" s="32">
        <f t="shared" si="34"/>
        <v>-1</v>
      </c>
      <c r="Z116" s="32"/>
      <c r="AA116" s="30">
        <f t="shared" si="35"/>
        <v>2.9311053280372552</v>
      </c>
      <c r="AB116" s="28">
        <f t="shared" si="36"/>
        <v>0.39809674369747899</v>
      </c>
      <c r="AC116" s="28">
        <f t="shared" si="37"/>
        <v>0.10964912280701754</v>
      </c>
      <c r="AD116" s="29">
        <f t="shared" si="38"/>
        <v>101.51802656546491</v>
      </c>
      <c r="AE116" s="28">
        <f t="shared" si="39"/>
        <v>0.10964912280701754</v>
      </c>
      <c r="AF116" s="28">
        <f t="shared" si="40"/>
        <v>0.28844762089046144</v>
      </c>
      <c r="AG116" s="28">
        <f t="shared" si="41"/>
        <v>0</v>
      </c>
      <c r="AI116" s="31">
        <f t="shared" si="42"/>
        <v>-0.58614807352941123</v>
      </c>
      <c r="AJ116" s="25"/>
      <c r="AK116" s="31"/>
      <c r="AM116" s="27"/>
    </row>
    <row r="117" spans="4:39" x14ac:dyDescent="0.25">
      <c r="D117" s="25">
        <f>E117*'Profit per cycles Model'!$I$113</f>
        <v>1080</v>
      </c>
      <c r="E117" s="25">
        <v>2.958498835775921</v>
      </c>
      <c r="F117" s="28">
        <f t="shared" si="23"/>
        <v>0.92592592592592593</v>
      </c>
      <c r="G117" s="28">
        <f>'Battery Pricing Model'!$C$17/D117</f>
        <v>0.92592592592592593</v>
      </c>
      <c r="H117" s="28">
        <f t="shared" si="24"/>
        <v>999</v>
      </c>
      <c r="I117" s="28"/>
      <c r="J117" s="34">
        <f>INDEX('Profit per cycles Model'!$I$149:$I$179, MATCH(TRUNC(E117, 0), 'Profit per cycles Model'!$H$149:$H$179, 0))</f>
        <v>0.39809674369747899</v>
      </c>
      <c r="K117" s="27">
        <f>AVERAGE($AB$10:AB117)</f>
        <v>0.38688230917366995</v>
      </c>
      <c r="L117" s="28">
        <f t="shared" si="25"/>
        <v>999</v>
      </c>
      <c r="M117" s="28">
        <f t="shared" si="26"/>
        <v>999</v>
      </c>
      <c r="N117" s="28">
        <f t="shared" si="27"/>
        <v>999</v>
      </c>
      <c r="O117" s="28"/>
      <c r="P117" s="29">
        <f t="shared" si="43"/>
        <v>0.10800000000000008</v>
      </c>
      <c r="Q117" s="33">
        <f t="shared" si="28"/>
        <v>6.7114093959731544</v>
      </c>
      <c r="R117" s="33">
        <f t="shared" si="29"/>
        <v>6.7114093959731544</v>
      </c>
      <c r="S117" s="33">
        <f t="shared" si="30"/>
        <v>-1</v>
      </c>
      <c r="T117" s="27"/>
      <c r="U117" s="28">
        <f t="shared" si="31"/>
        <v>0.10964912280701754</v>
      </c>
      <c r="V117" s="25">
        <f t="shared" si="32"/>
        <v>999</v>
      </c>
      <c r="W117" s="35">
        <f t="shared" si="44"/>
        <v>25</v>
      </c>
      <c r="X117" s="33">
        <f t="shared" si="33"/>
        <v>25</v>
      </c>
      <c r="Y117" s="32">
        <f t="shared" si="34"/>
        <v>-1</v>
      </c>
      <c r="Z117" s="32"/>
      <c r="AA117" s="30">
        <f t="shared" si="35"/>
        <v>2.958498835775921</v>
      </c>
      <c r="AB117" s="28">
        <f t="shared" si="36"/>
        <v>0.39809674369747899</v>
      </c>
      <c r="AC117" s="28">
        <f t="shared" si="37"/>
        <v>0.10964912280701754</v>
      </c>
      <c r="AD117" s="29">
        <f t="shared" si="38"/>
        <v>102.46679316888046</v>
      </c>
      <c r="AE117" s="28">
        <f t="shared" si="39"/>
        <v>0.10964912280701754</v>
      </c>
      <c r="AF117" s="28">
        <f t="shared" si="40"/>
        <v>0.28844762089046144</v>
      </c>
      <c r="AG117" s="28">
        <f t="shared" si="41"/>
        <v>0</v>
      </c>
      <c r="AI117" s="31">
        <f t="shared" si="42"/>
        <v>-0.58216710609243649</v>
      </c>
      <c r="AJ117" s="25"/>
      <c r="AK117" s="31"/>
      <c r="AM117" s="27"/>
    </row>
    <row r="118" spans="4:39" x14ac:dyDescent="0.25">
      <c r="D118" s="25">
        <f>E118*'Profit per cycles Model'!$I$113</f>
        <v>1090</v>
      </c>
      <c r="E118" s="25">
        <v>2.9858923435145868</v>
      </c>
      <c r="F118" s="28">
        <f t="shared" si="23"/>
        <v>0.91743119266055051</v>
      </c>
      <c r="G118" s="28">
        <f>'Battery Pricing Model'!$C$17/D118</f>
        <v>0.91743119266055051</v>
      </c>
      <c r="H118" s="28">
        <f t="shared" si="24"/>
        <v>999</v>
      </c>
      <c r="I118" s="28"/>
      <c r="J118" s="34">
        <f>INDEX('Profit per cycles Model'!$I$149:$I$179, MATCH(TRUNC(E118, 0), 'Profit per cycles Model'!$H$149:$H$179, 0))</f>
        <v>0.39809674369747899</v>
      </c>
      <c r="K118" s="27">
        <f>AVERAGE($AB$10:AB118)</f>
        <v>0.38698519389407182</v>
      </c>
      <c r="L118" s="28">
        <f t="shared" si="25"/>
        <v>999</v>
      </c>
      <c r="M118" s="28">
        <f t="shared" si="26"/>
        <v>999</v>
      </c>
      <c r="N118" s="28">
        <f t="shared" si="27"/>
        <v>999</v>
      </c>
      <c r="O118" s="28"/>
      <c r="P118" s="29">
        <f t="shared" si="43"/>
        <v>0.10900000000000008</v>
      </c>
      <c r="Q118" s="33">
        <f t="shared" si="28"/>
        <v>6.7114093959731544</v>
      </c>
      <c r="R118" s="33">
        <f t="shared" si="29"/>
        <v>6.7114093959731544</v>
      </c>
      <c r="S118" s="33">
        <f t="shared" si="30"/>
        <v>-1</v>
      </c>
      <c r="T118" s="27"/>
      <c r="U118" s="28">
        <f t="shared" si="31"/>
        <v>0.10964912280701754</v>
      </c>
      <c r="V118" s="25">
        <f t="shared" si="32"/>
        <v>999</v>
      </c>
      <c r="W118" s="35">
        <f t="shared" si="44"/>
        <v>25</v>
      </c>
      <c r="X118" s="33">
        <f t="shared" si="33"/>
        <v>25</v>
      </c>
      <c r="Y118" s="32">
        <f t="shared" si="34"/>
        <v>-1</v>
      </c>
      <c r="Z118" s="32"/>
      <c r="AA118" s="30">
        <f t="shared" si="35"/>
        <v>2.9858923435145868</v>
      </c>
      <c r="AB118" s="28">
        <f t="shared" si="36"/>
        <v>0.39809674369747899</v>
      </c>
      <c r="AC118" s="28">
        <f t="shared" si="37"/>
        <v>0.10964912280701754</v>
      </c>
      <c r="AD118" s="29">
        <f t="shared" si="38"/>
        <v>103.41555977229601</v>
      </c>
      <c r="AE118" s="28">
        <f t="shared" si="39"/>
        <v>0.10964912280701754</v>
      </c>
      <c r="AF118" s="28">
        <f t="shared" si="40"/>
        <v>0.28844762089046144</v>
      </c>
      <c r="AG118" s="28">
        <f t="shared" si="41"/>
        <v>0</v>
      </c>
      <c r="AI118" s="31">
        <f t="shared" si="42"/>
        <v>-0.57818613865546176</v>
      </c>
      <c r="AJ118" s="25"/>
      <c r="AK118" s="31"/>
      <c r="AM118" s="27"/>
    </row>
    <row r="119" spans="4:39" x14ac:dyDescent="0.25">
      <c r="D119" s="25">
        <f>E119*'Profit per cycles Model'!$I$113</f>
        <v>1100</v>
      </c>
      <c r="E119" s="25">
        <v>3.013285851253253</v>
      </c>
      <c r="F119" s="28">
        <f t="shared" si="23"/>
        <v>0.90909090909090906</v>
      </c>
      <c r="G119" s="28">
        <f>'Battery Pricing Model'!$C$17/D119</f>
        <v>0.90909090909090906</v>
      </c>
      <c r="H119" s="28">
        <f t="shared" si="24"/>
        <v>999</v>
      </c>
      <c r="I119" s="28"/>
      <c r="J119" s="34">
        <f>INDEX('Profit per cycles Model'!$I$149:$I$179, MATCH(TRUNC(E119, 0), 'Profit per cycles Model'!$H$149:$H$179, 0))</f>
        <v>0.40957857405462184</v>
      </c>
      <c r="K119" s="27">
        <f>AVERAGE($AB$10:AB119)</f>
        <v>0.38719058825916775</v>
      </c>
      <c r="L119" s="28">
        <f t="shared" si="25"/>
        <v>999</v>
      </c>
      <c r="M119" s="28">
        <f t="shared" si="26"/>
        <v>999</v>
      </c>
      <c r="N119" s="28">
        <f t="shared" si="27"/>
        <v>999</v>
      </c>
      <c r="O119" s="28"/>
      <c r="P119" s="29">
        <f t="shared" si="43"/>
        <v>0.11000000000000008</v>
      </c>
      <c r="Q119" s="33">
        <f t="shared" si="28"/>
        <v>6.7114093959731544</v>
      </c>
      <c r="R119" s="33">
        <f t="shared" si="29"/>
        <v>6.7114093959731544</v>
      </c>
      <c r="S119" s="33">
        <f t="shared" si="30"/>
        <v>-1</v>
      </c>
      <c r="T119" s="27"/>
      <c r="U119" s="28">
        <f t="shared" si="31"/>
        <v>0.10964912280701754</v>
      </c>
      <c r="V119" s="25">
        <f t="shared" si="32"/>
        <v>999</v>
      </c>
      <c r="W119" s="35">
        <f t="shared" si="44"/>
        <v>25</v>
      </c>
      <c r="X119" s="33">
        <f t="shared" si="33"/>
        <v>25</v>
      </c>
      <c r="Y119" s="32">
        <f t="shared" si="34"/>
        <v>-1</v>
      </c>
      <c r="Z119" s="32"/>
      <c r="AA119" s="30">
        <f t="shared" si="35"/>
        <v>3.013285851253253</v>
      </c>
      <c r="AB119" s="28">
        <f t="shared" si="36"/>
        <v>0.40957857405462184</v>
      </c>
      <c r="AC119" s="28">
        <f t="shared" si="37"/>
        <v>0.10964912280701754</v>
      </c>
      <c r="AD119" s="29">
        <f t="shared" si="38"/>
        <v>104.36432637571158</v>
      </c>
      <c r="AE119" s="28">
        <f t="shared" si="39"/>
        <v>0.10964912280701754</v>
      </c>
      <c r="AF119" s="28">
        <f t="shared" si="40"/>
        <v>0.29992945124760428</v>
      </c>
      <c r="AG119" s="28">
        <f t="shared" si="41"/>
        <v>0</v>
      </c>
      <c r="AI119" s="31">
        <f t="shared" si="42"/>
        <v>-0.5740903529149155</v>
      </c>
      <c r="AJ119" s="25"/>
      <c r="AK119" s="31"/>
      <c r="AM119" s="27"/>
    </row>
    <row r="120" spans="4:39" x14ac:dyDescent="0.25">
      <c r="D120" s="25">
        <f>E120*'Profit per cycles Model'!$I$113</f>
        <v>1110</v>
      </c>
      <c r="E120" s="25">
        <v>3.0406793589919188</v>
      </c>
      <c r="F120" s="28">
        <f t="shared" si="23"/>
        <v>0.90090090090090091</v>
      </c>
      <c r="G120" s="28">
        <f>'Battery Pricing Model'!$C$17/D120</f>
        <v>0.90090090090090091</v>
      </c>
      <c r="H120" s="28">
        <f t="shared" si="24"/>
        <v>999</v>
      </c>
      <c r="I120" s="28"/>
      <c r="J120" s="34">
        <f>INDEX('Profit per cycles Model'!$I$149:$I$179, MATCH(TRUNC(E120, 0), 'Profit per cycles Model'!$H$149:$H$179, 0))</f>
        <v>0.40957857405462184</v>
      </c>
      <c r="K120" s="27">
        <f>AVERAGE($AB$10:AB120)</f>
        <v>0.38739228182489255</v>
      </c>
      <c r="L120" s="28">
        <f t="shared" si="25"/>
        <v>999</v>
      </c>
      <c r="M120" s="28">
        <f t="shared" si="26"/>
        <v>999</v>
      </c>
      <c r="N120" s="28">
        <f t="shared" si="27"/>
        <v>999</v>
      </c>
      <c r="O120" s="28"/>
      <c r="P120" s="29">
        <f t="shared" si="43"/>
        <v>0.11100000000000008</v>
      </c>
      <c r="Q120" s="33">
        <f t="shared" si="28"/>
        <v>6.7114093959731544</v>
      </c>
      <c r="R120" s="33">
        <f t="shared" si="29"/>
        <v>6.7114093959731544</v>
      </c>
      <c r="S120" s="33">
        <f t="shared" si="30"/>
        <v>-1</v>
      </c>
      <c r="T120" s="27"/>
      <c r="U120" s="28">
        <f t="shared" si="31"/>
        <v>0.10964912280701754</v>
      </c>
      <c r="V120" s="25">
        <f t="shared" si="32"/>
        <v>999</v>
      </c>
      <c r="W120" s="35">
        <f t="shared" si="44"/>
        <v>25</v>
      </c>
      <c r="X120" s="33">
        <f t="shared" si="33"/>
        <v>25</v>
      </c>
      <c r="Y120" s="32">
        <f t="shared" si="34"/>
        <v>-1</v>
      </c>
      <c r="Z120" s="32"/>
      <c r="AA120" s="30">
        <f t="shared" si="35"/>
        <v>3.0406793589919188</v>
      </c>
      <c r="AB120" s="28">
        <f t="shared" si="36"/>
        <v>0.40957857405462184</v>
      </c>
      <c r="AC120" s="28">
        <f t="shared" si="37"/>
        <v>0.10964912280701754</v>
      </c>
      <c r="AD120" s="29">
        <f t="shared" si="38"/>
        <v>105.31309297912713</v>
      </c>
      <c r="AE120" s="28">
        <f t="shared" si="39"/>
        <v>0.10964912280701754</v>
      </c>
      <c r="AF120" s="28">
        <f t="shared" si="40"/>
        <v>0.29992945124760428</v>
      </c>
      <c r="AG120" s="28">
        <f t="shared" si="41"/>
        <v>0</v>
      </c>
      <c r="AI120" s="31">
        <f t="shared" si="42"/>
        <v>-0.56999456717436925</v>
      </c>
      <c r="AJ120" s="25"/>
      <c r="AK120" s="31"/>
      <c r="AM120" s="27"/>
    </row>
    <row r="121" spans="4:39" x14ac:dyDescent="0.25">
      <c r="D121" s="25">
        <f>E121*'Profit per cycles Model'!$I$113</f>
        <v>1120</v>
      </c>
      <c r="E121" s="25">
        <v>3.0680728667305845</v>
      </c>
      <c r="F121" s="28">
        <f t="shared" si="23"/>
        <v>0.8928571428571429</v>
      </c>
      <c r="G121" s="28">
        <f>'Battery Pricing Model'!$C$17/D121</f>
        <v>0.8928571428571429</v>
      </c>
      <c r="H121" s="28">
        <f t="shared" si="24"/>
        <v>999</v>
      </c>
      <c r="I121" s="28"/>
      <c r="J121" s="34">
        <f>INDEX('Profit per cycles Model'!$I$149:$I$179, MATCH(TRUNC(E121, 0), 'Profit per cycles Model'!$H$149:$H$179, 0))</f>
        <v>0.40957857405462184</v>
      </c>
      <c r="K121" s="27">
        <f>AVERAGE($AB$10:AB121)</f>
        <v>0.38759037371980082</v>
      </c>
      <c r="L121" s="28">
        <f t="shared" si="25"/>
        <v>999</v>
      </c>
      <c r="M121" s="28">
        <f t="shared" si="26"/>
        <v>999</v>
      </c>
      <c r="N121" s="28">
        <f t="shared" si="27"/>
        <v>999</v>
      </c>
      <c r="O121" s="28"/>
      <c r="P121" s="29">
        <f t="shared" si="43"/>
        <v>0.11200000000000009</v>
      </c>
      <c r="Q121" s="33">
        <f t="shared" si="28"/>
        <v>6.7114093959731544</v>
      </c>
      <c r="R121" s="33">
        <f t="shared" si="29"/>
        <v>6.7114093959731544</v>
      </c>
      <c r="S121" s="33">
        <f t="shared" si="30"/>
        <v>-1</v>
      </c>
      <c r="T121" s="27"/>
      <c r="U121" s="28">
        <f t="shared" si="31"/>
        <v>0.10964912280701754</v>
      </c>
      <c r="V121" s="25">
        <f t="shared" si="32"/>
        <v>999</v>
      </c>
      <c r="W121" s="35">
        <f t="shared" si="44"/>
        <v>25</v>
      </c>
      <c r="X121" s="33">
        <f t="shared" si="33"/>
        <v>25</v>
      </c>
      <c r="Y121" s="32">
        <f t="shared" si="34"/>
        <v>-1</v>
      </c>
      <c r="Z121" s="32"/>
      <c r="AA121" s="30">
        <f t="shared" si="35"/>
        <v>3.0680728667305845</v>
      </c>
      <c r="AB121" s="28">
        <f t="shared" si="36"/>
        <v>0.40957857405462184</v>
      </c>
      <c r="AC121" s="28">
        <f t="shared" si="37"/>
        <v>0.10964912280701754</v>
      </c>
      <c r="AD121" s="29">
        <f t="shared" si="38"/>
        <v>106.26185958254268</v>
      </c>
      <c r="AE121" s="28">
        <f t="shared" si="39"/>
        <v>0.10964912280701754</v>
      </c>
      <c r="AF121" s="28">
        <f t="shared" si="40"/>
        <v>0.29992945124760428</v>
      </c>
      <c r="AG121" s="28">
        <f t="shared" si="41"/>
        <v>0</v>
      </c>
      <c r="AI121" s="31">
        <f t="shared" si="42"/>
        <v>-0.56589878143382299</v>
      </c>
      <c r="AJ121" s="25"/>
      <c r="AK121" s="31"/>
      <c r="AM121" s="27"/>
    </row>
    <row r="122" spans="4:39" x14ac:dyDescent="0.25">
      <c r="D122" s="25">
        <f>E122*'Profit per cycles Model'!$I$113</f>
        <v>1130</v>
      </c>
      <c r="E122" s="25">
        <v>3.0954663744692508</v>
      </c>
      <c r="F122" s="28">
        <f t="shared" si="23"/>
        <v>0.88495575221238942</v>
      </c>
      <c r="G122" s="28">
        <f>'Battery Pricing Model'!$C$17/D122</f>
        <v>0.88495575221238942</v>
      </c>
      <c r="H122" s="28">
        <f t="shared" si="24"/>
        <v>999</v>
      </c>
      <c r="I122" s="28"/>
      <c r="J122" s="34">
        <f>INDEX('Profit per cycles Model'!$I$149:$I$179, MATCH(TRUNC(E122, 0), 'Profit per cycles Model'!$H$149:$H$179, 0))</f>
        <v>0.40957857405462184</v>
      </c>
      <c r="K122" s="27">
        <f>AVERAGE($AB$10:AB122)</f>
        <v>0.38778495956347181</v>
      </c>
      <c r="L122" s="28">
        <f t="shared" si="25"/>
        <v>999</v>
      </c>
      <c r="M122" s="28">
        <f t="shared" si="26"/>
        <v>999</v>
      </c>
      <c r="N122" s="28">
        <f t="shared" si="27"/>
        <v>999</v>
      </c>
      <c r="O122" s="28"/>
      <c r="P122" s="29">
        <f t="shared" si="43"/>
        <v>0.11300000000000009</v>
      </c>
      <c r="Q122" s="33">
        <f t="shared" si="28"/>
        <v>6.7114093959731544</v>
      </c>
      <c r="R122" s="33">
        <f t="shared" si="29"/>
        <v>6.7114093959731544</v>
      </c>
      <c r="S122" s="33">
        <f t="shared" si="30"/>
        <v>-1</v>
      </c>
      <c r="T122" s="27"/>
      <c r="U122" s="28">
        <f t="shared" si="31"/>
        <v>0.10964912280701754</v>
      </c>
      <c r="V122" s="25">
        <f t="shared" si="32"/>
        <v>999</v>
      </c>
      <c r="W122" s="35">
        <f t="shared" si="44"/>
        <v>25</v>
      </c>
      <c r="X122" s="33">
        <f t="shared" si="33"/>
        <v>25</v>
      </c>
      <c r="Y122" s="32">
        <f t="shared" si="34"/>
        <v>-1</v>
      </c>
      <c r="Z122" s="32"/>
      <c r="AA122" s="30">
        <f t="shared" si="35"/>
        <v>3.0954663744692508</v>
      </c>
      <c r="AB122" s="28">
        <f t="shared" si="36"/>
        <v>0.40957857405462184</v>
      </c>
      <c r="AC122" s="28">
        <f t="shared" si="37"/>
        <v>0.10964912280701754</v>
      </c>
      <c r="AD122" s="29">
        <f t="shared" si="38"/>
        <v>107.21062618595826</v>
      </c>
      <c r="AE122" s="28">
        <f t="shared" si="39"/>
        <v>0.10964912280701754</v>
      </c>
      <c r="AF122" s="28">
        <f t="shared" si="40"/>
        <v>0.29992945124760428</v>
      </c>
      <c r="AG122" s="28">
        <f t="shared" si="41"/>
        <v>0</v>
      </c>
      <c r="AI122" s="31">
        <f t="shared" si="42"/>
        <v>-0.56180299569327685</v>
      </c>
      <c r="AJ122" s="25"/>
      <c r="AK122" s="31"/>
      <c r="AM122" s="27"/>
    </row>
    <row r="123" spans="4:39" x14ac:dyDescent="0.25">
      <c r="D123" s="25">
        <f>E123*'Profit per cycles Model'!$I$113</f>
        <v>1140</v>
      </c>
      <c r="E123" s="25">
        <v>3.1228598822079165</v>
      </c>
      <c r="F123" s="28">
        <f t="shared" si="23"/>
        <v>0.8771929824561403</v>
      </c>
      <c r="G123" s="28">
        <f>'Battery Pricing Model'!$C$17/D123</f>
        <v>0.8771929824561403</v>
      </c>
      <c r="H123" s="28">
        <f t="shared" si="24"/>
        <v>999</v>
      </c>
      <c r="I123" s="28"/>
      <c r="J123" s="34">
        <f>INDEX('Profit per cycles Model'!$I$149:$I$179, MATCH(TRUNC(E123, 0), 'Profit per cycles Model'!$H$149:$H$179, 0))</f>
        <v>0.40957857405462184</v>
      </c>
      <c r="K123" s="27">
        <f>AVERAGE($AB$10:AB123)</f>
        <v>0.38797613162041172</v>
      </c>
      <c r="L123" s="28">
        <f t="shared" si="25"/>
        <v>999</v>
      </c>
      <c r="M123" s="28">
        <f t="shared" si="26"/>
        <v>999</v>
      </c>
      <c r="N123" s="28">
        <f t="shared" si="27"/>
        <v>999</v>
      </c>
      <c r="O123" s="28"/>
      <c r="P123" s="29">
        <f t="shared" si="43"/>
        <v>0.11400000000000009</v>
      </c>
      <c r="Q123" s="33">
        <f t="shared" si="28"/>
        <v>6.7114093959731544</v>
      </c>
      <c r="R123" s="33">
        <f t="shared" si="29"/>
        <v>6.7114093959731544</v>
      </c>
      <c r="S123" s="33">
        <f t="shared" si="30"/>
        <v>-1</v>
      </c>
      <c r="T123" s="27"/>
      <c r="U123" s="28">
        <f t="shared" si="31"/>
        <v>0.10964912280701754</v>
      </c>
      <c r="V123" s="25">
        <f t="shared" si="32"/>
        <v>999</v>
      </c>
      <c r="W123" s="35">
        <f t="shared" si="44"/>
        <v>25</v>
      </c>
      <c r="X123" s="33">
        <f t="shared" si="33"/>
        <v>25</v>
      </c>
      <c r="Y123" s="32">
        <f t="shared" si="34"/>
        <v>-1</v>
      </c>
      <c r="Z123" s="32"/>
      <c r="AA123" s="30">
        <f t="shared" si="35"/>
        <v>3.1228598822079165</v>
      </c>
      <c r="AB123" s="28">
        <f t="shared" si="36"/>
        <v>0.40957857405462184</v>
      </c>
      <c r="AC123" s="28">
        <f t="shared" si="37"/>
        <v>0.10964912280701754</v>
      </c>
      <c r="AD123" s="29">
        <f t="shared" si="38"/>
        <v>108.15939278937381</v>
      </c>
      <c r="AE123" s="28">
        <f t="shared" si="39"/>
        <v>0.10964912280701754</v>
      </c>
      <c r="AF123" s="28">
        <f t="shared" si="40"/>
        <v>0.29992945124760428</v>
      </c>
      <c r="AG123" s="28">
        <f t="shared" si="41"/>
        <v>0</v>
      </c>
      <c r="AI123" s="31">
        <f t="shared" si="42"/>
        <v>-0.5577072099527306</v>
      </c>
      <c r="AJ123" s="25"/>
      <c r="AK123" s="31"/>
      <c r="AM123" s="27"/>
    </row>
    <row r="124" spans="4:39" x14ac:dyDescent="0.25">
      <c r="D124" s="25">
        <f>E124*'Profit per cycles Model'!$I$113</f>
        <v>1150</v>
      </c>
      <c r="E124" s="25">
        <v>3.1502533899465828</v>
      </c>
      <c r="F124" s="28">
        <f t="shared" si="23"/>
        <v>0.86956521739130432</v>
      </c>
      <c r="G124" s="28">
        <f>'Battery Pricing Model'!$C$17/D124</f>
        <v>0.86956521739130432</v>
      </c>
      <c r="H124" s="28">
        <f t="shared" si="24"/>
        <v>999</v>
      </c>
      <c r="I124" s="28"/>
      <c r="J124" s="34">
        <f>INDEX('Profit per cycles Model'!$I$149:$I$179, MATCH(TRUNC(E124, 0), 'Profit per cycles Model'!$H$149:$H$179, 0))</f>
        <v>0.40957857405462184</v>
      </c>
      <c r="K124" s="27">
        <f>AVERAGE($AB$10:AB124)</f>
        <v>0.38816397894592658</v>
      </c>
      <c r="L124" s="28">
        <f t="shared" si="25"/>
        <v>999</v>
      </c>
      <c r="M124" s="28">
        <f t="shared" si="26"/>
        <v>999</v>
      </c>
      <c r="N124" s="28">
        <f t="shared" si="27"/>
        <v>999</v>
      </c>
      <c r="O124" s="28"/>
      <c r="P124" s="29">
        <f t="shared" si="43"/>
        <v>0.11500000000000009</v>
      </c>
      <c r="Q124" s="33">
        <f t="shared" si="28"/>
        <v>6.7114093959731544</v>
      </c>
      <c r="R124" s="33">
        <f t="shared" si="29"/>
        <v>6.7114093959731544</v>
      </c>
      <c r="S124" s="33">
        <f t="shared" si="30"/>
        <v>-1</v>
      </c>
      <c r="T124" s="27"/>
      <c r="U124" s="28">
        <f t="shared" si="31"/>
        <v>0.10964912280701754</v>
      </c>
      <c r="V124" s="25">
        <f t="shared" si="32"/>
        <v>999</v>
      </c>
      <c r="W124" s="35">
        <f t="shared" si="44"/>
        <v>25</v>
      </c>
      <c r="X124" s="33">
        <f t="shared" si="33"/>
        <v>25</v>
      </c>
      <c r="Y124" s="32">
        <f t="shared" si="34"/>
        <v>-1</v>
      </c>
      <c r="Z124" s="32"/>
      <c r="AA124" s="30">
        <f t="shared" si="35"/>
        <v>3.1502533899465828</v>
      </c>
      <c r="AB124" s="28">
        <f t="shared" si="36"/>
        <v>0.40957857405462184</v>
      </c>
      <c r="AC124" s="28">
        <f t="shared" si="37"/>
        <v>0.10964912280701754</v>
      </c>
      <c r="AD124" s="29">
        <f t="shared" si="38"/>
        <v>109.10815939278939</v>
      </c>
      <c r="AE124" s="28">
        <f t="shared" si="39"/>
        <v>0.10964912280701754</v>
      </c>
      <c r="AF124" s="28">
        <f t="shared" si="40"/>
        <v>0.29992945124760428</v>
      </c>
      <c r="AG124" s="28">
        <f t="shared" si="41"/>
        <v>0</v>
      </c>
      <c r="AI124" s="31">
        <f t="shared" si="42"/>
        <v>-0.55361142421218446</v>
      </c>
      <c r="AJ124" s="25"/>
      <c r="AK124" s="31"/>
      <c r="AM124" s="27"/>
    </row>
    <row r="125" spans="4:39" x14ac:dyDescent="0.25">
      <c r="D125" s="25">
        <f>E125*'Profit per cycles Model'!$I$113</f>
        <v>1160</v>
      </c>
      <c r="E125" s="25">
        <v>3.1776468976852486</v>
      </c>
      <c r="F125" s="28">
        <f t="shared" si="23"/>
        <v>0.86206896551724133</v>
      </c>
      <c r="G125" s="28">
        <f>'Battery Pricing Model'!$C$17/D125</f>
        <v>0.86206896551724133</v>
      </c>
      <c r="H125" s="28">
        <f t="shared" si="24"/>
        <v>999</v>
      </c>
      <c r="I125" s="28"/>
      <c r="J125" s="34">
        <f>INDEX('Profit per cycles Model'!$I$149:$I$179, MATCH(TRUNC(E125, 0), 'Profit per cycles Model'!$H$149:$H$179, 0))</f>
        <v>0.40957857405462184</v>
      </c>
      <c r="K125" s="27">
        <f>AVERAGE($AB$10:AB125)</f>
        <v>0.38834858752444978</v>
      </c>
      <c r="L125" s="28">
        <f t="shared" si="25"/>
        <v>999</v>
      </c>
      <c r="M125" s="28">
        <f t="shared" si="26"/>
        <v>999</v>
      </c>
      <c r="N125" s="28">
        <f t="shared" si="27"/>
        <v>999</v>
      </c>
      <c r="O125" s="28"/>
      <c r="P125" s="29">
        <f t="shared" si="43"/>
        <v>0.11600000000000009</v>
      </c>
      <c r="Q125" s="33">
        <f t="shared" si="28"/>
        <v>6.7114093959731544</v>
      </c>
      <c r="R125" s="33">
        <f t="shared" si="29"/>
        <v>6.7114093959731544</v>
      </c>
      <c r="S125" s="33">
        <f t="shared" si="30"/>
        <v>-1</v>
      </c>
      <c r="T125" s="27"/>
      <c r="U125" s="28">
        <f t="shared" si="31"/>
        <v>0.10964912280701754</v>
      </c>
      <c r="V125" s="25">
        <f t="shared" si="32"/>
        <v>999</v>
      </c>
      <c r="W125" s="35">
        <f t="shared" si="44"/>
        <v>25</v>
      </c>
      <c r="X125" s="33">
        <f t="shared" si="33"/>
        <v>25</v>
      </c>
      <c r="Y125" s="32">
        <f t="shared" si="34"/>
        <v>-1</v>
      </c>
      <c r="Z125" s="32"/>
      <c r="AA125" s="30">
        <f t="shared" si="35"/>
        <v>3.1776468976852486</v>
      </c>
      <c r="AB125" s="28">
        <f t="shared" si="36"/>
        <v>0.40957857405462184</v>
      </c>
      <c r="AC125" s="28">
        <f t="shared" si="37"/>
        <v>0.10964912280701754</v>
      </c>
      <c r="AD125" s="29">
        <f t="shared" si="38"/>
        <v>110.05692599620494</v>
      </c>
      <c r="AE125" s="28">
        <f t="shared" si="39"/>
        <v>0.10964912280701754</v>
      </c>
      <c r="AF125" s="28">
        <f t="shared" si="40"/>
        <v>0.29992945124760428</v>
      </c>
      <c r="AG125" s="28">
        <f t="shared" si="41"/>
        <v>0</v>
      </c>
      <c r="AI125" s="31">
        <f t="shared" si="42"/>
        <v>-0.5495156384716382</v>
      </c>
      <c r="AJ125" s="25"/>
      <c r="AK125" s="31"/>
      <c r="AM125" s="27"/>
    </row>
    <row r="126" spans="4:39" x14ac:dyDescent="0.25">
      <c r="D126" s="25">
        <f>E126*'Profit per cycles Model'!$I$113</f>
        <v>1170</v>
      </c>
      <c r="E126" s="25">
        <v>3.2050404054239143</v>
      </c>
      <c r="F126" s="28">
        <f t="shared" si="23"/>
        <v>0.85470085470085466</v>
      </c>
      <c r="G126" s="28">
        <f>'Battery Pricing Model'!$C$17/D126</f>
        <v>0.85470085470085466</v>
      </c>
      <c r="H126" s="28">
        <f t="shared" si="24"/>
        <v>999</v>
      </c>
      <c r="I126" s="28"/>
      <c r="J126" s="34">
        <f>INDEX('Profit per cycles Model'!$I$149:$I$179, MATCH(TRUNC(E126, 0), 'Profit per cycles Model'!$H$149:$H$179, 0))</f>
        <v>0.40957857405462184</v>
      </c>
      <c r="K126" s="27">
        <f>AVERAGE($AB$10:AB126)</f>
        <v>0.38853004040077604</v>
      </c>
      <c r="L126" s="28">
        <f t="shared" si="25"/>
        <v>999</v>
      </c>
      <c r="M126" s="28">
        <f t="shared" si="26"/>
        <v>999</v>
      </c>
      <c r="N126" s="28">
        <f t="shared" si="27"/>
        <v>999</v>
      </c>
      <c r="O126" s="28"/>
      <c r="P126" s="29">
        <f t="shared" si="43"/>
        <v>0.11700000000000009</v>
      </c>
      <c r="Q126" s="33">
        <f t="shared" si="28"/>
        <v>6.7114093959731544</v>
      </c>
      <c r="R126" s="33">
        <f t="shared" si="29"/>
        <v>6.7114093959731544</v>
      </c>
      <c r="S126" s="33">
        <f t="shared" si="30"/>
        <v>-1</v>
      </c>
      <c r="T126" s="27"/>
      <c r="U126" s="28">
        <f t="shared" si="31"/>
        <v>0.10964912280701754</v>
      </c>
      <c r="V126" s="25">
        <f t="shared" si="32"/>
        <v>999</v>
      </c>
      <c r="W126" s="35">
        <f t="shared" si="44"/>
        <v>25</v>
      </c>
      <c r="X126" s="33">
        <f t="shared" si="33"/>
        <v>25</v>
      </c>
      <c r="Y126" s="32">
        <f t="shared" si="34"/>
        <v>-1</v>
      </c>
      <c r="Z126" s="32"/>
      <c r="AA126" s="30">
        <f t="shared" si="35"/>
        <v>3.2050404054239143</v>
      </c>
      <c r="AB126" s="28">
        <f t="shared" si="36"/>
        <v>0.40957857405462184</v>
      </c>
      <c r="AC126" s="28">
        <f t="shared" si="37"/>
        <v>0.10964912280701754</v>
      </c>
      <c r="AD126" s="29">
        <f t="shared" si="38"/>
        <v>111.00569259962049</v>
      </c>
      <c r="AE126" s="28">
        <f t="shared" si="39"/>
        <v>0.10964912280701754</v>
      </c>
      <c r="AF126" s="28">
        <f t="shared" si="40"/>
        <v>0.29992945124760428</v>
      </c>
      <c r="AG126" s="28">
        <f t="shared" si="41"/>
        <v>0</v>
      </c>
      <c r="AI126" s="31">
        <f t="shared" si="42"/>
        <v>-0.54541985273109206</v>
      </c>
      <c r="AJ126" s="25"/>
      <c r="AK126" s="31"/>
      <c r="AM126" s="27"/>
    </row>
    <row r="127" spans="4:39" x14ac:dyDescent="0.25">
      <c r="D127" s="25">
        <f>E127*'Profit per cycles Model'!$I$113</f>
        <v>1180</v>
      </c>
      <c r="E127" s="25">
        <v>3.2324339131625806</v>
      </c>
      <c r="F127" s="28">
        <f t="shared" si="23"/>
        <v>0.84745762711864403</v>
      </c>
      <c r="G127" s="28">
        <f>'Battery Pricing Model'!$C$17/D127</f>
        <v>0.84745762711864403</v>
      </c>
      <c r="H127" s="28">
        <f t="shared" si="24"/>
        <v>999</v>
      </c>
      <c r="I127" s="28"/>
      <c r="J127" s="34">
        <f>INDEX('Profit per cycles Model'!$I$149:$I$179, MATCH(TRUNC(E127, 0), 'Profit per cycles Model'!$H$149:$H$179, 0))</f>
        <v>0.40957857405462184</v>
      </c>
      <c r="K127" s="27">
        <f>AVERAGE($AB$10:AB127)</f>
        <v>0.38870841780462217</v>
      </c>
      <c r="L127" s="28">
        <f t="shared" si="25"/>
        <v>999</v>
      </c>
      <c r="M127" s="28">
        <f t="shared" si="26"/>
        <v>999</v>
      </c>
      <c r="N127" s="28">
        <f t="shared" si="27"/>
        <v>999</v>
      </c>
      <c r="O127" s="28"/>
      <c r="P127" s="29">
        <f t="shared" si="43"/>
        <v>0.11800000000000009</v>
      </c>
      <c r="Q127" s="33">
        <f t="shared" si="28"/>
        <v>6.7114093959731544</v>
      </c>
      <c r="R127" s="33">
        <f t="shared" si="29"/>
        <v>6.7114093959731544</v>
      </c>
      <c r="S127" s="33">
        <f t="shared" si="30"/>
        <v>-1</v>
      </c>
      <c r="T127" s="27"/>
      <c r="U127" s="28">
        <f t="shared" si="31"/>
        <v>0.10964912280701754</v>
      </c>
      <c r="V127" s="25">
        <f t="shared" si="32"/>
        <v>999</v>
      </c>
      <c r="W127" s="35">
        <f t="shared" si="44"/>
        <v>25</v>
      </c>
      <c r="X127" s="33">
        <f t="shared" si="33"/>
        <v>25</v>
      </c>
      <c r="Y127" s="32">
        <f t="shared" si="34"/>
        <v>-1</v>
      </c>
      <c r="Z127" s="32"/>
      <c r="AA127" s="30">
        <f t="shared" si="35"/>
        <v>3.2324339131625806</v>
      </c>
      <c r="AB127" s="28">
        <f t="shared" si="36"/>
        <v>0.40957857405462184</v>
      </c>
      <c r="AC127" s="28">
        <f t="shared" si="37"/>
        <v>0.10964912280701754</v>
      </c>
      <c r="AD127" s="29">
        <f t="shared" si="38"/>
        <v>111.95445920303607</v>
      </c>
      <c r="AE127" s="28">
        <f t="shared" si="39"/>
        <v>0.10964912280701754</v>
      </c>
      <c r="AF127" s="28">
        <f t="shared" si="40"/>
        <v>0.29992945124760428</v>
      </c>
      <c r="AG127" s="28">
        <f t="shared" si="41"/>
        <v>0</v>
      </c>
      <c r="AI127" s="31">
        <f t="shared" si="42"/>
        <v>-0.5413240669905458</v>
      </c>
      <c r="AJ127" s="25"/>
      <c r="AK127" s="31"/>
      <c r="AM127" s="27"/>
    </row>
    <row r="128" spans="4:39" x14ac:dyDescent="0.25">
      <c r="D128" s="25">
        <f>E128*'Profit per cycles Model'!$I$113</f>
        <v>1190</v>
      </c>
      <c r="E128" s="25">
        <v>3.2598274209012463</v>
      </c>
      <c r="F128" s="28">
        <f t="shared" si="23"/>
        <v>0.84033613445378152</v>
      </c>
      <c r="G128" s="28">
        <f>'Battery Pricing Model'!$C$17/D128</f>
        <v>0.84033613445378152</v>
      </c>
      <c r="H128" s="28">
        <f t="shared" si="24"/>
        <v>999</v>
      </c>
      <c r="I128" s="28"/>
      <c r="J128" s="34">
        <f>INDEX('Profit per cycles Model'!$I$149:$I$179, MATCH(TRUNC(E128, 0), 'Profit per cycles Model'!$H$149:$H$179, 0))</f>
        <v>0.40957857405462184</v>
      </c>
      <c r="K128" s="27">
        <f>AVERAGE($AB$10:AB128)</f>
        <v>0.38888379726890787</v>
      </c>
      <c r="L128" s="28">
        <f t="shared" si="25"/>
        <v>999</v>
      </c>
      <c r="M128" s="28">
        <f t="shared" si="26"/>
        <v>999</v>
      </c>
      <c r="N128" s="28">
        <f t="shared" si="27"/>
        <v>999</v>
      </c>
      <c r="O128" s="28"/>
      <c r="P128" s="29">
        <f t="shared" si="43"/>
        <v>0.11900000000000009</v>
      </c>
      <c r="Q128" s="33">
        <f t="shared" si="28"/>
        <v>6.7114093959731544</v>
      </c>
      <c r="R128" s="33">
        <f t="shared" si="29"/>
        <v>6.7114093959731544</v>
      </c>
      <c r="S128" s="33">
        <f t="shared" si="30"/>
        <v>-1</v>
      </c>
      <c r="T128" s="27"/>
      <c r="U128" s="28">
        <f t="shared" si="31"/>
        <v>0.10964912280701754</v>
      </c>
      <c r="V128" s="25">
        <f t="shared" si="32"/>
        <v>999</v>
      </c>
      <c r="W128" s="35">
        <f t="shared" si="44"/>
        <v>25</v>
      </c>
      <c r="X128" s="33">
        <f t="shared" si="33"/>
        <v>25</v>
      </c>
      <c r="Y128" s="32">
        <f t="shared" si="34"/>
        <v>-1</v>
      </c>
      <c r="Z128" s="32"/>
      <c r="AA128" s="30">
        <f t="shared" si="35"/>
        <v>3.2598274209012463</v>
      </c>
      <c r="AB128" s="28">
        <f t="shared" si="36"/>
        <v>0.40957857405462184</v>
      </c>
      <c r="AC128" s="28">
        <f t="shared" si="37"/>
        <v>0.10964912280701754</v>
      </c>
      <c r="AD128" s="29">
        <f t="shared" si="38"/>
        <v>112.90322580645162</v>
      </c>
      <c r="AE128" s="28">
        <f t="shared" si="39"/>
        <v>0.10964912280701754</v>
      </c>
      <c r="AF128" s="28">
        <f t="shared" si="40"/>
        <v>0.29992945124760428</v>
      </c>
      <c r="AG128" s="28">
        <f t="shared" si="41"/>
        <v>0</v>
      </c>
      <c r="AI128" s="31">
        <f t="shared" si="42"/>
        <v>-0.53722828124999966</v>
      </c>
      <c r="AJ128" s="25"/>
      <c r="AK128" s="31"/>
      <c r="AM128" s="27"/>
    </row>
    <row r="129" spans="4:39" x14ac:dyDescent="0.25">
      <c r="D129" s="25">
        <f>E129*'Profit per cycles Model'!$I$113</f>
        <v>1200</v>
      </c>
      <c r="E129" s="25">
        <v>3.2872209286399121</v>
      </c>
      <c r="F129" s="28">
        <f t="shared" si="23"/>
        <v>0.83333333333333337</v>
      </c>
      <c r="G129" s="28">
        <f>'Battery Pricing Model'!$C$17/D129</f>
        <v>0.83333333333333337</v>
      </c>
      <c r="H129" s="28">
        <f t="shared" si="24"/>
        <v>999</v>
      </c>
      <c r="I129" s="28"/>
      <c r="J129" s="34">
        <f>INDEX('Profit per cycles Model'!$I$149:$I$179, MATCH(TRUNC(E129, 0), 'Profit per cycles Model'!$H$149:$H$179, 0))</f>
        <v>0.40957857405462184</v>
      </c>
      <c r="K129" s="27">
        <f>AVERAGE($AB$10:AB129)</f>
        <v>0.38905625374212216</v>
      </c>
      <c r="L129" s="28">
        <f t="shared" si="25"/>
        <v>999</v>
      </c>
      <c r="M129" s="28">
        <f t="shared" si="26"/>
        <v>999</v>
      </c>
      <c r="N129" s="28">
        <f t="shared" si="27"/>
        <v>999</v>
      </c>
      <c r="O129" s="28"/>
      <c r="P129" s="29">
        <f t="shared" si="43"/>
        <v>0.12000000000000009</v>
      </c>
      <c r="Q129" s="33">
        <f t="shared" si="28"/>
        <v>6.7114093959731544</v>
      </c>
      <c r="R129" s="33">
        <f t="shared" si="29"/>
        <v>6.7114093959731544</v>
      </c>
      <c r="S129" s="33">
        <f t="shared" si="30"/>
        <v>-1</v>
      </c>
      <c r="T129" s="27"/>
      <c r="U129" s="28">
        <f t="shared" si="31"/>
        <v>0.10964912280701754</v>
      </c>
      <c r="V129" s="25">
        <f t="shared" si="32"/>
        <v>999</v>
      </c>
      <c r="W129" s="35">
        <f t="shared" si="44"/>
        <v>25</v>
      </c>
      <c r="X129" s="33">
        <f t="shared" si="33"/>
        <v>25</v>
      </c>
      <c r="Y129" s="32">
        <f t="shared" si="34"/>
        <v>-1</v>
      </c>
      <c r="Z129" s="32"/>
      <c r="AA129" s="30">
        <f t="shared" si="35"/>
        <v>3.2872209286399121</v>
      </c>
      <c r="AB129" s="28">
        <f t="shared" si="36"/>
        <v>0.40957857405462184</v>
      </c>
      <c r="AC129" s="28">
        <f t="shared" si="37"/>
        <v>0.10964912280701754</v>
      </c>
      <c r="AD129" s="29">
        <f t="shared" si="38"/>
        <v>113.85199240986717</v>
      </c>
      <c r="AE129" s="28">
        <f t="shared" si="39"/>
        <v>0.10964912280701754</v>
      </c>
      <c r="AF129" s="28">
        <f t="shared" si="40"/>
        <v>0.29992945124760428</v>
      </c>
      <c r="AG129" s="28">
        <f t="shared" si="41"/>
        <v>0</v>
      </c>
      <c r="AI129" s="31">
        <f t="shared" si="42"/>
        <v>-0.53313249550945341</v>
      </c>
      <c r="AJ129" s="25"/>
      <c r="AK129" s="31"/>
      <c r="AM129" s="27"/>
    </row>
    <row r="130" spans="4:39" x14ac:dyDescent="0.25">
      <c r="D130" s="25">
        <f>E130*'Profit per cycles Model'!$I$113</f>
        <v>1210</v>
      </c>
      <c r="E130" s="25">
        <v>3.3146144363785783</v>
      </c>
      <c r="F130" s="28">
        <f t="shared" si="23"/>
        <v>0.82644628099173556</v>
      </c>
      <c r="G130" s="28">
        <f>'Battery Pricing Model'!$C$17/D130</f>
        <v>0.82644628099173556</v>
      </c>
      <c r="H130" s="28">
        <f t="shared" si="24"/>
        <v>999</v>
      </c>
      <c r="I130" s="28"/>
      <c r="J130" s="34">
        <f>INDEX('Profit per cycles Model'!$I$149:$I$179, MATCH(TRUNC(E130, 0), 'Profit per cycles Model'!$H$149:$H$179, 0))</f>
        <v>0.40957857405462184</v>
      </c>
      <c r="K130" s="27">
        <f>AVERAGE($AB$10:AB130)</f>
        <v>0.38922585969511797</v>
      </c>
      <c r="L130" s="28">
        <f t="shared" si="25"/>
        <v>999</v>
      </c>
      <c r="M130" s="28">
        <f t="shared" si="26"/>
        <v>999</v>
      </c>
      <c r="N130" s="28">
        <f t="shared" si="27"/>
        <v>999</v>
      </c>
      <c r="O130" s="28"/>
      <c r="P130" s="29">
        <f t="shared" si="43"/>
        <v>0.12100000000000009</v>
      </c>
      <c r="Q130" s="33">
        <f t="shared" si="28"/>
        <v>6.7114093959731544</v>
      </c>
      <c r="R130" s="33">
        <f t="shared" si="29"/>
        <v>6.7114093959731544</v>
      </c>
      <c r="S130" s="33">
        <f t="shared" si="30"/>
        <v>-1</v>
      </c>
      <c r="T130" s="27"/>
      <c r="U130" s="28">
        <f t="shared" si="31"/>
        <v>0.10964912280701754</v>
      </c>
      <c r="V130" s="25">
        <f t="shared" si="32"/>
        <v>999</v>
      </c>
      <c r="W130" s="35">
        <f t="shared" si="44"/>
        <v>25</v>
      </c>
      <c r="X130" s="33">
        <f t="shared" si="33"/>
        <v>25</v>
      </c>
      <c r="Y130" s="32">
        <f t="shared" si="34"/>
        <v>-1</v>
      </c>
      <c r="Z130" s="32"/>
      <c r="AA130" s="30">
        <f t="shared" si="35"/>
        <v>3.3146144363785783</v>
      </c>
      <c r="AB130" s="28">
        <f t="shared" si="36"/>
        <v>0.40957857405462184</v>
      </c>
      <c r="AC130" s="28">
        <f t="shared" si="37"/>
        <v>0.10964912280701754</v>
      </c>
      <c r="AD130" s="29">
        <f t="shared" si="38"/>
        <v>114.80075901328274</v>
      </c>
      <c r="AE130" s="28">
        <f t="shared" si="39"/>
        <v>0.10964912280701754</v>
      </c>
      <c r="AF130" s="28">
        <f t="shared" si="40"/>
        <v>0.29992945124760428</v>
      </c>
      <c r="AG130" s="28">
        <f t="shared" si="41"/>
        <v>0</v>
      </c>
      <c r="AI130" s="31">
        <f t="shared" si="42"/>
        <v>-0.52903670976890727</v>
      </c>
      <c r="AJ130" s="25"/>
      <c r="AK130" s="31"/>
      <c r="AM130" s="27"/>
    </row>
    <row r="131" spans="4:39" x14ac:dyDescent="0.25">
      <c r="D131" s="25">
        <f>E131*'Profit per cycles Model'!$I$113</f>
        <v>1220</v>
      </c>
      <c r="E131" s="25">
        <v>3.3420079441172441</v>
      </c>
      <c r="F131" s="28">
        <f t="shared" si="23"/>
        <v>0.81967213114754101</v>
      </c>
      <c r="G131" s="28">
        <f>'Battery Pricing Model'!$C$17/D131</f>
        <v>0.81967213114754101</v>
      </c>
      <c r="H131" s="28">
        <f t="shared" si="24"/>
        <v>999</v>
      </c>
      <c r="I131" s="28"/>
      <c r="J131" s="34">
        <f>INDEX('Profit per cycles Model'!$I$149:$I$179, MATCH(TRUNC(E131, 0), 'Profit per cycles Model'!$H$149:$H$179, 0))</f>
        <v>0.40957857405462184</v>
      </c>
      <c r="K131" s="27">
        <f>AVERAGE($AB$10:AB131)</f>
        <v>0.38939268522265491</v>
      </c>
      <c r="L131" s="28">
        <f t="shared" si="25"/>
        <v>999</v>
      </c>
      <c r="M131" s="28">
        <f t="shared" si="26"/>
        <v>999</v>
      </c>
      <c r="N131" s="28">
        <f t="shared" si="27"/>
        <v>999</v>
      </c>
      <c r="O131" s="28"/>
      <c r="P131" s="29">
        <f t="shared" si="43"/>
        <v>0.12200000000000009</v>
      </c>
      <c r="Q131" s="33">
        <f t="shared" si="28"/>
        <v>6.7114093959731544</v>
      </c>
      <c r="R131" s="33">
        <f t="shared" si="29"/>
        <v>6.7114093959731544</v>
      </c>
      <c r="S131" s="33">
        <f t="shared" si="30"/>
        <v>-1</v>
      </c>
      <c r="T131" s="27"/>
      <c r="U131" s="28">
        <f t="shared" si="31"/>
        <v>0.10964912280701754</v>
      </c>
      <c r="V131" s="25">
        <f t="shared" si="32"/>
        <v>999</v>
      </c>
      <c r="W131" s="35">
        <f t="shared" si="44"/>
        <v>25</v>
      </c>
      <c r="X131" s="33">
        <f t="shared" si="33"/>
        <v>25</v>
      </c>
      <c r="Y131" s="32">
        <f t="shared" si="34"/>
        <v>-1</v>
      </c>
      <c r="Z131" s="32"/>
      <c r="AA131" s="30">
        <f t="shared" si="35"/>
        <v>3.3420079441172441</v>
      </c>
      <c r="AB131" s="28">
        <f t="shared" si="36"/>
        <v>0.40957857405462184</v>
      </c>
      <c r="AC131" s="28">
        <f t="shared" si="37"/>
        <v>0.10964912280701754</v>
      </c>
      <c r="AD131" s="29">
        <f t="shared" si="38"/>
        <v>115.74952561669831</v>
      </c>
      <c r="AE131" s="28">
        <f t="shared" si="39"/>
        <v>0.10964912280701754</v>
      </c>
      <c r="AF131" s="28">
        <f t="shared" si="40"/>
        <v>0.29992945124760428</v>
      </c>
      <c r="AG131" s="28">
        <f t="shared" si="41"/>
        <v>0</v>
      </c>
      <c r="AI131" s="31">
        <f t="shared" si="42"/>
        <v>-0.52494092402836101</v>
      </c>
      <c r="AJ131" s="25"/>
      <c r="AK131" s="31"/>
      <c r="AM131" s="27"/>
    </row>
    <row r="132" spans="4:39" x14ac:dyDescent="0.25">
      <c r="D132" s="25">
        <f>E132*'Profit per cycles Model'!$I$113</f>
        <v>1230</v>
      </c>
      <c r="E132" s="25">
        <v>3.3694014518559099</v>
      </c>
      <c r="F132" s="28">
        <f t="shared" si="23"/>
        <v>0.81300813008130079</v>
      </c>
      <c r="G132" s="28">
        <f>'Battery Pricing Model'!$C$17/D132</f>
        <v>0.81300813008130079</v>
      </c>
      <c r="H132" s="28">
        <f t="shared" si="24"/>
        <v>999</v>
      </c>
      <c r="I132" s="28"/>
      <c r="J132" s="34">
        <f>INDEX('Profit per cycles Model'!$I$149:$I$179, MATCH(TRUNC(E132, 0), 'Profit per cycles Model'!$H$149:$H$179, 0))</f>
        <v>0.40957857405462184</v>
      </c>
      <c r="K132" s="27">
        <f>AVERAGE($AB$10:AB132)</f>
        <v>0.38955679813998795</v>
      </c>
      <c r="L132" s="28">
        <f t="shared" si="25"/>
        <v>999</v>
      </c>
      <c r="M132" s="28">
        <f t="shared" si="26"/>
        <v>999</v>
      </c>
      <c r="N132" s="28">
        <f t="shared" si="27"/>
        <v>999</v>
      </c>
      <c r="O132" s="28"/>
      <c r="P132" s="29">
        <f t="shared" si="43"/>
        <v>0.1230000000000001</v>
      </c>
      <c r="Q132" s="33">
        <f t="shared" si="28"/>
        <v>6.7114093959731544</v>
      </c>
      <c r="R132" s="33">
        <f t="shared" si="29"/>
        <v>6.7114093959731544</v>
      </c>
      <c r="S132" s="33">
        <f t="shared" si="30"/>
        <v>-1</v>
      </c>
      <c r="T132" s="27"/>
      <c r="U132" s="28">
        <f t="shared" si="31"/>
        <v>0.10964912280701754</v>
      </c>
      <c r="V132" s="25">
        <f t="shared" si="32"/>
        <v>999</v>
      </c>
      <c r="W132" s="35">
        <f t="shared" si="44"/>
        <v>25</v>
      </c>
      <c r="X132" s="33">
        <f t="shared" si="33"/>
        <v>25</v>
      </c>
      <c r="Y132" s="32">
        <f t="shared" si="34"/>
        <v>-1</v>
      </c>
      <c r="Z132" s="32"/>
      <c r="AA132" s="30">
        <f t="shared" si="35"/>
        <v>3.3694014518559099</v>
      </c>
      <c r="AB132" s="28">
        <f t="shared" si="36"/>
        <v>0.40957857405462184</v>
      </c>
      <c r="AC132" s="28">
        <f t="shared" si="37"/>
        <v>0.10964912280701754</v>
      </c>
      <c r="AD132" s="29">
        <f t="shared" si="38"/>
        <v>116.69829222011384</v>
      </c>
      <c r="AE132" s="28">
        <f t="shared" si="39"/>
        <v>0.10964912280701754</v>
      </c>
      <c r="AF132" s="28">
        <f t="shared" si="40"/>
        <v>0.29992945124760428</v>
      </c>
      <c r="AG132" s="28">
        <f t="shared" si="41"/>
        <v>0</v>
      </c>
      <c r="AI132" s="31">
        <f t="shared" si="42"/>
        <v>-0.52084513828781487</v>
      </c>
      <c r="AJ132" s="25"/>
      <c r="AK132" s="31"/>
      <c r="AM132" s="27"/>
    </row>
    <row r="133" spans="4:39" x14ac:dyDescent="0.25">
      <c r="D133" s="25">
        <f>E133*'Profit per cycles Model'!$I$113</f>
        <v>1240</v>
      </c>
      <c r="E133" s="25">
        <v>3.3967949595945761</v>
      </c>
      <c r="F133" s="28">
        <f t="shared" si="23"/>
        <v>0.80645161290322576</v>
      </c>
      <c r="G133" s="28">
        <f>'Battery Pricing Model'!$C$17/D133</f>
        <v>0.80645161290322576</v>
      </c>
      <c r="H133" s="28">
        <f t="shared" si="24"/>
        <v>999</v>
      </c>
      <c r="I133" s="28"/>
      <c r="J133" s="34">
        <f>INDEX('Profit per cycles Model'!$I$149:$I$179, MATCH(TRUNC(E133, 0), 'Profit per cycles Model'!$H$149:$H$179, 0))</f>
        <v>0.40957857405462184</v>
      </c>
      <c r="K133" s="27">
        <f>AVERAGE($AB$10:AB133)</f>
        <v>0.38971826407478338</v>
      </c>
      <c r="L133" s="28">
        <f t="shared" si="25"/>
        <v>999</v>
      </c>
      <c r="M133" s="28">
        <f t="shared" si="26"/>
        <v>999</v>
      </c>
      <c r="N133" s="28">
        <f t="shared" si="27"/>
        <v>999</v>
      </c>
      <c r="O133" s="28"/>
      <c r="P133" s="29">
        <f t="shared" si="43"/>
        <v>0.1240000000000001</v>
      </c>
      <c r="Q133" s="33">
        <f t="shared" si="28"/>
        <v>6.7114093959731544</v>
      </c>
      <c r="R133" s="33">
        <f t="shared" si="29"/>
        <v>6.7114093959731544</v>
      </c>
      <c r="S133" s="33">
        <f t="shared" si="30"/>
        <v>-1</v>
      </c>
      <c r="T133" s="27"/>
      <c r="U133" s="28">
        <f t="shared" si="31"/>
        <v>0.10964912280701754</v>
      </c>
      <c r="V133" s="25">
        <f t="shared" si="32"/>
        <v>999</v>
      </c>
      <c r="W133" s="35">
        <f t="shared" si="44"/>
        <v>25</v>
      </c>
      <c r="X133" s="33">
        <f t="shared" si="33"/>
        <v>25</v>
      </c>
      <c r="Y133" s="32">
        <f t="shared" si="34"/>
        <v>-1</v>
      </c>
      <c r="Z133" s="32"/>
      <c r="AA133" s="30">
        <f t="shared" si="35"/>
        <v>3.3967949595945761</v>
      </c>
      <c r="AB133" s="28">
        <f t="shared" si="36"/>
        <v>0.40957857405462184</v>
      </c>
      <c r="AC133" s="28">
        <f t="shared" si="37"/>
        <v>0.10964912280701754</v>
      </c>
      <c r="AD133" s="29">
        <f t="shared" si="38"/>
        <v>117.64705882352942</v>
      </c>
      <c r="AE133" s="28">
        <f t="shared" si="39"/>
        <v>0.10964912280701754</v>
      </c>
      <c r="AF133" s="28">
        <f t="shared" si="40"/>
        <v>0.29992945124760428</v>
      </c>
      <c r="AG133" s="28">
        <f t="shared" si="41"/>
        <v>0</v>
      </c>
      <c r="AI133" s="31">
        <f t="shared" si="42"/>
        <v>-0.51674935254726861</v>
      </c>
      <c r="AJ133" s="25"/>
      <c r="AK133" s="31"/>
      <c r="AM133" s="27"/>
    </row>
    <row r="134" spans="4:39" x14ac:dyDescent="0.25">
      <c r="D134" s="25">
        <f>E134*'Profit per cycles Model'!$I$113</f>
        <v>1250</v>
      </c>
      <c r="E134" s="25">
        <v>3.4241884673332419</v>
      </c>
      <c r="F134" s="28">
        <f t="shared" si="23"/>
        <v>0.8</v>
      </c>
      <c r="G134" s="28">
        <f>'Battery Pricing Model'!$C$17/D134</f>
        <v>0.8</v>
      </c>
      <c r="H134" s="28">
        <f t="shared" si="24"/>
        <v>999</v>
      </c>
      <c r="I134" s="28"/>
      <c r="J134" s="34">
        <f>INDEX('Profit per cycles Model'!$I$149:$I$179, MATCH(TRUNC(E134, 0), 'Profit per cycles Model'!$H$149:$H$179, 0))</f>
        <v>0.40957857405462184</v>
      </c>
      <c r="K134" s="27">
        <f>AVERAGE($AB$10:AB134)</f>
        <v>0.38987714655462208</v>
      </c>
      <c r="L134" s="28">
        <f t="shared" si="25"/>
        <v>999</v>
      </c>
      <c r="M134" s="28">
        <f t="shared" si="26"/>
        <v>999</v>
      </c>
      <c r="N134" s="28">
        <f t="shared" si="27"/>
        <v>999</v>
      </c>
      <c r="O134" s="28"/>
      <c r="P134" s="29">
        <f t="shared" si="43"/>
        <v>0.12500000000000008</v>
      </c>
      <c r="Q134" s="33">
        <f t="shared" si="28"/>
        <v>6.7114093959731544</v>
      </c>
      <c r="R134" s="33">
        <f t="shared" si="29"/>
        <v>6.7114093959731544</v>
      </c>
      <c r="S134" s="33">
        <f t="shared" si="30"/>
        <v>-1</v>
      </c>
      <c r="T134" s="27"/>
      <c r="U134" s="28">
        <f t="shared" si="31"/>
        <v>0.10964912280701754</v>
      </c>
      <c r="V134" s="25">
        <f t="shared" si="32"/>
        <v>999</v>
      </c>
      <c r="W134" s="35">
        <f t="shared" si="44"/>
        <v>25</v>
      </c>
      <c r="X134" s="33">
        <f t="shared" si="33"/>
        <v>25</v>
      </c>
      <c r="Y134" s="32">
        <f t="shared" si="34"/>
        <v>-1</v>
      </c>
      <c r="Z134" s="32"/>
      <c r="AA134" s="30">
        <f t="shared" si="35"/>
        <v>3.4241884673332419</v>
      </c>
      <c r="AB134" s="28">
        <f t="shared" si="36"/>
        <v>0.40957857405462184</v>
      </c>
      <c r="AC134" s="28">
        <f t="shared" si="37"/>
        <v>0.10964912280701754</v>
      </c>
      <c r="AD134" s="29">
        <f t="shared" si="38"/>
        <v>118.59582542694497</v>
      </c>
      <c r="AE134" s="28">
        <f t="shared" si="39"/>
        <v>0.10964912280701754</v>
      </c>
      <c r="AF134" s="28">
        <f t="shared" si="40"/>
        <v>0.29992945124760428</v>
      </c>
      <c r="AG134" s="28">
        <f t="shared" si="41"/>
        <v>0</v>
      </c>
      <c r="AI134" s="31">
        <f t="shared" si="42"/>
        <v>-0.51265356680672247</v>
      </c>
      <c r="AJ134" s="25"/>
      <c r="AK134" s="31"/>
      <c r="AM134" s="27"/>
    </row>
    <row r="135" spans="4:39" x14ac:dyDescent="0.25">
      <c r="D135" s="25">
        <f>E135*'Profit per cycles Model'!$I$113</f>
        <v>1260</v>
      </c>
      <c r="E135" s="25">
        <v>3.4515819750719077</v>
      </c>
      <c r="F135" s="28">
        <f t="shared" si="23"/>
        <v>0.79365079365079361</v>
      </c>
      <c r="G135" s="28">
        <f>'Battery Pricing Model'!$C$17/D135</f>
        <v>0.79365079365079361</v>
      </c>
      <c r="H135" s="28">
        <f t="shared" si="24"/>
        <v>999</v>
      </c>
      <c r="I135" s="28"/>
      <c r="J135" s="34">
        <f>INDEX('Profit per cycles Model'!$I$149:$I$179, MATCH(TRUNC(E135, 0), 'Profit per cycles Model'!$H$149:$H$179, 0))</f>
        <v>0.40957857405462184</v>
      </c>
      <c r="K135" s="27">
        <f>AVERAGE($AB$10:AB135)</f>
        <v>0.39003350709033635</v>
      </c>
      <c r="L135" s="28">
        <f t="shared" si="25"/>
        <v>999</v>
      </c>
      <c r="M135" s="28">
        <f t="shared" si="26"/>
        <v>999</v>
      </c>
      <c r="N135" s="28">
        <f t="shared" si="27"/>
        <v>999</v>
      </c>
      <c r="O135" s="28"/>
      <c r="P135" s="29">
        <f t="shared" si="43"/>
        <v>0.12600000000000008</v>
      </c>
      <c r="Q135" s="33">
        <f t="shared" si="28"/>
        <v>6.7114093959731544</v>
      </c>
      <c r="R135" s="33">
        <f t="shared" si="29"/>
        <v>6.7114093959731544</v>
      </c>
      <c r="S135" s="33">
        <f t="shared" si="30"/>
        <v>-1</v>
      </c>
      <c r="T135" s="27"/>
      <c r="U135" s="28">
        <f t="shared" si="31"/>
        <v>0.10964912280701754</v>
      </c>
      <c r="V135" s="25">
        <f t="shared" si="32"/>
        <v>999</v>
      </c>
      <c r="W135" s="35">
        <f t="shared" si="44"/>
        <v>25</v>
      </c>
      <c r="X135" s="33">
        <f t="shared" si="33"/>
        <v>25</v>
      </c>
      <c r="Y135" s="32">
        <f t="shared" si="34"/>
        <v>-1</v>
      </c>
      <c r="Z135" s="32"/>
      <c r="AA135" s="30">
        <f t="shared" si="35"/>
        <v>3.4515819750719077</v>
      </c>
      <c r="AB135" s="28">
        <f t="shared" si="36"/>
        <v>0.40957857405462184</v>
      </c>
      <c r="AC135" s="28">
        <f t="shared" si="37"/>
        <v>0.10964912280701754</v>
      </c>
      <c r="AD135" s="29">
        <f t="shared" si="38"/>
        <v>119.54459203036053</v>
      </c>
      <c r="AE135" s="28">
        <f t="shared" si="39"/>
        <v>0.10964912280701754</v>
      </c>
      <c r="AF135" s="28">
        <f t="shared" si="40"/>
        <v>0.29992945124760428</v>
      </c>
      <c r="AG135" s="28">
        <f t="shared" si="41"/>
        <v>0</v>
      </c>
      <c r="AI135" s="31">
        <f t="shared" si="42"/>
        <v>-0.50855778106617622</v>
      </c>
      <c r="AJ135" s="25"/>
      <c r="AK135" s="31"/>
      <c r="AM135" s="27"/>
    </row>
    <row r="136" spans="4:39" x14ac:dyDescent="0.25">
      <c r="D136" s="25">
        <f>E136*'Profit per cycles Model'!$I$113</f>
        <v>1270</v>
      </c>
      <c r="E136" s="25">
        <v>3.4789754828105739</v>
      </c>
      <c r="F136" s="28">
        <f t="shared" si="23"/>
        <v>0.78740157480314965</v>
      </c>
      <c r="G136" s="28">
        <f>'Battery Pricing Model'!$C$17/D136</f>
        <v>0.78740157480314965</v>
      </c>
      <c r="H136" s="28">
        <f t="shared" si="24"/>
        <v>999</v>
      </c>
      <c r="I136" s="28"/>
      <c r="J136" s="34">
        <f>INDEX('Profit per cycles Model'!$I$149:$I$179, MATCH(TRUNC(E136, 0), 'Profit per cycles Model'!$H$149:$H$179, 0))</f>
        <v>0.40957857405462184</v>
      </c>
      <c r="K136" s="27">
        <f>AVERAGE($AB$10:AB136)</f>
        <v>0.39018740525540946</v>
      </c>
      <c r="L136" s="28">
        <f t="shared" si="25"/>
        <v>999</v>
      </c>
      <c r="M136" s="28">
        <f t="shared" si="26"/>
        <v>999</v>
      </c>
      <c r="N136" s="28">
        <f t="shared" si="27"/>
        <v>999</v>
      </c>
      <c r="O136" s="28"/>
      <c r="P136" s="29">
        <f t="shared" si="43"/>
        <v>0.12700000000000009</v>
      </c>
      <c r="Q136" s="33">
        <f t="shared" si="28"/>
        <v>6.7114093959731544</v>
      </c>
      <c r="R136" s="33">
        <f t="shared" si="29"/>
        <v>6.7114093959731544</v>
      </c>
      <c r="S136" s="33">
        <f t="shared" si="30"/>
        <v>-1</v>
      </c>
      <c r="T136" s="27"/>
      <c r="U136" s="28">
        <f t="shared" si="31"/>
        <v>0.10964912280701754</v>
      </c>
      <c r="V136" s="25">
        <f t="shared" si="32"/>
        <v>999</v>
      </c>
      <c r="W136" s="35">
        <f t="shared" si="44"/>
        <v>25</v>
      </c>
      <c r="X136" s="33">
        <f t="shared" si="33"/>
        <v>25</v>
      </c>
      <c r="Y136" s="32">
        <f t="shared" si="34"/>
        <v>-1</v>
      </c>
      <c r="Z136" s="32"/>
      <c r="AA136" s="30">
        <f t="shared" si="35"/>
        <v>3.4789754828105739</v>
      </c>
      <c r="AB136" s="28">
        <f t="shared" si="36"/>
        <v>0.40957857405462184</v>
      </c>
      <c r="AC136" s="28">
        <f t="shared" si="37"/>
        <v>0.10964912280701754</v>
      </c>
      <c r="AD136" s="29">
        <f t="shared" si="38"/>
        <v>120.4933586337761</v>
      </c>
      <c r="AE136" s="28">
        <f t="shared" si="39"/>
        <v>0.10964912280701754</v>
      </c>
      <c r="AF136" s="28">
        <f t="shared" si="40"/>
        <v>0.29992945124760428</v>
      </c>
      <c r="AG136" s="28">
        <f t="shared" si="41"/>
        <v>0</v>
      </c>
      <c r="AI136" s="31">
        <f t="shared" si="42"/>
        <v>-0.50446199532562996</v>
      </c>
      <c r="AJ136" s="25"/>
      <c r="AK136" s="31"/>
      <c r="AM136" s="27"/>
    </row>
    <row r="137" spans="4:39" x14ac:dyDescent="0.25">
      <c r="D137" s="25">
        <f>E137*'Profit per cycles Model'!$I$113</f>
        <v>1280</v>
      </c>
      <c r="E137" s="25">
        <v>3.5063689905492397</v>
      </c>
      <c r="F137" s="28">
        <f t="shared" si="23"/>
        <v>0.78125</v>
      </c>
      <c r="G137" s="28">
        <f>'Battery Pricing Model'!$C$17/D137</f>
        <v>0.78125</v>
      </c>
      <c r="H137" s="28">
        <f t="shared" si="24"/>
        <v>999</v>
      </c>
      <c r="I137" s="28"/>
      <c r="J137" s="34">
        <f>INDEX('Profit per cycles Model'!$I$149:$I$179, MATCH(TRUNC(E137, 0), 'Profit per cycles Model'!$H$149:$H$179, 0))</f>
        <v>0.40957857405462184</v>
      </c>
      <c r="K137" s="27">
        <f>AVERAGE($AB$10:AB137)</f>
        <v>0.39033889876165329</v>
      </c>
      <c r="L137" s="28">
        <f t="shared" si="25"/>
        <v>999</v>
      </c>
      <c r="M137" s="28">
        <f t="shared" si="26"/>
        <v>999</v>
      </c>
      <c r="N137" s="28">
        <f t="shared" si="27"/>
        <v>999</v>
      </c>
      <c r="O137" s="28"/>
      <c r="P137" s="29">
        <f t="shared" si="43"/>
        <v>0.12800000000000009</v>
      </c>
      <c r="Q137" s="33">
        <f t="shared" si="28"/>
        <v>6.7114093959731544</v>
      </c>
      <c r="R137" s="33">
        <f t="shared" si="29"/>
        <v>6.7114093959731544</v>
      </c>
      <c r="S137" s="33">
        <f t="shared" si="30"/>
        <v>-1</v>
      </c>
      <c r="T137" s="27"/>
      <c r="U137" s="28">
        <f t="shared" si="31"/>
        <v>0.10964912280701754</v>
      </c>
      <c r="V137" s="25">
        <f t="shared" si="32"/>
        <v>999</v>
      </c>
      <c r="W137" s="35">
        <f t="shared" si="44"/>
        <v>25</v>
      </c>
      <c r="X137" s="33">
        <f t="shared" si="33"/>
        <v>25</v>
      </c>
      <c r="Y137" s="32">
        <f t="shared" si="34"/>
        <v>-1</v>
      </c>
      <c r="Z137" s="32"/>
      <c r="AA137" s="30">
        <f t="shared" si="35"/>
        <v>3.5063689905492397</v>
      </c>
      <c r="AB137" s="28">
        <f t="shared" si="36"/>
        <v>0.40957857405462184</v>
      </c>
      <c r="AC137" s="28">
        <f t="shared" si="37"/>
        <v>0.10964912280701754</v>
      </c>
      <c r="AD137" s="29">
        <f t="shared" si="38"/>
        <v>121.44212523719165</v>
      </c>
      <c r="AE137" s="28">
        <f t="shared" si="39"/>
        <v>0.10964912280701754</v>
      </c>
      <c r="AF137" s="28">
        <f t="shared" si="40"/>
        <v>0.29992945124760428</v>
      </c>
      <c r="AG137" s="28">
        <f t="shared" si="41"/>
        <v>0</v>
      </c>
      <c r="AI137" s="31">
        <f t="shared" si="42"/>
        <v>-0.50036620958508382</v>
      </c>
      <c r="AJ137" s="25"/>
      <c r="AK137" s="31"/>
      <c r="AM137" s="27"/>
    </row>
    <row r="138" spans="4:39" x14ac:dyDescent="0.25">
      <c r="D138" s="25">
        <f>E138*'Profit per cycles Model'!$I$113</f>
        <v>1290</v>
      </c>
      <c r="E138" s="25">
        <v>3.5337624982879055</v>
      </c>
      <c r="F138" s="28">
        <f t="shared" ref="F138:F201" si="45">IF(OR($H$6="None", $H$6=0), G138, H138)</f>
        <v>0.77519379844961245</v>
      </c>
      <c r="G138" s="28">
        <f>'Battery Pricing Model'!$C$17/D138</f>
        <v>0.77519379844961245</v>
      </c>
      <c r="H138" s="28">
        <f t="shared" ref="H138:H201" si="46">IF(OR($H$6="None", $H$6=0), 999, $G138*(H$6))</f>
        <v>999</v>
      </c>
      <c r="I138" s="28"/>
      <c r="J138" s="34">
        <f>INDEX('Profit per cycles Model'!$I$149:$I$179, MATCH(TRUNC(E138, 0), 'Profit per cycles Model'!$H$149:$H$179, 0))</f>
        <v>0.40957857405462184</v>
      </c>
      <c r="K138" s="27">
        <f>AVERAGE($AB$10:AB138)</f>
        <v>0.39048804353136624</v>
      </c>
      <c r="L138" s="28">
        <f t="shared" ref="L138:L201" si="47">IF(K138-F138&lt;0, 999, K138-F138)</f>
        <v>999</v>
      </c>
      <c r="M138" s="28">
        <f t="shared" ref="M138:M201" si="48">IF(K138-F138&lt;0, 999, K138-F138)</f>
        <v>999</v>
      </c>
      <c r="N138" s="28">
        <f t="shared" ref="N138:N201" si="49">IF(K138-H138&lt;0, 999, K138-H138)</f>
        <v>999</v>
      </c>
      <c r="O138" s="28"/>
      <c r="P138" s="29">
        <f t="shared" si="43"/>
        <v>0.12900000000000009</v>
      </c>
      <c r="Q138" s="33">
        <f t="shared" ref="Q138:Q201" si="50">$L$5</f>
        <v>6.7114093959731544</v>
      </c>
      <c r="R138" s="33">
        <f t="shared" ref="R138:R201" si="51">$M$5</f>
        <v>6.7114093959731544</v>
      </c>
      <c r="S138" s="33">
        <f t="shared" ref="S138:S201" si="52">$N$5</f>
        <v>-1</v>
      </c>
      <c r="T138" s="27"/>
      <c r="U138" s="28">
        <f t="shared" ref="U138:U201" si="53">IF(ISNA(INDEX($F$10:$F$1063,MATCH(W138,$E$10:$E$1063,1))),-1,INDEX($F$10:$F$1063,MATCH(W138,$E$10:$E$1063,1)))</f>
        <v>0.10964912280701754</v>
      </c>
      <c r="V138" s="25">
        <f t="shared" ref="V138:V201" si="54">IF(ISNA(INDEX($H$10:$H$1063, MATCH(X138, $E$10:$E$1063,1))),-1,  INDEX($H$10:$H$1063, MATCH(X138, $E$10:$E$1063,1)))</f>
        <v>999</v>
      </c>
      <c r="W138" s="35">
        <f t="shared" si="44"/>
        <v>25</v>
      </c>
      <c r="X138" s="33">
        <f t="shared" ref="X138:X201" si="55">IF(PaybackCustom&gt;0, IF(PaybackCustom&lt;&gt;"Default", PaybackCustom, IF(PaybackStatus&lt;&gt;"",INDEX($Y$2:$Y$6,MATCH(PaybackStatus,$X$2:$X$6,FALSE)),-1)))</f>
        <v>25</v>
      </c>
      <c r="Y138" s="32">
        <f t="shared" ref="Y138:Y201" si="56">IF(PaybackStatus&lt;&gt;"",IF(PaybackStatus=$X$4,IF(X138&lt;=$Y$4,$Y$4,-1), -1), -1)</f>
        <v>-1</v>
      </c>
      <c r="Z138" s="32"/>
      <c r="AA138" s="30">
        <f t="shared" ref="AA138:AA201" si="57">E138</f>
        <v>3.5337624982879055</v>
      </c>
      <c r="AB138" s="28">
        <f t="shared" ref="AB138:AB201" si="58">J138</f>
        <v>0.40957857405462184</v>
      </c>
      <c r="AC138" s="28">
        <f t="shared" ref="AC138:AC201" si="59">U138</f>
        <v>0.10964912280701754</v>
      </c>
      <c r="AD138" s="29">
        <f t="shared" ref="AD138:AD201" si="60">$AC$2*(AA138-$AC$3)/($AC$4-$AC$3)</f>
        <v>122.39089184060721</v>
      </c>
      <c r="AE138" s="28">
        <f t="shared" ref="AE138:AE201" si="61">MIN(AC138, AB138)</f>
        <v>0.10964912280701754</v>
      </c>
      <c r="AF138" s="28">
        <f t="shared" ref="AF138:AF201" si="62">IF(AND(AA138&lt;X138, AB138&gt;AC138), AB138-AC138, 0)</f>
        <v>0.29992945124760428</v>
      </c>
      <c r="AG138" s="28">
        <f t="shared" ref="AG138:AG201" si="63">IF(AND(AA138&lt;X138, AC138&gt;AB138), AC138-AB138, 0)</f>
        <v>0</v>
      </c>
      <c r="AI138" s="31">
        <f t="shared" ref="AI138:AI201" si="64">(K138-F138)/F138</f>
        <v>-0.49627042384453757</v>
      </c>
      <c r="AJ138" s="25"/>
      <c r="AK138" s="31"/>
      <c r="AM138" s="27"/>
    </row>
    <row r="139" spans="4:39" x14ac:dyDescent="0.25">
      <c r="D139" s="25">
        <f>E139*'Profit per cycles Model'!$I$113</f>
        <v>1300</v>
      </c>
      <c r="E139" s="25">
        <v>3.5611560060265717</v>
      </c>
      <c r="F139" s="28">
        <f t="shared" si="45"/>
        <v>0.76923076923076927</v>
      </c>
      <c r="G139" s="28">
        <f>'Battery Pricing Model'!$C$17/D139</f>
        <v>0.76923076923076927</v>
      </c>
      <c r="H139" s="28">
        <f t="shared" si="46"/>
        <v>999</v>
      </c>
      <c r="I139" s="28"/>
      <c r="J139" s="34">
        <f>INDEX('Profit per cycles Model'!$I$149:$I$179, MATCH(TRUNC(E139, 0), 'Profit per cycles Model'!$H$149:$H$179, 0))</f>
        <v>0.40957857405462184</v>
      </c>
      <c r="K139" s="27">
        <f>AVERAGE($AB$10:AB139)</f>
        <v>0.39063489376616045</v>
      </c>
      <c r="L139" s="28">
        <f t="shared" si="47"/>
        <v>999</v>
      </c>
      <c r="M139" s="28">
        <f t="shared" si="48"/>
        <v>999</v>
      </c>
      <c r="N139" s="28">
        <f t="shared" si="49"/>
        <v>999</v>
      </c>
      <c r="O139" s="28"/>
      <c r="P139" s="29">
        <f t="shared" ref="P139:P202" si="65">P138+0.001</f>
        <v>0.13000000000000009</v>
      </c>
      <c r="Q139" s="33">
        <f t="shared" si="50"/>
        <v>6.7114093959731544</v>
      </c>
      <c r="R139" s="33">
        <f t="shared" si="51"/>
        <v>6.7114093959731544</v>
      </c>
      <c r="S139" s="33">
        <f t="shared" si="52"/>
        <v>-1</v>
      </c>
      <c r="T139" s="27"/>
      <c r="U139" s="28">
        <f t="shared" si="53"/>
        <v>0.10964912280701754</v>
      </c>
      <c r="V139" s="25">
        <f t="shared" si="54"/>
        <v>999</v>
      </c>
      <c r="W139" s="35">
        <f t="shared" ref="W139:W202" si="66">IF( AND(X139&gt;0, Y139&gt;0), IF(X139&lt;Y139, X139, Y139),  IF(X139&gt;0, X139, IF(Y139&gt;0, Y139, -1)) )</f>
        <v>25</v>
      </c>
      <c r="X139" s="33">
        <f t="shared" si="55"/>
        <v>25</v>
      </c>
      <c r="Y139" s="32">
        <f t="shared" si="56"/>
        <v>-1</v>
      </c>
      <c r="Z139" s="32"/>
      <c r="AA139" s="30">
        <f t="shared" si="57"/>
        <v>3.5611560060265717</v>
      </c>
      <c r="AB139" s="28">
        <f t="shared" si="58"/>
        <v>0.40957857405462184</v>
      </c>
      <c r="AC139" s="28">
        <f t="shared" si="59"/>
        <v>0.10964912280701754</v>
      </c>
      <c r="AD139" s="29">
        <f t="shared" si="60"/>
        <v>123.33965844402277</v>
      </c>
      <c r="AE139" s="28">
        <f t="shared" si="61"/>
        <v>0.10964912280701754</v>
      </c>
      <c r="AF139" s="28">
        <f t="shared" si="62"/>
        <v>0.29992945124760428</v>
      </c>
      <c r="AG139" s="28">
        <f t="shared" si="63"/>
        <v>0</v>
      </c>
      <c r="AI139" s="31">
        <f t="shared" si="64"/>
        <v>-0.49217463810399142</v>
      </c>
      <c r="AJ139" s="25"/>
      <c r="AK139" s="31"/>
      <c r="AM139" s="27"/>
    </row>
    <row r="140" spans="4:39" x14ac:dyDescent="0.25">
      <c r="D140" s="25">
        <f>E140*'Profit per cycles Model'!$I$113</f>
        <v>1310</v>
      </c>
      <c r="E140" s="25">
        <v>3.5885495137652375</v>
      </c>
      <c r="F140" s="28">
        <f t="shared" si="45"/>
        <v>0.76335877862595425</v>
      </c>
      <c r="G140" s="28">
        <f>'Battery Pricing Model'!$C$17/D140</f>
        <v>0.76335877862595425</v>
      </c>
      <c r="H140" s="28">
        <f t="shared" si="46"/>
        <v>999</v>
      </c>
      <c r="I140" s="28"/>
      <c r="J140" s="34">
        <f>INDEX('Profit per cycles Model'!$I$149:$I$179, MATCH(TRUNC(E140, 0), 'Profit per cycles Model'!$H$149:$H$179, 0))</f>
        <v>0.40957857405462184</v>
      </c>
      <c r="K140" s="27">
        <f>AVERAGE($AB$10:AB140)</f>
        <v>0.39077950201263728</v>
      </c>
      <c r="L140" s="28">
        <f t="shared" si="47"/>
        <v>999</v>
      </c>
      <c r="M140" s="28">
        <f t="shared" si="48"/>
        <v>999</v>
      </c>
      <c r="N140" s="28">
        <f t="shared" si="49"/>
        <v>999</v>
      </c>
      <c r="O140" s="28"/>
      <c r="P140" s="29">
        <f t="shared" si="65"/>
        <v>0.13100000000000009</v>
      </c>
      <c r="Q140" s="33">
        <f t="shared" si="50"/>
        <v>6.7114093959731544</v>
      </c>
      <c r="R140" s="33">
        <f t="shared" si="51"/>
        <v>6.7114093959731544</v>
      </c>
      <c r="S140" s="33">
        <f t="shared" si="52"/>
        <v>-1</v>
      </c>
      <c r="T140" s="27"/>
      <c r="U140" s="28">
        <f t="shared" si="53"/>
        <v>0.10964912280701754</v>
      </c>
      <c r="V140" s="25">
        <f t="shared" si="54"/>
        <v>999</v>
      </c>
      <c r="W140" s="35">
        <f t="shared" si="66"/>
        <v>25</v>
      </c>
      <c r="X140" s="33">
        <f t="shared" si="55"/>
        <v>25</v>
      </c>
      <c r="Y140" s="32">
        <f t="shared" si="56"/>
        <v>-1</v>
      </c>
      <c r="Z140" s="32"/>
      <c r="AA140" s="30">
        <f t="shared" si="57"/>
        <v>3.5885495137652375</v>
      </c>
      <c r="AB140" s="28">
        <f t="shared" si="58"/>
        <v>0.40957857405462184</v>
      </c>
      <c r="AC140" s="28">
        <f t="shared" si="59"/>
        <v>0.10964912280701754</v>
      </c>
      <c r="AD140" s="29">
        <f t="shared" si="60"/>
        <v>124.28842504743832</v>
      </c>
      <c r="AE140" s="28">
        <f t="shared" si="61"/>
        <v>0.10964912280701754</v>
      </c>
      <c r="AF140" s="28">
        <f t="shared" si="62"/>
        <v>0.29992945124760428</v>
      </c>
      <c r="AG140" s="28">
        <f t="shared" si="63"/>
        <v>0</v>
      </c>
      <c r="AI140" s="31">
        <f t="shared" si="64"/>
        <v>-0.48807885236344517</v>
      </c>
      <c r="AJ140" s="25"/>
      <c r="AK140" s="31"/>
      <c r="AM140" s="27"/>
    </row>
    <row r="141" spans="4:39" x14ac:dyDescent="0.25">
      <c r="D141" s="25">
        <f>E141*'Profit per cycles Model'!$I$113</f>
        <v>1320</v>
      </c>
      <c r="E141" s="25">
        <v>3.6159430215039037</v>
      </c>
      <c r="F141" s="28">
        <f t="shared" si="45"/>
        <v>0.75757575757575757</v>
      </c>
      <c r="G141" s="28">
        <f>'Battery Pricing Model'!$C$17/D141</f>
        <v>0.75757575757575757</v>
      </c>
      <c r="H141" s="28">
        <f t="shared" si="46"/>
        <v>999</v>
      </c>
      <c r="I141" s="28"/>
      <c r="J141" s="34">
        <f>INDEX('Profit per cycles Model'!$I$149:$I$179, MATCH(TRUNC(E141, 0), 'Profit per cycles Model'!$H$149:$H$179, 0))</f>
        <v>0.40957857405462184</v>
      </c>
      <c r="K141" s="27">
        <f>AVERAGE($AB$10:AB141)</f>
        <v>0.39092191922507652</v>
      </c>
      <c r="L141" s="28">
        <f t="shared" si="47"/>
        <v>999</v>
      </c>
      <c r="M141" s="28">
        <f t="shared" si="48"/>
        <v>999</v>
      </c>
      <c r="N141" s="28">
        <f t="shared" si="49"/>
        <v>999</v>
      </c>
      <c r="O141" s="28"/>
      <c r="P141" s="29">
        <f t="shared" si="65"/>
        <v>0.13200000000000009</v>
      </c>
      <c r="Q141" s="33">
        <f t="shared" si="50"/>
        <v>6.7114093959731544</v>
      </c>
      <c r="R141" s="33">
        <f t="shared" si="51"/>
        <v>6.7114093959731544</v>
      </c>
      <c r="S141" s="33">
        <f t="shared" si="52"/>
        <v>-1</v>
      </c>
      <c r="T141" s="27"/>
      <c r="U141" s="28">
        <f t="shared" si="53"/>
        <v>0.10964912280701754</v>
      </c>
      <c r="V141" s="25">
        <f t="shared" si="54"/>
        <v>999</v>
      </c>
      <c r="W141" s="35">
        <f t="shared" si="66"/>
        <v>25</v>
      </c>
      <c r="X141" s="33">
        <f t="shared" si="55"/>
        <v>25</v>
      </c>
      <c r="Y141" s="32">
        <f t="shared" si="56"/>
        <v>-1</v>
      </c>
      <c r="Z141" s="32"/>
      <c r="AA141" s="30">
        <f t="shared" si="57"/>
        <v>3.6159430215039037</v>
      </c>
      <c r="AB141" s="28">
        <f t="shared" si="58"/>
        <v>0.40957857405462184</v>
      </c>
      <c r="AC141" s="28">
        <f t="shared" si="59"/>
        <v>0.10964912280701754</v>
      </c>
      <c r="AD141" s="29">
        <f t="shared" si="60"/>
        <v>125.2371916508539</v>
      </c>
      <c r="AE141" s="28">
        <f t="shared" si="61"/>
        <v>0.10964912280701754</v>
      </c>
      <c r="AF141" s="28">
        <f t="shared" si="62"/>
        <v>0.29992945124760428</v>
      </c>
      <c r="AG141" s="28">
        <f t="shared" si="63"/>
        <v>0</v>
      </c>
      <c r="AI141" s="31">
        <f t="shared" si="64"/>
        <v>-0.48398306662289897</v>
      </c>
      <c r="AJ141" s="25"/>
      <c r="AK141" s="31"/>
      <c r="AM141" s="27"/>
    </row>
    <row r="142" spans="4:39" x14ac:dyDescent="0.25">
      <c r="D142" s="25">
        <f>E142*'Profit per cycles Model'!$I$113</f>
        <v>1330</v>
      </c>
      <c r="E142" s="25">
        <v>3.6433365292425695</v>
      </c>
      <c r="F142" s="28">
        <f t="shared" si="45"/>
        <v>0.75187969924812026</v>
      </c>
      <c r="G142" s="28">
        <f>'Battery Pricing Model'!$C$17/D142</f>
        <v>0.75187969924812026</v>
      </c>
      <c r="H142" s="28">
        <f t="shared" si="46"/>
        <v>999</v>
      </c>
      <c r="I142" s="28"/>
      <c r="J142" s="34">
        <f>INDEX('Profit per cycles Model'!$I$149:$I$179, MATCH(TRUNC(E142, 0), 'Profit per cycles Model'!$H$149:$H$179, 0))</f>
        <v>0.40957857405462184</v>
      </c>
      <c r="K142" s="27">
        <f>AVERAGE($AB$10:AB142)</f>
        <v>0.39106219482529869</v>
      </c>
      <c r="L142" s="28">
        <f t="shared" si="47"/>
        <v>999</v>
      </c>
      <c r="M142" s="28">
        <f t="shared" si="48"/>
        <v>999</v>
      </c>
      <c r="N142" s="28">
        <f t="shared" si="49"/>
        <v>999</v>
      </c>
      <c r="O142" s="28"/>
      <c r="P142" s="29">
        <f t="shared" si="65"/>
        <v>0.13300000000000009</v>
      </c>
      <c r="Q142" s="33">
        <f t="shared" si="50"/>
        <v>6.7114093959731544</v>
      </c>
      <c r="R142" s="33">
        <f t="shared" si="51"/>
        <v>6.7114093959731544</v>
      </c>
      <c r="S142" s="33">
        <f t="shared" si="52"/>
        <v>-1</v>
      </c>
      <c r="T142" s="27"/>
      <c r="U142" s="28">
        <f t="shared" si="53"/>
        <v>0.10964912280701754</v>
      </c>
      <c r="V142" s="25">
        <f t="shared" si="54"/>
        <v>999</v>
      </c>
      <c r="W142" s="35">
        <f t="shared" si="66"/>
        <v>25</v>
      </c>
      <c r="X142" s="33">
        <f t="shared" si="55"/>
        <v>25</v>
      </c>
      <c r="Y142" s="32">
        <f t="shared" si="56"/>
        <v>-1</v>
      </c>
      <c r="Z142" s="32"/>
      <c r="AA142" s="30">
        <f t="shared" si="57"/>
        <v>3.6433365292425695</v>
      </c>
      <c r="AB142" s="28">
        <f t="shared" si="58"/>
        <v>0.40957857405462184</v>
      </c>
      <c r="AC142" s="28">
        <f t="shared" si="59"/>
        <v>0.10964912280701754</v>
      </c>
      <c r="AD142" s="29">
        <f t="shared" si="60"/>
        <v>126.18595825426947</v>
      </c>
      <c r="AE142" s="28">
        <f t="shared" si="61"/>
        <v>0.10964912280701754</v>
      </c>
      <c r="AF142" s="28">
        <f t="shared" si="62"/>
        <v>0.29992945124760428</v>
      </c>
      <c r="AG142" s="28">
        <f t="shared" si="63"/>
        <v>0</v>
      </c>
      <c r="AI142" s="31">
        <f t="shared" si="64"/>
        <v>-0.47988728088235272</v>
      </c>
      <c r="AJ142" s="25"/>
      <c r="AK142" s="31"/>
      <c r="AM142" s="27"/>
    </row>
    <row r="143" spans="4:39" x14ac:dyDescent="0.25">
      <c r="D143" s="25">
        <f>E143*'Profit per cycles Model'!$I$113</f>
        <v>1340</v>
      </c>
      <c r="E143" s="25">
        <v>3.6707300369812352</v>
      </c>
      <c r="F143" s="28">
        <f t="shared" si="45"/>
        <v>0.74626865671641796</v>
      </c>
      <c r="G143" s="28">
        <f>'Battery Pricing Model'!$C$17/D143</f>
        <v>0.74626865671641796</v>
      </c>
      <c r="H143" s="28">
        <f t="shared" si="46"/>
        <v>999</v>
      </c>
      <c r="I143" s="28"/>
      <c r="J143" s="34">
        <f>INDEX('Profit per cycles Model'!$I$149:$I$179, MATCH(TRUNC(E143, 0), 'Profit per cycles Model'!$H$149:$H$179, 0))</f>
        <v>0.40957857405462184</v>
      </c>
      <c r="K143" s="27">
        <f>AVERAGE($AB$10:AB143)</f>
        <v>0.39120037675984587</v>
      </c>
      <c r="L143" s="28">
        <f t="shared" si="47"/>
        <v>999</v>
      </c>
      <c r="M143" s="28">
        <f t="shared" si="48"/>
        <v>999</v>
      </c>
      <c r="N143" s="28">
        <f t="shared" si="49"/>
        <v>999</v>
      </c>
      <c r="O143" s="28"/>
      <c r="P143" s="29">
        <f t="shared" si="65"/>
        <v>0.13400000000000009</v>
      </c>
      <c r="Q143" s="33">
        <f t="shared" si="50"/>
        <v>6.7114093959731544</v>
      </c>
      <c r="R143" s="33">
        <f t="shared" si="51"/>
        <v>6.7114093959731544</v>
      </c>
      <c r="S143" s="33">
        <f t="shared" si="52"/>
        <v>-1</v>
      </c>
      <c r="T143" s="27"/>
      <c r="U143" s="28">
        <f t="shared" si="53"/>
        <v>0.10964912280701754</v>
      </c>
      <c r="V143" s="25">
        <f t="shared" si="54"/>
        <v>999</v>
      </c>
      <c r="W143" s="35">
        <f t="shared" si="66"/>
        <v>25</v>
      </c>
      <c r="X143" s="33">
        <f t="shared" si="55"/>
        <v>25</v>
      </c>
      <c r="Y143" s="32">
        <f t="shared" si="56"/>
        <v>-1</v>
      </c>
      <c r="Z143" s="32"/>
      <c r="AA143" s="30">
        <f t="shared" si="57"/>
        <v>3.6707300369812352</v>
      </c>
      <c r="AB143" s="28">
        <f t="shared" si="58"/>
        <v>0.40957857405462184</v>
      </c>
      <c r="AC143" s="28">
        <f t="shared" si="59"/>
        <v>0.10964912280701754</v>
      </c>
      <c r="AD143" s="29">
        <f t="shared" si="60"/>
        <v>127.134724857685</v>
      </c>
      <c r="AE143" s="28">
        <f t="shared" si="61"/>
        <v>0.10964912280701754</v>
      </c>
      <c r="AF143" s="28">
        <f t="shared" si="62"/>
        <v>0.29992945124760428</v>
      </c>
      <c r="AG143" s="28">
        <f t="shared" si="63"/>
        <v>0</v>
      </c>
      <c r="AI143" s="31">
        <f t="shared" si="64"/>
        <v>-0.47579149514180658</v>
      </c>
      <c r="AJ143" s="25"/>
      <c r="AK143" s="31"/>
      <c r="AM143" s="27"/>
    </row>
    <row r="144" spans="4:39" x14ac:dyDescent="0.25">
      <c r="D144" s="25">
        <f>E144*'Profit per cycles Model'!$I$113</f>
        <v>1350</v>
      </c>
      <c r="E144" s="25">
        <v>3.6981235447199015</v>
      </c>
      <c r="F144" s="28">
        <f t="shared" si="45"/>
        <v>0.7407407407407407</v>
      </c>
      <c r="G144" s="28">
        <f>'Battery Pricing Model'!$C$17/D144</f>
        <v>0.7407407407407407</v>
      </c>
      <c r="H144" s="28">
        <f t="shared" si="46"/>
        <v>999</v>
      </c>
      <c r="I144" s="28"/>
      <c r="J144" s="34">
        <f>INDEX('Profit per cycles Model'!$I$149:$I$179, MATCH(TRUNC(E144, 0), 'Profit per cycles Model'!$H$149:$H$179, 0))</f>
        <v>0.40957857405462184</v>
      </c>
      <c r="K144" s="27">
        <f>AVERAGE($AB$10:AB144)</f>
        <v>0.39133651155462196</v>
      </c>
      <c r="L144" s="28">
        <f t="shared" si="47"/>
        <v>999</v>
      </c>
      <c r="M144" s="28">
        <f t="shared" si="48"/>
        <v>999</v>
      </c>
      <c r="N144" s="28">
        <f t="shared" si="49"/>
        <v>999</v>
      </c>
      <c r="O144" s="28"/>
      <c r="P144" s="29">
        <f t="shared" si="65"/>
        <v>0.13500000000000009</v>
      </c>
      <c r="Q144" s="33">
        <f t="shared" si="50"/>
        <v>6.7114093959731544</v>
      </c>
      <c r="R144" s="33">
        <f t="shared" si="51"/>
        <v>6.7114093959731544</v>
      </c>
      <c r="S144" s="33">
        <f t="shared" si="52"/>
        <v>-1</v>
      </c>
      <c r="T144" s="27"/>
      <c r="U144" s="28">
        <f t="shared" si="53"/>
        <v>0.10964912280701754</v>
      </c>
      <c r="V144" s="25">
        <f t="shared" si="54"/>
        <v>999</v>
      </c>
      <c r="W144" s="35">
        <f t="shared" si="66"/>
        <v>25</v>
      </c>
      <c r="X144" s="33">
        <f t="shared" si="55"/>
        <v>25</v>
      </c>
      <c r="Y144" s="32">
        <f t="shared" si="56"/>
        <v>-1</v>
      </c>
      <c r="Z144" s="32"/>
      <c r="AA144" s="30">
        <f t="shared" si="57"/>
        <v>3.6981235447199015</v>
      </c>
      <c r="AB144" s="28">
        <f t="shared" si="58"/>
        <v>0.40957857405462184</v>
      </c>
      <c r="AC144" s="28">
        <f t="shared" si="59"/>
        <v>0.10964912280701754</v>
      </c>
      <c r="AD144" s="29">
        <f t="shared" si="60"/>
        <v>128.08349146110058</v>
      </c>
      <c r="AE144" s="28">
        <f t="shared" si="61"/>
        <v>0.10964912280701754</v>
      </c>
      <c r="AF144" s="28">
        <f t="shared" si="62"/>
        <v>0.29992945124760428</v>
      </c>
      <c r="AG144" s="28">
        <f t="shared" si="63"/>
        <v>0</v>
      </c>
      <c r="AI144" s="31">
        <f t="shared" si="64"/>
        <v>-0.47169570940126032</v>
      </c>
      <c r="AJ144" s="25"/>
      <c r="AK144" s="31"/>
      <c r="AM144" s="27"/>
    </row>
    <row r="145" spans="4:39" x14ac:dyDescent="0.25">
      <c r="D145" s="25">
        <f>E145*'Profit per cycles Model'!$I$113</f>
        <v>1360</v>
      </c>
      <c r="E145" s="25">
        <v>3.7255170524585672</v>
      </c>
      <c r="F145" s="28">
        <f t="shared" si="45"/>
        <v>0.73529411764705888</v>
      </c>
      <c r="G145" s="28">
        <f>'Battery Pricing Model'!$C$17/D145</f>
        <v>0.73529411764705888</v>
      </c>
      <c r="H145" s="28">
        <f t="shared" si="46"/>
        <v>999</v>
      </c>
      <c r="I145" s="28"/>
      <c r="J145" s="34">
        <f>INDEX('Profit per cycles Model'!$I$149:$I$179, MATCH(TRUNC(E145, 0), 'Profit per cycles Model'!$H$149:$H$179, 0))</f>
        <v>0.40957857405462184</v>
      </c>
      <c r="K145" s="27">
        <f>AVERAGE($AB$10:AB145)</f>
        <v>0.39147064436712192</v>
      </c>
      <c r="L145" s="28">
        <f t="shared" si="47"/>
        <v>999</v>
      </c>
      <c r="M145" s="28">
        <f t="shared" si="48"/>
        <v>999</v>
      </c>
      <c r="N145" s="28">
        <f t="shared" si="49"/>
        <v>999</v>
      </c>
      <c r="O145" s="28"/>
      <c r="P145" s="29">
        <f t="shared" si="65"/>
        <v>0.13600000000000009</v>
      </c>
      <c r="Q145" s="33">
        <f t="shared" si="50"/>
        <v>6.7114093959731544</v>
      </c>
      <c r="R145" s="33">
        <f t="shared" si="51"/>
        <v>6.7114093959731544</v>
      </c>
      <c r="S145" s="33">
        <f t="shared" si="52"/>
        <v>-1</v>
      </c>
      <c r="T145" s="27"/>
      <c r="U145" s="28">
        <f t="shared" si="53"/>
        <v>0.10964912280701754</v>
      </c>
      <c r="V145" s="25">
        <f t="shared" si="54"/>
        <v>999</v>
      </c>
      <c r="W145" s="35">
        <f t="shared" si="66"/>
        <v>25</v>
      </c>
      <c r="X145" s="33">
        <f t="shared" si="55"/>
        <v>25</v>
      </c>
      <c r="Y145" s="32">
        <f t="shared" si="56"/>
        <v>-1</v>
      </c>
      <c r="Z145" s="32"/>
      <c r="AA145" s="30">
        <f t="shared" si="57"/>
        <v>3.7255170524585672</v>
      </c>
      <c r="AB145" s="28">
        <f t="shared" si="58"/>
        <v>0.40957857405462184</v>
      </c>
      <c r="AC145" s="28">
        <f t="shared" si="59"/>
        <v>0.10964912280701754</v>
      </c>
      <c r="AD145" s="29">
        <f t="shared" si="60"/>
        <v>129.03225806451613</v>
      </c>
      <c r="AE145" s="28">
        <f t="shared" si="61"/>
        <v>0.10964912280701754</v>
      </c>
      <c r="AF145" s="28">
        <f t="shared" si="62"/>
        <v>0.29992945124760428</v>
      </c>
      <c r="AG145" s="28">
        <f t="shared" si="63"/>
        <v>0</v>
      </c>
      <c r="AI145" s="31">
        <f t="shared" si="64"/>
        <v>-0.46759992366071423</v>
      </c>
      <c r="AJ145" s="25"/>
      <c r="AK145" s="31"/>
      <c r="AM145" s="27"/>
    </row>
    <row r="146" spans="4:39" x14ac:dyDescent="0.25">
      <c r="D146" s="25">
        <f>E146*'Profit per cycles Model'!$I$113</f>
        <v>1370</v>
      </c>
      <c r="E146" s="25">
        <v>3.752910560197233</v>
      </c>
      <c r="F146" s="28">
        <f t="shared" si="45"/>
        <v>0.72992700729927007</v>
      </c>
      <c r="G146" s="28">
        <f>'Battery Pricing Model'!$C$17/D146</f>
        <v>0.72992700729927007</v>
      </c>
      <c r="H146" s="28">
        <f t="shared" si="46"/>
        <v>999</v>
      </c>
      <c r="I146" s="28"/>
      <c r="J146" s="34">
        <f>INDEX('Profit per cycles Model'!$I$149:$I$179, MATCH(TRUNC(E146, 0), 'Profit per cycles Model'!$H$149:$H$179, 0))</f>
        <v>0.40957857405462184</v>
      </c>
      <c r="K146" s="27">
        <f>AVERAGE($AB$10:AB146)</f>
        <v>0.39160281903637378</v>
      </c>
      <c r="L146" s="28">
        <f t="shared" si="47"/>
        <v>999</v>
      </c>
      <c r="M146" s="28">
        <f t="shared" si="48"/>
        <v>999</v>
      </c>
      <c r="N146" s="28">
        <f t="shared" si="49"/>
        <v>999</v>
      </c>
      <c r="O146" s="28"/>
      <c r="P146" s="29">
        <f t="shared" si="65"/>
        <v>0.13700000000000009</v>
      </c>
      <c r="Q146" s="33">
        <f t="shared" si="50"/>
        <v>6.7114093959731544</v>
      </c>
      <c r="R146" s="33">
        <f t="shared" si="51"/>
        <v>6.7114093959731544</v>
      </c>
      <c r="S146" s="33">
        <f t="shared" si="52"/>
        <v>-1</v>
      </c>
      <c r="T146" s="27"/>
      <c r="U146" s="28">
        <f t="shared" si="53"/>
        <v>0.10964912280701754</v>
      </c>
      <c r="V146" s="25">
        <f t="shared" si="54"/>
        <v>999</v>
      </c>
      <c r="W146" s="35">
        <f t="shared" si="66"/>
        <v>25</v>
      </c>
      <c r="X146" s="33">
        <f t="shared" si="55"/>
        <v>25</v>
      </c>
      <c r="Y146" s="32">
        <f t="shared" si="56"/>
        <v>-1</v>
      </c>
      <c r="Z146" s="32"/>
      <c r="AA146" s="30">
        <f t="shared" si="57"/>
        <v>3.752910560197233</v>
      </c>
      <c r="AB146" s="28">
        <f t="shared" si="58"/>
        <v>0.40957857405462184</v>
      </c>
      <c r="AC146" s="28">
        <f t="shared" si="59"/>
        <v>0.10964912280701754</v>
      </c>
      <c r="AD146" s="29">
        <f t="shared" si="60"/>
        <v>129.98102466793168</v>
      </c>
      <c r="AE146" s="28">
        <f t="shared" si="61"/>
        <v>0.10964912280701754</v>
      </c>
      <c r="AF146" s="28">
        <f t="shared" si="62"/>
        <v>0.29992945124760428</v>
      </c>
      <c r="AG146" s="28">
        <f t="shared" si="63"/>
        <v>0</v>
      </c>
      <c r="AI146" s="31">
        <f t="shared" si="64"/>
        <v>-0.46350413792016792</v>
      </c>
      <c r="AJ146" s="25"/>
      <c r="AK146" s="31"/>
      <c r="AM146" s="27"/>
    </row>
    <row r="147" spans="4:39" x14ac:dyDescent="0.25">
      <c r="D147" s="25">
        <f>E147*'Profit per cycles Model'!$I$113</f>
        <v>1380</v>
      </c>
      <c r="E147" s="25">
        <v>3.7803040679358992</v>
      </c>
      <c r="F147" s="28">
        <f t="shared" si="45"/>
        <v>0.72463768115942029</v>
      </c>
      <c r="G147" s="28">
        <f>'Battery Pricing Model'!$C$17/D147</f>
        <v>0.72463768115942029</v>
      </c>
      <c r="H147" s="28">
        <f t="shared" si="46"/>
        <v>999</v>
      </c>
      <c r="I147" s="28"/>
      <c r="J147" s="34">
        <f>INDEX('Profit per cycles Model'!$I$149:$I$179, MATCH(TRUNC(E147, 0), 'Profit per cycles Model'!$H$149:$H$179, 0))</f>
        <v>0.40957857405462184</v>
      </c>
      <c r="K147" s="27">
        <f>AVERAGE($AB$10:AB147)</f>
        <v>0.3917330781307089</v>
      </c>
      <c r="L147" s="28">
        <f t="shared" si="47"/>
        <v>999</v>
      </c>
      <c r="M147" s="28">
        <f t="shared" si="48"/>
        <v>999</v>
      </c>
      <c r="N147" s="28">
        <f t="shared" si="49"/>
        <v>999</v>
      </c>
      <c r="O147" s="28"/>
      <c r="P147" s="29">
        <f t="shared" si="65"/>
        <v>0.13800000000000009</v>
      </c>
      <c r="Q147" s="33">
        <f t="shared" si="50"/>
        <v>6.7114093959731544</v>
      </c>
      <c r="R147" s="33">
        <f t="shared" si="51"/>
        <v>6.7114093959731544</v>
      </c>
      <c r="S147" s="33">
        <f t="shared" si="52"/>
        <v>-1</v>
      </c>
      <c r="T147" s="27"/>
      <c r="U147" s="28">
        <f t="shared" si="53"/>
        <v>0.10964912280701754</v>
      </c>
      <c r="V147" s="25">
        <f t="shared" si="54"/>
        <v>999</v>
      </c>
      <c r="W147" s="35">
        <f t="shared" si="66"/>
        <v>25</v>
      </c>
      <c r="X147" s="33">
        <f t="shared" si="55"/>
        <v>25</v>
      </c>
      <c r="Y147" s="32">
        <f t="shared" si="56"/>
        <v>-1</v>
      </c>
      <c r="Z147" s="32"/>
      <c r="AA147" s="30">
        <f t="shared" si="57"/>
        <v>3.7803040679358992</v>
      </c>
      <c r="AB147" s="28">
        <f t="shared" si="58"/>
        <v>0.40957857405462184</v>
      </c>
      <c r="AC147" s="28">
        <f t="shared" si="59"/>
        <v>0.10964912280701754</v>
      </c>
      <c r="AD147" s="29">
        <f t="shared" si="60"/>
        <v>130.92979127134726</v>
      </c>
      <c r="AE147" s="28">
        <f t="shared" si="61"/>
        <v>0.10964912280701754</v>
      </c>
      <c r="AF147" s="28">
        <f t="shared" si="62"/>
        <v>0.29992945124760428</v>
      </c>
      <c r="AG147" s="28">
        <f t="shared" si="63"/>
        <v>0</v>
      </c>
      <c r="AI147" s="31">
        <f t="shared" si="64"/>
        <v>-0.45940835217962173</v>
      </c>
      <c r="AJ147" s="25"/>
      <c r="AK147" s="31"/>
      <c r="AM147" s="27"/>
    </row>
    <row r="148" spans="4:39" x14ac:dyDescent="0.25">
      <c r="D148" s="25">
        <f>E148*'Profit per cycles Model'!$I$113</f>
        <v>1390</v>
      </c>
      <c r="E148" s="25">
        <v>3.807697575674565</v>
      </c>
      <c r="F148" s="28">
        <f t="shared" si="45"/>
        <v>0.71942446043165464</v>
      </c>
      <c r="G148" s="28">
        <f>'Battery Pricing Model'!$C$17/D148</f>
        <v>0.71942446043165464</v>
      </c>
      <c r="H148" s="28">
        <f t="shared" si="46"/>
        <v>999</v>
      </c>
      <c r="I148" s="28"/>
      <c r="J148" s="34">
        <f>INDEX('Profit per cycles Model'!$I$149:$I$179, MATCH(TRUNC(E148, 0), 'Profit per cycles Model'!$H$149:$H$179, 0))</f>
        <v>0.40957857405462184</v>
      </c>
      <c r="K148" s="27">
        <f>AVERAGE($AB$10:AB148)</f>
        <v>0.39186146299347085</v>
      </c>
      <c r="L148" s="28">
        <f t="shared" si="47"/>
        <v>999</v>
      </c>
      <c r="M148" s="28">
        <f t="shared" si="48"/>
        <v>999</v>
      </c>
      <c r="N148" s="28">
        <f t="shared" si="49"/>
        <v>999</v>
      </c>
      <c r="O148" s="28"/>
      <c r="P148" s="29">
        <f t="shared" si="65"/>
        <v>0.1390000000000001</v>
      </c>
      <c r="Q148" s="33">
        <f t="shared" si="50"/>
        <v>6.7114093959731544</v>
      </c>
      <c r="R148" s="33">
        <f t="shared" si="51"/>
        <v>6.7114093959731544</v>
      </c>
      <c r="S148" s="33">
        <f t="shared" si="52"/>
        <v>-1</v>
      </c>
      <c r="T148" s="27"/>
      <c r="U148" s="28">
        <f t="shared" si="53"/>
        <v>0.10964912280701754</v>
      </c>
      <c r="V148" s="25">
        <f t="shared" si="54"/>
        <v>999</v>
      </c>
      <c r="W148" s="35">
        <f t="shared" si="66"/>
        <v>25</v>
      </c>
      <c r="X148" s="33">
        <f t="shared" si="55"/>
        <v>25</v>
      </c>
      <c r="Y148" s="32">
        <f t="shared" si="56"/>
        <v>-1</v>
      </c>
      <c r="Z148" s="32"/>
      <c r="AA148" s="30">
        <f t="shared" si="57"/>
        <v>3.807697575674565</v>
      </c>
      <c r="AB148" s="28">
        <f t="shared" si="58"/>
        <v>0.40957857405462184</v>
      </c>
      <c r="AC148" s="28">
        <f t="shared" si="59"/>
        <v>0.10964912280701754</v>
      </c>
      <c r="AD148" s="29">
        <f t="shared" si="60"/>
        <v>131.87855787476281</v>
      </c>
      <c r="AE148" s="28">
        <f t="shared" si="61"/>
        <v>0.10964912280701754</v>
      </c>
      <c r="AF148" s="28">
        <f t="shared" si="62"/>
        <v>0.29992945124760428</v>
      </c>
      <c r="AG148" s="28">
        <f t="shared" si="63"/>
        <v>0</v>
      </c>
      <c r="AI148" s="31">
        <f t="shared" si="64"/>
        <v>-0.45531256643907547</v>
      </c>
      <c r="AJ148" s="25"/>
      <c r="AK148" s="31"/>
      <c r="AM148" s="27"/>
    </row>
    <row r="149" spans="4:39" x14ac:dyDescent="0.25">
      <c r="D149" s="25">
        <f>E149*'Profit per cycles Model'!$I$113</f>
        <v>1400</v>
      </c>
      <c r="E149" s="25">
        <v>3.8350910834132308</v>
      </c>
      <c r="F149" s="28">
        <f t="shared" si="45"/>
        <v>0.7142857142857143</v>
      </c>
      <c r="G149" s="28">
        <f>'Battery Pricing Model'!$C$17/D149</f>
        <v>0.7142857142857143</v>
      </c>
      <c r="H149" s="28">
        <f t="shared" si="46"/>
        <v>999</v>
      </c>
      <c r="I149" s="28"/>
      <c r="J149" s="34">
        <f>INDEX('Profit per cycles Model'!$I$149:$I$179, MATCH(TRUNC(E149, 0), 'Profit per cycles Model'!$H$149:$H$179, 0))</f>
        <v>0.40957857405462184</v>
      </c>
      <c r="K149" s="27">
        <f>AVERAGE($AB$10:AB149)</f>
        <v>0.39198801378676479</v>
      </c>
      <c r="L149" s="28">
        <f t="shared" si="47"/>
        <v>999</v>
      </c>
      <c r="M149" s="28">
        <f t="shared" si="48"/>
        <v>999</v>
      </c>
      <c r="N149" s="28">
        <f t="shared" si="49"/>
        <v>999</v>
      </c>
      <c r="O149" s="28"/>
      <c r="P149" s="29">
        <f t="shared" si="65"/>
        <v>0.1400000000000001</v>
      </c>
      <c r="Q149" s="33">
        <f t="shared" si="50"/>
        <v>6.7114093959731544</v>
      </c>
      <c r="R149" s="33">
        <f t="shared" si="51"/>
        <v>6.7114093959731544</v>
      </c>
      <c r="S149" s="33">
        <f t="shared" si="52"/>
        <v>-1</v>
      </c>
      <c r="T149" s="27"/>
      <c r="U149" s="28">
        <f t="shared" si="53"/>
        <v>0.10964912280701754</v>
      </c>
      <c r="V149" s="25">
        <f t="shared" si="54"/>
        <v>999</v>
      </c>
      <c r="W149" s="35">
        <f t="shared" si="66"/>
        <v>25</v>
      </c>
      <c r="X149" s="33">
        <f t="shared" si="55"/>
        <v>25</v>
      </c>
      <c r="Y149" s="32">
        <f t="shared" si="56"/>
        <v>-1</v>
      </c>
      <c r="Z149" s="32"/>
      <c r="AA149" s="30">
        <f t="shared" si="57"/>
        <v>3.8350910834132308</v>
      </c>
      <c r="AB149" s="28">
        <f t="shared" si="58"/>
        <v>0.40957857405462184</v>
      </c>
      <c r="AC149" s="28">
        <f t="shared" si="59"/>
        <v>0.10964912280701754</v>
      </c>
      <c r="AD149" s="29">
        <f t="shared" si="60"/>
        <v>132.82732447817838</v>
      </c>
      <c r="AE149" s="28">
        <f t="shared" si="61"/>
        <v>0.10964912280701754</v>
      </c>
      <c r="AF149" s="28">
        <f t="shared" si="62"/>
        <v>0.29992945124760428</v>
      </c>
      <c r="AG149" s="28">
        <f t="shared" si="63"/>
        <v>0</v>
      </c>
      <c r="AI149" s="31">
        <f t="shared" si="64"/>
        <v>-0.45121678069852933</v>
      </c>
      <c r="AJ149" s="25"/>
      <c r="AK149" s="31"/>
      <c r="AM149" s="27"/>
    </row>
    <row r="150" spans="4:39" x14ac:dyDescent="0.25">
      <c r="D150" s="25">
        <f>E150*'Profit per cycles Model'!$I$113</f>
        <v>1410</v>
      </c>
      <c r="E150" s="25">
        <v>3.862484591151897</v>
      </c>
      <c r="F150" s="28">
        <f t="shared" si="45"/>
        <v>0.70921985815602839</v>
      </c>
      <c r="G150" s="28">
        <f>'Battery Pricing Model'!$C$17/D150</f>
        <v>0.70921985815602839</v>
      </c>
      <c r="H150" s="28">
        <f t="shared" si="46"/>
        <v>999</v>
      </c>
      <c r="I150" s="28"/>
      <c r="J150" s="34">
        <f>INDEX('Profit per cycles Model'!$I$149:$I$179, MATCH(TRUNC(E150, 0), 'Profit per cycles Model'!$H$149:$H$179, 0))</f>
        <v>0.40957857405462184</v>
      </c>
      <c r="K150" s="27">
        <f>AVERAGE($AB$10:AB150)</f>
        <v>0.39211276953334528</v>
      </c>
      <c r="L150" s="28">
        <f t="shared" si="47"/>
        <v>999</v>
      </c>
      <c r="M150" s="28">
        <f t="shared" si="48"/>
        <v>999</v>
      </c>
      <c r="N150" s="28">
        <f t="shared" si="49"/>
        <v>999</v>
      </c>
      <c r="O150" s="28"/>
      <c r="P150" s="29">
        <f t="shared" si="65"/>
        <v>0.1410000000000001</v>
      </c>
      <c r="Q150" s="33">
        <f t="shared" si="50"/>
        <v>6.7114093959731544</v>
      </c>
      <c r="R150" s="33">
        <f t="shared" si="51"/>
        <v>6.7114093959731544</v>
      </c>
      <c r="S150" s="33">
        <f t="shared" si="52"/>
        <v>-1</v>
      </c>
      <c r="T150" s="27"/>
      <c r="U150" s="28">
        <f t="shared" si="53"/>
        <v>0.10964912280701754</v>
      </c>
      <c r="V150" s="25">
        <f t="shared" si="54"/>
        <v>999</v>
      </c>
      <c r="W150" s="35">
        <f t="shared" si="66"/>
        <v>25</v>
      </c>
      <c r="X150" s="33">
        <f t="shared" si="55"/>
        <v>25</v>
      </c>
      <c r="Y150" s="32">
        <f t="shared" si="56"/>
        <v>-1</v>
      </c>
      <c r="Z150" s="32"/>
      <c r="AA150" s="30">
        <f t="shared" si="57"/>
        <v>3.862484591151897</v>
      </c>
      <c r="AB150" s="28">
        <f t="shared" si="58"/>
        <v>0.40957857405462184</v>
      </c>
      <c r="AC150" s="28">
        <f t="shared" si="59"/>
        <v>0.10964912280701754</v>
      </c>
      <c r="AD150" s="29">
        <f t="shared" si="60"/>
        <v>133.77609108159393</v>
      </c>
      <c r="AE150" s="28">
        <f t="shared" si="61"/>
        <v>0.10964912280701754</v>
      </c>
      <c r="AF150" s="28">
        <f t="shared" si="62"/>
        <v>0.29992945124760428</v>
      </c>
      <c r="AG150" s="28">
        <f t="shared" si="63"/>
        <v>0</v>
      </c>
      <c r="AI150" s="31">
        <f t="shared" si="64"/>
        <v>-0.44712099495798319</v>
      </c>
      <c r="AJ150" s="25"/>
      <c r="AK150" s="31"/>
      <c r="AM150" s="27"/>
    </row>
    <row r="151" spans="4:39" x14ac:dyDescent="0.25">
      <c r="D151" s="25">
        <f>E151*'Profit per cycles Model'!$I$113</f>
        <v>1420</v>
      </c>
      <c r="E151" s="25">
        <v>3.8898780988905628</v>
      </c>
      <c r="F151" s="28">
        <f t="shared" si="45"/>
        <v>0.70422535211267601</v>
      </c>
      <c r="G151" s="28">
        <f>'Battery Pricing Model'!$C$17/D151</f>
        <v>0.70422535211267601</v>
      </c>
      <c r="H151" s="28">
        <f t="shared" si="46"/>
        <v>999</v>
      </c>
      <c r="I151" s="28"/>
      <c r="J151" s="34">
        <f>INDEX('Profit per cycles Model'!$I$149:$I$179, MATCH(TRUNC(E151, 0), 'Profit per cycles Model'!$H$149:$H$179, 0))</f>
        <v>0.40957857405462184</v>
      </c>
      <c r="K151" s="27">
        <f>AVERAGE($AB$10:AB151)</f>
        <v>0.39223576815673455</v>
      </c>
      <c r="L151" s="28">
        <f t="shared" si="47"/>
        <v>999</v>
      </c>
      <c r="M151" s="28">
        <f t="shared" si="48"/>
        <v>999</v>
      </c>
      <c r="N151" s="28">
        <f t="shared" si="49"/>
        <v>999</v>
      </c>
      <c r="O151" s="28"/>
      <c r="P151" s="29">
        <f t="shared" si="65"/>
        <v>0.1420000000000001</v>
      </c>
      <c r="Q151" s="33">
        <f t="shared" si="50"/>
        <v>6.7114093959731544</v>
      </c>
      <c r="R151" s="33">
        <f t="shared" si="51"/>
        <v>6.7114093959731544</v>
      </c>
      <c r="S151" s="33">
        <f t="shared" si="52"/>
        <v>-1</v>
      </c>
      <c r="T151" s="27"/>
      <c r="U151" s="28">
        <f t="shared" si="53"/>
        <v>0.10964912280701754</v>
      </c>
      <c r="V151" s="25">
        <f t="shared" si="54"/>
        <v>999</v>
      </c>
      <c r="W151" s="35">
        <f t="shared" si="66"/>
        <v>25</v>
      </c>
      <c r="X151" s="33">
        <f t="shared" si="55"/>
        <v>25</v>
      </c>
      <c r="Y151" s="32">
        <f t="shared" si="56"/>
        <v>-1</v>
      </c>
      <c r="Z151" s="32"/>
      <c r="AA151" s="30">
        <f t="shared" si="57"/>
        <v>3.8898780988905628</v>
      </c>
      <c r="AB151" s="28">
        <f t="shared" si="58"/>
        <v>0.40957857405462184</v>
      </c>
      <c r="AC151" s="28">
        <f t="shared" si="59"/>
        <v>0.10964912280701754</v>
      </c>
      <c r="AD151" s="29">
        <f t="shared" si="60"/>
        <v>134.72485768500948</v>
      </c>
      <c r="AE151" s="28">
        <f t="shared" si="61"/>
        <v>0.10964912280701754</v>
      </c>
      <c r="AF151" s="28">
        <f t="shared" si="62"/>
        <v>0.29992945124760428</v>
      </c>
      <c r="AG151" s="28">
        <f t="shared" si="63"/>
        <v>0</v>
      </c>
      <c r="AI151" s="31">
        <f t="shared" si="64"/>
        <v>-0.44302520921743688</v>
      </c>
      <c r="AJ151" s="25"/>
      <c r="AK151" s="31"/>
      <c r="AM151" s="27"/>
    </row>
    <row r="152" spans="4:39" x14ac:dyDescent="0.25">
      <c r="D152" s="25">
        <f>E152*'Profit per cycles Model'!$I$113</f>
        <v>1430</v>
      </c>
      <c r="E152" s="25">
        <v>3.9172716066292286</v>
      </c>
      <c r="F152" s="28">
        <f t="shared" si="45"/>
        <v>0.69930069930069927</v>
      </c>
      <c r="G152" s="28">
        <f>'Battery Pricing Model'!$C$17/D152</f>
        <v>0.69930069930069927</v>
      </c>
      <c r="H152" s="28">
        <f t="shared" si="46"/>
        <v>999</v>
      </c>
      <c r="I152" s="28"/>
      <c r="J152" s="34">
        <f>INDEX('Profit per cycles Model'!$I$149:$I$179, MATCH(TRUNC(E152, 0), 'Profit per cycles Model'!$H$149:$H$179, 0))</f>
        <v>0.40957857405462184</v>
      </c>
      <c r="K152" s="27">
        <f>AVERAGE($AB$10:AB152)</f>
        <v>0.39235704651965686</v>
      </c>
      <c r="L152" s="28">
        <f t="shared" si="47"/>
        <v>999</v>
      </c>
      <c r="M152" s="28">
        <f t="shared" si="48"/>
        <v>999</v>
      </c>
      <c r="N152" s="28">
        <f t="shared" si="49"/>
        <v>999</v>
      </c>
      <c r="O152" s="28"/>
      <c r="P152" s="29">
        <f t="shared" si="65"/>
        <v>0.1430000000000001</v>
      </c>
      <c r="Q152" s="33">
        <f t="shared" si="50"/>
        <v>6.7114093959731544</v>
      </c>
      <c r="R152" s="33">
        <f t="shared" si="51"/>
        <v>6.7114093959731544</v>
      </c>
      <c r="S152" s="33">
        <f t="shared" si="52"/>
        <v>-1</v>
      </c>
      <c r="T152" s="27"/>
      <c r="U152" s="28">
        <f t="shared" si="53"/>
        <v>0.10964912280701754</v>
      </c>
      <c r="V152" s="25">
        <f t="shared" si="54"/>
        <v>999</v>
      </c>
      <c r="W152" s="35">
        <f t="shared" si="66"/>
        <v>25</v>
      </c>
      <c r="X152" s="33">
        <f t="shared" si="55"/>
        <v>25</v>
      </c>
      <c r="Y152" s="32">
        <f t="shared" si="56"/>
        <v>-1</v>
      </c>
      <c r="Z152" s="32"/>
      <c r="AA152" s="30">
        <f t="shared" si="57"/>
        <v>3.9172716066292286</v>
      </c>
      <c r="AB152" s="28">
        <f t="shared" si="58"/>
        <v>0.40957857405462184</v>
      </c>
      <c r="AC152" s="28">
        <f t="shared" si="59"/>
        <v>0.10964912280701754</v>
      </c>
      <c r="AD152" s="29">
        <f t="shared" si="60"/>
        <v>135.67362428842506</v>
      </c>
      <c r="AE152" s="28">
        <f t="shared" si="61"/>
        <v>0.10964912280701754</v>
      </c>
      <c r="AF152" s="28">
        <f t="shared" si="62"/>
        <v>0.29992945124760428</v>
      </c>
      <c r="AG152" s="28">
        <f t="shared" si="63"/>
        <v>0</v>
      </c>
      <c r="AI152" s="31">
        <f t="shared" si="64"/>
        <v>-0.43892942347689068</v>
      </c>
      <c r="AJ152" s="25"/>
      <c r="AK152" s="31"/>
      <c r="AM152" s="27"/>
    </row>
    <row r="153" spans="4:39" x14ac:dyDescent="0.25">
      <c r="D153" s="25">
        <f>E153*'Profit per cycles Model'!$I$113</f>
        <v>1440</v>
      </c>
      <c r="E153" s="25">
        <v>3.9446651143678948</v>
      </c>
      <c r="F153" s="28">
        <f t="shared" si="45"/>
        <v>0.69444444444444442</v>
      </c>
      <c r="G153" s="28">
        <f>'Battery Pricing Model'!$C$17/D153</f>
        <v>0.69444444444444442</v>
      </c>
      <c r="H153" s="28">
        <f t="shared" si="46"/>
        <v>999</v>
      </c>
      <c r="I153" s="28"/>
      <c r="J153" s="34">
        <f>INDEX('Profit per cycles Model'!$I$149:$I$179, MATCH(TRUNC(E153, 0), 'Profit per cycles Model'!$H$149:$H$179, 0))</f>
        <v>0.40957857405462184</v>
      </c>
      <c r="K153" s="27">
        <f>AVERAGE($AB$10:AB153)</f>
        <v>0.39247664046087188</v>
      </c>
      <c r="L153" s="28">
        <f t="shared" si="47"/>
        <v>999</v>
      </c>
      <c r="M153" s="28">
        <f t="shared" si="48"/>
        <v>999</v>
      </c>
      <c r="N153" s="28">
        <f t="shared" si="49"/>
        <v>999</v>
      </c>
      <c r="O153" s="28"/>
      <c r="P153" s="29">
        <f t="shared" si="65"/>
        <v>0.1440000000000001</v>
      </c>
      <c r="Q153" s="33">
        <f t="shared" si="50"/>
        <v>6.7114093959731544</v>
      </c>
      <c r="R153" s="33">
        <f t="shared" si="51"/>
        <v>6.7114093959731544</v>
      </c>
      <c r="S153" s="33">
        <f t="shared" si="52"/>
        <v>-1</v>
      </c>
      <c r="T153" s="27"/>
      <c r="U153" s="28">
        <f t="shared" si="53"/>
        <v>0.10964912280701754</v>
      </c>
      <c r="V153" s="25">
        <f t="shared" si="54"/>
        <v>999</v>
      </c>
      <c r="W153" s="35">
        <f t="shared" si="66"/>
        <v>25</v>
      </c>
      <c r="X153" s="33">
        <f t="shared" si="55"/>
        <v>25</v>
      </c>
      <c r="Y153" s="32">
        <f t="shared" si="56"/>
        <v>-1</v>
      </c>
      <c r="Z153" s="32"/>
      <c r="AA153" s="30">
        <f t="shared" si="57"/>
        <v>3.9446651143678948</v>
      </c>
      <c r="AB153" s="28">
        <f t="shared" si="58"/>
        <v>0.40957857405462184</v>
      </c>
      <c r="AC153" s="28">
        <f t="shared" si="59"/>
        <v>0.10964912280701754</v>
      </c>
      <c r="AD153" s="29">
        <f t="shared" si="60"/>
        <v>136.62239089184061</v>
      </c>
      <c r="AE153" s="28">
        <f t="shared" si="61"/>
        <v>0.10964912280701754</v>
      </c>
      <c r="AF153" s="28">
        <f t="shared" si="62"/>
        <v>0.29992945124760428</v>
      </c>
      <c r="AG153" s="28">
        <f t="shared" si="63"/>
        <v>0</v>
      </c>
      <c r="AI153" s="31">
        <f t="shared" si="64"/>
        <v>-0.43483363773634448</v>
      </c>
      <c r="AJ153" s="25"/>
      <c r="AK153" s="31"/>
      <c r="AM153" s="27"/>
    </row>
    <row r="154" spans="4:39" x14ac:dyDescent="0.25">
      <c r="D154" s="25">
        <f>E154*'Profit per cycles Model'!$I$113</f>
        <v>1450</v>
      </c>
      <c r="E154" s="25">
        <v>3.9720586221065606</v>
      </c>
      <c r="F154" s="28">
        <f t="shared" si="45"/>
        <v>0.68965517241379315</v>
      </c>
      <c r="G154" s="28">
        <f>'Battery Pricing Model'!$C$17/D154</f>
        <v>0.68965517241379315</v>
      </c>
      <c r="H154" s="28">
        <f t="shared" si="46"/>
        <v>999</v>
      </c>
      <c r="I154" s="28"/>
      <c r="J154" s="34">
        <f>INDEX('Profit per cycles Model'!$I$149:$I$179, MATCH(TRUNC(E154, 0), 'Profit per cycles Model'!$H$149:$H$179, 0))</f>
        <v>0.40957857405462184</v>
      </c>
      <c r="K154" s="27">
        <f>AVERAGE($AB$10:AB154)</f>
        <v>0.39259458483048393</v>
      </c>
      <c r="L154" s="28">
        <f t="shared" si="47"/>
        <v>999</v>
      </c>
      <c r="M154" s="28">
        <f t="shared" si="48"/>
        <v>999</v>
      </c>
      <c r="N154" s="28">
        <f t="shared" si="49"/>
        <v>999</v>
      </c>
      <c r="O154" s="28"/>
      <c r="P154" s="29">
        <f t="shared" si="65"/>
        <v>0.1450000000000001</v>
      </c>
      <c r="Q154" s="33">
        <f t="shared" si="50"/>
        <v>6.7114093959731544</v>
      </c>
      <c r="R154" s="33">
        <f t="shared" si="51"/>
        <v>6.7114093959731544</v>
      </c>
      <c r="S154" s="33">
        <f t="shared" si="52"/>
        <v>-1</v>
      </c>
      <c r="T154" s="27"/>
      <c r="U154" s="28">
        <f t="shared" si="53"/>
        <v>0.10964912280701754</v>
      </c>
      <c r="V154" s="25">
        <f t="shared" si="54"/>
        <v>999</v>
      </c>
      <c r="W154" s="35">
        <f t="shared" si="66"/>
        <v>25</v>
      </c>
      <c r="X154" s="33">
        <f t="shared" si="55"/>
        <v>25</v>
      </c>
      <c r="Y154" s="32">
        <f t="shared" si="56"/>
        <v>-1</v>
      </c>
      <c r="Z154" s="32"/>
      <c r="AA154" s="30">
        <f t="shared" si="57"/>
        <v>3.9720586221065606</v>
      </c>
      <c r="AB154" s="28">
        <f t="shared" si="58"/>
        <v>0.40957857405462184</v>
      </c>
      <c r="AC154" s="28">
        <f t="shared" si="59"/>
        <v>0.10964912280701754</v>
      </c>
      <c r="AD154" s="29">
        <f t="shared" si="60"/>
        <v>137.57115749525616</v>
      </c>
      <c r="AE154" s="28">
        <f t="shared" si="61"/>
        <v>0.10964912280701754</v>
      </c>
      <c r="AF154" s="28">
        <f t="shared" si="62"/>
        <v>0.29992945124760428</v>
      </c>
      <c r="AG154" s="28">
        <f t="shared" si="63"/>
        <v>0</v>
      </c>
      <c r="AI154" s="31">
        <f t="shared" si="64"/>
        <v>-0.43073785199579834</v>
      </c>
      <c r="AJ154" s="25"/>
      <c r="AK154" s="31"/>
      <c r="AM154" s="27"/>
    </row>
    <row r="155" spans="4:39" x14ac:dyDescent="0.25">
      <c r="D155" s="25">
        <f>E155*'Profit per cycles Model'!$I$113</f>
        <v>1460</v>
      </c>
      <c r="E155" s="25">
        <v>3.9994521298452264</v>
      </c>
      <c r="F155" s="28">
        <f t="shared" si="45"/>
        <v>0.68493150684931503</v>
      </c>
      <c r="G155" s="28">
        <f>'Battery Pricing Model'!$C$17/D155</f>
        <v>0.68493150684931503</v>
      </c>
      <c r="H155" s="28">
        <f t="shared" si="46"/>
        <v>999</v>
      </c>
      <c r="I155" s="28"/>
      <c r="J155" s="34">
        <f>INDEX('Profit per cycles Model'!$I$149:$I$179, MATCH(TRUNC(E155, 0), 'Profit per cycles Model'!$H$149:$H$179, 0))</f>
        <v>0.40957857405462184</v>
      </c>
      <c r="K155" s="27">
        <f>AVERAGE($AB$10:AB155)</f>
        <v>0.39271091352379994</v>
      </c>
      <c r="L155" s="28">
        <f t="shared" si="47"/>
        <v>999</v>
      </c>
      <c r="M155" s="28">
        <f t="shared" si="48"/>
        <v>999</v>
      </c>
      <c r="N155" s="28">
        <f t="shared" si="49"/>
        <v>999</v>
      </c>
      <c r="O155" s="28"/>
      <c r="P155" s="29">
        <f t="shared" si="65"/>
        <v>0.1460000000000001</v>
      </c>
      <c r="Q155" s="33">
        <f t="shared" si="50"/>
        <v>6.7114093959731544</v>
      </c>
      <c r="R155" s="33">
        <f t="shared" si="51"/>
        <v>6.7114093959731544</v>
      </c>
      <c r="S155" s="33">
        <f t="shared" si="52"/>
        <v>-1</v>
      </c>
      <c r="T155" s="27"/>
      <c r="U155" s="28">
        <f t="shared" si="53"/>
        <v>0.10964912280701754</v>
      </c>
      <c r="V155" s="25">
        <f t="shared" si="54"/>
        <v>999</v>
      </c>
      <c r="W155" s="35">
        <f t="shared" si="66"/>
        <v>25</v>
      </c>
      <c r="X155" s="33">
        <f t="shared" si="55"/>
        <v>25</v>
      </c>
      <c r="Y155" s="32">
        <f t="shared" si="56"/>
        <v>-1</v>
      </c>
      <c r="Z155" s="32"/>
      <c r="AA155" s="30">
        <f t="shared" si="57"/>
        <v>3.9994521298452264</v>
      </c>
      <c r="AB155" s="28">
        <f t="shared" si="58"/>
        <v>0.40957857405462184</v>
      </c>
      <c r="AC155" s="28">
        <f t="shared" si="59"/>
        <v>0.10964912280701754</v>
      </c>
      <c r="AD155" s="29">
        <f t="shared" si="60"/>
        <v>138.51992409867174</v>
      </c>
      <c r="AE155" s="28">
        <f t="shared" si="61"/>
        <v>0.10964912280701754</v>
      </c>
      <c r="AF155" s="28">
        <f t="shared" si="62"/>
        <v>0.29992945124760428</v>
      </c>
      <c r="AG155" s="28">
        <f t="shared" si="63"/>
        <v>0</v>
      </c>
      <c r="AI155" s="31">
        <f t="shared" si="64"/>
        <v>-0.42664206625525203</v>
      </c>
      <c r="AJ155" s="25"/>
      <c r="AK155" s="31"/>
      <c r="AM155" s="27"/>
    </row>
    <row r="156" spans="4:39" x14ac:dyDescent="0.25">
      <c r="D156" s="25">
        <f>E156*'Profit per cycles Model'!$I$113</f>
        <v>1469.9999999999998</v>
      </c>
      <c r="E156" s="25">
        <v>4.0268456375838921</v>
      </c>
      <c r="F156" s="28">
        <f t="shared" si="45"/>
        <v>0.6802721088435375</v>
      </c>
      <c r="G156" s="28">
        <f>'Battery Pricing Model'!$C$17/D156</f>
        <v>0.6802721088435375</v>
      </c>
      <c r="H156" s="28">
        <f t="shared" si="46"/>
        <v>999</v>
      </c>
      <c r="I156" s="28"/>
      <c r="J156" s="34">
        <f>INDEX('Profit per cycles Model'!$I$149:$I$179, MATCH(TRUNC(E156, 0), 'Profit per cycles Model'!$H$149:$H$179, 0))</f>
        <v>0.42134745017069319</v>
      </c>
      <c r="K156" s="27">
        <f>AVERAGE($AB$10:AB156)</f>
        <v>0.39290571989554751</v>
      </c>
      <c r="L156" s="28">
        <f t="shared" si="47"/>
        <v>999</v>
      </c>
      <c r="M156" s="28">
        <f t="shared" si="48"/>
        <v>999</v>
      </c>
      <c r="N156" s="28">
        <f t="shared" si="49"/>
        <v>999</v>
      </c>
      <c r="O156" s="28"/>
      <c r="P156" s="29">
        <f t="shared" si="65"/>
        <v>0.1470000000000001</v>
      </c>
      <c r="Q156" s="33">
        <f t="shared" si="50"/>
        <v>6.7114093959731544</v>
      </c>
      <c r="R156" s="33">
        <f t="shared" si="51"/>
        <v>6.7114093959731544</v>
      </c>
      <c r="S156" s="33">
        <f t="shared" si="52"/>
        <v>-1</v>
      </c>
      <c r="T156" s="27"/>
      <c r="U156" s="28">
        <f t="shared" si="53"/>
        <v>0.10964912280701754</v>
      </c>
      <c r="V156" s="25">
        <f t="shared" si="54"/>
        <v>999</v>
      </c>
      <c r="W156" s="35">
        <f t="shared" si="66"/>
        <v>25</v>
      </c>
      <c r="X156" s="33">
        <f t="shared" si="55"/>
        <v>25</v>
      </c>
      <c r="Y156" s="32">
        <f t="shared" si="56"/>
        <v>-1</v>
      </c>
      <c r="Z156" s="32"/>
      <c r="AA156" s="30">
        <f t="shared" si="57"/>
        <v>4.0268456375838921</v>
      </c>
      <c r="AB156" s="28">
        <f t="shared" si="58"/>
        <v>0.42134745017069319</v>
      </c>
      <c r="AC156" s="28">
        <f t="shared" si="59"/>
        <v>0.10964912280701754</v>
      </c>
      <c r="AD156" s="29">
        <f t="shared" si="60"/>
        <v>139.46869070208729</v>
      </c>
      <c r="AE156" s="28">
        <f t="shared" si="61"/>
        <v>0.10964912280701754</v>
      </c>
      <c r="AF156" s="28">
        <f t="shared" si="62"/>
        <v>0.31169832736367564</v>
      </c>
      <c r="AG156" s="28">
        <f t="shared" si="63"/>
        <v>0</v>
      </c>
      <c r="AI156" s="31">
        <f t="shared" si="64"/>
        <v>-0.42242859175354525</v>
      </c>
      <c r="AJ156" s="25"/>
      <c r="AK156" s="31"/>
      <c r="AM156" s="27"/>
    </row>
    <row r="157" spans="4:39" x14ac:dyDescent="0.25">
      <c r="D157" s="25">
        <f>E157*'Profit per cycles Model'!$I$113</f>
        <v>1480</v>
      </c>
      <c r="E157" s="25">
        <v>4.0542391453225584</v>
      </c>
      <c r="F157" s="28">
        <f t="shared" si="45"/>
        <v>0.67567567567567566</v>
      </c>
      <c r="G157" s="28">
        <f>'Battery Pricing Model'!$C$17/D157</f>
        <v>0.67567567567567566</v>
      </c>
      <c r="H157" s="28">
        <f t="shared" si="46"/>
        <v>999</v>
      </c>
      <c r="I157" s="28"/>
      <c r="J157" s="34">
        <f>INDEX('Profit per cycles Model'!$I$149:$I$179, MATCH(TRUNC(E157, 0), 'Profit per cycles Model'!$H$149:$H$179, 0))</f>
        <v>0.42134745017069319</v>
      </c>
      <c r="K157" s="27">
        <f>AVERAGE($AB$10:AB157)</f>
        <v>0.39309789374875792</v>
      </c>
      <c r="L157" s="28">
        <f t="shared" si="47"/>
        <v>999</v>
      </c>
      <c r="M157" s="28">
        <f t="shared" si="48"/>
        <v>999</v>
      </c>
      <c r="N157" s="28">
        <f t="shared" si="49"/>
        <v>999</v>
      </c>
      <c r="O157" s="28"/>
      <c r="P157" s="29">
        <f t="shared" si="65"/>
        <v>0.1480000000000001</v>
      </c>
      <c r="Q157" s="33">
        <f t="shared" si="50"/>
        <v>6.7114093959731544</v>
      </c>
      <c r="R157" s="33">
        <f t="shared" si="51"/>
        <v>6.7114093959731544</v>
      </c>
      <c r="S157" s="33">
        <f t="shared" si="52"/>
        <v>-1</v>
      </c>
      <c r="T157" s="27"/>
      <c r="U157" s="28">
        <f t="shared" si="53"/>
        <v>0.10964912280701754</v>
      </c>
      <c r="V157" s="25">
        <f t="shared" si="54"/>
        <v>999</v>
      </c>
      <c r="W157" s="35">
        <f t="shared" si="66"/>
        <v>25</v>
      </c>
      <c r="X157" s="33">
        <f t="shared" si="55"/>
        <v>25</v>
      </c>
      <c r="Y157" s="32">
        <f t="shared" si="56"/>
        <v>-1</v>
      </c>
      <c r="Z157" s="32"/>
      <c r="AA157" s="30">
        <f t="shared" si="57"/>
        <v>4.0542391453225584</v>
      </c>
      <c r="AB157" s="28">
        <f t="shared" si="58"/>
        <v>0.42134745017069319</v>
      </c>
      <c r="AC157" s="28">
        <f t="shared" si="59"/>
        <v>0.10964912280701754</v>
      </c>
      <c r="AD157" s="29">
        <f t="shared" si="60"/>
        <v>140.41745730550284</v>
      </c>
      <c r="AE157" s="28">
        <f t="shared" si="61"/>
        <v>0.10964912280701754</v>
      </c>
      <c r="AF157" s="28">
        <f t="shared" si="62"/>
        <v>0.31169832736367564</v>
      </c>
      <c r="AG157" s="28">
        <f t="shared" si="63"/>
        <v>0</v>
      </c>
      <c r="AI157" s="31">
        <f t="shared" si="64"/>
        <v>-0.41821511725183824</v>
      </c>
      <c r="AJ157" s="25"/>
      <c r="AK157" s="31"/>
      <c r="AM157" s="27"/>
    </row>
    <row r="158" spans="4:39" x14ac:dyDescent="0.25">
      <c r="D158" s="25">
        <f>E158*'Profit per cycles Model'!$I$113</f>
        <v>1490</v>
      </c>
      <c r="E158" s="25">
        <v>4.0816326530612246</v>
      </c>
      <c r="F158" s="28">
        <f t="shared" si="45"/>
        <v>0.67114093959731547</v>
      </c>
      <c r="G158" s="28">
        <f>'Battery Pricing Model'!$C$17/D158</f>
        <v>0.67114093959731547</v>
      </c>
      <c r="H158" s="28">
        <f t="shared" si="46"/>
        <v>999</v>
      </c>
      <c r="I158" s="28"/>
      <c r="J158" s="34">
        <f>INDEX('Profit per cycles Model'!$I$149:$I$179, MATCH(TRUNC(E158, 0), 'Profit per cycles Model'!$H$149:$H$179, 0))</f>
        <v>0.42134745017069319</v>
      </c>
      <c r="K158" s="27">
        <f>AVERAGE($AB$10:AB158)</f>
        <v>0.39328748808716019</v>
      </c>
      <c r="L158" s="28">
        <f t="shared" si="47"/>
        <v>999</v>
      </c>
      <c r="M158" s="28">
        <f t="shared" si="48"/>
        <v>999</v>
      </c>
      <c r="N158" s="28">
        <f t="shared" si="49"/>
        <v>999</v>
      </c>
      <c r="O158" s="28"/>
      <c r="P158" s="29">
        <f t="shared" si="65"/>
        <v>0.1490000000000001</v>
      </c>
      <c r="Q158" s="33">
        <f t="shared" si="50"/>
        <v>6.7114093959731544</v>
      </c>
      <c r="R158" s="33">
        <f t="shared" si="51"/>
        <v>6.7114093959731544</v>
      </c>
      <c r="S158" s="33">
        <f t="shared" si="52"/>
        <v>-1</v>
      </c>
      <c r="T158" s="27"/>
      <c r="U158" s="28">
        <f t="shared" si="53"/>
        <v>0.10964912280701754</v>
      </c>
      <c r="V158" s="25">
        <f t="shared" si="54"/>
        <v>999</v>
      </c>
      <c r="W158" s="35">
        <f t="shared" si="66"/>
        <v>25</v>
      </c>
      <c r="X158" s="33">
        <f t="shared" si="55"/>
        <v>25</v>
      </c>
      <c r="Y158" s="32">
        <f t="shared" si="56"/>
        <v>-1</v>
      </c>
      <c r="Z158" s="32"/>
      <c r="AA158" s="30">
        <f t="shared" si="57"/>
        <v>4.0816326530612246</v>
      </c>
      <c r="AB158" s="28">
        <f t="shared" si="58"/>
        <v>0.42134745017069319</v>
      </c>
      <c r="AC158" s="28">
        <f t="shared" si="59"/>
        <v>0.10964912280701754</v>
      </c>
      <c r="AD158" s="29">
        <f t="shared" si="60"/>
        <v>141.36622390891841</v>
      </c>
      <c r="AE158" s="28">
        <f t="shared" si="61"/>
        <v>0.10964912280701754</v>
      </c>
      <c r="AF158" s="28">
        <f t="shared" si="62"/>
        <v>0.31169832736367564</v>
      </c>
      <c r="AG158" s="28">
        <f t="shared" si="63"/>
        <v>0</v>
      </c>
      <c r="AI158" s="31">
        <f t="shared" si="64"/>
        <v>-0.41400164275013135</v>
      </c>
      <c r="AJ158" s="25"/>
      <c r="AK158" s="31"/>
      <c r="AM158" s="27"/>
    </row>
    <row r="159" spans="4:39" x14ac:dyDescent="0.25">
      <c r="D159" s="25">
        <f>E159*'Profit per cycles Model'!$I$113</f>
        <v>1499.9999999999998</v>
      </c>
      <c r="E159" s="25">
        <v>4.1090261607998899</v>
      </c>
      <c r="F159" s="28">
        <f t="shared" si="45"/>
        <v>0.66666666666666674</v>
      </c>
      <c r="G159" s="28">
        <f>'Battery Pricing Model'!$C$17/D159</f>
        <v>0.66666666666666674</v>
      </c>
      <c r="H159" s="28">
        <f t="shared" si="46"/>
        <v>999</v>
      </c>
      <c r="I159" s="28"/>
      <c r="J159" s="34">
        <f>INDEX('Profit per cycles Model'!$I$149:$I$179, MATCH(TRUNC(E159, 0), 'Profit per cycles Model'!$H$149:$H$179, 0))</f>
        <v>0.42134745017069319</v>
      </c>
      <c r="K159" s="27">
        <f>AVERAGE($AB$10:AB159)</f>
        <v>0.3934745545010504</v>
      </c>
      <c r="L159" s="28">
        <f t="shared" si="47"/>
        <v>999</v>
      </c>
      <c r="M159" s="28">
        <f t="shared" si="48"/>
        <v>999</v>
      </c>
      <c r="N159" s="28">
        <f t="shared" si="49"/>
        <v>999</v>
      </c>
      <c r="O159" s="28"/>
      <c r="P159" s="29">
        <f t="shared" si="65"/>
        <v>0.15000000000000011</v>
      </c>
      <c r="Q159" s="33">
        <f t="shared" si="50"/>
        <v>6.7114093959731544</v>
      </c>
      <c r="R159" s="33">
        <f t="shared" si="51"/>
        <v>6.7114093959731544</v>
      </c>
      <c r="S159" s="33">
        <f t="shared" si="52"/>
        <v>-1</v>
      </c>
      <c r="T159" s="27"/>
      <c r="U159" s="28">
        <f t="shared" si="53"/>
        <v>0.10964912280701754</v>
      </c>
      <c r="V159" s="25">
        <f t="shared" si="54"/>
        <v>999</v>
      </c>
      <c r="W159" s="35">
        <f t="shared" si="66"/>
        <v>25</v>
      </c>
      <c r="X159" s="33">
        <f t="shared" si="55"/>
        <v>25</v>
      </c>
      <c r="Y159" s="32">
        <f t="shared" si="56"/>
        <v>-1</v>
      </c>
      <c r="Z159" s="32"/>
      <c r="AA159" s="30">
        <f t="shared" si="57"/>
        <v>4.1090261607998899</v>
      </c>
      <c r="AB159" s="28">
        <f t="shared" si="58"/>
        <v>0.42134745017069319</v>
      </c>
      <c r="AC159" s="28">
        <f t="shared" si="59"/>
        <v>0.10964912280701754</v>
      </c>
      <c r="AD159" s="29">
        <f t="shared" si="60"/>
        <v>142.31499051233396</v>
      </c>
      <c r="AE159" s="28">
        <f t="shared" si="61"/>
        <v>0.10964912280701754</v>
      </c>
      <c r="AF159" s="28">
        <f t="shared" si="62"/>
        <v>0.31169832736367564</v>
      </c>
      <c r="AG159" s="28">
        <f t="shared" si="63"/>
        <v>0</v>
      </c>
      <c r="AI159" s="31">
        <f t="shared" si="64"/>
        <v>-0.40978816824842446</v>
      </c>
      <c r="AJ159" s="25"/>
      <c r="AK159" s="31"/>
      <c r="AM159" s="27"/>
    </row>
    <row r="160" spans="4:39" x14ac:dyDescent="0.25">
      <c r="D160" s="25">
        <f>E160*'Profit per cycles Model'!$I$113</f>
        <v>1510</v>
      </c>
      <c r="E160" s="25">
        <v>4.1364196685385561</v>
      </c>
      <c r="F160" s="28">
        <f t="shared" si="45"/>
        <v>0.66225165562913912</v>
      </c>
      <c r="G160" s="28">
        <f>'Battery Pricing Model'!$C$17/D160</f>
        <v>0.66225165562913912</v>
      </c>
      <c r="H160" s="28">
        <f t="shared" si="46"/>
        <v>999</v>
      </c>
      <c r="I160" s="28"/>
      <c r="J160" s="34">
        <f>INDEX('Profit per cycles Model'!$I$149:$I$179, MATCH(TRUNC(E160, 0), 'Profit per cycles Model'!$H$149:$H$179, 0))</f>
        <v>0.42134745017069319</v>
      </c>
      <c r="K160" s="27">
        <f>AVERAGE($AB$10:AB160)</f>
        <v>0.3936591432140944</v>
      </c>
      <c r="L160" s="28">
        <f t="shared" si="47"/>
        <v>999</v>
      </c>
      <c r="M160" s="28">
        <f t="shared" si="48"/>
        <v>999</v>
      </c>
      <c r="N160" s="28">
        <f t="shared" si="49"/>
        <v>999</v>
      </c>
      <c r="O160" s="28"/>
      <c r="P160" s="29">
        <f t="shared" si="65"/>
        <v>0.15100000000000011</v>
      </c>
      <c r="Q160" s="33">
        <f t="shared" si="50"/>
        <v>6.7114093959731544</v>
      </c>
      <c r="R160" s="33">
        <f t="shared" si="51"/>
        <v>6.7114093959731544</v>
      </c>
      <c r="S160" s="33">
        <f t="shared" si="52"/>
        <v>-1</v>
      </c>
      <c r="T160" s="27"/>
      <c r="U160" s="28">
        <f t="shared" si="53"/>
        <v>0.10964912280701754</v>
      </c>
      <c r="V160" s="25">
        <f t="shared" si="54"/>
        <v>999</v>
      </c>
      <c r="W160" s="35">
        <f t="shared" si="66"/>
        <v>25</v>
      </c>
      <c r="X160" s="33">
        <f t="shared" si="55"/>
        <v>25</v>
      </c>
      <c r="Y160" s="32">
        <f t="shared" si="56"/>
        <v>-1</v>
      </c>
      <c r="Z160" s="32"/>
      <c r="AA160" s="30">
        <f t="shared" si="57"/>
        <v>4.1364196685385561</v>
      </c>
      <c r="AB160" s="28">
        <f t="shared" si="58"/>
        <v>0.42134745017069319</v>
      </c>
      <c r="AC160" s="28">
        <f t="shared" si="59"/>
        <v>0.10964912280701754</v>
      </c>
      <c r="AD160" s="29">
        <f t="shared" si="60"/>
        <v>143.26375711574951</v>
      </c>
      <c r="AE160" s="28">
        <f t="shared" si="61"/>
        <v>0.10964912280701754</v>
      </c>
      <c r="AF160" s="28">
        <f t="shared" si="62"/>
        <v>0.31169832736367564</v>
      </c>
      <c r="AG160" s="28">
        <f t="shared" si="63"/>
        <v>0</v>
      </c>
      <c r="AI160" s="31">
        <f t="shared" si="64"/>
        <v>-0.40557469374671751</v>
      </c>
      <c r="AJ160" s="25"/>
      <c r="AK160" s="31"/>
      <c r="AM160" s="27"/>
    </row>
    <row r="161" spans="4:39" x14ac:dyDescent="0.25">
      <c r="D161" s="25">
        <f>E161*'Profit per cycles Model'!$I$113</f>
        <v>1520</v>
      </c>
      <c r="E161" s="25">
        <v>4.1638131762772224</v>
      </c>
      <c r="F161" s="28">
        <f t="shared" si="45"/>
        <v>0.65789473684210531</v>
      </c>
      <c r="G161" s="28">
        <f>'Battery Pricing Model'!$C$17/D161</f>
        <v>0.65789473684210531</v>
      </c>
      <c r="H161" s="28">
        <f t="shared" si="46"/>
        <v>999</v>
      </c>
      <c r="I161" s="28"/>
      <c r="J161" s="34">
        <f>INDEX('Profit per cycles Model'!$I$149:$I$179, MATCH(TRUNC(E161, 0), 'Profit per cycles Model'!$H$149:$H$179, 0))</f>
        <v>0.42134745017069319</v>
      </c>
      <c r="K161" s="27">
        <f>AVERAGE($AB$10:AB161)</f>
        <v>0.39384130312828253</v>
      </c>
      <c r="L161" s="28">
        <f t="shared" si="47"/>
        <v>999</v>
      </c>
      <c r="M161" s="28">
        <f t="shared" si="48"/>
        <v>999</v>
      </c>
      <c r="N161" s="28">
        <f t="shared" si="49"/>
        <v>999</v>
      </c>
      <c r="O161" s="28"/>
      <c r="P161" s="29">
        <f t="shared" si="65"/>
        <v>0.15200000000000011</v>
      </c>
      <c r="Q161" s="33">
        <f t="shared" si="50"/>
        <v>6.7114093959731544</v>
      </c>
      <c r="R161" s="33">
        <f t="shared" si="51"/>
        <v>6.7114093959731544</v>
      </c>
      <c r="S161" s="33">
        <f t="shared" si="52"/>
        <v>-1</v>
      </c>
      <c r="T161" s="27"/>
      <c r="U161" s="28">
        <f t="shared" si="53"/>
        <v>0.10964912280701754</v>
      </c>
      <c r="V161" s="25">
        <f t="shared" si="54"/>
        <v>999</v>
      </c>
      <c r="W161" s="35">
        <f t="shared" si="66"/>
        <v>25</v>
      </c>
      <c r="X161" s="33">
        <f t="shared" si="55"/>
        <v>25</v>
      </c>
      <c r="Y161" s="32">
        <f t="shared" si="56"/>
        <v>-1</v>
      </c>
      <c r="Z161" s="32"/>
      <c r="AA161" s="30">
        <f t="shared" si="57"/>
        <v>4.1638131762772224</v>
      </c>
      <c r="AB161" s="28">
        <f t="shared" si="58"/>
        <v>0.42134745017069319</v>
      </c>
      <c r="AC161" s="28">
        <f t="shared" si="59"/>
        <v>0.10964912280701754</v>
      </c>
      <c r="AD161" s="29">
        <f t="shared" si="60"/>
        <v>144.21252371916512</v>
      </c>
      <c r="AE161" s="28">
        <f t="shared" si="61"/>
        <v>0.10964912280701754</v>
      </c>
      <c r="AF161" s="28">
        <f t="shared" si="62"/>
        <v>0.31169832736367564</v>
      </c>
      <c r="AG161" s="28">
        <f t="shared" si="63"/>
        <v>0</v>
      </c>
      <c r="AI161" s="31">
        <f t="shared" si="64"/>
        <v>-0.40136121924501061</v>
      </c>
      <c r="AJ161" s="25"/>
      <c r="AK161" s="31"/>
      <c r="AM161" s="27"/>
    </row>
    <row r="162" spans="4:39" x14ac:dyDescent="0.25">
      <c r="D162" s="25">
        <f>E162*'Profit per cycles Model'!$I$113</f>
        <v>1529.9999999999998</v>
      </c>
      <c r="E162" s="25">
        <v>4.1912066840158877</v>
      </c>
      <c r="F162" s="28">
        <f t="shared" si="45"/>
        <v>0.65359477124183019</v>
      </c>
      <c r="G162" s="28">
        <f>'Battery Pricing Model'!$C$17/D162</f>
        <v>0.65359477124183019</v>
      </c>
      <c r="H162" s="28">
        <f t="shared" si="46"/>
        <v>999</v>
      </c>
      <c r="I162" s="28"/>
      <c r="J162" s="34">
        <f>INDEX('Profit per cycles Model'!$I$149:$I$179, MATCH(TRUNC(E162, 0), 'Profit per cycles Model'!$H$149:$H$179, 0))</f>
        <v>0.42134745017069319</v>
      </c>
      <c r="K162" s="27">
        <f>AVERAGE($AB$10:AB162)</f>
        <v>0.39402108186712181</v>
      </c>
      <c r="L162" s="28">
        <f t="shared" si="47"/>
        <v>999</v>
      </c>
      <c r="M162" s="28">
        <f t="shared" si="48"/>
        <v>999</v>
      </c>
      <c r="N162" s="28">
        <f t="shared" si="49"/>
        <v>999</v>
      </c>
      <c r="O162" s="28"/>
      <c r="P162" s="29">
        <f t="shared" si="65"/>
        <v>0.15300000000000011</v>
      </c>
      <c r="Q162" s="33">
        <f t="shared" si="50"/>
        <v>6.7114093959731544</v>
      </c>
      <c r="R162" s="33">
        <f t="shared" si="51"/>
        <v>6.7114093959731544</v>
      </c>
      <c r="S162" s="33">
        <f t="shared" si="52"/>
        <v>-1</v>
      </c>
      <c r="T162" s="27"/>
      <c r="U162" s="28">
        <f t="shared" si="53"/>
        <v>0.10964912280701754</v>
      </c>
      <c r="V162" s="25">
        <f t="shared" si="54"/>
        <v>999</v>
      </c>
      <c r="W162" s="35">
        <f t="shared" si="66"/>
        <v>25</v>
      </c>
      <c r="X162" s="33">
        <f t="shared" si="55"/>
        <v>25</v>
      </c>
      <c r="Y162" s="32">
        <f t="shared" si="56"/>
        <v>-1</v>
      </c>
      <c r="Z162" s="32"/>
      <c r="AA162" s="30">
        <f t="shared" si="57"/>
        <v>4.1912066840158877</v>
      </c>
      <c r="AB162" s="28">
        <f t="shared" si="58"/>
        <v>0.42134745017069319</v>
      </c>
      <c r="AC162" s="28">
        <f t="shared" si="59"/>
        <v>0.10964912280701754</v>
      </c>
      <c r="AD162" s="29">
        <f t="shared" si="60"/>
        <v>145.16129032258064</v>
      </c>
      <c r="AE162" s="28">
        <f t="shared" si="61"/>
        <v>0.10964912280701754</v>
      </c>
      <c r="AF162" s="28">
        <f t="shared" si="62"/>
        <v>0.31169832736367564</v>
      </c>
      <c r="AG162" s="28">
        <f t="shared" si="63"/>
        <v>0</v>
      </c>
      <c r="AI162" s="31">
        <f t="shared" si="64"/>
        <v>-0.39714774474330372</v>
      </c>
      <c r="AJ162" s="25"/>
      <c r="AK162" s="31"/>
      <c r="AM162" s="27"/>
    </row>
    <row r="163" spans="4:39" x14ac:dyDescent="0.25">
      <c r="D163" s="25">
        <f>E163*'Profit per cycles Model'!$I$113</f>
        <v>1540</v>
      </c>
      <c r="E163" s="25">
        <v>4.2186001917545539</v>
      </c>
      <c r="F163" s="28">
        <f t="shared" si="45"/>
        <v>0.64935064935064934</v>
      </c>
      <c r="G163" s="28">
        <f>'Battery Pricing Model'!$C$17/D163</f>
        <v>0.64935064935064934</v>
      </c>
      <c r="H163" s="28">
        <f t="shared" si="46"/>
        <v>999</v>
      </c>
      <c r="I163" s="28"/>
      <c r="J163" s="34">
        <f>INDEX('Profit per cycles Model'!$I$149:$I$179, MATCH(TRUNC(E163, 0), 'Profit per cycles Model'!$H$149:$H$179, 0))</f>
        <v>0.42134745017069319</v>
      </c>
      <c r="K163" s="27">
        <f>AVERAGE($AB$10:AB163)</f>
        <v>0.39419852581714498</v>
      </c>
      <c r="L163" s="28">
        <f t="shared" si="47"/>
        <v>999</v>
      </c>
      <c r="M163" s="28">
        <f t="shared" si="48"/>
        <v>999</v>
      </c>
      <c r="N163" s="28">
        <f t="shared" si="49"/>
        <v>999</v>
      </c>
      <c r="O163" s="28"/>
      <c r="P163" s="29">
        <f t="shared" si="65"/>
        <v>0.15400000000000011</v>
      </c>
      <c r="Q163" s="33">
        <f t="shared" si="50"/>
        <v>6.7114093959731544</v>
      </c>
      <c r="R163" s="33">
        <f t="shared" si="51"/>
        <v>6.7114093959731544</v>
      </c>
      <c r="S163" s="33">
        <f t="shared" si="52"/>
        <v>-1</v>
      </c>
      <c r="T163" s="27"/>
      <c r="U163" s="28">
        <f t="shared" si="53"/>
        <v>0.10964912280701754</v>
      </c>
      <c r="V163" s="25">
        <f t="shared" si="54"/>
        <v>999</v>
      </c>
      <c r="W163" s="35">
        <f t="shared" si="66"/>
        <v>25</v>
      </c>
      <c r="X163" s="33">
        <f t="shared" si="55"/>
        <v>25</v>
      </c>
      <c r="Y163" s="32">
        <f t="shared" si="56"/>
        <v>-1</v>
      </c>
      <c r="Z163" s="32"/>
      <c r="AA163" s="30">
        <f t="shared" si="57"/>
        <v>4.2186001917545539</v>
      </c>
      <c r="AB163" s="28">
        <f t="shared" si="58"/>
        <v>0.42134745017069319</v>
      </c>
      <c r="AC163" s="28">
        <f t="shared" si="59"/>
        <v>0.10964912280701754</v>
      </c>
      <c r="AD163" s="29">
        <f t="shared" si="60"/>
        <v>146.11005692599619</v>
      </c>
      <c r="AE163" s="28">
        <f t="shared" si="61"/>
        <v>0.10964912280701754</v>
      </c>
      <c r="AF163" s="28">
        <f t="shared" si="62"/>
        <v>0.31169832736367564</v>
      </c>
      <c r="AG163" s="28">
        <f t="shared" si="63"/>
        <v>0</v>
      </c>
      <c r="AI163" s="31">
        <f t="shared" si="64"/>
        <v>-0.39293427024159672</v>
      </c>
      <c r="AJ163" s="25"/>
      <c r="AK163" s="31"/>
      <c r="AM163" s="27"/>
    </row>
    <row r="164" spans="4:39" x14ac:dyDescent="0.25">
      <c r="D164" s="25">
        <f>E164*'Profit per cycles Model'!$I$113</f>
        <v>1550</v>
      </c>
      <c r="E164" s="25">
        <v>4.2459936994932201</v>
      </c>
      <c r="F164" s="28">
        <f t="shared" si="45"/>
        <v>0.64516129032258063</v>
      </c>
      <c r="G164" s="28">
        <f>'Battery Pricing Model'!$C$17/D164</f>
        <v>0.64516129032258063</v>
      </c>
      <c r="H164" s="28">
        <f t="shared" si="46"/>
        <v>999</v>
      </c>
      <c r="I164" s="28"/>
      <c r="J164" s="34">
        <f>INDEX('Profit per cycles Model'!$I$149:$I$179, MATCH(TRUNC(E164, 0), 'Profit per cycles Model'!$H$149:$H$179, 0))</f>
        <v>0.42134745017069319</v>
      </c>
      <c r="K164" s="27">
        <f>AVERAGE($AB$10:AB164)</f>
        <v>0.39437368016781305</v>
      </c>
      <c r="L164" s="28">
        <f t="shared" si="47"/>
        <v>999</v>
      </c>
      <c r="M164" s="28">
        <f t="shared" si="48"/>
        <v>999</v>
      </c>
      <c r="N164" s="28">
        <f t="shared" si="49"/>
        <v>999</v>
      </c>
      <c r="O164" s="28"/>
      <c r="P164" s="29">
        <f t="shared" si="65"/>
        <v>0.15500000000000011</v>
      </c>
      <c r="Q164" s="33">
        <f t="shared" si="50"/>
        <v>6.7114093959731544</v>
      </c>
      <c r="R164" s="33">
        <f t="shared" si="51"/>
        <v>6.7114093959731544</v>
      </c>
      <c r="S164" s="33">
        <f t="shared" si="52"/>
        <v>-1</v>
      </c>
      <c r="T164" s="27"/>
      <c r="U164" s="28">
        <f t="shared" si="53"/>
        <v>0.10964912280701754</v>
      </c>
      <c r="V164" s="25">
        <f t="shared" si="54"/>
        <v>999</v>
      </c>
      <c r="W164" s="35">
        <f t="shared" si="66"/>
        <v>25</v>
      </c>
      <c r="X164" s="33">
        <f t="shared" si="55"/>
        <v>25</v>
      </c>
      <c r="Y164" s="32">
        <f t="shared" si="56"/>
        <v>-1</v>
      </c>
      <c r="Z164" s="32"/>
      <c r="AA164" s="30">
        <f t="shared" si="57"/>
        <v>4.2459936994932201</v>
      </c>
      <c r="AB164" s="28">
        <f t="shared" si="58"/>
        <v>0.42134745017069319</v>
      </c>
      <c r="AC164" s="28">
        <f t="shared" si="59"/>
        <v>0.10964912280701754</v>
      </c>
      <c r="AD164" s="29">
        <f t="shared" si="60"/>
        <v>147.0588235294118</v>
      </c>
      <c r="AE164" s="28">
        <f t="shared" si="61"/>
        <v>0.10964912280701754</v>
      </c>
      <c r="AF164" s="28">
        <f t="shared" si="62"/>
        <v>0.31169832736367564</v>
      </c>
      <c r="AG164" s="28">
        <f t="shared" si="63"/>
        <v>0</v>
      </c>
      <c r="AI164" s="31">
        <f t="shared" si="64"/>
        <v>-0.38872079573988977</v>
      </c>
      <c r="AJ164" s="25"/>
      <c r="AK164" s="31"/>
      <c r="AM164" s="27"/>
    </row>
    <row r="165" spans="4:39" x14ac:dyDescent="0.25">
      <c r="D165" s="25">
        <f>E165*'Profit per cycles Model'!$I$113</f>
        <v>1559.9999999999998</v>
      </c>
      <c r="E165" s="25">
        <v>4.2733872072318855</v>
      </c>
      <c r="F165" s="28">
        <f t="shared" si="45"/>
        <v>0.64102564102564108</v>
      </c>
      <c r="G165" s="28">
        <f>'Battery Pricing Model'!$C$17/D165</f>
        <v>0.64102564102564108</v>
      </c>
      <c r="H165" s="28">
        <f t="shared" si="46"/>
        <v>999</v>
      </c>
      <c r="I165" s="28"/>
      <c r="J165" s="34">
        <f>INDEX('Profit per cycles Model'!$I$149:$I$179, MATCH(TRUNC(E165, 0), 'Profit per cycles Model'!$H$149:$H$179, 0))</f>
        <v>0.42134745017069319</v>
      </c>
      <c r="K165" s="27">
        <f>AVERAGE($AB$10:AB165)</f>
        <v>0.39454658894988281</v>
      </c>
      <c r="L165" s="28">
        <f t="shared" si="47"/>
        <v>999</v>
      </c>
      <c r="M165" s="28">
        <f t="shared" si="48"/>
        <v>999</v>
      </c>
      <c r="N165" s="28">
        <f t="shared" si="49"/>
        <v>999</v>
      </c>
      <c r="O165" s="28"/>
      <c r="P165" s="29">
        <f t="shared" si="65"/>
        <v>0.15600000000000011</v>
      </c>
      <c r="Q165" s="33">
        <f t="shared" si="50"/>
        <v>6.7114093959731544</v>
      </c>
      <c r="R165" s="33">
        <f t="shared" si="51"/>
        <v>6.7114093959731544</v>
      </c>
      <c r="S165" s="33">
        <f t="shared" si="52"/>
        <v>-1</v>
      </c>
      <c r="T165" s="27"/>
      <c r="U165" s="28">
        <f t="shared" si="53"/>
        <v>0.10964912280701754</v>
      </c>
      <c r="V165" s="25">
        <f t="shared" si="54"/>
        <v>999</v>
      </c>
      <c r="W165" s="35">
        <f t="shared" si="66"/>
        <v>25</v>
      </c>
      <c r="X165" s="33">
        <f t="shared" si="55"/>
        <v>25</v>
      </c>
      <c r="Y165" s="32">
        <f t="shared" si="56"/>
        <v>-1</v>
      </c>
      <c r="Z165" s="32"/>
      <c r="AA165" s="30">
        <f t="shared" si="57"/>
        <v>4.2733872072318855</v>
      </c>
      <c r="AB165" s="28">
        <f t="shared" si="58"/>
        <v>0.42134745017069319</v>
      </c>
      <c r="AC165" s="28">
        <f t="shared" si="59"/>
        <v>0.10964912280701754</v>
      </c>
      <c r="AD165" s="29">
        <f t="shared" si="60"/>
        <v>148.00759013282732</v>
      </c>
      <c r="AE165" s="28">
        <f t="shared" si="61"/>
        <v>0.10964912280701754</v>
      </c>
      <c r="AF165" s="28">
        <f t="shared" si="62"/>
        <v>0.31169832736367564</v>
      </c>
      <c r="AG165" s="28">
        <f t="shared" si="63"/>
        <v>0</v>
      </c>
      <c r="AI165" s="31">
        <f t="shared" si="64"/>
        <v>-0.38450732123818288</v>
      </c>
      <c r="AJ165" s="25"/>
      <c r="AK165" s="31"/>
      <c r="AM165" s="27"/>
    </row>
    <row r="166" spans="4:39" x14ac:dyDescent="0.25">
      <c r="D166" s="25">
        <f>E166*'Profit per cycles Model'!$I$113</f>
        <v>1570</v>
      </c>
      <c r="E166" s="25">
        <v>4.3007807149705517</v>
      </c>
      <c r="F166" s="28">
        <f t="shared" si="45"/>
        <v>0.63694267515923564</v>
      </c>
      <c r="G166" s="28">
        <f>'Battery Pricing Model'!$C$17/D166</f>
        <v>0.63694267515923564</v>
      </c>
      <c r="H166" s="28">
        <f t="shared" si="46"/>
        <v>999</v>
      </c>
      <c r="I166" s="28"/>
      <c r="J166" s="34">
        <f>INDEX('Profit per cycles Model'!$I$149:$I$179, MATCH(TRUNC(E166, 0), 'Profit per cycles Model'!$H$149:$H$179, 0))</f>
        <v>0.42134745017069319</v>
      </c>
      <c r="K166" s="27">
        <f>AVERAGE($AB$10:AB166)</f>
        <v>0.39471729507230835</v>
      </c>
      <c r="L166" s="28">
        <f t="shared" si="47"/>
        <v>999</v>
      </c>
      <c r="M166" s="28">
        <f t="shared" si="48"/>
        <v>999</v>
      </c>
      <c r="N166" s="28">
        <f t="shared" si="49"/>
        <v>999</v>
      </c>
      <c r="O166" s="28"/>
      <c r="P166" s="29">
        <f t="shared" si="65"/>
        <v>0.15700000000000011</v>
      </c>
      <c r="Q166" s="33">
        <f t="shared" si="50"/>
        <v>6.7114093959731544</v>
      </c>
      <c r="R166" s="33">
        <f t="shared" si="51"/>
        <v>6.7114093959731544</v>
      </c>
      <c r="S166" s="33">
        <f t="shared" si="52"/>
        <v>-1</v>
      </c>
      <c r="T166" s="27"/>
      <c r="U166" s="28">
        <f t="shared" si="53"/>
        <v>0.10964912280701754</v>
      </c>
      <c r="V166" s="25">
        <f t="shared" si="54"/>
        <v>999</v>
      </c>
      <c r="W166" s="35">
        <f t="shared" si="66"/>
        <v>25</v>
      </c>
      <c r="X166" s="33">
        <f t="shared" si="55"/>
        <v>25</v>
      </c>
      <c r="Y166" s="32">
        <f t="shared" si="56"/>
        <v>-1</v>
      </c>
      <c r="Z166" s="32"/>
      <c r="AA166" s="30">
        <f t="shared" si="57"/>
        <v>4.3007807149705517</v>
      </c>
      <c r="AB166" s="28">
        <f t="shared" si="58"/>
        <v>0.42134745017069319</v>
      </c>
      <c r="AC166" s="28">
        <f t="shared" si="59"/>
        <v>0.10964912280701754</v>
      </c>
      <c r="AD166" s="29">
        <f t="shared" si="60"/>
        <v>148.95635673624287</v>
      </c>
      <c r="AE166" s="28">
        <f t="shared" si="61"/>
        <v>0.10964912280701754</v>
      </c>
      <c r="AF166" s="28">
        <f t="shared" si="62"/>
        <v>0.31169832736367564</v>
      </c>
      <c r="AG166" s="28">
        <f t="shared" si="63"/>
        <v>0</v>
      </c>
      <c r="AI166" s="31">
        <f t="shared" si="64"/>
        <v>-0.38029384673647587</v>
      </c>
      <c r="AJ166" s="25"/>
      <c r="AK166" s="31"/>
      <c r="AM166" s="27"/>
    </row>
    <row r="167" spans="4:39" x14ac:dyDescent="0.25">
      <c r="D167" s="25">
        <f>E167*'Profit per cycles Model'!$I$113</f>
        <v>1580</v>
      </c>
      <c r="E167" s="25">
        <v>4.3281742227092179</v>
      </c>
      <c r="F167" s="28">
        <f t="shared" si="45"/>
        <v>0.63291139240506333</v>
      </c>
      <c r="G167" s="28">
        <f>'Battery Pricing Model'!$C$17/D167</f>
        <v>0.63291139240506333</v>
      </c>
      <c r="H167" s="28">
        <f t="shared" si="46"/>
        <v>999</v>
      </c>
      <c r="I167" s="28"/>
      <c r="J167" s="34">
        <f>INDEX('Profit per cycles Model'!$I$149:$I$179, MATCH(TRUNC(E167, 0), 'Profit per cycles Model'!$H$149:$H$179, 0))</f>
        <v>0.42134745017069319</v>
      </c>
      <c r="K167" s="27">
        <f>AVERAGE($AB$10:AB167)</f>
        <v>0.39488584035774116</v>
      </c>
      <c r="L167" s="28">
        <f t="shared" si="47"/>
        <v>999</v>
      </c>
      <c r="M167" s="28">
        <f t="shared" si="48"/>
        <v>999</v>
      </c>
      <c r="N167" s="28">
        <f t="shared" si="49"/>
        <v>999</v>
      </c>
      <c r="O167" s="28"/>
      <c r="P167" s="29">
        <f t="shared" si="65"/>
        <v>0.15800000000000011</v>
      </c>
      <c r="Q167" s="33">
        <f t="shared" si="50"/>
        <v>6.7114093959731544</v>
      </c>
      <c r="R167" s="33">
        <f t="shared" si="51"/>
        <v>6.7114093959731544</v>
      </c>
      <c r="S167" s="33">
        <f t="shared" si="52"/>
        <v>-1</v>
      </c>
      <c r="T167" s="27"/>
      <c r="U167" s="28">
        <f t="shared" si="53"/>
        <v>0.10964912280701754</v>
      </c>
      <c r="V167" s="25">
        <f t="shared" si="54"/>
        <v>999</v>
      </c>
      <c r="W167" s="35">
        <f t="shared" si="66"/>
        <v>25</v>
      </c>
      <c r="X167" s="33">
        <f t="shared" si="55"/>
        <v>25</v>
      </c>
      <c r="Y167" s="32">
        <f t="shared" si="56"/>
        <v>-1</v>
      </c>
      <c r="Z167" s="32"/>
      <c r="AA167" s="30">
        <f t="shared" si="57"/>
        <v>4.3281742227092179</v>
      </c>
      <c r="AB167" s="28">
        <f t="shared" si="58"/>
        <v>0.42134745017069319</v>
      </c>
      <c r="AC167" s="28">
        <f t="shared" si="59"/>
        <v>0.10964912280701754</v>
      </c>
      <c r="AD167" s="29">
        <f t="shared" si="60"/>
        <v>149.90512333965847</v>
      </c>
      <c r="AE167" s="28">
        <f t="shared" si="61"/>
        <v>0.10964912280701754</v>
      </c>
      <c r="AF167" s="28">
        <f t="shared" si="62"/>
        <v>0.31169832736367564</v>
      </c>
      <c r="AG167" s="28">
        <f t="shared" si="63"/>
        <v>0</v>
      </c>
      <c r="AI167" s="31">
        <f t="shared" si="64"/>
        <v>-0.37608037223476903</v>
      </c>
      <c r="AJ167" s="25"/>
      <c r="AK167" s="31"/>
      <c r="AM167" s="27"/>
    </row>
    <row r="168" spans="4:39" x14ac:dyDescent="0.25">
      <c r="D168" s="25">
        <f>E168*'Profit per cycles Model'!$I$113</f>
        <v>1590.0000000000002</v>
      </c>
      <c r="E168" s="25">
        <v>4.3555677304478841</v>
      </c>
      <c r="F168" s="28">
        <f t="shared" si="45"/>
        <v>0.62893081761006275</v>
      </c>
      <c r="G168" s="28">
        <f>'Battery Pricing Model'!$C$17/D168</f>
        <v>0.62893081761006275</v>
      </c>
      <c r="H168" s="28">
        <f t="shared" si="46"/>
        <v>999</v>
      </c>
      <c r="I168" s="28"/>
      <c r="J168" s="34">
        <f>INDEX('Profit per cycles Model'!$I$149:$I$179, MATCH(TRUNC(E168, 0), 'Profit per cycles Model'!$H$149:$H$179, 0))</f>
        <v>0.42134745017069319</v>
      </c>
      <c r="K168" s="27">
        <f>AVERAGE($AB$10:AB168)</f>
        <v>0.39505226557669054</v>
      </c>
      <c r="L168" s="28">
        <f t="shared" si="47"/>
        <v>999</v>
      </c>
      <c r="M168" s="28">
        <f t="shared" si="48"/>
        <v>999</v>
      </c>
      <c r="N168" s="28">
        <f t="shared" si="49"/>
        <v>999</v>
      </c>
      <c r="O168" s="28"/>
      <c r="P168" s="29">
        <f t="shared" si="65"/>
        <v>0.15900000000000011</v>
      </c>
      <c r="Q168" s="33">
        <f t="shared" si="50"/>
        <v>6.7114093959731544</v>
      </c>
      <c r="R168" s="33">
        <f t="shared" si="51"/>
        <v>6.7114093959731544</v>
      </c>
      <c r="S168" s="33">
        <f t="shared" si="52"/>
        <v>-1</v>
      </c>
      <c r="T168" s="27"/>
      <c r="U168" s="28">
        <f t="shared" si="53"/>
        <v>0.10964912280701754</v>
      </c>
      <c r="V168" s="25">
        <f t="shared" si="54"/>
        <v>999</v>
      </c>
      <c r="W168" s="35">
        <f t="shared" si="66"/>
        <v>25</v>
      </c>
      <c r="X168" s="33">
        <f t="shared" si="55"/>
        <v>25</v>
      </c>
      <c r="Y168" s="32">
        <f t="shared" si="56"/>
        <v>-1</v>
      </c>
      <c r="Z168" s="32"/>
      <c r="AA168" s="30">
        <f t="shared" si="57"/>
        <v>4.3555677304478841</v>
      </c>
      <c r="AB168" s="28">
        <f t="shared" si="58"/>
        <v>0.42134745017069319</v>
      </c>
      <c r="AC168" s="28">
        <f t="shared" si="59"/>
        <v>0.10964912280701754</v>
      </c>
      <c r="AD168" s="29">
        <f t="shared" si="60"/>
        <v>150.85388994307402</v>
      </c>
      <c r="AE168" s="28">
        <f t="shared" si="61"/>
        <v>0.10964912280701754</v>
      </c>
      <c r="AF168" s="28">
        <f t="shared" si="62"/>
        <v>0.31169832736367564</v>
      </c>
      <c r="AG168" s="28">
        <f t="shared" si="63"/>
        <v>0</v>
      </c>
      <c r="AI168" s="31">
        <f t="shared" si="64"/>
        <v>-0.37186689773306192</v>
      </c>
      <c r="AJ168" s="25"/>
      <c r="AK168" s="31"/>
      <c r="AM168" s="27"/>
    </row>
    <row r="169" spans="4:39" x14ac:dyDescent="0.25">
      <c r="D169" s="25">
        <f>E169*'Profit per cycles Model'!$I$113</f>
        <v>1600</v>
      </c>
      <c r="E169" s="25">
        <v>4.3829612381865495</v>
      </c>
      <c r="F169" s="28">
        <f t="shared" si="45"/>
        <v>0.625</v>
      </c>
      <c r="G169" s="28">
        <f>'Battery Pricing Model'!$C$17/D169</f>
        <v>0.625</v>
      </c>
      <c r="H169" s="28">
        <f t="shared" si="46"/>
        <v>999</v>
      </c>
      <c r="I169" s="28"/>
      <c r="J169" s="34">
        <f>INDEX('Profit per cycles Model'!$I$149:$I$179, MATCH(TRUNC(E169, 0), 'Profit per cycles Model'!$H$149:$H$179, 0))</f>
        <v>0.42134745017069319</v>
      </c>
      <c r="K169" s="27">
        <f>AVERAGE($AB$10:AB169)</f>
        <v>0.39521661048040302</v>
      </c>
      <c r="L169" s="28">
        <f t="shared" si="47"/>
        <v>999</v>
      </c>
      <c r="M169" s="28">
        <f t="shared" si="48"/>
        <v>999</v>
      </c>
      <c r="N169" s="28">
        <f t="shared" si="49"/>
        <v>999</v>
      </c>
      <c r="O169" s="28"/>
      <c r="P169" s="29">
        <f t="shared" si="65"/>
        <v>0.16000000000000011</v>
      </c>
      <c r="Q169" s="33">
        <f t="shared" si="50"/>
        <v>6.7114093959731544</v>
      </c>
      <c r="R169" s="33">
        <f t="shared" si="51"/>
        <v>6.7114093959731544</v>
      </c>
      <c r="S169" s="33">
        <f t="shared" si="52"/>
        <v>-1</v>
      </c>
      <c r="T169" s="27"/>
      <c r="U169" s="28">
        <f t="shared" si="53"/>
        <v>0.10964912280701754</v>
      </c>
      <c r="V169" s="25">
        <f t="shared" si="54"/>
        <v>999</v>
      </c>
      <c r="W169" s="35">
        <f t="shared" si="66"/>
        <v>25</v>
      </c>
      <c r="X169" s="33">
        <f t="shared" si="55"/>
        <v>25</v>
      </c>
      <c r="Y169" s="32">
        <f t="shared" si="56"/>
        <v>-1</v>
      </c>
      <c r="Z169" s="32"/>
      <c r="AA169" s="30">
        <f t="shared" si="57"/>
        <v>4.3829612381865495</v>
      </c>
      <c r="AB169" s="28">
        <f t="shared" si="58"/>
        <v>0.42134745017069319</v>
      </c>
      <c r="AC169" s="28">
        <f t="shared" si="59"/>
        <v>0.10964912280701754</v>
      </c>
      <c r="AD169" s="29">
        <f t="shared" si="60"/>
        <v>151.80265654648954</v>
      </c>
      <c r="AE169" s="28">
        <f t="shared" si="61"/>
        <v>0.10964912280701754</v>
      </c>
      <c r="AF169" s="28">
        <f t="shared" si="62"/>
        <v>0.31169832736367564</v>
      </c>
      <c r="AG169" s="28">
        <f t="shared" si="63"/>
        <v>0</v>
      </c>
      <c r="AI169" s="31">
        <f t="shared" si="64"/>
        <v>-0.36765342323135519</v>
      </c>
      <c r="AJ169" s="25"/>
      <c r="AK169" s="31"/>
      <c r="AM169" s="27"/>
    </row>
    <row r="170" spans="4:39" x14ac:dyDescent="0.25">
      <c r="D170" s="25">
        <f>E170*'Profit per cycles Model'!$I$113</f>
        <v>1610</v>
      </c>
      <c r="E170" s="25">
        <v>4.4103547459252157</v>
      </c>
      <c r="F170" s="28">
        <f t="shared" si="45"/>
        <v>0.6211180124223602</v>
      </c>
      <c r="G170" s="28">
        <f>'Battery Pricing Model'!$C$17/D170</f>
        <v>0.6211180124223602</v>
      </c>
      <c r="H170" s="28">
        <f t="shared" si="46"/>
        <v>999</v>
      </c>
      <c r="I170" s="28"/>
      <c r="J170" s="34">
        <f>INDEX('Profit per cycles Model'!$I$149:$I$179, MATCH(TRUNC(E170, 0), 'Profit per cycles Model'!$H$149:$H$179, 0))</f>
        <v>0.42134745017069319</v>
      </c>
      <c r="K170" s="27">
        <f>AVERAGE($AB$10:AB170)</f>
        <v>0.39537891383251667</v>
      </c>
      <c r="L170" s="28">
        <f t="shared" si="47"/>
        <v>999</v>
      </c>
      <c r="M170" s="28">
        <f t="shared" si="48"/>
        <v>999</v>
      </c>
      <c r="N170" s="28">
        <f t="shared" si="49"/>
        <v>999</v>
      </c>
      <c r="O170" s="28"/>
      <c r="P170" s="29">
        <f t="shared" si="65"/>
        <v>0.16100000000000012</v>
      </c>
      <c r="Q170" s="33">
        <f t="shared" si="50"/>
        <v>6.7114093959731544</v>
      </c>
      <c r="R170" s="33">
        <f t="shared" si="51"/>
        <v>6.7114093959731544</v>
      </c>
      <c r="S170" s="33">
        <f t="shared" si="52"/>
        <v>-1</v>
      </c>
      <c r="T170" s="27"/>
      <c r="U170" s="28">
        <f t="shared" si="53"/>
        <v>0.10964912280701754</v>
      </c>
      <c r="V170" s="25">
        <f t="shared" si="54"/>
        <v>999</v>
      </c>
      <c r="W170" s="35">
        <f t="shared" si="66"/>
        <v>25</v>
      </c>
      <c r="X170" s="33">
        <f t="shared" si="55"/>
        <v>25</v>
      </c>
      <c r="Y170" s="32">
        <f t="shared" si="56"/>
        <v>-1</v>
      </c>
      <c r="Z170" s="32"/>
      <c r="AA170" s="30">
        <f t="shared" si="57"/>
        <v>4.4103547459252157</v>
      </c>
      <c r="AB170" s="28">
        <f t="shared" si="58"/>
        <v>0.42134745017069319</v>
      </c>
      <c r="AC170" s="28">
        <f t="shared" si="59"/>
        <v>0.10964912280701754</v>
      </c>
      <c r="AD170" s="29">
        <f t="shared" si="60"/>
        <v>152.75142314990515</v>
      </c>
      <c r="AE170" s="28">
        <f t="shared" si="61"/>
        <v>0.10964912280701754</v>
      </c>
      <c r="AF170" s="28">
        <f t="shared" si="62"/>
        <v>0.31169832736367564</v>
      </c>
      <c r="AG170" s="28">
        <f t="shared" si="63"/>
        <v>0</v>
      </c>
      <c r="AI170" s="31">
        <f t="shared" si="64"/>
        <v>-0.36343994872964813</v>
      </c>
      <c r="AJ170" s="25"/>
      <c r="AK170" s="31"/>
      <c r="AM170" s="27"/>
    </row>
    <row r="171" spans="4:39" x14ac:dyDescent="0.25">
      <c r="D171" s="25">
        <f>E171*'Profit per cycles Model'!$I$113</f>
        <v>1620.0000000000002</v>
      </c>
      <c r="E171" s="25">
        <v>4.4377482536638819</v>
      </c>
      <c r="F171" s="28">
        <f t="shared" si="45"/>
        <v>0.61728395061728392</v>
      </c>
      <c r="G171" s="28">
        <f>'Battery Pricing Model'!$C$17/D171</f>
        <v>0.61728395061728392</v>
      </c>
      <c r="H171" s="28">
        <f t="shared" si="46"/>
        <v>999</v>
      </c>
      <c r="I171" s="28"/>
      <c r="J171" s="34">
        <f>INDEX('Profit per cycles Model'!$I$149:$I$179, MATCH(TRUNC(E171, 0), 'Profit per cycles Model'!$H$149:$H$179, 0))</f>
        <v>0.42134745017069319</v>
      </c>
      <c r="K171" s="27">
        <f>AVERAGE($AB$10:AB171)</f>
        <v>0.3955392134395424</v>
      </c>
      <c r="L171" s="28">
        <f t="shared" si="47"/>
        <v>999</v>
      </c>
      <c r="M171" s="28">
        <f t="shared" si="48"/>
        <v>999</v>
      </c>
      <c r="N171" s="28">
        <f t="shared" si="49"/>
        <v>999</v>
      </c>
      <c r="O171" s="28"/>
      <c r="P171" s="29">
        <f t="shared" si="65"/>
        <v>0.16200000000000012</v>
      </c>
      <c r="Q171" s="33">
        <f t="shared" si="50"/>
        <v>6.7114093959731544</v>
      </c>
      <c r="R171" s="33">
        <f t="shared" si="51"/>
        <v>6.7114093959731544</v>
      </c>
      <c r="S171" s="33">
        <f t="shared" si="52"/>
        <v>-1</v>
      </c>
      <c r="T171" s="27"/>
      <c r="U171" s="28">
        <f t="shared" si="53"/>
        <v>0.10964912280701754</v>
      </c>
      <c r="V171" s="25">
        <f t="shared" si="54"/>
        <v>999</v>
      </c>
      <c r="W171" s="35">
        <f t="shared" si="66"/>
        <v>25</v>
      </c>
      <c r="X171" s="33">
        <f t="shared" si="55"/>
        <v>25</v>
      </c>
      <c r="Y171" s="32">
        <f t="shared" si="56"/>
        <v>-1</v>
      </c>
      <c r="Z171" s="32"/>
      <c r="AA171" s="30">
        <f t="shared" si="57"/>
        <v>4.4377482536638819</v>
      </c>
      <c r="AB171" s="28">
        <f t="shared" si="58"/>
        <v>0.42134745017069319</v>
      </c>
      <c r="AC171" s="28">
        <f t="shared" si="59"/>
        <v>0.10964912280701754</v>
      </c>
      <c r="AD171" s="29">
        <f t="shared" si="60"/>
        <v>153.7001897533207</v>
      </c>
      <c r="AE171" s="28">
        <f t="shared" si="61"/>
        <v>0.10964912280701754</v>
      </c>
      <c r="AF171" s="28">
        <f t="shared" si="62"/>
        <v>0.31169832736367564</v>
      </c>
      <c r="AG171" s="28">
        <f t="shared" si="63"/>
        <v>0</v>
      </c>
      <c r="AI171" s="31">
        <f t="shared" si="64"/>
        <v>-0.35922647422794129</v>
      </c>
      <c r="AJ171" s="25"/>
      <c r="AK171" s="31"/>
      <c r="AM171" s="27"/>
    </row>
    <row r="172" spans="4:39" x14ac:dyDescent="0.25">
      <c r="D172" s="25">
        <f>E172*'Profit per cycles Model'!$I$113</f>
        <v>1630</v>
      </c>
      <c r="E172" s="25">
        <v>4.4651417614025473</v>
      </c>
      <c r="F172" s="28">
        <f t="shared" si="45"/>
        <v>0.61349693251533743</v>
      </c>
      <c r="G172" s="28">
        <f>'Battery Pricing Model'!$C$17/D172</f>
        <v>0.61349693251533743</v>
      </c>
      <c r="H172" s="28">
        <f t="shared" si="46"/>
        <v>999</v>
      </c>
      <c r="I172" s="28"/>
      <c r="J172" s="34">
        <f>INDEX('Profit per cycles Model'!$I$149:$I$179, MATCH(TRUNC(E172, 0), 'Profit per cycles Model'!$H$149:$H$179, 0))</f>
        <v>0.42134745017069319</v>
      </c>
      <c r="K172" s="27">
        <f>AVERAGE($AB$10:AB172)</f>
        <v>0.39569754618022435</v>
      </c>
      <c r="L172" s="28">
        <f t="shared" si="47"/>
        <v>999</v>
      </c>
      <c r="M172" s="28">
        <f t="shared" si="48"/>
        <v>999</v>
      </c>
      <c r="N172" s="28">
        <f t="shared" si="49"/>
        <v>999</v>
      </c>
      <c r="O172" s="28"/>
      <c r="P172" s="29">
        <f t="shared" si="65"/>
        <v>0.16300000000000012</v>
      </c>
      <c r="Q172" s="33">
        <f t="shared" si="50"/>
        <v>6.7114093959731544</v>
      </c>
      <c r="R172" s="33">
        <f t="shared" si="51"/>
        <v>6.7114093959731544</v>
      </c>
      <c r="S172" s="33">
        <f t="shared" si="52"/>
        <v>-1</v>
      </c>
      <c r="T172" s="27"/>
      <c r="U172" s="28">
        <f t="shared" si="53"/>
        <v>0.10964912280701754</v>
      </c>
      <c r="V172" s="25">
        <f t="shared" si="54"/>
        <v>999</v>
      </c>
      <c r="W172" s="35">
        <f t="shared" si="66"/>
        <v>25</v>
      </c>
      <c r="X172" s="33">
        <f t="shared" si="55"/>
        <v>25</v>
      </c>
      <c r="Y172" s="32">
        <f t="shared" si="56"/>
        <v>-1</v>
      </c>
      <c r="Z172" s="32"/>
      <c r="AA172" s="30">
        <f t="shared" si="57"/>
        <v>4.4651417614025473</v>
      </c>
      <c r="AB172" s="28">
        <f t="shared" si="58"/>
        <v>0.42134745017069319</v>
      </c>
      <c r="AC172" s="28">
        <f t="shared" si="59"/>
        <v>0.10964912280701754</v>
      </c>
      <c r="AD172" s="29">
        <f t="shared" si="60"/>
        <v>154.64895635673625</v>
      </c>
      <c r="AE172" s="28">
        <f t="shared" si="61"/>
        <v>0.10964912280701754</v>
      </c>
      <c r="AF172" s="28">
        <f t="shared" si="62"/>
        <v>0.31169832736367564</v>
      </c>
      <c r="AG172" s="28">
        <f t="shared" si="63"/>
        <v>0</v>
      </c>
      <c r="AI172" s="31">
        <f t="shared" si="64"/>
        <v>-0.35501299972623435</v>
      </c>
      <c r="AJ172" s="25"/>
      <c r="AK172" s="31"/>
      <c r="AM172" s="27"/>
    </row>
    <row r="173" spans="4:39" x14ac:dyDescent="0.25">
      <c r="D173" s="25">
        <f>E173*'Profit per cycles Model'!$I$113</f>
        <v>1640</v>
      </c>
      <c r="E173" s="25">
        <v>4.4925352691412135</v>
      </c>
      <c r="F173" s="28">
        <f t="shared" si="45"/>
        <v>0.6097560975609756</v>
      </c>
      <c r="G173" s="28">
        <f>'Battery Pricing Model'!$C$17/D173</f>
        <v>0.6097560975609756</v>
      </c>
      <c r="H173" s="28">
        <f t="shared" si="46"/>
        <v>999</v>
      </c>
      <c r="I173" s="28"/>
      <c r="J173" s="34">
        <f>INDEX('Profit per cycles Model'!$I$149:$I$179, MATCH(TRUNC(E173, 0), 'Profit per cycles Model'!$H$149:$H$179, 0))</f>
        <v>0.42134745017069319</v>
      </c>
      <c r="K173" s="27">
        <f>AVERAGE($AB$10:AB173)</f>
        <v>0.39585394803382484</v>
      </c>
      <c r="L173" s="28">
        <f t="shared" si="47"/>
        <v>999</v>
      </c>
      <c r="M173" s="28">
        <f t="shared" si="48"/>
        <v>999</v>
      </c>
      <c r="N173" s="28">
        <f t="shared" si="49"/>
        <v>999</v>
      </c>
      <c r="O173" s="28"/>
      <c r="P173" s="29">
        <f t="shared" si="65"/>
        <v>0.16400000000000012</v>
      </c>
      <c r="Q173" s="33">
        <f t="shared" si="50"/>
        <v>6.7114093959731544</v>
      </c>
      <c r="R173" s="33">
        <f t="shared" si="51"/>
        <v>6.7114093959731544</v>
      </c>
      <c r="S173" s="33">
        <f t="shared" si="52"/>
        <v>-1</v>
      </c>
      <c r="T173" s="27"/>
      <c r="U173" s="28">
        <f t="shared" si="53"/>
        <v>0.10964912280701754</v>
      </c>
      <c r="V173" s="25">
        <f t="shared" si="54"/>
        <v>999</v>
      </c>
      <c r="W173" s="35">
        <f t="shared" si="66"/>
        <v>25</v>
      </c>
      <c r="X173" s="33">
        <f t="shared" si="55"/>
        <v>25</v>
      </c>
      <c r="Y173" s="32">
        <f t="shared" si="56"/>
        <v>-1</v>
      </c>
      <c r="Z173" s="32"/>
      <c r="AA173" s="30">
        <f t="shared" si="57"/>
        <v>4.4925352691412135</v>
      </c>
      <c r="AB173" s="28">
        <f t="shared" si="58"/>
        <v>0.42134745017069319</v>
      </c>
      <c r="AC173" s="28">
        <f t="shared" si="59"/>
        <v>0.10964912280701754</v>
      </c>
      <c r="AD173" s="29">
        <f t="shared" si="60"/>
        <v>155.5977229601518</v>
      </c>
      <c r="AE173" s="28">
        <f t="shared" si="61"/>
        <v>0.10964912280701754</v>
      </c>
      <c r="AF173" s="28">
        <f t="shared" si="62"/>
        <v>0.31169832736367564</v>
      </c>
      <c r="AG173" s="28">
        <f t="shared" si="63"/>
        <v>0</v>
      </c>
      <c r="AI173" s="31">
        <f t="shared" si="64"/>
        <v>-0.35079952522452723</v>
      </c>
      <c r="AJ173" s="25"/>
      <c r="AK173" s="31"/>
      <c r="AM173" s="27"/>
    </row>
    <row r="174" spans="4:39" x14ac:dyDescent="0.25">
      <c r="D174" s="25">
        <f>E174*'Profit per cycles Model'!$I$113</f>
        <v>1650.0000000000002</v>
      </c>
      <c r="E174" s="25">
        <v>4.5199287768798797</v>
      </c>
      <c r="F174" s="28">
        <f t="shared" si="45"/>
        <v>0.60606060606060597</v>
      </c>
      <c r="G174" s="28">
        <f>'Battery Pricing Model'!$C$17/D174</f>
        <v>0.60606060606060597</v>
      </c>
      <c r="H174" s="28">
        <f t="shared" si="46"/>
        <v>999</v>
      </c>
      <c r="I174" s="28"/>
      <c r="J174" s="34">
        <f>INDEX('Profit per cycles Model'!$I$149:$I$179, MATCH(TRUNC(E174, 0), 'Profit per cycles Model'!$H$149:$H$179, 0))</f>
        <v>0.42134745017069319</v>
      </c>
      <c r="K174" s="27">
        <f>AVERAGE($AB$10:AB174)</f>
        <v>0.39600845410738167</v>
      </c>
      <c r="L174" s="28">
        <f t="shared" si="47"/>
        <v>999</v>
      </c>
      <c r="M174" s="28">
        <f t="shared" si="48"/>
        <v>999</v>
      </c>
      <c r="N174" s="28">
        <f t="shared" si="49"/>
        <v>999</v>
      </c>
      <c r="O174" s="28"/>
      <c r="P174" s="29">
        <f t="shared" si="65"/>
        <v>0.16500000000000012</v>
      </c>
      <c r="Q174" s="33">
        <f t="shared" si="50"/>
        <v>6.7114093959731544</v>
      </c>
      <c r="R174" s="33">
        <f t="shared" si="51"/>
        <v>6.7114093959731544</v>
      </c>
      <c r="S174" s="33">
        <f t="shared" si="52"/>
        <v>-1</v>
      </c>
      <c r="T174" s="27"/>
      <c r="U174" s="28">
        <f t="shared" si="53"/>
        <v>0.10964912280701754</v>
      </c>
      <c r="V174" s="25">
        <f t="shared" si="54"/>
        <v>999</v>
      </c>
      <c r="W174" s="35">
        <f t="shared" si="66"/>
        <v>25</v>
      </c>
      <c r="X174" s="33">
        <f t="shared" si="55"/>
        <v>25</v>
      </c>
      <c r="Y174" s="32">
        <f t="shared" si="56"/>
        <v>-1</v>
      </c>
      <c r="Z174" s="32"/>
      <c r="AA174" s="30">
        <f t="shared" si="57"/>
        <v>4.5199287768798797</v>
      </c>
      <c r="AB174" s="28">
        <f t="shared" si="58"/>
        <v>0.42134745017069319</v>
      </c>
      <c r="AC174" s="28">
        <f t="shared" si="59"/>
        <v>0.10964912280701754</v>
      </c>
      <c r="AD174" s="29">
        <f t="shared" si="60"/>
        <v>156.54648956356738</v>
      </c>
      <c r="AE174" s="28">
        <f t="shared" si="61"/>
        <v>0.10964912280701754</v>
      </c>
      <c r="AF174" s="28">
        <f t="shared" si="62"/>
        <v>0.31169832736367564</v>
      </c>
      <c r="AG174" s="28">
        <f t="shared" si="63"/>
        <v>0</v>
      </c>
      <c r="AI174" s="31">
        <f t="shared" si="64"/>
        <v>-0.34658605072282017</v>
      </c>
      <c r="AJ174" s="25"/>
      <c r="AK174" s="31"/>
      <c r="AM174" s="27"/>
    </row>
    <row r="175" spans="4:39" x14ac:dyDescent="0.25">
      <c r="D175" s="25">
        <f>E175*'Profit per cycles Model'!$I$113</f>
        <v>1660</v>
      </c>
      <c r="E175" s="25">
        <v>4.547322284618545</v>
      </c>
      <c r="F175" s="28">
        <f t="shared" si="45"/>
        <v>0.60240963855421692</v>
      </c>
      <c r="G175" s="28">
        <f>'Battery Pricing Model'!$C$17/D175</f>
        <v>0.60240963855421692</v>
      </c>
      <c r="H175" s="28">
        <f t="shared" si="46"/>
        <v>999</v>
      </c>
      <c r="I175" s="28"/>
      <c r="J175" s="34">
        <f>INDEX('Profit per cycles Model'!$I$149:$I$179, MATCH(TRUNC(E175, 0), 'Profit per cycles Model'!$H$149:$H$179, 0))</f>
        <v>0.42134745017069319</v>
      </c>
      <c r="K175" s="27">
        <f>AVERAGE($AB$10:AB175)</f>
        <v>0.39616109866197996</v>
      </c>
      <c r="L175" s="28">
        <f t="shared" si="47"/>
        <v>999</v>
      </c>
      <c r="M175" s="28">
        <f t="shared" si="48"/>
        <v>999</v>
      </c>
      <c r="N175" s="28">
        <f t="shared" si="49"/>
        <v>999</v>
      </c>
      <c r="O175" s="28"/>
      <c r="P175" s="29">
        <f t="shared" si="65"/>
        <v>0.16600000000000012</v>
      </c>
      <c r="Q175" s="33">
        <f t="shared" si="50"/>
        <v>6.7114093959731544</v>
      </c>
      <c r="R175" s="33">
        <f t="shared" si="51"/>
        <v>6.7114093959731544</v>
      </c>
      <c r="S175" s="33">
        <f t="shared" si="52"/>
        <v>-1</v>
      </c>
      <c r="T175" s="27"/>
      <c r="U175" s="28">
        <f t="shared" si="53"/>
        <v>0.10964912280701754</v>
      </c>
      <c r="V175" s="25">
        <f t="shared" si="54"/>
        <v>999</v>
      </c>
      <c r="W175" s="35">
        <f t="shared" si="66"/>
        <v>25</v>
      </c>
      <c r="X175" s="33">
        <f t="shared" si="55"/>
        <v>25</v>
      </c>
      <c r="Y175" s="32">
        <f t="shared" si="56"/>
        <v>-1</v>
      </c>
      <c r="Z175" s="32"/>
      <c r="AA175" s="30">
        <f t="shared" si="57"/>
        <v>4.547322284618545</v>
      </c>
      <c r="AB175" s="28">
        <f t="shared" si="58"/>
        <v>0.42134745017069319</v>
      </c>
      <c r="AC175" s="28">
        <f t="shared" si="59"/>
        <v>0.10964912280701754</v>
      </c>
      <c r="AD175" s="29">
        <f t="shared" si="60"/>
        <v>157.49525616698293</v>
      </c>
      <c r="AE175" s="28">
        <f t="shared" si="61"/>
        <v>0.10964912280701754</v>
      </c>
      <c r="AF175" s="28">
        <f t="shared" si="62"/>
        <v>0.31169832736367564</v>
      </c>
      <c r="AG175" s="28">
        <f t="shared" si="63"/>
        <v>0</v>
      </c>
      <c r="AI175" s="31">
        <f t="shared" si="64"/>
        <v>-0.34237257622111333</v>
      </c>
      <c r="AJ175" s="25"/>
      <c r="AK175" s="31"/>
      <c r="AM175" s="27"/>
    </row>
    <row r="176" spans="4:39" x14ac:dyDescent="0.25">
      <c r="D176" s="25">
        <f>E176*'Profit per cycles Model'!$I$113</f>
        <v>1670</v>
      </c>
      <c r="E176" s="25">
        <v>4.5747157923572113</v>
      </c>
      <c r="F176" s="28">
        <f t="shared" si="45"/>
        <v>0.59880239520958078</v>
      </c>
      <c r="G176" s="28">
        <f>'Battery Pricing Model'!$C$17/D176</f>
        <v>0.59880239520958078</v>
      </c>
      <c r="H176" s="28">
        <f t="shared" si="46"/>
        <v>999</v>
      </c>
      <c r="I176" s="28"/>
      <c r="J176" s="34">
        <f>INDEX('Profit per cycles Model'!$I$149:$I$179, MATCH(TRUNC(E176, 0), 'Profit per cycles Model'!$H$149:$H$179, 0))</f>
        <v>0.42134745017069319</v>
      </c>
      <c r="K176" s="27">
        <f>AVERAGE($AB$10:AB176)</f>
        <v>0.39631191513808006</v>
      </c>
      <c r="L176" s="28">
        <f t="shared" si="47"/>
        <v>999</v>
      </c>
      <c r="M176" s="28">
        <f t="shared" si="48"/>
        <v>999</v>
      </c>
      <c r="N176" s="28">
        <f t="shared" si="49"/>
        <v>999</v>
      </c>
      <c r="O176" s="28"/>
      <c r="P176" s="29">
        <f t="shared" si="65"/>
        <v>0.16700000000000012</v>
      </c>
      <c r="Q176" s="33">
        <f t="shared" si="50"/>
        <v>6.7114093959731544</v>
      </c>
      <c r="R176" s="33">
        <f t="shared" si="51"/>
        <v>6.7114093959731544</v>
      </c>
      <c r="S176" s="33">
        <f t="shared" si="52"/>
        <v>-1</v>
      </c>
      <c r="T176" s="27"/>
      <c r="U176" s="28">
        <f t="shared" si="53"/>
        <v>0.10964912280701754</v>
      </c>
      <c r="V176" s="25">
        <f t="shared" si="54"/>
        <v>999</v>
      </c>
      <c r="W176" s="35">
        <f t="shared" si="66"/>
        <v>25</v>
      </c>
      <c r="X176" s="33">
        <f t="shared" si="55"/>
        <v>25</v>
      </c>
      <c r="Y176" s="32">
        <f t="shared" si="56"/>
        <v>-1</v>
      </c>
      <c r="Z176" s="32"/>
      <c r="AA176" s="30">
        <f t="shared" si="57"/>
        <v>4.5747157923572113</v>
      </c>
      <c r="AB176" s="28">
        <f t="shared" si="58"/>
        <v>0.42134745017069319</v>
      </c>
      <c r="AC176" s="28">
        <f t="shared" si="59"/>
        <v>0.10964912280701754</v>
      </c>
      <c r="AD176" s="29">
        <f t="shared" si="60"/>
        <v>158.44402277039848</v>
      </c>
      <c r="AE176" s="28">
        <f t="shared" si="61"/>
        <v>0.10964912280701754</v>
      </c>
      <c r="AF176" s="28">
        <f t="shared" si="62"/>
        <v>0.31169832736367564</v>
      </c>
      <c r="AG176" s="28">
        <f t="shared" si="63"/>
        <v>0</v>
      </c>
      <c r="AI176" s="31">
        <f t="shared" si="64"/>
        <v>-0.33815910171940622</v>
      </c>
      <c r="AJ176" s="25"/>
      <c r="AK176" s="31"/>
      <c r="AM176" s="27"/>
    </row>
    <row r="177" spans="4:39" x14ac:dyDescent="0.25">
      <c r="D177" s="25">
        <f>E177*'Profit per cycles Model'!$I$113</f>
        <v>1680.0000000000002</v>
      </c>
      <c r="E177" s="25">
        <v>4.6021093000958775</v>
      </c>
      <c r="F177" s="28">
        <f t="shared" si="45"/>
        <v>0.59523809523809512</v>
      </c>
      <c r="G177" s="28">
        <f>'Battery Pricing Model'!$C$17/D177</f>
        <v>0.59523809523809512</v>
      </c>
      <c r="H177" s="28">
        <f t="shared" si="46"/>
        <v>999</v>
      </c>
      <c r="I177" s="28"/>
      <c r="J177" s="34">
        <f>INDEX('Profit per cycles Model'!$I$149:$I$179, MATCH(TRUNC(E177, 0), 'Profit per cycles Model'!$H$149:$H$179, 0))</f>
        <v>0.42134745017069319</v>
      </c>
      <c r="K177" s="27">
        <f>AVERAGE($AB$10:AB177)</f>
        <v>0.39646093617994088</v>
      </c>
      <c r="L177" s="28">
        <f t="shared" si="47"/>
        <v>999</v>
      </c>
      <c r="M177" s="28">
        <f t="shared" si="48"/>
        <v>999</v>
      </c>
      <c r="N177" s="28">
        <f t="shared" si="49"/>
        <v>999</v>
      </c>
      <c r="O177" s="28"/>
      <c r="P177" s="29">
        <f t="shared" si="65"/>
        <v>0.16800000000000012</v>
      </c>
      <c r="Q177" s="33">
        <f t="shared" si="50"/>
        <v>6.7114093959731544</v>
      </c>
      <c r="R177" s="33">
        <f t="shared" si="51"/>
        <v>6.7114093959731544</v>
      </c>
      <c r="S177" s="33">
        <f t="shared" si="52"/>
        <v>-1</v>
      </c>
      <c r="T177" s="27"/>
      <c r="U177" s="28">
        <f t="shared" si="53"/>
        <v>0.10964912280701754</v>
      </c>
      <c r="V177" s="25">
        <f t="shared" si="54"/>
        <v>999</v>
      </c>
      <c r="W177" s="35">
        <f t="shared" si="66"/>
        <v>25</v>
      </c>
      <c r="X177" s="33">
        <f t="shared" si="55"/>
        <v>25</v>
      </c>
      <c r="Y177" s="32">
        <f t="shared" si="56"/>
        <v>-1</v>
      </c>
      <c r="Z177" s="32"/>
      <c r="AA177" s="30">
        <f t="shared" si="57"/>
        <v>4.6021093000958775</v>
      </c>
      <c r="AB177" s="28">
        <f t="shared" si="58"/>
        <v>0.42134745017069319</v>
      </c>
      <c r="AC177" s="28">
        <f t="shared" si="59"/>
        <v>0.10964912280701754</v>
      </c>
      <c r="AD177" s="29">
        <f t="shared" si="60"/>
        <v>159.39278937381405</v>
      </c>
      <c r="AE177" s="28">
        <f t="shared" si="61"/>
        <v>0.10964912280701754</v>
      </c>
      <c r="AF177" s="28">
        <f t="shared" si="62"/>
        <v>0.31169832736367564</v>
      </c>
      <c r="AG177" s="28">
        <f t="shared" si="63"/>
        <v>0</v>
      </c>
      <c r="AI177" s="31">
        <f t="shared" si="64"/>
        <v>-0.33394562721769921</v>
      </c>
      <c r="AJ177" s="25"/>
      <c r="AK177" s="31"/>
      <c r="AM177" s="27"/>
    </row>
    <row r="178" spans="4:39" x14ac:dyDescent="0.25">
      <c r="D178" s="25">
        <f>E178*'Profit per cycles Model'!$I$113</f>
        <v>1690</v>
      </c>
      <c r="E178" s="25">
        <v>4.6295028078345428</v>
      </c>
      <c r="F178" s="28">
        <f t="shared" si="45"/>
        <v>0.59171597633136097</v>
      </c>
      <c r="G178" s="28">
        <f>'Battery Pricing Model'!$C$17/D178</f>
        <v>0.59171597633136097</v>
      </c>
      <c r="H178" s="28">
        <f t="shared" si="46"/>
        <v>999</v>
      </c>
      <c r="I178" s="28"/>
      <c r="J178" s="34">
        <f>INDEX('Profit per cycles Model'!$I$149:$I$179, MATCH(TRUNC(E178, 0), 'Profit per cycles Model'!$H$149:$H$179, 0))</f>
        <v>0.42134745017069319</v>
      </c>
      <c r="K178" s="27">
        <f>AVERAGE($AB$10:AB178)</f>
        <v>0.39660819365917616</v>
      </c>
      <c r="L178" s="28">
        <f t="shared" si="47"/>
        <v>999</v>
      </c>
      <c r="M178" s="28">
        <f t="shared" si="48"/>
        <v>999</v>
      </c>
      <c r="N178" s="28">
        <f t="shared" si="49"/>
        <v>999</v>
      </c>
      <c r="O178" s="28"/>
      <c r="P178" s="29">
        <f t="shared" si="65"/>
        <v>0.16900000000000012</v>
      </c>
      <c r="Q178" s="33">
        <f t="shared" si="50"/>
        <v>6.7114093959731544</v>
      </c>
      <c r="R178" s="33">
        <f t="shared" si="51"/>
        <v>6.7114093959731544</v>
      </c>
      <c r="S178" s="33">
        <f t="shared" si="52"/>
        <v>-1</v>
      </c>
      <c r="T178" s="27"/>
      <c r="U178" s="28">
        <f t="shared" si="53"/>
        <v>0.10964912280701754</v>
      </c>
      <c r="V178" s="25">
        <f t="shared" si="54"/>
        <v>999</v>
      </c>
      <c r="W178" s="35">
        <f t="shared" si="66"/>
        <v>25</v>
      </c>
      <c r="X178" s="33">
        <f t="shared" si="55"/>
        <v>25</v>
      </c>
      <c r="Y178" s="32">
        <f t="shared" si="56"/>
        <v>-1</v>
      </c>
      <c r="Z178" s="32"/>
      <c r="AA178" s="30">
        <f t="shared" si="57"/>
        <v>4.6295028078345428</v>
      </c>
      <c r="AB178" s="28">
        <f t="shared" si="58"/>
        <v>0.42134745017069319</v>
      </c>
      <c r="AC178" s="28">
        <f t="shared" si="59"/>
        <v>0.10964912280701754</v>
      </c>
      <c r="AD178" s="29">
        <f t="shared" si="60"/>
        <v>160.3415559772296</v>
      </c>
      <c r="AE178" s="28">
        <f t="shared" si="61"/>
        <v>0.10964912280701754</v>
      </c>
      <c r="AF178" s="28">
        <f t="shared" si="62"/>
        <v>0.31169832736367564</v>
      </c>
      <c r="AG178" s="28">
        <f t="shared" si="63"/>
        <v>0</v>
      </c>
      <c r="AI178" s="31">
        <f t="shared" si="64"/>
        <v>-0.32973215271599232</v>
      </c>
      <c r="AJ178" s="25"/>
      <c r="AK178" s="31"/>
      <c r="AM178" s="27"/>
    </row>
    <row r="179" spans="4:39" x14ac:dyDescent="0.25">
      <c r="D179" s="25">
        <f>E179*'Profit per cycles Model'!$I$113</f>
        <v>1700</v>
      </c>
      <c r="E179" s="25">
        <v>4.656896315573209</v>
      </c>
      <c r="F179" s="28">
        <f t="shared" si="45"/>
        <v>0.58823529411764708</v>
      </c>
      <c r="G179" s="28">
        <f>'Battery Pricing Model'!$C$17/D179</f>
        <v>0.58823529411764708</v>
      </c>
      <c r="H179" s="28">
        <f t="shared" si="46"/>
        <v>999</v>
      </c>
      <c r="I179" s="28"/>
      <c r="J179" s="34">
        <f>INDEX('Profit per cycles Model'!$I$149:$I$179, MATCH(TRUNC(E179, 0), 'Profit per cycles Model'!$H$149:$H$179, 0))</f>
        <v>0.42134745017069319</v>
      </c>
      <c r="K179" s="27">
        <f>AVERAGE($AB$10:AB179)</f>
        <v>0.39675371869747922</v>
      </c>
      <c r="L179" s="28">
        <f t="shared" si="47"/>
        <v>999</v>
      </c>
      <c r="M179" s="28">
        <f t="shared" si="48"/>
        <v>999</v>
      </c>
      <c r="N179" s="28">
        <f t="shared" si="49"/>
        <v>999</v>
      </c>
      <c r="O179" s="28"/>
      <c r="P179" s="29">
        <f t="shared" si="65"/>
        <v>0.17000000000000012</v>
      </c>
      <c r="Q179" s="33">
        <f t="shared" si="50"/>
        <v>6.7114093959731544</v>
      </c>
      <c r="R179" s="33">
        <f t="shared" si="51"/>
        <v>6.7114093959731544</v>
      </c>
      <c r="S179" s="33">
        <f t="shared" si="52"/>
        <v>-1</v>
      </c>
      <c r="T179" s="27"/>
      <c r="U179" s="28">
        <f t="shared" si="53"/>
        <v>0.10964912280701754</v>
      </c>
      <c r="V179" s="25">
        <f t="shared" si="54"/>
        <v>999</v>
      </c>
      <c r="W179" s="35">
        <f t="shared" si="66"/>
        <v>25</v>
      </c>
      <c r="X179" s="33">
        <f t="shared" si="55"/>
        <v>25</v>
      </c>
      <c r="Y179" s="32">
        <f t="shared" si="56"/>
        <v>-1</v>
      </c>
      <c r="Z179" s="32"/>
      <c r="AA179" s="30">
        <f t="shared" si="57"/>
        <v>4.656896315573209</v>
      </c>
      <c r="AB179" s="28">
        <f t="shared" si="58"/>
        <v>0.42134745017069319</v>
      </c>
      <c r="AC179" s="28">
        <f t="shared" si="59"/>
        <v>0.10964912280701754</v>
      </c>
      <c r="AD179" s="29">
        <f t="shared" si="60"/>
        <v>161.29032258064515</v>
      </c>
      <c r="AE179" s="28">
        <f t="shared" si="61"/>
        <v>0.10964912280701754</v>
      </c>
      <c r="AF179" s="28">
        <f t="shared" si="62"/>
        <v>0.31169832736367564</v>
      </c>
      <c r="AG179" s="28">
        <f t="shared" si="63"/>
        <v>0</v>
      </c>
      <c r="AI179" s="31">
        <f t="shared" si="64"/>
        <v>-0.32551867821428537</v>
      </c>
      <c r="AJ179" s="25"/>
      <c r="AK179" s="31"/>
      <c r="AM179" s="27"/>
    </row>
    <row r="180" spans="4:39" x14ac:dyDescent="0.25">
      <c r="D180" s="25">
        <f>E180*'Profit per cycles Model'!$I$113</f>
        <v>1710.0000000000002</v>
      </c>
      <c r="E180" s="25">
        <v>4.6842898233118753</v>
      </c>
      <c r="F180" s="28">
        <f t="shared" si="45"/>
        <v>0.58479532163742687</v>
      </c>
      <c r="G180" s="28">
        <f>'Battery Pricing Model'!$C$17/D180</f>
        <v>0.58479532163742687</v>
      </c>
      <c r="H180" s="28">
        <f t="shared" si="46"/>
        <v>999</v>
      </c>
      <c r="I180" s="28"/>
      <c r="J180" s="34">
        <f>INDEX('Profit per cycles Model'!$I$149:$I$179, MATCH(TRUNC(E180, 0), 'Profit per cycles Model'!$H$149:$H$179, 0))</f>
        <v>0.42134745017069319</v>
      </c>
      <c r="K180" s="27">
        <f>AVERAGE($AB$10:AB180)</f>
        <v>0.39689754168855068</v>
      </c>
      <c r="L180" s="28">
        <f t="shared" si="47"/>
        <v>999</v>
      </c>
      <c r="M180" s="28">
        <f t="shared" si="48"/>
        <v>999</v>
      </c>
      <c r="N180" s="28">
        <f t="shared" si="49"/>
        <v>999</v>
      </c>
      <c r="O180" s="28"/>
      <c r="P180" s="29">
        <f t="shared" si="65"/>
        <v>0.17100000000000012</v>
      </c>
      <c r="Q180" s="33">
        <f t="shared" si="50"/>
        <v>6.7114093959731544</v>
      </c>
      <c r="R180" s="33">
        <f t="shared" si="51"/>
        <v>6.7114093959731544</v>
      </c>
      <c r="S180" s="33">
        <f t="shared" si="52"/>
        <v>-1</v>
      </c>
      <c r="T180" s="27"/>
      <c r="U180" s="28">
        <f t="shared" si="53"/>
        <v>0.10964912280701754</v>
      </c>
      <c r="V180" s="25">
        <f t="shared" si="54"/>
        <v>999</v>
      </c>
      <c r="W180" s="35">
        <f t="shared" si="66"/>
        <v>25</v>
      </c>
      <c r="X180" s="33">
        <f t="shared" si="55"/>
        <v>25</v>
      </c>
      <c r="Y180" s="32">
        <f t="shared" si="56"/>
        <v>-1</v>
      </c>
      <c r="Z180" s="32"/>
      <c r="AA180" s="30">
        <f t="shared" si="57"/>
        <v>4.6842898233118753</v>
      </c>
      <c r="AB180" s="28">
        <f t="shared" si="58"/>
        <v>0.42134745017069319</v>
      </c>
      <c r="AC180" s="28">
        <f t="shared" si="59"/>
        <v>0.10964912280701754</v>
      </c>
      <c r="AD180" s="29">
        <f t="shared" si="60"/>
        <v>162.23908918406073</v>
      </c>
      <c r="AE180" s="28">
        <f t="shared" si="61"/>
        <v>0.10964912280701754</v>
      </c>
      <c r="AF180" s="28">
        <f t="shared" si="62"/>
        <v>0.31169832736367564</v>
      </c>
      <c r="AG180" s="28">
        <f t="shared" si="63"/>
        <v>0</v>
      </c>
      <c r="AI180" s="31">
        <f t="shared" si="64"/>
        <v>-0.32130520371257831</v>
      </c>
      <c r="AJ180" s="25"/>
      <c r="AK180" s="31"/>
      <c r="AM180" s="27"/>
    </row>
    <row r="181" spans="4:39" x14ac:dyDescent="0.25">
      <c r="D181" s="25">
        <f>E181*'Profit per cycles Model'!$I$113</f>
        <v>1720</v>
      </c>
      <c r="E181" s="25">
        <v>4.7116833310505406</v>
      </c>
      <c r="F181" s="28">
        <f t="shared" si="45"/>
        <v>0.58139534883720934</v>
      </c>
      <c r="G181" s="28">
        <f>'Battery Pricing Model'!$C$17/D181</f>
        <v>0.58139534883720934</v>
      </c>
      <c r="H181" s="28">
        <f t="shared" si="46"/>
        <v>999</v>
      </c>
      <c r="I181" s="28"/>
      <c r="J181" s="34">
        <f>INDEX('Profit per cycles Model'!$I$149:$I$179, MATCH(TRUNC(E181, 0), 'Profit per cycles Model'!$H$149:$H$179, 0))</f>
        <v>0.42134745017069319</v>
      </c>
      <c r="K181" s="27">
        <f>AVERAGE($AB$10:AB181)</f>
        <v>0.3970396923192609</v>
      </c>
      <c r="L181" s="28">
        <f t="shared" si="47"/>
        <v>999</v>
      </c>
      <c r="M181" s="28">
        <f t="shared" si="48"/>
        <v>999</v>
      </c>
      <c r="N181" s="28">
        <f t="shared" si="49"/>
        <v>999</v>
      </c>
      <c r="O181" s="28"/>
      <c r="P181" s="29">
        <f t="shared" si="65"/>
        <v>0.17200000000000013</v>
      </c>
      <c r="Q181" s="33">
        <f t="shared" si="50"/>
        <v>6.7114093959731544</v>
      </c>
      <c r="R181" s="33">
        <f t="shared" si="51"/>
        <v>6.7114093959731544</v>
      </c>
      <c r="S181" s="33">
        <f t="shared" si="52"/>
        <v>-1</v>
      </c>
      <c r="T181" s="27"/>
      <c r="U181" s="28">
        <f t="shared" si="53"/>
        <v>0.10964912280701754</v>
      </c>
      <c r="V181" s="25">
        <f t="shared" si="54"/>
        <v>999</v>
      </c>
      <c r="W181" s="35">
        <f t="shared" si="66"/>
        <v>25</v>
      </c>
      <c r="X181" s="33">
        <f t="shared" si="55"/>
        <v>25</v>
      </c>
      <c r="Y181" s="32">
        <f t="shared" si="56"/>
        <v>-1</v>
      </c>
      <c r="Z181" s="32"/>
      <c r="AA181" s="30">
        <f t="shared" si="57"/>
        <v>4.7116833310505406</v>
      </c>
      <c r="AB181" s="28">
        <f t="shared" si="58"/>
        <v>0.42134745017069319</v>
      </c>
      <c r="AC181" s="28">
        <f t="shared" si="59"/>
        <v>0.10964912280701754</v>
      </c>
      <c r="AD181" s="29">
        <f t="shared" si="60"/>
        <v>163.18785578747628</v>
      </c>
      <c r="AE181" s="28">
        <f t="shared" si="61"/>
        <v>0.10964912280701754</v>
      </c>
      <c r="AF181" s="28">
        <f t="shared" si="62"/>
        <v>0.31169832736367564</v>
      </c>
      <c r="AG181" s="28">
        <f t="shared" si="63"/>
        <v>0</v>
      </c>
      <c r="AI181" s="31">
        <f t="shared" si="64"/>
        <v>-0.31709172921087131</v>
      </c>
      <c r="AJ181" s="25"/>
      <c r="AK181" s="31"/>
      <c r="AM181" s="27"/>
    </row>
    <row r="182" spans="4:39" x14ac:dyDescent="0.25">
      <c r="D182" s="25">
        <f>E182*'Profit per cycles Model'!$I$113</f>
        <v>1730</v>
      </c>
      <c r="E182" s="25">
        <v>4.7390768387892068</v>
      </c>
      <c r="F182" s="28">
        <f t="shared" si="45"/>
        <v>0.5780346820809249</v>
      </c>
      <c r="G182" s="28">
        <f>'Battery Pricing Model'!$C$17/D182</f>
        <v>0.5780346820809249</v>
      </c>
      <c r="H182" s="28">
        <f t="shared" si="46"/>
        <v>999</v>
      </c>
      <c r="I182" s="28"/>
      <c r="J182" s="34">
        <f>INDEX('Profit per cycles Model'!$I$149:$I$179, MATCH(TRUNC(E182, 0), 'Profit per cycles Model'!$H$149:$H$179, 0))</f>
        <v>0.42134745017069319</v>
      </c>
      <c r="K182" s="27">
        <f>AVERAGE($AB$10:AB182)</f>
        <v>0.39718019959007844</v>
      </c>
      <c r="L182" s="28">
        <f t="shared" si="47"/>
        <v>999</v>
      </c>
      <c r="M182" s="28">
        <f t="shared" si="48"/>
        <v>999</v>
      </c>
      <c r="N182" s="28">
        <f t="shared" si="49"/>
        <v>999</v>
      </c>
      <c r="O182" s="28"/>
      <c r="P182" s="29">
        <f t="shared" si="65"/>
        <v>0.17300000000000013</v>
      </c>
      <c r="Q182" s="33">
        <f t="shared" si="50"/>
        <v>6.7114093959731544</v>
      </c>
      <c r="R182" s="33">
        <f t="shared" si="51"/>
        <v>6.7114093959731544</v>
      </c>
      <c r="S182" s="33">
        <f t="shared" si="52"/>
        <v>-1</v>
      </c>
      <c r="T182" s="27"/>
      <c r="U182" s="28">
        <f t="shared" si="53"/>
        <v>0.10964912280701754</v>
      </c>
      <c r="V182" s="25">
        <f t="shared" si="54"/>
        <v>999</v>
      </c>
      <c r="W182" s="35">
        <f t="shared" si="66"/>
        <v>25</v>
      </c>
      <c r="X182" s="33">
        <f t="shared" si="55"/>
        <v>25</v>
      </c>
      <c r="Y182" s="32">
        <f t="shared" si="56"/>
        <v>-1</v>
      </c>
      <c r="Z182" s="32"/>
      <c r="AA182" s="30">
        <f t="shared" si="57"/>
        <v>4.7390768387892068</v>
      </c>
      <c r="AB182" s="28">
        <f t="shared" si="58"/>
        <v>0.42134745017069319</v>
      </c>
      <c r="AC182" s="28">
        <f t="shared" si="59"/>
        <v>0.10964912280701754</v>
      </c>
      <c r="AD182" s="29">
        <f t="shared" si="60"/>
        <v>164.13662239089183</v>
      </c>
      <c r="AE182" s="28">
        <f t="shared" si="61"/>
        <v>0.10964912280701754</v>
      </c>
      <c r="AF182" s="28">
        <f t="shared" si="62"/>
        <v>0.31169832736367564</v>
      </c>
      <c r="AG182" s="28">
        <f t="shared" si="63"/>
        <v>0</v>
      </c>
      <c r="AI182" s="31">
        <f t="shared" si="64"/>
        <v>-0.31287825470916436</v>
      </c>
      <c r="AJ182" s="25"/>
      <c r="AK182" s="31"/>
      <c r="AM182" s="27"/>
    </row>
    <row r="183" spans="4:39" x14ac:dyDescent="0.25">
      <c r="D183" s="25">
        <f>E183*'Profit per cycles Model'!$I$113</f>
        <v>1740</v>
      </c>
      <c r="E183" s="25">
        <v>4.766470346527873</v>
      </c>
      <c r="F183" s="28">
        <f t="shared" si="45"/>
        <v>0.57471264367816088</v>
      </c>
      <c r="G183" s="28">
        <f>'Battery Pricing Model'!$C$17/D183</f>
        <v>0.57471264367816088</v>
      </c>
      <c r="H183" s="28">
        <f t="shared" si="46"/>
        <v>999</v>
      </c>
      <c r="I183" s="28"/>
      <c r="J183" s="34">
        <f>INDEX('Profit per cycles Model'!$I$149:$I$179, MATCH(TRUNC(E183, 0), 'Profit per cycles Model'!$H$149:$H$179, 0))</f>
        <v>0.42134745017069319</v>
      </c>
      <c r="K183" s="27">
        <f>AVERAGE($AB$10:AB183)</f>
        <v>0.39731909183479464</v>
      </c>
      <c r="L183" s="28">
        <f t="shared" si="47"/>
        <v>999</v>
      </c>
      <c r="M183" s="28">
        <f t="shared" si="48"/>
        <v>999</v>
      </c>
      <c r="N183" s="28">
        <f t="shared" si="49"/>
        <v>999</v>
      </c>
      <c r="O183" s="28"/>
      <c r="P183" s="29">
        <f t="shared" si="65"/>
        <v>0.17400000000000013</v>
      </c>
      <c r="Q183" s="33">
        <f t="shared" si="50"/>
        <v>6.7114093959731544</v>
      </c>
      <c r="R183" s="33">
        <f t="shared" si="51"/>
        <v>6.7114093959731544</v>
      </c>
      <c r="S183" s="33">
        <f t="shared" si="52"/>
        <v>-1</v>
      </c>
      <c r="T183" s="27"/>
      <c r="U183" s="28">
        <f t="shared" si="53"/>
        <v>0.10964912280701754</v>
      </c>
      <c r="V183" s="25">
        <f t="shared" si="54"/>
        <v>999</v>
      </c>
      <c r="W183" s="35">
        <f t="shared" si="66"/>
        <v>25</v>
      </c>
      <c r="X183" s="33">
        <f t="shared" si="55"/>
        <v>25</v>
      </c>
      <c r="Y183" s="32">
        <f t="shared" si="56"/>
        <v>-1</v>
      </c>
      <c r="Z183" s="32"/>
      <c r="AA183" s="30">
        <f t="shared" si="57"/>
        <v>4.766470346527873</v>
      </c>
      <c r="AB183" s="28">
        <f t="shared" si="58"/>
        <v>0.42134745017069319</v>
      </c>
      <c r="AC183" s="28">
        <f t="shared" si="59"/>
        <v>0.10964912280701754</v>
      </c>
      <c r="AD183" s="29">
        <f t="shared" si="60"/>
        <v>165.08538899430741</v>
      </c>
      <c r="AE183" s="28">
        <f t="shared" si="61"/>
        <v>0.10964912280701754</v>
      </c>
      <c r="AF183" s="28">
        <f t="shared" si="62"/>
        <v>0.31169832736367564</v>
      </c>
      <c r="AG183" s="28">
        <f t="shared" si="63"/>
        <v>0</v>
      </c>
      <c r="AI183" s="31">
        <f t="shared" si="64"/>
        <v>-0.3086647802074573</v>
      </c>
      <c r="AJ183" s="25"/>
      <c r="AK183" s="31"/>
      <c r="AM183" s="27"/>
    </row>
    <row r="184" spans="4:39" x14ac:dyDescent="0.25">
      <c r="D184" s="25">
        <f>E184*'Profit per cycles Model'!$I$113</f>
        <v>1750</v>
      </c>
      <c r="E184" s="25">
        <v>4.7938638542665384</v>
      </c>
      <c r="F184" s="28">
        <f t="shared" si="45"/>
        <v>0.5714285714285714</v>
      </c>
      <c r="G184" s="28">
        <f>'Battery Pricing Model'!$C$17/D184</f>
        <v>0.5714285714285714</v>
      </c>
      <c r="H184" s="28">
        <f t="shared" si="46"/>
        <v>999</v>
      </c>
      <c r="I184" s="28"/>
      <c r="J184" s="34">
        <f>INDEX('Profit per cycles Model'!$I$149:$I$179, MATCH(TRUNC(E184, 0), 'Profit per cycles Model'!$H$149:$H$179, 0))</f>
        <v>0.42134745017069319</v>
      </c>
      <c r="K184" s="27">
        <f>AVERAGE($AB$10:AB184)</f>
        <v>0.39745639673957123</v>
      </c>
      <c r="L184" s="28">
        <f t="shared" si="47"/>
        <v>999</v>
      </c>
      <c r="M184" s="28">
        <f t="shared" si="48"/>
        <v>999</v>
      </c>
      <c r="N184" s="28">
        <f t="shared" si="49"/>
        <v>999</v>
      </c>
      <c r="O184" s="28"/>
      <c r="P184" s="29">
        <f t="shared" si="65"/>
        <v>0.17500000000000013</v>
      </c>
      <c r="Q184" s="33">
        <f t="shared" si="50"/>
        <v>6.7114093959731544</v>
      </c>
      <c r="R184" s="33">
        <f t="shared" si="51"/>
        <v>6.7114093959731544</v>
      </c>
      <c r="S184" s="33">
        <f t="shared" si="52"/>
        <v>-1</v>
      </c>
      <c r="T184" s="27"/>
      <c r="U184" s="28">
        <f t="shared" si="53"/>
        <v>0.10964912280701754</v>
      </c>
      <c r="V184" s="25">
        <f t="shared" si="54"/>
        <v>999</v>
      </c>
      <c r="W184" s="35">
        <f t="shared" si="66"/>
        <v>25</v>
      </c>
      <c r="X184" s="33">
        <f t="shared" si="55"/>
        <v>25</v>
      </c>
      <c r="Y184" s="32">
        <f t="shared" si="56"/>
        <v>-1</v>
      </c>
      <c r="Z184" s="32"/>
      <c r="AA184" s="30">
        <f t="shared" si="57"/>
        <v>4.7938638542665384</v>
      </c>
      <c r="AB184" s="28">
        <f t="shared" si="58"/>
        <v>0.42134745017069319</v>
      </c>
      <c r="AC184" s="28">
        <f t="shared" si="59"/>
        <v>0.10964912280701754</v>
      </c>
      <c r="AD184" s="29">
        <f t="shared" si="60"/>
        <v>166.03415559772296</v>
      </c>
      <c r="AE184" s="28">
        <f t="shared" si="61"/>
        <v>0.10964912280701754</v>
      </c>
      <c r="AF184" s="28">
        <f t="shared" si="62"/>
        <v>0.31169832736367564</v>
      </c>
      <c r="AG184" s="28">
        <f t="shared" si="63"/>
        <v>0</v>
      </c>
      <c r="AI184" s="31">
        <f t="shared" si="64"/>
        <v>-0.3044513057057503</v>
      </c>
      <c r="AJ184" s="25"/>
      <c r="AK184" s="31"/>
      <c r="AM184" s="27"/>
    </row>
    <row r="185" spans="4:39" x14ac:dyDescent="0.25">
      <c r="D185" s="25">
        <f>E185*'Profit per cycles Model'!$I$113</f>
        <v>1760</v>
      </c>
      <c r="E185" s="25">
        <v>4.8212573620052046</v>
      </c>
      <c r="F185" s="28">
        <f t="shared" si="45"/>
        <v>0.56818181818181823</v>
      </c>
      <c r="G185" s="28">
        <f>'Battery Pricing Model'!$C$17/D185</f>
        <v>0.56818181818181823</v>
      </c>
      <c r="H185" s="28">
        <f t="shared" si="46"/>
        <v>999</v>
      </c>
      <c r="I185" s="28"/>
      <c r="J185" s="34">
        <f>INDEX('Profit per cycles Model'!$I$149:$I$179, MATCH(TRUNC(E185, 0), 'Profit per cycles Model'!$H$149:$H$179, 0))</f>
        <v>0.42134745017069319</v>
      </c>
      <c r="K185" s="27">
        <f>AVERAGE($AB$10:AB185)</f>
        <v>0.39759214136133902</v>
      </c>
      <c r="L185" s="28">
        <f t="shared" si="47"/>
        <v>999</v>
      </c>
      <c r="M185" s="28">
        <f t="shared" si="48"/>
        <v>999</v>
      </c>
      <c r="N185" s="28">
        <f t="shared" si="49"/>
        <v>999</v>
      </c>
      <c r="O185" s="28"/>
      <c r="P185" s="29">
        <f t="shared" si="65"/>
        <v>0.17600000000000013</v>
      </c>
      <c r="Q185" s="33">
        <f t="shared" si="50"/>
        <v>6.7114093959731544</v>
      </c>
      <c r="R185" s="33">
        <f t="shared" si="51"/>
        <v>6.7114093959731544</v>
      </c>
      <c r="S185" s="33">
        <f t="shared" si="52"/>
        <v>-1</v>
      </c>
      <c r="T185" s="27"/>
      <c r="U185" s="28">
        <f t="shared" si="53"/>
        <v>0.10964912280701754</v>
      </c>
      <c r="V185" s="25">
        <f t="shared" si="54"/>
        <v>999</v>
      </c>
      <c r="W185" s="35">
        <f t="shared" si="66"/>
        <v>25</v>
      </c>
      <c r="X185" s="33">
        <f t="shared" si="55"/>
        <v>25</v>
      </c>
      <c r="Y185" s="32">
        <f t="shared" si="56"/>
        <v>-1</v>
      </c>
      <c r="Z185" s="32"/>
      <c r="AA185" s="30">
        <f t="shared" si="57"/>
        <v>4.8212573620052046</v>
      </c>
      <c r="AB185" s="28">
        <f t="shared" si="58"/>
        <v>0.42134745017069319</v>
      </c>
      <c r="AC185" s="28">
        <f t="shared" si="59"/>
        <v>0.10964912280701754</v>
      </c>
      <c r="AD185" s="29">
        <f t="shared" si="60"/>
        <v>166.98292220113851</v>
      </c>
      <c r="AE185" s="28">
        <f t="shared" si="61"/>
        <v>0.10964912280701754</v>
      </c>
      <c r="AF185" s="28">
        <f t="shared" si="62"/>
        <v>0.31169832736367564</v>
      </c>
      <c r="AG185" s="28">
        <f t="shared" si="63"/>
        <v>0</v>
      </c>
      <c r="AI185" s="31">
        <f t="shared" si="64"/>
        <v>-0.3002378312040434</v>
      </c>
      <c r="AJ185" s="25"/>
      <c r="AK185" s="31"/>
      <c r="AM185" s="27"/>
    </row>
    <row r="186" spans="4:39" x14ac:dyDescent="0.25">
      <c r="D186" s="25">
        <f>E186*'Profit per cycles Model'!$I$113</f>
        <v>1770</v>
      </c>
      <c r="E186" s="25">
        <v>4.8486508697438708</v>
      </c>
      <c r="F186" s="28">
        <f t="shared" si="45"/>
        <v>0.56497175141242939</v>
      </c>
      <c r="G186" s="28">
        <f>'Battery Pricing Model'!$C$17/D186</f>
        <v>0.56497175141242939</v>
      </c>
      <c r="H186" s="28">
        <f t="shared" si="46"/>
        <v>999</v>
      </c>
      <c r="I186" s="28"/>
      <c r="J186" s="34">
        <f>INDEX('Profit per cycles Model'!$I$149:$I$179, MATCH(TRUNC(E186, 0), 'Profit per cycles Model'!$H$149:$H$179, 0))</f>
        <v>0.42134745017069319</v>
      </c>
      <c r="K186" s="27">
        <f>AVERAGE($AB$10:AB186)</f>
        <v>0.39772635214557273</v>
      </c>
      <c r="L186" s="28">
        <f t="shared" si="47"/>
        <v>999</v>
      </c>
      <c r="M186" s="28">
        <f t="shared" si="48"/>
        <v>999</v>
      </c>
      <c r="N186" s="28">
        <f t="shared" si="49"/>
        <v>999</v>
      </c>
      <c r="O186" s="28"/>
      <c r="P186" s="29">
        <f t="shared" si="65"/>
        <v>0.17700000000000013</v>
      </c>
      <c r="Q186" s="33">
        <f t="shared" si="50"/>
        <v>6.7114093959731544</v>
      </c>
      <c r="R186" s="33">
        <f t="shared" si="51"/>
        <v>6.7114093959731544</v>
      </c>
      <c r="S186" s="33">
        <f t="shared" si="52"/>
        <v>-1</v>
      </c>
      <c r="T186" s="27"/>
      <c r="U186" s="28">
        <f t="shared" si="53"/>
        <v>0.10964912280701754</v>
      </c>
      <c r="V186" s="25">
        <f t="shared" si="54"/>
        <v>999</v>
      </c>
      <c r="W186" s="35">
        <f t="shared" si="66"/>
        <v>25</v>
      </c>
      <c r="X186" s="33">
        <f t="shared" si="55"/>
        <v>25</v>
      </c>
      <c r="Y186" s="32">
        <f t="shared" si="56"/>
        <v>-1</v>
      </c>
      <c r="Z186" s="32"/>
      <c r="AA186" s="30">
        <f t="shared" si="57"/>
        <v>4.8486508697438708</v>
      </c>
      <c r="AB186" s="28">
        <f t="shared" si="58"/>
        <v>0.42134745017069319</v>
      </c>
      <c r="AC186" s="28">
        <f t="shared" si="59"/>
        <v>0.10964912280701754</v>
      </c>
      <c r="AD186" s="29">
        <f t="shared" si="60"/>
        <v>167.93168880455411</v>
      </c>
      <c r="AE186" s="28">
        <f t="shared" si="61"/>
        <v>0.10964912280701754</v>
      </c>
      <c r="AF186" s="28">
        <f t="shared" si="62"/>
        <v>0.31169832736367564</v>
      </c>
      <c r="AG186" s="28">
        <f t="shared" si="63"/>
        <v>0</v>
      </c>
      <c r="AI186" s="31">
        <f t="shared" si="64"/>
        <v>-0.29602435670233629</v>
      </c>
      <c r="AJ186" s="25"/>
      <c r="AK186" s="31"/>
      <c r="AM186" s="27"/>
    </row>
    <row r="187" spans="4:39" x14ac:dyDescent="0.25">
      <c r="D187" s="25">
        <f>E187*'Profit per cycles Model'!$I$113</f>
        <v>1779.9999999999998</v>
      </c>
      <c r="E187" s="25">
        <v>4.8760443774825362</v>
      </c>
      <c r="F187" s="28">
        <f t="shared" si="45"/>
        <v>0.5617977528089888</v>
      </c>
      <c r="G187" s="28">
        <f>'Battery Pricing Model'!$C$17/D187</f>
        <v>0.5617977528089888</v>
      </c>
      <c r="H187" s="28">
        <f t="shared" si="46"/>
        <v>999</v>
      </c>
      <c r="I187" s="28"/>
      <c r="J187" s="34">
        <f>INDEX('Profit per cycles Model'!$I$149:$I$179, MATCH(TRUNC(E187, 0), 'Profit per cycles Model'!$H$149:$H$179, 0))</f>
        <v>0.42134745017069319</v>
      </c>
      <c r="K187" s="27">
        <f>AVERAGE($AB$10:AB187)</f>
        <v>0.39785905494346668</v>
      </c>
      <c r="L187" s="28">
        <f t="shared" si="47"/>
        <v>999</v>
      </c>
      <c r="M187" s="28">
        <f t="shared" si="48"/>
        <v>999</v>
      </c>
      <c r="N187" s="28">
        <f t="shared" si="49"/>
        <v>999</v>
      </c>
      <c r="O187" s="28"/>
      <c r="P187" s="29">
        <f t="shared" si="65"/>
        <v>0.17800000000000013</v>
      </c>
      <c r="Q187" s="33">
        <f t="shared" si="50"/>
        <v>6.7114093959731544</v>
      </c>
      <c r="R187" s="33">
        <f t="shared" si="51"/>
        <v>6.7114093959731544</v>
      </c>
      <c r="S187" s="33">
        <f t="shared" si="52"/>
        <v>-1</v>
      </c>
      <c r="T187" s="27"/>
      <c r="U187" s="28">
        <f t="shared" si="53"/>
        <v>0.10964912280701754</v>
      </c>
      <c r="V187" s="25">
        <f t="shared" si="54"/>
        <v>999</v>
      </c>
      <c r="W187" s="35">
        <f t="shared" si="66"/>
        <v>25</v>
      </c>
      <c r="X187" s="33">
        <f t="shared" si="55"/>
        <v>25</v>
      </c>
      <c r="Y187" s="32">
        <f t="shared" si="56"/>
        <v>-1</v>
      </c>
      <c r="Z187" s="32"/>
      <c r="AA187" s="30">
        <f t="shared" si="57"/>
        <v>4.8760443774825362</v>
      </c>
      <c r="AB187" s="28">
        <f t="shared" si="58"/>
        <v>0.42134745017069319</v>
      </c>
      <c r="AC187" s="28">
        <f t="shared" si="59"/>
        <v>0.10964912280701754</v>
      </c>
      <c r="AD187" s="29">
        <f t="shared" si="60"/>
        <v>168.88045540796963</v>
      </c>
      <c r="AE187" s="28">
        <f t="shared" si="61"/>
        <v>0.10964912280701754</v>
      </c>
      <c r="AF187" s="28">
        <f t="shared" si="62"/>
        <v>0.31169832736367564</v>
      </c>
      <c r="AG187" s="28">
        <f t="shared" si="63"/>
        <v>0</v>
      </c>
      <c r="AI187" s="31">
        <f t="shared" si="64"/>
        <v>-0.29181088220062934</v>
      </c>
      <c r="AJ187" s="25"/>
      <c r="AK187" s="31"/>
      <c r="AM187" s="27"/>
    </row>
    <row r="188" spans="4:39" x14ac:dyDescent="0.25">
      <c r="D188" s="25">
        <f>E188*'Profit per cycles Model'!$I$113</f>
        <v>1790</v>
      </c>
      <c r="E188" s="25">
        <v>4.9034378852212024</v>
      </c>
      <c r="F188" s="28">
        <f t="shared" si="45"/>
        <v>0.55865921787709494</v>
      </c>
      <c r="G188" s="28">
        <f>'Battery Pricing Model'!$C$17/D188</f>
        <v>0.55865921787709494</v>
      </c>
      <c r="H188" s="28">
        <f t="shared" si="46"/>
        <v>999</v>
      </c>
      <c r="I188" s="28"/>
      <c r="J188" s="34">
        <f>INDEX('Profit per cycles Model'!$I$149:$I$179, MATCH(TRUNC(E188, 0), 'Profit per cycles Model'!$H$149:$H$179, 0))</f>
        <v>0.42134745017069319</v>
      </c>
      <c r="K188" s="27">
        <f>AVERAGE($AB$10:AB188)</f>
        <v>0.39799027502853501</v>
      </c>
      <c r="L188" s="28">
        <f t="shared" si="47"/>
        <v>999</v>
      </c>
      <c r="M188" s="28">
        <f t="shared" si="48"/>
        <v>999</v>
      </c>
      <c r="N188" s="28">
        <f t="shared" si="49"/>
        <v>999</v>
      </c>
      <c r="O188" s="28"/>
      <c r="P188" s="29">
        <f t="shared" si="65"/>
        <v>0.17900000000000013</v>
      </c>
      <c r="Q188" s="33">
        <f t="shared" si="50"/>
        <v>6.7114093959731544</v>
      </c>
      <c r="R188" s="33">
        <f t="shared" si="51"/>
        <v>6.7114093959731544</v>
      </c>
      <c r="S188" s="33">
        <f t="shared" si="52"/>
        <v>-1</v>
      </c>
      <c r="T188" s="27"/>
      <c r="U188" s="28">
        <f t="shared" si="53"/>
        <v>0.10964912280701754</v>
      </c>
      <c r="V188" s="25">
        <f t="shared" si="54"/>
        <v>999</v>
      </c>
      <c r="W188" s="35">
        <f t="shared" si="66"/>
        <v>25</v>
      </c>
      <c r="X188" s="33">
        <f t="shared" si="55"/>
        <v>25</v>
      </c>
      <c r="Y188" s="32">
        <f t="shared" si="56"/>
        <v>-1</v>
      </c>
      <c r="Z188" s="32"/>
      <c r="AA188" s="30">
        <f t="shared" si="57"/>
        <v>4.9034378852212024</v>
      </c>
      <c r="AB188" s="28">
        <f t="shared" si="58"/>
        <v>0.42134745017069319</v>
      </c>
      <c r="AC188" s="28">
        <f t="shared" si="59"/>
        <v>0.10964912280701754</v>
      </c>
      <c r="AD188" s="29">
        <f t="shared" si="60"/>
        <v>169.82922201138518</v>
      </c>
      <c r="AE188" s="28">
        <f t="shared" si="61"/>
        <v>0.10964912280701754</v>
      </c>
      <c r="AF188" s="28">
        <f t="shared" si="62"/>
        <v>0.31169832736367564</v>
      </c>
      <c r="AG188" s="28">
        <f t="shared" si="63"/>
        <v>0</v>
      </c>
      <c r="AI188" s="31">
        <f t="shared" si="64"/>
        <v>-0.28759740769892228</v>
      </c>
      <c r="AJ188" s="25"/>
      <c r="AK188" s="31"/>
      <c r="AM188" s="27"/>
    </row>
    <row r="189" spans="4:39" x14ac:dyDescent="0.25">
      <c r="D189" s="25">
        <f>E189*'Profit per cycles Model'!$I$113</f>
        <v>1800</v>
      </c>
      <c r="E189" s="25">
        <v>4.9308313929598686</v>
      </c>
      <c r="F189" s="28">
        <f t="shared" si="45"/>
        <v>0.55555555555555558</v>
      </c>
      <c r="G189" s="28">
        <f>'Battery Pricing Model'!$C$17/D189</f>
        <v>0.55555555555555558</v>
      </c>
      <c r="H189" s="28">
        <f t="shared" si="46"/>
        <v>999</v>
      </c>
      <c r="I189" s="28"/>
      <c r="J189" s="34">
        <f>INDEX('Profit per cycles Model'!$I$149:$I$179, MATCH(TRUNC(E189, 0), 'Profit per cycles Model'!$H$149:$H$179, 0))</f>
        <v>0.42134745017069319</v>
      </c>
      <c r="K189" s="27">
        <f>AVERAGE($AB$10:AB189)</f>
        <v>0.39812003711265814</v>
      </c>
      <c r="L189" s="28">
        <f t="shared" si="47"/>
        <v>999</v>
      </c>
      <c r="M189" s="28">
        <f t="shared" si="48"/>
        <v>999</v>
      </c>
      <c r="N189" s="28">
        <f t="shared" si="49"/>
        <v>999</v>
      </c>
      <c r="O189" s="28"/>
      <c r="P189" s="29">
        <f t="shared" si="65"/>
        <v>0.18000000000000013</v>
      </c>
      <c r="Q189" s="33">
        <f t="shared" si="50"/>
        <v>6.7114093959731544</v>
      </c>
      <c r="R189" s="33">
        <f t="shared" si="51"/>
        <v>6.7114093959731544</v>
      </c>
      <c r="S189" s="33">
        <f t="shared" si="52"/>
        <v>-1</v>
      </c>
      <c r="T189" s="27"/>
      <c r="U189" s="28">
        <f t="shared" si="53"/>
        <v>0.10964912280701754</v>
      </c>
      <c r="V189" s="25">
        <f t="shared" si="54"/>
        <v>999</v>
      </c>
      <c r="W189" s="35">
        <f t="shared" si="66"/>
        <v>25</v>
      </c>
      <c r="X189" s="33">
        <f t="shared" si="55"/>
        <v>25</v>
      </c>
      <c r="Y189" s="32">
        <f t="shared" si="56"/>
        <v>-1</v>
      </c>
      <c r="Z189" s="32"/>
      <c r="AA189" s="30">
        <f t="shared" si="57"/>
        <v>4.9308313929598686</v>
      </c>
      <c r="AB189" s="28">
        <f t="shared" si="58"/>
        <v>0.42134745017069319</v>
      </c>
      <c r="AC189" s="28">
        <f t="shared" si="59"/>
        <v>0.10964912280701754</v>
      </c>
      <c r="AD189" s="29">
        <f t="shared" si="60"/>
        <v>170.77798861480079</v>
      </c>
      <c r="AE189" s="28">
        <f t="shared" si="61"/>
        <v>0.10964912280701754</v>
      </c>
      <c r="AF189" s="28">
        <f t="shared" si="62"/>
        <v>0.31169832736367564</v>
      </c>
      <c r="AG189" s="28">
        <f t="shared" si="63"/>
        <v>0</v>
      </c>
      <c r="AI189" s="31">
        <f t="shared" si="64"/>
        <v>-0.28338393319721539</v>
      </c>
      <c r="AJ189" s="25"/>
      <c r="AK189" s="31"/>
      <c r="AM189" s="27"/>
    </row>
    <row r="190" spans="4:39" x14ac:dyDescent="0.25">
      <c r="D190" s="25">
        <f>E190*'Profit per cycles Model'!$I$113</f>
        <v>1809.9999999999998</v>
      </c>
      <c r="E190" s="25">
        <v>4.9582249006985339</v>
      </c>
      <c r="F190" s="28">
        <f t="shared" si="45"/>
        <v>0.5524861878453039</v>
      </c>
      <c r="G190" s="28">
        <f>'Battery Pricing Model'!$C$17/D190</f>
        <v>0.5524861878453039</v>
      </c>
      <c r="H190" s="28">
        <f t="shared" si="46"/>
        <v>999</v>
      </c>
      <c r="I190" s="28"/>
      <c r="J190" s="34">
        <f>INDEX('Profit per cycles Model'!$I$149:$I$179, MATCH(TRUNC(E190, 0), 'Profit per cycles Model'!$H$149:$H$179, 0))</f>
        <v>0.42134745017069319</v>
      </c>
      <c r="K190" s="27">
        <f>AVERAGE($AB$10:AB190)</f>
        <v>0.39824836536159763</v>
      </c>
      <c r="L190" s="28">
        <f t="shared" si="47"/>
        <v>999</v>
      </c>
      <c r="M190" s="28">
        <f t="shared" si="48"/>
        <v>999</v>
      </c>
      <c r="N190" s="28">
        <f t="shared" si="49"/>
        <v>999</v>
      </c>
      <c r="O190" s="28"/>
      <c r="P190" s="29">
        <f t="shared" si="65"/>
        <v>0.18100000000000013</v>
      </c>
      <c r="Q190" s="33">
        <f t="shared" si="50"/>
        <v>6.7114093959731544</v>
      </c>
      <c r="R190" s="33">
        <f t="shared" si="51"/>
        <v>6.7114093959731544</v>
      </c>
      <c r="S190" s="33">
        <f t="shared" si="52"/>
        <v>-1</v>
      </c>
      <c r="T190" s="27"/>
      <c r="U190" s="28">
        <f t="shared" si="53"/>
        <v>0.10964912280701754</v>
      </c>
      <c r="V190" s="25">
        <f t="shared" si="54"/>
        <v>999</v>
      </c>
      <c r="W190" s="35">
        <f t="shared" si="66"/>
        <v>25</v>
      </c>
      <c r="X190" s="33">
        <f t="shared" si="55"/>
        <v>25</v>
      </c>
      <c r="Y190" s="32">
        <f t="shared" si="56"/>
        <v>-1</v>
      </c>
      <c r="Z190" s="32"/>
      <c r="AA190" s="30">
        <f t="shared" si="57"/>
        <v>4.9582249006985339</v>
      </c>
      <c r="AB190" s="28">
        <f t="shared" si="58"/>
        <v>0.42134745017069319</v>
      </c>
      <c r="AC190" s="28">
        <f t="shared" si="59"/>
        <v>0.10964912280701754</v>
      </c>
      <c r="AD190" s="29">
        <f t="shared" si="60"/>
        <v>171.72675521821631</v>
      </c>
      <c r="AE190" s="28">
        <f t="shared" si="61"/>
        <v>0.10964912280701754</v>
      </c>
      <c r="AF190" s="28">
        <f t="shared" si="62"/>
        <v>0.31169832736367564</v>
      </c>
      <c r="AG190" s="28">
        <f t="shared" si="63"/>
        <v>0</v>
      </c>
      <c r="AI190" s="31">
        <f t="shared" si="64"/>
        <v>-0.27917045869550833</v>
      </c>
      <c r="AJ190" s="25"/>
      <c r="AK190" s="31"/>
      <c r="AM190" s="27"/>
    </row>
    <row r="191" spans="4:39" x14ac:dyDescent="0.25">
      <c r="D191" s="25">
        <f>E191*'Profit per cycles Model'!$I$113</f>
        <v>1820</v>
      </c>
      <c r="E191" s="25">
        <v>4.9856184084372002</v>
      </c>
      <c r="F191" s="28">
        <f t="shared" si="45"/>
        <v>0.5494505494505495</v>
      </c>
      <c r="G191" s="28">
        <f>'Battery Pricing Model'!$C$17/D191</f>
        <v>0.5494505494505495</v>
      </c>
      <c r="H191" s="28">
        <f t="shared" si="46"/>
        <v>999</v>
      </c>
      <c r="I191" s="28"/>
      <c r="J191" s="34">
        <f>INDEX('Profit per cycles Model'!$I$149:$I$179, MATCH(TRUNC(E191, 0), 'Profit per cycles Model'!$H$149:$H$179, 0))</f>
        <v>0.42134745017069319</v>
      </c>
      <c r="K191" s="27">
        <f>AVERAGE($AB$10:AB191)</f>
        <v>0.39837528340999928</v>
      </c>
      <c r="L191" s="28">
        <f t="shared" si="47"/>
        <v>999</v>
      </c>
      <c r="M191" s="28">
        <f t="shared" si="48"/>
        <v>999</v>
      </c>
      <c r="N191" s="28">
        <f t="shared" si="49"/>
        <v>999</v>
      </c>
      <c r="O191" s="28"/>
      <c r="P191" s="29">
        <f t="shared" si="65"/>
        <v>0.18200000000000013</v>
      </c>
      <c r="Q191" s="33">
        <f t="shared" si="50"/>
        <v>6.7114093959731544</v>
      </c>
      <c r="R191" s="33">
        <f t="shared" si="51"/>
        <v>6.7114093959731544</v>
      </c>
      <c r="S191" s="33">
        <f t="shared" si="52"/>
        <v>-1</v>
      </c>
      <c r="T191" s="27"/>
      <c r="U191" s="28">
        <f t="shared" si="53"/>
        <v>0.10964912280701754</v>
      </c>
      <c r="V191" s="25">
        <f t="shared" si="54"/>
        <v>999</v>
      </c>
      <c r="W191" s="35">
        <f t="shared" si="66"/>
        <v>25</v>
      </c>
      <c r="X191" s="33">
        <f t="shared" si="55"/>
        <v>25</v>
      </c>
      <c r="Y191" s="32">
        <f t="shared" si="56"/>
        <v>-1</v>
      </c>
      <c r="Z191" s="32"/>
      <c r="AA191" s="30">
        <f t="shared" si="57"/>
        <v>4.9856184084372002</v>
      </c>
      <c r="AB191" s="28">
        <f t="shared" si="58"/>
        <v>0.42134745017069319</v>
      </c>
      <c r="AC191" s="28">
        <f t="shared" si="59"/>
        <v>0.10964912280701754</v>
      </c>
      <c r="AD191" s="29">
        <f t="shared" si="60"/>
        <v>172.67552182163186</v>
      </c>
      <c r="AE191" s="28">
        <f t="shared" si="61"/>
        <v>0.10964912280701754</v>
      </c>
      <c r="AF191" s="28">
        <f t="shared" si="62"/>
        <v>0.31169832736367564</v>
      </c>
      <c r="AG191" s="28">
        <f t="shared" si="63"/>
        <v>0</v>
      </c>
      <c r="AI191" s="31">
        <f t="shared" si="64"/>
        <v>-0.27495698419380138</v>
      </c>
      <c r="AJ191" s="25"/>
      <c r="AK191" s="31"/>
      <c r="AM191" s="27"/>
    </row>
    <row r="192" spans="4:39" x14ac:dyDescent="0.25">
      <c r="D192" s="25">
        <f>E192*'Profit per cycles Model'!$I$113</f>
        <v>1830</v>
      </c>
      <c r="E192" s="25">
        <v>5.0130119161758664</v>
      </c>
      <c r="F192" s="28">
        <f t="shared" si="45"/>
        <v>0.54644808743169404</v>
      </c>
      <c r="G192" s="28">
        <f>'Battery Pricing Model'!$C$17/D192</f>
        <v>0.54644808743169404</v>
      </c>
      <c r="H192" s="28">
        <f t="shared" si="46"/>
        <v>999</v>
      </c>
      <c r="I192" s="28"/>
      <c r="J192" s="34">
        <f>INDEX('Profit per cycles Model'!$I$149:$I$179, MATCH(TRUNC(E192, 0), 'Profit per cycles Model'!$H$149:$H$179, 0))</f>
        <v>0.43341054818966634</v>
      </c>
      <c r="K192" s="27">
        <f>AVERAGE($AB$10:AB192)</f>
        <v>0.39856673294431438</v>
      </c>
      <c r="L192" s="28">
        <f t="shared" si="47"/>
        <v>999</v>
      </c>
      <c r="M192" s="28">
        <f t="shared" si="48"/>
        <v>999</v>
      </c>
      <c r="N192" s="28">
        <f t="shared" si="49"/>
        <v>999</v>
      </c>
      <c r="O192" s="28"/>
      <c r="P192" s="29">
        <f t="shared" si="65"/>
        <v>0.18300000000000013</v>
      </c>
      <c r="Q192" s="33">
        <f t="shared" si="50"/>
        <v>6.7114093959731544</v>
      </c>
      <c r="R192" s="33">
        <f t="shared" si="51"/>
        <v>6.7114093959731544</v>
      </c>
      <c r="S192" s="33">
        <f t="shared" si="52"/>
        <v>-1</v>
      </c>
      <c r="T192" s="27"/>
      <c r="U192" s="28">
        <f t="shared" si="53"/>
        <v>0.10964912280701754</v>
      </c>
      <c r="V192" s="25">
        <f t="shared" si="54"/>
        <v>999</v>
      </c>
      <c r="W192" s="35">
        <f t="shared" si="66"/>
        <v>25</v>
      </c>
      <c r="X192" s="33">
        <f t="shared" si="55"/>
        <v>25</v>
      </c>
      <c r="Y192" s="32">
        <f t="shared" si="56"/>
        <v>-1</v>
      </c>
      <c r="Z192" s="32"/>
      <c r="AA192" s="30">
        <f t="shared" si="57"/>
        <v>5.0130119161758664</v>
      </c>
      <c r="AB192" s="28">
        <f t="shared" si="58"/>
        <v>0.43341054818966634</v>
      </c>
      <c r="AC192" s="28">
        <f t="shared" si="59"/>
        <v>0.10964912280701754</v>
      </c>
      <c r="AD192" s="29">
        <f t="shared" si="60"/>
        <v>173.62428842504747</v>
      </c>
      <c r="AE192" s="28">
        <f t="shared" si="61"/>
        <v>0.10964912280701754</v>
      </c>
      <c r="AF192" s="28">
        <f t="shared" si="62"/>
        <v>0.32376142538264879</v>
      </c>
      <c r="AG192" s="28">
        <f t="shared" si="63"/>
        <v>0</v>
      </c>
      <c r="AI192" s="31">
        <f t="shared" si="64"/>
        <v>-0.27062287871190477</v>
      </c>
      <c r="AJ192" s="25"/>
      <c r="AK192" s="31"/>
      <c r="AM192" s="27"/>
    </row>
    <row r="193" spans="4:39" x14ac:dyDescent="0.25">
      <c r="D193" s="25">
        <f>E193*'Profit per cycles Model'!$I$113</f>
        <v>1839.9999999999998</v>
      </c>
      <c r="E193" s="25">
        <v>5.0404054239145317</v>
      </c>
      <c r="F193" s="28">
        <f t="shared" si="45"/>
        <v>0.5434782608695653</v>
      </c>
      <c r="G193" s="28">
        <f>'Battery Pricing Model'!$C$17/D193</f>
        <v>0.5434782608695653</v>
      </c>
      <c r="H193" s="28">
        <f t="shared" si="46"/>
        <v>999</v>
      </c>
      <c r="I193" s="28"/>
      <c r="J193" s="34">
        <f>INDEX('Profit per cycles Model'!$I$149:$I$179, MATCH(TRUNC(E193, 0), 'Profit per cycles Model'!$H$149:$H$179, 0))</f>
        <v>0.43341054818966634</v>
      </c>
      <c r="K193" s="27">
        <f>AVERAGE($AB$10:AB193)</f>
        <v>0.39875610150543045</v>
      </c>
      <c r="L193" s="28">
        <f t="shared" si="47"/>
        <v>999</v>
      </c>
      <c r="M193" s="28">
        <f t="shared" si="48"/>
        <v>999</v>
      </c>
      <c r="N193" s="28">
        <f t="shared" si="49"/>
        <v>999</v>
      </c>
      <c r="O193" s="28"/>
      <c r="P193" s="29">
        <f t="shared" si="65"/>
        <v>0.18400000000000014</v>
      </c>
      <c r="Q193" s="33">
        <f t="shared" si="50"/>
        <v>6.7114093959731544</v>
      </c>
      <c r="R193" s="33">
        <f t="shared" si="51"/>
        <v>6.7114093959731544</v>
      </c>
      <c r="S193" s="33">
        <f t="shared" si="52"/>
        <v>-1</v>
      </c>
      <c r="T193" s="27"/>
      <c r="U193" s="28">
        <f t="shared" si="53"/>
        <v>0.10964912280701754</v>
      </c>
      <c r="V193" s="25">
        <f t="shared" si="54"/>
        <v>999</v>
      </c>
      <c r="W193" s="35">
        <f t="shared" si="66"/>
        <v>25</v>
      </c>
      <c r="X193" s="33">
        <f t="shared" si="55"/>
        <v>25</v>
      </c>
      <c r="Y193" s="32">
        <f t="shared" si="56"/>
        <v>-1</v>
      </c>
      <c r="Z193" s="32"/>
      <c r="AA193" s="30">
        <f t="shared" si="57"/>
        <v>5.0404054239145317</v>
      </c>
      <c r="AB193" s="28">
        <f t="shared" si="58"/>
        <v>0.43341054818966634</v>
      </c>
      <c r="AC193" s="28">
        <f t="shared" si="59"/>
        <v>0.10964912280701754</v>
      </c>
      <c r="AD193" s="29">
        <f t="shared" si="60"/>
        <v>174.57305502846299</v>
      </c>
      <c r="AE193" s="28">
        <f t="shared" si="61"/>
        <v>0.10964912280701754</v>
      </c>
      <c r="AF193" s="28">
        <f t="shared" si="62"/>
        <v>0.32376142538264879</v>
      </c>
      <c r="AG193" s="28">
        <f t="shared" si="63"/>
        <v>0</v>
      </c>
      <c r="AI193" s="31">
        <f t="shared" si="64"/>
        <v>-0.2662887732300081</v>
      </c>
      <c r="AJ193" s="25"/>
      <c r="AK193" s="31"/>
      <c r="AM193" s="27"/>
    </row>
    <row r="194" spans="4:39" x14ac:dyDescent="0.25">
      <c r="D194" s="25">
        <f>E194*'Profit per cycles Model'!$I$113</f>
        <v>1850</v>
      </c>
      <c r="E194" s="25">
        <v>5.0677989316531979</v>
      </c>
      <c r="F194" s="28">
        <f t="shared" si="45"/>
        <v>0.54054054054054057</v>
      </c>
      <c r="G194" s="28">
        <f>'Battery Pricing Model'!$C$17/D194</f>
        <v>0.54054054054054057</v>
      </c>
      <c r="H194" s="28">
        <f t="shared" si="46"/>
        <v>999</v>
      </c>
      <c r="I194" s="28"/>
      <c r="J194" s="34">
        <f>INDEX('Profit per cycles Model'!$I$149:$I$179, MATCH(TRUNC(E194, 0), 'Profit per cycles Model'!$H$149:$H$179, 0))</f>
        <v>0.43341054818966634</v>
      </c>
      <c r="K194" s="27">
        <f>AVERAGE($AB$10:AB194)</f>
        <v>0.39894342283885881</v>
      </c>
      <c r="L194" s="28">
        <f t="shared" si="47"/>
        <v>999</v>
      </c>
      <c r="M194" s="28">
        <f t="shared" si="48"/>
        <v>999</v>
      </c>
      <c r="N194" s="28">
        <f t="shared" si="49"/>
        <v>999</v>
      </c>
      <c r="O194" s="28"/>
      <c r="P194" s="29">
        <f t="shared" si="65"/>
        <v>0.18500000000000014</v>
      </c>
      <c r="Q194" s="33">
        <f t="shared" si="50"/>
        <v>6.7114093959731544</v>
      </c>
      <c r="R194" s="33">
        <f t="shared" si="51"/>
        <v>6.7114093959731544</v>
      </c>
      <c r="S194" s="33">
        <f t="shared" si="52"/>
        <v>-1</v>
      </c>
      <c r="T194" s="27"/>
      <c r="U194" s="28">
        <f t="shared" si="53"/>
        <v>0.10964912280701754</v>
      </c>
      <c r="V194" s="25">
        <f t="shared" si="54"/>
        <v>999</v>
      </c>
      <c r="W194" s="35">
        <f t="shared" si="66"/>
        <v>25</v>
      </c>
      <c r="X194" s="33">
        <f t="shared" si="55"/>
        <v>25</v>
      </c>
      <c r="Y194" s="32">
        <f t="shared" si="56"/>
        <v>-1</v>
      </c>
      <c r="Z194" s="32"/>
      <c r="AA194" s="30">
        <f t="shared" si="57"/>
        <v>5.0677989316531979</v>
      </c>
      <c r="AB194" s="28">
        <f t="shared" si="58"/>
        <v>0.43341054818966634</v>
      </c>
      <c r="AC194" s="28">
        <f t="shared" si="59"/>
        <v>0.10964912280701754</v>
      </c>
      <c r="AD194" s="29">
        <f t="shared" si="60"/>
        <v>175.52182163187854</v>
      </c>
      <c r="AE194" s="28">
        <f t="shared" si="61"/>
        <v>0.10964912280701754</v>
      </c>
      <c r="AF194" s="28">
        <f t="shared" si="62"/>
        <v>0.32376142538264879</v>
      </c>
      <c r="AG194" s="28">
        <f t="shared" si="63"/>
        <v>0</v>
      </c>
      <c r="AI194" s="31">
        <f t="shared" si="64"/>
        <v>-0.26195466774811127</v>
      </c>
      <c r="AJ194" s="25"/>
      <c r="AK194" s="31"/>
      <c r="AM194" s="27"/>
    </row>
    <row r="195" spans="4:39" x14ac:dyDescent="0.25">
      <c r="D195" s="25">
        <f>E195*'Profit per cycles Model'!$I$113</f>
        <v>1860</v>
      </c>
      <c r="E195" s="25">
        <v>5.0951924393918642</v>
      </c>
      <c r="F195" s="28">
        <f t="shared" si="45"/>
        <v>0.5376344086021505</v>
      </c>
      <c r="G195" s="28">
        <f>'Battery Pricing Model'!$C$17/D195</f>
        <v>0.5376344086021505</v>
      </c>
      <c r="H195" s="28">
        <f t="shared" si="46"/>
        <v>999</v>
      </c>
      <c r="I195" s="28"/>
      <c r="J195" s="34">
        <f>INDEX('Profit per cycles Model'!$I$149:$I$179, MATCH(TRUNC(E195, 0), 'Profit per cycles Model'!$H$149:$H$179, 0))</f>
        <v>0.43341054818966634</v>
      </c>
      <c r="K195" s="27">
        <f>AVERAGE($AB$10:AB195)</f>
        <v>0.3991287299644008</v>
      </c>
      <c r="L195" s="28">
        <f t="shared" si="47"/>
        <v>999</v>
      </c>
      <c r="M195" s="28">
        <f t="shared" si="48"/>
        <v>999</v>
      </c>
      <c r="N195" s="28">
        <f t="shared" si="49"/>
        <v>999</v>
      </c>
      <c r="O195" s="28"/>
      <c r="P195" s="29">
        <f t="shared" si="65"/>
        <v>0.18600000000000014</v>
      </c>
      <c r="Q195" s="33">
        <f t="shared" si="50"/>
        <v>6.7114093959731544</v>
      </c>
      <c r="R195" s="33">
        <f t="shared" si="51"/>
        <v>6.7114093959731544</v>
      </c>
      <c r="S195" s="33">
        <f t="shared" si="52"/>
        <v>-1</v>
      </c>
      <c r="T195" s="27"/>
      <c r="U195" s="28">
        <f t="shared" si="53"/>
        <v>0.10964912280701754</v>
      </c>
      <c r="V195" s="25">
        <f t="shared" si="54"/>
        <v>999</v>
      </c>
      <c r="W195" s="35">
        <f t="shared" si="66"/>
        <v>25</v>
      </c>
      <c r="X195" s="33">
        <f t="shared" si="55"/>
        <v>25</v>
      </c>
      <c r="Y195" s="32">
        <f t="shared" si="56"/>
        <v>-1</v>
      </c>
      <c r="Z195" s="32"/>
      <c r="AA195" s="30">
        <f t="shared" si="57"/>
        <v>5.0951924393918642</v>
      </c>
      <c r="AB195" s="28">
        <f t="shared" si="58"/>
        <v>0.43341054818966634</v>
      </c>
      <c r="AC195" s="28">
        <f t="shared" si="59"/>
        <v>0.10964912280701754</v>
      </c>
      <c r="AD195" s="29">
        <f t="shared" si="60"/>
        <v>176.47058823529414</v>
      </c>
      <c r="AE195" s="28">
        <f t="shared" si="61"/>
        <v>0.10964912280701754</v>
      </c>
      <c r="AF195" s="28">
        <f t="shared" si="62"/>
        <v>0.32376142538264879</v>
      </c>
      <c r="AG195" s="28">
        <f t="shared" si="63"/>
        <v>0</v>
      </c>
      <c r="AI195" s="31">
        <f t="shared" si="64"/>
        <v>-0.25762056226621449</v>
      </c>
      <c r="AJ195" s="25"/>
      <c r="AK195" s="31"/>
      <c r="AM195" s="27"/>
    </row>
    <row r="196" spans="4:39" x14ac:dyDescent="0.25">
      <c r="D196" s="25">
        <f>E196*'Profit per cycles Model'!$I$113</f>
        <v>1869.9999999999998</v>
      </c>
      <c r="E196" s="25">
        <v>5.1225859471305295</v>
      </c>
      <c r="F196" s="28">
        <f t="shared" si="45"/>
        <v>0.53475935828877008</v>
      </c>
      <c r="G196" s="28">
        <f>'Battery Pricing Model'!$C$17/D196</f>
        <v>0.53475935828877008</v>
      </c>
      <c r="H196" s="28">
        <f t="shared" si="46"/>
        <v>999</v>
      </c>
      <c r="I196" s="28"/>
      <c r="J196" s="34">
        <f>INDEX('Profit per cycles Model'!$I$149:$I$179, MATCH(TRUNC(E196, 0), 'Profit per cycles Model'!$H$149:$H$179, 0))</f>
        <v>0.43341054818966634</v>
      </c>
      <c r="K196" s="27">
        <f>AVERAGE($AB$10:AB196)</f>
        <v>0.39931205519555196</v>
      </c>
      <c r="L196" s="28">
        <f t="shared" si="47"/>
        <v>999</v>
      </c>
      <c r="M196" s="28">
        <f t="shared" si="48"/>
        <v>999</v>
      </c>
      <c r="N196" s="28">
        <f t="shared" si="49"/>
        <v>999</v>
      </c>
      <c r="O196" s="28"/>
      <c r="P196" s="29">
        <f t="shared" si="65"/>
        <v>0.18700000000000014</v>
      </c>
      <c r="Q196" s="33">
        <f t="shared" si="50"/>
        <v>6.7114093959731544</v>
      </c>
      <c r="R196" s="33">
        <f t="shared" si="51"/>
        <v>6.7114093959731544</v>
      </c>
      <c r="S196" s="33">
        <f t="shared" si="52"/>
        <v>-1</v>
      </c>
      <c r="T196" s="27"/>
      <c r="U196" s="28">
        <f t="shared" si="53"/>
        <v>0.10964912280701754</v>
      </c>
      <c r="V196" s="25">
        <f t="shared" si="54"/>
        <v>999</v>
      </c>
      <c r="W196" s="35">
        <f t="shared" si="66"/>
        <v>25</v>
      </c>
      <c r="X196" s="33">
        <f t="shared" si="55"/>
        <v>25</v>
      </c>
      <c r="Y196" s="32">
        <f t="shared" si="56"/>
        <v>-1</v>
      </c>
      <c r="Z196" s="32"/>
      <c r="AA196" s="30">
        <f t="shared" si="57"/>
        <v>5.1225859471305295</v>
      </c>
      <c r="AB196" s="28">
        <f t="shared" si="58"/>
        <v>0.43341054818966634</v>
      </c>
      <c r="AC196" s="28">
        <f t="shared" si="59"/>
        <v>0.10964912280701754</v>
      </c>
      <c r="AD196" s="29">
        <f t="shared" si="60"/>
        <v>177.41935483870967</v>
      </c>
      <c r="AE196" s="28">
        <f t="shared" si="61"/>
        <v>0.10964912280701754</v>
      </c>
      <c r="AF196" s="28">
        <f t="shared" si="62"/>
        <v>0.32376142538264879</v>
      </c>
      <c r="AG196" s="28">
        <f t="shared" si="63"/>
        <v>0</v>
      </c>
      <c r="AI196" s="31">
        <f t="shared" si="64"/>
        <v>-0.25328645678431788</v>
      </c>
      <c r="AJ196" s="25"/>
      <c r="AK196" s="31"/>
      <c r="AM196" s="27"/>
    </row>
    <row r="197" spans="4:39" x14ac:dyDescent="0.25">
      <c r="D197" s="25">
        <f>E197*'Profit per cycles Model'!$I$113</f>
        <v>1880</v>
      </c>
      <c r="E197" s="25">
        <v>5.1499794548691957</v>
      </c>
      <c r="F197" s="28">
        <f t="shared" si="45"/>
        <v>0.53191489361702127</v>
      </c>
      <c r="G197" s="28">
        <f>'Battery Pricing Model'!$C$17/D197</f>
        <v>0.53191489361702127</v>
      </c>
      <c r="H197" s="28">
        <f t="shared" si="46"/>
        <v>999</v>
      </c>
      <c r="I197" s="28"/>
      <c r="J197" s="34">
        <f>INDEX('Profit per cycles Model'!$I$149:$I$179, MATCH(TRUNC(E197, 0), 'Profit per cycles Model'!$H$149:$H$179, 0))</f>
        <v>0.43341054818966634</v>
      </c>
      <c r="K197" s="27">
        <f>AVERAGE($AB$10:AB197)</f>
        <v>0.39949343015828664</v>
      </c>
      <c r="L197" s="28">
        <f t="shared" si="47"/>
        <v>999</v>
      </c>
      <c r="M197" s="28">
        <f t="shared" si="48"/>
        <v>999</v>
      </c>
      <c r="N197" s="28">
        <f t="shared" si="49"/>
        <v>999</v>
      </c>
      <c r="O197" s="28"/>
      <c r="P197" s="29">
        <f t="shared" si="65"/>
        <v>0.18800000000000014</v>
      </c>
      <c r="Q197" s="33">
        <f t="shared" si="50"/>
        <v>6.7114093959731544</v>
      </c>
      <c r="R197" s="33">
        <f t="shared" si="51"/>
        <v>6.7114093959731544</v>
      </c>
      <c r="S197" s="33">
        <f t="shared" si="52"/>
        <v>-1</v>
      </c>
      <c r="T197" s="27"/>
      <c r="U197" s="28">
        <f t="shared" si="53"/>
        <v>0.10964912280701754</v>
      </c>
      <c r="V197" s="25">
        <f t="shared" si="54"/>
        <v>999</v>
      </c>
      <c r="W197" s="35">
        <f t="shared" si="66"/>
        <v>25</v>
      </c>
      <c r="X197" s="33">
        <f t="shared" si="55"/>
        <v>25</v>
      </c>
      <c r="Y197" s="32">
        <f t="shared" si="56"/>
        <v>-1</v>
      </c>
      <c r="Z197" s="32"/>
      <c r="AA197" s="30">
        <f t="shared" si="57"/>
        <v>5.1499794548691957</v>
      </c>
      <c r="AB197" s="28">
        <f t="shared" si="58"/>
        <v>0.43341054818966634</v>
      </c>
      <c r="AC197" s="28">
        <f t="shared" si="59"/>
        <v>0.10964912280701754</v>
      </c>
      <c r="AD197" s="29">
        <f t="shared" si="60"/>
        <v>178.36812144212524</v>
      </c>
      <c r="AE197" s="28">
        <f t="shared" si="61"/>
        <v>0.10964912280701754</v>
      </c>
      <c r="AF197" s="28">
        <f t="shared" si="62"/>
        <v>0.32376142538264879</v>
      </c>
      <c r="AG197" s="28">
        <f t="shared" si="63"/>
        <v>0</v>
      </c>
      <c r="AI197" s="31">
        <f t="shared" si="64"/>
        <v>-0.2489523513024211</v>
      </c>
      <c r="AJ197" s="25"/>
      <c r="AK197" s="31"/>
      <c r="AM197" s="27"/>
    </row>
    <row r="198" spans="4:39" x14ac:dyDescent="0.25">
      <c r="D198" s="25">
        <f>E198*'Profit per cycles Model'!$I$113</f>
        <v>1890</v>
      </c>
      <c r="E198" s="25">
        <v>5.177372962607862</v>
      </c>
      <c r="F198" s="28">
        <f t="shared" si="45"/>
        <v>0.52910052910052907</v>
      </c>
      <c r="G198" s="28">
        <f>'Battery Pricing Model'!$C$17/D198</f>
        <v>0.52910052910052907</v>
      </c>
      <c r="H198" s="28">
        <f t="shared" si="46"/>
        <v>999</v>
      </c>
      <c r="I198" s="28"/>
      <c r="J198" s="34">
        <f>INDEX('Profit per cycles Model'!$I$149:$I$179, MATCH(TRUNC(E198, 0), 'Profit per cycles Model'!$H$149:$H$179, 0))</f>
        <v>0.43341054818966634</v>
      </c>
      <c r="K198" s="27">
        <f>AVERAGE($AB$10:AB198)</f>
        <v>0.39967288580924631</v>
      </c>
      <c r="L198" s="28">
        <f t="shared" si="47"/>
        <v>999</v>
      </c>
      <c r="M198" s="28">
        <f t="shared" si="48"/>
        <v>999</v>
      </c>
      <c r="N198" s="28">
        <f t="shared" si="49"/>
        <v>999</v>
      </c>
      <c r="O198" s="28"/>
      <c r="P198" s="29">
        <f t="shared" si="65"/>
        <v>0.18900000000000014</v>
      </c>
      <c r="Q198" s="33">
        <f t="shared" si="50"/>
        <v>6.7114093959731544</v>
      </c>
      <c r="R198" s="33">
        <f t="shared" si="51"/>
        <v>6.7114093959731544</v>
      </c>
      <c r="S198" s="33">
        <f t="shared" si="52"/>
        <v>-1</v>
      </c>
      <c r="T198" s="27"/>
      <c r="U198" s="28">
        <f t="shared" si="53"/>
        <v>0.10964912280701754</v>
      </c>
      <c r="V198" s="25">
        <f t="shared" si="54"/>
        <v>999</v>
      </c>
      <c r="W198" s="35">
        <f t="shared" si="66"/>
        <v>25</v>
      </c>
      <c r="X198" s="33">
        <f t="shared" si="55"/>
        <v>25</v>
      </c>
      <c r="Y198" s="32">
        <f t="shared" si="56"/>
        <v>-1</v>
      </c>
      <c r="Z198" s="32"/>
      <c r="AA198" s="30">
        <f t="shared" si="57"/>
        <v>5.177372962607862</v>
      </c>
      <c r="AB198" s="28">
        <f t="shared" si="58"/>
        <v>0.43341054818966634</v>
      </c>
      <c r="AC198" s="28">
        <f t="shared" si="59"/>
        <v>0.10964912280701754</v>
      </c>
      <c r="AD198" s="29">
        <f t="shared" si="60"/>
        <v>179.31688804554082</v>
      </c>
      <c r="AE198" s="28">
        <f t="shared" si="61"/>
        <v>0.10964912280701754</v>
      </c>
      <c r="AF198" s="28">
        <f t="shared" si="62"/>
        <v>0.32376142538264879</v>
      </c>
      <c r="AG198" s="28">
        <f t="shared" si="63"/>
        <v>0</v>
      </c>
      <c r="AI198" s="31">
        <f t="shared" si="64"/>
        <v>-0.24461824582052441</v>
      </c>
      <c r="AJ198" s="25"/>
      <c r="AK198" s="31"/>
      <c r="AM198" s="27"/>
    </row>
    <row r="199" spans="4:39" x14ac:dyDescent="0.25">
      <c r="D199" s="25">
        <f>E199*'Profit per cycles Model'!$I$113</f>
        <v>1899.9999999999998</v>
      </c>
      <c r="E199" s="25">
        <v>5.2047664703465273</v>
      </c>
      <c r="F199" s="28">
        <f t="shared" si="45"/>
        <v>0.52631578947368429</v>
      </c>
      <c r="G199" s="28">
        <f>'Battery Pricing Model'!$C$17/D199</f>
        <v>0.52631578947368429</v>
      </c>
      <c r="H199" s="28">
        <f t="shared" si="46"/>
        <v>999</v>
      </c>
      <c r="I199" s="28"/>
      <c r="J199" s="34">
        <f>INDEX('Profit per cycles Model'!$I$149:$I$179, MATCH(TRUNC(E199, 0), 'Profit per cycles Model'!$H$149:$H$179, 0))</f>
        <v>0.43341054818966634</v>
      </c>
      <c r="K199" s="27">
        <f>AVERAGE($AB$10:AB199)</f>
        <v>0.39985045245335382</v>
      </c>
      <c r="L199" s="28">
        <f t="shared" si="47"/>
        <v>999</v>
      </c>
      <c r="M199" s="28">
        <f t="shared" si="48"/>
        <v>999</v>
      </c>
      <c r="N199" s="28">
        <f t="shared" si="49"/>
        <v>999</v>
      </c>
      <c r="O199" s="28"/>
      <c r="P199" s="29">
        <f t="shared" si="65"/>
        <v>0.19000000000000014</v>
      </c>
      <c r="Q199" s="33">
        <f t="shared" si="50"/>
        <v>6.7114093959731544</v>
      </c>
      <c r="R199" s="33">
        <f t="shared" si="51"/>
        <v>6.7114093959731544</v>
      </c>
      <c r="S199" s="33">
        <f t="shared" si="52"/>
        <v>-1</v>
      </c>
      <c r="T199" s="27"/>
      <c r="U199" s="28">
        <f t="shared" si="53"/>
        <v>0.10964912280701754</v>
      </c>
      <c r="V199" s="25">
        <f t="shared" si="54"/>
        <v>999</v>
      </c>
      <c r="W199" s="35">
        <f t="shared" si="66"/>
        <v>25</v>
      </c>
      <c r="X199" s="33">
        <f t="shared" si="55"/>
        <v>25</v>
      </c>
      <c r="Y199" s="32">
        <f t="shared" si="56"/>
        <v>-1</v>
      </c>
      <c r="Z199" s="32"/>
      <c r="AA199" s="30">
        <f t="shared" si="57"/>
        <v>5.2047664703465273</v>
      </c>
      <c r="AB199" s="28">
        <f t="shared" si="58"/>
        <v>0.43341054818966634</v>
      </c>
      <c r="AC199" s="28">
        <f t="shared" si="59"/>
        <v>0.10964912280701754</v>
      </c>
      <c r="AD199" s="29">
        <f t="shared" si="60"/>
        <v>180.26565464895634</v>
      </c>
      <c r="AE199" s="28">
        <f t="shared" si="61"/>
        <v>0.10964912280701754</v>
      </c>
      <c r="AF199" s="28">
        <f t="shared" si="62"/>
        <v>0.32376142538264879</v>
      </c>
      <c r="AG199" s="28">
        <f t="shared" si="63"/>
        <v>0</v>
      </c>
      <c r="AI199" s="31">
        <f t="shared" si="64"/>
        <v>-0.24028414033862786</v>
      </c>
      <c r="AJ199" s="25"/>
      <c r="AK199" s="31"/>
      <c r="AM199" s="27"/>
    </row>
    <row r="200" spans="4:39" x14ac:dyDescent="0.25">
      <c r="D200" s="25">
        <f>E200*'Profit per cycles Model'!$I$113</f>
        <v>1910</v>
      </c>
      <c r="E200" s="25">
        <v>5.2321599780851935</v>
      </c>
      <c r="F200" s="28">
        <f t="shared" si="45"/>
        <v>0.52356020942408377</v>
      </c>
      <c r="G200" s="28">
        <f>'Battery Pricing Model'!$C$17/D200</f>
        <v>0.52356020942408377</v>
      </c>
      <c r="H200" s="28">
        <f t="shared" si="46"/>
        <v>999</v>
      </c>
      <c r="I200" s="28"/>
      <c r="J200" s="34">
        <f>INDEX('Profit per cycles Model'!$I$149:$I$179, MATCH(TRUNC(E200, 0), 'Profit per cycles Model'!$H$149:$H$179, 0))</f>
        <v>0.43341054818966634</v>
      </c>
      <c r="K200" s="27">
        <f>AVERAGE($AB$10:AB200)</f>
        <v>0.4000261597608738</v>
      </c>
      <c r="L200" s="28">
        <f t="shared" si="47"/>
        <v>999</v>
      </c>
      <c r="M200" s="28">
        <f t="shared" si="48"/>
        <v>999</v>
      </c>
      <c r="N200" s="28">
        <f t="shared" si="49"/>
        <v>999</v>
      </c>
      <c r="O200" s="28"/>
      <c r="P200" s="29">
        <f t="shared" si="65"/>
        <v>0.19100000000000014</v>
      </c>
      <c r="Q200" s="33">
        <f t="shared" si="50"/>
        <v>6.7114093959731544</v>
      </c>
      <c r="R200" s="33">
        <f t="shared" si="51"/>
        <v>6.7114093959731544</v>
      </c>
      <c r="S200" s="33">
        <f t="shared" si="52"/>
        <v>-1</v>
      </c>
      <c r="T200" s="27"/>
      <c r="U200" s="28">
        <f t="shared" si="53"/>
        <v>0.10964912280701754</v>
      </c>
      <c r="V200" s="25">
        <f t="shared" si="54"/>
        <v>999</v>
      </c>
      <c r="W200" s="35">
        <f t="shared" si="66"/>
        <v>25</v>
      </c>
      <c r="X200" s="33">
        <f t="shared" si="55"/>
        <v>25</v>
      </c>
      <c r="Y200" s="32">
        <f t="shared" si="56"/>
        <v>-1</v>
      </c>
      <c r="Z200" s="32"/>
      <c r="AA200" s="30">
        <f t="shared" si="57"/>
        <v>5.2321599780851935</v>
      </c>
      <c r="AB200" s="28">
        <f t="shared" si="58"/>
        <v>0.43341054818966634</v>
      </c>
      <c r="AC200" s="28">
        <f t="shared" si="59"/>
        <v>0.10964912280701754</v>
      </c>
      <c r="AD200" s="29">
        <f t="shared" si="60"/>
        <v>181.21442125237192</v>
      </c>
      <c r="AE200" s="28">
        <f t="shared" si="61"/>
        <v>0.10964912280701754</v>
      </c>
      <c r="AF200" s="28">
        <f t="shared" si="62"/>
        <v>0.32376142538264879</v>
      </c>
      <c r="AG200" s="28">
        <f t="shared" si="63"/>
        <v>0</v>
      </c>
      <c r="AI200" s="31">
        <f t="shared" si="64"/>
        <v>-0.23595003485673105</v>
      </c>
      <c r="AJ200" s="25"/>
      <c r="AK200" s="31"/>
      <c r="AM200" s="27"/>
    </row>
    <row r="201" spans="4:39" x14ac:dyDescent="0.25">
      <c r="D201" s="25">
        <f>E201*'Profit per cycles Model'!$I$113</f>
        <v>1920</v>
      </c>
      <c r="E201" s="25">
        <v>5.2595534858238597</v>
      </c>
      <c r="F201" s="28">
        <f t="shared" si="45"/>
        <v>0.52083333333333337</v>
      </c>
      <c r="G201" s="28">
        <f>'Battery Pricing Model'!$C$17/D201</f>
        <v>0.52083333333333337</v>
      </c>
      <c r="H201" s="28">
        <f t="shared" si="46"/>
        <v>999</v>
      </c>
      <c r="I201" s="28"/>
      <c r="J201" s="34">
        <f>INDEX('Profit per cycles Model'!$I$149:$I$179, MATCH(TRUNC(E201, 0), 'Profit per cycles Model'!$H$149:$H$179, 0))</f>
        <v>0.43341054818966634</v>
      </c>
      <c r="K201" s="27">
        <f>AVERAGE($AB$10:AB201)</f>
        <v>0.40020003678394045</v>
      </c>
      <c r="L201" s="28">
        <f t="shared" si="47"/>
        <v>999</v>
      </c>
      <c r="M201" s="28">
        <f t="shared" si="48"/>
        <v>999</v>
      </c>
      <c r="N201" s="28">
        <f t="shared" si="49"/>
        <v>999</v>
      </c>
      <c r="O201" s="28"/>
      <c r="P201" s="29">
        <f t="shared" si="65"/>
        <v>0.19200000000000014</v>
      </c>
      <c r="Q201" s="33">
        <f t="shared" si="50"/>
        <v>6.7114093959731544</v>
      </c>
      <c r="R201" s="33">
        <f t="shared" si="51"/>
        <v>6.7114093959731544</v>
      </c>
      <c r="S201" s="33">
        <f t="shared" si="52"/>
        <v>-1</v>
      </c>
      <c r="T201" s="27"/>
      <c r="U201" s="28">
        <f t="shared" si="53"/>
        <v>0.10964912280701754</v>
      </c>
      <c r="V201" s="25">
        <f t="shared" si="54"/>
        <v>999</v>
      </c>
      <c r="W201" s="35">
        <f t="shared" si="66"/>
        <v>25</v>
      </c>
      <c r="X201" s="33">
        <f t="shared" si="55"/>
        <v>25</v>
      </c>
      <c r="Y201" s="32">
        <f t="shared" si="56"/>
        <v>-1</v>
      </c>
      <c r="Z201" s="32"/>
      <c r="AA201" s="30">
        <f t="shared" si="57"/>
        <v>5.2595534858238597</v>
      </c>
      <c r="AB201" s="28">
        <f t="shared" si="58"/>
        <v>0.43341054818966634</v>
      </c>
      <c r="AC201" s="28">
        <f t="shared" si="59"/>
        <v>0.10964912280701754</v>
      </c>
      <c r="AD201" s="29">
        <f t="shared" si="60"/>
        <v>182.1631878557875</v>
      </c>
      <c r="AE201" s="28">
        <f t="shared" si="61"/>
        <v>0.10964912280701754</v>
      </c>
      <c r="AF201" s="28">
        <f t="shared" si="62"/>
        <v>0.32376142538264879</v>
      </c>
      <c r="AG201" s="28">
        <f t="shared" si="63"/>
        <v>0</v>
      </c>
      <c r="AI201" s="31">
        <f t="shared" si="64"/>
        <v>-0.23161592937483438</v>
      </c>
      <c r="AJ201" s="25"/>
      <c r="AK201" s="31"/>
      <c r="AM201" s="27"/>
    </row>
    <row r="202" spans="4:39" x14ac:dyDescent="0.25">
      <c r="D202" s="25">
        <f>E202*'Profit per cycles Model'!$I$113</f>
        <v>1930.0000000000002</v>
      </c>
      <c r="E202" s="25">
        <v>5.286946993562526</v>
      </c>
      <c r="F202" s="28">
        <f t="shared" ref="F202:F265" si="67">IF(OR($H$6="None", $H$6=0), G202, H202)</f>
        <v>0.51813471502590669</v>
      </c>
      <c r="G202" s="28">
        <f>'Battery Pricing Model'!$C$17/D202</f>
        <v>0.51813471502590669</v>
      </c>
      <c r="H202" s="28">
        <f t="shared" ref="H202:H265" si="68">IF(OR($H$6="None", $H$6=0), 999, $G202*(H$6))</f>
        <v>999</v>
      </c>
      <c r="I202" s="28"/>
      <c r="J202" s="34">
        <f>INDEX('Profit per cycles Model'!$I$149:$I$179, MATCH(TRUNC(E202, 0), 'Profit per cycles Model'!$H$149:$H$179, 0))</f>
        <v>0.43341054818966634</v>
      </c>
      <c r="K202" s="27">
        <f>AVERAGE($AB$10:AB202)</f>
        <v>0.40037211197257117</v>
      </c>
      <c r="L202" s="28">
        <f t="shared" ref="L202:L265" si="69">IF(K202-F202&lt;0, 999, K202-F202)</f>
        <v>999</v>
      </c>
      <c r="M202" s="28">
        <f t="shared" ref="M202:M265" si="70">IF(K202-F202&lt;0, 999, K202-F202)</f>
        <v>999</v>
      </c>
      <c r="N202" s="28">
        <f t="shared" ref="N202:N265" si="71">IF(K202-H202&lt;0, 999, K202-H202)</f>
        <v>999</v>
      </c>
      <c r="O202" s="28"/>
      <c r="P202" s="29">
        <f t="shared" si="65"/>
        <v>0.19300000000000014</v>
      </c>
      <c r="Q202" s="33">
        <f t="shared" ref="Q202:Q265" si="72">$L$5</f>
        <v>6.7114093959731544</v>
      </c>
      <c r="R202" s="33">
        <f t="shared" ref="R202:R265" si="73">$M$5</f>
        <v>6.7114093959731544</v>
      </c>
      <c r="S202" s="33">
        <f t="shared" ref="S202:S265" si="74">$N$5</f>
        <v>-1</v>
      </c>
      <c r="T202" s="27"/>
      <c r="U202" s="28">
        <f t="shared" ref="U202:U265" si="75">IF(ISNA(INDEX($F$10:$F$1063,MATCH(W202,$E$10:$E$1063,1))),-1,INDEX($F$10:$F$1063,MATCH(W202,$E$10:$E$1063,1)))</f>
        <v>0.10964912280701754</v>
      </c>
      <c r="V202" s="25">
        <f t="shared" ref="V202:V265" si="76">IF(ISNA(INDEX($H$10:$H$1063, MATCH(X202, $E$10:$E$1063,1))),-1,  INDEX($H$10:$H$1063, MATCH(X202, $E$10:$E$1063,1)))</f>
        <v>999</v>
      </c>
      <c r="W202" s="35">
        <f t="shared" si="66"/>
        <v>25</v>
      </c>
      <c r="X202" s="33">
        <f t="shared" ref="X202:X265" si="77">IF(PaybackCustom&gt;0, IF(PaybackCustom&lt;&gt;"Default", PaybackCustom, IF(PaybackStatus&lt;&gt;"",INDEX($Y$2:$Y$6,MATCH(PaybackStatus,$X$2:$X$6,FALSE)),-1)))</f>
        <v>25</v>
      </c>
      <c r="Y202" s="32">
        <f t="shared" ref="Y202:Y265" si="78">IF(PaybackStatus&lt;&gt;"",IF(PaybackStatus=$X$4,IF(X202&lt;=$Y$4,$Y$4,-1), -1), -1)</f>
        <v>-1</v>
      </c>
      <c r="Z202" s="32"/>
      <c r="AA202" s="30">
        <f t="shared" ref="AA202:AA265" si="79">E202</f>
        <v>5.286946993562526</v>
      </c>
      <c r="AB202" s="28">
        <f t="shared" ref="AB202:AB265" si="80">J202</f>
        <v>0.43341054818966634</v>
      </c>
      <c r="AC202" s="28">
        <f t="shared" ref="AC202:AC265" si="81">U202</f>
        <v>0.10964912280701754</v>
      </c>
      <c r="AD202" s="29">
        <f t="shared" ref="AD202:AD265" si="82">$AC$2*(AA202-$AC$3)/($AC$4-$AC$3)</f>
        <v>183.11195445920305</v>
      </c>
      <c r="AE202" s="28">
        <f t="shared" ref="AE202:AE265" si="83">MIN(AC202, AB202)</f>
        <v>0.10964912280701754</v>
      </c>
      <c r="AF202" s="28">
        <f t="shared" ref="AF202:AF265" si="84">IF(AND(AA202&lt;X202, AB202&gt;AC202), AB202-AC202, 0)</f>
        <v>0.32376142538264879</v>
      </c>
      <c r="AG202" s="28">
        <f t="shared" ref="AG202:AG265" si="85">IF(AND(AA202&lt;X202, AC202&gt;AB202), AC202-AB202, 0)</f>
        <v>0</v>
      </c>
      <c r="AI202" s="31">
        <f t="shared" ref="AI202:AI265" si="86">(K202-F202)/F202</f>
        <v>-0.22728182389293758</v>
      </c>
      <c r="AJ202" s="25"/>
      <c r="AK202" s="31"/>
      <c r="AM202" s="27"/>
    </row>
    <row r="203" spans="4:39" x14ac:dyDescent="0.25">
      <c r="D203" s="25">
        <f>E203*'Profit per cycles Model'!$I$113</f>
        <v>1940</v>
      </c>
      <c r="E203" s="25">
        <v>5.3143405013011913</v>
      </c>
      <c r="F203" s="28">
        <f t="shared" si="67"/>
        <v>0.51546391752577314</v>
      </c>
      <c r="G203" s="28">
        <f>'Battery Pricing Model'!$C$17/D203</f>
        <v>0.51546391752577314</v>
      </c>
      <c r="H203" s="28">
        <f t="shared" si="68"/>
        <v>999</v>
      </c>
      <c r="I203" s="28"/>
      <c r="J203" s="34">
        <f>INDEX('Profit per cycles Model'!$I$149:$I$179, MATCH(TRUNC(E203, 0), 'Profit per cycles Model'!$H$149:$H$179, 0))</f>
        <v>0.43341054818966634</v>
      </c>
      <c r="K203" s="27">
        <f>AVERAGE($AB$10:AB203)</f>
        <v>0.40054241319018508</v>
      </c>
      <c r="L203" s="28">
        <f t="shared" si="69"/>
        <v>999</v>
      </c>
      <c r="M203" s="28">
        <f t="shared" si="70"/>
        <v>999</v>
      </c>
      <c r="N203" s="28">
        <f t="shared" si="71"/>
        <v>999</v>
      </c>
      <c r="O203" s="28"/>
      <c r="P203" s="29">
        <f t="shared" ref="P203:P266" si="87">P202+0.001</f>
        <v>0.19400000000000014</v>
      </c>
      <c r="Q203" s="33">
        <f t="shared" si="72"/>
        <v>6.7114093959731544</v>
      </c>
      <c r="R203" s="33">
        <f t="shared" si="73"/>
        <v>6.7114093959731544</v>
      </c>
      <c r="S203" s="33">
        <f t="shared" si="74"/>
        <v>-1</v>
      </c>
      <c r="T203" s="27"/>
      <c r="U203" s="28">
        <f t="shared" si="75"/>
        <v>0.10964912280701754</v>
      </c>
      <c r="V203" s="25">
        <f t="shared" si="76"/>
        <v>999</v>
      </c>
      <c r="W203" s="35">
        <f t="shared" ref="W203:W266" si="88">IF( AND(X203&gt;0, Y203&gt;0), IF(X203&lt;Y203, X203, Y203),  IF(X203&gt;0, X203, IF(Y203&gt;0, Y203, -1)) )</f>
        <v>25</v>
      </c>
      <c r="X203" s="33">
        <f t="shared" si="77"/>
        <v>25</v>
      </c>
      <c r="Y203" s="32">
        <f t="shared" si="78"/>
        <v>-1</v>
      </c>
      <c r="Z203" s="32"/>
      <c r="AA203" s="30">
        <f t="shared" si="79"/>
        <v>5.3143405013011913</v>
      </c>
      <c r="AB203" s="28">
        <f t="shared" si="80"/>
        <v>0.43341054818966634</v>
      </c>
      <c r="AC203" s="28">
        <f t="shared" si="81"/>
        <v>0.10964912280701754</v>
      </c>
      <c r="AD203" s="29">
        <f t="shared" si="82"/>
        <v>184.0607210626186</v>
      </c>
      <c r="AE203" s="28">
        <f t="shared" si="83"/>
        <v>0.10964912280701754</v>
      </c>
      <c r="AF203" s="28">
        <f t="shared" si="84"/>
        <v>0.32376142538264879</v>
      </c>
      <c r="AG203" s="28">
        <f t="shared" si="85"/>
        <v>0</v>
      </c>
      <c r="AI203" s="31">
        <f t="shared" si="86"/>
        <v>-0.22294771841104086</v>
      </c>
      <c r="AJ203" s="25"/>
      <c r="AK203" s="31"/>
      <c r="AM203" s="27"/>
    </row>
    <row r="204" spans="4:39" x14ac:dyDescent="0.25">
      <c r="D204" s="25">
        <f>E204*'Profit per cycles Model'!$I$113</f>
        <v>1950</v>
      </c>
      <c r="E204" s="25">
        <v>5.3417340090398575</v>
      </c>
      <c r="F204" s="28">
        <f t="shared" si="67"/>
        <v>0.51282051282051277</v>
      </c>
      <c r="G204" s="28">
        <f>'Battery Pricing Model'!$C$17/D204</f>
        <v>0.51282051282051277</v>
      </c>
      <c r="H204" s="28">
        <f t="shared" si="68"/>
        <v>999</v>
      </c>
      <c r="I204" s="28"/>
      <c r="J204" s="34">
        <f>INDEX('Profit per cycles Model'!$I$149:$I$179, MATCH(TRUNC(E204, 0), 'Profit per cycles Model'!$H$149:$H$179, 0))</f>
        <v>0.43341054818966634</v>
      </c>
      <c r="K204" s="27">
        <f>AVERAGE($AB$10:AB204)</f>
        <v>0.40071096772864401</v>
      </c>
      <c r="L204" s="28">
        <f t="shared" si="69"/>
        <v>999</v>
      </c>
      <c r="M204" s="28">
        <f t="shared" si="70"/>
        <v>999</v>
      </c>
      <c r="N204" s="28">
        <f t="shared" si="71"/>
        <v>999</v>
      </c>
      <c r="O204" s="28"/>
      <c r="P204" s="29">
        <f t="shared" si="87"/>
        <v>0.19500000000000015</v>
      </c>
      <c r="Q204" s="33">
        <f t="shared" si="72"/>
        <v>6.7114093959731544</v>
      </c>
      <c r="R204" s="33">
        <f t="shared" si="73"/>
        <v>6.7114093959731544</v>
      </c>
      <c r="S204" s="33">
        <f t="shared" si="74"/>
        <v>-1</v>
      </c>
      <c r="T204" s="27"/>
      <c r="U204" s="28">
        <f t="shared" si="75"/>
        <v>0.10964912280701754</v>
      </c>
      <c r="V204" s="25">
        <f t="shared" si="76"/>
        <v>999</v>
      </c>
      <c r="W204" s="35">
        <f t="shared" si="88"/>
        <v>25</v>
      </c>
      <c r="X204" s="33">
        <f t="shared" si="77"/>
        <v>25</v>
      </c>
      <c r="Y204" s="32">
        <f t="shared" si="78"/>
        <v>-1</v>
      </c>
      <c r="Z204" s="32"/>
      <c r="AA204" s="30">
        <f t="shared" si="79"/>
        <v>5.3417340090398575</v>
      </c>
      <c r="AB204" s="28">
        <f t="shared" si="80"/>
        <v>0.43341054818966634</v>
      </c>
      <c r="AC204" s="28">
        <f t="shared" si="81"/>
        <v>0.10964912280701754</v>
      </c>
      <c r="AD204" s="29">
        <f t="shared" si="82"/>
        <v>185.00948766603418</v>
      </c>
      <c r="AE204" s="28">
        <f t="shared" si="83"/>
        <v>0.10964912280701754</v>
      </c>
      <c r="AF204" s="28">
        <f t="shared" si="84"/>
        <v>0.32376142538264879</v>
      </c>
      <c r="AG204" s="28">
        <f t="shared" si="85"/>
        <v>0</v>
      </c>
      <c r="AI204" s="31">
        <f t="shared" si="86"/>
        <v>-0.21861361292914411</v>
      </c>
      <c r="AJ204" s="25"/>
      <c r="AK204" s="31"/>
      <c r="AM204" s="27"/>
    </row>
    <row r="205" spans="4:39" x14ac:dyDescent="0.25">
      <c r="D205" s="25">
        <f>E205*'Profit per cycles Model'!$I$113</f>
        <v>1960.0000000000002</v>
      </c>
      <c r="E205" s="25">
        <v>5.3691275167785237</v>
      </c>
      <c r="F205" s="28">
        <f t="shared" si="67"/>
        <v>0.51020408163265296</v>
      </c>
      <c r="G205" s="28">
        <f>'Battery Pricing Model'!$C$17/D205</f>
        <v>0.51020408163265296</v>
      </c>
      <c r="H205" s="28">
        <f t="shared" si="68"/>
        <v>999</v>
      </c>
      <c r="I205" s="28"/>
      <c r="J205" s="34">
        <f>INDEX('Profit per cycles Model'!$I$149:$I$179, MATCH(TRUNC(E205, 0), 'Profit per cycles Model'!$H$149:$H$179, 0))</f>
        <v>0.43341054818966634</v>
      </c>
      <c r="K205" s="27">
        <f>AVERAGE($AB$10:AB205)</f>
        <v>0.40087780232283288</v>
      </c>
      <c r="L205" s="28">
        <f t="shared" si="69"/>
        <v>999</v>
      </c>
      <c r="M205" s="28">
        <f t="shared" si="70"/>
        <v>999</v>
      </c>
      <c r="N205" s="28">
        <f t="shared" si="71"/>
        <v>999</v>
      </c>
      <c r="O205" s="28"/>
      <c r="P205" s="29">
        <f t="shared" si="87"/>
        <v>0.19600000000000015</v>
      </c>
      <c r="Q205" s="33">
        <f t="shared" si="72"/>
        <v>6.7114093959731544</v>
      </c>
      <c r="R205" s="33">
        <f t="shared" si="73"/>
        <v>6.7114093959731544</v>
      </c>
      <c r="S205" s="33">
        <f t="shared" si="74"/>
        <v>-1</v>
      </c>
      <c r="T205" s="27"/>
      <c r="U205" s="28">
        <f t="shared" si="75"/>
        <v>0.10964912280701754</v>
      </c>
      <c r="V205" s="25">
        <f t="shared" si="76"/>
        <v>999</v>
      </c>
      <c r="W205" s="35">
        <f t="shared" si="88"/>
        <v>25</v>
      </c>
      <c r="X205" s="33">
        <f t="shared" si="77"/>
        <v>25</v>
      </c>
      <c r="Y205" s="32">
        <f t="shared" si="78"/>
        <v>-1</v>
      </c>
      <c r="Z205" s="32"/>
      <c r="AA205" s="30">
        <f t="shared" si="79"/>
        <v>5.3691275167785237</v>
      </c>
      <c r="AB205" s="28">
        <f t="shared" si="80"/>
        <v>0.43341054818966634</v>
      </c>
      <c r="AC205" s="28">
        <f t="shared" si="81"/>
        <v>0.10964912280701754</v>
      </c>
      <c r="AD205" s="29">
        <f t="shared" si="82"/>
        <v>185.95825426944972</v>
      </c>
      <c r="AE205" s="28">
        <f t="shared" si="83"/>
        <v>0.10964912280701754</v>
      </c>
      <c r="AF205" s="28">
        <f t="shared" si="84"/>
        <v>0.32376142538264879</v>
      </c>
      <c r="AG205" s="28">
        <f t="shared" si="85"/>
        <v>0</v>
      </c>
      <c r="AI205" s="31">
        <f t="shared" si="86"/>
        <v>-0.21427950744724741</v>
      </c>
      <c r="AJ205" s="25"/>
      <c r="AK205" s="31"/>
      <c r="AM205" s="27"/>
    </row>
    <row r="206" spans="4:39" x14ac:dyDescent="0.25">
      <c r="D206" s="25">
        <f>E206*'Profit per cycles Model'!$I$113</f>
        <v>1970</v>
      </c>
      <c r="E206" s="25">
        <v>5.3965210245171891</v>
      </c>
      <c r="F206" s="28">
        <f t="shared" si="67"/>
        <v>0.50761421319796951</v>
      </c>
      <c r="G206" s="28">
        <f>'Battery Pricing Model'!$C$17/D206</f>
        <v>0.50761421319796951</v>
      </c>
      <c r="H206" s="28">
        <f t="shared" si="68"/>
        <v>999</v>
      </c>
      <c r="I206" s="28"/>
      <c r="J206" s="34">
        <f>INDEX('Profit per cycles Model'!$I$149:$I$179, MATCH(TRUNC(E206, 0), 'Profit per cycles Model'!$H$149:$H$179, 0))</f>
        <v>0.43341054818966634</v>
      </c>
      <c r="K206" s="27">
        <f>AVERAGE($AB$10:AB206)</f>
        <v>0.40104294316479655</v>
      </c>
      <c r="L206" s="28">
        <f t="shared" si="69"/>
        <v>999</v>
      </c>
      <c r="M206" s="28">
        <f t="shared" si="70"/>
        <v>999</v>
      </c>
      <c r="N206" s="28">
        <f t="shared" si="71"/>
        <v>999</v>
      </c>
      <c r="O206" s="28"/>
      <c r="P206" s="29">
        <f t="shared" si="87"/>
        <v>0.19700000000000015</v>
      </c>
      <c r="Q206" s="33">
        <f t="shared" si="72"/>
        <v>6.7114093959731544</v>
      </c>
      <c r="R206" s="33">
        <f t="shared" si="73"/>
        <v>6.7114093959731544</v>
      </c>
      <c r="S206" s="33">
        <f t="shared" si="74"/>
        <v>-1</v>
      </c>
      <c r="T206" s="27"/>
      <c r="U206" s="28">
        <f t="shared" si="75"/>
        <v>0.10964912280701754</v>
      </c>
      <c r="V206" s="25">
        <f t="shared" si="76"/>
        <v>999</v>
      </c>
      <c r="W206" s="35">
        <f t="shared" si="88"/>
        <v>25</v>
      </c>
      <c r="X206" s="33">
        <f t="shared" si="77"/>
        <v>25</v>
      </c>
      <c r="Y206" s="32">
        <f t="shared" si="78"/>
        <v>-1</v>
      </c>
      <c r="Z206" s="32"/>
      <c r="AA206" s="30">
        <f t="shared" si="79"/>
        <v>5.3965210245171891</v>
      </c>
      <c r="AB206" s="28">
        <f t="shared" si="80"/>
        <v>0.43341054818966634</v>
      </c>
      <c r="AC206" s="28">
        <f t="shared" si="81"/>
        <v>0.10964912280701754</v>
      </c>
      <c r="AD206" s="29">
        <f t="shared" si="82"/>
        <v>186.90702087286527</v>
      </c>
      <c r="AE206" s="28">
        <f t="shared" si="83"/>
        <v>0.10964912280701754</v>
      </c>
      <c r="AF206" s="28">
        <f t="shared" si="84"/>
        <v>0.32376142538264879</v>
      </c>
      <c r="AG206" s="28">
        <f t="shared" si="85"/>
        <v>0</v>
      </c>
      <c r="AI206" s="31">
        <f t="shared" si="86"/>
        <v>-0.20994540196535075</v>
      </c>
      <c r="AJ206" s="25"/>
      <c r="AK206" s="31"/>
      <c r="AM206" s="27"/>
    </row>
    <row r="207" spans="4:39" x14ac:dyDescent="0.25">
      <c r="D207" s="25">
        <f>E207*'Profit per cycles Model'!$I$113</f>
        <v>1980</v>
      </c>
      <c r="E207" s="25">
        <v>5.4239145322558553</v>
      </c>
      <c r="F207" s="28">
        <f t="shared" si="67"/>
        <v>0.50505050505050508</v>
      </c>
      <c r="G207" s="28">
        <f>'Battery Pricing Model'!$C$17/D207</f>
        <v>0.50505050505050508</v>
      </c>
      <c r="H207" s="28">
        <f t="shared" si="68"/>
        <v>999</v>
      </c>
      <c r="I207" s="28"/>
      <c r="J207" s="34">
        <f>INDEX('Profit per cycles Model'!$I$149:$I$179, MATCH(TRUNC(E207, 0), 'Profit per cycles Model'!$H$149:$H$179, 0))</f>
        <v>0.43341054818966634</v>
      </c>
      <c r="K207" s="27">
        <f>AVERAGE($AB$10:AB207)</f>
        <v>0.40120641591744738</v>
      </c>
      <c r="L207" s="28">
        <f t="shared" si="69"/>
        <v>999</v>
      </c>
      <c r="M207" s="28">
        <f t="shared" si="70"/>
        <v>999</v>
      </c>
      <c r="N207" s="28">
        <f t="shared" si="71"/>
        <v>999</v>
      </c>
      <c r="O207" s="28"/>
      <c r="P207" s="29">
        <f t="shared" si="87"/>
        <v>0.19800000000000015</v>
      </c>
      <c r="Q207" s="33">
        <f t="shared" si="72"/>
        <v>6.7114093959731544</v>
      </c>
      <c r="R207" s="33">
        <f t="shared" si="73"/>
        <v>6.7114093959731544</v>
      </c>
      <c r="S207" s="33">
        <f t="shared" si="74"/>
        <v>-1</v>
      </c>
      <c r="T207" s="27"/>
      <c r="U207" s="28">
        <f t="shared" si="75"/>
        <v>0.10964912280701754</v>
      </c>
      <c r="V207" s="25">
        <f t="shared" si="76"/>
        <v>999</v>
      </c>
      <c r="W207" s="35">
        <f t="shared" si="88"/>
        <v>25</v>
      </c>
      <c r="X207" s="33">
        <f t="shared" si="77"/>
        <v>25</v>
      </c>
      <c r="Y207" s="32">
        <f t="shared" si="78"/>
        <v>-1</v>
      </c>
      <c r="Z207" s="32"/>
      <c r="AA207" s="30">
        <f t="shared" si="79"/>
        <v>5.4239145322558553</v>
      </c>
      <c r="AB207" s="28">
        <f t="shared" si="80"/>
        <v>0.43341054818966634</v>
      </c>
      <c r="AC207" s="28">
        <f t="shared" si="81"/>
        <v>0.10964912280701754</v>
      </c>
      <c r="AD207" s="29">
        <f t="shared" si="82"/>
        <v>187.85578747628085</v>
      </c>
      <c r="AE207" s="28">
        <f t="shared" si="83"/>
        <v>0.10964912280701754</v>
      </c>
      <c r="AF207" s="28">
        <f t="shared" si="84"/>
        <v>0.32376142538264879</v>
      </c>
      <c r="AG207" s="28">
        <f t="shared" si="85"/>
        <v>0</v>
      </c>
      <c r="AI207" s="31">
        <f t="shared" si="86"/>
        <v>-0.20561129648345425</v>
      </c>
      <c r="AJ207" s="25"/>
      <c r="AK207" s="31"/>
      <c r="AM207" s="27"/>
    </row>
    <row r="208" spans="4:39" x14ac:dyDescent="0.25">
      <c r="D208" s="25">
        <f>E208*'Profit per cycles Model'!$I$113</f>
        <v>1990.0000000000002</v>
      </c>
      <c r="E208" s="25">
        <v>5.4513080399945215</v>
      </c>
      <c r="F208" s="28">
        <f t="shared" si="67"/>
        <v>0.50251256281407031</v>
      </c>
      <c r="G208" s="28">
        <f>'Battery Pricing Model'!$C$17/D208</f>
        <v>0.50251256281407031</v>
      </c>
      <c r="H208" s="28">
        <f t="shared" si="68"/>
        <v>999</v>
      </c>
      <c r="I208" s="28"/>
      <c r="J208" s="34">
        <f>INDEX('Profit per cycles Model'!$I$149:$I$179, MATCH(TRUNC(E208, 0), 'Profit per cycles Model'!$H$149:$H$179, 0))</f>
        <v>0.43341054818966634</v>
      </c>
      <c r="K208" s="27">
        <f>AVERAGE($AB$10:AB208)</f>
        <v>0.40136824572786056</v>
      </c>
      <c r="L208" s="28">
        <f t="shared" si="69"/>
        <v>999</v>
      </c>
      <c r="M208" s="28">
        <f t="shared" si="70"/>
        <v>999</v>
      </c>
      <c r="N208" s="28">
        <f t="shared" si="71"/>
        <v>999</v>
      </c>
      <c r="O208" s="28"/>
      <c r="P208" s="29">
        <f t="shared" si="87"/>
        <v>0.19900000000000015</v>
      </c>
      <c r="Q208" s="33">
        <f t="shared" si="72"/>
        <v>6.7114093959731544</v>
      </c>
      <c r="R208" s="33">
        <f t="shared" si="73"/>
        <v>6.7114093959731544</v>
      </c>
      <c r="S208" s="33">
        <f t="shared" si="74"/>
        <v>-1</v>
      </c>
      <c r="T208" s="27"/>
      <c r="U208" s="28">
        <f t="shared" si="75"/>
        <v>0.10964912280701754</v>
      </c>
      <c r="V208" s="25">
        <f t="shared" si="76"/>
        <v>999</v>
      </c>
      <c r="W208" s="35">
        <f t="shared" si="88"/>
        <v>25</v>
      </c>
      <c r="X208" s="33">
        <f t="shared" si="77"/>
        <v>25</v>
      </c>
      <c r="Y208" s="32">
        <f t="shared" si="78"/>
        <v>-1</v>
      </c>
      <c r="Z208" s="32"/>
      <c r="AA208" s="30">
        <f t="shared" si="79"/>
        <v>5.4513080399945215</v>
      </c>
      <c r="AB208" s="28">
        <f t="shared" si="80"/>
        <v>0.43341054818966634</v>
      </c>
      <c r="AC208" s="28">
        <f t="shared" si="81"/>
        <v>0.10964912280701754</v>
      </c>
      <c r="AD208" s="29">
        <f t="shared" si="82"/>
        <v>188.8045540796964</v>
      </c>
      <c r="AE208" s="28">
        <f t="shared" si="83"/>
        <v>0.10964912280701754</v>
      </c>
      <c r="AF208" s="28">
        <f t="shared" si="84"/>
        <v>0.32376142538264879</v>
      </c>
      <c r="AG208" s="28">
        <f t="shared" si="85"/>
        <v>0</v>
      </c>
      <c r="AI208" s="31">
        <f t="shared" si="86"/>
        <v>-0.20127719100155742</v>
      </c>
      <c r="AJ208" s="25"/>
      <c r="AK208" s="31"/>
      <c r="AM208" s="27"/>
    </row>
    <row r="209" spans="4:39" x14ac:dyDescent="0.25">
      <c r="D209" s="25">
        <f>E209*'Profit per cycles Model'!$I$113</f>
        <v>2000</v>
      </c>
      <c r="E209" s="25">
        <v>5.4787015477331868</v>
      </c>
      <c r="F209" s="28">
        <f t="shared" si="67"/>
        <v>0.5</v>
      </c>
      <c r="G209" s="28">
        <f>'Battery Pricing Model'!$C$17/D209</f>
        <v>0.5</v>
      </c>
      <c r="H209" s="28">
        <f t="shared" si="68"/>
        <v>999</v>
      </c>
      <c r="I209" s="28"/>
      <c r="J209" s="34">
        <f>INDEX('Profit per cycles Model'!$I$149:$I$179, MATCH(TRUNC(E209, 0), 'Profit per cycles Model'!$H$149:$H$179, 0))</f>
        <v>0.43341054818966634</v>
      </c>
      <c r="K209" s="27">
        <f>AVERAGE($AB$10:AB209)</f>
        <v>0.40152845724016961</v>
      </c>
      <c r="L209" s="28">
        <f t="shared" si="69"/>
        <v>999</v>
      </c>
      <c r="M209" s="28">
        <f t="shared" si="70"/>
        <v>999</v>
      </c>
      <c r="N209" s="28">
        <f t="shared" si="71"/>
        <v>999</v>
      </c>
      <c r="O209" s="28"/>
      <c r="P209" s="29">
        <f t="shared" si="87"/>
        <v>0.20000000000000015</v>
      </c>
      <c r="Q209" s="33">
        <f t="shared" si="72"/>
        <v>6.7114093959731544</v>
      </c>
      <c r="R209" s="33">
        <f t="shared" si="73"/>
        <v>6.7114093959731544</v>
      </c>
      <c r="S209" s="33">
        <f t="shared" si="74"/>
        <v>-1</v>
      </c>
      <c r="T209" s="27"/>
      <c r="U209" s="28">
        <f t="shared" si="75"/>
        <v>0.10964912280701754</v>
      </c>
      <c r="V209" s="25">
        <f t="shared" si="76"/>
        <v>999</v>
      </c>
      <c r="W209" s="35">
        <f t="shared" si="88"/>
        <v>25</v>
      </c>
      <c r="X209" s="33">
        <f t="shared" si="77"/>
        <v>25</v>
      </c>
      <c r="Y209" s="32">
        <f t="shared" si="78"/>
        <v>-1</v>
      </c>
      <c r="Z209" s="32"/>
      <c r="AA209" s="30">
        <f t="shared" si="79"/>
        <v>5.4787015477331868</v>
      </c>
      <c r="AB209" s="28">
        <f t="shared" si="80"/>
        <v>0.43341054818966634</v>
      </c>
      <c r="AC209" s="28">
        <f t="shared" si="81"/>
        <v>0.10964912280701754</v>
      </c>
      <c r="AD209" s="29">
        <f t="shared" si="82"/>
        <v>189.75332068311195</v>
      </c>
      <c r="AE209" s="28">
        <f t="shared" si="83"/>
        <v>0.10964912280701754</v>
      </c>
      <c r="AF209" s="28">
        <f t="shared" si="84"/>
        <v>0.32376142538264879</v>
      </c>
      <c r="AG209" s="28">
        <f t="shared" si="85"/>
        <v>0</v>
      </c>
      <c r="AI209" s="31">
        <f t="shared" si="86"/>
        <v>-0.19694308551966078</v>
      </c>
      <c r="AJ209" s="25"/>
      <c r="AK209" s="31"/>
      <c r="AM209" s="27"/>
    </row>
    <row r="210" spans="4:39" x14ac:dyDescent="0.25">
      <c r="D210" s="25">
        <f>E210*'Profit per cycles Model'!$I$113</f>
        <v>2010</v>
      </c>
      <c r="E210" s="25">
        <v>5.5060950554718531</v>
      </c>
      <c r="F210" s="28">
        <f t="shared" si="67"/>
        <v>0.49751243781094528</v>
      </c>
      <c r="G210" s="28">
        <f>'Battery Pricing Model'!$C$17/D210</f>
        <v>0.49751243781094528</v>
      </c>
      <c r="H210" s="28">
        <f t="shared" si="68"/>
        <v>999</v>
      </c>
      <c r="I210" s="28"/>
      <c r="J210" s="34">
        <f>INDEX('Profit per cycles Model'!$I$149:$I$179, MATCH(TRUNC(E210, 0), 'Profit per cycles Model'!$H$149:$H$179, 0))</f>
        <v>0.43341054818966634</v>
      </c>
      <c r="K210" s="27">
        <f>AVERAGE($AB$10:AB210)</f>
        <v>0.40168707460807757</v>
      </c>
      <c r="L210" s="28">
        <f t="shared" si="69"/>
        <v>999</v>
      </c>
      <c r="M210" s="28">
        <f t="shared" si="70"/>
        <v>999</v>
      </c>
      <c r="N210" s="28">
        <f t="shared" si="71"/>
        <v>999</v>
      </c>
      <c r="O210" s="28"/>
      <c r="P210" s="29">
        <f t="shared" si="87"/>
        <v>0.20100000000000015</v>
      </c>
      <c r="Q210" s="33">
        <f t="shared" si="72"/>
        <v>6.7114093959731544</v>
      </c>
      <c r="R210" s="33">
        <f t="shared" si="73"/>
        <v>6.7114093959731544</v>
      </c>
      <c r="S210" s="33">
        <f t="shared" si="74"/>
        <v>-1</v>
      </c>
      <c r="T210" s="27"/>
      <c r="U210" s="28">
        <f t="shared" si="75"/>
        <v>0.10964912280701754</v>
      </c>
      <c r="V210" s="25">
        <f t="shared" si="76"/>
        <v>999</v>
      </c>
      <c r="W210" s="35">
        <f t="shared" si="88"/>
        <v>25</v>
      </c>
      <c r="X210" s="33">
        <f t="shared" si="77"/>
        <v>25</v>
      </c>
      <c r="Y210" s="32">
        <f t="shared" si="78"/>
        <v>-1</v>
      </c>
      <c r="Z210" s="32"/>
      <c r="AA210" s="30">
        <f t="shared" si="79"/>
        <v>5.5060950554718531</v>
      </c>
      <c r="AB210" s="28">
        <f t="shared" si="80"/>
        <v>0.43341054818966634</v>
      </c>
      <c r="AC210" s="28">
        <f t="shared" si="81"/>
        <v>0.10964912280701754</v>
      </c>
      <c r="AD210" s="29">
        <f t="shared" si="82"/>
        <v>190.7020872865275</v>
      </c>
      <c r="AE210" s="28">
        <f t="shared" si="83"/>
        <v>0.10964912280701754</v>
      </c>
      <c r="AF210" s="28">
        <f t="shared" si="84"/>
        <v>0.32376142538264879</v>
      </c>
      <c r="AG210" s="28">
        <f t="shared" si="85"/>
        <v>0</v>
      </c>
      <c r="AI210" s="31">
        <f t="shared" si="86"/>
        <v>-0.19260898003776411</v>
      </c>
      <c r="AJ210" s="25"/>
      <c r="AK210" s="31"/>
      <c r="AM210" s="27"/>
    </row>
    <row r="211" spans="4:39" x14ac:dyDescent="0.25">
      <c r="D211" s="25">
        <f>E211*'Profit per cycles Model'!$I$113</f>
        <v>2020.0000000000002</v>
      </c>
      <c r="E211" s="25">
        <v>5.5334885632105193</v>
      </c>
      <c r="F211" s="28">
        <f t="shared" si="67"/>
        <v>0.49504950495049499</v>
      </c>
      <c r="G211" s="28">
        <f>'Battery Pricing Model'!$C$17/D211</f>
        <v>0.49504950495049499</v>
      </c>
      <c r="H211" s="28">
        <f t="shared" si="68"/>
        <v>999</v>
      </c>
      <c r="I211" s="28"/>
      <c r="J211" s="34">
        <f>INDEX('Profit per cycles Model'!$I$149:$I$179, MATCH(TRUNC(E211, 0), 'Profit per cycles Model'!$H$149:$H$179, 0))</f>
        <v>0.43341054818966634</v>
      </c>
      <c r="K211" s="27">
        <f>AVERAGE($AB$10:AB211)</f>
        <v>0.40184412150699639</v>
      </c>
      <c r="L211" s="28">
        <f t="shared" si="69"/>
        <v>999</v>
      </c>
      <c r="M211" s="28">
        <f t="shared" si="70"/>
        <v>999</v>
      </c>
      <c r="N211" s="28">
        <f t="shared" si="71"/>
        <v>999</v>
      </c>
      <c r="O211" s="28"/>
      <c r="P211" s="29">
        <f t="shared" si="87"/>
        <v>0.20200000000000015</v>
      </c>
      <c r="Q211" s="33">
        <f t="shared" si="72"/>
        <v>6.7114093959731544</v>
      </c>
      <c r="R211" s="33">
        <f t="shared" si="73"/>
        <v>6.7114093959731544</v>
      </c>
      <c r="S211" s="33">
        <f t="shared" si="74"/>
        <v>-1</v>
      </c>
      <c r="T211" s="27"/>
      <c r="U211" s="28">
        <f t="shared" si="75"/>
        <v>0.10964912280701754</v>
      </c>
      <c r="V211" s="25">
        <f t="shared" si="76"/>
        <v>999</v>
      </c>
      <c r="W211" s="35">
        <f t="shared" si="88"/>
        <v>25</v>
      </c>
      <c r="X211" s="33">
        <f t="shared" si="77"/>
        <v>25</v>
      </c>
      <c r="Y211" s="32">
        <f t="shared" si="78"/>
        <v>-1</v>
      </c>
      <c r="Z211" s="32"/>
      <c r="AA211" s="30">
        <f t="shared" si="79"/>
        <v>5.5334885632105193</v>
      </c>
      <c r="AB211" s="28">
        <f t="shared" si="80"/>
        <v>0.43341054818966634</v>
      </c>
      <c r="AC211" s="28">
        <f t="shared" si="81"/>
        <v>0.10964912280701754</v>
      </c>
      <c r="AD211" s="29">
        <f t="shared" si="82"/>
        <v>191.65085388994311</v>
      </c>
      <c r="AE211" s="28">
        <f t="shared" si="83"/>
        <v>0.10964912280701754</v>
      </c>
      <c r="AF211" s="28">
        <f t="shared" si="84"/>
        <v>0.32376142538264879</v>
      </c>
      <c r="AG211" s="28">
        <f t="shared" si="85"/>
        <v>0</v>
      </c>
      <c r="AI211" s="31">
        <f t="shared" si="86"/>
        <v>-0.18827487455586719</v>
      </c>
      <c r="AJ211" s="25"/>
      <c r="AK211" s="31"/>
      <c r="AM211" s="27"/>
    </row>
    <row r="212" spans="4:39" x14ac:dyDescent="0.25">
      <c r="D212" s="25">
        <f>E212*'Profit per cycles Model'!$I$113</f>
        <v>2030</v>
      </c>
      <c r="E212" s="25">
        <v>5.5608820709491846</v>
      </c>
      <c r="F212" s="28">
        <f t="shared" si="67"/>
        <v>0.49261083743842365</v>
      </c>
      <c r="G212" s="28">
        <f>'Battery Pricing Model'!$C$17/D212</f>
        <v>0.49261083743842365</v>
      </c>
      <c r="H212" s="28">
        <f t="shared" si="68"/>
        <v>999</v>
      </c>
      <c r="I212" s="28"/>
      <c r="J212" s="34">
        <f>INDEX('Profit per cycles Model'!$I$149:$I$179, MATCH(TRUNC(E212, 0), 'Profit per cycles Model'!$H$149:$H$179, 0))</f>
        <v>0.43341054818966634</v>
      </c>
      <c r="K212" s="27">
        <f>AVERAGE($AB$10:AB212)</f>
        <v>0.40199962114582727</v>
      </c>
      <c r="L212" s="28">
        <f t="shared" si="69"/>
        <v>999</v>
      </c>
      <c r="M212" s="28">
        <f t="shared" si="70"/>
        <v>999</v>
      </c>
      <c r="N212" s="28">
        <f t="shared" si="71"/>
        <v>999</v>
      </c>
      <c r="O212" s="28"/>
      <c r="P212" s="29">
        <f t="shared" si="87"/>
        <v>0.20300000000000015</v>
      </c>
      <c r="Q212" s="33">
        <f t="shared" si="72"/>
        <v>6.7114093959731544</v>
      </c>
      <c r="R212" s="33">
        <f t="shared" si="73"/>
        <v>6.7114093959731544</v>
      </c>
      <c r="S212" s="33">
        <f t="shared" si="74"/>
        <v>-1</v>
      </c>
      <c r="T212" s="27"/>
      <c r="U212" s="28">
        <f t="shared" si="75"/>
        <v>0.10964912280701754</v>
      </c>
      <c r="V212" s="25">
        <f t="shared" si="76"/>
        <v>999</v>
      </c>
      <c r="W212" s="35">
        <f t="shared" si="88"/>
        <v>25</v>
      </c>
      <c r="X212" s="33">
        <f t="shared" si="77"/>
        <v>25</v>
      </c>
      <c r="Y212" s="32">
        <f t="shared" si="78"/>
        <v>-1</v>
      </c>
      <c r="Z212" s="32"/>
      <c r="AA212" s="30">
        <f t="shared" si="79"/>
        <v>5.5608820709491846</v>
      </c>
      <c r="AB212" s="28">
        <f t="shared" si="80"/>
        <v>0.43341054818966634</v>
      </c>
      <c r="AC212" s="28">
        <f t="shared" si="81"/>
        <v>0.10964912280701754</v>
      </c>
      <c r="AD212" s="29">
        <f t="shared" si="82"/>
        <v>192.59962049335863</v>
      </c>
      <c r="AE212" s="28">
        <f t="shared" si="83"/>
        <v>0.10964912280701754</v>
      </c>
      <c r="AF212" s="28">
        <f t="shared" si="84"/>
        <v>0.32376142538264879</v>
      </c>
      <c r="AG212" s="28">
        <f t="shared" si="85"/>
        <v>0</v>
      </c>
      <c r="AI212" s="31">
        <f t="shared" si="86"/>
        <v>-0.18394076907397067</v>
      </c>
      <c r="AJ212" s="25"/>
      <c r="AK212" s="31"/>
      <c r="AM212" s="27"/>
    </row>
    <row r="213" spans="4:39" x14ac:dyDescent="0.25">
      <c r="D213" s="25">
        <f>E213*'Profit per cycles Model'!$I$113</f>
        <v>2040</v>
      </c>
      <c r="E213" s="25">
        <v>5.5882755786878509</v>
      </c>
      <c r="F213" s="28">
        <f t="shared" si="67"/>
        <v>0.49019607843137253</v>
      </c>
      <c r="G213" s="28">
        <f>'Battery Pricing Model'!$C$17/D213</f>
        <v>0.49019607843137253</v>
      </c>
      <c r="H213" s="28">
        <f t="shared" si="68"/>
        <v>999</v>
      </c>
      <c r="I213" s="28"/>
      <c r="J213" s="34">
        <f>INDEX('Profit per cycles Model'!$I$149:$I$179, MATCH(TRUNC(E213, 0), 'Profit per cycles Model'!$H$149:$H$179, 0))</f>
        <v>0.43341054818966634</v>
      </c>
      <c r="K213" s="27">
        <f>AVERAGE($AB$10:AB213)</f>
        <v>0.40215359627839514</v>
      </c>
      <c r="L213" s="28">
        <f t="shared" si="69"/>
        <v>999</v>
      </c>
      <c r="M213" s="28">
        <f t="shared" si="70"/>
        <v>999</v>
      </c>
      <c r="N213" s="28">
        <f t="shared" si="71"/>
        <v>999</v>
      </c>
      <c r="O213" s="28"/>
      <c r="P213" s="29">
        <f t="shared" si="87"/>
        <v>0.20400000000000015</v>
      </c>
      <c r="Q213" s="33">
        <f t="shared" si="72"/>
        <v>6.7114093959731544</v>
      </c>
      <c r="R213" s="33">
        <f t="shared" si="73"/>
        <v>6.7114093959731544</v>
      </c>
      <c r="S213" s="33">
        <f t="shared" si="74"/>
        <v>-1</v>
      </c>
      <c r="T213" s="27"/>
      <c r="U213" s="28">
        <f t="shared" si="75"/>
        <v>0.10964912280701754</v>
      </c>
      <c r="V213" s="25">
        <f t="shared" si="76"/>
        <v>999</v>
      </c>
      <c r="W213" s="35">
        <f t="shared" si="88"/>
        <v>25</v>
      </c>
      <c r="X213" s="33">
        <f t="shared" si="77"/>
        <v>25</v>
      </c>
      <c r="Y213" s="32">
        <f t="shared" si="78"/>
        <v>-1</v>
      </c>
      <c r="Z213" s="32"/>
      <c r="AA213" s="30">
        <f t="shared" si="79"/>
        <v>5.5882755786878509</v>
      </c>
      <c r="AB213" s="28">
        <f t="shared" si="80"/>
        <v>0.43341054818966634</v>
      </c>
      <c r="AC213" s="28">
        <f t="shared" si="81"/>
        <v>0.10964912280701754</v>
      </c>
      <c r="AD213" s="29">
        <f t="shared" si="82"/>
        <v>193.54838709677418</v>
      </c>
      <c r="AE213" s="28">
        <f t="shared" si="83"/>
        <v>0.10964912280701754</v>
      </c>
      <c r="AF213" s="28">
        <f t="shared" si="84"/>
        <v>0.32376142538264879</v>
      </c>
      <c r="AG213" s="28">
        <f t="shared" si="85"/>
        <v>0</v>
      </c>
      <c r="AI213" s="31">
        <f t="shared" si="86"/>
        <v>-0.17960666359207386</v>
      </c>
      <c r="AJ213" s="25"/>
      <c r="AK213" s="31"/>
      <c r="AM213" s="27"/>
    </row>
    <row r="214" spans="4:39" x14ac:dyDescent="0.25">
      <c r="D214" s="25">
        <f>E214*'Profit per cycles Model'!$I$113</f>
        <v>2050</v>
      </c>
      <c r="E214" s="25">
        <v>5.6156690864265171</v>
      </c>
      <c r="F214" s="28">
        <f t="shared" si="67"/>
        <v>0.48780487804878048</v>
      </c>
      <c r="G214" s="28">
        <f>'Battery Pricing Model'!$C$17/D214</f>
        <v>0.48780487804878048</v>
      </c>
      <c r="H214" s="28">
        <f t="shared" si="68"/>
        <v>999</v>
      </c>
      <c r="I214" s="28"/>
      <c r="J214" s="34">
        <f>INDEX('Profit per cycles Model'!$I$149:$I$179, MATCH(TRUNC(E214, 0), 'Profit per cycles Model'!$H$149:$H$179, 0))</f>
        <v>0.43341054818966634</v>
      </c>
      <c r="K214" s="27">
        <f>AVERAGE($AB$10:AB214)</f>
        <v>0.4023060692145477</v>
      </c>
      <c r="L214" s="28">
        <f t="shared" si="69"/>
        <v>999</v>
      </c>
      <c r="M214" s="28">
        <f t="shared" si="70"/>
        <v>999</v>
      </c>
      <c r="N214" s="28">
        <f t="shared" si="71"/>
        <v>999</v>
      </c>
      <c r="O214" s="28"/>
      <c r="P214" s="29">
        <f t="shared" si="87"/>
        <v>0.20500000000000015</v>
      </c>
      <c r="Q214" s="33">
        <f t="shared" si="72"/>
        <v>6.7114093959731544</v>
      </c>
      <c r="R214" s="33">
        <f t="shared" si="73"/>
        <v>6.7114093959731544</v>
      </c>
      <c r="S214" s="33">
        <f t="shared" si="74"/>
        <v>-1</v>
      </c>
      <c r="T214" s="27"/>
      <c r="U214" s="28">
        <f t="shared" si="75"/>
        <v>0.10964912280701754</v>
      </c>
      <c r="V214" s="25">
        <f t="shared" si="76"/>
        <v>999</v>
      </c>
      <c r="W214" s="35">
        <f t="shared" si="88"/>
        <v>25</v>
      </c>
      <c r="X214" s="33">
        <f t="shared" si="77"/>
        <v>25</v>
      </c>
      <c r="Y214" s="32">
        <f t="shared" si="78"/>
        <v>-1</v>
      </c>
      <c r="Z214" s="32"/>
      <c r="AA214" s="30">
        <f t="shared" si="79"/>
        <v>5.6156690864265171</v>
      </c>
      <c r="AB214" s="28">
        <f t="shared" si="80"/>
        <v>0.43341054818966634</v>
      </c>
      <c r="AC214" s="28">
        <f t="shared" si="81"/>
        <v>0.10964912280701754</v>
      </c>
      <c r="AD214" s="29">
        <f t="shared" si="82"/>
        <v>194.49715370018978</v>
      </c>
      <c r="AE214" s="28">
        <f t="shared" si="83"/>
        <v>0.10964912280701754</v>
      </c>
      <c r="AF214" s="28">
        <f t="shared" si="84"/>
        <v>0.32376142538264879</v>
      </c>
      <c r="AG214" s="28">
        <f t="shared" si="85"/>
        <v>0</v>
      </c>
      <c r="AI214" s="31">
        <f t="shared" si="86"/>
        <v>-0.1752725581101772</v>
      </c>
      <c r="AJ214" s="25"/>
      <c r="AK214" s="31"/>
      <c r="AM214" s="27"/>
    </row>
    <row r="215" spans="4:39" x14ac:dyDescent="0.25">
      <c r="D215" s="25">
        <f>E215*'Profit per cycles Model'!$I$113</f>
        <v>2060</v>
      </c>
      <c r="E215" s="25">
        <v>5.6430625941651824</v>
      </c>
      <c r="F215" s="28">
        <f t="shared" si="67"/>
        <v>0.4854368932038835</v>
      </c>
      <c r="G215" s="28">
        <f>'Battery Pricing Model'!$C$17/D215</f>
        <v>0.4854368932038835</v>
      </c>
      <c r="H215" s="28">
        <f t="shared" si="68"/>
        <v>999</v>
      </c>
      <c r="I215" s="28"/>
      <c r="J215" s="34">
        <f>INDEX('Profit per cycles Model'!$I$149:$I$179, MATCH(TRUNC(E215, 0), 'Profit per cycles Model'!$H$149:$H$179, 0))</f>
        <v>0.43341054818966634</v>
      </c>
      <c r="K215" s="27">
        <f>AVERAGE($AB$10:AB215)</f>
        <v>0.40245706183093177</v>
      </c>
      <c r="L215" s="28">
        <f t="shared" si="69"/>
        <v>999</v>
      </c>
      <c r="M215" s="28">
        <f t="shared" si="70"/>
        <v>999</v>
      </c>
      <c r="N215" s="28">
        <f t="shared" si="71"/>
        <v>999</v>
      </c>
      <c r="O215" s="28"/>
      <c r="P215" s="29">
        <f t="shared" si="87"/>
        <v>0.20600000000000016</v>
      </c>
      <c r="Q215" s="33">
        <f t="shared" si="72"/>
        <v>6.7114093959731544</v>
      </c>
      <c r="R215" s="33">
        <f t="shared" si="73"/>
        <v>6.7114093959731544</v>
      </c>
      <c r="S215" s="33">
        <f t="shared" si="74"/>
        <v>-1</v>
      </c>
      <c r="T215" s="27"/>
      <c r="U215" s="28">
        <f t="shared" si="75"/>
        <v>0.10964912280701754</v>
      </c>
      <c r="V215" s="25">
        <f t="shared" si="76"/>
        <v>999</v>
      </c>
      <c r="W215" s="35">
        <f t="shared" si="88"/>
        <v>25</v>
      </c>
      <c r="X215" s="33">
        <f t="shared" si="77"/>
        <v>25</v>
      </c>
      <c r="Y215" s="32">
        <f t="shared" si="78"/>
        <v>-1</v>
      </c>
      <c r="Z215" s="32"/>
      <c r="AA215" s="30">
        <f t="shared" si="79"/>
        <v>5.6430625941651824</v>
      </c>
      <c r="AB215" s="28">
        <f t="shared" si="80"/>
        <v>0.43341054818966634</v>
      </c>
      <c r="AC215" s="28">
        <f t="shared" si="81"/>
        <v>0.10964912280701754</v>
      </c>
      <c r="AD215" s="29">
        <f t="shared" si="82"/>
        <v>195.44592030360531</v>
      </c>
      <c r="AE215" s="28">
        <f t="shared" si="83"/>
        <v>0.10964912280701754</v>
      </c>
      <c r="AF215" s="28">
        <f t="shared" si="84"/>
        <v>0.32376142538264879</v>
      </c>
      <c r="AG215" s="28">
        <f t="shared" si="85"/>
        <v>0</v>
      </c>
      <c r="AI215" s="31">
        <f t="shared" si="86"/>
        <v>-0.17093845262828056</v>
      </c>
      <c r="AJ215" s="25"/>
      <c r="AK215" s="31"/>
      <c r="AM215" s="27"/>
    </row>
    <row r="216" spans="4:39" x14ac:dyDescent="0.25">
      <c r="D216" s="25">
        <f>E216*'Profit per cycles Model'!$I$113</f>
        <v>2070</v>
      </c>
      <c r="E216" s="25">
        <v>5.6704561019038486</v>
      </c>
      <c r="F216" s="28">
        <f t="shared" si="67"/>
        <v>0.48309178743961351</v>
      </c>
      <c r="G216" s="28">
        <f>'Battery Pricing Model'!$C$17/D216</f>
        <v>0.48309178743961351</v>
      </c>
      <c r="H216" s="28">
        <f t="shared" si="68"/>
        <v>999</v>
      </c>
      <c r="I216" s="28"/>
      <c r="J216" s="34">
        <f>INDEX('Profit per cycles Model'!$I$149:$I$179, MATCH(TRUNC(E216, 0), 'Profit per cycles Model'!$H$149:$H$179, 0))</f>
        <v>0.43341054818966634</v>
      </c>
      <c r="K216" s="27">
        <f>AVERAGE($AB$10:AB216)</f>
        <v>0.40260659558145706</v>
      </c>
      <c r="L216" s="28">
        <f t="shared" si="69"/>
        <v>999</v>
      </c>
      <c r="M216" s="28">
        <f t="shared" si="70"/>
        <v>999</v>
      </c>
      <c r="N216" s="28">
        <f t="shared" si="71"/>
        <v>999</v>
      </c>
      <c r="O216" s="28"/>
      <c r="P216" s="29">
        <f t="shared" si="87"/>
        <v>0.20700000000000016</v>
      </c>
      <c r="Q216" s="33">
        <f t="shared" si="72"/>
        <v>6.7114093959731544</v>
      </c>
      <c r="R216" s="33">
        <f t="shared" si="73"/>
        <v>6.7114093959731544</v>
      </c>
      <c r="S216" s="33">
        <f t="shared" si="74"/>
        <v>-1</v>
      </c>
      <c r="T216" s="27"/>
      <c r="U216" s="28">
        <f t="shared" si="75"/>
        <v>0.10964912280701754</v>
      </c>
      <c r="V216" s="25">
        <f t="shared" si="76"/>
        <v>999</v>
      </c>
      <c r="W216" s="35">
        <f t="shared" si="88"/>
        <v>25</v>
      </c>
      <c r="X216" s="33">
        <f t="shared" si="77"/>
        <v>25</v>
      </c>
      <c r="Y216" s="32">
        <f t="shared" si="78"/>
        <v>-1</v>
      </c>
      <c r="Z216" s="32"/>
      <c r="AA216" s="30">
        <f t="shared" si="79"/>
        <v>5.6704561019038486</v>
      </c>
      <c r="AB216" s="28">
        <f t="shared" si="80"/>
        <v>0.43341054818966634</v>
      </c>
      <c r="AC216" s="28">
        <f t="shared" si="81"/>
        <v>0.10964912280701754</v>
      </c>
      <c r="AD216" s="29">
        <f t="shared" si="82"/>
        <v>196.39468690702085</v>
      </c>
      <c r="AE216" s="28">
        <f t="shared" si="83"/>
        <v>0.10964912280701754</v>
      </c>
      <c r="AF216" s="28">
        <f t="shared" si="84"/>
        <v>0.32376142538264879</v>
      </c>
      <c r="AG216" s="28">
        <f t="shared" si="85"/>
        <v>0</v>
      </c>
      <c r="AI216" s="31">
        <f t="shared" si="86"/>
        <v>-0.16660434714638386</v>
      </c>
      <c r="AJ216" s="25"/>
      <c r="AK216" s="31"/>
      <c r="AM216" s="27"/>
    </row>
    <row r="217" spans="4:39" x14ac:dyDescent="0.25">
      <c r="D217" s="25">
        <f>E217*'Profit per cycles Model'!$I$113</f>
        <v>2080</v>
      </c>
      <c r="E217" s="25">
        <v>5.6978496096425149</v>
      </c>
      <c r="F217" s="28">
        <f t="shared" si="67"/>
        <v>0.48076923076923078</v>
      </c>
      <c r="G217" s="28">
        <f>'Battery Pricing Model'!$C$17/D217</f>
        <v>0.48076923076923078</v>
      </c>
      <c r="H217" s="28">
        <f t="shared" si="68"/>
        <v>999</v>
      </c>
      <c r="I217" s="28"/>
      <c r="J217" s="34">
        <f>INDEX('Profit per cycles Model'!$I$149:$I$179, MATCH(TRUNC(E217, 0), 'Profit per cycles Model'!$H$149:$H$179, 0))</f>
        <v>0.43341054818966634</v>
      </c>
      <c r="K217" s="27">
        <f>AVERAGE($AB$10:AB217)</f>
        <v>0.40275469150745813</v>
      </c>
      <c r="L217" s="28">
        <f t="shared" si="69"/>
        <v>999</v>
      </c>
      <c r="M217" s="28">
        <f t="shared" si="70"/>
        <v>999</v>
      </c>
      <c r="N217" s="28">
        <f t="shared" si="71"/>
        <v>999</v>
      </c>
      <c r="O217" s="28"/>
      <c r="P217" s="29">
        <f t="shared" si="87"/>
        <v>0.20800000000000016</v>
      </c>
      <c r="Q217" s="33">
        <f t="shared" si="72"/>
        <v>6.7114093959731544</v>
      </c>
      <c r="R217" s="33">
        <f t="shared" si="73"/>
        <v>6.7114093959731544</v>
      </c>
      <c r="S217" s="33">
        <f t="shared" si="74"/>
        <v>-1</v>
      </c>
      <c r="T217" s="27"/>
      <c r="U217" s="28">
        <f t="shared" si="75"/>
        <v>0.10964912280701754</v>
      </c>
      <c r="V217" s="25">
        <f t="shared" si="76"/>
        <v>999</v>
      </c>
      <c r="W217" s="35">
        <f t="shared" si="88"/>
        <v>25</v>
      </c>
      <c r="X217" s="33">
        <f t="shared" si="77"/>
        <v>25</v>
      </c>
      <c r="Y217" s="32">
        <f t="shared" si="78"/>
        <v>-1</v>
      </c>
      <c r="Z217" s="32"/>
      <c r="AA217" s="30">
        <f t="shared" si="79"/>
        <v>5.6978496096425149</v>
      </c>
      <c r="AB217" s="28">
        <f t="shared" si="80"/>
        <v>0.43341054818966634</v>
      </c>
      <c r="AC217" s="28">
        <f t="shared" si="81"/>
        <v>0.10964912280701754</v>
      </c>
      <c r="AD217" s="29">
        <f t="shared" si="82"/>
        <v>197.34345351043646</v>
      </c>
      <c r="AE217" s="28">
        <f t="shared" si="83"/>
        <v>0.10964912280701754</v>
      </c>
      <c r="AF217" s="28">
        <f t="shared" si="84"/>
        <v>0.32376142538264879</v>
      </c>
      <c r="AG217" s="28">
        <f t="shared" si="85"/>
        <v>0</v>
      </c>
      <c r="AI217" s="31">
        <f t="shared" si="86"/>
        <v>-0.16227024166448711</v>
      </c>
      <c r="AJ217" s="25"/>
      <c r="AK217" s="31"/>
      <c r="AM217" s="27"/>
    </row>
    <row r="218" spans="4:39" x14ac:dyDescent="0.25">
      <c r="D218" s="25">
        <f>E218*'Profit per cycles Model'!$I$113</f>
        <v>2090</v>
      </c>
      <c r="E218" s="25">
        <v>5.7252431173811802</v>
      </c>
      <c r="F218" s="28">
        <f t="shared" si="67"/>
        <v>0.4784688995215311</v>
      </c>
      <c r="G218" s="28">
        <f>'Battery Pricing Model'!$C$17/D218</f>
        <v>0.4784688995215311</v>
      </c>
      <c r="H218" s="28">
        <f t="shared" si="68"/>
        <v>999</v>
      </c>
      <c r="I218" s="28"/>
      <c r="J218" s="34">
        <f>INDEX('Profit per cycles Model'!$I$149:$I$179, MATCH(TRUNC(E218, 0), 'Profit per cycles Model'!$H$149:$H$179, 0))</f>
        <v>0.43341054818966634</v>
      </c>
      <c r="K218" s="27">
        <f>AVERAGE($AB$10:AB218)</f>
        <v>0.40290137024756439</v>
      </c>
      <c r="L218" s="28">
        <f t="shared" si="69"/>
        <v>999</v>
      </c>
      <c r="M218" s="28">
        <f t="shared" si="70"/>
        <v>999</v>
      </c>
      <c r="N218" s="28">
        <f t="shared" si="71"/>
        <v>999</v>
      </c>
      <c r="O218" s="28"/>
      <c r="P218" s="29">
        <f t="shared" si="87"/>
        <v>0.20900000000000016</v>
      </c>
      <c r="Q218" s="33">
        <f t="shared" si="72"/>
        <v>6.7114093959731544</v>
      </c>
      <c r="R218" s="33">
        <f t="shared" si="73"/>
        <v>6.7114093959731544</v>
      </c>
      <c r="S218" s="33">
        <f t="shared" si="74"/>
        <v>-1</v>
      </c>
      <c r="T218" s="27"/>
      <c r="U218" s="28">
        <f t="shared" si="75"/>
        <v>0.10964912280701754</v>
      </c>
      <c r="V218" s="25">
        <f t="shared" si="76"/>
        <v>999</v>
      </c>
      <c r="W218" s="35">
        <f t="shared" si="88"/>
        <v>25</v>
      </c>
      <c r="X218" s="33">
        <f t="shared" si="77"/>
        <v>25</v>
      </c>
      <c r="Y218" s="32">
        <f t="shared" si="78"/>
        <v>-1</v>
      </c>
      <c r="Z218" s="32"/>
      <c r="AA218" s="30">
        <f t="shared" si="79"/>
        <v>5.7252431173811802</v>
      </c>
      <c r="AB218" s="28">
        <f t="shared" si="80"/>
        <v>0.43341054818966634</v>
      </c>
      <c r="AC218" s="28">
        <f t="shared" si="81"/>
        <v>0.10964912280701754</v>
      </c>
      <c r="AD218" s="29">
        <f t="shared" si="82"/>
        <v>198.29222011385198</v>
      </c>
      <c r="AE218" s="28">
        <f t="shared" si="83"/>
        <v>0.10964912280701754</v>
      </c>
      <c r="AF218" s="28">
        <f t="shared" si="84"/>
        <v>0.32376142538264879</v>
      </c>
      <c r="AG218" s="28">
        <f t="shared" si="85"/>
        <v>0</v>
      </c>
      <c r="AI218" s="31">
        <f t="shared" si="86"/>
        <v>-0.15793613618259042</v>
      </c>
      <c r="AJ218" s="25"/>
      <c r="AK218" s="31"/>
      <c r="AM218" s="27"/>
    </row>
    <row r="219" spans="4:39" x14ac:dyDescent="0.25">
      <c r="D219" s="25">
        <f>E219*'Profit per cycles Model'!$I$113</f>
        <v>2100</v>
      </c>
      <c r="E219" s="25">
        <v>5.7526366251198464</v>
      </c>
      <c r="F219" s="28">
        <f t="shared" si="67"/>
        <v>0.47619047619047616</v>
      </c>
      <c r="G219" s="28">
        <f>'Battery Pricing Model'!$C$17/D219</f>
        <v>0.47619047619047616</v>
      </c>
      <c r="H219" s="28">
        <f t="shared" si="68"/>
        <v>999</v>
      </c>
      <c r="I219" s="28"/>
      <c r="J219" s="34">
        <f>INDEX('Profit per cycles Model'!$I$149:$I$179, MATCH(TRUNC(E219, 0), 'Profit per cycles Model'!$H$149:$H$179, 0))</f>
        <v>0.43341054818966634</v>
      </c>
      <c r="K219" s="27">
        <f>AVERAGE($AB$10:AB219)</f>
        <v>0.40304665204728868</v>
      </c>
      <c r="L219" s="28">
        <f t="shared" si="69"/>
        <v>999</v>
      </c>
      <c r="M219" s="28">
        <f t="shared" si="70"/>
        <v>999</v>
      </c>
      <c r="N219" s="28">
        <f t="shared" si="71"/>
        <v>999</v>
      </c>
      <c r="O219" s="28"/>
      <c r="P219" s="29">
        <f t="shared" si="87"/>
        <v>0.21000000000000016</v>
      </c>
      <c r="Q219" s="33">
        <f t="shared" si="72"/>
        <v>6.7114093959731544</v>
      </c>
      <c r="R219" s="33">
        <f t="shared" si="73"/>
        <v>6.7114093959731544</v>
      </c>
      <c r="S219" s="33">
        <f t="shared" si="74"/>
        <v>-1</v>
      </c>
      <c r="T219" s="27"/>
      <c r="U219" s="28">
        <f t="shared" si="75"/>
        <v>0.10964912280701754</v>
      </c>
      <c r="V219" s="25">
        <f t="shared" si="76"/>
        <v>999</v>
      </c>
      <c r="W219" s="35">
        <f t="shared" si="88"/>
        <v>25</v>
      </c>
      <c r="X219" s="33">
        <f t="shared" si="77"/>
        <v>25</v>
      </c>
      <c r="Y219" s="32">
        <f t="shared" si="78"/>
        <v>-1</v>
      </c>
      <c r="Z219" s="32"/>
      <c r="AA219" s="30">
        <f t="shared" si="79"/>
        <v>5.7526366251198464</v>
      </c>
      <c r="AB219" s="28">
        <f t="shared" si="80"/>
        <v>0.43341054818966634</v>
      </c>
      <c r="AC219" s="28">
        <f t="shared" si="81"/>
        <v>0.10964912280701754</v>
      </c>
      <c r="AD219" s="29">
        <f t="shared" si="82"/>
        <v>199.24098671726753</v>
      </c>
      <c r="AE219" s="28">
        <f t="shared" si="83"/>
        <v>0.10964912280701754</v>
      </c>
      <c r="AF219" s="28">
        <f t="shared" si="84"/>
        <v>0.32376142538264879</v>
      </c>
      <c r="AG219" s="28">
        <f t="shared" si="85"/>
        <v>0</v>
      </c>
      <c r="AI219" s="31">
        <f t="shared" si="86"/>
        <v>-0.15360203070069373</v>
      </c>
      <c r="AJ219" s="25"/>
      <c r="AK219" s="31"/>
      <c r="AM219" s="27"/>
    </row>
    <row r="220" spans="4:39" x14ac:dyDescent="0.25">
      <c r="D220" s="25">
        <f>E220*'Profit per cycles Model'!$I$113</f>
        <v>2110</v>
      </c>
      <c r="E220" s="25">
        <v>5.7800301328585126</v>
      </c>
      <c r="F220" s="28">
        <f t="shared" si="67"/>
        <v>0.47393364928909953</v>
      </c>
      <c r="G220" s="28">
        <f>'Battery Pricing Model'!$C$17/D220</f>
        <v>0.47393364928909953</v>
      </c>
      <c r="H220" s="28">
        <f t="shared" si="68"/>
        <v>999</v>
      </c>
      <c r="I220" s="28"/>
      <c r="J220" s="34">
        <f>INDEX('Profit per cycles Model'!$I$149:$I$179, MATCH(TRUNC(E220, 0), 'Profit per cycles Model'!$H$149:$H$179, 0))</f>
        <v>0.43341054818966634</v>
      </c>
      <c r="K220" s="27">
        <f>AVERAGE($AB$10:AB220)</f>
        <v>0.40319055676834265</v>
      </c>
      <c r="L220" s="28">
        <f t="shared" si="69"/>
        <v>999</v>
      </c>
      <c r="M220" s="28">
        <f t="shared" si="70"/>
        <v>999</v>
      </c>
      <c r="N220" s="28">
        <f t="shared" si="71"/>
        <v>999</v>
      </c>
      <c r="O220" s="28"/>
      <c r="P220" s="29">
        <f t="shared" si="87"/>
        <v>0.21100000000000016</v>
      </c>
      <c r="Q220" s="33">
        <f t="shared" si="72"/>
        <v>6.7114093959731544</v>
      </c>
      <c r="R220" s="33">
        <f t="shared" si="73"/>
        <v>6.7114093959731544</v>
      </c>
      <c r="S220" s="33">
        <f t="shared" si="74"/>
        <v>-1</v>
      </c>
      <c r="T220" s="27"/>
      <c r="U220" s="28">
        <f t="shared" si="75"/>
        <v>0.10964912280701754</v>
      </c>
      <c r="V220" s="25">
        <f t="shared" si="76"/>
        <v>999</v>
      </c>
      <c r="W220" s="35">
        <f t="shared" si="88"/>
        <v>25</v>
      </c>
      <c r="X220" s="33">
        <f t="shared" si="77"/>
        <v>25</v>
      </c>
      <c r="Y220" s="32">
        <f t="shared" si="78"/>
        <v>-1</v>
      </c>
      <c r="Z220" s="32"/>
      <c r="AA220" s="30">
        <f t="shared" si="79"/>
        <v>5.7800301328585126</v>
      </c>
      <c r="AB220" s="28">
        <f t="shared" si="80"/>
        <v>0.43341054818966634</v>
      </c>
      <c r="AC220" s="28">
        <f t="shared" si="81"/>
        <v>0.10964912280701754</v>
      </c>
      <c r="AD220" s="29">
        <f t="shared" si="82"/>
        <v>200.18975332068314</v>
      </c>
      <c r="AE220" s="28">
        <f t="shared" si="83"/>
        <v>0.10964912280701754</v>
      </c>
      <c r="AF220" s="28">
        <f t="shared" si="84"/>
        <v>0.32376142538264879</v>
      </c>
      <c r="AG220" s="28">
        <f t="shared" si="85"/>
        <v>0</v>
      </c>
      <c r="AI220" s="31">
        <f t="shared" si="86"/>
        <v>-0.14926792521879703</v>
      </c>
      <c r="AJ220" s="25"/>
      <c r="AK220" s="31"/>
      <c r="AM220" s="27"/>
    </row>
    <row r="221" spans="4:39" x14ac:dyDescent="0.25">
      <c r="D221" s="25">
        <f>E221*'Profit per cycles Model'!$I$113</f>
        <v>2120</v>
      </c>
      <c r="E221" s="25">
        <v>5.807423640597178</v>
      </c>
      <c r="F221" s="28">
        <f t="shared" si="67"/>
        <v>0.47169811320754718</v>
      </c>
      <c r="G221" s="28">
        <f>'Battery Pricing Model'!$C$17/D221</f>
        <v>0.47169811320754718</v>
      </c>
      <c r="H221" s="28">
        <f t="shared" si="68"/>
        <v>999</v>
      </c>
      <c r="I221" s="28"/>
      <c r="J221" s="34">
        <f>INDEX('Profit per cycles Model'!$I$149:$I$179, MATCH(TRUNC(E221, 0), 'Profit per cycles Model'!$H$149:$H$179, 0))</f>
        <v>0.43341054818966634</v>
      </c>
      <c r="K221" s="27">
        <f>AVERAGE($AB$10:AB221)</f>
        <v>0.40333310389768851</v>
      </c>
      <c r="L221" s="28">
        <f t="shared" si="69"/>
        <v>999</v>
      </c>
      <c r="M221" s="28">
        <f t="shared" si="70"/>
        <v>999</v>
      </c>
      <c r="N221" s="28">
        <f t="shared" si="71"/>
        <v>999</v>
      </c>
      <c r="O221" s="28"/>
      <c r="P221" s="29">
        <f t="shared" si="87"/>
        <v>0.21200000000000016</v>
      </c>
      <c r="Q221" s="33">
        <f t="shared" si="72"/>
        <v>6.7114093959731544</v>
      </c>
      <c r="R221" s="33">
        <f t="shared" si="73"/>
        <v>6.7114093959731544</v>
      </c>
      <c r="S221" s="33">
        <f t="shared" si="74"/>
        <v>-1</v>
      </c>
      <c r="T221" s="27"/>
      <c r="U221" s="28">
        <f t="shared" si="75"/>
        <v>0.10964912280701754</v>
      </c>
      <c r="V221" s="25">
        <f t="shared" si="76"/>
        <v>999</v>
      </c>
      <c r="W221" s="35">
        <f t="shared" si="88"/>
        <v>25</v>
      </c>
      <c r="X221" s="33">
        <f t="shared" si="77"/>
        <v>25</v>
      </c>
      <c r="Y221" s="32">
        <f t="shared" si="78"/>
        <v>-1</v>
      </c>
      <c r="Z221" s="32"/>
      <c r="AA221" s="30">
        <f t="shared" si="79"/>
        <v>5.807423640597178</v>
      </c>
      <c r="AB221" s="28">
        <f t="shared" si="80"/>
        <v>0.43341054818966634</v>
      </c>
      <c r="AC221" s="28">
        <f t="shared" si="81"/>
        <v>0.10964912280701754</v>
      </c>
      <c r="AD221" s="29">
        <f t="shared" si="82"/>
        <v>201.13851992409866</v>
      </c>
      <c r="AE221" s="28">
        <f t="shared" si="83"/>
        <v>0.10964912280701754</v>
      </c>
      <c r="AF221" s="28">
        <f t="shared" si="84"/>
        <v>0.32376142538264879</v>
      </c>
      <c r="AG221" s="28">
        <f t="shared" si="85"/>
        <v>0</v>
      </c>
      <c r="AI221" s="31">
        <f t="shared" si="86"/>
        <v>-0.14493381973690039</v>
      </c>
      <c r="AJ221" s="25"/>
      <c r="AK221" s="31"/>
      <c r="AM221" s="27"/>
    </row>
    <row r="222" spans="4:39" x14ac:dyDescent="0.25">
      <c r="D222" s="25">
        <f>E222*'Profit per cycles Model'!$I$113</f>
        <v>2130</v>
      </c>
      <c r="E222" s="25">
        <v>5.8348171483358442</v>
      </c>
      <c r="F222" s="28">
        <f t="shared" si="67"/>
        <v>0.46948356807511737</v>
      </c>
      <c r="G222" s="28">
        <f>'Battery Pricing Model'!$C$17/D222</f>
        <v>0.46948356807511737</v>
      </c>
      <c r="H222" s="28">
        <f t="shared" si="68"/>
        <v>999</v>
      </c>
      <c r="I222" s="28"/>
      <c r="J222" s="34">
        <f>INDEX('Profit per cycles Model'!$I$149:$I$179, MATCH(TRUNC(E222, 0), 'Profit per cycles Model'!$H$149:$H$179, 0))</f>
        <v>0.43341054818966634</v>
      </c>
      <c r="K222" s="27">
        <f>AVERAGE($AB$10:AB222)</f>
        <v>0.40347431255633631</v>
      </c>
      <c r="L222" s="28">
        <f t="shared" si="69"/>
        <v>999</v>
      </c>
      <c r="M222" s="28">
        <f t="shared" si="70"/>
        <v>999</v>
      </c>
      <c r="N222" s="28">
        <f t="shared" si="71"/>
        <v>999</v>
      </c>
      <c r="O222" s="28"/>
      <c r="P222" s="29">
        <f t="shared" si="87"/>
        <v>0.21300000000000016</v>
      </c>
      <c r="Q222" s="33">
        <f t="shared" si="72"/>
        <v>6.7114093959731544</v>
      </c>
      <c r="R222" s="33">
        <f t="shared" si="73"/>
        <v>6.7114093959731544</v>
      </c>
      <c r="S222" s="33">
        <f t="shared" si="74"/>
        <v>-1</v>
      </c>
      <c r="T222" s="27"/>
      <c r="U222" s="28">
        <f t="shared" si="75"/>
        <v>0.10964912280701754</v>
      </c>
      <c r="V222" s="25">
        <f t="shared" si="76"/>
        <v>999</v>
      </c>
      <c r="W222" s="35">
        <f t="shared" si="88"/>
        <v>25</v>
      </c>
      <c r="X222" s="33">
        <f t="shared" si="77"/>
        <v>25</v>
      </c>
      <c r="Y222" s="32">
        <f t="shared" si="78"/>
        <v>-1</v>
      </c>
      <c r="Z222" s="32"/>
      <c r="AA222" s="30">
        <f t="shared" si="79"/>
        <v>5.8348171483358442</v>
      </c>
      <c r="AB222" s="28">
        <f t="shared" si="80"/>
        <v>0.43341054818966634</v>
      </c>
      <c r="AC222" s="28">
        <f t="shared" si="81"/>
        <v>0.10964912280701754</v>
      </c>
      <c r="AD222" s="29">
        <f t="shared" si="82"/>
        <v>202.08728652751421</v>
      </c>
      <c r="AE222" s="28">
        <f t="shared" si="83"/>
        <v>0.10964912280701754</v>
      </c>
      <c r="AF222" s="28">
        <f t="shared" si="84"/>
        <v>0.32376142538264879</v>
      </c>
      <c r="AG222" s="28">
        <f t="shared" si="85"/>
        <v>0</v>
      </c>
      <c r="AI222" s="31">
        <f t="shared" si="86"/>
        <v>-0.14059971425500367</v>
      </c>
      <c r="AJ222" s="25"/>
      <c r="AK222" s="31"/>
      <c r="AM222" s="27"/>
    </row>
    <row r="223" spans="4:39" x14ac:dyDescent="0.25">
      <c r="D223" s="25">
        <f>E223*'Profit per cycles Model'!$I$113</f>
        <v>2140</v>
      </c>
      <c r="E223" s="25">
        <v>5.8622106560745104</v>
      </c>
      <c r="F223" s="28">
        <f t="shared" si="67"/>
        <v>0.46728971962616822</v>
      </c>
      <c r="G223" s="28">
        <f>'Battery Pricing Model'!$C$17/D223</f>
        <v>0.46728971962616822</v>
      </c>
      <c r="H223" s="28">
        <f t="shared" si="68"/>
        <v>999</v>
      </c>
      <c r="I223" s="28"/>
      <c r="J223" s="34">
        <f>INDEX('Profit per cycles Model'!$I$149:$I$179, MATCH(TRUNC(E223, 0), 'Profit per cycles Model'!$H$149:$H$179, 0))</f>
        <v>0.43341054818966634</v>
      </c>
      <c r="K223" s="27">
        <f>AVERAGE($AB$10:AB223)</f>
        <v>0.40361420150789395</v>
      </c>
      <c r="L223" s="28">
        <f t="shared" si="69"/>
        <v>999</v>
      </c>
      <c r="M223" s="28">
        <f t="shared" si="70"/>
        <v>999</v>
      </c>
      <c r="N223" s="28">
        <f t="shared" si="71"/>
        <v>999</v>
      </c>
      <c r="O223" s="28"/>
      <c r="P223" s="29">
        <f t="shared" si="87"/>
        <v>0.21400000000000016</v>
      </c>
      <c r="Q223" s="33">
        <f t="shared" si="72"/>
        <v>6.7114093959731544</v>
      </c>
      <c r="R223" s="33">
        <f t="shared" si="73"/>
        <v>6.7114093959731544</v>
      </c>
      <c r="S223" s="33">
        <f t="shared" si="74"/>
        <v>-1</v>
      </c>
      <c r="T223" s="27"/>
      <c r="U223" s="28">
        <f t="shared" si="75"/>
        <v>0.10964912280701754</v>
      </c>
      <c r="V223" s="25">
        <f t="shared" si="76"/>
        <v>999</v>
      </c>
      <c r="W223" s="35">
        <f t="shared" si="88"/>
        <v>25</v>
      </c>
      <c r="X223" s="33">
        <f t="shared" si="77"/>
        <v>25</v>
      </c>
      <c r="Y223" s="32">
        <f t="shared" si="78"/>
        <v>-1</v>
      </c>
      <c r="Z223" s="32"/>
      <c r="AA223" s="30">
        <f t="shared" si="79"/>
        <v>5.8622106560745104</v>
      </c>
      <c r="AB223" s="28">
        <f t="shared" si="80"/>
        <v>0.43341054818966634</v>
      </c>
      <c r="AC223" s="28">
        <f t="shared" si="81"/>
        <v>0.10964912280701754</v>
      </c>
      <c r="AD223" s="29">
        <f t="shared" si="82"/>
        <v>203.03605313092982</v>
      </c>
      <c r="AE223" s="28">
        <f t="shared" si="83"/>
        <v>0.10964912280701754</v>
      </c>
      <c r="AF223" s="28">
        <f t="shared" si="84"/>
        <v>0.32376142538264879</v>
      </c>
      <c r="AG223" s="28">
        <f t="shared" si="85"/>
        <v>0</v>
      </c>
      <c r="AI223" s="31">
        <f t="shared" si="86"/>
        <v>-0.13626560877310692</v>
      </c>
      <c r="AJ223" s="25"/>
      <c r="AK223" s="31"/>
      <c r="AM223" s="27"/>
    </row>
    <row r="224" spans="4:39" x14ac:dyDescent="0.25">
      <c r="D224" s="25">
        <f>E224*'Profit per cycles Model'!$I$113</f>
        <v>2150</v>
      </c>
      <c r="E224" s="25">
        <v>5.8896041638131758</v>
      </c>
      <c r="F224" s="28">
        <f t="shared" si="67"/>
        <v>0.46511627906976744</v>
      </c>
      <c r="G224" s="28">
        <f>'Battery Pricing Model'!$C$17/D224</f>
        <v>0.46511627906976744</v>
      </c>
      <c r="H224" s="28">
        <f t="shared" si="68"/>
        <v>999</v>
      </c>
      <c r="I224" s="28"/>
      <c r="J224" s="34">
        <f>INDEX('Profit per cycles Model'!$I$149:$I$179, MATCH(TRUNC(E224, 0), 'Profit per cycles Model'!$H$149:$H$179, 0))</f>
        <v>0.43341054818966634</v>
      </c>
      <c r="K224" s="27">
        <f>AVERAGE($AB$10:AB224)</f>
        <v>0.40375278916687896</v>
      </c>
      <c r="L224" s="28">
        <f t="shared" si="69"/>
        <v>999</v>
      </c>
      <c r="M224" s="28">
        <f t="shared" si="70"/>
        <v>999</v>
      </c>
      <c r="N224" s="28">
        <f t="shared" si="71"/>
        <v>999</v>
      </c>
      <c r="O224" s="28"/>
      <c r="P224" s="29">
        <f t="shared" si="87"/>
        <v>0.21500000000000016</v>
      </c>
      <c r="Q224" s="33">
        <f t="shared" si="72"/>
        <v>6.7114093959731544</v>
      </c>
      <c r="R224" s="33">
        <f t="shared" si="73"/>
        <v>6.7114093959731544</v>
      </c>
      <c r="S224" s="33">
        <f t="shared" si="74"/>
        <v>-1</v>
      </c>
      <c r="T224" s="27"/>
      <c r="U224" s="28">
        <f t="shared" si="75"/>
        <v>0.10964912280701754</v>
      </c>
      <c r="V224" s="25">
        <f t="shared" si="76"/>
        <v>999</v>
      </c>
      <c r="W224" s="35">
        <f t="shared" si="88"/>
        <v>25</v>
      </c>
      <c r="X224" s="33">
        <f t="shared" si="77"/>
        <v>25</v>
      </c>
      <c r="Y224" s="32">
        <f t="shared" si="78"/>
        <v>-1</v>
      </c>
      <c r="Z224" s="32"/>
      <c r="AA224" s="30">
        <f t="shared" si="79"/>
        <v>5.8896041638131758</v>
      </c>
      <c r="AB224" s="28">
        <f t="shared" si="80"/>
        <v>0.43341054818966634</v>
      </c>
      <c r="AC224" s="28">
        <f t="shared" si="81"/>
        <v>0.10964912280701754</v>
      </c>
      <c r="AD224" s="29">
        <f t="shared" si="82"/>
        <v>203.98481973434534</v>
      </c>
      <c r="AE224" s="28">
        <f t="shared" si="83"/>
        <v>0.10964912280701754</v>
      </c>
      <c r="AF224" s="28">
        <f t="shared" si="84"/>
        <v>0.32376142538264879</v>
      </c>
      <c r="AG224" s="28">
        <f t="shared" si="85"/>
        <v>0</v>
      </c>
      <c r="AI224" s="31">
        <f t="shared" si="86"/>
        <v>-0.13193150329121023</v>
      </c>
      <c r="AJ224" s="25"/>
      <c r="AK224" s="31"/>
      <c r="AM224" s="27"/>
    </row>
    <row r="225" spans="4:39" x14ac:dyDescent="0.25">
      <c r="D225" s="25">
        <f>E225*'Profit per cycles Model'!$I$113</f>
        <v>2160</v>
      </c>
      <c r="E225" s="25">
        <v>5.916997671551842</v>
      </c>
      <c r="F225" s="28">
        <f t="shared" si="67"/>
        <v>0.46296296296296297</v>
      </c>
      <c r="G225" s="28">
        <f>'Battery Pricing Model'!$C$17/D225</f>
        <v>0.46296296296296297</v>
      </c>
      <c r="H225" s="28">
        <f t="shared" si="68"/>
        <v>999</v>
      </c>
      <c r="I225" s="28"/>
      <c r="J225" s="34">
        <f>INDEX('Profit per cycles Model'!$I$149:$I$179, MATCH(TRUNC(E225, 0), 'Profit per cycles Model'!$H$149:$H$179, 0))</f>
        <v>0.43341054818966634</v>
      </c>
      <c r="K225" s="27">
        <f>AVERAGE($AB$10:AB225)</f>
        <v>0.40389009360679928</v>
      </c>
      <c r="L225" s="28">
        <f t="shared" si="69"/>
        <v>999</v>
      </c>
      <c r="M225" s="28">
        <f t="shared" si="70"/>
        <v>999</v>
      </c>
      <c r="N225" s="28">
        <f t="shared" si="71"/>
        <v>999</v>
      </c>
      <c r="O225" s="28"/>
      <c r="P225" s="29">
        <f t="shared" si="87"/>
        <v>0.21600000000000016</v>
      </c>
      <c r="Q225" s="33">
        <f t="shared" si="72"/>
        <v>6.7114093959731544</v>
      </c>
      <c r="R225" s="33">
        <f t="shared" si="73"/>
        <v>6.7114093959731544</v>
      </c>
      <c r="S225" s="33">
        <f t="shared" si="74"/>
        <v>-1</v>
      </c>
      <c r="T225" s="27"/>
      <c r="U225" s="28">
        <f t="shared" si="75"/>
        <v>0.10964912280701754</v>
      </c>
      <c r="V225" s="25">
        <f t="shared" si="76"/>
        <v>999</v>
      </c>
      <c r="W225" s="35">
        <f t="shared" si="88"/>
        <v>25</v>
      </c>
      <c r="X225" s="33">
        <f t="shared" si="77"/>
        <v>25</v>
      </c>
      <c r="Y225" s="32">
        <f t="shared" si="78"/>
        <v>-1</v>
      </c>
      <c r="Z225" s="32"/>
      <c r="AA225" s="30">
        <f t="shared" si="79"/>
        <v>5.916997671551842</v>
      </c>
      <c r="AB225" s="28">
        <f t="shared" si="80"/>
        <v>0.43341054818966634</v>
      </c>
      <c r="AC225" s="28">
        <f t="shared" si="81"/>
        <v>0.10964912280701754</v>
      </c>
      <c r="AD225" s="29">
        <f t="shared" si="82"/>
        <v>204.93358633776091</v>
      </c>
      <c r="AE225" s="28">
        <f t="shared" si="83"/>
        <v>0.10964912280701754</v>
      </c>
      <c r="AF225" s="28">
        <f t="shared" si="84"/>
        <v>0.32376142538264879</v>
      </c>
      <c r="AG225" s="28">
        <f t="shared" si="85"/>
        <v>0</v>
      </c>
      <c r="AI225" s="31">
        <f t="shared" si="86"/>
        <v>-0.12759739780931356</v>
      </c>
      <c r="AJ225" s="25"/>
      <c r="AK225" s="31"/>
      <c r="AM225" s="27"/>
    </row>
    <row r="226" spans="4:39" x14ac:dyDescent="0.25">
      <c r="D226" s="25">
        <f>E226*'Profit per cycles Model'!$I$113</f>
        <v>2170</v>
      </c>
      <c r="E226" s="25">
        <v>5.9443911792905082</v>
      </c>
      <c r="F226" s="28">
        <f t="shared" si="67"/>
        <v>0.46082949308755761</v>
      </c>
      <c r="G226" s="28">
        <f>'Battery Pricing Model'!$C$17/D226</f>
        <v>0.46082949308755761</v>
      </c>
      <c r="H226" s="28">
        <f t="shared" si="68"/>
        <v>999</v>
      </c>
      <c r="I226" s="28"/>
      <c r="J226" s="34">
        <f>INDEX('Profit per cycles Model'!$I$149:$I$179, MATCH(TRUNC(E226, 0), 'Profit per cycles Model'!$H$149:$H$179, 0))</f>
        <v>0.43341054818966634</v>
      </c>
      <c r="K226" s="27">
        <f>AVERAGE($AB$10:AB226)</f>
        <v>0.40402613256801068</v>
      </c>
      <c r="L226" s="28">
        <f t="shared" si="69"/>
        <v>999</v>
      </c>
      <c r="M226" s="28">
        <f t="shared" si="70"/>
        <v>999</v>
      </c>
      <c r="N226" s="28">
        <f t="shared" si="71"/>
        <v>999</v>
      </c>
      <c r="O226" s="28"/>
      <c r="P226" s="29">
        <f t="shared" si="87"/>
        <v>0.21700000000000016</v>
      </c>
      <c r="Q226" s="33">
        <f t="shared" si="72"/>
        <v>6.7114093959731544</v>
      </c>
      <c r="R226" s="33">
        <f t="shared" si="73"/>
        <v>6.7114093959731544</v>
      </c>
      <c r="S226" s="33">
        <f t="shared" si="74"/>
        <v>-1</v>
      </c>
      <c r="T226" s="27"/>
      <c r="U226" s="28">
        <f t="shared" si="75"/>
        <v>0.10964912280701754</v>
      </c>
      <c r="V226" s="25">
        <f t="shared" si="76"/>
        <v>999</v>
      </c>
      <c r="W226" s="35">
        <f t="shared" si="88"/>
        <v>25</v>
      </c>
      <c r="X226" s="33">
        <f t="shared" si="77"/>
        <v>25</v>
      </c>
      <c r="Y226" s="32">
        <f t="shared" si="78"/>
        <v>-1</v>
      </c>
      <c r="Z226" s="32"/>
      <c r="AA226" s="30">
        <f t="shared" si="79"/>
        <v>5.9443911792905082</v>
      </c>
      <c r="AB226" s="28">
        <f t="shared" si="80"/>
        <v>0.43341054818966634</v>
      </c>
      <c r="AC226" s="28">
        <f t="shared" si="81"/>
        <v>0.10964912280701754</v>
      </c>
      <c r="AD226" s="29">
        <f t="shared" si="82"/>
        <v>205.88235294117649</v>
      </c>
      <c r="AE226" s="28">
        <f t="shared" si="83"/>
        <v>0.10964912280701754</v>
      </c>
      <c r="AF226" s="28">
        <f t="shared" si="84"/>
        <v>0.32376142538264879</v>
      </c>
      <c r="AG226" s="28">
        <f t="shared" si="85"/>
        <v>0</v>
      </c>
      <c r="AI226" s="31">
        <f t="shared" si="86"/>
        <v>-0.12326329232741684</v>
      </c>
      <c r="AJ226" s="25"/>
      <c r="AK226" s="31"/>
      <c r="AM226" s="27"/>
    </row>
    <row r="227" spans="4:39" x14ac:dyDescent="0.25">
      <c r="D227" s="25">
        <f>E227*'Profit per cycles Model'!$I$113</f>
        <v>2180</v>
      </c>
      <c r="E227" s="25">
        <v>5.9717846870291735</v>
      </c>
      <c r="F227" s="28">
        <f t="shared" si="67"/>
        <v>0.45871559633027525</v>
      </c>
      <c r="G227" s="28">
        <f>'Battery Pricing Model'!$C$17/D227</f>
        <v>0.45871559633027525</v>
      </c>
      <c r="H227" s="28">
        <f t="shared" si="68"/>
        <v>999</v>
      </c>
      <c r="I227" s="28"/>
      <c r="J227" s="34">
        <f>INDEX('Profit per cycles Model'!$I$149:$I$179, MATCH(TRUNC(E227, 0), 'Profit per cycles Model'!$H$149:$H$179, 0))</f>
        <v>0.43341054818966634</v>
      </c>
      <c r="K227" s="27">
        <f>AVERAGE($AB$10:AB227)</f>
        <v>0.4041609234653577</v>
      </c>
      <c r="L227" s="28">
        <f t="shared" si="69"/>
        <v>999</v>
      </c>
      <c r="M227" s="28">
        <f t="shared" si="70"/>
        <v>999</v>
      </c>
      <c r="N227" s="28">
        <f t="shared" si="71"/>
        <v>999</v>
      </c>
      <c r="O227" s="28"/>
      <c r="P227" s="29">
        <f t="shared" si="87"/>
        <v>0.21800000000000017</v>
      </c>
      <c r="Q227" s="33">
        <f t="shared" si="72"/>
        <v>6.7114093959731544</v>
      </c>
      <c r="R227" s="33">
        <f t="shared" si="73"/>
        <v>6.7114093959731544</v>
      </c>
      <c r="S227" s="33">
        <f t="shared" si="74"/>
        <v>-1</v>
      </c>
      <c r="T227" s="27"/>
      <c r="U227" s="28">
        <f t="shared" si="75"/>
        <v>0.10964912280701754</v>
      </c>
      <c r="V227" s="25">
        <f t="shared" si="76"/>
        <v>999</v>
      </c>
      <c r="W227" s="35">
        <f t="shared" si="88"/>
        <v>25</v>
      </c>
      <c r="X227" s="33">
        <f t="shared" si="77"/>
        <v>25</v>
      </c>
      <c r="Y227" s="32">
        <f t="shared" si="78"/>
        <v>-1</v>
      </c>
      <c r="Z227" s="32"/>
      <c r="AA227" s="30">
        <f t="shared" si="79"/>
        <v>5.9717846870291735</v>
      </c>
      <c r="AB227" s="28">
        <f t="shared" si="80"/>
        <v>0.43341054818966634</v>
      </c>
      <c r="AC227" s="28">
        <f t="shared" si="81"/>
        <v>0.10964912280701754</v>
      </c>
      <c r="AD227" s="29">
        <f t="shared" si="82"/>
        <v>206.83111954459201</v>
      </c>
      <c r="AE227" s="28">
        <f t="shared" si="83"/>
        <v>0.10964912280701754</v>
      </c>
      <c r="AF227" s="28">
        <f t="shared" si="84"/>
        <v>0.32376142538264879</v>
      </c>
      <c r="AG227" s="28">
        <f t="shared" si="85"/>
        <v>0</v>
      </c>
      <c r="AI227" s="31">
        <f t="shared" si="86"/>
        <v>-0.11892918684552026</v>
      </c>
      <c r="AJ227" s="25"/>
      <c r="AK227" s="31"/>
      <c r="AM227" s="27"/>
    </row>
    <row r="228" spans="4:39" x14ac:dyDescent="0.25">
      <c r="D228" s="25">
        <f>E228*'Profit per cycles Model'!$I$113</f>
        <v>2190</v>
      </c>
      <c r="E228" s="25">
        <v>5.9991781947678398</v>
      </c>
      <c r="F228" s="28">
        <f t="shared" si="67"/>
        <v>0.45662100456621002</v>
      </c>
      <c r="G228" s="28">
        <f>'Battery Pricing Model'!$C$17/D228</f>
        <v>0.45662100456621002</v>
      </c>
      <c r="H228" s="28">
        <f t="shared" si="68"/>
        <v>999</v>
      </c>
      <c r="I228" s="28"/>
      <c r="J228" s="34">
        <f>INDEX('Profit per cycles Model'!$I$149:$I$179, MATCH(TRUNC(E228, 0), 'Profit per cycles Model'!$H$149:$H$179, 0))</f>
        <v>0.43341054818966634</v>
      </c>
      <c r="K228" s="27">
        <f>AVERAGE($AB$10:AB228)</f>
        <v>0.40429448339560575</v>
      </c>
      <c r="L228" s="28">
        <f t="shared" si="69"/>
        <v>999</v>
      </c>
      <c r="M228" s="28">
        <f t="shared" si="70"/>
        <v>999</v>
      </c>
      <c r="N228" s="28">
        <f t="shared" si="71"/>
        <v>999</v>
      </c>
      <c r="O228" s="28"/>
      <c r="P228" s="29">
        <f t="shared" si="87"/>
        <v>0.21900000000000017</v>
      </c>
      <c r="Q228" s="33">
        <f t="shared" si="72"/>
        <v>6.7114093959731544</v>
      </c>
      <c r="R228" s="33">
        <f t="shared" si="73"/>
        <v>6.7114093959731544</v>
      </c>
      <c r="S228" s="33">
        <f t="shared" si="74"/>
        <v>-1</v>
      </c>
      <c r="T228" s="27"/>
      <c r="U228" s="28">
        <f t="shared" si="75"/>
        <v>0.10964912280701754</v>
      </c>
      <c r="V228" s="25">
        <f t="shared" si="76"/>
        <v>999</v>
      </c>
      <c r="W228" s="35">
        <f t="shared" si="88"/>
        <v>25</v>
      </c>
      <c r="X228" s="33">
        <f t="shared" si="77"/>
        <v>25</v>
      </c>
      <c r="Y228" s="32">
        <f t="shared" si="78"/>
        <v>-1</v>
      </c>
      <c r="Z228" s="32"/>
      <c r="AA228" s="30">
        <f t="shared" si="79"/>
        <v>5.9991781947678398</v>
      </c>
      <c r="AB228" s="28">
        <f t="shared" si="80"/>
        <v>0.43341054818966634</v>
      </c>
      <c r="AC228" s="28">
        <f t="shared" si="81"/>
        <v>0.10964912280701754</v>
      </c>
      <c r="AD228" s="29">
        <f t="shared" si="82"/>
        <v>207.77988614800759</v>
      </c>
      <c r="AE228" s="28">
        <f t="shared" si="83"/>
        <v>0.10964912280701754</v>
      </c>
      <c r="AF228" s="28">
        <f t="shared" si="84"/>
        <v>0.32376142538264879</v>
      </c>
      <c r="AG228" s="28">
        <f t="shared" si="85"/>
        <v>0</v>
      </c>
      <c r="AI228" s="31">
        <f t="shared" si="86"/>
        <v>-0.11459508136362336</v>
      </c>
      <c r="AJ228" s="25"/>
      <c r="AK228" s="31"/>
      <c r="AM228" s="27"/>
    </row>
    <row r="229" spans="4:39" x14ac:dyDescent="0.25">
      <c r="D229" s="25">
        <f>E229*'Profit per cycles Model'!$I$113</f>
        <v>2200</v>
      </c>
      <c r="E229" s="25">
        <v>6.026571702506506</v>
      </c>
      <c r="F229" s="28">
        <f t="shared" si="67"/>
        <v>0.45454545454545453</v>
      </c>
      <c r="G229" s="28">
        <f>'Battery Pricing Model'!$C$17/D229</f>
        <v>0.45454545454545453</v>
      </c>
      <c r="H229" s="28">
        <f t="shared" si="68"/>
        <v>999</v>
      </c>
      <c r="I229" s="28"/>
      <c r="J229" s="34">
        <f>INDEX('Profit per cycles Model'!$I$149:$I$179, MATCH(TRUNC(E229, 0), 'Profit per cycles Model'!$H$149:$H$179, 0))</f>
        <v>0.44577522365911387</v>
      </c>
      <c r="K229" s="27">
        <f>AVERAGE($AB$10:AB229)</f>
        <v>0.40448303221498533</v>
      </c>
      <c r="L229" s="28">
        <f t="shared" si="69"/>
        <v>999</v>
      </c>
      <c r="M229" s="28">
        <f t="shared" si="70"/>
        <v>999</v>
      </c>
      <c r="N229" s="28">
        <f t="shared" si="71"/>
        <v>999</v>
      </c>
      <c r="O229" s="28"/>
      <c r="P229" s="29">
        <f t="shared" si="87"/>
        <v>0.22000000000000017</v>
      </c>
      <c r="Q229" s="33">
        <f t="shared" si="72"/>
        <v>6.7114093959731544</v>
      </c>
      <c r="R229" s="33">
        <f t="shared" si="73"/>
        <v>6.7114093959731544</v>
      </c>
      <c r="S229" s="33">
        <f t="shared" si="74"/>
        <v>-1</v>
      </c>
      <c r="T229" s="27"/>
      <c r="U229" s="28">
        <f t="shared" si="75"/>
        <v>0.10964912280701754</v>
      </c>
      <c r="V229" s="25">
        <f t="shared" si="76"/>
        <v>999</v>
      </c>
      <c r="W229" s="35">
        <f t="shared" si="88"/>
        <v>25</v>
      </c>
      <c r="X229" s="33">
        <f t="shared" si="77"/>
        <v>25</v>
      </c>
      <c r="Y229" s="32">
        <f t="shared" si="78"/>
        <v>-1</v>
      </c>
      <c r="Z229" s="32"/>
      <c r="AA229" s="30">
        <f t="shared" si="79"/>
        <v>6.026571702506506</v>
      </c>
      <c r="AB229" s="28">
        <f t="shared" si="80"/>
        <v>0.44577522365911387</v>
      </c>
      <c r="AC229" s="28">
        <f t="shared" si="81"/>
        <v>0.10964912280701754</v>
      </c>
      <c r="AD229" s="29">
        <f t="shared" si="82"/>
        <v>208.72865275142317</v>
      </c>
      <c r="AE229" s="28">
        <f t="shared" si="83"/>
        <v>0.10964912280701754</v>
      </c>
      <c r="AF229" s="28">
        <f t="shared" si="84"/>
        <v>0.33612610085209632</v>
      </c>
      <c r="AG229" s="28">
        <f t="shared" si="85"/>
        <v>0</v>
      </c>
      <c r="AI229" s="31">
        <f t="shared" si="86"/>
        <v>-0.11013732912703225</v>
      </c>
      <c r="AJ229" s="25"/>
      <c r="AK229" s="31"/>
      <c r="AM229" s="27"/>
    </row>
    <row r="230" spans="4:39" x14ac:dyDescent="0.25">
      <c r="D230" s="25">
        <f>E230*'Profit per cycles Model'!$I$113</f>
        <v>2210</v>
      </c>
      <c r="E230" s="25">
        <v>6.0539652102451713</v>
      </c>
      <c r="F230" s="28">
        <f t="shared" si="67"/>
        <v>0.45248868778280543</v>
      </c>
      <c r="G230" s="28">
        <f>'Battery Pricing Model'!$C$17/D230</f>
        <v>0.45248868778280543</v>
      </c>
      <c r="H230" s="28">
        <f t="shared" si="68"/>
        <v>999</v>
      </c>
      <c r="I230" s="28"/>
      <c r="J230" s="34">
        <f>INDEX('Profit per cycles Model'!$I$149:$I$179, MATCH(TRUNC(E230, 0), 'Profit per cycles Model'!$H$149:$H$179, 0))</f>
        <v>0.44577522365911387</v>
      </c>
      <c r="K230" s="27">
        <f>AVERAGE($AB$10:AB230)</f>
        <v>0.4046698747102076</v>
      </c>
      <c r="L230" s="28">
        <f t="shared" si="69"/>
        <v>999</v>
      </c>
      <c r="M230" s="28">
        <f t="shared" si="70"/>
        <v>999</v>
      </c>
      <c r="N230" s="28">
        <f t="shared" si="71"/>
        <v>999</v>
      </c>
      <c r="O230" s="28"/>
      <c r="P230" s="29">
        <f t="shared" si="87"/>
        <v>0.22100000000000017</v>
      </c>
      <c r="Q230" s="33">
        <f t="shared" si="72"/>
        <v>6.7114093959731544</v>
      </c>
      <c r="R230" s="33">
        <f t="shared" si="73"/>
        <v>6.7114093959731544</v>
      </c>
      <c r="S230" s="33">
        <f t="shared" si="74"/>
        <v>-1</v>
      </c>
      <c r="T230" s="27"/>
      <c r="U230" s="28">
        <f t="shared" si="75"/>
        <v>0.10964912280701754</v>
      </c>
      <c r="V230" s="25">
        <f t="shared" si="76"/>
        <v>999</v>
      </c>
      <c r="W230" s="35">
        <f t="shared" si="88"/>
        <v>25</v>
      </c>
      <c r="X230" s="33">
        <f t="shared" si="77"/>
        <v>25</v>
      </c>
      <c r="Y230" s="32">
        <f t="shared" si="78"/>
        <v>-1</v>
      </c>
      <c r="Z230" s="32"/>
      <c r="AA230" s="30">
        <f t="shared" si="79"/>
        <v>6.0539652102451713</v>
      </c>
      <c r="AB230" s="28">
        <f t="shared" si="80"/>
        <v>0.44577522365911387</v>
      </c>
      <c r="AC230" s="28">
        <f t="shared" si="81"/>
        <v>0.10964912280701754</v>
      </c>
      <c r="AD230" s="29">
        <f t="shared" si="82"/>
        <v>209.67741935483869</v>
      </c>
      <c r="AE230" s="28">
        <f t="shared" si="83"/>
        <v>0.10964912280701754</v>
      </c>
      <c r="AF230" s="28">
        <f t="shared" si="84"/>
        <v>0.33612610085209632</v>
      </c>
      <c r="AG230" s="28">
        <f t="shared" si="85"/>
        <v>0</v>
      </c>
      <c r="AI230" s="31">
        <f t="shared" si="86"/>
        <v>-0.1056795768904412</v>
      </c>
      <c r="AJ230" s="25"/>
      <c r="AK230" s="31"/>
      <c r="AM230" s="27"/>
    </row>
    <row r="231" spans="4:39" x14ac:dyDescent="0.25">
      <c r="D231" s="25">
        <f>E231*'Profit per cycles Model'!$I$113</f>
        <v>2220</v>
      </c>
      <c r="E231" s="25">
        <v>6.0813587179838375</v>
      </c>
      <c r="F231" s="28">
        <f t="shared" si="67"/>
        <v>0.45045045045045046</v>
      </c>
      <c r="G231" s="28">
        <f>'Battery Pricing Model'!$C$17/D231</f>
        <v>0.45045045045045046</v>
      </c>
      <c r="H231" s="28">
        <f t="shared" si="68"/>
        <v>999</v>
      </c>
      <c r="I231" s="28"/>
      <c r="J231" s="34">
        <f>INDEX('Profit per cycles Model'!$I$149:$I$179, MATCH(TRUNC(E231, 0), 'Profit per cycles Model'!$H$149:$H$179, 0))</f>
        <v>0.44577522365911387</v>
      </c>
      <c r="K231" s="27">
        <f>AVERAGE($AB$10:AB231)</f>
        <v>0.40485503393970718</v>
      </c>
      <c r="L231" s="28">
        <f t="shared" si="69"/>
        <v>999</v>
      </c>
      <c r="M231" s="28">
        <f t="shared" si="70"/>
        <v>999</v>
      </c>
      <c r="N231" s="28">
        <f t="shared" si="71"/>
        <v>999</v>
      </c>
      <c r="O231" s="28"/>
      <c r="P231" s="29">
        <f t="shared" si="87"/>
        <v>0.22200000000000017</v>
      </c>
      <c r="Q231" s="33">
        <f t="shared" si="72"/>
        <v>6.7114093959731544</v>
      </c>
      <c r="R231" s="33">
        <f t="shared" si="73"/>
        <v>6.7114093959731544</v>
      </c>
      <c r="S231" s="33">
        <f t="shared" si="74"/>
        <v>-1</v>
      </c>
      <c r="T231" s="27"/>
      <c r="U231" s="28">
        <f t="shared" si="75"/>
        <v>0.10964912280701754</v>
      </c>
      <c r="V231" s="25">
        <f t="shared" si="76"/>
        <v>999</v>
      </c>
      <c r="W231" s="35">
        <f t="shared" si="88"/>
        <v>25</v>
      </c>
      <c r="X231" s="33">
        <f t="shared" si="77"/>
        <v>25</v>
      </c>
      <c r="Y231" s="32">
        <f t="shared" si="78"/>
        <v>-1</v>
      </c>
      <c r="Z231" s="32"/>
      <c r="AA231" s="30">
        <f t="shared" si="79"/>
        <v>6.0813587179838375</v>
      </c>
      <c r="AB231" s="28">
        <f t="shared" si="80"/>
        <v>0.44577522365911387</v>
      </c>
      <c r="AC231" s="28">
        <f t="shared" si="81"/>
        <v>0.10964912280701754</v>
      </c>
      <c r="AD231" s="29">
        <f t="shared" si="82"/>
        <v>210.62618595825427</v>
      </c>
      <c r="AE231" s="28">
        <f t="shared" si="83"/>
        <v>0.10964912280701754</v>
      </c>
      <c r="AF231" s="28">
        <f t="shared" si="84"/>
        <v>0.33612610085209632</v>
      </c>
      <c r="AG231" s="28">
        <f t="shared" si="85"/>
        <v>0</v>
      </c>
      <c r="AI231" s="31">
        <f t="shared" si="86"/>
        <v>-0.10122182465385009</v>
      </c>
      <c r="AJ231" s="25"/>
      <c r="AK231" s="31"/>
      <c r="AM231" s="27"/>
    </row>
    <row r="232" spans="4:39" x14ac:dyDescent="0.25">
      <c r="D232" s="25">
        <f>E232*'Profit per cycles Model'!$I$113</f>
        <v>2230</v>
      </c>
      <c r="E232" s="25">
        <v>6.1087522257225038</v>
      </c>
      <c r="F232" s="28">
        <f t="shared" si="67"/>
        <v>0.44843049327354262</v>
      </c>
      <c r="G232" s="28">
        <f>'Battery Pricing Model'!$C$17/D232</f>
        <v>0.44843049327354262</v>
      </c>
      <c r="H232" s="28">
        <f t="shared" si="68"/>
        <v>999</v>
      </c>
      <c r="I232" s="28"/>
      <c r="J232" s="34">
        <f>INDEX('Profit per cycles Model'!$I$149:$I$179, MATCH(TRUNC(E232, 0), 'Profit per cycles Model'!$H$149:$H$179, 0))</f>
        <v>0.44577522365911387</v>
      </c>
      <c r="K232" s="27">
        <f>AVERAGE($AB$10:AB232)</f>
        <v>0.40503853254831435</v>
      </c>
      <c r="L232" s="28">
        <f t="shared" si="69"/>
        <v>999</v>
      </c>
      <c r="M232" s="28">
        <f t="shared" si="70"/>
        <v>999</v>
      </c>
      <c r="N232" s="28">
        <f t="shared" si="71"/>
        <v>999</v>
      </c>
      <c r="O232" s="28"/>
      <c r="P232" s="29">
        <f t="shared" si="87"/>
        <v>0.22300000000000017</v>
      </c>
      <c r="Q232" s="33">
        <f t="shared" si="72"/>
        <v>6.7114093959731544</v>
      </c>
      <c r="R232" s="33">
        <f t="shared" si="73"/>
        <v>6.7114093959731544</v>
      </c>
      <c r="S232" s="33">
        <f t="shared" si="74"/>
        <v>-1</v>
      </c>
      <c r="T232" s="27"/>
      <c r="U232" s="28">
        <f t="shared" si="75"/>
        <v>0.10964912280701754</v>
      </c>
      <c r="V232" s="25">
        <f t="shared" si="76"/>
        <v>999</v>
      </c>
      <c r="W232" s="35">
        <f t="shared" si="88"/>
        <v>25</v>
      </c>
      <c r="X232" s="33">
        <f t="shared" si="77"/>
        <v>25</v>
      </c>
      <c r="Y232" s="32">
        <f t="shared" si="78"/>
        <v>-1</v>
      </c>
      <c r="Z232" s="32"/>
      <c r="AA232" s="30">
        <f t="shared" si="79"/>
        <v>6.1087522257225038</v>
      </c>
      <c r="AB232" s="28">
        <f t="shared" si="80"/>
        <v>0.44577522365911387</v>
      </c>
      <c r="AC232" s="28">
        <f t="shared" si="81"/>
        <v>0.10964912280701754</v>
      </c>
      <c r="AD232" s="29">
        <f t="shared" si="82"/>
        <v>211.57495256166985</v>
      </c>
      <c r="AE232" s="28">
        <f t="shared" si="83"/>
        <v>0.10964912280701754</v>
      </c>
      <c r="AF232" s="28">
        <f t="shared" si="84"/>
        <v>0.33612610085209632</v>
      </c>
      <c r="AG232" s="28">
        <f t="shared" si="85"/>
        <v>0</v>
      </c>
      <c r="AI232" s="31">
        <f t="shared" si="86"/>
        <v>-9.6764072417259039E-2</v>
      </c>
      <c r="AJ232" s="25"/>
      <c r="AK232" s="31"/>
      <c r="AM232" s="27"/>
    </row>
    <row r="233" spans="4:39" x14ac:dyDescent="0.25">
      <c r="D233" s="25">
        <f>E233*'Profit per cycles Model'!$I$113</f>
        <v>2240</v>
      </c>
      <c r="E233" s="25">
        <v>6.1361457334611691</v>
      </c>
      <c r="F233" s="28">
        <f t="shared" si="67"/>
        <v>0.44642857142857145</v>
      </c>
      <c r="G233" s="28">
        <f>'Battery Pricing Model'!$C$17/D233</f>
        <v>0.44642857142857145</v>
      </c>
      <c r="H233" s="28">
        <f t="shared" si="68"/>
        <v>999</v>
      </c>
      <c r="I233" s="28"/>
      <c r="J233" s="34">
        <f>INDEX('Profit per cycles Model'!$I$149:$I$179, MATCH(TRUNC(E233, 0), 'Profit per cycles Model'!$H$149:$H$179, 0))</f>
        <v>0.44577522365911387</v>
      </c>
      <c r="K233" s="27">
        <f>AVERAGE($AB$10:AB233)</f>
        <v>0.40522039277648758</v>
      </c>
      <c r="L233" s="28">
        <f t="shared" si="69"/>
        <v>999</v>
      </c>
      <c r="M233" s="28">
        <f t="shared" si="70"/>
        <v>999</v>
      </c>
      <c r="N233" s="28">
        <f t="shared" si="71"/>
        <v>999</v>
      </c>
      <c r="O233" s="28"/>
      <c r="P233" s="29">
        <f t="shared" si="87"/>
        <v>0.22400000000000017</v>
      </c>
      <c r="Q233" s="33">
        <f t="shared" si="72"/>
        <v>6.7114093959731544</v>
      </c>
      <c r="R233" s="33">
        <f t="shared" si="73"/>
        <v>6.7114093959731544</v>
      </c>
      <c r="S233" s="33">
        <f t="shared" si="74"/>
        <v>-1</v>
      </c>
      <c r="T233" s="27"/>
      <c r="U233" s="28">
        <f t="shared" si="75"/>
        <v>0.10964912280701754</v>
      </c>
      <c r="V233" s="25">
        <f t="shared" si="76"/>
        <v>999</v>
      </c>
      <c r="W233" s="35">
        <f t="shared" si="88"/>
        <v>25</v>
      </c>
      <c r="X233" s="33">
        <f t="shared" si="77"/>
        <v>25</v>
      </c>
      <c r="Y233" s="32">
        <f t="shared" si="78"/>
        <v>-1</v>
      </c>
      <c r="Z233" s="32"/>
      <c r="AA233" s="30">
        <f t="shared" si="79"/>
        <v>6.1361457334611691</v>
      </c>
      <c r="AB233" s="28">
        <f t="shared" si="80"/>
        <v>0.44577522365911387</v>
      </c>
      <c r="AC233" s="28">
        <f t="shared" si="81"/>
        <v>0.10964912280701754</v>
      </c>
      <c r="AD233" s="29">
        <f t="shared" si="82"/>
        <v>212.52371916508537</v>
      </c>
      <c r="AE233" s="28">
        <f t="shared" si="83"/>
        <v>0.10964912280701754</v>
      </c>
      <c r="AF233" s="28">
        <f t="shared" si="84"/>
        <v>0.33612610085209632</v>
      </c>
      <c r="AG233" s="28">
        <f t="shared" si="85"/>
        <v>0</v>
      </c>
      <c r="AI233" s="31">
        <f t="shared" si="86"/>
        <v>-9.2306320180667867E-2</v>
      </c>
      <c r="AJ233" s="25"/>
      <c r="AK233" s="31"/>
      <c r="AM233" s="27"/>
    </row>
    <row r="234" spans="4:39" x14ac:dyDescent="0.25">
      <c r="D234" s="25">
        <f>E234*'Profit per cycles Model'!$I$113</f>
        <v>2250</v>
      </c>
      <c r="E234" s="25">
        <v>6.1635392411998353</v>
      </c>
      <c r="F234" s="28">
        <f t="shared" si="67"/>
        <v>0.44444444444444442</v>
      </c>
      <c r="G234" s="28">
        <f>'Battery Pricing Model'!$C$17/D234</f>
        <v>0.44444444444444442</v>
      </c>
      <c r="H234" s="28">
        <f t="shared" si="68"/>
        <v>999</v>
      </c>
      <c r="I234" s="28"/>
      <c r="J234" s="34">
        <f>INDEX('Profit per cycles Model'!$I$149:$I$179, MATCH(TRUNC(E234, 0), 'Profit per cycles Model'!$H$149:$H$179, 0))</f>
        <v>0.44577522365911387</v>
      </c>
      <c r="K234" s="27">
        <f>AVERAGE($AB$10:AB234)</f>
        <v>0.40540063646929925</v>
      </c>
      <c r="L234" s="28">
        <f t="shared" si="69"/>
        <v>999</v>
      </c>
      <c r="M234" s="28">
        <f t="shared" si="70"/>
        <v>999</v>
      </c>
      <c r="N234" s="28">
        <f t="shared" si="71"/>
        <v>999</v>
      </c>
      <c r="O234" s="28"/>
      <c r="P234" s="29">
        <f t="shared" si="87"/>
        <v>0.22500000000000017</v>
      </c>
      <c r="Q234" s="33">
        <f t="shared" si="72"/>
        <v>6.7114093959731544</v>
      </c>
      <c r="R234" s="33">
        <f t="shared" si="73"/>
        <v>6.7114093959731544</v>
      </c>
      <c r="S234" s="33">
        <f t="shared" si="74"/>
        <v>-1</v>
      </c>
      <c r="T234" s="27"/>
      <c r="U234" s="28">
        <f t="shared" si="75"/>
        <v>0.10964912280701754</v>
      </c>
      <c r="V234" s="25">
        <f t="shared" si="76"/>
        <v>999</v>
      </c>
      <c r="W234" s="35">
        <f t="shared" si="88"/>
        <v>25</v>
      </c>
      <c r="X234" s="33">
        <f t="shared" si="77"/>
        <v>25</v>
      </c>
      <c r="Y234" s="32">
        <f t="shared" si="78"/>
        <v>-1</v>
      </c>
      <c r="Z234" s="32"/>
      <c r="AA234" s="30">
        <f t="shared" si="79"/>
        <v>6.1635392411998353</v>
      </c>
      <c r="AB234" s="28">
        <f t="shared" si="80"/>
        <v>0.44577522365911387</v>
      </c>
      <c r="AC234" s="28">
        <f t="shared" si="81"/>
        <v>0.10964912280701754</v>
      </c>
      <c r="AD234" s="29">
        <f t="shared" si="82"/>
        <v>213.47248576850095</v>
      </c>
      <c r="AE234" s="28">
        <f t="shared" si="83"/>
        <v>0.10964912280701754</v>
      </c>
      <c r="AF234" s="28">
        <f t="shared" si="84"/>
        <v>0.33612610085209632</v>
      </c>
      <c r="AG234" s="28">
        <f t="shared" si="85"/>
        <v>0</v>
      </c>
      <c r="AI234" s="31">
        <f t="shared" si="86"/>
        <v>-8.7848567944076639E-2</v>
      </c>
      <c r="AJ234" s="25"/>
      <c r="AK234" s="31"/>
      <c r="AM234" s="27"/>
    </row>
    <row r="235" spans="4:39" x14ac:dyDescent="0.25">
      <c r="D235" s="25">
        <f>E235*'Profit per cycles Model'!$I$113</f>
        <v>2260</v>
      </c>
      <c r="E235" s="25">
        <v>6.1909327489385015</v>
      </c>
      <c r="F235" s="28">
        <f t="shared" si="67"/>
        <v>0.44247787610619471</v>
      </c>
      <c r="G235" s="28">
        <f>'Battery Pricing Model'!$C$17/D235</f>
        <v>0.44247787610619471</v>
      </c>
      <c r="H235" s="28">
        <f t="shared" si="68"/>
        <v>999</v>
      </c>
      <c r="I235" s="28"/>
      <c r="J235" s="34">
        <f>INDEX('Profit per cycles Model'!$I$149:$I$179, MATCH(TRUNC(E235, 0), 'Profit per cycles Model'!$H$149:$H$179, 0))</f>
        <v>0.44577522365911387</v>
      </c>
      <c r="K235" s="27">
        <f>AVERAGE($AB$10:AB235)</f>
        <v>0.40557928508518337</v>
      </c>
      <c r="L235" s="28">
        <f t="shared" si="69"/>
        <v>999</v>
      </c>
      <c r="M235" s="28">
        <f t="shared" si="70"/>
        <v>999</v>
      </c>
      <c r="N235" s="28">
        <f t="shared" si="71"/>
        <v>999</v>
      </c>
      <c r="O235" s="28"/>
      <c r="P235" s="29">
        <f t="shared" si="87"/>
        <v>0.22600000000000017</v>
      </c>
      <c r="Q235" s="33">
        <f t="shared" si="72"/>
        <v>6.7114093959731544</v>
      </c>
      <c r="R235" s="33">
        <f t="shared" si="73"/>
        <v>6.7114093959731544</v>
      </c>
      <c r="S235" s="33">
        <f t="shared" si="74"/>
        <v>-1</v>
      </c>
      <c r="T235" s="27"/>
      <c r="U235" s="28">
        <f t="shared" si="75"/>
        <v>0.10964912280701754</v>
      </c>
      <c r="V235" s="25">
        <f t="shared" si="76"/>
        <v>999</v>
      </c>
      <c r="W235" s="35">
        <f t="shared" si="88"/>
        <v>25</v>
      </c>
      <c r="X235" s="33">
        <f t="shared" si="77"/>
        <v>25</v>
      </c>
      <c r="Y235" s="32">
        <f t="shared" si="78"/>
        <v>-1</v>
      </c>
      <c r="Z235" s="32"/>
      <c r="AA235" s="30">
        <f t="shared" si="79"/>
        <v>6.1909327489385015</v>
      </c>
      <c r="AB235" s="28">
        <f t="shared" si="80"/>
        <v>0.44577522365911387</v>
      </c>
      <c r="AC235" s="28">
        <f t="shared" si="81"/>
        <v>0.10964912280701754</v>
      </c>
      <c r="AD235" s="29">
        <f t="shared" si="82"/>
        <v>214.42125237191652</v>
      </c>
      <c r="AE235" s="28">
        <f t="shared" si="83"/>
        <v>0.10964912280701754</v>
      </c>
      <c r="AF235" s="28">
        <f t="shared" si="84"/>
        <v>0.33612610085209632</v>
      </c>
      <c r="AG235" s="28">
        <f t="shared" si="85"/>
        <v>0</v>
      </c>
      <c r="AI235" s="31">
        <f t="shared" si="86"/>
        <v>-8.3390815707485619E-2</v>
      </c>
      <c r="AJ235" s="25"/>
      <c r="AK235" s="31"/>
      <c r="AM235" s="27"/>
    </row>
    <row r="236" spans="4:39" x14ac:dyDescent="0.25">
      <c r="D236" s="25">
        <f>E236*'Profit per cycles Model'!$I$113</f>
        <v>2270</v>
      </c>
      <c r="E236" s="25">
        <v>6.2183262566771669</v>
      </c>
      <c r="F236" s="28">
        <f t="shared" si="67"/>
        <v>0.44052863436123346</v>
      </c>
      <c r="G236" s="28">
        <f>'Battery Pricing Model'!$C$17/D236</f>
        <v>0.44052863436123346</v>
      </c>
      <c r="H236" s="28">
        <f t="shared" si="68"/>
        <v>999</v>
      </c>
      <c r="I236" s="28"/>
      <c r="J236" s="34">
        <f>INDEX('Profit per cycles Model'!$I$149:$I$179, MATCH(TRUNC(E236, 0), 'Profit per cycles Model'!$H$149:$H$179, 0))</f>
        <v>0.44577522365911387</v>
      </c>
      <c r="K236" s="27">
        <f>AVERAGE($AB$10:AB236)</f>
        <v>0.40575635970445179</v>
      </c>
      <c r="L236" s="28">
        <f t="shared" si="69"/>
        <v>999</v>
      </c>
      <c r="M236" s="28">
        <f t="shared" si="70"/>
        <v>999</v>
      </c>
      <c r="N236" s="28">
        <f t="shared" si="71"/>
        <v>999</v>
      </c>
      <c r="O236" s="28"/>
      <c r="P236" s="29">
        <f t="shared" si="87"/>
        <v>0.22700000000000017</v>
      </c>
      <c r="Q236" s="33">
        <f t="shared" si="72"/>
        <v>6.7114093959731544</v>
      </c>
      <c r="R236" s="33">
        <f t="shared" si="73"/>
        <v>6.7114093959731544</v>
      </c>
      <c r="S236" s="33">
        <f t="shared" si="74"/>
        <v>-1</v>
      </c>
      <c r="T236" s="27"/>
      <c r="U236" s="28">
        <f t="shared" si="75"/>
        <v>0.10964912280701754</v>
      </c>
      <c r="V236" s="25">
        <f t="shared" si="76"/>
        <v>999</v>
      </c>
      <c r="W236" s="35">
        <f t="shared" si="88"/>
        <v>25</v>
      </c>
      <c r="X236" s="33">
        <f t="shared" si="77"/>
        <v>25</v>
      </c>
      <c r="Y236" s="32">
        <f t="shared" si="78"/>
        <v>-1</v>
      </c>
      <c r="Z236" s="32"/>
      <c r="AA236" s="30">
        <f t="shared" si="79"/>
        <v>6.2183262566771669</v>
      </c>
      <c r="AB236" s="28">
        <f t="shared" si="80"/>
        <v>0.44577522365911387</v>
      </c>
      <c r="AC236" s="28">
        <f t="shared" si="81"/>
        <v>0.10964912280701754</v>
      </c>
      <c r="AD236" s="29">
        <f t="shared" si="82"/>
        <v>215.37001897533207</v>
      </c>
      <c r="AE236" s="28">
        <f t="shared" si="83"/>
        <v>0.10964912280701754</v>
      </c>
      <c r="AF236" s="28">
        <f t="shared" si="84"/>
        <v>0.33612610085209632</v>
      </c>
      <c r="AG236" s="28">
        <f t="shared" si="85"/>
        <v>0</v>
      </c>
      <c r="AI236" s="31">
        <f t="shared" si="86"/>
        <v>-7.8933063470894405E-2</v>
      </c>
      <c r="AJ236" s="25"/>
      <c r="AK236" s="31"/>
      <c r="AM236" s="27"/>
    </row>
    <row r="237" spans="4:39" x14ac:dyDescent="0.25">
      <c r="D237" s="25">
        <f>E237*'Profit per cycles Model'!$I$113</f>
        <v>2280</v>
      </c>
      <c r="E237" s="25">
        <v>6.2457197644158331</v>
      </c>
      <c r="F237" s="28">
        <f t="shared" si="67"/>
        <v>0.43859649122807015</v>
      </c>
      <c r="G237" s="28">
        <f>'Battery Pricing Model'!$C$17/D237</f>
        <v>0.43859649122807015</v>
      </c>
      <c r="H237" s="28">
        <f t="shared" si="68"/>
        <v>999</v>
      </c>
      <c r="I237" s="28"/>
      <c r="J237" s="34">
        <f>INDEX('Profit per cycles Model'!$I$149:$I$179, MATCH(TRUNC(E237, 0), 'Profit per cycles Model'!$H$149:$H$179, 0))</f>
        <v>0.44577522365911387</v>
      </c>
      <c r="K237" s="27">
        <f>AVERAGE($AB$10:AB237)</f>
        <v>0.40593188103758626</v>
      </c>
      <c r="L237" s="28">
        <f t="shared" si="69"/>
        <v>999</v>
      </c>
      <c r="M237" s="28">
        <f t="shared" si="70"/>
        <v>999</v>
      </c>
      <c r="N237" s="28">
        <f t="shared" si="71"/>
        <v>999</v>
      </c>
      <c r="O237" s="28"/>
      <c r="P237" s="29">
        <f t="shared" si="87"/>
        <v>0.22800000000000017</v>
      </c>
      <c r="Q237" s="33">
        <f t="shared" si="72"/>
        <v>6.7114093959731544</v>
      </c>
      <c r="R237" s="33">
        <f t="shared" si="73"/>
        <v>6.7114093959731544</v>
      </c>
      <c r="S237" s="33">
        <f t="shared" si="74"/>
        <v>-1</v>
      </c>
      <c r="T237" s="27"/>
      <c r="U237" s="28">
        <f t="shared" si="75"/>
        <v>0.10964912280701754</v>
      </c>
      <c r="V237" s="25">
        <f t="shared" si="76"/>
        <v>999</v>
      </c>
      <c r="W237" s="35">
        <f t="shared" si="88"/>
        <v>25</v>
      </c>
      <c r="X237" s="33">
        <f t="shared" si="77"/>
        <v>25</v>
      </c>
      <c r="Y237" s="32">
        <f t="shared" si="78"/>
        <v>-1</v>
      </c>
      <c r="Z237" s="32"/>
      <c r="AA237" s="30">
        <f t="shared" si="79"/>
        <v>6.2457197644158331</v>
      </c>
      <c r="AB237" s="28">
        <f t="shared" si="80"/>
        <v>0.44577522365911387</v>
      </c>
      <c r="AC237" s="28">
        <f t="shared" si="81"/>
        <v>0.10964912280701754</v>
      </c>
      <c r="AD237" s="29">
        <f t="shared" si="82"/>
        <v>216.31878557874762</v>
      </c>
      <c r="AE237" s="28">
        <f t="shared" si="83"/>
        <v>0.10964912280701754</v>
      </c>
      <c r="AF237" s="28">
        <f t="shared" si="84"/>
        <v>0.33612610085209632</v>
      </c>
      <c r="AG237" s="28">
        <f t="shared" si="85"/>
        <v>0</v>
      </c>
      <c r="AI237" s="31">
        <f t="shared" si="86"/>
        <v>-7.4475311234303274E-2</v>
      </c>
      <c r="AJ237" s="25"/>
      <c r="AK237" s="31"/>
      <c r="AM237" s="27"/>
    </row>
    <row r="238" spans="4:39" x14ac:dyDescent="0.25">
      <c r="D238" s="25">
        <f>E238*'Profit per cycles Model'!$I$113</f>
        <v>2290</v>
      </c>
      <c r="E238" s="25">
        <v>6.2731132721544993</v>
      </c>
      <c r="F238" s="28">
        <f t="shared" si="67"/>
        <v>0.4366812227074236</v>
      </c>
      <c r="G238" s="28">
        <f>'Battery Pricing Model'!$C$17/D238</f>
        <v>0.4366812227074236</v>
      </c>
      <c r="H238" s="28">
        <f t="shared" si="68"/>
        <v>999</v>
      </c>
      <c r="I238" s="28"/>
      <c r="J238" s="34">
        <f>INDEX('Profit per cycles Model'!$I$149:$I$179, MATCH(TRUNC(E238, 0), 'Profit per cycles Model'!$H$149:$H$179, 0))</f>
        <v>0.44577522365911387</v>
      </c>
      <c r="K238" s="27">
        <f>AVERAGE($AB$10:AB238)</f>
        <v>0.40610586943331345</v>
      </c>
      <c r="L238" s="28">
        <f t="shared" si="69"/>
        <v>999</v>
      </c>
      <c r="M238" s="28">
        <f t="shared" si="70"/>
        <v>999</v>
      </c>
      <c r="N238" s="28">
        <f t="shared" si="71"/>
        <v>999</v>
      </c>
      <c r="O238" s="28"/>
      <c r="P238" s="29">
        <f t="shared" si="87"/>
        <v>0.22900000000000018</v>
      </c>
      <c r="Q238" s="33">
        <f t="shared" si="72"/>
        <v>6.7114093959731544</v>
      </c>
      <c r="R238" s="33">
        <f t="shared" si="73"/>
        <v>6.7114093959731544</v>
      </c>
      <c r="S238" s="33">
        <f t="shared" si="74"/>
        <v>-1</v>
      </c>
      <c r="T238" s="27"/>
      <c r="U238" s="28">
        <f t="shared" si="75"/>
        <v>0.10964912280701754</v>
      </c>
      <c r="V238" s="25">
        <f t="shared" si="76"/>
        <v>999</v>
      </c>
      <c r="W238" s="35">
        <f t="shared" si="88"/>
        <v>25</v>
      </c>
      <c r="X238" s="33">
        <f t="shared" si="77"/>
        <v>25</v>
      </c>
      <c r="Y238" s="32">
        <f t="shared" si="78"/>
        <v>-1</v>
      </c>
      <c r="Z238" s="32"/>
      <c r="AA238" s="30">
        <f t="shared" si="79"/>
        <v>6.2731132721544993</v>
      </c>
      <c r="AB238" s="28">
        <f t="shared" si="80"/>
        <v>0.44577522365911387</v>
      </c>
      <c r="AC238" s="28">
        <f t="shared" si="81"/>
        <v>0.10964912280701754</v>
      </c>
      <c r="AD238" s="29">
        <f t="shared" si="82"/>
        <v>217.2675521821632</v>
      </c>
      <c r="AE238" s="28">
        <f t="shared" si="83"/>
        <v>0.10964912280701754</v>
      </c>
      <c r="AF238" s="28">
        <f t="shared" si="84"/>
        <v>0.33612610085209632</v>
      </c>
      <c r="AG238" s="28">
        <f t="shared" si="85"/>
        <v>0</v>
      </c>
      <c r="AI238" s="31">
        <f t="shared" si="86"/>
        <v>-7.001755899771224E-2</v>
      </c>
      <c r="AJ238" s="25"/>
      <c r="AK238" s="31"/>
      <c r="AM238" s="27"/>
    </row>
    <row r="239" spans="4:39" x14ac:dyDescent="0.25">
      <c r="D239" s="25">
        <f>E239*'Profit per cycles Model'!$I$113</f>
        <v>2300</v>
      </c>
      <c r="E239" s="25">
        <v>6.3005067798931655</v>
      </c>
      <c r="F239" s="28">
        <f t="shared" si="67"/>
        <v>0.43478260869565216</v>
      </c>
      <c r="G239" s="28">
        <f>'Battery Pricing Model'!$C$17/D239</f>
        <v>0.43478260869565216</v>
      </c>
      <c r="H239" s="28">
        <f t="shared" si="68"/>
        <v>999</v>
      </c>
      <c r="I239" s="28"/>
      <c r="J239" s="34">
        <f>INDEX('Profit per cycles Model'!$I$149:$I$179, MATCH(TRUNC(E239, 0), 'Profit per cycles Model'!$H$149:$H$179, 0))</f>
        <v>0.44577522365911387</v>
      </c>
      <c r="K239" s="27">
        <f>AVERAGE($AB$10:AB239)</f>
        <v>0.40627834488646908</v>
      </c>
      <c r="L239" s="28">
        <f t="shared" si="69"/>
        <v>999</v>
      </c>
      <c r="M239" s="28">
        <f t="shared" si="70"/>
        <v>999</v>
      </c>
      <c r="N239" s="28">
        <f t="shared" si="71"/>
        <v>999</v>
      </c>
      <c r="O239" s="28"/>
      <c r="P239" s="29">
        <f t="shared" si="87"/>
        <v>0.23000000000000018</v>
      </c>
      <c r="Q239" s="33">
        <f t="shared" si="72"/>
        <v>6.7114093959731544</v>
      </c>
      <c r="R239" s="33">
        <f t="shared" si="73"/>
        <v>6.7114093959731544</v>
      </c>
      <c r="S239" s="33">
        <f t="shared" si="74"/>
        <v>-1</v>
      </c>
      <c r="T239" s="27"/>
      <c r="U239" s="28">
        <f t="shared" si="75"/>
        <v>0.10964912280701754</v>
      </c>
      <c r="V239" s="25">
        <f t="shared" si="76"/>
        <v>999</v>
      </c>
      <c r="W239" s="35">
        <f t="shared" si="88"/>
        <v>25</v>
      </c>
      <c r="X239" s="33">
        <f t="shared" si="77"/>
        <v>25</v>
      </c>
      <c r="Y239" s="32">
        <f t="shared" si="78"/>
        <v>-1</v>
      </c>
      <c r="Z239" s="32"/>
      <c r="AA239" s="30">
        <f t="shared" si="79"/>
        <v>6.3005067798931655</v>
      </c>
      <c r="AB239" s="28">
        <f t="shared" si="80"/>
        <v>0.44577522365911387</v>
      </c>
      <c r="AC239" s="28">
        <f t="shared" si="81"/>
        <v>0.10964912280701754</v>
      </c>
      <c r="AD239" s="29">
        <f t="shared" si="82"/>
        <v>218.21631878557878</v>
      </c>
      <c r="AE239" s="28">
        <f t="shared" si="83"/>
        <v>0.10964912280701754</v>
      </c>
      <c r="AF239" s="28">
        <f t="shared" si="84"/>
        <v>0.33612610085209632</v>
      </c>
      <c r="AG239" s="28">
        <f t="shared" si="85"/>
        <v>0</v>
      </c>
      <c r="AI239" s="31">
        <f t="shared" si="86"/>
        <v>-6.5559806761121095E-2</v>
      </c>
      <c r="AJ239" s="25"/>
      <c r="AK239" s="31"/>
      <c r="AM239" s="27"/>
    </row>
    <row r="240" spans="4:39" x14ac:dyDescent="0.25">
      <c r="D240" s="25">
        <f>E240*'Profit per cycles Model'!$I$113</f>
        <v>2310</v>
      </c>
      <c r="E240" s="25">
        <v>6.3279002876318309</v>
      </c>
      <c r="F240" s="28">
        <f t="shared" si="67"/>
        <v>0.4329004329004329</v>
      </c>
      <c r="G240" s="28">
        <f>'Battery Pricing Model'!$C$17/D240</f>
        <v>0.4329004329004329</v>
      </c>
      <c r="H240" s="28">
        <f t="shared" si="68"/>
        <v>999</v>
      </c>
      <c r="I240" s="28"/>
      <c r="J240" s="34">
        <f>INDEX('Profit per cycles Model'!$I$149:$I$179, MATCH(TRUNC(E240, 0), 'Profit per cycles Model'!$H$149:$H$179, 0))</f>
        <v>0.44577522365911387</v>
      </c>
      <c r="K240" s="27">
        <f>AVERAGE($AB$10:AB240)</f>
        <v>0.406449327045658</v>
      </c>
      <c r="L240" s="28">
        <f t="shared" si="69"/>
        <v>999</v>
      </c>
      <c r="M240" s="28">
        <f t="shared" si="70"/>
        <v>999</v>
      </c>
      <c r="N240" s="28">
        <f t="shared" si="71"/>
        <v>999</v>
      </c>
      <c r="O240" s="28"/>
      <c r="P240" s="29">
        <f t="shared" si="87"/>
        <v>0.23100000000000018</v>
      </c>
      <c r="Q240" s="33">
        <f t="shared" si="72"/>
        <v>6.7114093959731544</v>
      </c>
      <c r="R240" s="33">
        <f t="shared" si="73"/>
        <v>6.7114093959731544</v>
      </c>
      <c r="S240" s="33">
        <f t="shared" si="74"/>
        <v>-1</v>
      </c>
      <c r="T240" s="27"/>
      <c r="U240" s="28">
        <f t="shared" si="75"/>
        <v>0.10964912280701754</v>
      </c>
      <c r="V240" s="25">
        <f t="shared" si="76"/>
        <v>999</v>
      </c>
      <c r="W240" s="35">
        <f t="shared" si="88"/>
        <v>25</v>
      </c>
      <c r="X240" s="33">
        <f t="shared" si="77"/>
        <v>25</v>
      </c>
      <c r="Y240" s="32">
        <f t="shared" si="78"/>
        <v>-1</v>
      </c>
      <c r="Z240" s="32"/>
      <c r="AA240" s="30">
        <f t="shared" si="79"/>
        <v>6.3279002876318309</v>
      </c>
      <c r="AB240" s="28">
        <f t="shared" si="80"/>
        <v>0.44577522365911387</v>
      </c>
      <c r="AC240" s="28">
        <f t="shared" si="81"/>
        <v>0.10964912280701754</v>
      </c>
      <c r="AD240" s="29">
        <f t="shared" si="82"/>
        <v>219.1650853889943</v>
      </c>
      <c r="AE240" s="28">
        <f t="shared" si="83"/>
        <v>0.10964912280701754</v>
      </c>
      <c r="AF240" s="28">
        <f t="shared" si="84"/>
        <v>0.33612610085209632</v>
      </c>
      <c r="AG240" s="28">
        <f t="shared" si="85"/>
        <v>0</v>
      </c>
      <c r="AI240" s="31">
        <f t="shared" si="86"/>
        <v>-6.1102054524529999E-2</v>
      </c>
      <c r="AJ240" s="25"/>
      <c r="AK240" s="31"/>
      <c r="AM240" s="27"/>
    </row>
    <row r="241" spans="4:39" x14ac:dyDescent="0.25">
      <c r="D241" s="25">
        <f>E241*'Profit per cycles Model'!$I$113</f>
        <v>2320</v>
      </c>
      <c r="E241" s="25">
        <v>6.3552937953704971</v>
      </c>
      <c r="F241" s="28">
        <f t="shared" si="67"/>
        <v>0.43103448275862066</v>
      </c>
      <c r="G241" s="28">
        <f>'Battery Pricing Model'!$C$17/D241</f>
        <v>0.43103448275862066</v>
      </c>
      <c r="H241" s="28">
        <f t="shared" si="68"/>
        <v>999</v>
      </c>
      <c r="I241" s="28"/>
      <c r="J241" s="34">
        <f>INDEX('Profit per cycles Model'!$I$149:$I$179, MATCH(TRUNC(E241, 0), 'Profit per cycles Model'!$H$149:$H$179, 0))</f>
        <v>0.44577522365911387</v>
      </c>
      <c r="K241" s="27">
        <f>AVERAGE($AB$10:AB241)</f>
        <v>0.40661883522071601</v>
      </c>
      <c r="L241" s="28">
        <f t="shared" si="69"/>
        <v>999</v>
      </c>
      <c r="M241" s="28">
        <f t="shared" si="70"/>
        <v>999</v>
      </c>
      <c r="N241" s="28">
        <f t="shared" si="71"/>
        <v>999</v>
      </c>
      <c r="O241" s="28"/>
      <c r="P241" s="29">
        <f t="shared" si="87"/>
        <v>0.23200000000000018</v>
      </c>
      <c r="Q241" s="33">
        <f t="shared" si="72"/>
        <v>6.7114093959731544</v>
      </c>
      <c r="R241" s="33">
        <f t="shared" si="73"/>
        <v>6.7114093959731544</v>
      </c>
      <c r="S241" s="33">
        <f t="shared" si="74"/>
        <v>-1</v>
      </c>
      <c r="T241" s="27"/>
      <c r="U241" s="28">
        <f t="shared" si="75"/>
        <v>0.10964912280701754</v>
      </c>
      <c r="V241" s="25">
        <f t="shared" si="76"/>
        <v>999</v>
      </c>
      <c r="W241" s="35">
        <f t="shared" si="88"/>
        <v>25</v>
      </c>
      <c r="X241" s="33">
        <f t="shared" si="77"/>
        <v>25</v>
      </c>
      <c r="Y241" s="32">
        <f t="shared" si="78"/>
        <v>-1</v>
      </c>
      <c r="Z241" s="32"/>
      <c r="AA241" s="30">
        <f t="shared" si="79"/>
        <v>6.3552937953704971</v>
      </c>
      <c r="AB241" s="28">
        <f t="shared" si="80"/>
        <v>0.44577522365911387</v>
      </c>
      <c r="AC241" s="28">
        <f t="shared" si="81"/>
        <v>0.10964912280701754</v>
      </c>
      <c r="AD241" s="29">
        <f t="shared" si="82"/>
        <v>220.11385199240988</v>
      </c>
      <c r="AE241" s="28">
        <f t="shared" si="83"/>
        <v>0.10964912280701754</v>
      </c>
      <c r="AF241" s="28">
        <f t="shared" si="84"/>
        <v>0.33612610085209632</v>
      </c>
      <c r="AG241" s="28">
        <f t="shared" si="85"/>
        <v>0</v>
      </c>
      <c r="AI241" s="31">
        <f t="shared" si="86"/>
        <v>-5.6644302287938791E-2</v>
      </c>
      <c r="AJ241" s="25"/>
      <c r="AK241" s="31"/>
      <c r="AM241" s="27"/>
    </row>
    <row r="242" spans="4:39" x14ac:dyDescent="0.25">
      <c r="D242" s="25">
        <f>E242*'Profit per cycles Model'!$I$113</f>
        <v>2330</v>
      </c>
      <c r="E242" s="25">
        <v>6.3826873031091633</v>
      </c>
      <c r="F242" s="28">
        <f t="shared" si="67"/>
        <v>0.42918454935622319</v>
      </c>
      <c r="G242" s="28">
        <f>'Battery Pricing Model'!$C$17/D242</f>
        <v>0.42918454935622319</v>
      </c>
      <c r="H242" s="28">
        <f t="shared" si="68"/>
        <v>999</v>
      </c>
      <c r="I242" s="28"/>
      <c r="J242" s="34">
        <f>INDEX('Profit per cycles Model'!$I$149:$I$179, MATCH(TRUNC(E242, 0), 'Profit per cycles Model'!$H$149:$H$179, 0))</f>
        <v>0.44577522365911387</v>
      </c>
      <c r="K242" s="27">
        <f>AVERAGE($AB$10:AB242)</f>
        <v>0.40678688838997951</v>
      </c>
      <c r="L242" s="28">
        <f t="shared" si="69"/>
        <v>999</v>
      </c>
      <c r="M242" s="28">
        <f t="shared" si="70"/>
        <v>999</v>
      </c>
      <c r="N242" s="28">
        <f t="shared" si="71"/>
        <v>999</v>
      </c>
      <c r="O242" s="28"/>
      <c r="P242" s="29">
        <f t="shared" si="87"/>
        <v>0.23300000000000018</v>
      </c>
      <c r="Q242" s="33">
        <f t="shared" si="72"/>
        <v>6.7114093959731544</v>
      </c>
      <c r="R242" s="33">
        <f t="shared" si="73"/>
        <v>6.7114093959731544</v>
      </c>
      <c r="S242" s="33">
        <f t="shared" si="74"/>
        <v>-1</v>
      </c>
      <c r="T242" s="27"/>
      <c r="U242" s="28">
        <f t="shared" si="75"/>
        <v>0.10964912280701754</v>
      </c>
      <c r="V242" s="25">
        <f t="shared" si="76"/>
        <v>999</v>
      </c>
      <c r="W242" s="35">
        <f t="shared" si="88"/>
        <v>25</v>
      </c>
      <c r="X242" s="33">
        <f t="shared" si="77"/>
        <v>25</v>
      </c>
      <c r="Y242" s="32">
        <f t="shared" si="78"/>
        <v>-1</v>
      </c>
      <c r="Z242" s="32"/>
      <c r="AA242" s="30">
        <f t="shared" si="79"/>
        <v>6.3826873031091633</v>
      </c>
      <c r="AB242" s="28">
        <f t="shared" si="80"/>
        <v>0.44577522365911387</v>
      </c>
      <c r="AC242" s="28">
        <f t="shared" si="81"/>
        <v>0.10964912280701754</v>
      </c>
      <c r="AD242" s="29">
        <f t="shared" si="82"/>
        <v>221.06261859582546</v>
      </c>
      <c r="AE242" s="28">
        <f t="shared" si="83"/>
        <v>0.10964912280701754</v>
      </c>
      <c r="AF242" s="28">
        <f t="shared" si="84"/>
        <v>0.33612610085209632</v>
      </c>
      <c r="AG242" s="28">
        <f t="shared" si="85"/>
        <v>0</v>
      </c>
      <c r="AI242" s="31">
        <f t="shared" si="86"/>
        <v>-5.2186550051347778E-2</v>
      </c>
      <c r="AJ242" s="25"/>
      <c r="AK242" s="31"/>
      <c r="AM242" s="27"/>
    </row>
    <row r="243" spans="4:39" x14ac:dyDescent="0.25">
      <c r="D243" s="25">
        <f>E243*'Profit per cycles Model'!$I$113</f>
        <v>2340</v>
      </c>
      <c r="E243" s="25">
        <v>6.4100808108478287</v>
      </c>
      <c r="F243" s="28">
        <f t="shared" si="67"/>
        <v>0.42735042735042733</v>
      </c>
      <c r="G243" s="28">
        <f>'Battery Pricing Model'!$C$17/D243</f>
        <v>0.42735042735042733</v>
      </c>
      <c r="H243" s="28">
        <f t="shared" si="68"/>
        <v>999</v>
      </c>
      <c r="I243" s="28"/>
      <c r="J243" s="34">
        <f>INDEX('Profit per cycles Model'!$I$149:$I$179, MATCH(TRUNC(E243, 0), 'Profit per cycles Model'!$H$149:$H$179, 0))</f>
        <v>0.44577522365911387</v>
      </c>
      <c r="K243" s="27">
        <f>AVERAGE($AB$10:AB243)</f>
        <v>0.40695350520736895</v>
      </c>
      <c r="L243" s="28">
        <f t="shared" si="69"/>
        <v>999</v>
      </c>
      <c r="M243" s="28">
        <f t="shared" si="70"/>
        <v>999</v>
      </c>
      <c r="N243" s="28">
        <f t="shared" si="71"/>
        <v>999</v>
      </c>
      <c r="O243" s="28"/>
      <c r="P243" s="29">
        <f t="shared" si="87"/>
        <v>0.23400000000000018</v>
      </c>
      <c r="Q243" s="33">
        <f t="shared" si="72"/>
        <v>6.7114093959731544</v>
      </c>
      <c r="R243" s="33">
        <f t="shared" si="73"/>
        <v>6.7114093959731544</v>
      </c>
      <c r="S243" s="33">
        <f t="shared" si="74"/>
        <v>-1</v>
      </c>
      <c r="T243" s="27"/>
      <c r="U243" s="28">
        <f t="shared" si="75"/>
        <v>0.10964912280701754</v>
      </c>
      <c r="V243" s="25">
        <f t="shared" si="76"/>
        <v>999</v>
      </c>
      <c r="W243" s="35">
        <f t="shared" si="88"/>
        <v>25</v>
      </c>
      <c r="X243" s="33">
        <f t="shared" si="77"/>
        <v>25</v>
      </c>
      <c r="Y243" s="32">
        <f t="shared" si="78"/>
        <v>-1</v>
      </c>
      <c r="Z243" s="32"/>
      <c r="AA243" s="30">
        <f t="shared" si="79"/>
        <v>6.4100808108478287</v>
      </c>
      <c r="AB243" s="28">
        <f t="shared" si="80"/>
        <v>0.44577522365911387</v>
      </c>
      <c r="AC243" s="28">
        <f t="shared" si="81"/>
        <v>0.10964912280701754</v>
      </c>
      <c r="AD243" s="29">
        <f t="shared" si="82"/>
        <v>222.01138519924098</v>
      </c>
      <c r="AE243" s="28">
        <f t="shared" si="83"/>
        <v>0.10964912280701754</v>
      </c>
      <c r="AF243" s="28">
        <f t="shared" si="84"/>
        <v>0.33612610085209632</v>
      </c>
      <c r="AG243" s="28">
        <f t="shared" si="85"/>
        <v>0</v>
      </c>
      <c r="AI243" s="31">
        <f t="shared" si="86"/>
        <v>-4.772879781475662E-2</v>
      </c>
      <c r="AJ243" s="25"/>
      <c r="AK243" s="31"/>
      <c r="AM243" s="27"/>
    </row>
    <row r="244" spans="4:39" x14ac:dyDescent="0.25">
      <c r="D244" s="25">
        <f>E244*'Profit per cycles Model'!$I$113</f>
        <v>2350</v>
      </c>
      <c r="E244" s="25">
        <v>6.4374743185864949</v>
      </c>
      <c r="F244" s="28">
        <f t="shared" si="67"/>
        <v>0.42553191489361702</v>
      </c>
      <c r="G244" s="28">
        <f>'Battery Pricing Model'!$C$17/D244</f>
        <v>0.42553191489361702</v>
      </c>
      <c r="H244" s="28">
        <f t="shared" si="68"/>
        <v>999</v>
      </c>
      <c r="I244" s="28"/>
      <c r="J244" s="34">
        <f>INDEX('Profit per cycles Model'!$I$149:$I$179, MATCH(TRUNC(E244, 0), 'Profit per cycles Model'!$H$149:$H$179, 0))</f>
        <v>0.44577522365911387</v>
      </c>
      <c r="K244" s="27">
        <f>AVERAGE($AB$10:AB244)</f>
        <v>0.40711870400929123</v>
      </c>
      <c r="L244" s="28">
        <f t="shared" si="69"/>
        <v>999</v>
      </c>
      <c r="M244" s="28">
        <f t="shared" si="70"/>
        <v>999</v>
      </c>
      <c r="N244" s="28">
        <f t="shared" si="71"/>
        <v>999</v>
      </c>
      <c r="O244" s="28"/>
      <c r="P244" s="29">
        <f t="shared" si="87"/>
        <v>0.23500000000000018</v>
      </c>
      <c r="Q244" s="33">
        <f t="shared" si="72"/>
        <v>6.7114093959731544</v>
      </c>
      <c r="R244" s="33">
        <f t="shared" si="73"/>
        <v>6.7114093959731544</v>
      </c>
      <c r="S244" s="33">
        <f t="shared" si="74"/>
        <v>-1</v>
      </c>
      <c r="T244" s="27"/>
      <c r="U244" s="28">
        <f t="shared" si="75"/>
        <v>0.10964912280701754</v>
      </c>
      <c r="V244" s="25">
        <f t="shared" si="76"/>
        <v>999</v>
      </c>
      <c r="W244" s="35">
        <f t="shared" si="88"/>
        <v>25</v>
      </c>
      <c r="X244" s="33">
        <f t="shared" si="77"/>
        <v>25</v>
      </c>
      <c r="Y244" s="32">
        <f t="shared" si="78"/>
        <v>-1</v>
      </c>
      <c r="Z244" s="32"/>
      <c r="AA244" s="30">
        <f t="shared" si="79"/>
        <v>6.4374743185864949</v>
      </c>
      <c r="AB244" s="28">
        <f t="shared" si="80"/>
        <v>0.44577522365911387</v>
      </c>
      <c r="AC244" s="28">
        <f t="shared" si="81"/>
        <v>0.10964912280701754</v>
      </c>
      <c r="AD244" s="29">
        <f t="shared" si="82"/>
        <v>222.96015180265655</v>
      </c>
      <c r="AE244" s="28">
        <f t="shared" si="83"/>
        <v>0.10964912280701754</v>
      </c>
      <c r="AF244" s="28">
        <f t="shared" si="84"/>
        <v>0.33612610085209632</v>
      </c>
      <c r="AG244" s="28">
        <f t="shared" si="85"/>
        <v>0</v>
      </c>
      <c r="AI244" s="31">
        <f t="shared" si="86"/>
        <v>-4.3271045578165614E-2</v>
      </c>
      <c r="AJ244" s="25"/>
      <c r="AK244" s="31"/>
      <c r="AM244" s="27"/>
    </row>
    <row r="245" spans="4:39" x14ac:dyDescent="0.25">
      <c r="D245" s="25">
        <f>E245*'Profit per cycles Model'!$I$113</f>
        <v>2360</v>
      </c>
      <c r="E245" s="25">
        <v>6.4648678263251611</v>
      </c>
      <c r="F245" s="28">
        <f t="shared" si="67"/>
        <v>0.42372881355932202</v>
      </c>
      <c r="G245" s="28">
        <f>'Battery Pricing Model'!$C$17/D245</f>
        <v>0.42372881355932202</v>
      </c>
      <c r="H245" s="28">
        <f t="shared" si="68"/>
        <v>999</v>
      </c>
      <c r="I245" s="28"/>
      <c r="J245" s="34">
        <f>INDEX('Profit per cycles Model'!$I$149:$I$179, MATCH(TRUNC(E245, 0), 'Profit per cycles Model'!$H$149:$H$179, 0))</f>
        <v>0.44577522365911387</v>
      </c>
      <c r="K245" s="27">
        <f>AVERAGE($AB$10:AB245)</f>
        <v>0.40728250282136674</v>
      </c>
      <c r="L245" s="28">
        <f t="shared" si="69"/>
        <v>999</v>
      </c>
      <c r="M245" s="28">
        <f t="shared" si="70"/>
        <v>999</v>
      </c>
      <c r="N245" s="28">
        <f t="shared" si="71"/>
        <v>999</v>
      </c>
      <c r="O245" s="28"/>
      <c r="P245" s="29">
        <f t="shared" si="87"/>
        <v>0.23600000000000018</v>
      </c>
      <c r="Q245" s="33">
        <f t="shared" si="72"/>
        <v>6.7114093959731544</v>
      </c>
      <c r="R245" s="33">
        <f t="shared" si="73"/>
        <v>6.7114093959731544</v>
      </c>
      <c r="S245" s="33">
        <f t="shared" si="74"/>
        <v>-1</v>
      </c>
      <c r="T245" s="27"/>
      <c r="U245" s="28">
        <f t="shared" si="75"/>
        <v>0.10964912280701754</v>
      </c>
      <c r="V245" s="25">
        <f t="shared" si="76"/>
        <v>999</v>
      </c>
      <c r="W245" s="35">
        <f t="shared" si="88"/>
        <v>25</v>
      </c>
      <c r="X245" s="33">
        <f t="shared" si="77"/>
        <v>25</v>
      </c>
      <c r="Y245" s="32">
        <f t="shared" si="78"/>
        <v>-1</v>
      </c>
      <c r="Z245" s="32"/>
      <c r="AA245" s="30">
        <f t="shared" si="79"/>
        <v>6.4648678263251611</v>
      </c>
      <c r="AB245" s="28">
        <f t="shared" si="80"/>
        <v>0.44577522365911387</v>
      </c>
      <c r="AC245" s="28">
        <f t="shared" si="81"/>
        <v>0.10964912280701754</v>
      </c>
      <c r="AD245" s="29">
        <f t="shared" si="82"/>
        <v>223.90891840607213</v>
      </c>
      <c r="AE245" s="28">
        <f t="shared" si="83"/>
        <v>0.10964912280701754</v>
      </c>
      <c r="AF245" s="28">
        <f t="shared" si="84"/>
        <v>0.33612610085209632</v>
      </c>
      <c r="AG245" s="28">
        <f t="shared" si="85"/>
        <v>0</v>
      </c>
      <c r="AI245" s="31">
        <f t="shared" si="86"/>
        <v>-3.8813293341574441E-2</v>
      </c>
      <c r="AJ245" s="25"/>
      <c r="AK245" s="31"/>
      <c r="AM245" s="27"/>
    </row>
    <row r="246" spans="4:39" x14ac:dyDescent="0.25">
      <c r="D246" s="25">
        <f>E246*'Profit per cycles Model'!$I$113</f>
        <v>2370</v>
      </c>
      <c r="E246" s="25">
        <v>6.4922613340638264</v>
      </c>
      <c r="F246" s="28">
        <f t="shared" si="67"/>
        <v>0.4219409282700422</v>
      </c>
      <c r="G246" s="28">
        <f>'Battery Pricing Model'!$C$17/D246</f>
        <v>0.4219409282700422</v>
      </c>
      <c r="H246" s="28">
        <f t="shared" si="68"/>
        <v>999</v>
      </c>
      <c r="I246" s="28"/>
      <c r="J246" s="34">
        <f>INDEX('Profit per cycles Model'!$I$149:$I$179, MATCH(TRUNC(E246, 0), 'Profit per cycles Model'!$H$149:$H$179, 0))</f>
        <v>0.44577522365911387</v>
      </c>
      <c r="K246" s="27">
        <f>AVERAGE($AB$10:AB246)</f>
        <v>0.40744491936498595</v>
      </c>
      <c r="L246" s="28">
        <f t="shared" si="69"/>
        <v>999</v>
      </c>
      <c r="M246" s="28">
        <f t="shared" si="70"/>
        <v>999</v>
      </c>
      <c r="N246" s="28">
        <f t="shared" si="71"/>
        <v>999</v>
      </c>
      <c r="O246" s="28"/>
      <c r="P246" s="29">
        <f t="shared" si="87"/>
        <v>0.23700000000000018</v>
      </c>
      <c r="Q246" s="33">
        <f t="shared" si="72"/>
        <v>6.7114093959731544</v>
      </c>
      <c r="R246" s="33">
        <f t="shared" si="73"/>
        <v>6.7114093959731544</v>
      </c>
      <c r="S246" s="33">
        <f t="shared" si="74"/>
        <v>-1</v>
      </c>
      <c r="T246" s="27"/>
      <c r="U246" s="28">
        <f t="shared" si="75"/>
        <v>0.10964912280701754</v>
      </c>
      <c r="V246" s="25">
        <f t="shared" si="76"/>
        <v>999</v>
      </c>
      <c r="W246" s="35">
        <f t="shared" si="88"/>
        <v>25</v>
      </c>
      <c r="X246" s="33">
        <f t="shared" si="77"/>
        <v>25</v>
      </c>
      <c r="Y246" s="32">
        <f t="shared" si="78"/>
        <v>-1</v>
      </c>
      <c r="Z246" s="32"/>
      <c r="AA246" s="30">
        <f t="shared" si="79"/>
        <v>6.4922613340638264</v>
      </c>
      <c r="AB246" s="28">
        <f t="shared" si="80"/>
        <v>0.44577522365911387</v>
      </c>
      <c r="AC246" s="28">
        <f t="shared" si="81"/>
        <v>0.10964912280701754</v>
      </c>
      <c r="AD246" s="29">
        <f t="shared" si="82"/>
        <v>224.85768500948765</v>
      </c>
      <c r="AE246" s="28">
        <f t="shared" si="83"/>
        <v>0.10964912280701754</v>
      </c>
      <c r="AF246" s="28">
        <f t="shared" si="84"/>
        <v>0.33612610085209632</v>
      </c>
      <c r="AG246" s="28">
        <f t="shared" si="85"/>
        <v>0</v>
      </c>
      <c r="AI246" s="31">
        <f t="shared" si="86"/>
        <v>-3.4355541104983331E-2</v>
      </c>
      <c r="AJ246" s="25"/>
      <c r="AK246" s="31"/>
      <c r="AM246" s="27"/>
    </row>
    <row r="247" spans="4:39" x14ac:dyDescent="0.25">
      <c r="D247" s="25">
        <f>E247*'Profit per cycles Model'!$I$113</f>
        <v>2380</v>
      </c>
      <c r="E247" s="25">
        <v>6.5196548418024927</v>
      </c>
      <c r="F247" s="28">
        <f t="shared" si="67"/>
        <v>0.42016806722689076</v>
      </c>
      <c r="G247" s="28">
        <f>'Battery Pricing Model'!$C$17/D247</f>
        <v>0.42016806722689076</v>
      </c>
      <c r="H247" s="28">
        <f t="shared" si="68"/>
        <v>999</v>
      </c>
      <c r="I247" s="28"/>
      <c r="J247" s="34">
        <f>INDEX('Profit per cycles Model'!$I$149:$I$179, MATCH(TRUNC(E247, 0), 'Profit per cycles Model'!$H$149:$H$179, 0))</f>
        <v>0.44577522365911387</v>
      </c>
      <c r="K247" s="27">
        <f>AVERAGE($AB$10:AB247)</f>
        <v>0.40760597106370078</v>
      </c>
      <c r="L247" s="28">
        <f t="shared" si="69"/>
        <v>999</v>
      </c>
      <c r="M247" s="28">
        <f t="shared" si="70"/>
        <v>999</v>
      </c>
      <c r="N247" s="28">
        <f t="shared" si="71"/>
        <v>999</v>
      </c>
      <c r="O247" s="28"/>
      <c r="P247" s="29">
        <f t="shared" si="87"/>
        <v>0.23800000000000018</v>
      </c>
      <c r="Q247" s="33">
        <f t="shared" si="72"/>
        <v>6.7114093959731544</v>
      </c>
      <c r="R247" s="33">
        <f t="shared" si="73"/>
        <v>6.7114093959731544</v>
      </c>
      <c r="S247" s="33">
        <f t="shared" si="74"/>
        <v>-1</v>
      </c>
      <c r="T247" s="27"/>
      <c r="U247" s="28">
        <f t="shared" si="75"/>
        <v>0.10964912280701754</v>
      </c>
      <c r="V247" s="25">
        <f t="shared" si="76"/>
        <v>999</v>
      </c>
      <c r="W247" s="35">
        <f t="shared" si="88"/>
        <v>25</v>
      </c>
      <c r="X247" s="33">
        <f t="shared" si="77"/>
        <v>25</v>
      </c>
      <c r="Y247" s="32">
        <f t="shared" si="78"/>
        <v>-1</v>
      </c>
      <c r="Z247" s="32"/>
      <c r="AA247" s="30">
        <f t="shared" si="79"/>
        <v>6.5196548418024927</v>
      </c>
      <c r="AB247" s="28">
        <f t="shared" si="80"/>
        <v>0.44577522365911387</v>
      </c>
      <c r="AC247" s="28">
        <f t="shared" si="81"/>
        <v>0.10964912280701754</v>
      </c>
      <c r="AD247" s="29">
        <f t="shared" si="82"/>
        <v>225.80645161290323</v>
      </c>
      <c r="AE247" s="28">
        <f t="shared" si="83"/>
        <v>0.10964912280701754</v>
      </c>
      <c r="AF247" s="28">
        <f t="shared" si="84"/>
        <v>0.33612610085209632</v>
      </c>
      <c r="AG247" s="28">
        <f t="shared" si="85"/>
        <v>0</v>
      </c>
      <c r="AI247" s="31">
        <f t="shared" si="86"/>
        <v>-2.9897788868392162E-2</v>
      </c>
      <c r="AJ247" s="25"/>
      <c r="AK247" s="31"/>
      <c r="AM247" s="27"/>
    </row>
    <row r="248" spans="4:39" x14ac:dyDescent="0.25">
      <c r="D248" s="25">
        <f>E248*'Profit per cycles Model'!$I$113</f>
        <v>2390</v>
      </c>
      <c r="E248" s="25">
        <v>6.5470483495411589</v>
      </c>
      <c r="F248" s="28">
        <f t="shared" si="67"/>
        <v>0.41841004184100417</v>
      </c>
      <c r="G248" s="28">
        <f>'Battery Pricing Model'!$C$17/D248</f>
        <v>0.41841004184100417</v>
      </c>
      <c r="H248" s="28">
        <f t="shared" si="68"/>
        <v>999</v>
      </c>
      <c r="I248" s="28"/>
      <c r="J248" s="34">
        <f>INDEX('Profit per cycles Model'!$I$149:$I$179, MATCH(TRUNC(E248, 0), 'Profit per cycles Model'!$H$149:$H$179, 0))</f>
        <v>0.44577522365911387</v>
      </c>
      <c r="K248" s="27">
        <f>AVERAGE($AB$10:AB248)</f>
        <v>0.4077656750494556</v>
      </c>
      <c r="L248" s="28">
        <f t="shared" si="69"/>
        <v>999</v>
      </c>
      <c r="M248" s="28">
        <f t="shared" si="70"/>
        <v>999</v>
      </c>
      <c r="N248" s="28">
        <f t="shared" si="71"/>
        <v>999</v>
      </c>
      <c r="O248" s="28"/>
      <c r="P248" s="29">
        <f t="shared" si="87"/>
        <v>0.23900000000000018</v>
      </c>
      <c r="Q248" s="33">
        <f t="shared" si="72"/>
        <v>6.7114093959731544</v>
      </c>
      <c r="R248" s="33">
        <f t="shared" si="73"/>
        <v>6.7114093959731544</v>
      </c>
      <c r="S248" s="33">
        <f t="shared" si="74"/>
        <v>-1</v>
      </c>
      <c r="T248" s="27"/>
      <c r="U248" s="28">
        <f t="shared" si="75"/>
        <v>0.10964912280701754</v>
      </c>
      <c r="V248" s="25">
        <f t="shared" si="76"/>
        <v>999</v>
      </c>
      <c r="W248" s="35">
        <f t="shared" si="88"/>
        <v>25</v>
      </c>
      <c r="X248" s="33">
        <f t="shared" si="77"/>
        <v>25</v>
      </c>
      <c r="Y248" s="32">
        <f t="shared" si="78"/>
        <v>-1</v>
      </c>
      <c r="Z248" s="32"/>
      <c r="AA248" s="30">
        <f t="shared" si="79"/>
        <v>6.5470483495411589</v>
      </c>
      <c r="AB248" s="28">
        <f t="shared" si="80"/>
        <v>0.44577522365911387</v>
      </c>
      <c r="AC248" s="28">
        <f t="shared" si="81"/>
        <v>0.10964912280701754</v>
      </c>
      <c r="AD248" s="29">
        <f t="shared" si="82"/>
        <v>226.75521821631881</v>
      </c>
      <c r="AE248" s="28">
        <f t="shared" si="83"/>
        <v>0.10964912280701754</v>
      </c>
      <c r="AF248" s="28">
        <f t="shared" si="84"/>
        <v>0.33612610085209632</v>
      </c>
      <c r="AG248" s="28">
        <f t="shared" si="85"/>
        <v>0</v>
      </c>
      <c r="AI248" s="31">
        <f t="shared" si="86"/>
        <v>-2.5440036631801072E-2</v>
      </c>
      <c r="AJ248" s="25"/>
      <c r="AK248" s="31"/>
      <c r="AM248" s="27"/>
    </row>
    <row r="249" spans="4:39" x14ac:dyDescent="0.25">
      <c r="D249" s="25">
        <f>E249*'Profit per cycles Model'!$I$113</f>
        <v>2400</v>
      </c>
      <c r="E249" s="25">
        <v>6.5744418572798242</v>
      </c>
      <c r="F249" s="28">
        <f t="shared" si="67"/>
        <v>0.41666666666666669</v>
      </c>
      <c r="G249" s="28">
        <f>'Battery Pricing Model'!$C$17/D249</f>
        <v>0.41666666666666669</v>
      </c>
      <c r="H249" s="28">
        <f t="shared" si="68"/>
        <v>999</v>
      </c>
      <c r="I249" s="28"/>
      <c r="J249" s="34">
        <f>INDEX('Profit per cycles Model'!$I$149:$I$179, MATCH(TRUNC(E249, 0), 'Profit per cycles Model'!$H$149:$H$179, 0))</f>
        <v>0.44577522365911387</v>
      </c>
      <c r="K249" s="27">
        <f>AVERAGE($AB$10:AB249)</f>
        <v>0.40792404816866251</v>
      </c>
      <c r="L249" s="28">
        <f t="shared" si="69"/>
        <v>999</v>
      </c>
      <c r="M249" s="28">
        <f t="shared" si="70"/>
        <v>999</v>
      </c>
      <c r="N249" s="28">
        <f t="shared" si="71"/>
        <v>999</v>
      </c>
      <c r="O249" s="28"/>
      <c r="P249" s="29">
        <f t="shared" si="87"/>
        <v>0.24000000000000019</v>
      </c>
      <c r="Q249" s="33">
        <f t="shared" si="72"/>
        <v>6.7114093959731544</v>
      </c>
      <c r="R249" s="33">
        <f t="shared" si="73"/>
        <v>6.7114093959731544</v>
      </c>
      <c r="S249" s="33">
        <f t="shared" si="74"/>
        <v>-1</v>
      </c>
      <c r="T249" s="27"/>
      <c r="U249" s="28">
        <f t="shared" si="75"/>
        <v>0.10964912280701754</v>
      </c>
      <c r="V249" s="25">
        <f t="shared" si="76"/>
        <v>999</v>
      </c>
      <c r="W249" s="35">
        <f t="shared" si="88"/>
        <v>25</v>
      </c>
      <c r="X249" s="33">
        <f t="shared" si="77"/>
        <v>25</v>
      </c>
      <c r="Y249" s="32">
        <f t="shared" si="78"/>
        <v>-1</v>
      </c>
      <c r="Z249" s="32"/>
      <c r="AA249" s="30">
        <f t="shared" si="79"/>
        <v>6.5744418572798242</v>
      </c>
      <c r="AB249" s="28">
        <f t="shared" si="80"/>
        <v>0.44577522365911387</v>
      </c>
      <c r="AC249" s="28">
        <f t="shared" si="81"/>
        <v>0.10964912280701754</v>
      </c>
      <c r="AD249" s="29">
        <f t="shared" si="82"/>
        <v>227.70398481973433</v>
      </c>
      <c r="AE249" s="28">
        <f t="shared" si="83"/>
        <v>0.10964912280701754</v>
      </c>
      <c r="AF249" s="28">
        <f t="shared" si="84"/>
        <v>0.33612610085209632</v>
      </c>
      <c r="AG249" s="28">
        <f t="shared" si="85"/>
        <v>0</v>
      </c>
      <c r="AI249" s="31">
        <f t="shared" si="86"/>
        <v>-2.0982284395210014E-2</v>
      </c>
      <c r="AJ249" s="25"/>
      <c r="AK249" s="31"/>
      <c r="AM249" s="27"/>
    </row>
    <row r="250" spans="4:39" x14ac:dyDescent="0.25">
      <c r="D250" s="25">
        <f>E250*'Profit per cycles Model'!$I$113</f>
        <v>2410</v>
      </c>
      <c r="E250" s="25">
        <v>6.6018353650184904</v>
      </c>
      <c r="F250" s="28">
        <f t="shared" si="67"/>
        <v>0.41493775933609961</v>
      </c>
      <c r="G250" s="28">
        <f>'Battery Pricing Model'!$C$17/D250</f>
        <v>0.41493775933609961</v>
      </c>
      <c r="H250" s="28">
        <f t="shared" si="68"/>
        <v>999</v>
      </c>
      <c r="I250" s="28"/>
      <c r="J250" s="34">
        <f>INDEX('Profit per cycles Model'!$I$149:$I$179, MATCH(TRUNC(E250, 0), 'Profit per cycles Model'!$H$149:$H$179, 0))</f>
        <v>0.44577522365911387</v>
      </c>
      <c r="K250" s="27">
        <f>AVERAGE($AB$10:AB250)</f>
        <v>0.40808110698812494</v>
      </c>
      <c r="L250" s="28">
        <f t="shared" si="69"/>
        <v>999</v>
      </c>
      <c r="M250" s="28">
        <f t="shared" si="70"/>
        <v>999</v>
      </c>
      <c r="N250" s="28">
        <f t="shared" si="71"/>
        <v>999</v>
      </c>
      <c r="O250" s="28"/>
      <c r="P250" s="29">
        <f t="shared" si="87"/>
        <v>0.24100000000000019</v>
      </c>
      <c r="Q250" s="33">
        <f t="shared" si="72"/>
        <v>6.7114093959731544</v>
      </c>
      <c r="R250" s="33">
        <f t="shared" si="73"/>
        <v>6.7114093959731544</v>
      </c>
      <c r="S250" s="33">
        <f t="shared" si="74"/>
        <v>-1</v>
      </c>
      <c r="T250" s="27"/>
      <c r="U250" s="28">
        <f t="shared" si="75"/>
        <v>0.10964912280701754</v>
      </c>
      <c r="V250" s="25">
        <f t="shared" si="76"/>
        <v>999</v>
      </c>
      <c r="W250" s="35">
        <f t="shared" si="88"/>
        <v>25</v>
      </c>
      <c r="X250" s="33">
        <f t="shared" si="77"/>
        <v>25</v>
      </c>
      <c r="Y250" s="32">
        <f t="shared" si="78"/>
        <v>-1</v>
      </c>
      <c r="Z250" s="32"/>
      <c r="AA250" s="30">
        <f t="shared" si="79"/>
        <v>6.6018353650184904</v>
      </c>
      <c r="AB250" s="28">
        <f t="shared" si="80"/>
        <v>0.44577522365911387</v>
      </c>
      <c r="AC250" s="28">
        <f t="shared" si="81"/>
        <v>0.10964912280701754</v>
      </c>
      <c r="AD250" s="29">
        <f t="shared" si="82"/>
        <v>228.65275142314994</v>
      </c>
      <c r="AE250" s="28">
        <f t="shared" si="83"/>
        <v>0.10964912280701754</v>
      </c>
      <c r="AF250" s="28">
        <f t="shared" si="84"/>
        <v>0.33612610085209632</v>
      </c>
      <c r="AG250" s="28">
        <f t="shared" si="85"/>
        <v>0</v>
      </c>
      <c r="AI250" s="31">
        <f t="shared" si="86"/>
        <v>-1.6524532158618949E-2</v>
      </c>
      <c r="AJ250" s="25"/>
      <c r="AK250" s="31"/>
      <c r="AM250" s="27"/>
    </row>
    <row r="251" spans="4:39" x14ac:dyDescent="0.25">
      <c r="D251" s="25">
        <f>E251*'Profit per cycles Model'!$I$113</f>
        <v>2420</v>
      </c>
      <c r="E251" s="25">
        <v>6.6292288727571567</v>
      </c>
      <c r="F251" s="28">
        <f t="shared" si="67"/>
        <v>0.41322314049586778</v>
      </c>
      <c r="G251" s="28">
        <f>'Battery Pricing Model'!$C$17/D251</f>
        <v>0.41322314049586778</v>
      </c>
      <c r="H251" s="28">
        <f t="shared" si="68"/>
        <v>999</v>
      </c>
      <c r="I251" s="28"/>
      <c r="J251" s="34">
        <f>INDEX('Profit per cycles Model'!$I$149:$I$179, MATCH(TRUNC(E251, 0), 'Profit per cycles Model'!$H$149:$H$179, 0))</f>
        <v>0.44577522365911387</v>
      </c>
      <c r="K251" s="27">
        <f>AVERAGE($AB$10:AB251)</f>
        <v>0.40823686780081497</v>
      </c>
      <c r="L251" s="28">
        <f t="shared" si="69"/>
        <v>999</v>
      </c>
      <c r="M251" s="28">
        <f t="shared" si="70"/>
        <v>999</v>
      </c>
      <c r="N251" s="28">
        <f t="shared" si="71"/>
        <v>999</v>
      </c>
      <c r="O251" s="28"/>
      <c r="P251" s="29">
        <f t="shared" si="87"/>
        <v>0.24200000000000019</v>
      </c>
      <c r="Q251" s="33">
        <f t="shared" si="72"/>
        <v>6.7114093959731544</v>
      </c>
      <c r="R251" s="33">
        <f t="shared" si="73"/>
        <v>6.7114093959731544</v>
      </c>
      <c r="S251" s="33">
        <f t="shared" si="74"/>
        <v>-1</v>
      </c>
      <c r="T251" s="27"/>
      <c r="U251" s="28">
        <f t="shared" si="75"/>
        <v>0.10964912280701754</v>
      </c>
      <c r="V251" s="25">
        <f t="shared" si="76"/>
        <v>999</v>
      </c>
      <c r="W251" s="35">
        <f t="shared" si="88"/>
        <v>25</v>
      </c>
      <c r="X251" s="33">
        <f t="shared" si="77"/>
        <v>25</v>
      </c>
      <c r="Y251" s="32">
        <f t="shared" si="78"/>
        <v>-1</v>
      </c>
      <c r="Z251" s="32"/>
      <c r="AA251" s="30">
        <f t="shared" si="79"/>
        <v>6.6292288727571567</v>
      </c>
      <c r="AB251" s="28">
        <f t="shared" si="80"/>
        <v>0.44577522365911387</v>
      </c>
      <c r="AC251" s="28">
        <f t="shared" si="81"/>
        <v>0.10964912280701754</v>
      </c>
      <c r="AD251" s="29">
        <f t="shared" si="82"/>
        <v>229.60151802656549</v>
      </c>
      <c r="AE251" s="28">
        <f t="shared" si="83"/>
        <v>0.10964912280701754</v>
      </c>
      <c r="AF251" s="28">
        <f t="shared" si="84"/>
        <v>0.33612610085209632</v>
      </c>
      <c r="AG251" s="28">
        <f t="shared" si="85"/>
        <v>0</v>
      </c>
      <c r="AI251" s="31">
        <f t="shared" si="86"/>
        <v>-1.2066779922027792E-2</v>
      </c>
      <c r="AJ251" s="25"/>
      <c r="AK251" s="31"/>
      <c r="AM251" s="27"/>
    </row>
    <row r="252" spans="4:39" x14ac:dyDescent="0.25">
      <c r="D252" s="25">
        <f>E252*'Profit per cycles Model'!$I$113</f>
        <v>2430</v>
      </c>
      <c r="E252" s="25">
        <v>6.656622380495822</v>
      </c>
      <c r="F252" s="28">
        <f t="shared" si="67"/>
        <v>0.41152263374485598</v>
      </c>
      <c r="G252" s="28">
        <f>'Battery Pricing Model'!$C$17/D252</f>
        <v>0.41152263374485598</v>
      </c>
      <c r="H252" s="28">
        <f t="shared" si="68"/>
        <v>999</v>
      </c>
      <c r="I252" s="28"/>
      <c r="J252" s="34">
        <f>INDEX('Profit per cycles Model'!$I$149:$I$179, MATCH(TRUNC(E252, 0), 'Profit per cycles Model'!$H$149:$H$179, 0))</f>
        <v>0.44577522365911387</v>
      </c>
      <c r="K252" s="27">
        <f>AVERAGE($AB$10:AB252)</f>
        <v>0.40839134663150756</v>
      </c>
      <c r="L252" s="28">
        <f t="shared" si="69"/>
        <v>999</v>
      </c>
      <c r="M252" s="28">
        <f t="shared" si="70"/>
        <v>999</v>
      </c>
      <c r="N252" s="28">
        <f t="shared" si="71"/>
        <v>999</v>
      </c>
      <c r="O252" s="28"/>
      <c r="P252" s="29">
        <f t="shared" si="87"/>
        <v>0.24300000000000019</v>
      </c>
      <c r="Q252" s="33">
        <f t="shared" si="72"/>
        <v>6.7114093959731544</v>
      </c>
      <c r="R252" s="33">
        <f t="shared" si="73"/>
        <v>6.7114093959731544</v>
      </c>
      <c r="S252" s="33">
        <f t="shared" si="74"/>
        <v>-1</v>
      </c>
      <c r="T252" s="27"/>
      <c r="U252" s="28">
        <f t="shared" si="75"/>
        <v>0.10964912280701754</v>
      </c>
      <c r="V252" s="25">
        <f t="shared" si="76"/>
        <v>999</v>
      </c>
      <c r="W252" s="35">
        <f t="shared" si="88"/>
        <v>25</v>
      </c>
      <c r="X252" s="33">
        <f t="shared" si="77"/>
        <v>25</v>
      </c>
      <c r="Y252" s="32">
        <f t="shared" si="78"/>
        <v>-1</v>
      </c>
      <c r="Z252" s="32"/>
      <c r="AA252" s="30">
        <f t="shared" si="79"/>
        <v>6.656622380495822</v>
      </c>
      <c r="AB252" s="28">
        <f t="shared" si="80"/>
        <v>0.44577522365911387</v>
      </c>
      <c r="AC252" s="28">
        <f t="shared" si="81"/>
        <v>0.10964912280701754</v>
      </c>
      <c r="AD252" s="29">
        <f t="shared" si="82"/>
        <v>230.55028462998101</v>
      </c>
      <c r="AE252" s="28">
        <f t="shared" si="83"/>
        <v>0.10964912280701754</v>
      </c>
      <c r="AF252" s="28">
        <f t="shared" si="84"/>
        <v>0.33612610085209632</v>
      </c>
      <c r="AG252" s="28">
        <f t="shared" si="85"/>
        <v>0</v>
      </c>
      <c r="AI252" s="31">
        <f t="shared" si="86"/>
        <v>-7.6090276854366709E-3</v>
      </c>
      <c r="AJ252" s="25"/>
      <c r="AK252" s="31"/>
      <c r="AM252" s="27"/>
    </row>
    <row r="253" spans="4:39" x14ac:dyDescent="0.25">
      <c r="D253" s="25">
        <f>E253*'Profit per cycles Model'!$I$113</f>
        <v>2440</v>
      </c>
      <c r="E253" s="25">
        <v>6.6840158882344882</v>
      </c>
      <c r="F253" s="28">
        <f t="shared" si="67"/>
        <v>0.4098360655737705</v>
      </c>
      <c r="G253" s="28">
        <f>'Battery Pricing Model'!$C$17/D253</f>
        <v>0.4098360655737705</v>
      </c>
      <c r="H253" s="28">
        <f t="shared" si="68"/>
        <v>999</v>
      </c>
      <c r="I253" s="28"/>
      <c r="J253" s="34">
        <f>INDEX('Profit per cycles Model'!$I$149:$I$179, MATCH(TRUNC(E253, 0), 'Profit per cycles Model'!$H$149:$H$179, 0))</f>
        <v>0.44577522365911387</v>
      </c>
      <c r="K253" s="27">
        <f>AVERAGE($AB$10:AB253)</f>
        <v>0.40854455924227645</v>
      </c>
      <c r="L253" s="28">
        <f t="shared" si="69"/>
        <v>999</v>
      </c>
      <c r="M253" s="28">
        <f t="shared" si="70"/>
        <v>999</v>
      </c>
      <c r="N253" s="28">
        <f t="shared" si="71"/>
        <v>999</v>
      </c>
      <c r="O253" s="28"/>
      <c r="P253" s="29">
        <f t="shared" si="87"/>
        <v>0.24400000000000019</v>
      </c>
      <c r="Q253" s="33">
        <f t="shared" si="72"/>
        <v>6.7114093959731544</v>
      </c>
      <c r="R253" s="33">
        <f t="shared" si="73"/>
        <v>6.7114093959731544</v>
      </c>
      <c r="S253" s="33">
        <f t="shared" si="74"/>
        <v>-1</v>
      </c>
      <c r="T253" s="27"/>
      <c r="U253" s="28">
        <f t="shared" si="75"/>
        <v>0.10964912280701754</v>
      </c>
      <c r="V253" s="25">
        <f t="shared" si="76"/>
        <v>999</v>
      </c>
      <c r="W253" s="35">
        <f t="shared" si="88"/>
        <v>25</v>
      </c>
      <c r="X253" s="33">
        <f t="shared" si="77"/>
        <v>25</v>
      </c>
      <c r="Y253" s="32">
        <f t="shared" si="78"/>
        <v>-1</v>
      </c>
      <c r="Z253" s="32"/>
      <c r="AA253" s="30">
        <f t="shared" si="79"/>
        <v>6.6840158882344882</v>
      </c>
      <c r="AB253" s="28">
        <f t="shared" si="80"/>
        <v>0.44577522365911387</v>
      </c>
      <c r="AC253" s="28">
        <f t="shared" si="81"/>
        <v>0.10964912280701754</v>
      </c>
      <c r="AD253" s="29">
        <f t="shared" si="82"/>
        <v>231.49905123339661</v>
      </c>
      <c r="AE253" s="28">
        <f t="shared" si="83"/>
        <v>0.10964912280701754</v>
      </c>
      <c r="AF253" s="28">
        <f t="shared" si="84"/>
        <v>0.33612610085209632</v>
      </c>
      <c r="AG253" s="28">
        <f t="shared" si="85"/>
        <v>0</v>
      </c>
      <c r="AI253" s="31">
        <f t="shared" si="86"/>
        <v>-3.1512754488454875E-3</v>
      </c>
      <c r="AJ253" s="25"/>
      <c r="AK253" s="31"/>
      <c r="AM253" s="27"/>
    </row>
    <row r="254" spans="4:39" x14ac:dyDescent="0.25">
      <c r="D254" s="25">
        <f>E254*'Profit per cycles Model'!$I$113</f>
        <v>2450</v>
      </c>
      <c r="E254" s="25">
        <v>6.7114093959731544</v>
      </c>
      <c r="F254" s="28">
        <f t="shared" si="67"/>
        <v>0.40816326530612246</v>
      </c>
      <c r="G254" s="28">
        <f>'Battery Pricing Model'!$C$17/D254</f>
        <v>0.40816326530612246</v>
      </c>
      <c r="H254" s="28">
        <f t="shared" si="68"/>
        <v>999</v>
      </c>
      <c r="I254" s="28"/>
      <c r="J254" s="34">
        <f>INDEX('Profit per cycles Model'!$I$149:$I$179, MATCH(TRUNC(E254, 0), 'Profit per cycles Model'!$H$149:$H$179, 0))</f>
        <v>0.44577522365911387</v>
      </c>
      <c r="K254" s="27">
        <f>AVERAGE($AB$10:AB254)</f>
        <v>0.40869652113785537</v>
      </c>
      <c r="L254" s="28">
        <f t="shared" si="69"/>
        <v>5.3325583173291502E-4</v>
      </c>
      <c r="M254" s="28">
        <f t="shared" si="70"/>
        <v>5.3325583173291502E-4</v>
      </c>
      <c r="N254" s="28">
        <f t="shared" si="71"/>
        <v>999</v>
      </c>
      <c r="O254" s="28"/>
      <c r="P254" s="29">
        <f t="shared" si="87"/>
        <v>0.24500000000000019</v>
      </c>
      <c r="Q254" s="33">
        <f t="shared" si="72"/>
        <v>6.7114093959731544</v>
      </c>
      <c r="R254" s="33">
        <f t="shared" si="73"/>
        <v>6.7114093959731544</v>
      </c>
      <c r="S254" s="33">
        <f t="shared" si="74"/>
        <v>-1</v>
      </c>
      <c r="T254" s="27"/>
      <c r="U254" s="28">
        <f t="shared" si="75"/>
        <v>0.10964912280701754</v>
      </c>
      <c r="V254" s="25">
        <f t="shared" si="76"/>
        <v>999</v>
      </c>
      <c r="W254" s="35">
        <f t="shared" si="88"/>
        <v>25</v>
      </c>
      <c r="X254" s="33">
        <f t="shared" si="77"/>
        <v>25</v>
      </c>
      <c r="Y254" s="32">
        <f t="shared" si="78"/>
        <v>-1</v>
      </c>
      <c r="Z254" s="32"/>
      <c r="AA254" s="30">
        <f t="shared" si="79"/>
        <v>6.7114093959731544</v>
      </c>
      <c r="AB254" s="28">
        <f t="shared" si="80"/>
        <v>0.44577522365911387</v>
      </c>
      <c r="AC254" s="28">
        <f t="shared" si="81"/>
        <v>0.10964912280701754</v>
      </c>
      <c r="AD254" s="29">
        <f t="shared" si="82"/>
        <v>232.44781783681216</v>
      </c>
      <c r="AE254" s="28">
        <f t="shared" si="83"/>
        <v>0.10964912280701754</v>
      </c>
      <c r="AF254" s="28">
        <f t="shared" si="84"/>
        <v>0.33612610085209632</v>
      </c>
      <c r="AG254" s="28">
        <f t="shared" si="85"/>
        <v>0</v>
      </c>
      <c r="AI254" s="31">
        <f t="shared" si="86"/>
        <v>1.3064767877456417E-3</v>
      </c>
      <c r="AJ254" s="25"/>
      <c r="AK254" s="31"/>
      <c r="AM254" s="27"/>
    </row>
    <row r="255" spans="4:39" x14ac:dyDescent="0.25">
      <c r="D255" s="25">
        <f>E255*'Profit per cycles Model'!$I$113</f>
        <v>2460</v>
      </c>
      <c r="E255" s="25">
        <v>6.7388029037118198</v>
      </c>
      <c r="F255" s="28">
        <f t="shared" si="67"/>
        <v>0.4065040650406504</v>
      </c>
      <c r="G255" s="28">
        <f>'Battery Pricing Model'!$C$17/D255</f>
        <v>0.4065040650406504</v>
      </c>
      <c r="H255" s="28">
        <f t="shared" si="68"/>
        <v>999</v>
      </c>
      <c r="I255" s="28"/>
      <c r="J255" s="34">
        <f>INDEX('Profit per cycles Model'!$I$149:$I$179, MATCH(TRUNC(E255, 0), 'Profit per cycles Model'!$H$149:$H$179, 0))</f>
        <v>0.44577522365911387</v>
      </c>
      <c r="K255" s="27">
        <f>AVERAGE($AB$10:AB255)</f>
        <v>0.4088472475708686</v>
      </c>
      <c r="L255" s="28">
        <f t="shared" si="69"/>
        <v>2.3431825302182019E-3</v>
      </c>
      <c r="M255" s="28">
        <f t="shared" si="70"/>
        <v>2.3431825302182019E-3</v>
      </c>
      <c r="N255" s="28">
        <f t="shared" si="71"/>
        <v>999</v>
      </c>
      <c r="O255" s="28"/>
      <c r="P255" s="29">
        <f t="shared" si="87"/>
        <v>0.24600000000000019</v>
      </c>
      <c r="Q255" s="33">
        <f t="shared" si="72"/>
        <v>6.7114093959731544</v>
      </c>
      <c r="R255" s="33">
        <f t="shared" si="73"/>
        <v>6.7114093959731544</v>
      </c>
      <c r="S255" s="33">
        <f t="shared" si="74"/>
        <v>-1</v>
      </c>
      <c r="T255" s="27"/>
      <c r="U255" s="28">
        <f t="shared" si="75"/>
        <v>0.10964912280701754</v>
      </c>
      <c r="V255" s="25">
        <f t="shared" si="76"/>
        <v>999</v>
      </c>
      <c r="W255" s="35">
        <f t="shared" si="88"/>
        <v>25</v>
      </c>
      <c r="X255" s="33">
        <f t="shared" si="77"/>
        <v>25</v>
      </c>
      <c r="Y255" s="32">
        <f t="shared" si="78"/>
        <v>-1</v>
      </c>
      <c r="Z255" s="32"/>
      <c r="AA255" s="30">
        <f t="shared" si="79"/>
        <v>6.7388029037118198</v>
      </c>
      <c r="AB255" s="28">
        <f t="shared" si="80"/>
        <v>0.44577522365911387</v>
      </c>
      <c r="AC255" s="28">
        <f t="shared" si="81"/>
        <v>0.10964912280701754</v>
      </c>
      <c r="AD255" s="29">
        <f t="shared" si="82"/>
        <v>233.39658444022768</v>
      </c>
      <c r="AE255" s="28">
        <f t="shared" si="83"/>
        <v>0.10964912280701754</v>
      </c>
      <c r="AF255" s="28">
        <f t="shared" si="84"/>
        <v>0.33612610085209632</v>
      </c>
      <c r="AG255" s="28">
        <f t="shared" si="85"/>
        <v>0</v>
      </c>
      <c r="AI255" s="31">
        <f t="shared" si="86"/>
        <v>5.7642290243367766E-3</v>
      </c>
      <c r="AJ255" s="25"/>
      <c r="AK255" s="31"/>
      <c r="AM255" s="27"/>
    </row>
    <row r="256" spans="4:39" x14ac:dyDescent="0.25">
      <c r="D256" s="25">
        <f>E256*'Profit per cycles Model'!$I$113</f>
        <v>2470</v>
      </c>
      <c r="E256" s="25">
        <v>6.766196411450486</v>
      </c>
      <c r="F256" s="28">
        <f t="shared" si="67"/>
        <v>0.40485829959514169</v>
      </c>
      <c r="G256" s="28">
        <f>'Battery Pricing Model'!$C$17/D256</f>
        <v>0.40485829959514169</v>
      </c>
      <c r="H256" s="28">
        <f t="shared" si="68"/>
        <v>999</v>
      </c>
      <c r="I256" s="28"/>
      <c r="J256" s="34">
        <f>INDEX('Profit per cycles Model'!$I$149:$I$179, MATCH(TRUNC(E256, 0), 'Profit per cycles Model'!$H$149:$H$179, 0))</f>
        <v>0.44577522365911387</v>
      </c>
      <c r="K256" s="27">
        <f>AVERAGE($AB$10:AB256)</f>
        <v>0.40899675354693438</v>
      </c>
      <c r="L256" s="28">
        <f t="shared" si="69"/>
        <v>4.1384539517926866E-3</v>
      </c>
      <c r="M256" s="28">
        <f t="shared" si="70"/>
        <v>4.1384539517926866E-3</v>
      </c>
      <c r="N256" s="28">
        <f t="shared" si="71"/>
        <v>999</v>
      </c>
      <c r="O256" s="28"/>
      <c r="P256" s="29">
        <f t="shared" si="87"/>
        <v>0.24700000000000019</v>
      </c>
      <c r="Q256" s="33">
        <f t="shared" si="72"/>
        <v>6.7114093959731544</v>
      </c>
      <c r="R256" s="33">
        <f t="shared" si="73"/>
        <v>6.7114093959731544</v>
      </c>
      <c r="S256" s="33">
        <f t="shared" si="74"/>
        <v>-1</v>
      </c>
      <c r="T256" s="27"/>
      <c r="U256" s="28">
        <f t="shared" si="75"/>
        <v>0.10964912280701754</v>
      </c>
      <c r="V256" s="25">
        <f t="shared" si="76"/>
        <v>999</v>
      </c>
      <c r="W256" s="35">
        <f t="shared" si="88"/>
        <v>25</v>
      </c>
      <c r="X256" s="33">
        <f t="shared" si="77"/>
        <v>25</v>
      </c>
      <c r="Y256" s="32">
        <f t="shared" si="78"/>
        <v>-1</v>
      </c>
      <c r="Z256" s="32"/>
      <c r="AA256" s="30">
        <f t="shared" si="79"/>
        <v>6.766196411450486</v>
      </c>
      <c r="AB256" s="28">
        <f t="shared" si="80"/>
        <v>0.44577522365911387</v>
      </c>
      <c r="AC256" s="28">
        <f t="shared" si="81"/>
        <v>0.10964912280701754</v>
      </c>
      <c r="AD256" s="29">
        <f t="shared" si="82"/>
        <v>234.34535104364329</v>
      </c>
      <c r="AE256" s="28">
        <f t="shared" si="83"/>
        <v>0.10964912280701754</v>
      </c>
      <c r="AF256" s="28">
        <f t="shared" si="84"/>
        <v>0.33612610085209632</v>
      </c>
      <c r="AG256" s="28">
        <f t="shared" si="85"/>
        <v>0</v>
      </c>
      <c r="AI256" s="31">
        <f t="shared" si="86"/>
        <v>1.0221981260927937E-2</v>
      </c>
      <c r="AJ256" s="25"/>
      <c r="AK256" s="31"/>
      <c r="AM256" s="27"/>
    </row>
    <row r="257" spans="4:39" x14ac:dyDescent="0.25">
      <c r="D257" s="25">
        <f>E257*'Profit per cycles Model'!$I$113</f>
        <v>2480</v>
      </c>
      <c r="E257" s="25">
        <v>6.7935899191891522</v>
      </c>
      <c r="F257" s="28">
        <f t="shared" si="67"/>
        <v>0.40322580645161288</v>
      </c>
      <c r="G257" s="28">
        <f>'Battery Pricing Model'!$C$17/D257</f>
        <v>0.40322580645161288</v>
      </c>
      <c r="H257" s="28">
        <f t="shared" si="68"/>
        <v>999</v>
      </c>
      <c r="I257" s="28"/>
      <c r="J257" s="34">
        <f>INDEX('Profit per cycles Model'!$I$149:$I$179, MATCH(TRUNC(E257, 0), 'Profit per cycles Model'!$H$149:$H$179, 0))</f>
        <v>0.44577522365911387</v>
      </c>
      <c r="K257" s="27">
        <f>AVERAGE($AB$10:AB257)</f>
        <v>0.40914505382964478</v>
      </c>
      <c r="L257" s="28">
        <f t="shared" si="69"/>
        <v>5.9192473780318999E-3</v>
      </c>
      <c r="M257" s="28">
        <f t="shared" si="70"/>
        <v>5.9192473780318999E-3</v>
      </c>
      <c r="N257" s="28">
        <f t="shared" si="71"/>
        <v>999</v>
      </c>
      <c r="O257" s="28"/>
      <c r="P257" s="29">
        <f t="shared" si="87"/>
        <v>0.24800000000000019</v>
      </c>
      <c r="Q257" s="33">
        <f t="shared" si="72"/>
        <v>6.7114093959731544</v>
      </c>
      <c r="R257" s="33">
        <f t="shared" si="73"/>
        <v>6.7114093959731544</v>
      </c>
      <c r="S257" s="33">
        <f t="shared" si="74"/>
        <v>-1</v>
      </c>
      <c r="T257" s="27"/>
      <c r="U257" s="28">
        <f t="shared" si="75"/>
        <v>0.10964912280701754</v>
      </c>
      <c r="V257" s="25">
        <f t="shared" si="76"/>
        <v>999</v>
      </c>
      <c r="W257" s="35">
        <f t="shared" si="88"/>
        <v>25</v>
      </c>
      <c r="X257" s="33">
        <f t="shared" si="77"/>
        <v>25</v>
      </c>
      <c r="Y257" s="32">
        <f t="shared" si="78"/>
        <v>-1</v>
      </c>
      <c r="Z257" s="32"/>
      <c r="AA257" s="30">
        <f t="shared" si="79"/>
        <v>6.7935899191891522</v>
      </c>
      <c r="AB257" s="28">
        <f t="shared" si="80"/>
        <v>0.44577522365911387</v>
      </c>
      <c r="AC257" s="28">
        <f t="shared" si="81"/>
        <v>0.10964912280701754</v>
      </c>
      <c r="AD257" s="29">
        <f t="shared" si="82"/>
        <v>235.29411764705884</v>
      </c>
      <c r="AE257" s="28">
        <f t="shared" si="83"/>
        <v>0.10964912280701754</v>
      </c>
      <c r="AF257" s="28">
        <f t="shared" si="84"/>
        <v>0.33612610085209632</v>
      </c>
      <c r="AG257" s="28">
        <f t="shared" si="85"/>
        <v>0</v>
      </c>
      <c r="AI257" s="31">
        <f t="shared" si="86"/>
        <v>1.4679733497519113E-2</v>
      </c>
      <c r="AJ257" s="25"/>
      <c r="AK257" s="31"/>
      <c r="AM257" s="27"/>
    </row>
    <row r="258" spans="4:39" x14ac:dyDescent="0.25">
      <c r="D258" s="25">
        <f>E258*'Profit per cycles Model'!$I$113</f>
        <v>2490</v>
      </c>
      <c r="E258" s="25">
        <v>6.8209834269278176</v>
      </c>
      <c r="F258" s="28">
        <f t="shared" si="67"/>
        <v>0.40160642570281124</v>
      </c>
      <c r="G258" s="28">
        <f>'Battery Pricing Model'!$C$17/D258</f>
        <v>0.40160642570281124</v>
      </c>
      <c r="H258" s="28">
        <f t="shared" si="68"/>
        <v>999</v>
      </c>
      <c r="I258" s="28"/>
      <c r="J258" s="34">
        <f>INDEX('Profit per cycles Model'!$I$149:$I$179, MATCH(TRUNC(E258, 0), 'Profit per cycles Model'!$H$149:$H$179, 0))</f>
        <v>0.44577522365911387</v>
      </c>
      <c r="K258" s="27">
        <f>AVERAGE($AB$10:AB258)</f>
        <v>0.40929216294542575</v>
      </c>
      <c r="L258" s="28">
        <f t="shared" si="69"/>
        <v>7.6857372426145099E-3</v>
      </c>
      <c r="M258" s="28">
        <f t="shared" si="70"/>
        <v>7.6857372426145099E-3</v>
      </c>
      <c r="N258" s="28">
        <f t="shared" si="71"/>
        <v>999</v>
      </c>
      <c r="O258" s="28"/>
      <c r="P258" s="29">
        <f t="shared" si="87"/>
        <v>0.24900000000000019</v>
      </c>
      <c r="Q258" s="33">
        <f t="shared" si="72"/>
        <v>6.7114093959731544</v>
      </c>
      <c r="R258" s="33">
        <f t="shared" si="73"/>
        <v>6.7114093959731544</v>
      </c>
      <c r="S258" s="33">
        <f t="shared" si="74"/>
        <v>-1</v>
      </c>
      <c r="T258" s="27"/>
      <c r="U258" s="28">
        <f t="shared" si="75"/>
        <v>0.10964912280701754</v>
      </c>
      <c r="V258" s="25">
        <f t="shared" si="76"/>
        <v>999</v>
      </c>
      <c r="W258" s="35">
        <f t="shared" si="88"/>
        <v>25</v>
      </c>
      <c r="X258" s="33">
        <f t="shared" si="77"/>
        <v>25</v>
      </c>
      <c r="Y258" s="32">
        <f t="shared" si="78"/>
        <v>-1</v>
      </c>
      <c r="Z258" s="32"/>
      <c r="AA258" s="30">
        <f t="shared" si="79"/>
        <v>6.8209834269278176</v>
      </c>
      <c r="AB258" s="28">
        <f t="shared" si="80"/>
        <v>0.44577522365911387</v>
      </c>
      <c r="AC258" s="28">
        <f t="shared" si="81"/>
        <v>0.10964912280701754</v>
      </c>
      <c r="AD258" s="29">
        <f t="shared" si="82"/>
        <v>236.24288425047436</v>
      </c>
      <c r="AE258" s="28">
        <f t="shared" si="83"/>
        <v>0.10964912280701754</v>
      </c>
      <c r="AF258" s="28">
        <f t="shared" si="84"/>
        <v>0.33612610085209632</v>
      </c>
      <c r="AG258" s="28">
        <f t="shared" si="85"/>
        <v>0</v>
      </c>
      <c r="AI258" s="31">
        <f t="shared" si="86"/>
        <v>1.913748573411013E-2</v>
      </c>
      <c r="AJ258" s="25"/>
      <c r="AK258" s="31"/>
      <c r="AM258" s="27"/>
    </row>
    <row r="259" spans="4:39" x14ac:dyDescent="0.25">
      <c r="D259" s="25">
        <f>E259*'Profit per cycles Model'!$I$113</f>
        <v>2500</v>
      </c>
      <c r="E259" s="25">
        <v>6.8483769346664838</v>
      </c>
      <c r="F259" s="28">
        <f t="shared" si="67"/>
        <v>0.4</v>
      </c>
      <c r="G259" s="28">
        <f>'Battery Pricing Model'!$C$17/D259</f>
        <v>0.4</v>
      </c>
      <c r="H259" s="28">
        <f t="shared" si="68"/>
        <v>999</v>
      </c>
      <c r="I259" s="28"/>
      <c r="J259" s="34">
        <f>INDEX('Profit per cycles Model'!$I$149:$I$179, MATCH(TRUNC(E259, 0), 'Profit per cycles Model'!$H$149:$H$179, 0))</f>
        <v>0.44577522365911387</v>
      </c>
      <c r="K259" s="27">
        <f>AVERAGE($AB$10:AB259)</f>
        <v>0.4094380951882805</v>
      </c>
      <c r="L259" s="28">
        <f t="shared" si="69"/>
        <v>9.438095188280482E-3</v>
      </c>
      <c r="M259" s="28">
        <f t="shared" si="70"/>
        <v>9.438095188280482E-3</v>
      </c>
      <c r="N259" s="28">
        <f t="shared" si="71"/>
        <v>999</v>
      </c>
      <c r="O259" s="28"/>
      <c r="P259" s="29">
        <f t="shared" si="87"/>
        <v>0.25000000000000017</v>
      </c>
      <c r="Q259" s="33">
        <f t="shared" si="72"/>
        <v>6.7114093959731544</v>
      </c>
      <c r="R259" s="33">
        <f t="shared" si="73"/>
        <v>6.7114093959731544</v>
      </c>
      <c r="S259" s="33">
        <f t="shared" si="74"/>
        <v>-1</v>
      </c>
      <c r="T259" s="27"/>
      <c r="U259" s="28">
        <f t="shared" si="75"/>
        <v>0.10964912280701754</v>
      </c>
      <c r="V259" s="25">
        <f t="shared" si="76"/>
        <v>999</v>
      </c>
      <c r="W259" s="35">
        <f t="shared" si="88"/>
        <v>25</v>
      </c>
      <c r="X259" s="33">
        <f t="shared" si="77"/>
        <v>25</v>
      </c>
      <c r="Y259" s="32">
        <f t="shared" si="78"/>
        <v>-1</v>
      </c>
      <c r="Z259" s="32"/>
      <c r="AA259" s="30">
        <f t="shared" si="79"/>
        <v>6.8483769346664838</v>
      </c>
      <c r="AB259" s="28">
        <f t="shared" si="80"/>
        <v>0.44577522365911387</v>
      </c>
      <c r="AC259" s="28">
        <f t="shared" si="81"/>
        <v>0.10964912280701754</v>
      </c>
      <c r="AD259" s="29">
        <f t="shared" si="82"/>
        <v>237.19165085388994</v>
      </c>
      <c r="AE259" s="28">
        <f t="shared" si="83"/>
        <v>0.10964912280701754</v>
      </c>
      <c r="AF259" s="28">
        <f t="shared" si="84"/>
        <v>0.33612610085209632</v>
      </c>
      <c r="AG259" s="28">
        <f t="shared" si="85"/>
        <v>0</v>
      </c>
      <c r="AI259" s="31">
        <f t="shared" si="86"/>
        <v>2.3595237970701205E-2</v>
      </c>
      <c r="AJ259" s="25"/>
      <c r="AK259" s="31"/>
      <c r="AM259" s="27"/>
    </row>
    <row r="260" spans="4:39" x14ac:dyDescent="0.25">
      <c r="D260" s="25">
        <f>E260*'Profit per cycles Model'!$I$113</f>
        <v>2510</v>
      </c>
      <c r="E260" s="25">
        <v>6.87577044240515</v>
      </c>
      <c r="F260" s="28">
        <f t="shared" si="67"/>
        <v>0.39840637450199201</v>
      </c>
      <c r="G260" s="28">
        <f>'Battery Pricing Model'!$C$17/D260</f>
        <v>0.39840637450199201</v>
      </c>
      <c r="H260" s="28">
        <f t="shared" si="68"/>
        <v>999</v>
      </c>
      <c r="I260" s="28"/>
      <c r="J260" s="34">
        <f>INDEX('Profit per cycles Model'!$I$149:$I$179, MATCH(TRUNC(E260, 0), 'Profit per cycles Model'!$H$149:$H$179, 0))</f>
        <v>0.44577522365911387</v>
      </c>
      <c r="K260" s="27">
        <f>AVERAGE($AB$10:AB260)</f>
        <v>0.40958286462441928</v>
      </c>
      <c r="L260" s="28">
        <f t="shared" si="69"/>
        <v>1.1176490122427274E-2</v>
      </c>
      <c r="M260" s="28">
        <f t="shared" si="70"/>
        <v>1.1176490122427274E-2</v>
      </c>
      <c r="N260" s="28">
        <f t="shared" si="71"/>
        <v>999</v>
      </c>
      <c r="O260" s="28"/>
      <c r="P260" s="29">
        <f t="shared" si="87"/>
        <v>0.25100000000000017</v>
      </c>
      <c r="Q260" s="33">
        <f t="shared" si="72"/>
        <v>6.7114093959731544</v>
      </c>
      <c r="R260" s="33">
        <f t="shared" si="73"/>
        <v>6.7114093959731544</v>
      </c>
      <c r="S260" s="33">
        <f t="shared" si="74"/>
        <v>-1</v>
      </c>
      <c r="T260" s="27"/>
      <c r="U260" s="28">
        <f t="shared" si="75"/>
        <v>0.10964912280701754</v>
      </c>
      <c r="V260" s="25">
        <f t="shared" si="76"/>
        <v>999</v>
      </c>
      <c r="W260" s="35">
        <f t="shared" si="88"/>
        <v>25</v>
      </c>
      <c r="X260" s="33">
        <f t="shared" si="77"/>
        <v>25</v>
      </c>
      <c r="Y260" s="32">
        <f t="shared" si="78"/>
        <v>-1</v>
      </c>
      <c r="Z260" s="32"/>
      <c r="AA260" s="30">
        <f t="shared" si="79"/>
        <v>6.87577044240515</v>
      </c>
      <c r="AB260" s="28">
        <f t="shared" si="80"/>
        <v>0.44577522365911387</v>
      </c>
      <c r="AC260" s="28">
        <f t="shared" si="81"/>
        <v>0.10964912280701754</v>
      </c>
      <c r="AD260" s="29">
        <f t="shared" si="82"/>
        <v>238.14041745730552</v>
      </c>
      <c r="AE260" s="28">
        <f t="shared" si="83"/>
        <v>0.10964912280701754</v>
      </c>
      <c r="AF260" s="28">
        <f t="shared" si="84"/>
        <v>0.33612610085209632</v>
      </c>
      <c r="AG260" s="28">
        <f t="shared" si="85"/>
        <v>0</v>
      </c>
      <c r="AI260" s="31">
        <f t="shared" si="86"/>
        <v>2.8052990207292457E-2</v>
      </c>
      <c r="AJ260" s="25"/>
      <c r="AK260" s="31"/>
      <c r="AM260" s="27"/>
    </row>
    <row r="261" spans="4:39" x14ac:dyDescent="0.25">
      <c r="D261" s="25">
        <f>E261*'Profit per cycles Model'!$I$113</f>
        <v>2520</v>
      </c>
      <c r="E261" s="25">
        <v>6.9031639501438153</v>
      </c>
      <c r="F261" s="28">
        <f t="shared" si="67"/>
        <v>0.3968253968253968</v>
      </c>
      <c r="G261" s="28">
        <f>'Battery Pricing Model'!$C$17/D261</f>
        <v>0.3968253968253968</v>
      </c>
      <c r="H261" s="28">
        <f t="shared" si="68"/>
        <v>999</v>
      </c>
      <c r="I261" s="28"/>
      <c r="J261" s="34">
        <f>INDEX('Profit per cycles Model'!$I$149:$I$179, MATCH(TRUNC(E261, 0), 'Profit per cycles Model'!$H$149:$H$179, 0))</f>
        <v>0.44577522365911387</v>
      </c>
      <c r="K261" s="27">
        <f>AVERAGE($AB$10:AB261)</f>
        <v>0.40972648509677917</v>
      </c>
      <c r="L261" s="28">
        <f t="shared" si="69"/>
        <v>1.2901088271382366E-2</v>
      </c>
      <c r="M261" s="28">
        <f t="shared" si="70"/>
        <v>1.2901088271382366E-2</v>
      </c>
      <c r="N261" s="28">
        <f t="shared" si="71"/>
        <v>999</v>
      </c>
      <c r="O261" s="28"/>
      <c r="P261" s="29">
        <f t="shared" si="87"/>
        <v>0.25200000000000017</v>
      </c>
      <c r="Q261" s="33">
        <f t="shared" si="72"/>
        <v>6.7114093959731544</v>
      </c>
      <c r="R261" s="33">
        <f t="shared" si="73"/>
        <v>6.7114093959731544</v>
      </c>
      <c r="S261" s="33">
        <f t="shared" si="74"/>
        <v>-1</v>
      </c>
      <c r="T261" s="27"/>
      <c r="U261" s="28">
        <f t="shared" si="75"/>
        <v>0.10964912280701754</v>
      </c>
      <c r="V261" s="25">
        <f t="shared" si="76"/>
        <v>999</v>
      </c>
      <c r="W261" s="35">
        <f t="shared" si="88"/>
        <v>25</v>
      </c>
      <c r="X261" s="33">
        <f t="shared" si="77"/>
        <v>25</v>
      </c>
      <c r="Y261" s="32">
        <f t="shared" si="78"/>
        <v>-1</v>
      </c>
      <c r="Z261" s="32"/>
      <c r="AA261" s="30">
        <f t="shared" si="79"/>
        <v>6.9031639501438153</v>
      </c>
      <c r="AB261" s="28">
        <f t="shared" si="80"/>
        <v>0.44577522365911387</v>
      </c>
      <c r="AC261" s="28">
        <f t="shared" si="81"/>
        <v>0.10964912280701754</v>
      </c>
      <c r="AD261" s="29">
        <f t="shared" si="82"/>
        <v>239.08918406072107</v>
      </c>
      <c r="AE261" s="28">
        <f t="shared" si="83"/>
        <v>0.10964912280701754</v>
      </c>
      <c r="AF261" s="28">
        <f t="shared" si="84"/>
        <v>0.33612610085209632</v>
      </c>
      <c r="AG261" s="28">
        <f t="shared" si="85"/>
        <v>0</v>
      </c>
      <c r="AI261" s="31">
        <f t="shared" si="86"/>
        <v>3.2510742443883564E-2</v>
      </c>
      <c r="AJ261" s="25"/>
      <c r="AK261" s="31"/>
      <c r="AM261" s="27"/>
    </row>
    <row r="262" spans="4:39" x14ac:dyDescent="0.25">
      <c r="D262" s="25">
        <f>E262*'Profit per cycles Model'!$I$113</f>
        <v>2530</v>
      </c>
      <c r="E262" s="25">
        <v>6.9305574578824816</v>
      </c>
      <c r="F262" s="28">
        <f t="shared" si="67"/>
        <v>0.39525691699604742</v>
      </c>
      <c r="G262" s="28">
        <f>'Battery Pricing Model'!$C$17/D262</f>
        <v>0.39525691699604742</v>
      </c>
      <c r="H262" s="28">
        <f t="shared" si="68"/>
        <v>999</v>
      </c>
      <c r="I262" s="28"/>
      <c r="J262" s="34">
        <f>INDEX('Profit per cycles Model'!$I$149:$I$179, MATCH(TRUNC(E262, 0), 'Profit per cycles Model'!$H$149:$H$179, 0))</f>
        <v>0.44577522365911387</v>
      </c>
      <c r="K262" s="27">
        <f>AVERAGE($AB$10:AB262)</f>
        <v>0.40986897022943658</v>
      </c>
      <c r="L262" s="28">
        <f t="shared" si="69"/>
        <v>1.4612053233389155E-2</v>
      </c>
      <c r="M262" s="28">
        <f t="shared" si="70"/>
        <v>1.4612053233389155E-2</v>
      </c>
      <c r="N262" s="28">
        <f t="shared" si="71"/>
        <v>999</v>
      </c>
      <c r="O262" s="28"/>
      <c r="P262" s="29">
        <f t="shared" si="87"/>
        <v>0.25300000000000017</v>
      </c>
      <c r="Q262" s="33">
        <f t="shared" si="72"/>
        <v>6.7114093959731544</v>
      </c>
      <c r="R262" s="33">
        <f t="shared" si="73"/>
        <v>6.7114093959731544</v>
      </c>
      <c r="S262" s="33">
        <f t="shared" si="74"/>
        <v>-1</v>
      </c>
      <c r="T262" s="27"/>
      <c r="U262" s="28">
        <f t="shared" si="75"/>
        <v>0.10964912280701754</v>
      </c>
      <c r="V262" s="25">
        <f t="shared" si="76"/>
        <v>999</v>
      </c>
      <c r="W262" s="35">
        <f t="shared" si="88"/>
        <v>25</v>
      </c>
      <c r="X262" s="33">
        <f t="shared" si="77"/>
        <v>25</v>
      </c>
      <c r="Y262" s="32">
        <f t="shared" si="78"/>
        <v>-1</v>
      </c>
      <c r="Z262" s="32"/>
      <c r="AA262" s="30">
        <f t="shared" si="79"/>
        <v>6.9305574578824816</v>
      </c>
      <c r="AB262" s="28">
        <f t="shared" si="80"/>
        <v>0.44577522365911387</v>
      </c>
      <c r="AC262" s="28">
        <f t="shared" si="81"/>
        <v>0.10964912280701754</v>
      </c>
      <c r="AD262" s="29">
        <f t="shared" si="82"/>
        <v>240.03795066413662</v>
      </c>
      <c r="AE262" s="28">
        <f t="shared" si="83"/>
        <v>0.10964912280701754</v>
      </c>
      <c r="AF262" s="28">
        <f t="shared" si="84"/>
        <v>0.33612610085209632</v>
      </c>
      <c r="AG262" s="28">
        <f t="shared" si="85"/>
        <v>0</v>
      </c>
      <c r="AI262" s="31">
        <f t="shared" si="86"/>
        <v>3.6968494680474563E-2</v>
      </c>
      <c r="AJ262" s="25"/>
      <c r="AK262" s="31"/>
      <c r="AM262" s="27"/>
    </row>
    <row r="263" spans="4:39" x14ac:dyDescent="0.25">
      <c r="D263" s="25">
        <f>E263*'Profit per cycles Model'!$I$113</f>
        <v>2540</v>
      </c>
      <c r="E263" s="25">
        <v>6.9579509656211478</v>
      </c>
      <c r="F263" s="28">
        <f t="shared" si="67"/>
        <v>0.39370078740157483</v>
      </c>
      <c r="G263" s="28">
        <f>'Battery Pricing Model'!$C$17/D263</f>
        <v>0.39370078740157483</v>
      </c>
      <c r="H263" s="28">
        <f t="shared" si="68"/>
        <v>999</v>
      </c>
      <c r="I263" s="28"/>
      <c r="J263" s="34">
        <f>INDEX('Profit per cycles Model'!$I$149:$I$179, MATCH(TRUNC(E263, 0), 'Profit per cycles Model'!$H$149:$H$179, 0))</f>
        <v>0.44577522365911387</v>
      </c>
      <c r="K263" s="27">
        <f>AVERAGE($AB$10:AB263)</f>
        <v>0.41001033343191562</v>
      </c>
      <c r="L263" s="28">
        <f t="shared" si="69"/>
        <v>1.6309546030340794E-2</v>
      </c>
      <c r="M263" s="28">
        <f t="shared" si="70"/>
        <v>1.6309546030340794E-2</v>
      </c>
      <c r="N263" s="28">
        <f t="shared" si="71"/>
        <v>999</v>
      </c>
      <c r="O263" s="28"/>
      <c r="P263" s="29">
        <f t="shared" si="87"/>
        <v>0.25400000000000017</v>
      </c>
      <c r="Q263" s="33">
        <f t="shared" si="72"/>
        <v>6.7114093959731544</v>
      </c>
      <c r="R263" s="33">
        <f t="shared" si="73"/>
        <v>6.7114093959731544</v>
      </c>
      <c r="S263" s="33">
        <f t="shared" si="74"/>
        <v>-1</v>
      </c>
      <c r="T263" s="27"/>
      <c r="U263" s="28">
        <f t="shared" si="75"/>
        <v>0.10964912280701754</v>
      </c>
      <c r="V263" s="25">
        <f t="shared" si="76"/>
        <v>999</v>
      </c>
      <c r="W263" s="35">
        <f t="shared" si="88"/>
        <v>25</v>
      </c>
      <c r="X263" s="33">
        <f t="shared" si="77"/>
        <v>25</v>
      </c>
      <c r="Y263" s="32">
        <f t="shared" si="78"/>
        <v>-1</v>
      </c>
      <c r="Z263" s="32"/>
      <c r="AA263" s="30">
        <f t="shared" si="79"/>
        <v>6.9579509656211478</v>
      </c>
      <c r="AB263" s="28">
        <f t="shared" si="80"/>
        <v>0.44577522365911387</v>
      </c>
      <c r="AC263" s="28">
        <f t="shared" si="81"/>
        <v>0.10964912280701754</v>
      </c>
      <c r="AD263" s="29">
        <f t="shared" si="82"/>
        <v>240.98671726755219</v>
      </c>
      <c r="AE263" s="28">
        <f t="shared" si="83"/>
        <v>0.10964912280701754</v>
      </c>
      <c r="AF263" s="28">
        <f t="shared" si="84"/>
        <v>0.33612610085209632</v>
      </c>
      <c r="AG263" s="28">
        <f t="shared" si="85"/>
        <v>0</v>
      </c>
      <c r="AI263" s="31">
        <f t="shared" si="86"/>
        <v>4.1426246917065611E-2</v>
      </c>
      <c r="AJ263" s="25"/>
      <c r="AK263" s="31"/>
      <c r="AM263" s="27"/>
    </row>
    <row r="264" spans="4:39" x14ac:dyDescent="0.25">
      <c r="D264" s="25">
        <f>E264*'Profit per cycles Model'!$I$113</f>
        <v>2550</v>
      </c>
      <c r="E264" s="25">
        <v>6.9853444733598131</v>
      </c>
      <c r="F264" s="28">
        <f t="shared" si="67"/>
        <v>0.39215686274509803</v>
      </c>
      <c r="G264" s="28">
        <f>'Battery Pricing Model'!$C$17/D264</f>
        <v>0.39215686274509803</v>
      </c>
      <c r="H264" s="28">
        <f t="shared" si="68"/>
        <v>999</v>
      </c>
      <c r="I264" s="28"/>
      <c r="J264" s="34">
        <f>INDEX('Profit per cycles Model'!$I$149:$I$179, MATCH(TRUNC(E264, 0), 'Profit per cycles Model'!$H$149:$H$179, 0))</f>
        <v>0.44577522365911387</v>
      </c>
      <c r="K264" s="27">
        <f>AVERAGE($AB$10:AB264)</f>
        <v>0.41015058790339481</v>
      </c>
      <c r="L264" s="28">
        <f t="shared" si="69"/>
        <v>1.7993725158296781E-2</v>
      </c>
      <c r="M264" s="28">
        <f t="shared" si="70"/>
        <v>1.7993725158296781E-2</v>
      </c>
      <c r="N264" s="28">
        <f t="shared" si="71"/>
        <v>999</v>
      </c>
      <c r="O264" s="28"/>
      <c r="P264" s="29">
        <f t="shared" si="87"/>
        <v>0.25500000000000017</v>
      </c>
      <c r="Q264" s="33">
        <f t="shared" si="72"/>
        <v>6.7114093959731544</v>
      </c>
      <c r="R264" s="33">
        <f t="shared" si="73"/>
        <v>6.7114093959731544</v>
      </c>
      <c r="S264" s="33">
        <f t="shared" si="74"/>
        <v>-1</v>
      </c>
      <c r="T264" s="27"/>
      <c r="U264" s="28">
        <f t="shared" si="75"/>
        <v>0.10964912280701754</v>
      </c>
      <c r="V264" s="25">
        <f t="shared" si="76"/>
        <v>999</v>
      </c>
      <c r="W264" s="35">
        <f t="shared" si="88"/>
        <v>25</v>
      </c>
      <c r="X264" s="33">
        <f t="shared" si="77"/>
        <v>25</v>
      </c>
      <c r="Y264" s="32">
        <f t="shared" si="78"/>
        <v>-1</v>
      </c>
      <c r="Z264" s="32"/>
      <c r="AA264" s="30">
        <f t="shared" si="79"/>
        <v>6.9853444733598131</v>
      </c>
      <c r="AB264" s="28">
        <f t="shared" si="80"/>
        <v>0.44577522365911387</v>
      </c>
      <c r="AC264" s="28">
        <f t="shared" si="81"/>
        <v>0.10964912280701754</v>
      </c>
      <c r="AD264" s="29">
        <f t="shared" si="82"/>
        <v>241.93548387096774</v>
      </c>
      <c r="AE264" s="28">
        <f t="shared" si="83"/>
        <v>0.10964912280701754</v>
      </c>
      <c r="AF264" s="28">
        <f t="shared" si="84"/>
        <v>0.33612610085209632</v>
      </c>
      <c r="AG264" s="28">
        <f t="shared" si="85"/>
        <v>0</v>
      </c>
      <c r="AI264" s="31">
        <f t="shared" si="86"/>
        <v>4.588399915365679E-2</v>
      </c>
      <c r="AJ264" s="25"/>
      <c r="AK264" s="31"/>
      <c r="AM264" s="27"/>
    </row>
    <row r="265" spans="4:39" x14ac:dyDescent="0.25">
      <c r="D265" s="25">
        <f>E265*'Profit per cycles Model'!$I$113</f>
        <v>2560</v>
      </c>
      <c r="E265" s="25">
        <v>7.0127379810984793</v>
      </c>
      <c r="F265" s="28">
        <f t="shared" si="67"/>
        <v>0.390625</v>
      </c>
      <c r="G265" s="28">
        <f>'Battery Pricing Model'!$C$17/D265</f>
        <v>0.390625</v>
      </c>
      <c r="H265" s="28">
        <f t="shared" si="68"/>
        <v>999</v>
      </c>
      <c r="I265" s="28"/>
      <c r="J265" s="34">
        <f>INDEX('Profit per cycles Model'!$I$149:$I$179, MATCH(TRUNC(E265, 0), 'Profit per cycles Model'!$H$149:$H$179, 0))</f>
        <v>0.45844901601529758</v>
      </c>
      <c r="K265" s="27">
        <f>AVERAGE($AB$10:AB265)</f>
        <v>0.41033925363820695</v>
      </c>
      <c r="L265" s="28">
        <f t="shared" si="69"/>
        <v>1.9714253638206947E-2</v>
      </c>
      <c r="M265" s="28">
        <f t="shared" si="70"/>
        <v>1.9714253638206947E-2</v>
      </c>
      <c r="N265" s="28">
        <f t="shared" si="71"/>
        <v>999</v>
      </c>
      <c r="O265" s="28"/>
      <c r="P265" s="29">
        <f t="shared" si="87"/>
        <v>0.25600000000000017</v>
      </c>
      <c r="Q265" s="33">
        <f t="shared" si="72"/>
        <v>6.7114093959731544</v>
      </c>
      <c r="R265" s="33">
        <f t="shared" si="73"/>
        <v>6.7114093959731544</v>
      </c>
      <c r="S265" s="33">
        <f t="shared" si="74"/>
        <v>-1</v>
      </c>
      <c r="T265" s="27"/>
      <c r="U265" s="28">
        <f t="shared" si="75"/>
        <v>0.10964912280701754</v>
      </c>
      <c r="V265" s="25">
        <f t="shared" si="76"/>
        <v>999</v>
      </c>
      <c r="W265" s="35">
        <f t="shared" si="88"/>
        <v>25</v>
      </c>
      <c r="X265" s="33">
        <f t="shared" si="77"/>
        <v>25</v>
      </c>
      <c r="Y265" s="32">
        <f t="shared" si="78"/>
        <v>-1</v>
      </c>
      <c r="Z265" s="32"/>
      <c r="AA265" s="30">
        <f t="shared" si="79"/>
        <v>7.0127379810984793</v>
      </c>
      <c r="AB265" s="28">
        <f t="shared" si="80"/>
        <v>0.45844901601529758</v>
      </c>
      <c r="AC265" s="28">
        <f t="shared" si="81"/>
        <v>0.10964912280701754</v>
      </c>
      <c r="AD265" s="29">
        <f t="shared" si="82"/>
        <v>242.88425047438329</v>
      </c>
      <c r="AE265" s="28">
        <f t="shared" si="83"/>
        <v>0.10964912280701754</v>
      </c>
      <c r="AF265" s="28">
        <f t="shared" si="84"/>
        <v>0.34879989320828003</v>
      </c>
      <c r="AG265" s="28">
        <f t="shared" si="85"/>
        <v>0</v>
      </c>
      <c r="AI265" s="31">
        <f t="shared" si="86"/>
        <v>5.0468489313809782E-2</v>
      </c>
      <c r="AJ265" s="25"/>
      <c r="AK265" s="31"/>
      <c r="AM265" s="27"/>
    </row>
    <row r="266" spans="4:39" x14ac:dyDescent="0.25">
      <c r="D266" s="25">
        <f>E266*'Profit per cycles Model'!$I$113</f>
        <v>2570</v>
      </c>
      <c r="E266" s="25">
        <v>7.0401314888371456</v>
      </c>
      <c r="F266" s="28">
        <f t="shared" ref="F266:F329" si="89">IF(OR($H$6="None", $H$6=0), G266, H266)</f>
        <v>0.38910505836575876</v>
      </c>
      <c r="G266" s="28">
        <f>'Battery Pricing Model'!$C$17/D266</f>
        <v>0.38910505836575876</v>
      </c>
      <c r="H266" s="28">
        <f t="shared" ref="H266:H329" si="90">IF(OR($H$6="None", $H$6=0), 999, $G266*(H$6))</f>
        <v>999</v>
      </c>
      <c r="I266" s="28"/>
      <c r="J266" s="34">
        <f>INDEX('Profit per cycles Model'!$I$149:$I$179, MATCH(TRUNC(E266, 0), 'Profit per cycles Model'!$H$149:$H$179, 0))</f>
        <v>0.45844901601529758</v>
      </c>
      <c r="K266" s="27">
        <f>AVERAGE($AB$10:AB266)</f>
        <v>0.41052645115718395</v>
      </c>
      <c r="L266" s="28">
        <f t="shared" ref="L266:L329" si="91">IF(K266-F266&lt;0, 999, K266-F266)</f>
        <v>2.1421392791425187E-2</v>
      </c>
      <c r="M266" s="28">
        <f t="shared" ref="M266:M329" si="92">IF(K266-F266&lt;0, 999, K266-F266)</f>
        <v>2.1421392791425187E-2</v>
      </c>
      <c r="N266" s="28">
        <f t="shared" ref="N266:N329" si="93">IF(K266-H266&lt;0, 999, K266-H266)</f>
        <v>999</v>
      </c>
      <c r="O266" s="28"/>
      <c r="P266" s="29">
        <f t="shared" si="87"/>
        <v>0.25700000000000017</v>
      </c>
      <c r="Q266" s="33">
        <f t="shared" ref="Q266:Q329" si="94">$L$5</f>
        <v>6.7114093959731544</v>
      </c>
      <c r="R266" s="33">
        <f t="shared" ref="R266:R329" si="95">$M$5</f>
        <v>6.7114093959731544</v>
      </c>
      <c r="S266" s="33">
        <f t="shared" ref="S266:S329" si="96">$N$5</f>
        <v>-1</v>
      </c>
      <c r="T266" s="27"/>
      <c r="U266" s="28">
        <f t="shared" ref="U266:U329" si="97">IF(ISNA(INDEX($F$10:$F$1063,MATCH(W266,$E$10:$E$1063,1))),-1,INDEX($F$10:$F$1063,MATCH(W266,$E$10:$E$1063,1)))</f>
        <v>0.10964912280701754</v>
      </c>
      <c r="V266" s="25">
        <f t="shared" ref="V266:V329" si="98">IF(ISNA(INDEX($H$10:$H$1063, MATCH(X266, $E$10:$E$1063,1))),-1,  INDEX($H$10:$H$1063, MATCH(X266, $E$10:$E$1063,1)))</f>
        <v>999</v>
      </c>
      <c r="W266" s="35">
        <f t="shared" si="88"/>
        <v>25</v>
      </c>
      <c r="X266" s="33">
        <f t="shared" ref="X266:X329" si="99">IF(PaybackCustom&gt;0, IF(PaybackCustom&lt;&gt;"Default", PaybackCustom, IF(PaybackStatus&lt;&gt;"",INDEX($Y$2:$Y$6,MATCH(PaybackStatus,$X$2:$X$6,FALSE)),-1)))</f>
        <v>25</v>
      </c>
      <c r="Y266" s="32">
        <f t="shared" ref="Y266:Y329" si="100">IF(PaybackStatus&lt;&gt;"",IF(PaybackStatus=$X$4,IF(X266&lt;=$Y$4,$Y$4,-1), -1), -1)</f>
        <v>-1</v>
      </c>
      <c r="Z266" s="32"/>
      <c r="AA266" s="30">
        <f t="shared" ref="AA266:AA329" si="101">E266</f>
        <v>7.0401314888371456</v>
      </c>
      <c r="AB266" s="28">
        <f t="shared" ref="AB266:AB329" si="102">J266</f>
        <v>0.45844901601529758</v>
      </c>
      <c r="AC266" s="28">
        <f t="shared" ref="AC266:AC329" si="103">U266</f>
        <v>0.10964912280701754</v>
      </c>
      <c r="AD266" s="29">
        <f t="shared" ref="AD266:AD329" si="104">$AC$2*(AA266-$AC$3)/($AC$4-$AC$3)</f>
        <v>243.83301707779887</v>
      </c>
      <c r="AE266" s="28">
        <f t="shared" ref="AE266:AE329" si="105">MIN(AC266, AB266)</f>
        <v>0.10964912280701754</v>
      </c>
      <c r="AF266" s="28">
        <f t="shared" ref="AF266:AF329" si="106">IF(AND(AA266&lt;X266, AB266&gt;AC266), AB266-AC266, 0)</f>
        <v>0.34879989320828003</v>
      </c>
      <c r="AG266" s="28">
        <f t="shared" ref="AG266:AG329" si="107">IF(AND(AA266&lt;X266, AC266&gt;AB266), AC266-AB266, 0)</f>
        <v>0</v>
      </c>
      <c r="AI266" s="31">
        <f t="shared" ref="AI266:AI329" si="108">(K266-F266)/F266</f>
        <v>5.5052979473962732E-2</v>
      </c>
      <c r="AJ266" s="25"/>
      <c r="AK266" s="31"/>
      <c r="AM266" s="27"/>
    </row>
    <row r="267" spans="4:39" x14ac:dyDescent="0.25">
      <c r="D267" s="25">
        <f>E267*'Profit per cycles Model'!$I$113</f>
        <v>2580</v>
      </c>
      <c r="E267" s="25">
        <v>7.0675249965758109</v>
      </c>
      <c r="F267" s="28">
        <f t="shared" si="89"/>
        <v>0.38759689922480622</v>
      </c>
      <c r="G267" s="28">
        <f>'Battery Pricing Model'!$C$17/D267</f>
        <v>0.38759689922480622</v>
      </c>
      <c r="H267" s="28">
        <f t="shared" si="90"/>
        <v>999</v>
      </c>
      <c r="I267" s="28"/>
      <c r="J267" s="34">
        <f>INDEX('Profit per cycles Model'!$I$149:$I$179, MATCH(TRUNC(E267, 0), 'Profit per cycles Model'!$H$149:$H$179, 0))</f>
        <v>0.45844901601529758</v>
      </c>
      <c r="K267" s="27">
        <f>AVERAGE($AB$10:AB267)</f>
        <v>0.41071219753260296</v>
      </c>
      <c r="L267" s="28">
        <f t="shared" si="91"/>
        <v>2.3115298307796739E-2</v>
      </c>
      <c r="M267" s="28">
        <f t="shared" si="92"/>
        <v>2.3115298307796739E-2</v>
      </c>
      <c r="N267" s="28">
        <f t="shared" si="93"/>
        <v>999</v>
      </c>
      <c r="O267" s="28"/>
      <c r="P267" s="29">
        <f t="shared" ref="P267:P330" si="109">P266+0.001</f>
        <v>0.25800000000000017</v>
      </c>
      <c r="Q267" s="33">
        <f t="shared" si="94"/>
        <v>6.7114093959731544</v>
      </c>
      <c r="R267" s="33">
        <f t="shared" si="95"/>
        <v>6.7114093959731544</v>
      </c>
      <c r="S267" s="33">
        <f t="shared" si="96"/>
        <v>-1</v>
      </c>
      <c r="T267" s="27"/>
      <c r="U267" s="28">
        <f t="shared" si="97"/>
        <v>0.10964912280701754</v>
      </c>
      <c r="V267" s="25">
        <f t="shared" si="98"/>
        <v>999</v>
      </c>
      <c r="W267" s="35">
        <f t="shared" ref="W267:W330" si="110">IF( AND(X267&gt;0, Y267&gt;0), IF(X267&lt;Y267, X267, Y267),  IF(X267&gt;0, X267, IF(Y267&gt;0, Y267, -1)) )</f>
        <v>25</v>
      </c>
      <c r="X267" s="33">
        <f t="shared" si="99"/>
        <v>25</v>
      </c>
      <c r="Y267" s="32">
        <f t="shared" si="100"/>
        <v>-1</v>
      </c>
      <c r="Z267" s="32"/>
      <c r="AA267" s="30">
        <f t="shared" si="101"/>
        <v>7.0675249965758109</v>
      </c>
      <c r="AB267" s="28">
        <f t="shared" si="102"/>
        <v>0.45844901601529758</v>
      </c>
      <c r="AC267" s="28">
        <f t="shared" si="103"/>
        <v>0.10964912280701754</v>
      </c>
      <c r="AD267" s="29">
        <f t="shared" si="104"/>
        <v>244.78178368121442</v>
      </c>
      <c r="AE267" s="28">
        <f t="shared" si="105"/>
        <v>0.10964912280701754</v>
      </c>
      <c r="AF267" s="28">
        <f t="shared" si="106"/>
        <v>0.34879989320828003</v>
      </c>
      <c r="AG267" s="28">
        <f t="shared" si="107"/>
        <v>0</v>
      </c>
      <c r="AI267" s="31">
        <f t="shared" si="108"/>
        <v>5.9637469634115585E-2</v>
      </c>
      <c r="AJ267" s="25"/>
      <c r="AK267" s="31"/>
      <c r="AM267" s="27"/>
    </row>
    <row r="268" spans="4:39" x14ac:dyDescent="0.25">
      <c r="D268" s="25">
        <f>E268*'Profit per cycles Model'!$I$113</f>
        <v>2590</v>
      </c>
      <c r="E268" s="25">
        <v>7.0949185043144771</v>
      </c>
      <c r="F268" s="28">
        <f t="shared" si="89"/>
        <v>0.38610038610038611</v>
      </c>
      <c r="G268" s="28">
        <f>'Battery Pricing Model'!$C$17/D268</f>
        <v>0.38610038610038611</v>
      </c>
      <c r="H268" s="28">
        <f t="shared" si="90"/>
        <v>999</v>
      </c>
      <c r="I268" s="28"/>
      <c r="J268" s="34">
        <f>INDEX('Profit per cycles Model'!$I$149:$I$179, MATCH(TRUNC(E268, 0), 'Profit per cycles Model'!$H$149:$H$179, 0))</f>
        <v>0.45844901601529758</v>
      </c>
      <c r="K268" s="27">
        <f>AVERAGE($AB$10:AB268)</f>
        <v>0.41089650957307666</v>
      </c>
      <c r="L268" s="28">
        <f t="shared" si="91"/>
        <v>2.4796123472690557E-2</v>
      </c>
      <c r="M268" s="28">
        <f t="shared" si="92"/>
        <v>2.4796123472690557E-2</v>
      </c>
      <c r="N268" s="28">
        <f t="shared" si="93"/>
        <v>999</v>
      </c>
      <c r="O268" s="28"/>
      <c r="P268" s="29">
        <f t="shared" si="109"/>
        <v>0.25900000000000017</v>
      </c>
      <c r="Q268" s="33">
        <f t="shared" si="94"/>
        <v>6.7114093959731544</v>
      </c>
      <c r="R268" s="33">
        <f t="shared" si="95"/>
        <v>6.7114093959731544</v>
      </c>
      <c r="S268" s="33">
        <f t="shared" si="96"/>
        <v>-1</v>
      </c>
      <c r="T268" s="27"/>
      <c r="U268" s="28">
        <f t="shared" si="97"/>
        <v>0.10964912280701754</v>
      </c>
      <c r="V268" s="25">
        <f t="shared" si="98"/>
        <v>999</v>
      </c>
      <c r="W268" s="35">
        <f t="shared" si="110"/>
        <v>25</v>
      </c>
      <c r="X268" s="33">
        <f t="shared" si="99"/>
        <v>25</v>
      </c>
      <c r="Y268" s="32">
        <f t="shared" si="100"/>
        <v>-1</v>
      </c>
      <c r="Z268" s="32"/>
      <c r="AA268" s="30">
        <f t="shared" si="101"/>
        <v>7.0949185043144771</v>
      </c>
      <c r="AB268" s="28">
        <f t="shared" si="102"/>
        <v>0.45844901601529758</v>
      </c>
      <c r="AC268" s="28">
        <f t="shared" si="103"/>
        <v>0.10964912280701754</v>
      </c>
      <c r="AD268" s="29">
        <f t="shared" si="104"/>
        <v>245.73055028462997</v>
      </c>
      <c r="AE268" s="28">
        <f t="shared" si="105"/>
        <v>0.10964912280701754</v>
      </c>
      <c r="AF268" s="28">
        <f t="shared" si="106"/>
        <v>0.34879989320828003</v>
      </c>
      <c r="AG268" s="28">
        <f t="shared" si="107"/>
        <v>0</v>
      </c>
      <c r="AI268" s="31">
        <f t="shared" si="108"/>
        <v>6.4221959794268535E-2</v>
      </c>
      <c r="AJ268" s="25"/>
      <c r="AK268" s="31"/>
      <c r="AM268" s="27"/>
    </row>
    <row r="269" spans="4:39" x14ac:dyDescent="0.25">
      <c r="D269" s="25">
        <f>E269*'Profit per cycles Model'!$I$113</f>
        <v>2600</v>
      </c>
      <c r="E269" s="25">
        <v>7.1223120120531433</v>
      </c>
      <c r="F269" s="28">
        <f t="shared" si="89"/>
        <v>0.38461538461538464</v>
      </c>
      <c r="G269" s="28">
        <f>'Battery Pricing Model'!$C$17/D269</f>
        <v>0.38461538461538464</v>
      </c>
      <c r="H269" s="28">
        <f t="shared" si="90"/>
        <v>999</v>
      </c>
      <c r="I269" s="28"/>
      <c r="J269" s="34">
        <f>INDEX('Profit per cycles Model'!$I$149:$I$179, MATCH(TRUNC(E269, 0), 'Profit per cycles Model'!$H$149:$H$179, 0))</f>
        <v>0.45844901601529758</v>
      </c>
      <c r="K269" s="27">
        <f>AVERAGE($AB$10:AB269)</f>
        <v>0.41107940382862368</v>
      </c>
      <c r="L269" s="28">
        <f t="shared" si="91"/>
        <v>2.6464019213239043E-2</v>
      </c>
      <c r="M269" s="28">
        <f t="shared" si="92"/>
        <v>2.6464019213239043E-2</v>
      </c>
      <c r="N269" s="28">
        <f t="shared" si="93"/>
        <v>999</v>
      </c>
      <c r="O269" s="28"/>
      <c r="P269" s="29">
        <f t="shared" si="109"/>
        <v>0.26000000000000018</v>
      </c>
      <c r="Q269" s="33">
        <f t="shared" si="94"/>
        <v>6.7114093959731544</v>
      </c>
      <c r="R269" s="33">
        <f t="shared" si="95"/>
        <v>6.7114093959731544</v>
      </c>
      <c r="S269" s="33">
        <f t="shared" si="96"/>
        <v>-1</v>
      </c>
      <c r="T269" s="27"/>
      <c r="U269" s="28">
        <f t="shared" si="97"/>
        <v>0.10964912280701754</v>
      </c>
      <c r="V269" s="25">
        <f t="shared" si="98"/>
        <v>999</v>
      </c>
      <c r="W269" s="35">
        <f t="shared" si="110"/>
        <v>25</v>
      </c>
      <c r="X269" s="33">
        <f t="shared" si="99"/>
        <v>25</v>
      </c>
      <c r="Y269" s="32">
        <f t="shared" si="100"/>
        <v>-1</v>
      </c>
      <c r="Z269" s="32"/>
      <c r="AA269" s="30">
        <f t="shared" si="101"/>
        <v>7.1223120120531433</v>
      </c>
      <c r="AB269" s="28">
        <f t="shared" si="102"/>
        <v>0.45844901601529758</v>
      </c>
      <c r="AC269" s="28">
        <f t="shared" si="103"/>
        <v>0.10964912280701754</v>
      </c>
      <c r="AD269" s="29">
        <f t="shared" si="104"/>
        <v>246.67931688804555</v>
      </c>
      <c r="AE269" s="28">
        <f t="shared" si="105"/>
        <v>0.10964912280701754</v>
      </c>
      <c r="AF269" s="28">
        <f t="shared" si="106"/>
        <v>0.34879989320828003</v>
      </c>
      <c r="AG269" s="28">
        <f t="shared" si="107"/>
        <v>0</v>
      </c>
      <c r="AI269" s="31">
        <f t="shared" si="108"/>
        <v>6.8806449954421506E-2</v>
      </c>
      <c r="AJ269" s="25"/>
      <c r="AK269" s="31"/>
      <c r="AM269" s="27"/>
    </row>
    <row r="270" spans="4:39" x14ac:dyDescent="0.25">
      <c r="D270" s="25">
        <f>E270*'Profit per cycles Model'!$I$113</f>
        <v>2610</v>
      </c>
      <c r="E270" s="25">
        <v>7.1497055197918087</v>
      </c>
      <c r="F270" s="28">
        <f t="shared" si="89"/>
        <v>0.38314176245210729</v>
      </c>
      <c r="G270" s="28">
        <f>'Battery Pricing Model'!$C$17/D270</f>
        <v>0.38314176245210729</v>
      </c>
      <c r="H270" s="28">
        <f t="shared" si="90"/>
        <v>999</v>
      </c>
      <c r="I270" s="28"/>
      <c r="J270" s="34">
        <f>INDEX('Profit per cycles Model'!$I$149:$I$179, MATCH(TRUNC(E270, 0), 'Profit per cycles Model'!$H$149:$H$179, 0))</f>
        <v>0.45844901601529758</v>
      </c>
      <c r="K270" s="27">
        <f>AVERAGE($AB$10:AB270)</f>
        <v>0.41126089659562243</v>
      </c>
      <c r="L270" s="28">
        <f t="shared" si="91"/>
        <v>2.8119134143515134E-2</v>
      </c>
      <c r="M270" s="28">
        <f t="shared" si="92"/>
        <v>2.8119134143515134E-2</v>
      </c>
      <c r="N270" s="28">
        <f t="shared" si="93"/>
        <v>999</v>
      </c>
      <c r="O270" s="28"/>
      <c r="P270" s="29">
        <f t="shared" si="109"/>
        <v>0.26100000000000018</v>
      </c>
      <c r="Q270" s="33">
        <f t="shared" si="94"/>
        <v>6.7114093959731544</v>
      </c>
      <c r="R270" s="33">
        <f t="shared" si="95"/>
        <v>6.7114093959731544</v>
      </c>
      <c r="S270" s="33">
        <f t="shared" si="96"/>
        <v>-1</v>
      </c>
      <c r="T270" s="27"/>
      <c r="U270" s="28">
        <f t="shared" si="97"/>
        <v>0.10964912280701754</v>
      </c>
      <c r="V270" s="25">
        <f t="shared" si="98"/>
        <v>999</v>
      </c>
      <c r="W270" s="35">
        <f t="shared" si="110"/>
        <v>25</v>
      </c>
      <c r="X270" s="33">
        <f t="shared" si="99"/>
        <v>25</v>
      </c>
      <c r="Y270" s="32">
        <f t="shared" si="100"/>
        <v>-1</v>
      </c>
      <c r="Z270" s="32"/>
      <c r="AA270" s="30">
        <f t="shared" si="101"/>
        <v>7.1497055197918087</v>
      </c>
      <c r="AB270" s="28">
        <f t="shared" si="102"/>
        <v>0.45844901601529758</v>
      </c>
      <c r="AC270" s="28">
        <f t="shared" si="103"/>
        <v>0.10964912280701754</v>
      </c>
      <c r="AD270" s="29">
        <f t="shared" si="104"/>
        <v>247.6280834914611</v>
      </c>
      <c r="AE270" s="28">
        <f t="shared" si="105"/>
        <v>0.10964912280701754</v>
      </c>
      <c r="AF270" s="28">
        <f t="shared" si="106"/>
        <v>0.34879989320828003</v>
      </c>
      <c r="AG270" s="28">
        <f t="shared" si="107"/>
        <v>0</v>
      </c>
      <c r="AI270" s="31">
        <f t="shared" si="108"/>
        <v>7.3390940114574504E-2</v>
      </c>
      <c r="AJ270" s="25"/>
      <c r="AK270" s="31"/>
      <c r="AM270" s="27"/>
    </row>
    <row r="271" spans="4:39" x14ac:dyDescent="0.25">
      <c r="D271" s="25">
        <f>E271*'Profit per cycles Model'!$I$113</f>
        <v>2620</v>
      </c>
      <c r="E271" s="25">
        <v>7.1770990275304749</v>
      </c>
      <c r="F271" s="28">
        <f t="shared" si="89"/>
        <v>0.38167938931297712</v>
      </c>
      <c r="G271" s="28">
        <f>'Battery Pricing Model'!$C$17/D271</f>
        <v>0.38167938931297712</v>
      </c>
      <c r="H271" s="28">
        <f t="shared" si="90"/>
        <v>999</v>
      </c>
      <c r="I271" s="28"/>
      <c r="J271" s="34">
        <f>INDEX('Profit per cycles Model'!$I$149:$I$179, MATCH(TRUNC(E271, 0), 'Profit per cycles Model'!$H$149:$H$179, 0))</f>
        <v>0.45844901601529758</v>
      </c>
      <c r="K271" s="27">
        <f>AVERAGE($AB$10:AB271)</f>
        <v>0.41144100392165167</v>
      </c>
      <c r="L271" s="28">
        <f t="shared" si="91"/>
        <v>2.9761614608674547E-2</v>
      </c>
      <c r="M271" s="28">
        <f t="shared" si="92"/>
        <v>2.9761614608674547E-2</v>
      </c>
      <c r="N271" s="28">
        <f t="shared" si="93"/>
        <v>999</v>
      </c>
      <c r="O271" s="28"/>
      <c r="P271" s="29">
        <f t="shared" si="109"/>
        <v>0.26200000000000018</v>
      </c>
      <c r="Q271" s="33">
        <f t="shared" si="94"/>
        <v>6.7114093959731544</v>
      </c>
      <c r="R271" s="33">
        <f t="shared" si="95"/>
        <v>6.7114093959731544</v>
      </c>
      <c r="S271" s="33">
        <f t="shared" si="96"/>
        <v>-1</v>
      </c>
      <c r="T271" s="27"/>
      <c r="U271" s="28">
        <f t="shared" si="97"/>
        <v>0.10964912280701754</v>
      </c>
      <c r="V271" s="25">
        <f t="shared" si="98"/>
        <v>999</v>
      </c>
      <c r="W271" s="35">
        <f t="shared" si="110"/>
        <v>25</v>
      </c>
      <c r="X271" s="33">
        <f t="shared" si="99"/>
        <v>25</v>
      </c>
      <c r="Y271" s="32">
        <f t="shared" si="100"/>
        <v>-1</v>
      </c>
      <c r="Z271" s="32"/>
      <c r="AA271" s="30">
        <f t="shared" si="101"/>
        <v>7.1770990275304749</v>
      </c>
      <c r="AB271" s="28">
        <f t="shared" si="102"/>
        <v>0.45844901601529758</v>
      </c>
      <c r="AC271" s="28">
        <f t="shared" si="103"/>
        <v>0.10964912280701754</v>
      </c>
      <c r="AD271" s="29">
        <f t="shared" si="104"/>
        <v>248.57685009487665</v>
      </c>
      <c r="AE271" s="28">
        <f t="shared" si="105"/>
        <v>0.10964912280701754</v>
      </c>
      <c r="AF271" s="28">
        <f t="shared" si="106"/>
        <v>0.34879989320828003</v>
      </c>
      <c r="AG271" s="28">
        <f t="shared" si="107"/>
        <v>0</v>
      </c>
      <c r="AI271" s="31">
        <f t="shared" si="108"/>
        <v>7.7975430274727309E-2</v>
      </c>
      <c r="AJ271" s="25"/>
      <c r="AK271" s="31"/>
      <c r="AM271" s="27"/>
    </row>
    <row r="272" spans="4:39" x14ac:dyDescent="0.25">
      <c r="D272" s="25">
        <f>E272*'Profit per cycles Model'!$I$113</f>
        <v>2630</v>
      </c>
      <c r="E272" s="25">
        <v>7.2044925352691411</v>
      </c>
      <c r="F272" s="28">
        <f t="shared" si="89"/>
        <v>0.38022813688212925</v>
      </c>
      <c r="G272" s="28">
        <f>'Battery Pricing Model'!$C$17/D272</f>
        <v>0.38022813688212925</v>
      </c>
      <c r="H272" s="28">
        <f t="shared" si="90"/>
        <v>999</v>
      </c>
      <c r="I272" s="28"/>
      <c r="J272" s="34">
        <f>INDEX('Profit per cycles Model'!$I$149:$I$179, MATCH(TRUNC(E272, 0), 'Profit per cycles Model'!$H$149:$H$179, 0))</f>
        <v>0.45844901601529758</v>
      </c>
      <c r="K272" s="27">
        <f>AVERAGE($AB$10:AB272)</f>
        <v>0.41161974161022069</v>
      </c>
      <c r="L272" s="28">
        <f t="shared" si="91"/>
        <v>3.1391604728091438E-2</v>
      </c>
      <c r="M272" s="28">
        <f t="shared" si="92"/>
        <v>3.1391604728091438E-2</v>
      </c>
      <c r="N272" s="28">
        <f t="shared" si="93"/>
        <v>999</v>
      </c>
      <c r="O272" s="28"/>
      <c r="P272" s="29">
        <f t="shared" si="109"/>
        <v>0.26300000000000018</v>
      </c>
      <c r="Q272" s="33">
        <f t="shared" si="94"/>
        <v>6.7114093959731544</v>
      </c>
      <c r="R272" s="33">
        <f t="shared" si="95"/>
        <v>6.7114093959731544</v>
      </c>
      <c r="S272" s="33">
        <f t="shared" si="96"/>
        <v>-1</v>
      </c>
      <c r="T272" s="27"/>
      <c r="U272" s="28">
        <f t="shared" si="97"/>
        <v>0.10964912280701754</v>
      </c>
      <c r="V272" s="25">
        <f t="shared" si="98"/>
        <v>999</v>
      </c>
      <c r="W272" s="35">
        <f t="shared" si="110"/>
        <v>25</v>
      </c>
      <c r="X272" s="33">
        <f t="shared" si="99"/>
        <v>25</v>
      </c>
      <c r="Y272" s="32">
        <f t="shared" si="100"/>
        <v>-1</v>
      </c>
      <c r="Z272" s="32"/>
      <c r="AA272" s="30">
        <f t="shared" si="101"/>
        <v>7.2044925352691411</v>
      </c>
      <c r="AB272" s="28">
        <f t="shared" si="102"/>
        <v>0.45844901601529758</v>
      </c>
      <c r="AC272" s="28">
        <f t="shared" si="103"/>
        <v>0.10964912280701754</v>
      </c>
      <c r="AD272" s="29">
        <f t="shared" si="104"/>
        <v>249.52561669829223</v>
      </c>
      <c r="AE272" s="28">
        <f t="shared" si="105"/>
        <v>0.10964912280701754</v>
      </c>
      <c r="AF272" s="28">
        <f t="shared" si="106"/>
        <v>0.34879989320828003</v>
      </c>
      <c r="AG272" s="28">
        <f t="shared" si="107"/>
        <v>0</v>
      </c>
      <c r="AI272" s="31">
        <f t="shared" si="108"/>
        <v>8.2559920434880488E-2</v>
      </c>
      <c r="AJ272" s="25"/>
      <c r="AK272" s="31"/>
      <c r="AM272" s="27"/>
    </row>
    <row r="273" spans="4:39" x14ac:dyDescent="0.25">
      <c r="D273" s="25">
        <f>E273*'Profit per cycles Model'!$I$113</f>
        <v>2640</v>
      </c>
      <c r="E273" s="25">
        <v>7.2318860430078074</v>
      </c>
      <c r="F273" s="28">
        <f t="shared" si="89"/>
        <v>0.37878787878787878</v>
      </c>
      <c r="G273" s="28">
        <f>'Battery Pricing Model'!$C$17/D273</f>
        <v>0.37878787878787878</v>
      </c>
      <c r="H273" s="28">
        <f t="shared" si="90"/>
        <v>999</v>
      </c>
      <c r="I273" s="28"/>
      <c r="J273" s="34">
        <f>INDEX('Profit per cycles Model'!$I$149:$I$179, MATCH(TRUNC(E273, 0), 'Profit per cycles Model'!$H$149:$H$179, 0))</f>
        <v>0.45844901601529758</v>
      </c>
      <c r="K273" s="27">
        <f>AVERAGE($AB$10:AB273)</f>
        <v>0.41179712522539141</v>
      </c>
      <c r="L273" s="28">
        <f t="shared" si="91"/>
        <v>3.3009246437512629E-2</v>
      </c>
      <c r="M273" s="28">
        <f t="shared" si="92"/>
        <v>3.3009246437512629E-2</v>
      </c>
      <c r="N273" s="28">
        <f t="shared" si="93"/>
        <v>999</v>
      </c>
      <c r="O273" s="28"/>
      <c r="P273" s="29">
        <f t="shared" si="109"/>
        <v>0.26400000000000018</v>
      </c>
      <c r="Q273" s="33">
        <f t="shared" si="94"/>
        <v>6.7114093959731544</v>
      </c>
      <c r="R273" s="33">
        <f t="shared" si="95"/>
        <v>6.7114093959731544</v>
      </c>
      <c r="S273" s="33">
        <f t="shared" si="96"/>
        <v>-1</v>
      </c>
      <c r="T273" s="27"/>
      <c r="U273" s="28">
        <f t="shared" si="97"/>
        <v>0.10964912280701754</v>
      </c>
      <c r="V273" s="25">
        <f t="shared" si="98"/>
        <v>999</v>
      </c>
      <c r="W273" s="35">
        <f t="shared" si="110"/>
        <v>25</v>
      </c>
      <c r="X273" s="33">
        <f t="shared" si="99"/>
        <v>25</v>
      </c>
      <c r="Y273" s="32">
        <f t="shared" si="100"/>
        <v>-1</v>
      </c>
      <c r="Z273" s="32"/>
      <c r="AA273" s="30">
        <f t="shared" si="101"/>
        <v>7.2318860430078074</v>
      </c>
      <c r="AB273" s="28">
        <f t="shared" si="102"/>
        <v>0.45844901601529758</v>
      </c>
      <c r="AC273" s="28">
        <f t="shared" si="103"/>
        <v>0.10964912280701754</v>
      </c>
      <c r="AD273" s="29">
        <f t="shared" si="104"/>
        <v>250.4743833017078</v>
      </c>
      <c r="AE273" s="28">
        <f t="shared" si="105"/>
        <v>0.10964912280701754</v>
      </c>
      <c r="AF273" s="28">
        <f t="shared" si="106"/>
        <v>0.34879989320828003</v>
      </c>
      <c r="AG273" s="28">
        <f t="shared" si="107"/>
        <v>0</v>
      </c>
      <c r="AI273" s="31">
        <f t="shared" si="108"/>
        <v>8.7144410595033348E-2</v>
      </c>
      <c r="AJ273" s="25"/>
      <c r="AK273" s="31"/>
      <c r="AM273" s="27"/>
    </row>
    <row r="274" spans="4:39" x14ac:dyDescent="0.25">
      <c r="D274" s="25">
        <f>E274*'Profit per cycles Model'!$I$113</f>
        <v>2650</v>
      </c>
      <c r="E274" s="25">
        <v>7.2592795507464727</v>
      </c>
      <c r="F274" s="28">
        <f t="shared" si="89"/>
        <v>0.37735849056603776</v>
      </c>
      <c r="G274" s="28">
        <f>'Battery Pricing Model'!$C$17/D274</f>
        <v>0.37735849056603776</v>
      </c>
      <c r="H274" s="28">
        <f t="shared" si="90"/>
        <v>999</v>
      </c>
      <c r="I274" s="28"/>
      <c r="J274" s="34">
        <f>INDEX('Profit per cycles Model'!$I$149:$I$179, MATCH(TRUNC(E274, 0), 'Profit per cycles Model'!$H$149:$H$179, 0))</f>
        <v>0.45844901601529758</v>
      </c>
      <c r="K274" s="27">
        <f>AVERAGE($AB$10:AB274)</f>
        <v>0.41197317009629669</v>
      </c>
      <c r="L274" s="28">
        <f t="shared" si="91"/>
        <v>3.4614679530258929E-2</v>
      </c>
      <c r="M274" s="28">
        <f t="shared" si="92"/>
        <v>3.4614679530258929E-2</v>
      </c>
      <c r="N274" s="28">
        <f t="shared" si="93"/>
        <v>999</v>
      </c>
      <c r="O274" s="28"/>
      <c r="P274" s="29">
        <f t="shared" si="109"/>
        <v>0.26500000000000018</v>
      </c>
      <c r="Q274" s="33">
        <f t="shared" si="94"/>
        <v>6.7114093959731544</v>
      </c>
      <c r="R274" s="33">
        <f t="shared" si="95"/>
        <v>6.7114093959731544</v>
      </c>
      <c r="S274" s="33">
        <f t="shared" si="96"/>
        <v>-1</v>
      </c>
      <c r="T274" s="27"/>
      <c r="U274" s="28">
        <f t="shared" si="97"/>
        <v>0.10964912280701754</v>
      </c>
      <c r="V274" s="25">
        <f t="shared" si="98"/>
        <v>999</v>
      </c>
      <c r="W274" s="35">
        <f t="shared" si="110"/>
        <v>25</v>
      </c>
      <c r="X274" s="33">
        <f t="shared" si="99"/>
        <v>25</v>
      </c>
      <c r="Y274" s="32">
        <f t="shared" si="100"/>
        <v>-1</v>
      </c>
      <c r="Z274" s="32"/>
      <c r="AA274" s="30">
        <f t="shared" si="101"/>
        <v>7.2592795507464727</v>
      </c>
      <c r="AB274" s="28">
        <f t="shared" si="102"/>
        <v>0.45844901601529758</v>
      </c>
      <c r="AC274" s="28">
        <f t="shared" si="103"/>
        <v>0.10964912280701754</v>
      </c>
      <c r="AD274" s="29">
        <f t="shared" si="104"/>
        <v>251.42314990512332</v>
      </c>
      <c r="AE274" s="28">
        <f t="shared" si="105"/>
        <v>0.10964912280701754</v>
      </c>
      <c r="AF274" s="28">
        <f t="shared" si="106"/>
        <v>0.34879989320828003</v>
      </c>
      <c r="AG274" s="28">
        <f t="shared" si="107"/>
        <v>0</v>
      </c>
      <c r="AI274" s="31">
        <f t="shared" si="108"/>
        <v>9.1728900755186152E-2</v>
      </c>
      <c r="AJ274" s="25"/>
      <c r="AK274" s="31"/>
      <c r="AM274" s="27"/>
    </row>
    <row r="275" spans="4:39" x14ac:dyDescent="0.25">
      <c r="D275" s="25">
        <f>E275*'Profit per cycles Model'!$I$113</f>
        <v>2660</v>
      </c>
      <c r="E275" s="25">
        <v>7.2866730584851389</v>
      </c>
      <c r="F275" s="28">
        <f t="shared" si="89"/>
        <v>0.37593984962406013</v>
      </c>
      <c r="G275" s="28">
        <f>'Battery Pricing Model'!$C$17/D275</f>
        <v>0.37593984962406013</v>
      </c>
      <c r="H275" s="28">
        <f t="shared" si="90"/>
        <v>999</v>
      </c>
      <c r="I275" s="28"/>
      <c r="J275" s="34">
        <f>INDEX('Profit per cycles Model'!$I$149:$I$179, MATCH(TRUNC(E275, 0), 'Profit per cycles Model'!$H$149:$H$179, 0))</f>
        <v>0.45844901601529758</v>
      </c>
      <c r="K275" s="27">
        <f>AVERAGE($AB$10:AB275)</f>
        <v>0.4121478913215561</v>
      </c>
      <c r="L275" s="28">
        <f t="shared" si="91"/>
        <v>3.6208041697495974E-2</v>
      </c>
      <c r="M275" s="28">
        <f t="shared" si="92"/>
        <v>3.6208041697495974E-2</v>
      </c>
      <c r="N275" s="28">
        <f t="shared" si="93"/>
        <v>999</v>
      </c>
      <c r="O275" s="28"/>
      <c r="P275" s="29">
        <f t="shared" si="109"/>
        <v>0.26600000000000018</v>
      </c>
      <c r="Q275" s="33">
        <f t="shared" si="94"/>
        <v>6.7114093959731544</v>
      </c>
      <c r="R275" s="33">
        <f t="shared" si="95"/>
        <v>6.7114093959731544</v>
      </c>
      <c r="S275" s="33">
        <f t="shared" si="96"/>
        <v>-1</v>
      </c>
      <c r="T275" s="27"/>
      <c r="U275" s="28">
        <f t="shared" si="97"/>
        <v>0.10964912280701754</v>
      </c>
      <c r="V275" s="25">
        <f t="shared" si="98"/>
        <v>999</v>
      </c>
      <c r="W275" s="35">
        <f t="shared" si="110"/>
        <v>25</v>
      </c>
      <c r="X275" s="33">
        <f t="shared" si="99"/>
        <v>25</v>
      </c>
      <c r="Y275" s="32">
        <f t="shared" si="100"/>
        <v>-1</v>
      </c>
      <c r="Z275" s="32"/>
      <c r="AA275" s="30">
        <f t="shared" si="101"/>
        <v>7.2866730584851389</v>
      </c>
      <c r="AB275" s="28">
        <f t="shared" si="102"/>
        <v>0.45844901601529758</v>
      </c>
      <c r="AC275" s="28">
        <f t="shared" si="103"/>
        <v>0.10964912280701754</v>
      </c>
      <c r="AD275" s="29">
        <f t="shared" si="104"/>
        <v>252.37191650853893</v>
      </c>
      <c r="AE275" s="28">
        <f t="shared" si="105"/>
        <v>0.10964912280701754</v>
      </c>
      <c r="AF275" s="28">
        <f t="shared" si="106"/>
        <v>0.34879989320828003</v>
      </c>
      <c r="AG275" s="28">
        <f t="shared" si="107"/>
        <v>0</v>
      </c>
      <c r="AI275" s="31">
        <f t="shared" si="108"/>
        <v>9.6313390915339303E-2</v>
      </c>
      <c r="AJ275" s="25"/>
      <c r="AK275" s="31"/>
      <c r="AM275" s="27"/>
    </row>
    <row r="276" spans="4:39" x14ac:dyDescent="0.25">
      <c r="D276" s="25">
        <f>E276*'Profit per cycles Model'!$I$113</f>
        <v>2670</v>
      </c>
      <c r="E276" s="25">
        <v>7.3140665662238051</v>
      </c>
      <c r="F276" s="28">
        <f t="shared" si="89"/>
        <v>0.37453183520599254</v>
      </c>
      <c r="G276" s="28">
        <f>'Battery Pricing Model'!$C$17/D276</f>
        <v>0.37453183520599254</v>
      </c>
      <c r="H276" s="28">
        <f t="shared" si="90"/>
        <v>999</v>
      </c>
      <c r="I276" s="28"/>
      <c r="J276" s="34">
        <f>INDEX('Profit per cycles Model'!$I$149:$I$179, MATCH(TRUNC(E276, 0), 'Profit per cycles Model'!$H$149:$H$179, 0))</f>
        <v>0.45844901601529758</v>
      </c>
      <c r="K276" s="27">
        <f>AVERAGE($AB$10:AB276)</f>
        <v>0.41232130377359255</v>
      </c>
      <c r="L276" s="28">
        <f t="shared" si="91"/>
        <v>3.7789468567600015E-2</v>
      </c>
      <c r="M276" s="28">
        <f t="shared" si="92"/>
        <v>3.7789468567600015E-2</v>
      </c>
      <c r="N276" s="28">
        <f t="shared" si="93"/>
        <v>999</v>
      </c>
      <c r="O276" s="28"/>
      <c r="P276" s="29">
        <f t="shared" si="109"/>
        <v>0.26700000000000018</v>
      </c>
      <c r="Q276" s="33">
        <f t="shared" si="94"/>
        <v>6.7114093959731544</v>
      </c>
      <c r="R276" s="33">
        <f t="shared" si="95"/>
        <v>6.7114093959731544</v>
      </c>
      <c r="S276" s="33">
        <f t="shared" si="96"/>
        <v>-1</v>
      </c>
      <c r="T276" s="27"/>
      <c r="U276" s="28">
        <f t="shared" si="97"/>
        <v>0.10964912280701754</v>
      </c>
      <c r="V276" s="25">
        <f t="shared" si="98"/>
        <v>999</v>
      </c>
      <c r="W276" s="35">
        <f t="shared" si="110"/>
        <v>25</v>
      </c>
      <c r="X276" s="33">
        <f t="shared" si="99"/>
        <v>25</v>
      </c>
      <c r="Y276" s="32">
        <f t="shared" si="100"/>
        <v>-1</v>
      </c>
      <c r="Z276" s="32"/>
      <c r="AA276" s="30">
        <f t="shared" si="101"/>
        <v>7.3140665662238051</v>
      </c>
      <c r="AB276" s="28">
        <f t="shared" si="102"/>
        <v>0.45844901601529758</v>
      </c>
      <c r="AC276" s="28">
        <f t="shared" si="103"/>
        <v>0.10964912280701754</v>
      </c>
      <c r="AD276" s="29">
        <f t="shared" si="104"/>
        <v>253.32068311195448</v>
      </c>
      <c r="AE276" s="28">
        <f t="shared" si="105"/>
        <v>0.10964912280701754</v>
      </c>
      <c r="AF276" s="28">
        <f t="shared" si="106"/>
        <v>0.34879989320828003</v>
      </c>
      <c r="AG276" s="28">
        <f t="shared" si="107"/>
        <v>0</v>
      </c>
      <c r="AI276" s="31">
        <f t="shared" si="108"/>
        <v>0.10089788107549204</v>
      </c>
      <c r="AJ276" s="25"/>
      <c r="AK276" s="31"/>
      <c r="AM276" s="27"/>
    </row>
    <row r="277" spans="4:39" x14ac:dyDescent="0.25">
      <c r="D277" s="25">
        <f>E277*'Profit per cycles Model'!$I$113</f>
        <v>2680</v>
      </c>
      <c r="E277" s="25">
        <v>7.3414600739624705</v>
      </c>
      <c r="F277" s="28">
        <f t="shared" si="89"/>
        <v>0.37313432835820898</v>
      </c>
      <c r="G277" s="28">
        <f>'Battery Pricing Model'!$C$17/D277</f>
        <v>0.37313432835820898</v>
      </c>
      <c r="H277" s="28">
        <f t="shared" si="90"/>
        <v>999</v>
      </c>
      <c r="I277" s="28"/>
      <c r="J277" s="34">
        <f>INDEX('Profit per cycles Model'!$I$149:$I$179, MATCH(TRUNC(E277, 0), 'Profit per cycles Model'!$H$149:$H$179, 0))</f>
        <v>0.45844901601529758</v>
      </c>
      <c r="K277" s="27">
        <f>AVERAGE($AB$10:AB277)</f>
        <v>0.41249342210285261</v>
      </c>
      <c r="L277" s="28">
        <f t="shared" si="91"/>
        <v>3.9359093744643636E-2</v>
      </c>
      <c r="M277" s="28">
        <f t="shared" si="92"/>
        <v>3.9359093744643636E-2</v>
      </c>
      <c r="N277" s="28">
        <f t="shared" si="93"/>
        <v>999</v>
      </c>
      <c r="O277" s="28"/>
      <c r="P277" s="29">
        <f t="shared" si="109"/>
        <v>0.26800000000000018</v>
      </c>
      <c r="Q277" s="33">
        <f t="shared" si="94"/>
        <v>6.7114093959731544</v>
      </c>
      <c r="R277" s="33">
        <f t="shared" si="95"/>
        <v>6.7114093959731544</v>
      </c>
      <c r="S277" s="33">
        <f t="shared" si="96"/>
        <v>-1</v>
      </c>
      <c r="T277" s="27"/>
      <c r="U277" s="28">
        <f t="shared" si="97"/>
        <v>0.10964912280701754</v>
      </c>
      <c r="V277" s="25">
        <f t="shared" si="98"/>
        <v>999</v>
      </c>
      <c r="W277" s="35">
        <f t="shared" si="110"/>
        <v>25</v>
      </c>
      <c r="X277" s="33">
        <f t="shared" si="99"/>
        <v>25</v>
      </c>
      <c r="Y277" s="32">
        <f t="shared" si="100"/>
        <v>-1</v>
      </c>
      <c r="Z277" s="32"/>
      <c r="AA277" s="30">
        <f t="shared" si="101"/>
        <v>7.3414600739624705</v>
      </c>
      <c r="AB277" s="28">
        <f t="shared" si="102"/>
        <v>0.45844901601529758</v>
      </c>
      <c r="AC277" s="28">
        <f t="shared" si="103"/>
        <v>0.10964912280701754</v>
      </c>
      <c r="AD277" s="29">
        <f t="shared" si="104"/>
        <v>254.26944971537</v>
      </c>
      <c r="AE277" s="28">
        <f t="shared" si="105"/>
        <v>0.10964912280701754</v>
      </c>
      <c r="AF277" s="28">
        <f t="shared" si="106"/>
        <v>0.34879989320828003</v>
      </c>
      <c r="AG277" s="28">
        <f t="shared" si="107"/>
        <v>0</v>
      </c>
      <c r="AI277" s="31">
        <f t="shared" si="108"/>
        <v>0.10548237123564494</v>
      </c>
      <c r="AJ277" s="25"/>
      <c r="AK277" s="31"/>
      <c r="AM277" s="27"/>
    </row>
    <row r="278" spans="4:39" x14ac:dyDescent="0.25">
      <c r="D278" s="25">
        <f>E278*'Profit per cycles Model'!$I$113</f>
        <v>2690</v>
      </c>
      <c r="E278" s="25">
        <v>7.3688535817011367</v>
      </c>
      <c r="F278" s="28">
        <f t="shared" si="89"/>
        <v>0.37174721189591076</v>
      </c>
      <c r="G278" s="28">
        <f>'Battery Pricing Model'!$C$17/D278</f>
        <v>0.37174721189591076</v>
      </c>
      <c r="H278" s="28">
        <f t="shared" si="90"/>
        <v>999</v>
      </c>
      <c r="I278" s="28"/>
      <c r="J278" s="34">
        <f>INDEX('Profit per cycles Model'!$I$149:$I$179, MATCH(TRUNC(E278, 0), 'Profit per cycles Model'!$H$149:$H$179, 0))</f>
        <v>0.45844901601529758</v>
      </c>
      <c r="K278" s="27">
        <f>AVERAGE($AB$10:AB278)</f>
        <v>0.41266426074193235</v>
      </c>
      <c r="L278" s="28">
        <f t="shared" si="91"/>
        <v>4.0917048846021598E-2</v>
      </c>
      <c r="M278" s="28">
        <f t="shared" si="92"/>
        <v>4.0917048846021598E-2</v>
      </c>
      <c r="N278" s="28">
        <f t="shared" si="93"/>
        <v>999</v>
      </c>
      <c r="O278" s="28"/>
      <c r="P278" s="29">
        <f t="shared" si="109"/>
        <v>0.26900000000000018</v>
      </c>
      <c r="Q278" s="33">
        <f t="shared" si="94"/>
        <v>6.7114093959731544</v>
      </c>
      <c r="R278" s="33">
        <f t="shared" si="95"/>
        <v>6.7114093959731544</v>
      </c>
      <c r="S278" s="33">
        <f t="shared" si="96"/>
        <v>-1</v>
      </c>
      <c r="T278" s="27"/>
      <c r="U278" s="28">
        <f t="shared" si="97"/>
        <v>0.10964912280701754</v>
      </c>
      <c r="V278" s="25">
        <f t="shared" si="98"/>
        <v>999</v>
      </c>
      <c r="W278" s="35">
        <f t="shared" si="110"/>
        <v>25</v>
      </c>
      <c r="X278" s="33">
        <f t="shared" si="99"/>
        <v>25</v>
      </c>
      <c r="Y278" s="32">
        <f t="shared" si="100"/>
        <v>-1</v>
      </c>
      <c r="Z278" s="32"/>
      <c r="AA278" s="30">
        <f t="shared" si="101"/>
        <v>7.3688535817011367</v>
      </c>
      <c r="AB278" s="28">
        <f t="shared" si="102"/>
        <v>0.45844901601529758</v>
      </c>
      <c r="AC278" s="28">
        <f t="shared" si="103"/>
        <v>0.10964912280701754</v>
      </c>
      <c r="AD278" s="29">
        <f t="shared" si="104"/>
        <v>255.21821631878561</v>
      </c>
      <c r="AE278" s="28">
        <f t="shared" si="105"/>
        <v>0.10964912280701754</v>
      </c>
      <c r="AF278" s="28">
        <f t="shared" si="106"/>
        <v>0.34879989320828003</v>
      </c>
      <c r="AG278" s="28">
        <f t="shared" si="107"/>
        <v>0</v>
      </c>
      <c r="AI278" s="31">
        <f t="shared" si="108"/>
        <v>0.1100668613957981</v>
      </c>
      <c r="AJ278" s="25"/>
      <c r="AK278" s="31"/>
      <c r="AM278" s="27"/>
    </row>
    <row r="279" spans="4:39" x14ac:dyDescent="0.25">
      <c r="D279" s="25">
        <f>E279*'Profit per cycles Model'!$I$113</f>
        <v>2700</v>
      </c>
      <c r="E279" s="25">
        <v>7.3962470894398029</v>
      </c>
      <c r="F279" s="28">
        <f t="shared" si="89"/>
        <v>0.37037037037037035</v>
      </c>
      <c r="G279" s="28">
        <f>'Battery Pricing Model'!$C$17/D279</f>
        <v>0.37037037037037035</v>
      </c>
      <c r="H279" s="28">
        <f t="shared" si="90"/>
        <v>999</v>
      </c>
      <c r="I279" s="28"/>
      <c r="J279" s="34">
        <f>INDEX('Profit per cycles Model'!$I$149:$I$179, MATCH(TRUNC(E279, 0), 'Profit per cycles Model'!$H$149:$H$179, 0))</f>
        <v>0.45844901601529758</v>
      </c>
      <c r="K279" s="27">
        <f>AVERAGE($AB$10:AB279)</f>
        <v>0.41283383390961148</v>
      </c>
      <c r="L279" s="28">
        <f t="shared" si="91"/>
        <v>4.2463463539241131E-2</v>
      </c>
      <c r="M279" s="28">
        <f t="shared" si="92"/>
        <v>4.2463463539241131E-2</v>
      </c>
      <c r="N279" s="28">
        <f t="shared" si="93"/>
        <v>999</v>
      </c>
      <c r="O279" s="28"/>
      <c r="P279" s="29">
        <f t="shared" si="109"/>
        <v>0.27000000000000018</v>
      </c>
      <c r="Q279" s="33">
        <f t="shared" si="94"/>
        <v>6.7114093959731544</v>
      </c>
      <c r="R279" s="33">
        <f t="shared" si="95"/>
        <v>6.7114093959731544</v>
      </c>
      <c r="S279" s="33">
        <f t="shared" si="96"/>
        <v>-1</v>
      </c>
      <c r="T279" s="27"/>
      <c r="U279" s="28">
        <f t="shared" si="97"/>
        <v>0.10964912280701754</v>
      </c>
      <c r="V279" s="25">
        <f t="shared" si="98"/>
        <v>999</v>
      </c>
      <c r="W279" s="35">
        <f t="shared" si="110"/>
        <v>25</v>
      </c>
      <c r="X279" s="33">
        <f t="shared" si="99"/>
        <v>25</v>
      </c>
      <c r="Y279" s="32">
        <f t="shared" si="100"/>
        <v>-1</v>
      </c>
      <c r="Z279" s="32"/>
      <c r="AA279" s="30">
        <f t="shared" si="101"/>
        <v>7.3962470894398029</v>
      </c>
      <c r="AB279" s="28">
        <f t="shared" si="102"/>
        <v>0.45844901601529758</v>
      </c>
      <c r="AC279" s="28">
        <f t="shared" si="103"/>
        <v>0.10964912280701754</v>
      </c>
      <c r="AD279" s="29">
        <f t="shared" si="104"/>
        <v>256.16698292220116</v>
      </c>
      <c r="AE279" s="28">
        <f t="shared" si="105"/>
        <v>0.10964912280701754</v>
      </c>
      <c r="AF279" s="28">
        <f t="shared" si="106"/>
        <v>0.34879989320828003</v>
      </c>
      <c r="AG279" s="28">
        <f t="shared" si="107"/>
        <v>0</v>
      </c>
      <c r="AI279" s="31">
        <f t="shared" si="108"/>
        <v>0.11465135155595106</v>
      </c>
      <c r="AJ279" s="25"/>
      <c r="AK279" s="31"/>
      <c r="AM279" s="27"/>
    </row>
    <row r="280" spans="4:39" x14ac:dyDescent="0.25">
      <c r="D280" s="25">
        <f>E280*'Profit per cycles Model'!$I$113</f>
        <v>2710</v>
      </c>
      <c r="E280" s="25">
        <v>7.4236405971784682</v>
      </c>
      <c r="F280" s="28">
        <f t="shared" si="89"/>
        <v>0.36900369003690037</v>
      </c>
      <c r="G280" s="28">
        <f>'Battery Pricing Model'!$C$17/D280</f>
        <v>0.36900369003690037</v>
      </c>
      <c r="H280" s="28">
        <f t="shared" si="90"/>
        <v>999</v>
      </c>
      <c r="I280" s="28"/>
      <c r="J280" s="34">
        <f>INDEX('Profit per cycles Model'!$I$149:$I$179, MATCH(TRUNC(E280, 0), 'Profit per cycles Model'!$H$149:$H$179, 0))</f>
        <v>0.45844901601529758</v>
      </c>
      <c r="K280" s="27">
        <f>AVERAGE($AB$10:AB280)</f>
        <v>0.41300215561479847</v>
      </c>
      <c r="L280" s="28">
        <f t="shared" si="91"/>
        <v>4.3998465577898105E-2</v>
      </c>
      <c r="M280" s="28">
        <f t="shared" si="92"/>
        <v>4.3998465577898105E-2</v>
      </c>
      <c r="N280" s="28">
        <f t="shared" si="93"/>
        <v>999</v>
      </c>
      <c r="O280" s="28"/>
      <c r="P280" s="29">
        <f t="shared" si="109"/>
        <v>0.27100000000000019</v>
      </c>
      <c r="Q280" s="33">
        <f t="shared" si="94"/>
        <v>6.7114093959731544</v>
      </c>
      <c r="R280" s="33">
        <f t="shared" si="95"/>
        <v>6.7114093959731544</v>
      </c>
      <c r="S280" s="33">
        <f t="shared" si="96"/>
        <v>-1</v>
      </c>
      <c r="T280" s="27"/>
      <c r="U280" s="28">
        <f t="shared" si="97"/>
        <v>0.10964912280701754</v>
      </c>
      <c r="V280" s="25">
        <f t="shared" si="98"/>
        <v>999</v>
      </c>
      <c r="W280" s="35">
        <f t="shared" si="110"/>
        <v>25</v>
      </c>
      <c r="X280" s="33">
        <f t="shared" si="99"/>
        <v>25</v>
      </c>
      <c r="Y280" s="32">
        <f t="shared" si="100"/>
        <v>-1</v>
      </c>
      <c r="Z280" s="32"/>
      <c r="AA280" s="30">
        <f t="shared" si="101"/>
        <v>7.4236405971784682</v>
      </c>
      <c r="AB280" s="28">
        <f t="shared" si="102"/>
        <v>0.45844901601529758</v>
      </c>
      <c r="AC280" s="28">
        <f t="shared" si="103"/>
        <v>0.10964912280701754</v>
      </c>
      <c r="AD280" s="29">
        <f t="shared" si="104"/>
        <v>257.11574952561671</v>
      </c>
      <c r="AE280" s="28">
        <f t="shared" si="105"/>
        <v>0.10964912280701754</v>
      </c>
      <c r="AF280" s="28">
        <f t="shared" si="106"/>
        <v>0.34879989320828003</v>
      </c>
      <c r="AG280" s="28">
        <f t="shared" si="107"/>
        <v>0</v>
      </c>
      <c r="AI280" s="31">
        <f t="shared" si="108"/>
        <v>0.11923584171610387</v>
      </c>
      <c r="AJ280" s="25"/>
      <c r="AK280" s="31"/>
      <c r="AM280" s="27"/>
    </row>
    <row r="281" spans="4:39" x14ac:dyDescent="0.25">
      <c r="D281" s="25">
        <f>E281*'Profit per cycles Model'!$I$113</f>
        <v>2720</v>
      </c>
      <c r="E281" s="25">
        <v>7.4510341049171345</v>
      </c>
      <c r="F281" s="28">
        <f t="shared" si="89"/>
        <v>0.36764705882352944</v>
      </c>
      <c r="G281" s="28">
        <f>'Battery Pricing Model'!$C$17/D281</f>
        <v>0.36764705882352944</v>
      </c>
      <c r="H281" s="28">
        <f t="shared" si="90"/>
        <v>999</v>
      </c>
      <c r="I281" s="28"/>
      <c r="J281" s="34">
        <f>INDEX('Profit per cycles Model'!$I$149:$I$179, MATCH(TRUNC(E281, 0), 'Profit per cycles Model'!$H$149:$H$179, 0))</f>
        <v>0.45844901601529758</v>
      </c>
      <c r="K281" s="27">
        <f>AVERAGE($AB$10:AB281)</f>
        <v>0.41316923966038854</v>
      </c>
      <c r="L281" s="28">
        <f t="shared" si="91"/>
        <v>4.5522180836859105E-2</v>
      </c>
      <c r="M281" s="28">
        <f t="shared" si="92"/>
        <v>4.5522180836859105E-2</v>
      </c>
      <c r="N281" s="28">
        <f t="shared" si="93"/>
        <v>999</v>
      </c>
      <c r="O281" s="28"/>
      <c r="P281" s="29">
        <f t="shared" si="109"/>
        <v>0.27200000000000019</v>
      </c>
      <c r="Q281" s="33">
        <f t="shared" si="94"/>
        <v>6.7114093959731544</v>
      </c>
      <c r="R281" s="33">
        <f t="shared" si="95"/>
        <v>6.7114093959731544</v>
      </c>
      <c r="S281" s="33">
        <f t="shared" si="96"/>
        <v>-1</v>
      </c>
      <c r="T281" s="27"/>
      <c r="U281" s="28">
        <f t="shared" si="97"/>
        <v>0.10964912280701754</v>
      </c>
      <c r="V281" s="25">
        <f t="shared" si="98"/>
        <v>999</v>
      </c>
      <c r="W281" s="35">
        <f t="shared" si="110"/>
        <v>25</v>
      </c>
      <c r="X281" s="33">
        <f t="shared" si="99"/>
        <v>25</v>
      </c>
      <c r="Y281" s="32">
        <f t="shared" si="100"/>
        <v>-1</v>
      </c>
      <c r="Z281" s="32"/>
      <c r="AA281" s="30">
        <f t="shared" si="101"/>
        <v>7.4510341049171345</v>
      </c>
      <c r="AB281" s="28">
        <f t="shared" si="102"/>
        <v>0.45844901601529758</v>
      </c>
      <c r="AC281" s="28">
        <f t="shared" si="103"/>
        <v>0.10964912280701754</v>
      </c>
      <c r="AD281" s="29">
        <f t="shared" si="104"/>
        <v>258.06451612903226</v>
      </c>
      <c r="AE281" s="28">
        <f t="shared" si="105"/>
        <v>0.10964912280701754</v>
      </c>
      <c r="AF281" s="28">
        <f t="shared" si="106"/>
        <v>0.34879989320828003</v>
      </c>
      <c r="AG281" s="28">
        <f t="shared" si="107"/>
        <v>0</v>
      </c>
      <c r="AI281" s="31">
        <f t="shared" si="108"/>
        <v>0.12382033187625675</v>
      </c>
      <c r="AJ281" s="25"/>
      <c r="AK281" s="31"/>
      <c r="AM281" s="27"/>
    </row>
    <row r="282" spans="4:39" x14ac:dyDescent="0.25">
      <c r="D282" s="25">
        <f>E282*'Profit per cycles Model'!$I$113</f>
        <v>2730</v>
      </c>
      <c r="E282" s="25">
        <v>7.4784276126558007</v>
      </c>
      <c r="F282" s="28">
        <f t="shared" si="89"/>
        <v>0.36630036630036628</v>
      </c>
      <c r="G282" s="28">
        <f>'Battery Pricing Model'!$C$17/D282</f>
        <v>0.36630036630036628</v>
      </c>
      <c r="H282" s="28">
        <f t="shared" si="90"/>
        <v>999</v>
      </c>
      <c r="I282" s="28"/>
      <c r="J282" s="34">
        <f>INDEX('Profit per cycles Model'!$I$149:$I$179, MATCH(TRUNC(E282, 0), 'Profit per cycles Model'!$H$149:$H$179, 0))</f>
        <v>0.45844901601529758</v>
      </c>
      <c r="K282" s="27">
        <f>AVERAGE($AB$10:AB282)</f>
        <v>0.41333509964703652</v>
      </c>
      <c r="L282" s="28">
        <f t="shared" si="91"/>
        <v>4.7034733346670243E-2</v>
      </c>
      <c r="M282" s="28">
        <f t="shared" si="92"/>
        <v>4.7034733346670243E-2</v>
      </c>
      <c r="N282" s="28">
        <f t="shared" si="93"/>
        <v>999</v>
      </c>
      <c r="O282" s="28"/>
      <c r="P282" s="29">
        <f t="shared" si="109"/>
        <v>0.27300000000000019</v>
      </c>
      <c r="Q282" s="33">
        <f t="shared" si="94"/>
        <v>6.7114093959731544</v>
      </c>
      <c r="R282" s="33">
        <f t="shared" si="95"/>
        <v>6.7114093959731544</v>
      </c>
      <c r="S282" s="33">
        <f t="shared" si="96"/>
        <v>-1</v>
      </c>
      <c r="T282" s="27"/>
      <c r="U282" s="28">
        <f t="shared" si="97"/>
        <v>0.10964912280701754</v>
      </c>
      <c r="V282" s="25">
        <f t="shared" si="98"/>
        <v>999</v>
      </c>
      <c r="W282" s="35">
        <f t="shared" si="110"/>
        <v>25</v>
      </c>
      <c r="X282" s="33">
        <f t="shared" si="99"/>
        <v>25</v>
      </c>
      <c r="Y282" s="32">
        <f t="shared" si="100"/>
        <v>-1</v>
      </c>
      <c r="Z282" s="32"/>
      <c r="AA282" s="30">
        <f t="shared" si="101"/>
        <v>7.4784276126558007</v>
      </c>
      <c r="AB282" s="28">
        <f t="shared" si="102"/>
        <v>0.45844901601529758</v>
      </c>
      <c r="AC282" s="28">
        <f t="shared" si="103"/>
        <v>0.10964912280701754</v>
      </c>
      <c r="AD282" s="29">
        <f t="shared" si="104"/>
        <v>259.01328273244786</v>
      </c>
      <c r="AE282" s="28">
        <f t="shared" si="105"/>
        <v>0.10964912280701754</v>
      </c>
      <c r="AF282" s="28">
        <f t="shared" si="106"/>
        <v>0.34879989320828003</v>
      </c>
      <c r="AG282" s="28">
        <f t="shared" si="107"/>
        <v>0</v>
      </c>
      <c r="AI282" s="31">
        <f t="shared" si="108"/>
        <v>0.12840482203640977</v>
      </c>
      <c r="AJ282" s="25"/>
      <c r="AK282" s="31"/>
      <c r="AM282" s="27"/>
    </row>
    <row r="283" spans="4:39" x14ac:dyDescent="0.25">
      <c r="D283" s="25">
        <f>E283*'Profit per cycles Model'!$I$113</f>
        <v>2740</v>
      </c>
      <c r="E283" s="25">
        <v>7.505821120394466</v>
      </c>
      <c r="F283" s="28">
        <f t="shared" si="89"/>
        <v>0.36496350364963503</v>
      </c>
      <c r="G283" s="28">
        <f>'Battery Pricing Model'!$C$17/D283</f>
        <v>0.36496350364963503</v>
      </c>
      <c r="H283" s="28">
        <f t="shared" si="90"/>
        <v>999</v>
      </c>
      <c r="I283" s="28"/>
      <c r="J283" s="34">
        <f>INDEX('Profit per cycles Model'!$I$149:$I$179, MATCH(TRUNC(E283, 0), 'Profit per cycles Model'!$H$149:$H$179, 0))</f>
        <v>0.45844901601529758</v>
      </c>
      <c r="K283" s="27">
        <f>AVERAGE($AB$10:AB283)</f>
        <v>0.41349974897684771</v>
      </c>
      <c r="L283" s="28">
        <f t="shared" si="91"/>
        <v>4.8536245327212679E-2</v>
      </c>
      <c r="M283" s="28">
        <f t="shared" si="92"/>
        <v>4.8536245327212679E-2</v>
      </c>
      <c r="N283" s="28">
        <f t="shared" si="93"/>
        <v>999</v>
      </c>
      <c r="O283" s="28"/>
      <c r="P283" s="29">
        <f t="shared" si="109"/>
        <v>0.27400000000000019</v>
      </c>
      <c r="Q283" s="33">
        <f t="shared" si="94"/>
        <v>6.7114093959731544</v>
      </c>
      <c r="R283" s="33">
        <f t="shared" si="95"/>
        <v>6.7114093959731544</v>
      </c>
      <c r="S283" s="33">
        <f t="shared" si="96"/>
        <v>-1</v>
      </c>
      <c r="T283" s="27"/>
      <c r="U283" s="28">
        <f t="shared" si="97"/>
        <v>0.10964912280701754</v>
      </c>
      <c r="V283" s="25">
        <f t="shared" si="98"/>
        <v>999</v>
      </c>
      <c r="W283" s="35">
        <f t="shared" si="110"/>
        <v>25</v>
      </c>
      <c r="X283" s="33">
        <f t="shared" si="99"/>
        <v>25</v>
      </c>
      <c r="Y283" s="32">
        <f t="shared" si="100"/>
        <v>-1</v>
      </c>
      <c r="Z283" s="32"/>
      <c r="AA283" s="30">
        <f t="shared" si="101"/>
        <v>7.505821120394466</v>
      </c>
      <c r="AB283" s="28">
        <f t="shared" si="102"/>
        <v>0.45844901601529758</v>
      </c>
      <c r="AC283" s="28">
        <f t="shared" si="103"/>
        <v>0.10964912280701754</v>
      </c>
      <c r="AD283" s="29">
        <f t="shared" si="104"/>
        <v>259.96204933586336</v>
      </c>
      <c r="AE283" s="28">
        <f t="shared" si="105"/>
        <v>0.10964912280701754</v>
      </c>
      <c r="AF283" s="28">
        <f t="shared" si="106"/>
        <v>0.34879989320828003</v>
      </c>
      <c r="AG283" s="28">
        <f t="shared" si="107"/>
        <v>0</v>
      </c>
      <c r="AI283" s="31">
        <f t="shared" si="108"/>
        <v>0.13298931219656274</v>
      </c>
      <c r="AJ283" s="25"/>
      <c r="AK283" s="31"/>
      <c r="AM283" s="27"/>
    </row>
    <row r="284" spans="4:39" x14ac:dyDescent="0.25">
      <c r="D284" s="25">
        <f>E284*'Profit per cycles Model'!$I$113</f>
        <v>2750</v>
      </c>
      <c r="E284" s="25">
        <v>7.5332146281331323</v>
      </c>
      <c r="F284" s="28">
        <f t="shared" si="89"/>
        <v>0.36363636363636365</v>
      </c>
      <c r="G284" s="28">
        <f>'Battery Pricing Model'!$C$17/D284</f>
        <v>0.36363636363636365</v>
      </c>
      <c r="H284" s="28">
        <f t="shared" si="90"/>
        <v>999</v>
      </c>
      <c r="I284" s="28"/>
      <c r="J284" s="34">
        <f>INDEX('Profit per cycles Model'!$I$149:$I$179, MATCH(TRUNC(E284, 0), 'Profit per cycles Model'!$H$149:$H$179, 0))</f>
        <v>0.45844901601529758</v>
      </c>
      <c r="K284" s="27">
        <f>AVERAGE($AB$10:AB284)</f>
        <v>0.41366320085698749</v>
      </c>
      <c r="L284" s="28">
        <f t="shared" si="91"/>
        <v>5.0026837220623843E-2</v>
      </c>
      <c r="M284" s="28">
        <f t="shared" si="92"/>
        <v>5.0026837220623843E-2</v>
      </c>
      <c r="N284" s="28">
        <f t="shared" si="93"/>
        <v>999</v>
      </c>
      <c r="O284" s="28"/>
      <c r="P284" s="29">
        <f t="shared" si="109"/>
        <v>0.27500000000000019</v>
      </c>
      <c r="Q284" s="33">
        <f t="shared" si="94"/>
        <v>6.7114093959731544</v>
      </c>
      <c r="R284" s="33">
        <f t="shared" si="95"/>
        <v>6.7114093959731544</v>
      </c>
      <c r="S284" s="33">
        <f t="shared" si="96"/>
        <v>-1</v>
      </c>
      <c r="T284" s="27"/>
      <c r="U284" s="28">
        <f t="shared" si="97"/>
        <v>0.10964912280701754</v>
      </c>
      <c r="V284" s="25">
        <f t="shared" si="98"/>
        <v>999</v>
      </c>
      <c r="W284" s="35">
        <f t="shared" si="110"/>
        <v>25</v>
      </c>
      <c r="X284" s="33">
        <f t="shared" si="99"/>
        <v>25</v>
      </c>
      <c r="Y284" s="32">
        <f t="shared" si="100"/>
        <v>-1</v>
      </c>
      <c r="Z284" s="32"/>
      <c r="AA284" s="30">
        <f t="shared" si="101"/>
        <v>7.5332146281331323</v>
      </c>
      <c r="AB284" s="28">
        <f t="shared" si="102"/>
        <v>0.45844901601529758</v>
      </c>
      <c r="AC284" s="28">
        <f t="shared" si="103"/>
        <v>0.10964912280701754</v>
      </c>
      <c r="AD284" s="29">
        <f t="shared" si="104"/>
        <v>260.91081593927896</v>
      </c>
      <c r="AE284" s="28">
        <f t="shared" si="105"/>
        <v>0.10964912280701754</v>
      </c>
      <c r="AF284" s="28">
        <f t="shared" si="106"/>
        <v>0.34879989320828003</v>
      </c>
      <c r="AG284" s="28">
        <f t="shared" si="107"/>
        <v>0</v>
      </c>
      <c r="AI284" s="31">
        <f t="shared" si="108"/>
        <v>0.13757380235671557</v>
      </c>
      <c r="AJ284" s="25"/>
      <c r="AK284" s="31"/>
      <c r="AM284" s="27"/>
    </row>
    <row r="285" spans="4:39" x14ac:dyDescent="0.25">
      <c r="D285" s="25">
        <f>E285*'Profit per cycles Model'!$I$113</f>
        <v>2760</v>
      </c>
      <c r="E285" s="25">
        <v>7.5606081358717985</v>
      </c>
      <c r="F285" s="28">
        <f t="shared" si="89"/>
        <v>0.36231884057971014</v>
      </c>
      <c r="G285" s="28">
        <f>'Battery Pricing Model'!$C$17/D285</f>
        <v>0.36231884057971014</v>
      </c>
      <c r="H285" s="28">
        <f t="shared" si="90"/>
        <v>999</v>
      </c>
      <c r="I285" s="28"/>
      <c r="J285" s="34">
        <f>INDEX('Profit per cycles Model'!$I$149:$I$179, MATCH(TRUNC(E285, 0), 'Profit per cycles Model'!$H$149:$H$179, 0))</f>
        <v>0.45844901601529758</v>
      </c>
      <c r="K285" s="27">
        <f>AVERAGE($AB$10:AB285)</f>
        <v>0.41382546830321326</v>
      </c>
      <c r="L285" s="28">
        <f t="shared" si="91"/>
        <v>5.1506627723503118E-2</v>
      </c>
      <c r="M285" s="28">
        <f t="shared" si="92"/>
        <v>5.1506627723503118E-2</v>
      </c>
      <c r="N285" s="28">
        <f t="shared" si="93"/>
        <v>999</v>
      </c>
      <c r="O285" s="28"/>
      <c r="P285" s="29">
        <f t="shared" si="109"/>
        <v>0.27600000000000019</v>
      </c>
      <c r="Q285" s="33">
        <f t="shared" si="94"/>
        <v>6.7114093959731544</v>
      </c>
      <c r="R285" s="33">
        <f t="shared" si="95"/>
        <v>6.7114093959731544</v>
      </c>
      <c r="S285" s="33">
        <f t="shared" si="96"/>
        <v>-1</v>
      </c>
      <c r="T285" s="27"/>
      <c r="U285" s="28">
        <f t="shared" si="97"/>
        <v>0.10964912280701754</v>
      </c>
      <c r="V285" s="25">
        <f t="shared" si="98"/>
        <v>999</v>
      </c>
      <c r="W285" s="35">
        <f t="shared" si="110"/>
        <v>25</v>
      </c>
      <c r="X285" s="33">
        <f t="shared" si="99"/>
        <v>25</v>
      </c>
      <c r="Y285" s="32">
        <f t="shared" si="100"/>
        <v>-1</v>
      </c>
      <c r="Z285" s="32"/>
      <c r="AA285" s="30">
        <f t="shared" si="101"/>
        <v>7.5606081358717985</v>
      </c>
      <c r="AB285" s="28">
        <f t="shared" si="102"/>
        <v>0.45844901601529758</v>
      </c>
      <c r="AC285" s="28">
        <f t="shared" si="103"/>
        <v>0.10964912280701754</v>
      </c>
      <c r="AD285" s="29">
        <f t="shared" si="104"/>
        <v>261.85958254269451</v>
      </c>
      <c r="AE285" s="28">
        <f t="shared" si="105"/>
        <v>0.10964912280701754</v>
      </c>
      <c r="AF285" s="28">
        <f t="shared" si="106"/>
        <v>0.34879989320828003</v>
      </c>
      <c r="AG285" s="28">
        <f t="shared" si="107"/>
        <v>0</v>
      </c>
      <c r="AI285" s="31">
        <f t="shared" si="108"/>
        <v>0.1421582925168686</v>
      </c>
      <c r="AJ285" s="25"/>
      <c r="AK285" s="31"/>
      <c r="AM285" s="27"/>
    </row>
    <row r="286" spans="4:39" x14ac:dyDescent="0.25">
      <c r="D286" s="25">
        <f>E286*'Profit per cycles Model'!$I$113</f>
        <v>2770</v>
      </c>
      <c r="E286" s="25">
        <v>7.5880016436104638</v>
      </c>
      <c r="F286" s="28">
        <f t="shared" si="89"/>
        <v>0.36101083032490977</v>
      </c>
      <c r="G286" s="28">
        <f>'Battery Pricing Model'!$C$17/D286</f>
        <v>0.36101083032490977</v>
      </c>
      <c r="H286" s="28">
        <f t="shared" si="90"/>
        <v>999</v>
      </c>
      <c r="I286" s="28"/>
      <c r="J286" s="34">
        <f>INDEX('Profit per cycles Model'!$I$149:$I$179, MATCH(TRUNC(E286, 0), 'Profit per cycles Model'!$H$149:$H$179, 0))</f>
        <v>0.45844901601529758</v>
      </c>
      <c r="K286" s="27">
        <f>AVERAGE($AB$10:AB286)</f>
        <v>0.41398656414332907</v>
      </c>
      <c r="L286" s="28">
        <f t="shared" si="91"/>
        <v>5.2975733818419302E-2</v>
      </c>
      <c r="M286" s="28">
        <f t="shared" si="92"/>
        <v>5.2975733818419302E-2</v>
      </c>
      <c r="N286" s="28">
        <f t="shared" si="93"/>
        <v>999</v>
      </c>
      <c r="O286" s="28"/>
      <c r="P286" s="29">
        <f t="shared" si="109"/>
        <v>0.27700000000000019</v>
      </c>
      <c r="Q286" s="33">
        <f t="shared" si="94"/>
        <v>6.7114093959731544</v>
      </c>
      <c r="R286" s="33">
        <f t="shared" si="95"/>
        <v>6.7114093959731544</v>
      </c>
      <c r="S286" s="33">
        <f t="shared" si="96"/>
        <v>-1</v>
      </c>
      <c r="T286" s="27"/>
      <c r="U286" s="28">
        <f t="shared" si="97"/>
        <v>0.10964912280701754</v>
      </c>
      <c r="V286" s="25">
        <f t="shared" si="98"/>
        <v>999</v>
      </c>
      <c r="W286" s="35">
        <f t="shared" si="110"/>
        <v>25</v>
      </c>
      <c r="X286" s="33">
        <f t="shared" si="99"/>
        <v>25</v>
      </c>
      <c r="Y286" s="32">
        <f t="shared" si="100"/>
        <v>-1</v>
      </c>
      <c r="Z286" s="32"/>
      <c r="AA286" s="30">
        <f t="shared" si="101"/>
        <v>7.5880016436104638</v>
      </c>
      <c r="AB286" s="28">
        <f t="shared" si="102"/>
        <v>0.45844901601529758</v>
      </c>
      <c r="AC286" s="28">
        <f t="shared" si="103"/>
        <v>0.10964912280701754</v>
      </c>
      <c r="AD286" s="29">
        <f t="shared" si="104"/>
        <v>262.80834914611006</v>
      </c>
      <c r="AE286" s="28">
        <f t="shared" si="105"/>
        <v>0.10964912280701754</v>
      </c>
      <c r="AF286" s="28">
        <f t="shared" si="106"/>
        <v>0.34879989320828003</v>
      </c>
      <c r="AG286" s="28">
        <f t="shared" si="107"/>
        <v>0</v>
      </c>
      <c r="AI286" s="31">
        <f t="shared" si="108"/>
        <v>0.14674278267702145</v>
      </c>
      <c r="AJ286" s="25"/>
      <c r="AK286" s="31"/>
      <c r="AM286" s="27"/>
    </row>
    <row r="287" spans="4:39" x14ac:dyDescent="0.25">
      <c r="D287" s="25">
        <f>E287*'Profit per cycles Model'!$I$113</f>
        <v>2780</v>
      </c>
      <c r="E287" s="25">
        <v>7.61539515134913</v>
      </c>
      <c r="F287" s="28">
        <f t="shared" si="89"/>
        <v>0.35971223021582732</v>
      </c>
      <c r="G287" s="28">
        <f>'Battery Pricing Model'!$C$17/D287</f>
        <v>0.35971223021582732</v>
      </c>
      <c r="H287" s="28">
        <f t="shared" si="90"/>
        <v>999</v>
      </c>
      <c r="I287" s="28"/>
      <c r="J287" s="34">
        <f>INDEX('Profit per cycles Model'!$I$149:$I$179, MATCH(TRUNC(E287, 0), 'Profit per cycles Model'!$H$149:$H$179, 0))</f>
        <v>0.45844901601529758</v>
      </c>
      <c r="K287" s="27">
        <f>AVERAGE($AB$10:AB287)</f>
        <v>0.41414650102056633</v>
      </c>
      <c r="L287" s="28">
        <f t="shared" si="91"/>
        <v>5.4434270804739004E-2</v>
      </c>
      <c r="M287" s="28">
        <f t="shared" si="92"/>
        <v>5.4434270804739004E-2</v>
      </c>
      <c r="N287" s="28">
        <f t="shared" si="93"/>
        <v>999</v>
      </c>
      <c r="O287" s="28"/>
      <c r="P287" s="29">
        <f t="shared" si="109"/>
        <v>0.27800000000000019</v>
      </c>
      <c r="Q287" s="33">
        <f t="shared" si="94"/>
        <v>6.7114093959731544</v>
      </c>
      <c r="R287" s="33">
        <f t="shared" si="95"/>
        <v>6.7114093959731544</v>
      </c>
      <c r="S287" s="33">
        <f t="shared" si="96"/>
        <v>-1</v>
      </c>
      <c r="T287" s="27"/>
      <c r="U287" s="28">
        <f t="shared" si="97"/>
        <v>0.10964912280701754</v>
      </c>
      <c r="V287" s="25">
        <f t="shared" si="98"/>
        <v>999</v>
      </c>
      <c r="W287" s="35">
        <f t="shared" si="110"/>
        <v>25</v>
      </c>
      <c r="X287" s="33">
        <f t="shared" si="99"/>
        <v>25</v>
      </c>
      <c r="Y287" s="32">
        <f t="shared" si="100"/>
        <v>-1</v>
      </c>
      <c r="Z287" s="32"/>
      <c r="AA287" s="30">
        <f t="shared" si="101"/>
        <v>7.61539515134913</v>
      </c>
      <c r="AB287" s="28">
        <f t="shared" si="102"/>
        <v>0.45844901601529758</v>
      </c>
      <c r="AC287" s="28">
        <f t="shared" si="103"/>
        <v>0.10964912280701754</v>
      </c>
      <c r="AD287" s="29">
        <f t="shared" si="104"/>
        <v>263.75711574952561</v>
      </c>
      <c r="AE287" s="28">
        <f t="shared" si="105"/>
        <v>0.10964912280701754</v>
      </c>
      <c r="AF287" s="28">
        <f t="shared" si="106"/>
        <v>0.34879989320828003</v>
      </c>
      <c r="AG287" s="28">
        <f t="shared" si="107"/>
        <v>0</v>
      </c>
      <c r="AI287" s="31">
        <f t="shared" si="108"/>
        <v>0.15132727283717443</v>
      </c>
      <c r="AJ287" s="25"/>
      <c r="AK287" s="31"/>
      <c r="AM287" s="27"/>
    </row>
    <row r="288" spans="4:39" x14ac:dyDescent="0.25">
      <c r="D288" s="25">
        <f>E288*'Profit per cycles Model'!$I$113</f>
        <v>2790</v>
      </c>
      <c r="E288" s="25">
        <v>7.6427886590877963</v>
      </c>
      <c r="F288" s="28">
        <f t="shared" si="89"/>
        <v>0.35842293906810035</v>
      </c>
      <c r="G288" s="28">
        <f>'Battery Pricing Model'!$C$17/D288</f>
        <v>0.35842293906810035</v>
      </c>
      <c r="H288" s="28">
        <f t="shared" si="90"/>
        <v>999</v>
      </c>
      <c r="I288" s="28"/>
      <c r="J288" s="34">
        <f>INDEX('Profit per cycles Model'!$I$149:$I$179, MATCH(TRUNC(E288, 0), 'Profit per cycles Model'!$H$149:$H$179, 0))</f>
        <v>0.45844901601529758</v>
      </c>
      <c r="K288" s="27">
        <f>AVERAGE($AB$10:AB288)</f>
        <v>0.41430529139689154</v>
      </c>
      <c r="L288" s="28">
        <f t="shared" si="91"/>
        <v>5.5882352328791185E-2</v>
      </c>
      <c r="M288" s="28">
        <f t="shared" si="92"/>
        <v>5.5882352328791185E-2</v>
      </c>
      <c r="N288" s="28">
        <f t="shared" si="93"/>
        <v>999</v>
      </c>
      <c r="O288" s="28"/>
      <c r="P288" s="29">
        <f t="shared" si="109"/>
        <v>0.27900000000000019</v>
      </c>
      <c r="Q288" s="33">
        <f t="shared" si="94"/>
        <v>6.7114093959731544</v>
      </c>
      <c r="R288" s="33">
        <f t="shared" si="95"/>
        <v>6.7114093959731544</v>
      </c>
      <c r="S288" s="33">
        <f t="shared" si="96"/>
        <v>-1</v>
      </c>
      <c r="T288" s="27"/>
      <c r="U288" s="28">
        <f t="shared" si="97"/>
        <v>0.10964912280701754</v>
      </c>
      <c r="V288" s="25">
        <f t="shared" si="98"/>
        <v>999</v>
      </c>
      <c r="W288" s="35">
        <f t="shared" si="110"/>
        <v>25</v>
      </c>
      <c r="X288" s="33">
        <f t="shared" si="99"/>
        <v>25</v>
      </c>
      <c r="Y288" s="32">
        <f t="shared" si="100"/>
        <v>-1</v>
      </c>
      <c r="Z288" s="32"/>
      <c r="AA288" s="30">
        <f t="shared" si="101"/>
        <v>7.6427886590877963</v>
      </c>
      <c r="AB288" s="28">
        <f t="shared" si="102"/>
        <v>0.45844901601529758</v>
      </c>
      <c r="AC288" s="28">
        <f t="shared" si="103"/>
        <v>0.10964912280701754</v>
      </c>
      <c r="AD288" s="29">
        <f t="shared" si="104"/>
        <v>264.70588235294116</v>
      </c>
      <c r="AE288" s="28">
        <f t="shared" si="105"/>
        <v>0.10964912280701754</v>
      </c>
      <c r="AF288" s="28">
        <f t="shared" si="106"/>
        <v>0.34879989320828003</v>
      </c>
      <c r="AG288" s="28">
        <f t="shared" si="107"/>
        <v>0</v>
      </c>
      <c r="AI288" s="31">
        <f t="shared" si="108"/>
        <v>0.1559117629973274</v>
      </c>
      <c r="AJ288" s="25"/>
      <c r="AK288" s="31"/>
      <c r="AM288" s="27"/>
    </row>
    <row r="289" spans="4:39" x14ac:dyDescent="0.25">
      <c r="D289" s="25">
        <f>E289*'Profit per cycles Model'!$I$113</f>
        <v>2800</v>
      </c>
      <c r="E289" s="25">
        <v>7.6701821668264616</v>
      </c>
      <c r="F289" s="28">
        <f t="shared" si="89"/>
        <v>0.35714285714285715</v>
      </c>
      <c r="G289" s="28">
        <f>'Battery Pricing Model'!$C$17/D289</f>
        <v>0.35714285714285715</v>
      </c>
      <c r="H289" s="28">
        <f t="shared" si="90"/>
        <v>999</v>
      </c>
      <c r="I289" s="28"/>
      <c r="J289" s="34">
        <f>INDEX('Profit per cycles Model'!$I$149:$I$179, MATCH(TRUNC(E289, 0), 'Profit per cycles Model'!$H$149:$H$179, 0))</f>
        <v>0.45844901601529758</v>
      </c>
      <c r="K289" s="27">
        <f>AVERAGE($AB$10:AB289)</f>
        <v>0.41446294755624297</v>
      </c>
      <c r="L289" s="28">
        <f t="shared" si="91"/>
        <v>5.7320090413385816E-2</v>
      </c>
      <c r="M289" s="28">
        <f t="shared" si="92"/>
        <v>5.7320090413385816E-2</v>
      </c>
      <c r="N289" s="28">
        <f t="shared" si="93"/>
        <v>999</v>
      </c>
      <c r="O289" s="28"/>
      <c r="P289" s="29">
        <f t="shared" si="109"/>
        <v>0.28000000000000019</v>
      </c>
      <c r="Q289" s="33">
        <f t="shared" si="94"/>
        <v>6.7114093959731544</v>
      </c>
      <c r="R289" s="33">
        <f t="shared" si="95"/>
        <v>6.7114093959731544</v>
      </c>
      <c r="S289" s="33">
        <f t="shared" si="96"/>
        <v>-1</v>
      </c>
      <c r="T289" s="27"/>
      <c r="U289" s="28">
        <f t="shared" si="97"/>
        <v>0.10964912280701754</v>
      </c>
      <c r="V289" s="25">
        <f t="shared" si="98"/>
        <v>999</v>
      </c>
      <c r="W289" s="35">
        <f t="shared" si="110"/>
        <v>25</v>
      </c>
      <c r="X289" s="33">
        <f t="shared" si="99"/>
        <v>25</v>
      </c>
      <c r="Y289" s="32">
        <f t="shared" si="100"/>
        <v>-1</v>
      </c>
      <c r="Z289" s="32"/>
      <c r="AA289" s="30">
        <f t="shared" si="101"/>
        <v>7.6701821668264616</v>
      </c>
      <c r="AB289" s="28">
        <f t="shared" si="102"/>
        <v>0.45844901601529758</v>
      </c>
      <c r="AC289" s="28">
        <f t="shared" si="103"/>
        <v>0.10964912280701754</v>
      </c>
      <c r="AD289" s="29">
        <f t="shared" si="104"/>
        <v>265.65464895635677</v>
      </c>
      <c r="AE289" s="28">
        <f t="shared" si="105"/>
        <v>0.10964912280701754</v>
      </c>
      <c r="AF289" s="28">
        <f t="shared" si="106"/>
        <v>0.34879989320828003</v>
      </c>
      <c r="AG289" s="28">
        <f t="shared" si="107"/>
        <v>0</v>
      </c>
      <c r="AI289" s="31">
        <f t="shared" si="108"/>
        <v>0.16049625315748028</v>
      </c>
      <c r="AJ289" s="25"/>
      <c r="AK289" s="31"/>
      <c r="AM289" s="27"/>
    </row>
    <row r="290" spans="4:39" x14ac:dyDescent="0.25">
      <c r="D290" s="25">
        <f>E290*'Profit per cycles Model'!$I$113</f>
        <v>2810</v>
      </c>
      <c r="E290" s="25">
        <v>7.6975756745651278</v>
      </c>
      <c r="F290" s="28">
        <f t="shared" si="89"/>
        <v>0.35587188612099646</v>
      </c>
      <c r="G290" s="28">
        <f>'Battery Pricing Model'!$C$17/D290</f>
        <v>0.35587188612099646</v>
      </c>
      <c r="H290" s="28">
        <f t="shared" si="90"/>
        <v>999</v>
      </c>
      <c r="I290" s="28"/>
      <c r="J290" s="34">
        <f>INDEX('Profit per cycles Model'!$I$149:$I$179, MATCH(TRUNC(E290, 0), 'Profit per cycles Model'!$H$149:$H$179, 0))</f>
        <v>0.45844901601529758</v>
      </c>
      <c r="K290" s="27">
        <f>AVERAGE($AB$10:AB290)</f>
        <v>0.41461948160769868</v>
      </c>
      <c r="L290" s="28">
        <f t="shared" si="91"/>
        <v>5.874759548670222E-2</v>
      </c>
      <c r="M290" s="28">
        <f t="shared" si="92"/>
        <v>5.874759548670222E-2</v>
      </c>
      <c r="N290" s="28">
        <f t="shared" si="93"/>
        <v>999</v>
      </c>
      <c r="O290" s="28"/>
      <c r="P290" s="29">
        <f t="shared" si="109"/>
        <v>0.28100000000000019</v>
      </c>
      <c r="Q290" s="33">
        <f t="shared" si="94"/>
        <v>6.7114093959731544</v>
      </c>
      <c r="R290" s="33">
        <f t="shared" si="95"/>
        <v>6.7114093959731544</v>
      </c>
      <c r="S290" s="33">
        <f t="shared" si="96"/>
        <v>-1</v>
      </c>
      <c r="T290" s="27"/>
      <c r="U290" s="28">
        <f t="shared" si="97"/>
        <v>0.10964912280701754</v>
      </c>
      <c r="V290" s="25">
        <f t="shared" si="98"/>
        <v>999</v>
      </c>
      <c r="W290" s="35">
        <f t="shared" si="110"/>
        <v>25</v>
      </c>
      <c r="X290" s="33">
        <f t="shared" si="99"/>
        <v>25</v>
      </c>
      <c r="Y290" s="32">
        <f t="shared" si="100"/>
        <v>-1</v>
      </c>
      <c r="Z290" s="32"/>
      <c r="AA290" s="30">
        <f t="shared" si="101"/>
        <v>7.6975756745651278</v>
      </c>
      <c r="AB290" s="28">
        <f t="shared" si="102"/>
        <v>0.45844901601529758</v>
      </c>
      <c r="AC290" s="28">
        <f t="shared" si="103"/>
        <v>0.10964912280701754</v>
      </c>
      <c r="AD290" s="29">
        <f t="shared" si="104"/>
        <v>266.60341555977232</v>
      </c>
      <c r="AE290" s="28">
        <f t="shared" si="105"/>
        <v>0.10964912280701754</v>
      </c>
      <c r="AF290" s="28">
        <f t="shared" si="106"/>
        <v>0.34879989320828003</v>
      </c>
      <c r="AG290" s="28">
        <f t="shared" si="107"/>
        <v>0</v>
      </c>
      <c r="AI290" s="31">
        <f t="shared" si="108"/>
        <v>0.16508074331763323</v>
      </c>
      <c r="AJ290" s="25"/>
      <c r="AK290" s="31"/>
      <c r="AM290" s="27"/>
    </row>
    <row r="291" spans="4:39" x14ac:dyDescent="0.25">
      <c r="D291" s="25">
        <f>E291*'Profit per cycles Model'!$I$113</f>
        <v>2820</v>
      </c>
      <c r="E291" s="25">
        <v>7.724969182303794</v>
      </c>
      <c r="F291" s="28">
        <f t="shared" si="89"/>
        <v>0.3546099290780142</v>
      </c>
      <c r="G291" s="28">
        <f>'Battery Pricing Model'!$C$17/D291</f>
        <v>0.3546099290780142</v>
      </c>
      <c r="H291" s="28">
        <f t="shared" si="90"/>
        <v>999</v>
      </c>
      <c r="I291" s="28"/>
      <c r="J291" s="34">
        <f>INDEX('Profit per cycles Model'!$I$149:$I$179, MATCH(TRUNC(E291, 0), 'Profit per cycles Model'!$H$149:$H$179, 0))</f>
        <v>0.45844901601529758</v>
      </c>
      <c r="K291" s="27">
        <f>AVERAGE($AB$10:AB291)</f>
        <v>0.41477490548857665</v>
      </c>
      <c r="L291" s="28">
        <f t="shared" si="91"/>
        <v>6.0164976410562454E-2</v>
      </c>
      <c r="M291" s="28">
        <f t="shared" si="92"/>
        <v>6.0164976410562454E-2</v>
      </c>
      <c r="N291" s="28">
        <f t="shared" si="93"/>
        <v>999</v>
      </c>
      <c r="O291" s="28"/>
      <c r="P291" s="29">
        <f t="shared" si="109"/>
        <v>0.28200000000000019</v>
      </c>
      <c r="Q291" s="33">
        <f t="shared" si="94"/>
        <v>6.7114093959731544</v>
      </c>
      <c r="R291" s="33">
        <f t="shared" si="95"/>
        <v>6.7114093959731544</v>
      </c>
      <c r="S291" s="33">
        <f t="shared" si="96"/>
        <v>-1</v>
      </c>
      <c r="T291" s="27"/>
      <c r="U291" s="28">
        <f t="shared" si="97"/>
        <v>0.10964912280701754</v>
      </c>
      <c r="V291" s="25">
        <f t="shared" si="98"/>
        <v>999</v>
      </c>
      <c r="W291" s="35">
        <f t="shared" si="110"/>
        <v>25</v>
      </c>
      <c r="X291" s="33">
        <f t="shared" si="99"/>
        <v>25</v>
      </c>
      <c r="Y291" s="32">
        <f t="shared" si="100"/>
        <v>-1</v>
      </c>
      <c r="Z291" s="32"/>
      <c r="AA291" s="30">
        <f t="shared" si="101"/>
        <v>7.724969182303794</v>
      </c>
      <c r="AB291" s="28">
        <f t="shared" si="102"/>
        <v>0.45844901601529758</v>
      </c>
      <c r="AC291" s="28">
        <f t="shared" si="103"/>
        <v>0.10964912280701754</v>
      </c>
      <c r="AD291" s="29">
        <f t="shared" si="104"/>
        <v>267.55218216318787</v>
      </c>
      <c r="AE291" s="28">
        <f t="shared" si="105"/>
        <v>0.10964912280701754</v>
      </c>
      <c r="AF291" s="28">
        <f t="shared" si="106"/>
        <v>0.34879989320828003</v>
      </c>
      <c r="AG291" s="28">
        <f t="shared" si="107"/>
        <v>0</v>
      </c>
      <c r="AI291" s="31">
        <f t="shared" si="108"/>
        <v>0.16966523347778611</v>
      </c>
      <c r="AJ291" s="25"/>
      <c r="AK291" s="31"/>
      <c r="AM291" s="27"/>
    </row>
    <row r="292" spans="4:39" x14ac:dyDescent="0.25">
      <c r="D292" s="25">
        <f>E292*'Profit per cycles Model'!$I$113</f>
        <v>2830</v>
      </c>
      <c r="E292" s="25">
        <v>7.7523626900424594</v>
      </c>
      <c r="F292" s="28">
        <f t="shared" si="89"/>
        <v>0.35335689045936397</v>
      </c>
      <c r="G292" s="28">
        <f>'Battery Pricing Model'!$C$17/D292</f>
        <v>0.35335689045936397</v>
      </c>
      <c r="H292" s="28">
        <f t="shared" si="90"/>
        <v>999</v>
      </c>
      <c r="I292" s="28"/>
      <c r="J292" s="34">
        <f>INDEX('Profit per cycles Model'!$I$149:$I$179, MATCH(TRUNC(E292, 0), 'Profit per cycles Model'!$H$149:$H$179, 0))</f>
        <v>0.45844901601529758</v>
      </c>
      <c r="K292" s="27">
        <f>AVERAGE($AB$10:AB292)</f>
        <v>0.41492923096746964</v>
      </c>
      <c r="L292" s="28">
        <f t="shared" si="91"/>
        <v>6.1572340508105672E-2</v>
      </c>
      <c r="M292" s="28">
        <f t="shared" si="92"/>
        <v>6.1572340508105672E-2</v>
      </c>
      <c r="N292" s="28">
        <f t="shared" si="93"/>
        <v>999</v>
      </c>
      <c r="O292" s="28"/>
      <c r="P292" s="29">
        <f t="shared" si="109"/>
        <v>0.2830000000000002</v>
      </c>
      <c r="Q292" s="33">
        <f t="shared" si="94"/>
        <v>6.7114093959731544</v>
      </c>
      <c r="R292" s="33">
        <f t="shared" si="95"/>
        <v>6.7114093959731544</v>
      </c>
      <c r="S292" s="33">
        <f t="shared" si="96"/>
        <v>-1</v>
      </c>
      <c r="T292" s="27"/>
      <c r="U292" s="28">
        <f t="shared" si="97"/>
        <v>0.10964912280701754</v>
      </c>
      <c r="V292" s="25">
        <f t="shared" si="98"/>
        <v>999</v>
      </c>
      <c r="W292" s="35">
        <f t="shared" si="110"/>
        <v>25</v>
      </c>
      <c r="X292" s="33">
        <f t="shared" si="99"/>
        <v>25</v>
      </c>
      <c r="Y292" s="32">
        <f t="shared" si="100"/>
        <v>-1</v>
      </c>
      <c r="Z292" s="32"/>
      <c r="AA292" s="30">
        <f t="shared" si="101"/>
        <v>7.7523626900424594</v>
      </c>
      <c r="AB292" s="28">
        <f t="shared" si="102"/>
        <v>0.45844901601529758</v>
      </c>
      <c r="AC292" s="28">
        <f t="shared" si="103"/>
        <v>0.10964912280701754</v>
      </c>
      <c r="AD292" s="29">
        <f t="shared" si="104"/>
        <v>268.50094876660341</v>
      </c>
      <c r="AE292" s="28">
        <f t="shared" si="105"/>
        <v>0.10964912280701754</v>
      </c>
      <c r="AF292" s="28">
        <f t="shared" si="106"/>
        <v>0.34879989320828003</v>
      </c>
      <c r="AG292" s="28">
        <f t="shared" si="107"/>
        <v>0</v>
      </c>
      <c r="AI292" s="31">
        <f t="shared" si="108"/>
        <v>0.17424972363793906</v>
      </c>
      <c r="AJ292" s="25"/>
      <c r="AK292" s="31"/>
      <c r="AM292" s="27"/>
    </row>
    <row r="293" spans="4:39" x14ac:dyDescent="0.25">
      <c r="D293" s="25">
        <f>E293*'Profit per cycles Model'!$I$113</f>
        <v>2840</v>
      </c>
      <c r="E293" s="25">
        <v>7.7797561977811256</v>
      </c>
      <c r="F293" s="28">
        <f t="shared" si="89"/>
        <v>0.352112676056338</v>
      </c>
      <c r="G293" s="28">
        <f>'Battery Pricing Model'!$C$17/D293</f>
        <v>0.352112676056338</v>
      </c>
      <c r="H293" s="28">
        <f t="shared" si="90"/>
        <v>999</v>
      </c>
      <c r="I293" s="28"/>
      <c r="J293" s="34">
        <f>INDEX('Profit per cycles Model'!$I$149:$I$179, MATCH(TRUNC(E293, 0), 'Profit per cycles Model'!$H$149:$H$179, 0))</f>
        <v>0.45844901601529758</v>
      </c>
      <c r="K293" s="27">
        <f>AVERAGE($AB$10:AB293)</f>
        <v>0.41508246964721551</v>
      </c>
      <c r="L293" s="28">
        <f t="shared" si="91"/>
        <v>6.296979359087751E-2</v>
      </c>
      <c r="M293" s="28">
        <f t="shared" si="92"/>
        <v>6.296979359087751E-2</v>
      </c>
      <c r="N293" s="28">
        <f t="shared" si="93"/>
        <v>999</v>
      </c>
      <c r="O293" s="28"/>
      <c r="P293" s="29">
        <f t="shared" si="109"/>
        <v>0.2840000000000002</v>
      </c>
      <c r="Q293" s="33">
        <f t="shared" si="94"/>
        <v>6.7114093959731544</v>
      </c>
      <c r="R293" s="33">
        <f t="shared" si="95"/>
        <v>6.7114093959731544</v>
      </c>
      <c r="S293" s="33">
        <f t="shared" si="96"/>
        <v>-1</v>
      </c>
      <c r="T293" s="27"/>
      <c r="U293" s="28">
        <f t="shared" si="97"/>
        <v>0.10964912280701754</v>
      </c>
      <c r="V293" s="25">
        <f t="shared" si="98"/>
        <v>999</v>
      </c>
      <c r="W293" s="35">
        <f t="shared" si="110"/>
        <v>25</v>
      </c>
      <c r="X293" s="33">
        <f t="shared" si="99"/>
        <v>25</v>
      </c>
      <c r="Y293" s="32">
        <f t="shared" si="100"/>
        <v>-1</v>
      </c>
      <c r="Z293" s="32"/>
      <c r="AA293" s="30">
        <f t="shared" si="101"/>
        <v>7.7797561977811256</v>
      </c>
      <c r="AB293" s="28">
        <f t="shared" si="102"/>
        <v>0.45844901601529758</v>
      </c>
      <c r="AC293" s="28">
        <f t="shared" si="103"/>
        <v>0.10964912280701754</v>
      </c>
      <c r="AD293" s="29">
        <f t="shared" si="104"/>
        <v>269.44971537001896</v>
      </c>
      <c r="AE293" s="28">
        <f t="shared" si="105"/>
        <v>0.10964912280701754</v>
      </c>
      <c r="AF293" s="28">
        <f t="shared" si="106"/>
        <v>0.34879989320828003</v>
      </c>
      <c r="AG293" s="28">
        <f t="shared" si="107"/>
        <v>0</v>
      </c>
      <c r="AI293" s="31">
        <f t="shared" si="108"/>
        <v>0.17883421379809214</v>
      </c>
      <c r="AJ293" s="25"/>
      <c r="AK293" s="31"/>
      <c r="AM293" s="27"/>
    </row>
    <row r="294" spans="4:39" x14ac:dyDescent="0.25">
      <c r="D294" s="25">
        <f>E294*'Profit per cycles Model'!$I$113</f>
        <v>2850</v>
      </c>
      <c r="E294" s="25">
        <v>7.8071497055197918</v>
      </c>
      <c r="F294" s="28">
        <f t="shared" si="89"/>
        <v>0.35087719298245612</v>
      </c>
      <c r="G294" s="28">
        <f>'Battery Pricing Model'!$C$17/D294</f>
        <v>0.35087719298245612</v>
      </c>
      <c r="H294" s="28">
        <f t="shared" si="90"/>
        <v>999</v>
      </c>
      <c r="I294" s="28"/>
      <c r="J294" s="34">
        <f>INDEX('Profit per cycles Model'!$I$149:$I$179, MATCH(TRUNC(E294, 0), 'Profit per cycles Model'!$H$149:$H$179, 0))</f>
        <v>0.45844901601529758</v>
      </c>
      <c r="K294" s="27">
        <f>AVERAGE($AB$10:AB294)</f>
        <v>0.41523463296780527</v>
      </c>
      <c r="L294" s="28">
        <f t="shared" si="91"/>
        <v>6.4357439985349152E-2</v>
      </c>
      <c r="M294" s="28">
        <f t="shared" si="92"/>
        <v>6.4357439985349152E-2</v>
      </c>
      <c r="N294" s="28">
        <f t="shared" si="93"/>
        <v>999</v>
      </c>
      <c r="O294" s="28"/>
      <c r="P294" s="29">
        <f t="shared" si="109"/>
        <v>0.2850000000000002</v>
      </c>
      <c r="Q294" s="33">
        <f t="shared" si="94"/>
        <v>6.7114093959731544</v>
      </c>
      <c r="R294" s="33">
        <f t="shared" si="95"/>
        <v>6.7114093959731544</v>
      </c>
      <c r="S294" s="33">
        <f t="shared" si="96"/>
        <v>-1</v>
      </c>
      <c r="T294" s="27"/>
      <c r="U294" s="28">
        <f t="shared" si="97"/>
        <v>0.10964912280701754</v>
      </c>
      <c r="V294" s="25">
        <f t="shared" si="98"/>
        <v>999</v>
      </c>
      <c r="W294" s="35">
        <f t="shared" si="110"/>
        <v>25</v>
      </c>
      <c r="X294" s="33">
        <f t="shared" si="99"/>
        <v>25</v>
      </c>
      <c r="Y294" s="32">
        <f t="shared" si="100"/>
        <v>-1</v>
      </c>
      <c r="Z294" s="32"/>
      <c r="AA294" s="30">
        <f t="shared" si="101"/>
        <v>7.8071497055197918</v>
      </c>
      <c r="AB294" s="28">
        <f t="shared" si="102"/>
        <v>0.45844901601529758</v>
      </c>
      <c r="AC294" s="28">
        <f t="shared" si="103"/>
        <v>0.10964912280701754</v>
      </c>
      <c r="AD294" s="29">
        <f t="shared" si="104"/>
        <v>270.39848197343451</v>
      </c>
      <c r="AE294" s="28">
        <f t="shared" si="105"/>
        <v>0.10964912280701754</v>
      </c>
      <c r="AF294" s="28">
        <f t="shared" si="106"/>
        <v>0.34879989320828003</v>
      </c>
      <c r="AG294" s="28">
        <f t="shared" si="107"/>
        <v>0</v>
      </c>
      <c r="AI294" s="31">
        <f t="shared" si="108"/>
        <v>0.18341870395824508</v>
      </c>
      <c r="AJ294" s="25"/>
      <c r="AK294" s="31"/>
      <c r="AM294" s="27"/>
    </row>
    <row r="295" spans="4:39" x14ac:dyDescent="0.25">
      <c r="D295" s="25">
        <f>E295*'Profit per cycles Model'!$I$113</f>
        <v>2860</v>
      </c>
      <c r="E295" s="25">
        <v>7.8345432132584572</v>
      </c>
      <c r="F295" s="28">
        <f t="shared" si="89"/>
        <v>0.34965034965034963</v>
      </c>
      <c r="G295" s="28">
        <f>'Battery Pricing Model'!$C$17/D295</f>
        <v>0.34965034965034963</v>
      </c>
      <c r="H295" s="28">
        <f t="shared" si="90"/>
        <v>999</v>
      </c>
      <c r="I295" s="28"/>
      <c r="J295" s="34">
        <f>INDEX('Profit per cycles Model'!$I$149:$I$179, MATCH(TRUNC(E295, 0), 'Profit per cycles Model'!$H$149:$H$179, 0))</f>
        <v>0.45844901601529758</v>
      </c>
      <c r="K295" s="27">
        <f>AVERAGE($AB$10:AB295)</f>
        <v>0.41538573220923003</v>
      </c>
      <c r="L295" s="28">
        <f t="shared" si="91"/>
        <v>6.5735382558880395E-2</v>
      </c>
      <c r="M295" s="28">
        <f t="shared" si="92"/>
        <v>6.5735382558880395E-2</v>
      </c>
      <c r="N295" s="28">
        <f t="shared" si="93"/>
        <v>999</v>
      </c>
      <c r="O295" s="28"/>
      <c r="P295" s="29">
        <f t="shared" si="109"/>
        <v>0.2860000000000002</v>
      </c>
      <c r="Q295" s="33">
        <f t="shared" si="94"/>
        <v>6.7114093959731544</v>
      </c>
      <c r="R295" s="33">
        <f t="shared" si="95"/>
        <v>6.7114093959731544</v>
      </c>
      <c r="S295" s="33">
        <f t="shared" si="96"/>
        <v>-1</v>
      </c>
      <c r="T295" s="27"/>
      <c r="U295" s="28">
        <f t="shared" si="97"/>
        <v>0.10964912280701754</v>
      </c>
      <c r="V295" s="25">
        <f t="shared" si="98"/>
        <v>999</v>
      </c>
      <c r="W295" s="35">
        <f t="shared" si="110"/>
        <v>25</v>
      </c>
      <c r="X295" s="33">
        <f t="shared" si="99"/>
        <v>25</v>
      </c>
      <c r="Y295" s="32">
        <f t="shared" si="100"/>
        <v>-1</v>
      </c>
      <c r="Z295" s="32"/>
      <c r="AA295" s="30">
        <f t="shared" si="101"/>
        <v>7.8345432132584572</v>
      </c>
      <c r="AB295" s="28">
        <f t="shared" si="102"/>
        <v>0.45844901601529758</v>
      </c>
      <c r="AC295" s="28">
        <f t="shared" si="103"/>
        <v>0.10964912280701754</v>
      </c>
      <c r="AD295" s="29">
        <f t="shared" si="104"/>
        <v>271.34724857685012</v>
      </c>
      <c r="AE295" s="28">
        <f t="shared" si="105"/>
        <v>0.10964912280701754</v>
      </c>
      <c r="AF295" s="28">
        <f t="shared" si="106"/>
        <v>0.34879989320828003</v>
      </c>
      <c r="AG295" s="28">
        <f t="shared" si="107"/>
        <v>0</v>
      </c>
      <c r="AI295" s="31">
        <f t="shared" si="108"/>
        <v>0.18800319411839794</v>
      </c>
      <c r="AJ295" s="25"/>
      <c r="AK295" s="31"/>
      <c r="AM295" s="27"/>
    </row>
    <row r="296" spans="4:39" x14ac:dyDescent="0.25">
      <c r="D296" s="25">
        <f>E296*'Profit per cycles Model'!$I$113</f>
        <v>2870</v>
      </c>
      <c r="E296" s="25">
        <v>7.8619367209971234</v>
      </c>
      <c r="F296" s="28">
        <f t="shared" si="89"/>
        <v>0.34843205574912894</v>
      </c>
      <c r="G296" s="28">
        <f>'Battery Pricing Model'!$C$17/D296</f>
        <v>0.34843205574912894</v>
      </c>
      <c r="H296" s="28">
        <f t="shared" si="90"/>
        <v>999</v>
      </c>
      <c r="I296" s="28"/>
      <c r="J296" s="34">
        <f>INDEX('Profit per cycles Model'!$I$149:$I$179, MATCH(TRUNC(E296, 0), 'Profit per cycles Model'!$H$149:$H$179, 0))</f>
        <v>0.45844901601529758</v>
      </c>
      <c r="K296" s="27">
        <f>AVERAGE($AB$10:AB296)</f>
        <v>0.41553577849426859</v>
      </c>
      <c r="L296" s="28">
        <f t="shared" si="91"/>
        <v>6.7103722745139649E-2</v>
      </c>
      <c r="M296" s="28">
        <f t="shared" si="92"/>
        <v>6.7103722745139649E-2</v>
      </c>
      <c r="N296" s="28">
        <f t="shared" si="93"/>
        <v>999</v>
      </c>
      <c r="O296" s="28"/>
      <c r="P296" s="29">
        <f t="shared" si="109"/>
        <v>0.2870000000000002</v>
      </c>
      <c r="Q296" s="33">
        <f t="shared" si="94"/>
        <v>6.7114093959731544</v>
      </c>
      <c r="R296" s="33">
        <f t="shared" si="95"/>
        <v>6.7114093959731544</v>
      </c>
      <c r="S296" s="33">
        <f t="shared" si="96"/>
        <v>-1</v>
      </c>
      <c r="T296" s="27"/>
      <c r="U296" s="28">
        <f t="shared" si="97"/>
        <v>0.10964912280701754</v>
      </c>
      <c r="V296" s="25">
        <f t="shared" si="98"/>
        <v>999</v>
      </c>
      <c r="W296" s="35">
        <f t="shared" si="110"/>
        <v>25</v>
      </c>
      <c r="X296" s="33">
        <f t="shared" si="99"/>
        <v>25</v>
      </c>
      <c r="Y296" s="32">
        <f t="shared" si="100"/>
        <v>-1</v>
      </c>
      <c r="Z296" s="32"/>
      <c r="AA296" s="30">
        <f t="shared" si="101"/>
        <v>7.8619367209971234</v>
      </c>
      <c r="AB296" s="28">
        <f t="shared" si="102"/>
        <v>0.45844901601529758</v>
      </c>
      <c r="AC296" s="28">
        <f t="shared" si="103"/>
        <v>0.10964912280701754</v>
      </c>
      <c r="AD296" s="29">
        <f t="shared" si="104"/>
        <v>272.29601518026567</v>
      </c>
      <c r="AE296" s="28">
        <f t="shared" si="105"/>
        <v>0.10964912280701754</v>
      </c>
      <c r="AF296" s="28">
        <f t="shared" si="106"/>
        <v>0.34879989320828003</v>
      </c>
      <c r="AG296" s="28">
        <f t="shared" si="107"/>
        <v>0</v>
      </c>
      <c r="AI296" s="31">
        <f t="shared" si="108"/>
        <v>0.19258768427855077</v>
      </c>
      <c r="AJ296" s="25"/>
      <c r="AK296" s="31"/>
      <c r="AM296" s="27"/>
    </row>
    <row r="297" spans="4:39" x14ac:dyDescent="0.25">
      <c r="D297" s="25">
        <f>E297*'Profit per cycles Model'!$I$113</f>
        <v>2880</v>
      </c>
      <c r="E297" s="25">
        <v>7.8893302287357896</v>
      </c>
      <c r="F297" s="28">
        <f t="shared" si="89"/>
        <v>0.34722222222222221</v>
      </c>
      <c r="G297" s="28">
        <f>'Battery Pricing Model'!$C$17/D297</f>
        <v>0.34722222222222221</v>
      </c>
      <c r="H297" s="28">
        <f t="shared" si="90"/>
        <v>999</v>
      </c>
      <c r="I297" s="28"/>
      <c r="J297" s="34">
        <f>INDEX('Profit per cycles Model'!$I$149:$I$179, MATCH(TRUNC(E297, 0), 'Profit per cycles Model'!$H$149:$H$179, 0))</f>
        <v>0.45844901601529758</v>
      </c>
      <c r="K297" s="27">
        <f>AVERAGE($AB$10:AB297)</f>
        <v>0.41568478279121662</v>
      </c>
      <c r="L297" s="28">
        <f t="shared" si="91"/>
        <v>6.8462560568994413E-2</v>
      </c>
      <c r="M297" s="28">
        <f t="shared" si="92"/>
        <v>6.8462560568994413E-2</v>
      </c>
      <c r="N297" s="28">
        <f t="shared" si="93"/>
        <v>999</v>
      </c>
      <c r="O297" s="28"/>
      <c r="P297" s="29">
        <f t="shared" si="109"/>
        <v>0.2880000000000002</v>
      </c>
      <c r="Q297" s="33">
        <f t="shared" si="94"/>
        <v>6.7114093959731544</v>
      </c>
      <c r="R297" s="33">
        <f t="shared" si="95"/>
        <v>6.7114093959731544</v>
      </c>
      <c r="S297" s="33">
        <f t="shared" si="96"/>
        <v>-1</v>
      </c>
      <c r="T297" s="27"/>
      <c r="U297" s="28">
        <f t="shared" si="97"/>
        <v>0.10964912280701754</v>
      </c>
      <c r="V297" s="25">
        <f t="shared" si="98"/>
        <v>999</v>
      </c>
      <c r="W297" s="35">
        <f t="shared" si="110"/>
        <v>25</v>
      </c>
      <c r="X297" s="33">
        <f t="shared" si="99"/>
        <v>25</v>
      </c>
      <c r="Y297" s="32">
        <f t="shared" si="100"/>
        <v>-1</v>
      </c>
      <c r="Z297" s="32"/>
      <c r="AA297" s="30">
        <f t="shared" si="101"/>
        <v>7.8893302287357896</v>
      </c>
      <c r="AB297" s="28">
        <f t="shared" si="102"/>
        <v>0.45844901601529758</v>
      </c>
      <c r="AC297" s="28">
        <f t="shared" si="103"/>
        <v>0.10964912280701754</v>
      </c>
      <c r="AD297" s="29">
        <f t="shared" si="104"/>
        <v>273.24478178368122</v>
      </c>
      <c r="AE297" s="28">
        <f t="shared" si="105"/>
        <v>0.10964912280701754</v>
      </c>
      <c r="AF297" s="28">
        <f t="shared" si="106"/>
        <v>0.34879989320828003</v>
      </c>
      <c r="AG297" s="28">
        <f t="shared" si="107"/>
        <v>0</v>
      </c>
      <c r="AI297" s="31">
        <f t="shared" si="108"/>
        <v>0.19717217443870391</v>
      </c>
      <c r="AJ297" s="25"/>
      <c r="AK297" s="31"/>
      <c r="AM297" s="27"/>
    </row>
    <row r="298" spans="4:39" x14ac:dyDescent="0.25">
      <c r="D298" s="25">
        <f>E298*'Profit per cycles Model'!$I$113</f>
        <v>2890</v>
      </c>
      <c r="E298" s="25">
        <v>7.9167237364744549</v>
      </c>
      <c r="F298" s="28">
        <f t="shared" si="89"/>
        <v>0.34602076124567471</v>
      </c>
      <c r="G298" s="28">
        <f>'Battery Pricing Model'!$C$17/D298</f>
        <v>0.34602076124567471</v>
      </c>
      <c r="H298" s="28">
        <f t="shared" si="90"/>
        <v>999</v>
      </c>
      <c r="I298" s="28"/>
      <c r="J298" s="34">
        <f>INDEX('Profit per cycles Model'!$I$149:$I$179, MATCH(TRUNC(E298, 0), 'Profit per cycles Model'!$H$149:$H$179, 0))</f>
        <v>0.45844901601529758</v>
      </c>
      <c r="K298" s="27">
        <f>AVERAGE($AB$10:AB298)</f>
        <v>0.41583275591655944</v>
      </c>
      <c r="L298" s="28">
        <f t="shared" si="91"/>
        <v>6.9811994670884725E-2</v>
      </c>
      <c r="M298" s="28">
        <f t="shared" si="92"/>
        <v>6.9811994670884725E-2</v>
      </c>
      <c r="N298" s="28">
        <f t="shared" si="93"/>
        <v>999</v>
      </c>
      <c r="O298" s="28"/>
      <c r="P298" s="29">
        <f t="shared" si="109"/>
        <v>0.2890000000000002</v>
      </c>
      <c r="Q298" s="33">
        <f t="shared" si="94"/>
        <v>6.7114093959731544</v>
      </c>
      <c r="R298" s="33">
        <f t="shared" si="95"/>
        <v>6.7114093959731544</v>
      </c>
      <c r="S298" s="33">
        <f t="shared" si="96"/>
        <v>-1</v>
      </c>
      <c r="T298" s="27"/>
      <c r="U298" s="28">
        <f t="shared" si="97"/>
        <v>0.10964912280701754</v>
      </c>
      <c r="V298" s="25">
        <f t="shared" si="98"/>
        <v>999</v>
      </c>
      <c r="W298" s="35">
        <f t="shared" si="110"/>
        <v>25</v>
      </c>
      <c r="X298" s="33">
        <f t="shared" si="99"/>
        <v>25</v>
      </c>
      <c r="Y298" s="32">
        <f t="shared" si="100"/>
        <v>-1</v>
      </c>
      <c r="Z298" s="32"/>
      <c r="AA298" s="30">
        <f t="shared" si="101"/>
        <v>7.9167237364744549</v>
      </c>
      <c r="AB298" s="28">
        <f t="shared" si="102"/>
        <v>0.45844901601529758</v>
      </c>
      <c r="AC298" s="28">
        <f t="shared" si="103"/>
        <v>0.10964912280701754</v>
      </c>
      <c r="AD298" s="29">
        <f t="shared" si="104"/>
        <v>274.19354838709677</v>
      </c>
      <c r="AE298" s="28">
        <f t="shared" si="105"/>
        <v>0.10964912280701754</v>
      </c>
      <c r="AF298" s="28">
        <f t="shared" si="106"/>
        <v>0.34879989320828003</v>
      </c>
      <c r="AG298" s="28">
        <f t="shared" si="107"/>
        <v>0</v>
      </c>
      <c r="AI298" s="31">
        <f t="shared" si="108"/>
        <v>0.20175666459885688</v>
      </c>
      <c r="AJ298" s="25"/>
      <c r="AK298" s="31"/>
      <c r="AM298" s="27"/>
    </row>
    <row r="299" spans="4:39" x14ac:dyDescent="0.25">
      <c r="D299" s="25">
        <f>E299*'Profit per cycles Model'!$I$113</f>
        <v>2900</v>
      </c>
      <c r="E299" s="25">
        <v>7.9441172442131212</v>
      </c>
      <c r="F299" s="28">
        <f t="shared" si="89"/>
        <v>0.34482758620689657</v>
      </c>
      <c r="G299" s="28">
        <f>'Battery Pricing Model'!$C$17/D299</f>
        <v>0.34482758620689657</v>
      </c>
      <c r="H299" s="28">
        <f t="shared" si="90"/>
        <v>999</v>
      </c>
      <c r="I299" s="28"/>
      <c r="J299" s="34">
        <f>INDEX('Profit per cycles Model'!$I$149:$I$179, MATCH(TRUNC(E299, 0), 'Profit per cycles Model'!$H$149:$H$179, 0))</f>
        <v>0.45844901601529758</v>
      </c>
      <c r="K299" s="27">
        <f>AVERAGE($AB$10:AB299)</f>
        <v>0.41597970853758953</v>
      </c>
      <c r="L299" s="28">
        <f t="shared" si="91"/>
        <v>7.1152122330692957E-2</v>
      </c>
      <c r="M299" s="28">
        <f t="shared" si="92"/>
        <v>7.1152122330692957E-2</v>
      </c>
      <c r="N299" s="28">
        <f t="shared" si="93"/>
        <v>999</v>
      </c>
      <c r="O299" s="28"/>
      <c r="P299" s="29">
        <f t="shared" si="109"/>
        <v>0.2900000000000002</v>
      </c>
      <c r="Q299" s="33">
        <f t="shared" si="94"/>
        <v>6.7114093959731544</v>
      </c>
      <c r="R299" s="33">
        <f t="shared" si="95"/>
        <v>6.7114093959731544</v>
      </c>
      <c r="S299" s="33">
        <f t="shared" si="96"/>
        <v>-1</v>
      </c>
      <c r="T299" s="27"/>
      <c r="U299" s="28">
        <f t="shared" si="97"/>
        <v>0.10964912280701754</v>
      </c>
      <c r="V299" s="25">
        <f t="shared" si="98"/>
        <v>999</v>
      </c>
      <c r="W299" s="35">
        <f t="shared" si="110"/>
        <v>25</v>
      </c>
      <c r="X299" s="33">
        <f t="shared" si="99"/>
        <v>25</v>
      </c>
      <c r="Y299" s="32">
        <f t="shared" si="100"/>
        <v>-1</v>
      </c>
      <c r="Z299" s="32"/>
      <c r="AA299" s="30">
        <f t="shared" si="101"/>
        <v>7.9441172442131212</v>
      </c>
      <c r="AB299" s="28">
        <f t="shared" si="102"/>
        <v>0.45844901601529758</v>
      </c>
      <c r="AC299" s="28">
        <f t="shared" si="103"/>
        <v>0.10964912280701754</v>
      </c>
      <c r="AD299" s="29">
        <f t="shared" si="104"/>
        <v>275.14231499051232</v>
      </c>
      <c r="AE299" s="28">
        <f t="shared" si="105"/>
        <v>0.10964912280701754</v>
      </c>
      <c r="AF299" s="28">
        <f t="shared" si="106"/>
        <v>0.34879989320828003</v>
      </c>
      <c r="AG299" s="28">
        <f t="shared" si="107"/>
        <v>0</v>
      </c>
      <c r="AI299" s="31">
        <f t="shared" si="108"/>
        <v>0.20634115475900958</v>
      </c>
      <c r="AJ299" s="25"/>
      <c r="AK299" s="31"/>
      <c r="AM299" s="27"/>
    </row>
    <row r="300" spans="4:39" x14ac:dyDescent="0.25">
      <c r="D300" s="25">
        <f>E300*'Profit per cycles Model'!$I$113</f>
        <v>2910</v>
      </c>
      <c r="E300" s="25">
        <v>7.9715107519517874</v>
      </c>
      <c r="F300" s="28">
        <f t="shared" si="89"/>
        <v>0.3436426116838488</v>
      </c>
      <c r="G300" s="28">
        <f>'Battery Pricing Model'!$C$17/D300</f>
        <v>0.3436426116838488</v>
      </c>
      <c r="H300" s="28">
        <f t="shared" si="90"/>
        <v>999</v>
      </c>
      <c r="I300" s="28"/>
      <c r="J300" s="34">
        <f>INDEX('Profit per cycles Model'!$I$149:$I$179, MATCH(TRUNC(E300, 0), 'Profit per cycles Model'!$H$149:$H$179, 0))</f>
        <v>0.45844901601529758</v>
      </c>
      <c r="K300" s="27">
        <f>AVERAGE($AB$10:AB300)</f>
        <v>0.41612565117496997</v>
      </c>
      <c r="L300" s="28">
        <f t="shared" si="91"/>
        <v>7.2483039491121171E-2</v>
      </c>
      <c r="M300" s="28">
        <f t="shared" si="92"/>
        <v>7.2483039491121171E-2</v>
      </c>
      <c r="N300" s="28">
        <f t="shared" si="93"/>
        <v>999</v>
      </c>
      <c r="O300" s="28"/>
      <c r="P300" s="29">
        <f t="shared" si="109"/>
        <v>0.2910000000000002</v>
      </c>
      <c r="Q300" s="33">
        <f t="shared" si="94"/>
        <v>6.7114093959731544</v>
      </c>
      <c r="R300" s="33">
        <f t="shared" si="95"/>
        <v>6.7114093959731544</v>
      </c>
      <c r="S300" s="33">
        <f t="shared" si="96"/>
        <v>-1</v>
      </c>
      <c r="T300" s="27"/>
      <c r="U300" s="28">
        <f t="shared" si="97"/>
        <v>0.10964912280701754</v>
      </c>
      <c r="V300" s="25">
        <f t="shared" si="98"/>
        <v>999</v>
      </c>
      <c r="W300" s="35">
        <f t="shared" si="110"/>
        <v>25</v>
      </c>
      <c r="X300" s="33">
        <f t="shared" si="99"/>
        <v>25</v>
      </c>
      <c r="Y300" s="32">
        <f t="shared" si="100"/>
        <v>-1</v>
      </c>
      <c r="Z300" s="32"/>
      <c r="AA300" s="30">
        <f t="shared" si="101"/>
        <v>7.9715107519517874</v>
      </c>
      <c r="AB300" s="28">
        <f t="shared" si="102"/>
        <v>0.45844901601529758</v>
      </c>
      <c r="AC300" s="28">
        <f t="shared" si="103"/>
        <v>0.10964912280701754</v>
      </c>
      <c r="AD300" s="29">
        <f t="shared" si="104"/>
        <v>276.09108159392792</v>
      </c>
      <c r="AE300" s="28">
        <f t="shared" si="105"/>
        <v>0.10964912280701754</v>
      </c>
      <c r="AF300" s="28">
        <f t="shared" si="106"/>
        <v>0.34879989320828003</v>
      </c>
      <c r="AG300" s="28">
        <f t="shared" si="107"/>
        <v>0</v>
      </c>
      <c r="AI300" s="31">
        <f t="shared" si="108"/>
        <v>0.2109256449191626</v>
      </c>
      <c r="AJ300" s="25"/>
      <c r="AK300" s="31"/>
      <c r="AM300" s="27"/>
    </row>
    <row r="301" spans="4:39" x14ac:dyDescent="0.25">
      <c r="D301" s="25">
        <f>E301*'Profit per cycles Model'!$I$113</f>
        <v>2920</v>
      </c>
      <c r="E301" s="25">
        <v>7.9989042596904527</v>
      </c>
      <c r="F301" s="28">
        <f t="shared" si="89"/>
        <v>0.34246575342465752</v>
      </c>
      <c r="G301" s="28">
        <f>'Battery Pricing Model'!$C$17/D301</f>
        <v>0.34246575342465752</v>
      </c>
      <c r="H301" s="28">
        <f t="shared" si="90"/>
        <v>999</v>
      </c>
      <c r="I301" s="28"/>
      <c r="J301" s="34">
        <f>INDEX('Profit per cycles Model'!$I$149:$I$179, MATCH(TRUNC(E301, 0), 'Profit per cycles Model'!$H$149:$H$179, 0))</f>
        <v>0.45844901601529758</v>
      </c>
      <c r="K301" s="27">
        <f>AVERAGE($AB$10:AB301)</f>
        <v>0.41627059420524504</v>
      </c>
      <c r="L301" s="28">
        <f t="shared" si="91"/>
        <v>7.3804840780587522E-2</v>
      </c>
      <c r="M301" s="28">
        <f t="shared" si="92"/>
        <v>7.3804840780587522E-2</v>
      </c>
      <c r="N301" s="28">
        <f t="shared" si="93"/>
        <v>999</v>
      </c>
      <c r="O301" s="28"/>
      <c r="P301" s="29">
        <f t="shared" si="109"/>
        <v>0.2920000000000002</v>
      </c>
      <c r="Q301" s="33">
        <f t="shared" si="94"/>
        <v>6.7114093959731544</v>
      </c>
      <c r="R301" s="33">
        <f t="shared" si="95"/>
        <v>6.7114093959731544</v>
      </c>
      <c r="S301" s="33">
        <f t="shared" si="96"/>
        <v>-1</v>
      </c>
      <c r="T301" s="27"/>
      <c r="U301" s="28">
        <f t="shared" si="97"/>
        <v>0.10964912280701754</v>
      </c>
      <c r="V301" s="25">
        <f t="shared" si="98"/>
        <v>999</v>
      </c>
      <c r="W301" s="35">
        <f t="shared" si="110"/>
        <v>25</v>
      </c>
      <c r="X301" s="33">
        <f t="shared" si="99"/>
        <v>25</v>
      </c>
      <c r="Y301" s="32">
        <f t="shared" si="100"/>
        <v>-1</v>
      </c>
      <c r="Z301" s="32"/>
      <c r="AA301" s="30">
        <f t="shared" si="101"/>
        <v>7.9989042596904527</v>
      </c>
      <c r="AB301" s="28">
        <f t="shared" si="102"/>
        <v>0.45844901601529758</v>
      </c>
      <c r="AC301" s="28">
        <f t="shared" si="103"/>
        <v>0.10964912280701754</v>
      </c>
      <c r="AD301" s="29">
        <f t="shared" si="104"/>
        <v>277.03984819734347</v>
      </c>
      <c r="AE301" s="28">
        <f t="shared" si="105"/>
        <v>0.10964912280701754</v>
      </c>
      <c r="AF301" s="28">
        <f t="shared" si="106"/>
        <v>0.34879989320828003</v>
      </c>
      <c r="AG301" s="28">
        <f t="shared" si="107"/>
        <v>0</v>
      </c>
      <c r="AI301" s="31">
        <f t="shared" si="108"/>
        <v>0.21551013507931557</v>
      </c>
      <c r="AJ301" s="25"/>
      <c r="AK301" s="31"/>
      <c r="AM301" s="27"/>
    </row>
    <row r="302" spans="4:39" x14ac:dyDescent="0.25">
      <c r="D302" s="25">
        <f>E302*'Profit per cycles Model'!$I$113</f>
        <v>2930</v>
      </c>
      <c r="E302" s="25">
        <v>8.0262977674291189</v>
      </c>
      <c r="F302" s="28">
        <f t="shared" si="89"/>
        <v>0.34129692832764508</v>
      </c>
      <c r="G302" s="28">
        <f>'Battery Pricing Model'!$C$17/D302</f>
        <v>0.34129692832764508</v>
      </c>
      <c r="H302" s="28">
        <f t="shared" si="90"/>
        <v>999</v>
      </c>
      <c r="I302" s="28"/>
      <c r="J302" s="34">
        <f>INDEX('Profit per cycles Model'!$I$149:$I$179, MATCH(TRUNC(E302, 0), 'Profit per cycles Model'!$H$149:$H$179, 0))</f>
        <v>0.47143965318038589</v>
      </c>
      <c r="K302" s="27">
        <f>AVERAGE($AB$10:AB302)</f>
        <v>0.4164588845089145</v>
      </c>
      <c r="L302" s="28">
        <f t="shared" si="91"/>
        <v>7.5161956181269418E-2</v>
      </c>
      <c r="M302" s="28">
        <f t="shared" si="92"/>
        <v>7.5161956181269418E-2</v>
      </c>
      <c r="N302" s="28">
        <f t="shared" si="93"/>
        <v>999</v>
      </c>
      <c r="O302" s="28"/>
      <c r="P302" s="29">
        <f t="shared" si="109"/>
        <v>0.2930000000000002</v>
      </c>
      <c r="Q302" s="33">
        <f t="shared" si="94"/>
        <v>6.7114093959731544</v>
      </c>
      <c r="R302" s="33">
        <f t="shared" si="95"/>
        <v>6.7114093959731544</v>
      </c>
      <c r="S302" s="33">
        <f t="shared" si="96"/>
        <v>-1</v>
      </c>
      <c r="T302" s="27"/>
      <c r="U302" s="28">
        <f t="shared" si="97"/>
        <v>0.10964912280701754</v>
      </c>
      <c r="V302" s="25">
        <f t="shared" si="98"/>
        <v>999</v>
      </c>
      <c r="W302" s="35">
        <f t="shared" si="110"/>
        <v>25</v>
      </c>
      <c r="X302" s="33">
        <f t="shared" si="99"/>
        <v>25</v>
      </c>
      <c r="Y302" s="32">
        <f t="shared" si="100"/>
        <v>-1</v>
      </c>
      <c r="Z302" s="32"/>
      <c r="AA302" s="30">
        <f t="shared" si="101"/>
        <v>8.0262977674291189</v>
      </c>
      <c r="AB302" s="28">
        <f t="shared" si="102"/>
        <v>0.47143965318038589</v>
      </c>
      <c r="AC302" s="28">
        <f t="shared" si="103"/>
        <v>0.10964912280701754</v>
      </c>
      <c r="AD302" s="29">
        <f t="shared" si="104"/>
        <v>277.98861480075902</v>
      </c>
      <c r="AE302" s="28">
        <f t="shared" si="105"/>
        <v>0.10964912280701754</v>
      </c>
      <c r="AF302" s="28">
        <f t="shared" si="106"/>
        <v>0.36179053037336834</v>
      </c>
      <c r="AG302" s="28">
        <f t="shared" si="107"/>
        <v>0</v>
      </c>
      <c r="AI302" s="31">
        <f t="shared" si="108"/>
        <v>0.22022453161111938</v>
      </c>
      <c r="AJ302" s="25"/>
      <c r="AK302" s="31"/>
      <c r="AM302" s="27"/>
    </row>
    <row r="303" spans="4:39" x14ac:dyDescent="0.25">
      <c r="D303" s="25">
        <f>E303*'Profit per cycles Model'!$I$113</f>
        <v>2939.9999999999995</v>
      </c>
      <c r="E303" s="25">
        <v>8.0536912751677843</v>
      </c>
      <c r="F303" s="28">
        <f t="shared" si="89"/>
        <v>0.34013605442176875</v>
      </c>
      <c r="G303" s="28">
        <f>'Battery Pricing Model'!$C$17/D303</f>
        <v>0.34013605442176875</v>
      </c>
      <c r="H303" s="28">
        <f t="shared" si="90"/>
        <v>999</v>
      </c>
      <c r="I303" s="28"/>
      <c r="J303" s="34">
        <f>INDEX('Profit per cycles Model'!$I$149:$I$179, MATCH(TRUNC(E303, 0), 'Profit per cycles Model'!$H$149:$H$179, 0))</f>
        <v>0.47143965318038589</v>
      </c>
      <c r="K303" s="27">
        <f>AVERAGE($AB$10:AB303)</f>
        <v>0.41664589392616436</v>
      </c>
      <c r="L303" s="28">
        <f t="shared" si="91"/>
        <v>7.6509839504395605E-2</v>
      </c>
      <c r="M303" s="28">
        <f t="shared" si="92"/>
        <v>7.6509839504395605E-2</v>
      </c>
      <c r="N303" s="28">
        <f t="shared" si="93"/>
        <v>999</v>
      </c>
      <c r="O303" s="28"/>
      <c r="P303" s="29">
        <f t="shared" si="109"/>
        <v>0.29400000000000021</v>
      </c>
      <c r="Q303" s="33">
        <f t="shared" si="94"/>
        <v>6.7114093959731544</v>
      </c>
      <c r="R303" s="33">
        <f t="shared" si="95"/>
        <v>6.7114093959731544</v>
      </c>
      <c r="S303" s="33">
        <f t="shared" si="96"/>
        <v>-1</v>
      </c>
      <c r="T303" s="27"/>
      <c r="U303" s="28">
        <f t="shared" si="97"/>
        <v>0.10964912280701754</v>
      </c>
      <c r="V303" s="25">
        <f t="shared" si="98"/>
        <v>999</v>
      </c>
      <c r="W303" s="35">
        <f t="shared" si="110"/>
        <v>25</v>
      </c>
      <c r="X303" s="33">
        <f t="shared" si="99"/>
        <v>25</v>
      </c>
      <c r="Y303" s="32">
        <f t="shared" si="100"/>
        <v>-1</v>
      </c>
      <c r="Z303" s="32"/>
      <c r="AA303" s="30">
        <f t="shared" si="101"/>
        <v>8.0536912751677843</v>
      </c>
      <c r="AB303" s="28">
        <f t="shared" si="102"/>
        <v>0.47143965318038589</v>
      </c>
      <c r="AC303" s="28">
        <f t="shared" si="103"/>
        <v>0.10964912280701754</v>
      </c>
      <c r="AD303" s="29">
        <f t="shared" si="104"/>
        <v>278.93738140417457</v>
      </c>
      <c r="AE303" s="28">
        <f t="shared" si="105"/>
        <v>0.10964912280701754</v>
      </c>
      <c r="AF303" s="28">
        <f t="shared" si="106"/>
        <v>0.36179053037336834</v>
      </c>
      <c r="AG303" s="28">
        <f t="shared" si="107"/>
        <v>0</v>
      </c>
      <c r="AI303" s="31">
        <f t="shared" si="108"/>
        <v>0.22493892814292304</v>
      </c>
      <c r="AJ303" s="25"/>
      <c r="AK303" s="31"/>
      <c r="AM303" s="27"/>
    </row>
    <row r="304" spans="4:39" x14ac:dyDescent="0.25">
      <c r="D304" s="25">
        <f>E304*'Profit per cycles Model'!$I$113</f>
        <v>2950</v>
      </c>
      <c r="E304" s="25">
        <v>8.0810847829064514</v>
      </c>
      <c r="F304" s="28">
        <f t="shared" si="89"/>
        <v>0.33898305084745761</v>
      </c>
      <c r="G304" s="28">
        <f>'Battery Pricing Model'!$C$17/D304</f>
        <v>0.33898305084745761</v>
      </c>
      <c r="H304" s="28">
        <f t="shared" si="90"/>
        <v>999</v>
      </c>
      <c r="I304" s="28"/>
      <c r="J304" s="34">
        <f>INDEX('Profit per cycles Model'!$I$149:$I$179, MATCH(TRUNC(E304, 0), 'Profit per cycles Model'!$H$149:$H$179, 0))</f>
        <v>0.47143965318038589</v>
      </c>
      <c r="K304" s="27">
        <f>AVERAGE($AB$10:AB304)</f>
        <v>0.41683163548295832</v>
      </c>
      <c r="L304" s="28">
        <f t="shared" si="91"/>
        <v>7.7848584635500706E-2</v>
      </c>
      <c r="M304" s="28">
        <f t="shared" si="92"/>
        <v>7.7848584635500706E-2</v>
      </c>
      <c r="N304" s="28">
        <f t="shared" si="93"/>
        <v>999</v>
      </c>
      <c r="O304" s="28"/>
      <c r="P304" s="29">
        <f t="shared" si="109"/>
        <v>0.29500000000000021</v>
      </c>
      <c r="Q304" s="33">
        <f t="shared" si="94"/>
        <v>6.7114093959731544</v>
      </c>
      <c r="R304" s="33">
        <f t="shared" si="95"/>
        <v>6.7114093959731544</v>
      </c>
      <c r="S304" s="33">
        <f t="shared" si="96"/>
        <v>-1</v>
      </c>
      <c r="T304" s="27"/>
      <c r="U304" s="28">
        <f t="shared" si="97"/>
        <v>0.10964912280701754</v>
      </c>
      <c r="V304" s="25">
        <f t="shared" si="98"/>
        <v>999</v>
      </c>
      <c r="W304" s="35">
        <f t="shared" si="110"/>
        <v>25</v>
      </c>
      <c r="X304" s="33">
        <f t="shared" si="99"/>
        <v>25</v>
      </c>
      <c r="Y304" s="32">
        <f t="shared" si="100"/>
        <v>-1</v>
      </c>
      <c r="Z304" s="32"/>
      <c r="AA304" s="30">
        <f t="shared" si="101"/>
        <v>8.0810847829064514</v>
      </c>
      <c r="AB304" s="28">
        <f t="shared" si="102"/>
        <v>0.47143965318038589</v>
      </c>
      <c r="AC304" s="28">
        <f t="shared" si="103"/>
        <v>0.10964912280701754</v>
      </c>
      <c r="AD304" s="29">
        <f t="shared" si="104"/>
        <v>279.88614800759018</v>
      </c>
      <c r="AE304" s="28">
        <f t="shared" si="105"/>
        <v>0.10964912280701754</v>
      </c>
      <c r="AF304" s="28">
        <f t="shared" si="106"/>
        <v>0.36179053037336834</v>
      </c>
      <c r="AG304" s="28">
        <f t="shared" si="107"/>
        <v>0</v>
      </c>
      <c r="AI304" s="31">
        <f t="shared" si="108"/>
        <v>0.2296533246747271</v>
      </c>
      <c r="AJ304" s="25"/>
      <c r="AK304" s="31"/>
      <c r="AM304" s="27"/>
    </row>
    <row r="305" spans="4:39" x14ac:dyDescent="0.25">
      <c r="D305" s="25">
        <f>E305*'Profit per cycles Model'!$I$113</f>
        <v>2960</v>
      </c>
      <c r="E305" s="25">
        <v>8.1084782906451167</v>
      </c>
      <c r="F305" s="28">
        <f t="shared" si="89"/>
        <v>0.33783783783783783</v>
      </c>
      <c r="G305" s="28">
        <f>'Battery Pricing Model'!$C$17/D305</f>
        <v>0.33783783783783783</v>
      </c>
      <c r="H305" s="28">
        <f t="shared" si="90"/>
        <v>999</v>
      </c>
      <c r="I305" s="28"/>
      <c r="J305" s="34">
        <f>INDEX('Profit per cycles Model'!$I$149:$I$179, MATCH(TRUNC(E305, 0), 'Profit per cycles Model'!$H$149:$H$179, 0))</f>
        <v>0.47143965318038589</v>
      </c>
      <c r="K305" s="27">
        <f>AVERAGE($AB$10:AB305)</f>
        <v>0.41701612202923338</v>
      </c>
      <c r="L305" s="28">
        <f t="shared" si="91"/>
        <v>7.9178284191395554E-2</v>
      </c>
      <c r="M305" s="28">
        <f t="shared" si="92"/>
        <v>7.9178284191395554E-2</v>
      </c>
      <c r="N305" s="28">
        <f t="shared" si="93"/>
        <v>999</v>
      </c>
      <c r="O305" s="28"/>
      <c r="P305" s="29">
        <f t="shared" si="109"/>
        <v>0.29600000000000021</v>
      </c>
      <c r="Q305" s="33">
        <f t="shared" si="94"/>
        <v>6.7114093959731544</v>
      </c>
      <c r="R305" s="33">
        <f t="shared" si="95"/>
        <v>6.7114093959731544</v>
      </c>
      <c r="S305" s="33">
        <f t="shared" si="96"/>
        <v>-1</v>
      </c>
      <c r="T305" s="27"/>
      <c r="U305" s="28">
        <f t="shared" si="97"/>
        <v>0.10964912280701754</v>
      </c>
      <c r="V305" s="25">
        <f t="shared" si="98"/>
        <v>999</v>
      </c>
      <c r="W305" s="35">
        <f t="shared" si="110"/>
        <v>25</v>
      </c>
      <c r="X305" s="33">
        <f t="shared" si="99"/>
        <v>25</v>
      </c>
      <c r="Y305" s="32">
        <f t="shared" si="100"/>
        <v>-1</v>
      </c>
      <c r="Z305" s="32"/>
      <c r="AA305" s="30">
        <f t="shared" si="101"/>
        <v>8.1084782906451167</v>
      </c>
      <c r="AB305" s="28">
        <f t="shared" si="102"/>
        <v>0.47143965318038589</v>
      </c>
      <c r="AC305" s="28">
        <f t="shared" si="103"/>
        <v>0.10964912280701754</v>
      </c>
      <c r="AD305" s="29">
        <f t="shared" si="104"/>
        <v>280.83491461100567</v>
      </c>
      <c r="AE305" s="28">
        <f t="shared" si="105"/>
        <v>0.10964912280701754</v>
      </c>
      <c r="AF305" s="28">
        <f t="shared" si="106"/>
        <v>0.36179053037336834</v>
      </c>
      <c r="AG305" s="28">
        <f t="shared" si="107"/>
        <v>0</v>
      </c>
      <c r="AI305" s="31">
        <f t="shared" si="108"/>
        <v>0.23436772120653085</v>
      </c>
      <c r="AJ305" s="25"/>
      <c r="AK305" s="31"/>
      <c r="AM305" s="27"/>
    </row>
    <row r="306" spans="4:39" x14ac:dyDescent="0.25">
      <c r="D306" s="25">
        <f>E306*'Profit per cycles Model'!$I$113</f>
        <v>2969.9999999999995</v>
      </c>
      <c r="E306" s="25">
        <v>8.135871798383782</v>
      </c>
      <c r="F306" s="28">
        <f t="shared" si="89"/>
        <v>0.33670033670033678</v>
      </c>
      <c r="G306" s="28">
        <f>'Battery Pricing Model'!$C$17/D306</f>
        <v>0.33670033670033678</v>
      </c>
      <c r="H306" s="28">
        <f t="shared" si="90"/>
        <v>999</v>
      </c>
      <c r="I306" s="28"/>
      <c r="J306" s="34">
        <f>INDEX('Profit per cycles Model'!$I$149:$I$179, MATCH(TRUNC(E306, 0), 'Profit per cycles Model'!$H$149:$H$179, 0))</f>
        <v>0.47143965318038589</v>
      </c>
      <c r="K306" s="27">
        <f>AVERAGE($AB$10:AB306)</f>
        <v>0.41719936624186355</v>
      </c>
      <c r="L306" s="28">
        <f t="shared" si="91"/>
        <v>8.0499029541526768E-2</v>
      </c>
      <c r="M306" s="28">
        <f t="shared" si="92"/>
        <v>8.0499029541526768E-2</v>
      </c>
      <c r="N306" s="28">
        <f t="shared" si="93"/>
        <v>999</v>
      </c>
      <c r="O306" s="28"/>
      <c r="P306" s="29">
        <f t="shared" si="109"/>
        <v>0.29700000000000021</v>
      </c>
      <c r="Q306" s="33">
        <f t="shared" si="94"/>
        <v>6.7114093959731544</v>
      </c>
      <c r="R306" s="33">
        <f t="shared" si="95"/>
        <v>6.7114093959731544</v>
      </c>
      <c r="S306" s="33">
        <f t="shared" si="96"/>
        <v>-1</v>
      </c>
      <c r="T306" s="27"/>
      <c r="U306" s="28">
        <f t="shared" si="97"/>
        <v>0.10964912280701754</v>
      </c>
      <c r="V306" s="25">
        <f t="shared" si="98"/>
        <v>999</v>
      </c>
      <c r="W306" s="35">
        <f t="shared" si="110"/>
        <v>25</v>
      </c>
      <c r="X306" s="33">
        <f t="shared" si="99"/>
        <v>25</v>
      </c>
      <c r="Y306" s="32">
        <f t="shared" si="100"/>
        <v>-1</v>
      </c>
      <c r="Z306" s="32"/>
      <c r="AA306" s="30">
        <f t="shared" si="101"/>
        <v>8.135871798383782</v>
      </c>
      <c r="AB306" s="28">
        <f t="shared" si="102"/>
        <v>0.47143965318038589</v>
      </c>
      <c r="AC306" s="28">
        <f t="shared" si="103"/>
        <v>0.10964912280701754</v>
      </c>
      <c r="AD306" s="29">
        <f t="shared" si="104"/>
        <v>281.78368121442122</v>
      </c>
      <c r="AE306" s="28">
        <f t="shared" si="105"/>
        <v>0.10964912280701754</v>
      </c>
      <c r="AF306" s="28">
        <f t="shared" si="106"/>
        <v>0.36179053037336834</v>
      </c>
      <c r="AG306" s="28">
        <f t="shared" si="107"/>
        <v>0</v>
      </c>
      <c r="AI306" s="31">
        <f t="shared" si="108"/>
        <v>0.23908211773833443</v>
      </c>
      <c r="AJ306" s="25"/>
      <c r="AK306" s="31"/>
      <c r="AM306" s="27"/>
    </row>
    <row r="307" spans="4:39" x14ac:dyDescent="0.25">
      <c r="D307" s="25">
        <f>E307*'Profit per cycles Model'!$I$113</f>
        <v>2980</v>
      </c>
      <c r="E307" s="25">
        <v>8.1632653061224492</v>
      </c>
      <c r="F307" s="28">
        <f t="shared" si="89"/>
        <v>0.33557046979865773</v>
      </c>
      <c r="G307" s="28">
        <f>'Battery Pricing Model'!$C$17/D307</f>
        <v>0.33557046979865773</v>
      </c>
      <c r="H307" s="28">
        <f t="shared" si="90"/>
        <v>999</v>
      </c>
      <c r="I307" s="28"/>
      <c r="J307" s="34">
        <f>INDEX('Profit per cycles Model'!$I$149:$I$179, MATCH(TRUNC(E307, 0), 'Profit per cycles Model'!$H$149:$H$179, 0))</f>
        <v>0.47143965318038589</v>
      </c>
      <c r="K307" s="27">
        <f>AVERAGE($AB$10:AB307)</f>
        <v>0.41738138062756325</v>
      </c>
      <c r="L307" s="28">
        <f t="shared" si="91"/>
        <v>8.1810910828905514E-2</v>
      </c>
      <c r="M307" s="28">
        <f t="shared" si="92"/>
        <v>8.1810910828905514E-2</v>
      </c>
      <c r="N307" s="28">
        <f t="shared" si="93"/>
        <v>999</v>
      </c>
      <c r="O307" s="28"/>
      <c r="P307" s="29">
        <f t="shared" si="109"/>
        <v>0.29800000000000021</v>
      </c>
      <c r="Q307" s="33">
        <f t="shared" si="94"/>
        <v>6.7114093959731544</v>
      </c>
      <c r="R307" s="33">
        <f t="shared" si="95"/>
        <v>6.7114093959731544</v>
      </c>
      <c r="S307" s="33">
        <f t="shared" si="96"/>
        <v>-1</v>
      </c>
      <c r="T307" s="27"/>
      <c r="U307" s="28">
        <f t="shared" si="97"/>
        <v>0.10964912280701754</v>
      </c>
      <c r="V307" s="25">
        <f t="shared" si="98"/>
        <v>999</v>
      </c>
      <c r="W307" s="35">
        <f t="shared" si="110"/>
        <v>25</v>
      </c>
      <c r="X307" s="33">
        <f t="shared" si="99"/>
        <v>25</v>
      </c>
      <c r="Y307" s="32">
        <f t="shared" si="100"/>
        <v>-1</v>
      </c>
      <c r="Z307" s="32"/>
      <c r="AA307" s="30">
        <f t="shared" si="101"/>
        <v>8.1632653061224492</v>
      </c>
      <c r="AB307" s="28">
        <f t="shared" si="102"/>
        <v>0.47143965318038589</v>
      </c>
      <c r="AC307" s="28">
        <f t="shared" si="103"/>
        <v>0.10964912280701754</v>
      </c>
      <c r="AD307" s="29">
        <f t="shared" si="104"/>
        <v>282.73244781783683</v>
      </c>
      <c r="AE307" s="28">
        <f t="shared" si="105"/>
        <v>0.10964912280701754</v>
      </c>
      <c r="AF307" s="28">
        <f t="shared" si="106"/>
        <v>0.36179053037336834</v>
      </c>
      <c r="AG307" s="28">
        <f t="shared" si="107"/>
        <v>0</v>
      </c>
      <c r="AI307" s="31">
        <f t="shared" si="108"/>
        <v>0.24379651427013843</v>
      </c>
      <c r="AJ307" s="25"/>
      <c r="AK307" s="31"/>
      <c r="AM307" s="27"/>
    </row>
    <row r="308" spans="4:39" x14ac:dyDescent="0.25">
      <c r="D308" s="25">
        <f>E308*'Profit per cycles Model'!$I$113</f>
        <v>2990</v>
      </c>
      <c r="E308" s="25">
        <v>8.1906588138611145</v>
      </c>
      <c r="F308" s="28">
        <f t="shared" si="89"/>
        <v>0.33444816053511706</v>
      </c>
      <c r="G308" s="28">
        <f>'Battery Pricing Model'!$C$17/D308</f>
        <v>0.33444816053511706</v>
      </c>
      <c r="H308" s="28">
        <f t="shared" si="90"/>
        <v>999</v>
      </c>
      <c r="I308" s="28"/>
      <c r="J308" s="34">
        <f>INDEX('Profit per cycles Model'!$I$149:$I$179, MATCH(TRUNC(E308, 0), 'Profit per cycles Model'!$H$149:$H$179, 0))</f>
        <v>0.47143965318038589</v>
      </c>
      <c r="K308" s="27">
        <f>AVERAGE($AB$10:AB308)</f>
        <v>0.41756217752573321</v>
      </c>
      <c r="L308" s="28">
        <f t="shared" si="91"/>
        <v>8.3114016990616157E-2</v>
      </c>
      <c r="M308" s="28">
        <f t="shared" si="92"/>
        <v>8.3114016990616157E-2</v>
      </c>
      <c r="N308" s="28">
        <f t="shared" si="93"/>
        <v>999</v>
      </c>
      <c r="O308" s="28"/>
      <c r="P308" s="29">
        <f t="shared" si="109"/>
        <v>0.29900000000000021</v>
      </c>
      <c r="Q308" s="33">
        <f t="shared" si="94"/>
        <v>6.7114093959731544</v>
      </c>
      <c r="R308" s="33">
        <f t="shared" si="95"/>
        <v>6.7114093959731544</v>
      </c>
      <c r="S308" s="33">
        <f t="shared" si="96"/>
        <v>-1</v>
      </c>
      <c r="T308" s="27"/>
      <c r="U308" s="28">
        <f t="shared" si="97"/>
        <v>0.10964912280701754</v>
      </c>
      <c r="V308" s="25">
        <f t="shared" si="98"/>
        <v>999</v>
      </c>
      <c r="W308" s="35">
        <f t="shared" si="110"/>
        <v>25</v>
      </c>
      <c r="X308" s="33">
        <f t="shared" si="99"/>
        <v>25</v>
      </c>
      <c r="Y308" s="32">
        <f t="shared" si="100"/>
        <v>-1</v>
      </c>
      <c r="Z308" s="32"/>
      <c r="AA308" s="30">
        <f t="shared" si="101"/>
        <v>8.1906588138611145</v>
      </c>
      <c r="AB308" s="28">
        <f t="shared" si="102"/>
        <v>0.47143965318038589</v>
      </c>
      <c r="AC308" s="28">
        <f t="shared" si="103"/>
        <v>0.10964912280701754</v>
      </c>
      <c r="AD308" s="29">
        <f t="shared" si="104"/>
        <v>283.68121442125238</v>
      </c>
      <c r="AE308" s="28">
        <f t="shared" si="105"/>
        <v>0.10964912280701754</v>
      </c>
      <c r="AF308" s="28">
        <f t="shared" si="106"/>
        <v>0.36179053037336834</v>
      </c>
      <c r="AG308" s="28">
        <f t="shared" si="107"/>
        <v>0</v>
      </c>
      <c r="AI308" s="31">
        <f t="shared" si="108"/>
        <v>0.24851091080194232</v>
      </c>
      <c r="AJ308" s="25"/>
      <c r="AK308" s="31"/>
      <c r="AM308" s="27"/>
    </row>
    <row r="309" spans="4:39" x14ac:dyDescent="0.25">
      <c r="D309" s="25">
        <f>E309*'Profit per cycles Model'!$I$113</f>
        <v>2999.9999999999995</v>
      </c>
      <c r="E309" s="25">
        <v>8.2180523215997798</v>
      </c>
      <c r="F309" s="28">
        <f t="shared" si="89"/>
        <v>0.33333333333333337</v>
      </c>
      <c r="G309" s="28">
        <f>'Battery Pricing Model'!$C$17/D309</f>
        <v>0.33333333333333337</v>
      </c>
      <c r="H309" s="28">
        <f t="shared" si="90"/>
        <v>999</v>
      </c>
      <c r="I309" s="28"/>
      <c r="J309" s="34">
        <f>INDEX('Profit per cycles Model'!$I$149:$I$179, MATCH(TRUNC(E309, 0), 'Profit per cycles Model'!$H$149:$H$179, 0))</f>
        <v>0.47143965318038589</v>
      </c>
      <c r="K309" s="27">
        <f>AVERAGE($AB$10:AB309)</f>
        <v>0.41774176911124872</v>
      </c>
      <c r="L309" s="28">
        <f t="shared" si="91"/>
        <v>8.4408435777915347E-2</v>
      </c>
      <c r="M309" s="28">
        <f t="shared" si="92"/>
        <v>8.4408435777915347E-2</v>
      </c>
      <c r="N309" s="28">
        <f t="shared" si="93"/>
        <v>999</v>
      </c>
      <c r="O309" s="28"/>
      <c r="P309" s="29">
        <f t="shared" si="109"/>
        <v>0.30000000000000021</v>
      </c>
      <c r="Q309" s="33">
        <f t="shared" si="94"/>
        <v>6.7114093959731544</v>
      </c>
      <c r="R309" s="33">
        <f t="shared" si="95"/>
        <v>6.7114093959731544</v>
      </c>
      <c r="S309" s="33">
        <f t="shared" si="96"/>
        <v>-1</v>
      </c>
      <c r="T309" s="27"/>
      <c r="U309" s="28">
        <f t="shared" si="97"/>
        <v>0.10964912280701754</v>
      </c>
      <c r="V309" s="25">
        <f t="shared" si="98"/>
        <v>999</v>
      </c>
      <c r="W309" s="35">
        <f t="shared" si="110"/>
        <v>25</v>
      </c>
      <c r="X309" s="33">
        <f t="shared" si="99"/>
        <v>25</v>
      </c>
      <c r="Y309" s="32">
        <f t="shared" si="100"/>
        <v>-1</v>
      </c>
      <c r="Z309" s="32"/>
      <c r="AA309" s="30">
        <f t="shared" si="101"/>
        <v>8.2180523215997798</v>
      </c>
      <c r="AB309" s="28">
        <f t="shared" si="102"/>
        <v>0.47143965318038589</v>
      </c>
      <c r="AC309" s="28">
        <f t="shared" si="103"/>
        <v>0.10964912280701754</v>
      </c>
      <c r="AD309" s="29">
        <f t="shared" si="104"/>
        <v>284.62998102466793</v>
      </c>
      <c r="AE309" s="28">
        <f t="shared" si="105"/>
        <v>0.10964912280701754</v>
      </c>
      <c r="AF309" s="28">
        <f t="shared" si="106"/>
        <v>0.36179053037336834</v>
      </c>
      <c r="AG309" s="28">
        <f t="shared" si="107"/>
        <v>0</v>
      </c>
      <c r="AI309" s="31">
        <f t="shared" si="108"/>
        <v>0.25322530733374599</v>
      </c>
      <c r="AJ309" s="25"/>
      <c r="AK309" s="31"/>
      <c r="AM309" s="27"/>
    </row>
    <row r="310" spans="4:39" x14ac:dyDescent="0.25">
      <c r="D310" s="25">
        <f>E310*'Profit per cycles Model'!$I$113</f>
        <v>3010</v>
      </c>
      <c r="E310" s="25">
        <v>8.2454458293384469</v>
      </c>
      <c r="F310" s="28">
        <f t="shared" si="89"/>
        <v>0.33222591362126247</v>
      </c>
      <c r="G310" s="28">
        <f>'Battery Pricing Model'!$C$17/D310</f>
        <v>0.33222591362126247</v>
      </c>
      <c r="H310" s="28">
        <f t="shared" si="90"/>
        <v>999</v>
      </c>
      <c r="I310" s="28"/>
      <c r="J310" s="34">
        <f>INDEX('Profit per cycles Model'!$I$149:$I$179, MATCH(TRUNC(E310, 0), 'Profit per cycles Model'!$H$149:$H$179, 0))</f>
        <v>0.47143965318038589</v>
      </c>
      <c r="K310" s="27">
        <f>AVERAGE($AB$10:AB310)</f>
        <v>0.41792016739719268</v>
      </c>
      <c r="L310" s="28">
        <f t="shared" si="91"/>
        <v>8.5694253775930207E-2</v>
      </c>
      <c r="M310" s="28">
        <f t="shared" si="92"/>
        <v>8.5694253775930207E-2</v>
      </c>
      <c r="N310" s="28">
        <f t="shared" si="93"/>
        <v>999</v>
      </c>
      <c r="O310" s="28"/>
      <c r="P310" s="29">
        <f t="shared" si="109"/>
        <v>0.30100000000000021</v>
      </c>
      <c r="Q310" s="33">
        <f t="shared" si="94"/>
        <v>6.7114093959731544</v>
      </c>
      <c r="R310" s="33">
        <f t="shared" si="95"/>
        <v>6.7114093959731544</v>
      </c>
      <c r="S310" s="33">
        <f t="shared" si="96"/>
        <v>-1</v>
      </c>
      <c r="T310" s="27"/>
      <c r="U310" s="28">
        <f t="shared" si="97"/>
        <v>0.10964912280701754</v>
      </c>
      <c r="V310" s="25">
        <f t="shared" si="98"/>
        <v>999</v>
      </c>
      <c r="W310" s="35">
        <f t="shared" si="110"/>
        <v>25</v>
      </c>
      <c r="X310" s="33">
        <f t="shared" si="99"/>
        <v>25</v>
      </c>
      <c r="Y310" s="32">
        <f t="shared" si="100"/>
        <v>-1</v>
      </c>
      <c r="Z310" s="32"/>
      <c r="AA310" s="30">
        <f t="shared" si="101"/>
        <v>8.2454458293384469</v>
      </c>
      <c r="AB310" s="28">
        <f t="shared" si="102"/>
        <v>0.47143965318038589</v>
      </c>
      <c r="AC310" s="28">
        <f t="shared" si="103"/>
        <v>0.10964912280701754</v>
      </c>
      <c r="AD310" s="29">
        <f t="shared" si="104"/>
        <v>285.57874762808353</v>
      </c>
      <c r="AE310" s="28">
        <f t="shared" si="105"/>
        <v>0.10964912280701754</v>
      </c>
      <c r="AF310" s="28">
        <f t="shared" si="106"/>
        <v>0.36179053037336834</v>
      </c>
      <c r="AG310" s="28">
        <f t="shared" si="107"/>
        <v>0</v>
      </c>
      <c r="AI310" s="31">
        <f t="shared" si="108"/>
        <v>0.25793970386554993</v>
      </c>
      <c r="AJ310" s="25"/>
      <c r="AK310" s="31"/>
      <c r="AM310" s="27"/>
    </row>
    <row r="311" spans="4:39" x14ac:dyDescent="0.25">
      <c r="D311" s="25">
        <f>E311*'Profit per cycles Model'!$I$113</f>
        <v>3020</v>
      </c>
      <c r="E311" s="25">
        <v>8.2728393370771123</v>
      </c>
      <c r="F311" s="28">
        <f t="shared" si="89"/>
        <v>0.33112582781456956</v>
      </c>
      <c r="G311" s="28">
        <f>'Battery Pricing Model'!$C$17/D311</f>
        <v>0.33112582781456956</v>
      </c>
      <c r="H311" s="28">
        <f t="shared" si="90"/>
        <v>999</v>
      </c>
      <c r="I311" s="28"/>
      <c r="J311" s="34">
        <f>INDEX('Profit per cycles Model'!$I$149:$I$179, MATCH(TRUNC(E311, 0), 'Profit per cycles Model'!$H$149:$H$179, 0))</f>
        <v>0.47143965318038589</v>
      </c>
      <c r="K311" s="27">
        <f>AVERAGE($AB$10:AB311)</f>
        <v>0.4180973842375344</v>
      </c>
      <c r="L311" s="28">
        <f t="shared" si="91"/>
        <v>8.6971556422964835E-2</v>
      </c>
      <c r="M311" s="28">
        <f t="shared" si="92"/>
        <v>8.6971556422964835E-2</v>
      </c>
      <c r="N311" s="28">
        <f t="shared" si="93"/>
        <v>999</v>
      </c>
      <c r="O311" s="28"/>
      <c r="P311" s="29">
        <f t="shared" si="109"/>
        <v>0.30200000000000021</v>
      </c>
      <c r="Q311" s="33">
        <f t="shared" si="94"/>
        <v>6.7114093959731544</v>
      </c>
      <c r="R311" s="33">
        <f t="shared" si="95"/>
        <v>6.7114093959731544</v>
      </c>
      <c r="S311" s="33">
        <f t="shared" si="96"/>
        <v>-1</v>
      </c>
      <c r="T311" s="27"/>
      <c r="U311" s="28">
        <f t="shared" si="97"/>
        <v>0.10964912280701754</v>
      </c>
      <c r="V311" s="25">
        <f t="shared" si="98"/>
        <v>999</v>
      </c>
      <c r="W311" s="35">
        <f t="shared" si="110"/>
        <v>25</v>
      </c>
      <c r="X311" s="33">
        <f t="shared" si="99"/>
        <v>25</v>
      </c>
      <c r="Y311" s="32">
        <f t="shared" si="100"/>
        <v>-1</v>
      </c>
      <c r="Z311" s="32"/>
      <c r="AA311" s="30">
        <f t="shared" si="101"/>
        <v>8.2728393370771123</v>
      </c>
      <c r="AB311" s="28">
        <f t="shared" si="102"/>
        <v>0.47143965318038589</v>
      </c>
      <c r="AC311" s="28">
        <f t="shared" si="103"/>
        <v>0.10964912280701754</v>
      </c>
      <c r="AD311" s="29">
        <f t="shared" si="104"/>
        <v>286.52751423149903</v>
      </c>
      <c r="AE311" s="28">
        <f t="shared" si="105"/>
        <v>0.10964912280701754</v>
      </c>
      <c r="AF311" s="28">
        <f t="shared" si="106"/>
        <v>0.36179053037336834</v>
      </c>
      <c r="AG311" s="28">
        <f t="shared" si="107"/>
        <v>0</v>
      </c>
      <c r="AI311" s="31">
        <f t="shared" si="108"/>
        <v>0.26265410039735376</v>
      </c>
      <c r="AJ311" s="25"/>
      <c r="AK311" s="31"/>
      <c r="AM311" s="27"/>
    </row>
    <row r="312" spans="4:39" x14ac:dyDescent="0.25">
      <c r="D312" s="25">
        <f>E312*'Profit per cycles Model'!$I$113</f>
        <v>3029.9999999999995</v>
      </c>
      <c r="E312" s="25">
        <v>8.3002328448157776</v>
      </c>
      <c r="F312" s="28">
        <f t="shared" si="89"/>
        <v>0.33003300330033009</v>
      </c>
      <c r="G312" s="28">
        <f>'Battery Pricing Model'!$C$17/D312</f>
        <v>0.33003300330033009</v>
      </c>
      <c r="H312" s="28">
        <f t="shared" si="90"/>
        <v>999</v>
      </c>
      <c r="I312" s="28"/>
      <c r="J312" s="34">
        <f>INDEX('Profit per cycles Model'!$I$149:$I$179, MATCH(TRUNC(E312, 0), 'Profit per cycles Model'!$H$149:$H$179, 0))</f>
        <v>0.47143965318038589</v>
      </c>
      <c r="K312" s="27">
        <f>AVERAGE($AB$10:AB312)</f>
        <v>0.41827343132975503</v>
      </c>
      <c r="L312" s="28">
        <f t="shared" si="91"/>
        <v>8.8240428029424944E-2</v>
      </c>
      <c r="M312" s="28">
        <f t="shared" si="92"/>
        <v>8.8240428029424944E-2</v>
      </c>
      <c r="N312" s="28">
        <f t="shared" si="93"/>
        <v>999</v>
      </c>
      <c r="O312" s="28"/>
      <c r="P312" s="29">
        <f t="shared" si="109"/>
        <v>0.30300000000000021</v>
      </c>
      <c r="Q312" s="33">
        <f t="shared" si="94"/>
        <v>6.7114093959731544</v>
      </c>
      <c r="R312" s="33">
        <f t="shared" si="95"/>
        <v>6.7114093959731544</v>
      </c>
      <c r="S312" s="33">
        <f t="shared" si="96"/>
        <v>-1</v>
      </c>
      <c r="T312" s="27"/>
      <c r="U312" s="28">
        <f t="shared" si="97"/>
        <v>0.10964912280701754</v>
      </c>
      <c r="V312" s="25">
        <f t="shared" si="98"/>
        <v>999</v>
      </c>
      <c r="W312" s="35">
        <f t="shared" si="110"/>
        <v>25</v>
      </c>
      <c r="X312" s="33">
        <f t="shared" si="99"/>
        <v>25</v>
      </c>
      <c r="Y312" s="32">
        <f t="shared" si="100"/>
        <v>-1</v>
      </c>
      <c r="Z312" s="32"/>
      <c r="AA312" s="30">
        <f t="shared" si="101"/>
        <v>8.3002328448157776</v>
      </c>
      <c r="AB312" s="28">
        <f t="shared" si="102"/>
        <v>0.47143965318038589</v>
      </c>
      <c r="AC312" s="28">
        <f t="shared" si="103"/>
        <v>0.10964912280701754</v>
      </c>
      <c r="AD312" s="29">
        <f t="shared" si="104"/>
        <v>287.47628083491458</v>
      </c>
      <c r="AE312" s="28">
        <f t="shared" si="105"/>
        <v>0.10964912280701754</v>
      </c>
      <c r="AF312" s="28">
        <f t="shared" si="106"/>
        <v>0.36179053037336834</v>
      </c>
      <c r="AG312" s="28">
        <f t="shared" si="107"/>
        <v>0</v>
      </c>
      <c r="AI312" s="31">
        <f t="shared" si="108"/>
        <v>0.26736849692915754</v>
      </c>
      <c r="AJ312" s="25"/>
      <c r="AK312" s="31"/>
      <c r="AM312" s="27"/>
    </row>
    <row r="313" spans="4:39" x14ac:dyDescent="0.25">
      <c r="D313" s="25">
        <f>E313*'Profit per cycles Model'!$I$113</f>
        <v>3040</v>
      </c>
      <c r="E313" s="25">
        <v>8.3276263525544447</v>
      </c>
      <c r="F313" s="28">
        <f t="shared" si="89"/>
        <v>0.32894736842105265</v>
      </c>
      <c r="G313" s="28">
        <f>'Battery Pricing Model'!$C$17/D313</f>
        <v>0.32894736842105265</v>
      </c>
      <c r="H313" s="28">
        <f t="shared" si="90"/>
        <v>999</v>
      </c>
      <c r="I313" s="28"/>
      <c r="J313" s="34">
        <f>INDEX('Profit per cycles Model'!$I$149:$I$179, MATCH(TRUNC(E313, 0), 'Profit per cycles Model'!$H$149:$H$179, 0))</f>
        <v>0.47143965318038589</v>
      </c>
      <c r="K313" s="27">
        <f>AVERAGE($AB$10:AB313)</f>
        <v>0.41844832021742157</v>
      </c>
      <c r="L313" s="28">
        <f t="shared" si="91"/>
        <v>8.9500951796368911E-2</v>
      </c>
      <c r="M313" s="28">
        <f t="shared" si="92"/>
        <v>8.9500951796368911E-2</v>
      </c>
      <c r="N313" s="28">
        <f t="shared" si="93"/>
        <v>999</v>
      </c>
      <c r="O313" s="28"/>
      <c r="P313" s="29">
        <f t="shared" si="109"/>
        <v>0.30400000000000021</v>
      </c>
      <c r="Q313" s="33">
        <f t="shared" si="94"/>
        <v>6.7114093959731544</v>
      </c>
      <c r="R313" s="33">
        <f t="shared" si="95"/>
        <v>6.7114093959731544</v>
      </c>
      <c r="S313" s="33">
        <f t="shared" si="96"/>
        <v>-1</v>
      </c>
      <c r="T313" s="27"/>
      <c r="U313" s="28">
        <f t="shared" si="97"/>
        <v>0.10964912280701754</v>
      </c>
      <c r="V313" s="25">
        <f t="shared" si="98"/>
        <v>999</v>
      </c>
      <c r="W313" s="35">
        <f t="shared" si="110"/>
        <v>25</v>
      </c>
      <c r="X313" s="33">
        <f t="shared" si="99"/>
        <v>25</v>
      </c>
      <c r="Y313" s="32">
        <f t="shared" si="100"/>
        <v>-1</v>
      </c>
      <c r="Z313" s="32"/>
      <c r="AA313" s="30">
        <f t="shared" si="101"/>
        <v>8.3276263525544447</v>
      </c>
      <c r="AB313" s="28">
        <f t="shared" si="102"/>
        <v>0.47143965318038589</v>
      </c>
      <c r="AC313" s="28">
        <f t="shared" si="103"/>
        <v>0.10964912280701754</v>
      </c>
      <c r="AD313" s="29">
        <f t="shared" si="104"/>
        <v>288.42504743833024</v>
      </c>
      <c r="AE313" s="28">
        <f t="shared" si="105"/>
        <v>0.10964912280701754</v>
      </c>
      <c r="AF313" s="28">
        <f t="shared" si="106"/>
        <v>0.36179053037336834</v>
      </c>
      <c r="AG313" s="28">
        <f t="shared" si="107"/>
        <v>0</v>
      </c>
      <c r="AI313" s="31">
        <f t="shared" si="108"/>
        <v>0.27208289346096148</v>
      </c>
      <c r="AJ313" s="25"/>
      <c r="AK313" s="31"/>
      <c r="AM313" s="27"/>
    </row>
    <row r="314" spans="4:39" x14ac:dyDescent="0.25">
      <c r="D314" s="25">
        <f>E314*'Profit per cycles Model'!$I$113</f>
        <v>3050</v>
      </c>
      <c r="E314" s="25">
        <v>8.3550198602931101</v>
      </c>
      <c r="F314" s="28">
        <f t="shared" si="89"/>
        <v>0.32786885245901637</v>
      </c>
      <c r="G314" s="28">
        <f>'Battery Pricing Model'!$C$17/D314</f>
        <v>0.32786885245901637</v>
      </c>
      <c r="H314" s="28">
        <f t="shared" si="90"/>
        <v>999</v>
      </c>
      <c r="I314" s="28"/>
      <c r="J314" s="34">
        <f>INDEX('Profit per cycles Model'!$I$149:$I$179, MATCH(TRUNC(E314, 0), 'Profit per cycles Model'!$H$149:$H$179, 0))</f>
        <v>0.47143965318038589</v>
      </c>
      <c r="K314" s="27">
        <f>AVERAGE($AB$10:AB314)</f>
        <v>0.41862206229270993</v>
      </c>
      <c r="L314" s="28">
        <f t="shared" si="91"/>
        <v>9.075320983369356E-2</v>
      </c>
      <c r="M314" s="28">
        <f t="shared" si="92"/>
        <v>9.075320983369356E-2</v>
      </c>
      <c r="N314" s="28">
        <f t="shared" si="93"/>
        <v>999</v>
      </c>
      <c r="O314" s="28"/>
      <c r="P314" s="29">
        <f t="shared" si="109"/>
        <v>0.30500000000000022</v>
      </c>
      <c r="Q314" s="33">
        <f t="shared" si="94"/>
        <v>6.7114093959731544</v>
      </c>
      <c r="R314" s="33">
        <f t="shared" si="95"/>
        <v>6.7114093959731544</v>
      </c>
      <c r="S314" s="33">
        <f t="shared" si="96"/>
        <v>-1</v>
      </c>
      <c r="T314" s="27"/>
      <c r="U314" s="28">
        <f t="shared" si="97"/>
        <v>0.10964912280701754</v>
      </c>
      <c r="V314" s="25">
        <f t="shared" si="98"/>
        <v>999</v>
      </c>
      <c r="W314" s="35">
        <f t="shared" si="110"/>
        <v>25</v>
      </c>
      <c r="X314" s="33">
        <f t="shared" si="99"/>
        <v>25</v>
      </c>
      <c r="Y314" s="32">
        <f t="shared" si="100"/>
        <v>-1</v>
      </c>
      <c r="Z314" s="32"/>
      <c r="AA314" s="30">
        <f t="shared" si="101"/>
        <v>8.3550198602931101</v>
      </c>
      <c r="AB314" s="28">
        <f t="shared" si="102"/>
        <v>0.47143965318038589</v>
      </c>
      <c r="AC314" s="28">
        <f t="shared" si="103"/>
        <v>0.10964912280701754</v>
      </c>
      <c r="AD314" s="29">
        <f t="shared" si="104"/>
        <v>289.37381404174573</v>
      </c>
      <c r="AE314" s="28">
        <f t="shared" si="105"/>
        <v>0.10964912280701754</v>
      </c>
      <c r="AF314" s="28">
        <f t="shared" si="106"/>
        <v>0.36179053037336834</v>
      </c>
      <c r="AG314" s="28">
        <f t="shared" si="107"/>
        <v>0</v>
      </c>
      <c r="AI314" s="31">
        <f t="shared" si="108"/>
        <v>0.27679728999276537</v>
      </c>
      <c r="AJ314" s="25"/>
      <c r="AK314" s="31"/>
      <c r="AM314" s="27"/>
    </row>
    <row r="315" spans="4:39" x14ac:dyDescent="0.25">
      <c r="D315" s="25">
        <f>E315*'Profit per cycles Model'!$I$113</f>
        <v>3059.9999999999995</v>
      </c>
      <c r="E315" s="25">
        <v>8.3824133680317754</v>
      </c>
      <c r="F315" s="28">
        <f t="shared" si="89"/>
        <v>0.32679738562091509</v>
      </c>
      <c r="G315" s="28">
        <f>'Battery Pricing Model'!$C$17/D315</f>
        <v>0.32679738562091509</v>
      </c>
      <c r="H315" s="28">
        <f t="shared" si="90"/>
        <v>999</v>
      </c>
      <c r="I315" s="28"/>
      <c r="J315" s="34">
        <f>INDEX('Profit per cycles Model'!$I$149:$I$179, MATCH(TRUNC(E315, 0), 'Profit per cycles Model'!$H$149:$H$179, 0))</f>
        <v>0.47143965318038589</v>
      </c>
      <c r="K315" s="27">
        <f>AVERAGE($AB$10:AB315)</f>
        <v>0.41879466879887883</v>
      </c>
      <c r="L315" s="28">
        <f t="shared" si="91"/>
        <v>9.199728317796374E-2</v>
      </c>
      <c r="M315" s="28">
        <f t="shared" si="92"/>
        <v>9.199728317796374E-2</v>
      </c>
      <c r="N315" s="28">
        <f t="shared" si="93"/>
        <v>999</v>
      </c>
      <c r="O315" s="28"/>
      <c r="P315" s="29">
        <f t="shared" si="109"/>
        <v>0.30600000000000022</v>
      </c>
      <c r="Q315" s="33">
        <f t="shared" si="94"/>
        <v>6.7114093959731544</v>
      </c>
      <c r="R315" s="33">
        <f t="shared" si="95"/>
        <v>6.7114093959731544</v>
      </c>
      <c r="S315" s="33">
        <f t="shared" si="96"/>
        <v>-1</v>
      </c>
      <c r="T315" s="27"/>
      <c r="U315" s="28">
        <f t="shared" si="97"/>
        <v>0.10964912280701754</v>
      </c>
      <c r="V315" s="25">
        <f t="shared" si="98"/>
        <v>999</v>
      </c>
      <c r="W315" s="35">
        <f t="shared" si="110"/>
        <v>25</v>
      </c>
      <c r="X315" s="33">
        <f t="shared" si="99"/>
        <v>25</v>
      </c>
      <c r="Y315" s="32">
        <f t="shared" si="100"/>
        <v>-1</v>
      </c>
      <c r="Z315" s="32"/>
      <c r="AA315" s="30">
        <f t="shared" si="101"/>
        <v>8.3824133680317754</v>
      </c>
      <c r="AB315" s="28">
        <f t="shared" si="102"/>
        <v>0.47143965318038589</v>
      </c>
      <c r="AC315" s="28">
        <f t="shared" si="103"/>
        <v>0.10964912280701754</v>
      </c>
      <c r="AD315" s="29">
        <f t="shared" si="104"/>
        <v>290.32258064516128</v>
      </c>
      <c r="AE315" s="28">
        <f t="shared" si="105"/>
        <v>0.10964912280701754</v>
      </c>
      <c r="AF315" s="28">
        <f t="shared" si="106"/>
        <v>0.36179053037336834</v>
      </c>
      <c r="AG315" s="28">
        <f t="shared" si="107"/>
        <v>0</v>
      </c>
      <c r="AI315" s="31">
        <f t="shared" si="108"/>
        <v>0.28151168652456898</v>
      </c>
      <c r="AJ315" s="25"/>
      <c r="AK315" s="31"/>
      <c r="AM315" s="27"/>
    </row>
    <row r="316" spans="4:39" x14ac:dyDescent="0.25">
      <c r="D316" s="25">
        <f>E316*'Profit per cycles Model'!$I$113</f>
        <v>3070</v>
      </c>
      <c r="E316" s="25">
        <v>8.4098068757704425</v>
      </c>
      <c r="F316" s="28">
        <f t="shared" si="89"/>
        <v>0.32573289902280128</v>
      </c>
      <c r="G316" s="28">
        <f>'Battery Pricing Model'!$C$17/D316</f>
        <v>0.32573289902280128</v>
      </c>
      <c r="H316" s="28">
        <f t="shared" si="90"/>
        <v>999</v>
      </c>
      <c r="I316" s="28"/>
      <c r="J316" s="34">
        <f>INDEX('Profit per cycles Model'!$I$149:$I$179, MATCH(TRUNC(E316, 0), 'Profit per cycles Model'!$H$149:$H$179, 0))</f>
        <v>0.47143965318038589</v>
      </c>
      <c r="K316" s="27">
        <f>AVERAGE($AB$10:AB316)</f>
        <v>0.41896615083269489</v>
      </c>
      <c r="L316" s="28">
        <f t="shared" si="91"/>
        <v>9.3233251809893614E-2</v>
      </c>
      <c r="M316" s="28">
        <f t="shared" si="92"/>
        <v>9.3233251809893614E-2</v>
      </c>
      <c r="N316" s="28">
        <f t="shared" si="93"/>
        <v>999</v>
      </c>
      <c r="O316" s="28"/>
      <c r="P316" s="29">
        <f t="shared" si="109"/>
        <v>0.30700000000000022</v>
      </c>
      <c r="Q316" s="33">
        <f t="shared" si="94"/>
        <v>6.7114093959731544</v>
      </c>
      <c r="R316" s="33">
        <f t="shared" si="95"/>
        <v>6.7114093959731544</v>
      </c>
      <c r="S316" s="33">
        <f t="shared" si="96"/>
        <v>-1</v>
      </c>
      <c r="T316" s="27"/>
      <c r="U316" s="28">
        <f t="shared" si="97"/>
        <v>0.10964912280701754</v>
      </c>
      <c r="V316" s="25">
        <f t="shared" si="98"/>
        <v>999</v>
      </c>
      <c r="W316" s="35">
        <f t="shared" si="110"/>
        <v>25</v>
      </c>
      <c r="X316" s="33">
        <f t="shared" si="99"/>
        <v>25</v>
      </c>
      <c r="Y316" s="32">
        <f t="shared" si="100"/>
        <v>-1</v>
      </c>
      <c r="Z316" s="32"/>
      <c r="AA316" s="30">
        <f t="shared" si="101"/>
        <v>8.4098068757704425</v>
      </c>
      <c r="AB316" s="28">
        <f t="shared" si="102"/>
        <v>0.47143965318038589</v>
      </c>
      <c r="AC316" s="28">
        <f t="shared" si="103"/>
        <v>0.10964912280701754</v>
      </c>
      <c r="AD316" s="29">
        <f t="shared" si="104"/>
        <v>291.27134724857689</v>
      </c>
      <c r="AE316" s="28">
        <f t="shared" si="105"/>
        <v>0.10964912280701754</v>
      </c>
      <c r="AF316" s="28">
        <f t="shared" si="106"/>
        <v>0.36179053037336834</v>
      </c>
      <c r="AG316" s="28">
        <f t="shared" si="107"/>
        <v>0</v>
      </c>
      <c r="AI316" s="31">
        <f t="shared" si="108"/>
        <v>0.28622608305637343</v>
      </c>
      <c r="AJ316" s="25"/>
      <c r="AK316" s="31"/>
      <c r="AM316" s="27"/>
    </row>
    <row r="317" spans="4:39" x14ac:dyDescent="0.25">
      <c r="D317" s="25">
        <f>E317*'Profit per cycles Model'!$I$113</f>
        <v>3080</v>
      </c>
      <c r="E317" s="25">
        <v>8.4372003835091078</v>
      </c>
      <c r="F317" s="28">
        <f t="shared" si="89"/>
        <v>0.32467532467532467</v>
      </c>
      <c r="G317" s="28">
        <f>'Battery Pricing Model'!$C$17/D317</f>
        <v>0.32467532467532467</v>
      </c>
      <c r="H317" s="28">
        <f t="shared" si="90"/>
        <v>999</v>
      </c>
      <c r="I317" s="28"/>
      <c r="J317" s="34">
        <f>INDEX('Profit per cycles Model'!$I$149:$I$179, MATCH(TRUNC(E317, 0), 'Profit per cycles Model'!$H$149:$H$179, 0))</f>
        <v>0.47143965318038589</v>
      </c>
      <c r="K317" s="27">
        <f>AVERAGE($AB$10:AB317)</f>
        <v>0.41913651934681079</v>
      </c>
      <c r="L317" s="28">
        <f t="shared" si="91"/>
        <v>9.4461194671486115E-2</v>
      </c>
      <c r="M317" s="28">
        <f t="shared" si="92"/>
        <v>9.4461194671486115E-2</v>
      </c>
      <c r="N317" s="28">
        <f t="shared" si="93"/>
        <v>999</v>
      </c>
      <c r="O317" s="28"/>
      <c r="P317" s="29">
        <f t="shared" si="109"/>
        <v>0.30800000000000022</v>
      </c>
      <c r="Q317" s="33">
        <f t="shared" si="94"/>
        <v>6.7114093959731544</v>
      </c>
      <c r="R317" s="33">
        <f t="shared" si="95"/>
        <v>6.7114093959731544</v>
      </c>
      <c r="S317" s="33">
        <f t="shared" si="96"/>
        <v>-1</v>
      </c>
      <c r="T317" s="27"/>
      <c r="U317" s="28">
        <f t="shared" si="97"/>
        <v>0.10964912280701754</v>
      </c>
      <c r="V317" s="25">
        <f t="shared" si="98"/>
        <v>999</v>
      </c>
      <c r="W317" s="35">
        <f t="shared" si="110"/>
        <v>25</v>
      </c>
      <c r="X317" s="33">
        <f t="shared" si="99"/>
        <v>25</v>
      </c>
      <c r="Y317" s="32">
        <f t="shared" si="100"/>
        <v>-1</v>
      </c>
      <c r="Z317" s="32"/>
      <c r="AA317" s="30">
        <f t="shared" si="101"/>
        <v>8.4372003835091078</v>
      </c>
      <c r="AB317" s="28">
        <f t="shared" si="102"/>
        <v>0.47143965318038589</v>
      </c>
      <c r="AC317" s="28">
        <f t="shared" si="103"/>
        <v>0.10964912280701754</v>
      </c>
      <c r="AD317" s="29">
        <f t="shared" si="104"/>
        <v>292.22011385199238</v>
      </c>
      <c r="AE317" s="28">
        <f t="shared" si="105"/>
        <v>0.10964912280701754</v>
      </c>
      <c r="AF317" s="28">
        <f t="shared" si="106"/>
        <v>0.36179053037336834</v>
      </c>
      <c r="AG317" s="28">
        <f t="shared" si="107"/>
        <v>0</v>
      </c>
      <c r="AI317" s="31">
        <f t="shared" si="108"/>
        <v>0.29094047958817726</v>
      </c>
      <c r="AJ317" s="25"/>
      <c r="AK317" s="31"/>
      <c r="AM317" s="27"/>
    </row>
    <row r="318" spans="4:39" x14ac:dyDescent="0.25">
      <c r="D318" s="25">
        <f>E318*'Profit per cycles Model'!$I$113</f>
        <v>3089.9999999999995</v>
      </c>
      <c r="E318" s="25">
        <v>8.4645938912477732</v>
      </c>
      <c r="F318" s="28">
        <f t="shared" si="89"/>
        <v>0.3236245954692557</v>
      </c>
      <c r="G318" s="28">
        <f>'Battery Pricing Model'!$C$17/D318</f>
        <v>0.3236245954692557</v>
      </c>
      <c r="H318" s="28">
        <f t="shared" si="90"/>
        <v>999</v>
      </c>
      <c r="I318" s="28"/>
      <c r="J318" s="34">
        <f>INDEX('Profit per cycles Model'!$I$149:$I$179, MATCH(TRUNC(E318, 0), 'Profit per cycles Model'!$H$149:$H$179, 0))</f>
        <v>0.47143965318038589</v>
      </c>
      <c r="K318" s="27">
        <f>AVERAGE($AB$10:AB318)</f>
        <v>0.41930578515209749</v>
      </c>
      <c r="L318" s="28">
        <f t="shared" si="91"/>
        <v>9.5681189682841783E-2</v>
      </c>
      <c r="M318" s="28">
        <f t="shared" si="92"/>
        <v>9.5681189682841783E-2</v>
      </c>
      <c r="N318" s="28">
        <f t="shared" si="93"/>
        <v>999</v>
      </c>
      <c r="O318" s="28"/>
      <c r="P318" s="29">
        <f t="shared" si="109"/>
        <v>0.30900000000000022</v>
      </c>
      <c r="Q318" s="33">
        <f t="shared" si="94"/>
        <v>6.7114093959731544</v>
      </c>
      <c r="R318" s="33">
        <f t="shared" si="95"/>
        <v>6.7114093959731544</v>
      </c>
      <c r="S318" s="33">
        <f t="shared" si="96"/>
        <v>-1</v>
      </c>
      <c r="T318" s="27"/>
      <c r="U318" s="28">
        <f t="shared" si="97"/>
        <v>0.10964912280701754</v>
      </c>
      <c r="V318" s="25">
        <f t="shared" si="98"/>
        <v>999</v>
      </c>
      <c r="W318" s="35">
        <f t="shared" si="110"/>
        <v>25</v>
      </c>
      <c r="X318" s="33">
        <f t="shared" si="99"/>
        <v>25</v>
      </c>
      <c r="Y318" s="32">
        <f t="shared" si="100"/>
        <v>-1</v>
      </c>
      <c r="Z318" s="32"/>
      <c r="AA318" s="30">
        <f t="shared" si="101"/>
        <v>8.4645938912477732</v>
      </c>
      <c r="AB318" s="28">
        <f t="shared" si="102"/>
        <v>0.47143965318038589</v>
      </c>
      <c r="AC318" s="28">
        <f t="shared" si="103"/>
        <v>0.10964912280701754</v>
      </c>
      <c r="AD318" s="29">
        <f t="shared" si="104"/>
        <v>293.16888045540793</v>
      </c>
      <c r="AE318" s="28">
        <f t="shared" si="105"/>
        <v>0.10964912280701754</v>
      </c>
      <c r="AF318" s="28">
        <f t="shared" si="106"/>
        <v>0.36179053037336834</v>
      </c>
      <c r="AG318" s="28">
        <f t="shared" si="107"/>
        <v>0</v>
      </c>
      <c r="AI318" s="31">
        <f t="shared" si="108"/>
        <v>0.29565487611998109</v>
      </c>
      <c r="AJ318" s="25"/>
      <c r="AK318" s="31"/>
      <c r="AM318" s="27"/>
    </row>
    <row r="319" spans="4:39" x14ac:dyDescent="0.25">
      <c r="D319" s="25">
        <f>E319*'Profit per cycles Model'!$I$113</f>
        <v>3100</v>
      </c>
      <c r="E319" s="25">
        <v>8.4919873989864403</v>
      </c>
      <c r="F319" s="28">
        <f t="shared" si="89"/>
        <v>0.32258064516129031</v>
      </c>
      <c r="G319" s="28">
        <f>'Battery Pricing Model'!$C$17/D319</f>
        <v>0.32258064516129031</v>
      </c>
      <c r="H319" s="28">
        <f t="shared" si="90"/>
        <v>999</v>
      </c>
      <c r="I319" s="28"/>
      <c r="J319" s="34">
        <f>INDEX('Profit per cycles Model'!$I$149:$I$179, MATCH(TRUNC(E319, 0), 'Profit per cycles Model'!$H$149:$H$179, 0))</f>
        <v>0.47143965318038589</v>
      </c>
      <c r="K319" s="27">
        <f>AVERAGE($AB$10:AB319)</f>
        <v>0.41947395891993072</v>
      </c>
      <c r="L319" s="28">
        <f t="shared" si="91"/>
        <v>9.6893313758640409E-2</v>
      </c>
      <c r="M319" s="28">
        <f t="shared" si="92"/>
        <v>9.6893313758640409E-2</v>
      </c>
      <c r="N319" s="28">
        <f t="shared" si="93"/>
        <v>999</v>
      </c>
      <c r="O319" s="28"/>
      <c r="P319" s="29">
        <f t="shared" si="109"/>
        <v>0.31000000000000022</v>
      </c>
      <c r="Q319" s="33">
        <f t="shared" si="94"/>
        <v>6.7114093959731544</v>
      </c>
      <c r="R319" s="33">
        <f t="shared" si="95"/>
        <v>6.7114093959731544</v>
      </c>
      <c r="S319" s="33">
        <f t="shared" si="96"/>
        <v>-1</v>
      </c>
      <c r="T319" s="27"/>
      <c r="U319" s="28">
        <f t="shared" si="97"/>
        <v>0.10964912280701754</v>
      </c>
      <c r="V319" s="25">
        <f t="shared" si="98"/>
        <v>999</v>
      </c>
      <c r="W319" s="35">
        <f t="shared" si="110"/>
        <v>25</v>
      </c>
      <c r="X319" s="33">
        <f t="shared" si="99"/>
        <v>25</v>
      </c>
      <c r="Y319" s="32">
        <f t="shared" si="100"/>
        <v>-1</v>
      </c>
      <c r="Z319" s="32"/>
      <c r="AA319" s="30">
        <f t="shared" si="101"/>
        <v>8.4919873989864403</v>
      </c>
      <c r="AB319" s="28">
        <f t="shared" si="102"/>
        <v>0.47143965318038589</v>
      </c>
      <c r="AC319" s="28">
        <f t="shared" si="103"/>
        <v>0.10964912280701754</v>
      </c>
      <c r="AD319" s="29">
        <f t="shared" si="104"/>
        <v>294.11764705882359</v>
      </c>
      <c r="AE319" s="28">
        <f t="shared" si="105"/>
        <v>0.10964912280701754</v>
      </c>
      <c r="AF319" s="28">
        <f t="shared" si="106"/>
        <v>0.36179053037336834</v>
      </c>
      <c r="AG319" s="28">
        <f t="shared" si="107"/>
        <v>0</v>
      </c>
      <c r="AI319" s="31">
        <f t="shared" si="108"/>
        <v>0.30036927265178526</v>
      </c>
      <c r="AJ319" s="25"/>
      <c r="AK319" s="31"/>
      <c r="AM319" s="27"/>
    </row>
    <row r="320" spans="4:39" x14ac:dyDescent="0.25">
      <c r="D320" s="25">
        <f>E320*'Profit per cycles Model'!$I$113</f>
        <v>3110</v>
      </c>
      <c r="E320" s="25">
        <v>8.5193809067251056</v>
      </c>
      <c r="F320" s="28">
        <f t="shared" si="89"/>
        <v>0.32154340836012862</v>
      </c>
      <c r="G320" s="28">
        <f>'Battery Pricing Model'!$C$17/D320</f>
        <v>0.32154340836012862</v>
      </c>
      <c r="H320" s="28">
        <f t="shared" si="90"/>
        <v>999</v>
      </c>
      <c r="I320" s="28"/>
      <c r="J320" s="34">
        <f>INDEX('Profit per cycles Model'!$I$149:$I$179, MATCH(TRUNC(E320, 0), 'Profit per cycles Model'!$H$149:$H$179, 0))</f>
        <v>0.47143965318038589</v>
      </c>
      <c r="K320" s="27">
        <f>AVERAGE($AB$10:AB320)</f>
        <v>0.41964105118443379</v>
      </c>
      <c r="L320" s="28">
        <f t="shared" si="91"/>
        <v>9.8097642824305165E-2</v>
      </c>
      <c r="M320" s="28">
        <f t="shared" si="92"/>
        <v>9.8097642824305165E-2</v>
      </c>
      <c r="N320" s="28">
        <f t="shared" si="93"/>
        <v>999</v>
      </c>
      <c r="O320" s="28"/>
      <c r="P320" s="29">
        <f t="shared" si="109"/>
        <v>0.31100000000000022</v>
      </c>
      <c r="Q320" s="33">
        <f t="shared" si="94"/>
        <v>6.7114093959731544</v>
      </c>
      <c r="R320" s="33">
        <f t="shared" si="95"/>
        <v>6.7114093959731544</v>
      </c>
      <c r="S320" s="33">
        <f t="shared" si="96"/>
        <v>-1</v>
      </c>
      <c r="T320" s="27"/>
      <c r="U320" s="28">
        <f t="shared" si="97"/>
        <v>0.10964912280701754</v>
      </c>
      <c r="V320" s="25">
        <f t="shared" si="98"/>
        <v>999</v>
      </c>
      <c r="W320" s="35">
        <f t="shared" si="110"/>
        <v>25</v>
      </c>
      <c r="X320" s="33">
        <f t="shared" si="99"/>
        <v>25</v>
      </c>
      <c r="Y320" s="32">
        <f t="shared" si="100"/>
        <v>-1</v>
      </c>
      <c r="Z320" s="32"/>
      <c r="AA320" s="30">
        <f t="shared" si="101"/>
        <v>8.5193809067251056</v>
      </c>
      <c r="AB320" s="28">
        <f t="shared" si="102"/>
        <v>0.47143965318038589</v>
      </c>
      <c r="AC320" s="28">
        <f t="shared" si="103"/>
        <v>0.10964912280701754</v>
      </c>
      <c r="AD320" s="29">
        <f t="shared" si="104"/>
        <v>295.06641366223909</v>
      </c>
      <c r="AE320" s="28">
        <f t="shared" si="105"/>
        <v>0.10964912280701754</v>
      </c>
      <c r="AF320" s="28">
        <f t="shared" si="106"/>
        <v>0.36179053037336834</v>
      </c>
      <c r="AG320" s="28">
        <f t="shared" si="107"/>
        <v>0</v>
      </c>
      <c r="AI320" s="31">
        <f t="shared" si="108"/>
        <v>0.30508366918358903</v>
      </c>
      <c r="AJ320" s="25"/>
      <c r="AK320" s="31"/>
      <c r="AM320" s="27"/>
    </row>
    <row r="321" spans="4:39" x14ac:dyDescent="0.25">
      <c r="D321" s="25">
        <f>E321*'Profit per cycles Model'!$I$113</f>
        <v>3119.9999999999995</v>
      </c>
      <c r="E321" s="25">
        <v>8.546774414463771</v>
      </c>
      <c r="F321" s="28">
        <f t="shared" si="89"/>
        <v>0.32051282051282054</v>
      </c>
      <c r="G321" s="28">
        <f>'Battery Pricing Model'!$C$17/D321</f>
        <v>0.32051282051282054</v>
      </c>
      <c r="H321" s="28">
        <f t="shared" si="90"/>
        <v>999</v>
      </c>
      <c r="I321" s="28"/>
      <c r="J321" s="34">
        <f>INDEX('Profit per cycles Model'!$I$149:$I$179, MATCH(TRUNC(E321, 0), 'Profit per cycles Model'!$H$149:$H$179, 0))</f>
        <v>0.47143965318038589</v>
      </c>
      <c r="K321" s="27">
        <f>AVERAGE($AB$10:AB321)</f>
        <v>0.41980707234467729</v>
      </c>
      <c r="L321" s="28">
        <f t="shared" si="91"/>
        <v>9.929425183185675E-2</v>
      </c>
      <c r="M321" s="28">
        <f t="shared" si="92"/>
        <v>9.929425183185675E-2</v>
      </c>
      <c r="N321" s="28">
        <f t="shared" si="93"/>
        <v>999</v>
      </c>
      <c r="O321" s="28"/>
      <c r="P321" s="29">
        <f t="shared" si="109"/>
        <v>0.31200000000000022</v>
      </c>
      <c r="Q321" s="33">
        <f t="shared" si="94"/>
        <v>6.7114093959731544</v>
      </c>
      <c r="R321" s="33">
        <f t="shared" si="95"/>
        <v>6.7114093959731544</v>
      </c>
      <c r="S321" s="33">
        <f t="shared" si="96"/>
        <v>-1</v>
      </c>
      <c r="T321" s="27"/>
      <c r="U321" s="28">
        <f t="shared" si="97"/>
        <v>0.10964912280701754</v>
      </c>
      <c r="V321" s="25">
        <f t="shared" si="98"/>
        <v>999</v>
      </c>
      <c r="W321" s="35">
        <f t="shared" si="110"/>
        <v>25</v>
      </c>
      <c r="X321" s="33">
        <f t="shared" si="99"/>
        <v>25</v>
      </c>
      <c r="Y321" s="32">
        <f t="shared" si="100"/>
        <v>-1</v>
      </c>
      <c r="Z321" s="32"/>
      <c r="AA321" s="30">
        <f t="shared" si="101"/>
        <v>8.546774414463771</v>
      </c>
      <c r="AB321" s="28">
        <f t="shared" si="102"/>
        <v>0.47143965318038589</v>
      </c>
      <c r="AC321" s="28">
        <f t="shared" si="103"/>
        <v>0.10964912280701754</v>
      </c>
      <c r="AD321" s="29">
        <f t="shared" si="104"/>
        <v>296.01518026565464</v>
      </c>
      <c r="AE321" s="28">
        <f t="shared" si="105"/>
        <v>0.10964912280701754</v>
      </c>
      <c r="AF321" s="28">
        <f t="shared" si="106"/>
        <v>0.36179053037336834</v>
      </c>
      <c r="AG321" s="28">
        <f t="shared" si="107"/>
        <v>0</v>
      </c>
      <c r="AI321" s="31">
        <f t="shared" si="108"/>
        <v>0.30979806571539303</v>
      </c>
      <c r="AJ321" s="25"/>
      <c r="AK321" s="31"/>
      <c r="AM321" s="27"/>
    </row>
    <row r="322" spans="4:39" x14ac:dyDescent="0.25">
      <c r="D322" s="25">
        <f>E322*'Profit per cycles Model'!$I$113</f>
        <v>3130</v>
      </c>
      <c r="E322" s="25">
        <v>8.5741679222024381</v>
      </c>
      <c r="F322" s="28">
        <f t="shared" si="89"/>
        <v>0.31948881789137379</v>
      </c>
      <c r="G322" s="28">
        <f>'Battery Pricing Model'!$C$17/D322</f>
        <v>0.31948881789137379</v>
      </c>
      <c r="H322" s="28">
        <f t="shared" si="90"/>
        <v>999</v>
      </c>
      <c r="I322" s="28"/>
      <c r="J322" s="34">
        <f>INDEX('Profit per cycles Model'!$I$149:$I$179, MATCH(TRUNC(E322, 0), 'Profit per cycles Model'!$H$149:$H$179, 0))</f>
        <v>0.47143965318038589</v>
      </c>
      <c r="K322" s="27">
        <f>AVERAGE($AB$10:AB322)</f>
        <v>0.41997203266683614</v>
      </c>
      <c r="L322" s="28">
        <f t="shared" si="91"/>
        <v>0.10048321477546235</v>
      </c>
      <c r="M322" s="28">
        <f t="shared" si="92"/>
        <v>0.10048321477546235</v>
      </c>
      <c r="N322" s="28">
        <f t="shared" si="93"/>
        <v>999</v>
      </c>
      <c r="O322" s="28"/>
      <c r="P322" s="29">
        <f t="shared" si="109"/>
        <v>0.31300000000000022</v>
      </c>
      <c r="Q322" s="33">
        <f t="shared" si="94"/>
        <v>6.7114093959731544</v>
      </c>
      <c r="R322" s="33">
        <f t="shared" si="95"/>
        <v>6.7114093959731544</v>
      </c>
      <c r="S322" s="33">
        <f t="shared" si="96"/>
        <v>-1</v>
      </c>
      <c r="T322" s="27"/>
      <c r="U322" s="28">
        <f t="shared" si="97"/>
        <v>0.10964912280701754</v>
      </c>
      <c r="V322" s="25">
        <f t="shared" si="98"/>
        <v>999</v>
      </c>
      <c r="W322" s="35">
        <f t="shared" si="110"/>
        <v>25</v>
      </c>
      <c r="X322" s="33">
        <f t="shared" si="99"/>
        <v>25</v>
      </c>
      <c r="Y322" s="32">
        <f t="shared" si="100"/>
        <v>-1</v>
      </c>
      <c r="Z322" s="32"/>
      <c r="AA322" s="30">
        <f t="shared" si="101"/>
        <v>8.5741679222024381</v>
      </c>
      <c r="AB322" s="28">
        <f t="shared" si="102"/>
        <v>0.47143965318038589</v>
      </c>
      <c r="AC322" s="28">
        <f t="shared" si="103"/>
        <v>0.10964912280701754</v>
      </c>
      <c r="AD322" s="29">
        <f t="shared" si="104"/>
        <v>296.96394686907024</v>
      </c>
      <c r="AE322" s="28">
        <f t="shared" si="105"/>
        <v>0.10964912280701754</v>
      </c>
      <c r="AF322" s="28">
        <f t="shared" si="106"/>
        <v>0.36179053037336834</v>
      </c>
      <c r="AG322" s="28">
        <f t="shared" si="107"/>
        <v>0</v>
      </c>
      <c r="AI322" s="31">
        <f t="shared" si="108"/>
        <v>0.31451246224719714</v>
      </c>
      <c r="AJ322" s="25"/>
      <c r="AK322" s="31"/>
      <c r="AM322" s="27"/>
    </row>
    <row r="323" spans="4:39" x14ac:dyDescent="0.25">
      <c r="D323" s="25">
        <f>E323*'Profit per cycles Model'!$I$113</f>
        <v>3140</v>
      </c>
      <c r="E323" s="25">
        <v>8.6015614299411034</v>
      </c>
      <c r="F323" s="28">
        <f t="shared" si="89"/>
        <v>0.31847133757961782</v>
      </c>
      <c r="G323" s="28">
        <f>'Battery Pricing Model'!$C$17/D323</f>
        <v>0.31847133757961782</v>
      </c>
      <c r="H323" s="28">
        <f t="shared" si="90"/>
        <v>999</v>
      </c>
      <c r="I323" s="28"/>
      <c r="J323" s="34">
        <f>INDEX('Profit per cycles Model'!$I$149:$I$179, MATCH(TRUNC(E323, 0), 'Profit per cycles Model'!$H$149:$H$179, 0))</f>
        <v>0.47143965318038589</v>
      </c>
      <c r="K323" s="27">
        <f>AVERAGE($AB$10:AB323)</f>
        <v>0.42013594228630607</v>
      </c>
      <c r="L323" s="28">
        <f t="shared" si="91"/>
        <v>0.10166460470668826</v>
      </c>
      <c r="M323" s="28">
        <f t="shared" si="92"/>
        <v>0.10166460470668826</v>
      </c>
      <c r="N323" s="28">
        <f t="shared" si="93"/>
        <v>999</v>
      </c>
      <c r="O323" s="28"/>
      <c r="P323" s="29">
        <f t="shared" si="109"/>
        <v>0.31400000000000022</v>
      </c>
      <c r="Q323" s="33">
        <f t="shared" si="94"/>
        <v>6.7114093959731544</v>
      </c>
      <c r="R323" s="33">
        <f t="shared" si="95"/>
        <v>6.7114093959731544</v>
      </c>
      <c r="S323" s="33">
        <f t="shared" si="96"/>
        <v>-1</v>
      </c>
      <c r="T323" s="27"/>
      <c r="U323" s="28">
        <f t="shared" si="97"/>
        <v>0.10964912280701754</v>
      </c>
      <c r="V323" s="25">
        <f t="shared" si="98"/>
        <v>999</v>
      </c>
      <c r="W323" s="35">
        <f t="shared" si="110"/>
        <v>25</v>
      </c>
      <c r="X323" s="33">
        <f t="shared" si="99"/>
        <v>25</v>
      </c>
      <c r="Y323" s="32">
        <f t="shared" si="100"/>
        <v>-1</v>
      </c>
      <c r="Z323" s="32"/>
      <c r="AA323" s="30">
        <f t="shared" si="101"/>
        <v>8.6015614299411034</v>
      </c>
      <c r="AB323" s="28">
        <f t="shared" si="102"/>
        <v>0.47143965318038589</v>
      </c>
      <c r="AC323" s="28">
        <f t="shared" si="103"/>
        <v>0.10964912280701754</v>
      </c>
      <c r="AD323" s="29">
        <f t="shared" si="104"/>
        <v>297.91271347248573</v>
      </c>
      <c r="AE323" s="28">
        <f t="shared" si="105"/>
        <v>0.10964912280701754</v>
      </c>
      <c r="AF323" s="28">
        <f t="shared" si="106"/>
        <v>0.36179053037336834</v>
      </c>
      <c r="AG323" s="28">
        <f t="shared" si="107"/>
        <v>0</v>
      </c>
      <c r="AI323" s="31">
        <f t="shared" si="108"/>
        <v>0.31922685877900114</v>
      </c>
      <c r="AJ323" s="25"/>
      <c r="AK323" s="31"/>
      <c r="AM323" s="27"/>
    </row>
    <row r="324" spans="4:39" x14ac:dyDescent="0.25">
      <c r="D324" s="25">
        <f>E324*'Profit per cycles Model'!$I$113</f>
        <v>3150.0000000000005</v>
      </c>
      <c r="E324" s="25">
        <v>8.6289549376797705</v>
      </c>
      <c r="F324" s="28">
        <f t="shared" si="89"/>
        <v>0.31746031746031739</v>
      </c>
      <c r="G324" s="28">
        <f>'Battery Pricing Model'!$C$17/D324</f>
        <v>0.31746031746031739</v>
      </c>
      <c r="H324" s="28">
        <f t="shared" si="90"/>
        <v>999</v>
      </c>
      <c r="I324" s="28"/>
      <c r="J324" s="34">
        <f>INDEX('Profit per cycles Model'!$I$149:$I$179, MATCH(TRUNC(E324, 0), 'Profit per cycles Model'!$H$149:$H$179, 0))</f>
        <v>0.47143965318038589</v>
      </c>
      <c r="K324" s="27">
        <f>AVERAGE($AB$10:AB324)</f>
        <v>0.42029881120977935</v>
      </c>
      <c r="L324" s="28">
        <f t="shared" si="91"/>
        <v>0.10283849374946197</v>
      </c>
      <c r="M324" s="28">
        <f t="shared" si="92"/>
        <v>0.10283849374946197</v>
      </c>
      <c r="N324" s="28">
        <f t="shared" si="93"/>
        <v>999</v>
      </c>
      <c r="O324" s="28"/>
      <c r="P324" s="29">
        <f t="shared" si="109"/>
        <v>0.31500000000000022</v>
      </c>
      <c r="Q324" s="33">
        <f t="shared" si="94"/>
        <v>6.7114093959731544</v>
      </c>
      <c r="R324" s="33">
        <f t="shared" si="95"/>
        <v>6.7114093959731544</v>
      </c>
      <c r="S324" s="33">
        <f t="shared" si="96"/>
        <v>-1</v>
      </c>
      <c r="T324" s="27"/>
      <c r="U324" s="28">
        <f t="shared" si="97"/>
        <v>0.10964912280701754</v>
      </c>
      <c r="V324" s="25">
        <f t="shared" si="98"/>
        <v>999</v>
      </c>
      <c r="W324" s="35">
        <f t="shared" si="110"/>
        <v>25</v>
      </c>
      <c r="X324" s="33">
        <f t="shared" si="99"/>
        <v>25</v>
      </c>
      <c r="Y324" s="32">
        <f t="shared" si="100"/>
        <v>-1</v>
      </c>
      <c r="Z324" s="32"/>
      <c r="AA324" s="30">
        <f t="shared" si="101"/>
        <v>8.6289549376797705</v>
      </c>
      <c r="AB324" s="28">
        <f t="shared" si="102"/>
        <v>0.47143965318038589</v>
      </c>
      <c r="AC324" s="28">
        <f t="shared" si="103"/>
        <v>0.10964912280701754</v>
      </c>
      <c r="AD324" s="29">
        <f t="shared" si="104"/>
        <v>298.8614800759014</v>
      </c>
      <c r="AE324" s="28">
        <f t="shared" si="105"/>
        <v>0.10964912280701754</v>
      </c>
      <c r="AF324" s="28">
        <f t="shared" si="106"/>
        <v>0.36179053037336834</v>
      </c>
      <c r="AG324" s="28">
        <f t="shared" si="107"/>
        <v>0</v>
      </c>
      <c r="AI324" s="31">
        <f t="shared" si="108"/>
        <v>0.32394125531080525</v>
      </c>
      <c r="AJ324" s="25"/>
      <c r="AK324" s="31"/>
      <c r="AM324" s="27"/>
    </row>
    <row r="325" spans="4:39" x14ac:dyDescent="0.25">
      <c r="D325" s="25">
        <f>E325*'Profit per cycles Model'!$I$113</f>
        <v>3160</v>
      </c>
      <c r="E325" s="25">
        <v>8.6563484454184358</v>
      </c>
      <c r="F325" s="28">
        <f t="shared" si="89"/>
        <v>0.31645569620253167</v>
      </c>
      <c r="G325" s="28">
        <f>'Battery Pricing Model'!$C$17/D325</f>
        <v>0.31645569620253167</v>
      </c>
      <c r="H325" s="28">
        <f t="shared" si="90"/>
        <v>999</v>
      </c>
      <c r="I325" s="28"/>
      <c r="J325" s="34">
        <f>INDEX('Profit per cycles Model'!$I$149:$I$179, MATCH(TRUNC(E325, 0), 'Profit per cycles Model'!$H$149:$H$179, 0))</f>
        <v>0.47143965318038589</v>
      </c>
      <c r="K325" s="27">
        <f>AVERAGE($AB$10:AB325)</f>
        <v>0.42046064931728133</v>
      </c>
      <c r="L325" s="28">
        <f t="shared" si="91"/>
        <v>0.10400495311474967</v>
      </c>
      <c r="M325" s="28">
        <f t="shared" si="92"/>
        <v>0.10400495311474967</v>
      </c>
      <c r="N325" s="28">
        <f t="shared" si="93"/>
        <v>999</v>
      </c>
      <c r="O325" s="28"/>
      <c r="P325" s="29">
        <f t="shared" si="109"/>
        <v>0.31600000000000023</v>
      </c>
      <c r="Q325" s="33">
        <f t="shared" si="94"/>
        <v>6.7114093959731544</v>
      </c>
      <c r="R325" s="33">
        <f t="shared" si="95"/>
        <v>6.7114093959731544</v>
      </c>
      <c r="S325" s="33">
        <f t="shared" si="96"/>
        <v>-1</v>
      </c>
      <c r="T325" s="27"/>
      <c r="U325" s="28">
        <f t="shared" si="97"/>
        <v>0.10964912280701754</v>
      </c>
      <c r="V325" s="25">
        <f t="shared" si="98"/>
        <v>999</v>
      </c>
      <c r="W325" s="35">
        <f t="shared" si="110"/>
        <v>25</v>
      </c>
      <c r="X325" s="33">
        <f t="shared" si="99"/>
        <v>25</v>
      </c>
      <c r="Y325" s="32">
        <f t="shared" si="100"/>
        <v>-1</v>
      </c>
      <c r="Z325" s="32"/>
      <c r="AA325" s="30">
        <f t="shared" si="101"/>
        <v>8.6563484454184358</v>
      </c>
      <c r="AB325" s="28">
        <f t="shared" si="102"/>
        <v>0.47143965318038589</v>
      </c>
      <c r="AC325" s="28">
        <f t="shared" si="103"/>
        <v>0.10964912280701754</v>
      </c>
      <c r="AD325" s="29">
        <f t="shared" si="104"/>
        <v>299.81024667931695</v>
      </c>
      <c r="AE325" s="28">
        <f t="shared" si="105"/>
        <v>0.10964912280701754</v>
      </c>
      <c r="AF325" s="28">
        <f t="shared" si="106"/>
        <v>0.36179053037336834</v>
      </c>
      <c r="AG325" s="28">
        <f t="shared" si="107"/>
        <v>0</v>
      </c>
      <c r="AI325" s="31">
        <f t="shared" si="108"/>
        <v>0.32865565184260892</v>
      </c>
      <c r="AJ325" s="25"/>
      <c r="AK325" s="31"/>
      <c r="AM325" s="27"/>
    </row>
    <row r="326" spans="4:39" x14ac:dyDescent="0.25">
      <c r="D326" s="25">
        <f>E326*'Profit per cycles Model'!$I$113</f>
        <v>3170</v>
      </c>
      <c r="E326" s="25">
        <v>8.6837419531571012</v>
      </c>
      <c r="F326" s="28">
        <f t="shared" si="89"/>
        <v>0.31545741324921134</v>
      </c>
      <c r="G326" s="28">
        <f>'Battery Pricing Model'!$C$17/D326</f>
        <v>0.31545741324921134</v>
      </c>
      <c r="H326" s="28">
        <f t="shared" si="90"/>
        <v>999</v>
      </c>
      <c r="I326" s="28"/>
      <c r="J326" s="34">
        <f>INDEX('Profit per cycles Model'!$I$149:$I$179, MATCH(TRUNC(E326, 0), 'Profit per cycles Model'!$H$149:$H$179, 0))</f>
        <v>0.47143965318038589</v>
      </c>
      <c r="K326" s="27">
        <f>AVERAGE($AB$10:AB326)</f>
        <v>0.42062146636416814</v>
      </c>
      <c r="L326" s="28">
        <f t="shared" si="91"/>
        <v>0.1051640531149568</v>
      </c>
      <c r="M326" s="28">
        <f t="shared" si="92"/>
        <v>0.1051640531149568</v>
      </c>
      <c r="N326" s="28">
        <f t="shared" si="93"/>
        <v>999</v>
      </c>
      <c r="O326" s="28"/>
      <c r="P326" s="29">
        <f t="shared" si="109"/>
        <v>0.31700000000000023</v>
      </c>
      <c r="Q326" s="33">
        <f t="shared" si="94"/>
        <v>6.7114093959731544</v>
      </c>
      <c r="R326" s="33">
        <f t="shared" si="95"/>
        <v>6.7114093959731544</v>
      </c>
      <c r="S326" s="33">
        <f t="shared" si="96"/>
        <v>-1</v>
      </c>
      <c r="T326" s="27"/>
      <c r="U326" s="28">
        <f t="shared" si="97"/>
        <v>0.10964912280701754</v>
      </c>
      <c r="V326" s="25">
        <f t="shared" si="98"/>
        <v>999</v>
      </c>
      <c r="W326" s="35">
        <f t="shared" si="110"/>
        <v>25</v>
      </c>
      <c r="X326" s="33">
        <f t="shared" si="99"/>
        <v>25</v>
      </c>
      <c r="Y326" s="32">
        <f t="shared" si="100"/>
        <v>-1</v>
      </c>
      <c r="Z326" s="32"/>
      <c r="AA326" s="30">
        <f t="shared" si="101"/>
        <v>8.6837419531571012</v>
      </c>
      <c r="AB326" s="28">
        <f t="shared" si="102"/>
        <v>0.47143965318038589</v>
      </c>
      <c r="AC326" s="28">
        <f t="shared" si="103"/>
        <v>0.10964912280701754</v>
      </c>
      <c r="AD326" s="29">
        <f t="shared" si="104"/>
        <v>300.75901328273244</v>
      </c>
      <c r="AE326" s="28">
        <f t="shared" si="105"/>
        <v>0.10964912280701754</v>
      </c>
      <c r="AF326" s="28">
        <f t="shared" si="106"/>
        <v>0.36179053037336834</v>
      </c>
      <c r="AG326" s="28">
        <f t="shared" si="107"/>
        <v>0</v>
      </c>
      <c r="AI326" s="31">
        <f t="shared" si="108"/>
        <v>0.33337004837441309</v>
      </c>
      <c r="AJ326" s="25"/>
      <c r="AK326" s="31"/>
      <c r="AM326" s="27"/>
    </row>
    <row r="327" spans="4:39" x14ac:dyDescent="0.25">
      <c r="D327" s="25">
        <f>E327*'Profit per cycles Model'!$I$113</f>
        <v>3180.0000000000005</v>
      </c>
      <c r="E327" s="25">
        <v>8.7111354608957683</v>
      </c>
      <c r="F327" s="28">
        <f t="shared" si="89"/>
        <v>0.31446540880503138</v>
      </c>
      <c r="G327" s="28">
        <f>'Battery Pricing Model'!$C$17/D327</f>
        <v>0.31446540880503138</v>
      </c>
      <c r="H327" s="28">
        <f t="shared" si="90"/>
        <v>999</v>
      </c>
      <c r="I327" s="28"/>
      <c r="J327" s="34">
        <f>INDEX('Profit per cycles Model'!$I$149:$I$179, MATCH(TRUNC(E327, 0), 'Profit per cycles Model'!$H$149:$H$179, 0))</f>
        <v>0.47143965318038589</v>
      </c>
      <c r="K327" s="27">
        <f>AVERAGE($AB$10:AB327)</f>
        <v>0.42078127198308707</v>
      </c>
      <c r="L327" s="28">
        <f t="shared" si="91"/>
        <v>0.10631586317805569</v>
      </c>
      <c r="M327" s="28">
        <f t="shared" si="92"/>
        <v>0.10631586317805569</v>
      </c>
      <c r="N327" s="28">
        <f t="shared" si="93"/>
        <v>999</v>
      </c>
      <c r="O327" s="28"/>
      <c r="P327" s="29">
        <f t="shared" si="109"/>
        <v>0.31800000000000023</v>
      </c>
      <c r="Q327" s="33">
        <f t="shared" si="94"/>
        <v>6.7114093959731544</v>
      </c>
      <c r="R327" s="33">
        <f t="shared" si="95"/>
        <v>6.7114093959731544</v>
      </c>
      <c r="S327" s="33">
        <f t="shared" si="96"/>
        <v>-1</v>
      </c>
      <c r="T327" s="27"/>
      <c r="U327" s="28">
        <f t="shared" si="97"/>
        <v>0.10964912280701754</v>
      </c>
      <c r="V327" s="25">
        <f t="shared" si="98"/>
        <v>999</v>
      </c>
      <c r="W327" s="35">
        <f t="shared" si="110"/>
        <v>25</v>
      </c>
      <c r="X327" s="33">
        <f t="shared" si="99"/>
        <v>25</v>
      </c>
      <c r="Y327" s="32">
        <f t="shared" si="100"/>
        <v>-1</v>
      </c>
      <c r="Z327" s="32"/>
      <c r="AA327" s="30">
        <f t="shared" si="101"/>
        <v>8.7111354608957683</v>
      </c>
      <c r="AB327" s="28">
        <f t="shared" si="102"/>
        <v>0.47143965318038589</v>
      </c>
      <c r="AC327" s="28">
        <f t="shared" si="103"/>
        <v>0.10964912280701754</v>
      </c>
      <c r="AD327" s="29">
        <f t="shared" si="104"/>
        <v>301.70777988614805</v>
      </c>
      <c r="AE327" s="28">
        <f t="shared" si="105"/>
        <v>0.10964912280701754</v>
      </c>
      <c r="AF327" s="28">
        <f t="shared" si="106"/>
        <v>0.36179053037336834</v>
      </c>
      <c r="AG327" s="28">
        <f t="shared" si="107"/>
        <v>0</v>
      </c>
      <c r="AI327" s="31">
        <f t="shared" si="108"/>
        <v>0.3380844449062172</v>
      </c>
      <c r="AJ327" s="25"/>
      <c r="AK327" s="31"/>
      <c r="AM327" s="27"/>
    </row>
    <row r="328" spans="4:39" x14ac:dyDescent="0.25">
      <c r="D328" s="25">
        <f>E328*'Profit per cycles Model'!$I$113</f>
        <v>3190</v>
      </c>
      <c r="E328" s="25">
        <v>8.7385289686344336</v>
      </c>
      <c r="F328" s="28">
        <f t="shared" si="89"/>
        <v>0.31347962382445144</v>
      </c>
      <c r="G328" s="28">
        <f>'Battery Pricing Model'!$C$17/D328</f>
        <v>0.31347962382445144</v>
      </c>
      <c r="H328" s="28">
        <f t="shared" si="90"/>
        <v>999</v>
      </c>
      <c r="I328" s="28"/>
      <c r="J328" s="34">
        <f>INDEX('Profit per cycles Model'!$I$149:$I$179, MATCH(TRUNC(E328, 0), 'Profit per cycles Model'!$H$149:$H$179, 0))</f>
        <v>0.47143965318038589</v>
      </c>
      <c r="K328" s="27">
        <f>AVERAGE($AB$10:AB328)</f>
        <v>0.42094007568589997</v>
      </c>
      <c r="L328" s="28">
        <f t="shared" si="91"/>
        <v>0.10746045186144854</v>
      </c>
      <c r="M328" s="28">
        <f t="shared" si="92"/>
        <v>0.10746045186144854</v>
      </c>
      <c r="N328" s="28">
        <f t="shared" si="93"/>
        <v>999</v>
      </c>
      <c r="O328" s="28"/>
      <c r="P328" s="29">
        <f t="shared" si="109"/>
        <v>0.31900000000000023</v>
      </c>
      <c r="Q328" s="33">
        <f t="shared" si="94"/>
        <v>6.7114093959731544</v>
      </c>
      <c r="R328" s="33">
        <f t="shared" si="95"/>
        <v>6.7114093959731544</v>
      </c>
      <c r="S328" s="33">
        <f t="shared" si="96"/>
        <v>-1</v>
      </c>
      <c r="T328" s="27"/>
      <c r="U328" s="28">
        <f t="shared" si="97"/>
        <v>0.10964912280701754</v>
      </c>
      <c r="V328" s="25">
        <f t="shared" si="98"/>
        <v>999</v>
      </c>
      <c r="W328" s="35">
        <f t="shared" si="110"/>
        <v>25</v>
      </c>
      <c r="X328" s="33">
        <f t="shared" si="99"/>
        <v>25</v>
      </c>
      <c r="Y328" s="32">
        <f t="shared" si="100"/>
        <v>-1</v>
      </c>
      <c r="Z328" s="32"/>
      <c r="AA328" s="30">
        <f t="shared" si="101"/>
        <v>8.7385289686344336</v>
      </c>
      <c r="AB328" s="28">
        <f t="shared" si="102"/>
        <v>0.47143965318038589</v>
      </c>
      <c r="AC328" s="28">
        <f t="shared" si="103"/>
        <v>0.10964912280701754</v>
      </c>
      <c r="AD328" s="29">
        <f t="shared" si="104"/>
        <v>302.65654648956354</v>
      </c>
      <c r="AE328" s="28">
        <f t="shared" si="105"/>
        <v>0.10964912280701754</v>
      </c>
      <c r="AF328" s="28">
        <f t="shared" si="106"/>
        <v>0.36179053037336834</v>
      </c>
      <c r="AG328" s="28">
        <f t="shared" si="107"/>
        <v>0</v>
      </c>
      <c r="AI328" s="31">
        <f t="shared" si="108"/>
        <v>0.34279884143802081</v>
      </c>
      <c r="AJ328" s="25"/>
      <c r="AK328" s="31"/>
      <c r="AM328" s="27"/>
    </row>
    <row r="329" spans="4:39" x14ac:dyDescent="0.25">
      <c r="D329" s="25">
        <f>E329*'Profit per cycles Model'!$I$113</f>
        <v>3200</v>
      </c>
      <c r="E329" s="25">
        <v>8.765922476373099</v>
      </c>
      <c r="F329" s="28">
        <f t="shared" si="89"/>
        <v>0.3125</v>
      </c>
      <c r="G329" s="28">
        <f>'Battery Pricing Model'!$C$17/D329</f>
        <v>0.3125</v>
      </c>
      <c r="H329" s="28">
        <f t="shared" si="90"/>
        <v>999</v>
      </c>
      <c r="I329" s="28"/>
      <c r="J329" s="34">
        <f>INDEX('Profit per cycles Model'!$I$149:$I$179, MATCH(TRUNC(E329, 0), 'Profit per cycles Model'!$H$149:$H$179, 0))</f>
        <v>0.47143965318038589</v>
      </c>
      <c r="K329" s="27">
        <f>AVERAGE($AB$10:AB329)</f>
        <v>0.42109788686557026</v>
      </c>
      <c r="L329" s="28">
        <f t="shared" si="91"/>
        <v>0.10859788686557026</v>
      </c>
      <c r="M329" s="28">
        <f t="shared" si="92"/>
        <v>0.10859788686557026</v>
      </c>
      <c r="N329" s="28">
        <f t="shared" si="93"/>
        <v>999</v>
      </c>
      <c r="O329" s="28"/>
      <c r="P329" s="29">
        <f t="shared" si="109"/>
        <v>0.32000000000000023</v>
      </c>
      <c r="Q329" s="33">
        <f t="shared" si="94"/>
        <v>6.7114093959731544</v>
      </c>
      <c r="R329" s="33">
        <f t="shared" si="95"/>
        <v>6.7114093959731544</v>
      </c>
      <c r="S329" s="33">
        <f t="shared" si="96"/>
        <v>-1</v>
      </c>
      <c r="T329" s="27"/>
      <c r="U329" s="28">
        <f t="shared" si="97"/>
        <v>0.10964912280701754</v>
      </c>
      <c r="V329" s="25">
        <f t="shared" si="98"/>
        <v>999</v>
      </c>
      <c r="W329" s="35">
        <f t="shared" si="110"/>
        <v>25</v>
      </c>
      <c r="X329" s="33">
        <f t="shared" si="99"/>
        <v>25</v>
      </c>
      <c r="Y329" s="32">
        <f t="shared" si="100"/>
        <v>-1</v>
      </c>
      <c r="Z329" s="32"/>
      <c r="AA329" s="30">
        <f t="shared" si="101"/>
        <v>8.765922476373099</v>
      </c>
      <c r="AB329" s="28">
        <f t="shared" si="102"/>
        <v>0.47143965318038589</v>
      </c>
      <c r="AC329" s="28">
        <f t="shared" si="103"/>
        <v>0.10964912280701754</v>
      </c>
      <c r="AD329" s="29">
        <f t="shared" si="104"/>
        <v>303.60531309297909</v>
      </c>
      <c r="AE329" s="28">
        <f t="shared" si="105"/>
        <v>0.10964912280701754</v>
      </c>
      <c r="AF329" s="28">
        <f t="shared" si="106"/>
        <v>0.36179053037336834</v>
      </c>
      <c r="AG329" s="28">
        <f t="shared" si="107"/>
        <v>0</v>
      </c>
      <c r="AI329" s="31">
        <f t="shared" si="108"/>
        <v>0.34751323796982481</v>
      </c>
      <c r="AJ329" s="25"/>
      <c r="AK329" s="31"/>
      <c r="AM329" s="27"/>
    </row>
    <row r="330" spans="4:39" x14ac:dyDescent="0.25">
      <c r="D330" s="25">
        <f>E330*'Profit per cycles Model'!$I$113</f>
        <v>3210.0000000000005</v>
      </c>
      <c r="E330" s="25">
        <v>8.7933159841117661</v>
      </c>
      <c r="F330" s="28">
        <f t="shared" ref="F330:F393" si="111">IF(OR($H$6="None", $H$6=0), G330, H330)</f>
        <v>0.3115264797507788</v>
      </c>
      <c r="G330" s="28">
        <f>'Battery Pricing Model'!$C$17/D330</f>
        <v>0.3115264797507788</v>
      </c>
      <c r="H330" s="28">
        <f t="shared" ref="H330:H393" si="112">IF(OR($H$6="None", $H$6=0), 999, $G330*(H$6))</f>
        <v>999</v>
      </c>
      <c r="I330" s="28"/>
      <c r="J330" s="34">
        <f>INDEX('Profit per cycles Model'!$I$149:$I$179, MATCH(TRUNC(E330, 0), 'Profit per cycles Model'!$H$149:$H$179, 0))</f>
        <v>0.47143965318038589</v>
      </c>
      <c r="K330" s="27">
        <f>AVERAGE($AB$10:AB330)</f>
        <v>0.42125471479801524</v>
      </c>
      <c r="L330" s="28">
        <f t="shared" ref="L330:L393" si="113">IF(K330-F330&lt;0, 999, K330-F330)</f>
        <v>0.10972823504723644</v>
      </c>
      <c r="M330" s="28">
        <f t="shared" ref="M330:M393" si="114">IF(K330-F330&lt;0, 999, K330-F330)</f>
        <v>0.10972823504723644</v>
      </c>
      <c r="N330" s="28">
        <f t="shared" ref="N330:N393" si="115">IF(K330-H330&lt;0, 999, K330-H330)</f>
        <v>999</v>
      </c>
      <c r="O330" s="28"/>
      <c r="P330" s="29">
        <f t="shared" si="109"/>
        <v>0.32100000000000023</v>
      </c>
      <c r="Q330" s="33">
        <f t="shared" ref="Q330:Q393" si="116">$L$5</f>
        <v>6.7114093959731544</v>
      </c>
      <c r="R330" s="33">
        <f t="shared" ref="R330:R393" si="117">$M$5</f>
        <v>6.7114093959731544</v>
      </c>
      <c r="S330" s="33">
        <f t="shared" ref="S330:S393" si="118">$N$5</f>
        <v>-1</v>
      </c>
      <c r="T330" s="27"/>
      <c r="U330" s="28">
        <f t="shared" ref="U330:U393" si="119">IF(ISNA(INDEX($F$10:$F$1063,MATCH(W330,$E$10:$E$1063,1))),-1,INDEX($F$10:$F$1063,MATCH(W330,$E$10:$E$1063,1)))</f>
        <v>0.10964912280701754</v>
      </c>
      <c r="V330" s="25">
        <f t="shared" ref="V330:V393" si="120">IF(ISNA(INDEX($H$10:$H$1063, MATCH(X330, $E$10:$E$1063,1))),-1,  INDEX($H$10:$H$1063, MATCH(X330, $E$10:$E$1063,1)))</f>
        <v>999</v>
      </c>
      <c r="W330" s="35">
        <f t="shared" si="110"/>
        <v>25</v>
      </c>
      <c r="X330" s="33">
        <f t="shared" ref="X330:X393" si="121">IF(PaybackCustom&gt;0, IF(PaybackCustom&lt;&gt;"Default", PaybackCustom, IF(PaybackStatus&lt;&gt;"",INDEX($Y$2:$Y$6,MATCH(PaybackStatus,$X$2:$X$6,FALSE)),-1)))</f>
        <v>25</v>
      </c>
      <c r="Y330" s="32">
        <f t="shared" ref="Y330:Y393" si="122">IF(PaybackStatus&lt;&gt;"",IF(PaybackStatus=$X$4,IF(X330&lt;=$Y$4,$Y$4,-1), -1), -1)</f>
        <v>-1</v>
      </c>
      <c r="Z330" s="32"/>
      <c r="AA330" s="30">
        <f t="shared" ref="AA330:AA393" si="123">E330</f>
        <v>8.7933159841117661</v>
      </c>
      <c r="AB330" s="28">
        <f t="shared" ref="AB330:AB393" si="124">J330</f>
        <v>0.47143965318038589</v>
      </c>
      <c r="AC330" s="28">
        <f t="shared" ref="AC330:AC393" si="125">U330</f>
        <v>0.10964912280701754</v>
      </c>
      <c r="AD330" s="29">
        <f t="shared" ref="AD330:AD393" si="126">$AC$2*(AA330-$AC$3)/($AC$4-$AC$3)</f>
        <v>304.55407969639475</v>
      </c>
      <c r="AE330" s="28">
        <f t="shared" ref="AE330:AE393" si="127">MIN(AC330, AB330)</f>
        <v>0.10964912280701754</v>
      </c>
      <c r="AF330" s="28">
        <f t="shared" ref="AF330:AF393" si="128">IF(AND(AA330&lt;X330, AB330&gt;AC330), AB330-AC330, 0)</f>
        <v>0.36179053037336834</v>
      </c>
      <c r="AG330" s="28">
        <f t="shared" ref="AG330:AG393" si="129">IF(AND(AA330&lt;X330, AC330&gt;AB330), AC330-AB330, 0)</f>
        <v>0</v>
      </c>
      <c r="AI330" s="31">
        <f t="shared" ref="AI330:AI393" si="130">(K330-F330)/F330</f>
        <v>0.35222763450162903</v>
      </c>
      <c r="AJ330" s="25"/>
      <c r="AK330" s="31"/>
      <c r="AM330" s="27"/>
    </row>
    <row r="331" spans="4:39" x14ac:dyDescent="0.25">
      <c r="D331" s="25">
        <f>E331*'Profit per cycles Model'!$I$113</f>
        <v>3220</v>
      </c>
      <c r="E331" s="25">
        <v>8.8207094918504314</v>
      </c>
      <c r="F331" s="28">
        <f t="shared" si="111"/>
        <v>0.3105590062111801</v>
      </c>
      <c r="G331" s="28">
        <f>'Battery Pricing Model'!$C$17/D331</f>
        <v>0.3105590062111801</v>
      </c>
      <c r="H331" s="28">
        <f t="shared" si="112"/>
        <v>999</v>
      </c>
      <c r="I331" s="28"/>
      <c r="J331" s="34">
        <f>INDEX('Profit per cycles Model'!$I$149:$I$179, MATCH(TRUNC(E331, 0), 'Profit per cycles Model'!$H$149:$H$179, 0))</f>
        <v>0.47143965318038589</v>
      </c>
      <c r="K331" s="27">
        <f>AVERAGE($AB$10:AB331)</f>
        <v>0.42141056864392323</v>
      </c>
      <c r="L331" s="28">
        <f t="shared" si="113"/>
        <v>0.11085156243274313</v>
      </c>
      <c r="M331" s="28">
        <f t="shared" si="114"/>
        <v>0.11085156243274313</v>
      </c>
      <c r="N331" s="28">
        <f t="shared" si="115"/>
        <v>999</v>
      </c>
      <c r="O331" s="28"/>
      <c r="P331" s="29">
        <f t="shared" ref="P331:P394" si="131">P330+0.001</f>
        <v>0.32200000000000023</v>
      </c>
      <c r="Q331" s="33">
        <f t="shared" si="116"/>
        <v>6.7114093959731544</v>
      </c>
      <c r="R331" s="33">
        <f t="shared" si="117"/>
        <v>6.7114093959731544</v>
      </c>
      <c r="S331" s="33">
        <f t="shared" si="118"/>
        <v>-1</v>
      </c>
      <c r="T331" s="27"/>
      <c r="U331" s="28">
        <f t="shared" si="119"/>
        <v>0.10964912280701754</v>
      </c>
      <c r="V331" s="25">
        <f t="shared" si="120"/>
        <v>999</v>
      </c>
      <c r="W331" s="35">
        <f t="shared" ref="W331:W394" si="132">IF( AND(X331&gt;0, Y331&gt;0), IF(X331&lt;Y331, X331, Y331),  IF(X331&gt;0, X331, IF(Y331&gt;0, Y331, -1)) )</f>
        <v>25</v>
      </c>
      <c r="X331" s="33">
        <f t="shared" si="121"/>
        <v>25</v>
      </c>
      <c r="Y331" s="32">
        <f t="shared" si="122"/>
        <v>-1</v>
      </c>
      <c r="Z331" s="32"/>
      <c r="AA331" s="30">
        <f t="shared" si="123"/>
        <v>8.8207094918504314</v>
      </c>
      <c r="AB331" s="28">
        <f t="shared" si="124"/>
        <v>0.47143965318038589</v>
      </c>
      <c r="AC331" s="28">
        <f t="shared" si="125"/>
        <v>0.10964912280701754</v>
      </c>
      <c r="AD331" s="29">
        <f t="shared" si="126"/>
        <v>305.5028462998103</v>
      </c>
      <c r="AE331" s="28">
        <f t="shared" si="127"/>
        <v>0.10964912280701754</v>
      </c>
      <c r="AF331" s="28">
        <f t="shared" si="128"/>
        <v>0.36179053037336834</v>
      </c>
      <c r="AG331" s="28">
        <f t="shared" si="129"/>
        <v>0</v>
      </c>
      <c r="AI331" s="31">
        <f t="shared" si="130"/>
        <v>0.35694203103343292</v>
      </c>
      <c r="AJ331" s="25"/>
      <c r="AK331" s="31"/>
      <c r="AM331" s="27"/>
    </row>
    <row r="332" spans="4:39" x14ac:dyDescent="0.25">
      <c r="D332" s="25">
        <f>E332*'Profit per cycles Model'!$I$113</f>
        <v>3230</v>
      </c>
      <c r="E332" s="25">
        <v>8.8481029995890967</v>
      </c>
      <c r="F332" s="28">
        <f t="shared" si="111"/>
        <v>0.30959752321981426</v>
      </c>
      <c r="G332" s="28">
        <f>'Battery Pricing Model'!$C$17/D332</f>
        <v>0.30959752321981426</v>
      </c>
      <c r="H332" s="28">
        <f t="shared" si="112"/>
        <v>999</v>
      </c>
      <c r="I332" s="28"/>
      <c r="J332" s="34">
        <f>INDEX('Profit per cycles Model'!$I$149:$I$179, MATCH(TRUNC(E332, 0), 'Profit per cycles Model'!$H$149:$H$179, 0))</f>
        <v>0.47143965318038589</v>
      </c>
      <c r="K332" s="27">
        <f>AVERAGE($AB$10:AB332)</f>
        <v>0.4215654574505377</v>
      </c>
      <c r="L332" s="28">
        <f t="shared" si="113"/>
        <v>0.11196793423072343</v>
      </c>
      <c r="M332" s="28">
        <f t="shared" si="114"/>
        <v>0.11196793423072343</v>
      </c>
      <c r="N332" s="28">
        <f t="shared" si="115"/>
        <v>999</v>
      </c>
      <c r="O332" s="28"/>
      <c r="P332" s="29">
        <f t="shared" si="131"/>
        <v>0.32300000000000023</v>
      </c>
      <c r="Q332" s="33">
        <f t="shared" si="116"/>
        <v>6.7114093959731544</v>
      </c>
      <c r="R332" s="33">
        <f t="shared" si="117"/>
        <v>6.7114093959731544</v>
      </c>
      <c r="S332" s="33">
        <f t="shared" si="118"/>
        <v>-1</v>
      </c>
      <c r="T332" s="27"/>
      <c r="U332" s="28">
        <f t="shared" si="119"/>
        <v>0.10964912280701754</v>
      </c>
      <c r="V332" s="25">
        <f t="shared" si="120"/>
        <v>999</v>
      </c>
      <c r="W332" s="35">
        <f t="shared" si="132"/>
        <v>25</v>
      </c>
      <c r="X332" s="33">
        <f t="shared" si="121"/>
        <v>25</v>
      </c>
      <c r="Y332" s="32">
        <f t="shared" si="122"/>
        <v>-1</v>
      </c>
      <c r="Z332" s="32"/>
      <c r="AA332" s="30">
        <f t="shared" si="123"/>
        <v>8.8481029995890967</v>
      </c>
      <c r="AB332" s="28">
        <f t="shared" si="124"/>
        <v>0.47143965318038589</v>
      </c>
      <c r="AC332" s="28">
        <f t="shared" si="125"/>
        <v>0.10964912280701754</v>
      </c>
      <c r="AD332" s="29">
        <f t="shared" si="126"/>
        <v>306.45161290322579</v>
      </c>
      <c r="AE332" s="28">
        <f t="shared" si="127"/>
        <v>0.10964912280701754</v>
      </c>
      <c r="AF332" s="28">
        <f t="shared" si="128"/>
        <v>0.36179053037336834</v>
      </c>
      <c r="AG332" s="28">
        <f t="shared" si="129"/>
        <v>0</v>
      </c>
      <c r="AI332" s="31">
        <f t="shared" si="130"/>
        <v>0.36165642756523664</v>
      </c>
      <c r="AJ332" s="25"/>
      <c r="AK332" s="31"/>
      <c r="AM332" s="27"/>
    </row>
    <row r="333" spans="4:39" x14ac:dyDescent="0.25">
      <c r="D333" s="25">
        <f>E333*'Profit per cycles Model'!$I$113</f>
        <v>3240.0000000000005</v>
      </c>
      <c r="E333" s="25">
        <v>8.8754965073277639</v>
      </c>
      <c r="F333" s="28">
        <f t="shared" si="111"/>
        <v>0.30864197530864196</v>
      </c>
      <c r="G333" s="28">
        <f>'Battery Pricing Model'!$C$17/D333</f>
        <v>0.30864197530864196</v>
      </c>
      <c r="H333" s="28">
        <f t="shared" si="112"/>
        <v>999</v>
      </c>
      <c r="I333" s="28"/>
      <c r="J333" s="34">
        <f>INDEX('Profit per cycles Model'!$I$149:$I$179, MATCH(TRUNC(E333, 0), 'Profit per cycles Model'!$H$149:$H$179, 0))</f>
        <v>0.47143965318038589</v>
      </c>
      <c r="K333" s="27">
        <f>AVERAGE($AB$10:AB333)</f>
        <v>0.42171939015340765</v>
      </c>
      <c r="L333" s="28">
        <f t="shared" si="113"/>
        <v>0.11307741484476569</v>
      </c>
      <c r="M333" s="28">
        <f t="shared" si="114"/>
        <v>0.11307741484476569</v>
      </c>
      <c r="N333" s="28">
        <f t="shared" si="115"/>
        <v>999</v>
      </c>
      <c r="O333" s="28"/>
      <c r="P333" s="29">
        <f t="shared" si="131"/>
        <v>0.32400000000000023</v>
      </c>
      <c r="Q333" s="33">
        <f t="shared" si="116"/>
        <v>6.7114093959731544</v>
      </c>
      <c r="R333" s="33">
        <f t="shared" si="117"/>
        <v>6.7114093959731544</v>
      </c>
      <c r="S333" s="33">
        <f t="shared" si="118"/>
        <v>-1</v>
      </c>
      <c r="T333" s="27"/>
      <c r="U333" s="28">
        <f t="shared" si="119"/>
        <v>0.10964912280701754</v>
      </c>
      <c r="V333" s="25">
        <f t="shared" si="120"/>
        <v>999</v>
      </c>
      <c r="W333" s="35">
        <f t="shared" si="132"/>
        <v>25</v>
      </c>
      <c r="X333" s="33">
        <f t="shared" si="121"/>
        <v>25</v>
      </c>
      <c r="Y333" s="32">
        <f t="shared" si="122"/>
        <v>-1</v>
      </c>
      <c r="Z333" s="32"/>
      <c r="AA333" s="30">
        <f t="shared" si="123"/>
        <v>8.8754965073277639</v>
      </c>
      <c r="AB333" s="28">
        <f t="shared" si="124"/>
        <v>0.47143965318038589</v>
      </c>
      <c r="AC333" s="28">
        <f t="shared" si="125"/>
        <v>0.10964912280701754</v>
      </c>
      <c r="AD333" s="29">
        <f t="shared" si="126"/>
        <v>307.4003795066414</v>
      </c>
      <c r="AE333" s="28">
        <f t="shared" si="127"/>
        <v>0.10964912280701754</v>
      </c>
      <c r="AF333" s="28">
        <f t="shared" si="128"/>
        <v>0.36179053037336834</v>
      </c>
      <c r="AG333" s="28">
        <f t="shared" si="129"/>
        <v>0</v>
      </c>
      <c r="AI333" s="31">
        <f t="shared" si="130"/>
        <v>0.36637082409704086</v>
      </c>
      <c r="AJ333" s="25"/>
      <c r="AK333" s="31"/>
      <c r="AM333" s="27"/>
    </row>
    <row r="334" spans="4:39" x14ac:dyDescent="0.25">
      <c r="D334" s="25">
        <f>E334*'Profit per cycles Model'!$I$113</f>
        <v>3250</v>
      </c>
      <c r="E334" s="25">
        <v>8.9028900150664292</v>
      </c>
      <c r="F334" s="28">
        <f t="shared" si="111"/>
        <v>0.30769230769230771</v>
      </c>
      <c r="G334" s="28">
        <f>'Battery Pricing Model'!$C$17/D334</f>
        <v>0.30769230769230771</v>
      </c>
      <c r="H334" s="28">
        <f t="shared" si="112"/>
        <v>999</v>
      </c>
      <c r="I334" s="28"/>
      <c r="J334" s="34">
        <f>INDEX('Profit per cycles Model'!$I$149:$I$179, MATCH(TRUNC(E334, 0), 'Profit per cycles Model'!$H$149:$H$179, 0))</f>
        <v>0.47143965318038589</v>
      </c>
      <c r="K334" s="27">
        <f>AVERAGE($AB$10:AB334)</f>
        <v>0.42187237557810608</v>
      </c>
      <c r="L334" s="28">
        <f t="shared" si="113"/>
        <v>0.11418006788579838</v>
      </c>
      <c r="M334" s="28">
        <f t="shared" si="114"/>
        <v>0.11418006788579838</v>
      </c>
      <c r="N334" s="28">
        <f t="shared" si="115"/>
        <v>999</v>
      </c>
      <c r="O334" s="28"/>
      <c r="P334" s="29">
        <f t="shared" si="131"/>
        <v>0.32500000000000023</v>
      </c>
      <c r="Q334" s="33">
        <f t="shared" si="116"/>
        <v>6.7114093959731544</v>
      </c>
      <c r="R334" s="33">
        <f t="shared" si="117"/>
        <v>6.7114093959731544</v>
      </c>
      <c r="S334" s="33">
        <f t="shared" si="118"/>
        <v>-1</v>
      </c>
      <c r="T334" s="27"/>
      <c r="U334" s="28">
        <f t="shared" si="119"/>
        <v>0.10964912280701754</v>
      </c>
      <c r="V334" s="25">
        <f t="shared" si="120"/>
        <v>999</v>
      </c>
      <c r="W334" s="35">
        <f t="shared" si="132"/>
        <v>25</v>
      </c>
      <c r="X334" s="33">
        <f t="shared" si="121"/>
        <v>25</v>
      </c>
      <c r="Y334" s="32">
        <f t="shared" si="122"/>
        <v>-1</v>
      </c>
      <c r="Z334" s="32"/>
      <c r="AA334" s="30">
        <f t="shared" si="123"/>
        <v>8.9028900150664292</v>
      </c>
      <c r="AB334" s="28">
        <f t="shared" si="124"/>
        <v>0.47143965318038589</v>
      </c>
      <c r="AC334" s="28">
        <f t="shared" si="125"/>
        <v>0.10964912280701754</v>
      </c>
      <c r="AD334" s="29">
        <f t="shared" si="126"/>
        <v>308.34914611005689</v>
      </c>
      <c r="AE334" s="28">
        <f t="shared" si="127"/>
        <v>0.10964912280701754</v>
      </c>
      <c r="AF334" s="28">
        <f t="shared" si="128"/>
        <v>0.36179053037336834</v>
      </c>
      <c r="AG334" s="28">
        <f t="shared" si="129"/>
        <v>0</v>
      </c>
      <c r="AI334" s="31">
        <f t="shared" si="130"/>
        <v>0.37108522062884469</v>
      </c>
      <c r="AJ334" s="25"/>
      <c r="AK334" s="31"/>
      <c r="AM334" s="27"/>
    </row>
    <row r="335" spans="4:39" x14ac:dyDescent="0.25">
      <c r="D335" s="25">
        <f>E335*'Profit per cycles Model'!$I$113</f>
        <v>3260</v>
      </c>
      <c r="E335" s="25">
        <v>8.9302835228050945</v>
      </c>
      <c r="F335" s="28">
        <f t="shared" si="111"/>
        <v>0.30674846625766872</v>
      </c>
      <c r="G335" s="28">
        <f>'Battery Pricing Model'!$C$17/D335</f>
        <v>0.30674846625766872</v>
      </c>
      <c r="H335" s="28">
        <f t="shared" si="112"/>
        <v>999</v>
      </c>
      <c r="I335" s="28"/>
      <c r="J335" s="34">
        <f>INDEX('Profit per cycles Model'!$I$149:$I$179, MATCH(TRUNC(E335, 0), 'Profit per cycles Model'!$H$149:$H$179, 0))</f>
        <v>0.47143965318038589</v>
      </c>
      <c r="K335" s="27">
        <f>AVERAGE($AB$10:AB335)</f>
        <v>0.42202442244191679</v>
      </c>
      <c r="L335" s="28">
        <f t="shared" si="113"/>
        <v>0.11527595618424807</v>
      </c>
      <c r="M335" s="28">
        <f t="shared" si="114"/>
        <v>0.11527595618424807</v>
      </c>
      <c r="N335" s="28">
        <f t="shared" si="115"/>
        <v>999</v>
      </c>
      <c r="O335" s="28"/>
      <c r="P335" s="29">
        <f t="shared" si="131"/>
        <v>0.32600000000000023</v>
      </c>
      <c r="Q335" s="33">
        <f t="shared" si="116"/>
        <v>6.7114093959731544</v>
      </c>
      <c r="R335" s="33">
        <f t="shared" si="117"/>
        <v>6.7114093959731544</v>
      </c>
      <c r="S335" s="33">
        <f t="shared" si="118"/>
        <v>-1</v>
      </c>
      <c r="T335" s="27"/>
      <c r="U335" s="28">
        <f t="shared" si="119"/>
        <v>0.10964912280701754</v>
      </c>
      <c r="V335" s="25">
        <f t="shared" si="120"/>
        <v>999</v>
      </c>
      <c r="W335" s="35">
        <f t="shared" si="132"/>
        <v>25</v>
      </c>
      <c r="X335" s="33">
        <f t="shared" si="121"/>
        <v>25</v>
      </c>
      <c r="Y335" s="32">
        <f t="shared" si="122"/>
        <v>-1</v>
      </c>
      <c r="Z335" s="32"/>
      <c r="AA335" s="30">
        <f t="shared" si="123"/>
        <v>8.9302835228050945</v>
      </c>
      <c r="AB335" s="28">
        <f t="shared" si="124"/>
        <v>0.47143965318038589</v>
      </c>
      <c r="AC335" s="28">
        <f t="shared" si="125"/>
        <v>0.10964912280701754</v>
      </c>
      <c r="AD335" s="29">
        <f t="shared" si="126"/>
        <v>309.2979127134725</v>
      </c>
      <c r="AE335" s="28">
        <f t="shared" si="127"/>
        <v>0.10964912280701754</v>
      </c>
      <c r="AF335" s="28">
        <f t="shared" si="128"/>
        <v>0.36179053037336834</v>
      </c>
      <c r="AG335" s="28">
        <f t="shared" si="129"/>
        <v>0</v>
      </c>
      <c r="AI335" s="31">
        <f t="shared" si="130"/>
        <v>0.37579961716064869</v>
      </c>
      <c r="AJ335" s="25"/>
      <c r="AK335" s="31"/>
      <c r="AM335" s="27"/>
    </row>
    <row r="336" spans="4:39" x14ac:dyDescent="0.25">
      <c r="D336" s="25">
        <f>E336*'Profit per cycles Model'!$I$113</f>
        <v>3270.0000000000005</v>
      </c>
      <c r="E336" s="25">
        <v>8.9576770305437616</v>
      </c>
      <c r="F336" s="28">
        <f t="shared" si="111"/>
        <v>0.3058103975535168</v>
      </c>
      <c r="G336" s="28">
        <f>'Battery Pricing Model'!$C$17/D336</f>
        <v>0.3058103975535168</v>
      </c>
      <c r="H336" s="28">
        <f t="shared" si="112"/>
        <v>999</v>
      </c>
      <c r="I336" s="28"/>
      <c r="J336" s="34">
        <f>INDEX('Profit per cycles Model'!$I$149:$I$179, MATCH(TRUNC(E336, 0), 'Profit per cycles Model'!$H$149:$H$179, 0))</f>
        <v>0.47143965318038589</v>
      </c>
      <c r="K336" s="27">
        <f>AVERAGE($AB$10:AB336)</f>
        <v>0.42217553935549013</v>
      </c>
      <c r="L336" s="28">
        <f t="shared" si="113"/>
        <v>0.11636514180197333</v>
      </c>
      <c r="M336" s="28">
        <f t="shared" si="114"/>
        <v>0.11636514180197333</v>
      </c>
      <c r="N336" s="28">
        <f t="shared" si="115"/>
        <v>999</v>
      </c>
      <c r="O336" s="28"/>
      <c r="P336" s="29">
        <f t="shared" si="131"/>
        <v>0.32700000000000023</v>
      </c>
      <c r="Q336" s="33">
        <f t="shared" si="116"/>
        <v>6.7114093959731544</v>
      </c>
      <c r="R336" s="33">
        <f t="shared" si="117"/>
        <v>6.7114093959731544</v>
      </c>
      <c r="S336" s="33">
        <f t="shared" si="118"/>
        <v>-1</v>
      </c>
      <c r="T336" s="27"/>
      <c r="U336" s="28">
        <f t="shared" si="119"/>
        <v>0.10964912280701754</v>
      </c>
      <c r="V336" s="25">
        <f t="shared" si="120"/>
        <v>999</v>
      </c>
      <c r="W336" s="35">
        <f t="shared" si="132"/>
        <v>25</v>
      </c>
      <c r="X336" s="33">
        <f t="shared" si="121"/>
        <v>25</v>
      </c>
      <c r="Y336" s="32">
        <f t="shared" si="122"/>
        <v>-1</v>
      </c>
      <c r="Z336" s="32"/>
      <c r="AA336" s="30">
        <f t="shared" si="123"/>
        <v>8.9576770305437616</v>
      </c>
      <c r="AB336" s="28">
        <f t="shared" si="124"/>
        <v>0.47143965318038589</v>
      </c>
      <c r="AC336" s="28">
        <f t="shared" si="125"/>
        <v>0.10964912280701754</v>
      </c>
      <c r="AD336" s="29">
        <f t="shared" si="126"/>
        <v>310.24667931688811</v>
      </c>
      <c r="AE336" s="28">
        <f t="shared" si="127"/>
        <v>0.10964912280701754</v>
      </c>
      <c r="AF336" s="28">
        <f t="shared" si="128"/>
        <v>0.36179053037336834</v>
      </c>
      <c r="AG336" s="28">
        <f t="shared" si="129"/>
        <v>0</v>
      </c>
      <c r="AI336" s="31">
        <f t="shared" si="130"/>
        <v>0.3805140136924528</v>
      </c>
      <c r="AJ336" s="25"/>
      <c r="AK336" s="31"/>
      <c r="AM336" s="27"/>
    </row>
    <row r="337" spans="4:39" x14ac:dyDescent="0.25">
      <c r="D337" s="25">
        <f>E337*'Profit per cycles Model'!$I$113</f>
        <v>3280</v>
      </c>
      <c r="E337" s="25">
        <v>8.985070538282427</v>
      </c>
      <c r="F337" s="28">
        <f t="shared" si="111"/>
        <v>0.3048780487804878</v>
      </c>
      <c r="G337" s="28">
        <f>'Battery Pricing Model'!$C$17/D337</f>
        <v>0.3048780487804878</v>
      </c>
      <c r="H337" s="28">
        <f t="shared" si="112"/>
        <v>999</v>
      </c>
      <c r="I337" s="28"/>
      <c r="J337" s="34">
        <f>INDEX('Profit per cycles Model'!$I$149:$I$179, MATCH(TRUNC(E337, 0), 'Profit per cycles Model'!$H$149:$H$179, 0))</f>
        <v>0.47143965318038589</v>
      </c>
      <c r="K337" s="27">
        <f>AVERAGE($AB$10:AB337)</f>
        <v>0.4223257348244685</v>
      </c>
      <c r="L337" s="28">
        <f t="shared" si="113"/>
        <v>0.1174476860439807</v>
      </c>
      <c r="M337" s="28">
        <f t="shared" si="114"/>
        <v>0.1174476860439807</v>
      </c>
      <c r="N337" s="28">
        <f t="shared" si="115"/>
        <v>999</v>
      </c>
      <c r="O337" s="28"/>
      <c r="P337" s="29">
        <f t="shared" si="131"/>
        <v>0.32800000000000024</v>
      </c>
      <c r="Q337" s="33">
        <f t="shared" si="116"/>
        <v>6.7114093959731544</v>
      </c>
      <c r="R337" s="33">
        <f t="shared" si="117"/>
        <v>6.7114093959731544</v>
      </c>
      <c r="S337" s="33">
        <f t="shared" si="118"/>
        <v>-1</v>
      </c>
      <c r="T337" s="27"/>
      <c r="U337" s="28">
        <f t="shared" si="119"/>
        <v>0.10964912280701754</v>
      </c>
      <c r="V337" s="25">
        <f t="shared" si="120"/>
        <v>999</v>
      </c>
      <c r="W337" s="35">
        <f t="shared" si="132"/>
        <v>25</v>
      </c>
      <c r="X337" s="33">
        <f t="shared" si="121"/>
        <v>25</v>
      </c>
      <c r="Y337" s="32">
        <f t="shared" si="122"/>
        <v>-1</v>
      </c>
      <c r="Z337" s="32"/>
      <c r="AA337" s="30">
        <f t="shared" si="123"/>
        <v>8.985070538282427</v>
      </c>
      <c r="AB337" s="28">
        <f t="shared" si="124"/>
        <v>0.47143965318038589</v>
      </c>
      <c r="AC337" s="28">
        <f t="shared" si="125"/>
        <v>0.10964912280701754</v>
      </c>
      <c r="AD337" s="29">
        <f t="shared" si="126"/>
        <v>311.1954459203036</v>
      </c>
      <c r="AE337" s="28">
        <f t="shared" si="127"/>
        <v>0.10964912280701754</v>
      </c>
      <c r="AF337" s="28">
        <f t="shared" si="128"/>
        <v>0.36179053037336834</v>
      </c>
      <c r="AG337" s="28">
        <f t="shared" si="129"/>
        <v>0</v>
      </c>
      <c r="AI337" s="31">
        <f t="shared" si="130"/>
        <v>0.38522841022425669</v>
      </c>
      <c r="AJ337" s="25"/>
      <c r="AK337" s="31"/>
      <c r="AM337" s="27"/>
    </row>
    <row r="338" spans="4:39" x14ac:dyDescent="0.25">
      <c r="D338" s="25">
        <f>E338*'Profit per cycles Model'!$I$113</f>
        <v>3290</v>
      </c>
      <c r="E338" s="25">
        <v>9.0124640460210923</v>
      </c>
      <c r="F338" s="28">
        <f t="shared" si="111"/>
        <v>0.303951367781155</v>
      </c>
      <c r="G338" s="28">
        <f>'Battery Pricing Model'!$C$17/D338</f>
        <v>0.303951367781155</v>
      </c>
      <c r="H338" s="28">
        <f t="shared" si="112"/>
        <v>999</v>
      </c>
      <c r="I338" s="28"/>
      <c r="J338" s="34">
        <f>INDEX('Profit per cycles Model'!$I$149:$I$179, MATCH(TRUNC(E338, 0), 'Profit per cycles Model'!$H$149:$H$179, 0))</f>
        <v>0.48475505627460136</v>
      </c>
      <c r="K338" s="27">
        <f>AVERAGE($AB$10:AB338)</f>
        <v>0.42251548960091262</v>
      </c>
      <c r="L338" s="28">
        <f t="shared" si="113"/>
        <v>0.11856412181975762</v>
      </c>
      <c r="M338" s="28">
        <f t="shared" si="114"/>
        <v>0.11856412181975762</v>
      </c>
      <c r="N338" s="28">
        <f t="shared" si="115"/>
        <v>999</v>
      </c>
      <c r="O338" s="28"/>
      <c r="P338" s="29">
        <f t="shared" si="131"/>
        <v>0.32900000000000024</v>
      </c>
      <c r="Q338" s="33">
        <f t="shared" si="116"/>
        <v>6.7114093959731544</v>
      </c>
      <c r="R338" s="33">
        <f t="shared" si="117"/>
        <v>6.7114093959731544</v>
      </c>
      <c r="S338" s="33">
        <f t="shared" si="118"/>
        <v>-1</v>
      </c>
      <c r="T338" s="27"/>
      <c r="U338" s="28">
        <f t="shared" si="119"/>
        <v>0.10964912280701754</v>
      </c>
      <c r="V338" s="25">
        <f t="shared" si="120"/>
        <v>999</v>
      </c>
      <c r="W338" s="35">
        <f t="shared" si="132"/>
        <v>25</v>
      </c>
      <c r="X338" s="33">
        <f t="shared" si="121"/>
        <v>25</v>
      </c>
      <c r="Y338" s="32">
        <f t="shared" si="122"/>
        <v>-1</v>
      </c>
      <c r="Z338" s="32"/>
      <c r="AA338" s="30">
        <f t="shared" si="123"/>
        <v>9.0124640460210923</v>
      </c>
      <c r="AB338" s="28">
        <f t="shared" si="124"/>
        <v>0.48475505627460136</v>
      </c>
      <c r="AC338" s="28">
        <f t="shared" si="125"/>
        <v>0.10964912280701754</v>
      </c>
      <c r="AD338" s="29">
        <f t="shared" si="126"/>
        <v>312.14421252371915</v>
      </c>
      <c r="AE338" s="28">
        <f t="shared" si="127"/>
        <v>0.10964912280701754</v>
      </c>
      <c r="AF338" s="28">
        <f t="shared" si="128"/>
        <v>0.37510593346758381</v>
      </c>
      <c r="AG338" s="28">
        <f t="shared" si="129"/>
        <v>0</v>
      </c>
      <c r="AI338" s="31">
        <f t="shared" si="130"/>
        <v>0.39007596078700257</v>
      </c>
      <c r="AJ338" s="25"/>
      <c r="AK338" s="31"/>
      <c r="AM338" s="27"/>
    </row>
    <row r="339" spans="4:39" x14ac:dyDescent="0.25">
      <c r="D339" s="25">
        <f>E339*'Profit per cycles Model'!$I$113</f>
        <v>3300.0000000000005</v>
      </c>
      <c r="E339" s="25">
        <v>9.0398575537597594</v>
      </c>
      <c r="F339" s="28">
        <f t="shared" si="111"/>
        <v>0.30303030303030298</v>
      </c>
      <c r="G339" s="28">
        <f>'Battery Pricing Model'!$C$17/D339</f>
        <v>0.30303030303030298</v>
      </c>
      <c r="H339" s="28">
        <f t="shared" si="112"/>
        <v>999</v>
      </c>
      <c r="I339" s="28"/>
      <c r="J339" s="34">
        <f>INDEX('Profit per cycles Model'!$I$149:$I$179, MATCH(TRUNC(E339, 0), 'Profit per cycles Model'!$H$149:$H$179, 0))</f>
        <v>0.48475505627460136</v>
      </c>
      <c r="K339" s="27">
        <f>AVERAGE($AB$10:AB339)</f>
        <v>0.42270409434840867</v>
      </c>
      <c r="L339" s="28">
        <f t="shared" si="113"/>
        <v>0.11967379131810568</v>
      </c>
      <c r="M339" s="28">
        <f t="shared" si="114"/>
        <v>0.11967379131810568</v>
      </c>
      <c r="N339" s="28">
        <f t="shared" si="115"/>
        <v>999</v>
      </c>
      <c r="O339" s="28"/>
      <c r="P339" s="29">
        <f t="shared" si="131"/>
        <v>0.33000000000000024</v>
      </c>
      <c r="Q339" s="33">
        <f t="shared" si="116"/>
        <v>6.7114093959731544</v>
      </c>
      <c r="R339" s="33">
        <f t="shared" si="117"/>
        <v>6.7114093959731544</v>
      </c>
      <c r="S339" s="33">
        <f t="shared" si="118"/>
        <v>-1</v>
      </c>
      <c r="T339" s="27"/>
      <c r="U339" s="28">
        <f t="shared" si="119"/>
        <v>0.10964912280701754</v>
      </c>
      <c r="V339" s="25">
        <f t="shared" si="120"/>
        <v>999</v>
      </c>
      <c r="W339" s="35">
        <f t="shared" si="132"/>
        <v>25</v>
      </c>
      <c r="X339" s="33">
        <f t="shared" si="121"/>
        <v>25</v>
      </c>
      <c r="Y339" s="32">
        <f t="shared" si="122"/>
        <v>-1</v>
      </c>
      <c r="Z339" s="32"/>
      <c r="AA339" s="30">
        <f t="shared" si="123"/>
        <v>9.0398575537597594</v>
      </c>
      <c r="AB339" s="28">
        <f t="shared" si="124"/>
        <v>0.48475505627460136</v>
      </c>
      <c r="AC339" s="28">
        <f t="shared" si="125"/>
        <v>0.10964912280701754</v>
      </c>
      <c r="AD339" s="29">
        <f t="shared" si="126"/>
        <v>313.09297912713475</v>
      </c>
      <c r="AE339" s="28">
        <f t="shared" si="127"/>
        <v>0.10964912280701754</v>
      </c>
      <c r="AF339" s="28">
        <f t="shared" si="128"/>
        <v>0.37510593346758381</v>
      </c>
      <c r="AG339" s="28">
        <f t="shared" si="129"/>
        <v>0</v>
      </c>
      <c r="AI339" s="31">
        <f t="shared" si="130"/>
        <v>0.39492351134974879</v>
      </c>
      <c r="AJ339" s="25"/>
      <c r="AK339" s="31"/>
      <c r="AM339" s="27"/>
    </row>
    <row r="340" spans="4:39" x14ac:dyDescent="0.25">
      <c r="D340" s="25">
        <f>E340*'Profit per cycles Model'!$I$113</f>
        <v>3310</v>
      </c>
      <c r="E340" s="25">
        <v>9.0672510614984247</v>
      </c>
      <c r="F340" s="28">
        <f t="shared" si="111"/>
        <v>0.30211480362537763</v>
      </c>
      <c r="G340" s="28">
        <f>'Battery Pricing Model'!$C$17/D340</f>
        <v>0.30211480362537763</v>
      </c>
      <c r="H340" s="28">
        <f t="shared" si="112"/>
        <v>999</v>
      </c>
      <c r="I340" s="28"/>
      <c r="J340" s="34">
        <f>INDEX('Profit per cycles Model'!$I$149:$I$179, MATCH(TRUNC(E340, 0), 'Profit per cycles Model'!$H$149:$H$179, 0))</f>
        <v>0.48475505627460136</v>
      </c>
      <c r="K340" s="27">
        <f>AVERAGE($AB$10:AB340)</f>
        <v>0.42289155949017959</v>
      </c>
      <c r="L340" s="28">
        <f t="shared" si="113"/>
        <v>0.12077675586480197</v>
      </c>
      <c r="M340" s="28">
        <f t="shared" si="114"/>
        <v>0.12077675586480197</v>
      </c>
      <c r="N340" s="28">
        <f t="shared" si="115"/>
        <v>999</v>
      </c>
      <c r="O340" s="28"/>
      <c r="P340" s="29">
        <f t="shared" si="131"/>
        <v>0.33100000000000024</v>
      </c>
      <c r="Q340" s="33">
        <f t="shared" si="116"/>
        <v>6.7114093959731544</v>
      </c>
      <c r="R340" s="33">
        <f t="shared" si="117"/>
        <v>6.7114093959731544</v>
      </c>
      <c r="S340" s="33">
        <f t="shared" si="118"/>
        <v>-1</v>
      </c>
      <c r="T340" s="27"/>
      <c r="U340" s="28">
        <f t="shared" si="119"/>
        <v>0.10964912280701754</v>
      </c>
      <c r="V340" s="25">
        <f t="shared" si="120"/>
        <v>999</v>
      </c>
      <c r="W340" s="35">
        <f t="shared" si="132"/>
        <v>25</v>
      </c>
      <c r="X340" s="33">
        <f t="shared" si="121"/>
        <v>25</v>
      </c>
      <c r="Y340" s="32">
        <f t="shared" si="122"/>
        <v>-1</v>
      </c>
      <c r="Z340" s="32"/>
      <c r="AA340" s="30">
        <f t="shared" si="123"/>
        <v>9.0672510614984247</v>
      </c>
      <c r="AB340" s="28">
        <f t="shared" si="124"/>
        <v>0.48475505627460136</v>
      </c>
      <c r="AC340" s="28">
        <f t="shared" si="125"/>
        <v>0.10964912280701754</v>
      </c>
      <c r="AD340" s="29">
        <f t="shared" si="126"/>
        <v>314.04174573055025</v>
      </c>
      <c r="AE340" s="28">
        <f t="shared" si="127"/>
        <v>0.10964912280701754</v>
      </c>
      <c r="AF340" s="28">
        <f t="shared" si="128"/>
        <v>0.37510593346758381</v>
      </c>
      <c r="AG340" s="28">
        <f t="shared" si="129"/>
        <v>0</v>
      </c>
      <c r="AI340" s="31">
        <f t="shared" si="130"/>
        <v>0.39977106191249451</v>
      </c>
      <c r="AJ340" s="25"/>
      <c r="AK340" s="31"/>
      <c r="AM340" s="27"/>
    </row>
    <row r="341" spans="4:39" x14ac:dyDescent="0.25">
      <c r="D341" s="25">
        <f>E341*'Profit per cycles Model'!$I$113</f>
        <v>3320</v>
      </c>
      <c r="E341" s="25">
        <v>9.0946445692370901</v>
      </c>
      <c r="F341" s="28">
        <f t="shared" si="111"/>
        <v>0.30120481927710846</v>
      </c>
      <c r="G341" s="28">
        <f>'Battery Pricing Model'!$C$17/D341</f>
        <v>0.30120481927710846</v>
      </c>
      <c r="H341" s="28">
        <f t="shared" si="112"/>
        <v>999</v>
      </c>
      <c r="I341" s="28"/>
      <c r="J341" s="34">
        <f>INDEX('Profit per cycles Model'!$I$149:$I$179, MATCH(TRUNC(E341, 0), 'Profit per cycles Model'!$H$149:$H$179, 0))</f>
        <v>0.48475505627460136</v>
      </c>
      <c r="K341" s="27">
        <f>AVERAGE($AB$10:AB341)</f>
        <v>0.42307789532386758</v>
      </c>
      <c r="L341" s="28">
        <f t="shared" si="113"/>
        <v>0.12187307604675912</v>
      </c>
      <c r="M341" s="28">
        <f t="shared" si="114"/>
        <v>0.12187307604675912</v>
      </c>
      <c r="N341" s="28">
        <f t="shared" si="115"/>
        <v>999</v>
      </c>
      <c r="O341" s="28"/>
      <c r="P341" s="29">
        <f t="shared" si="131"/>
        <v>0.33200000000000024</v>
      </c>
      <c r="Q341" s="33">
        <f t="shared" si="116"/>
        <v>6.7114093959731544</v>
      </c>
      <c r="R341" s="33">
        <f t="shared" si="117"/>
        <v>6.7114093959731544</v>
      </c>
      <c r="S341" s="33">
        <f t="shared" si="118"/>
        <v>-1</v>
      </c>
      <c r="T341" s="27"/>
      <c r="U341" s="28">
        <f t="shared" si="119"/>
        <v>0.10964912280701754</v>
      </c>
      <c r="V341" s="25">
        <f t="shared" si="120"/>
        <v>999</v>
      </c>
      <c r="W341" s="35">
        <f t="shared" si="132"/>
        <v>25</v>
      </c>
      <c r="X341" s="33">
        <f t="shared" si="121"/>
        <v>25</v>
      </c>
      <c r="Y341" s="32">
        <f t="shared" si="122"/>
        <v>-1</v>
      </c>
      <c r="Z341" s="32"/>
      <c r="AA341" s="30">
        <f t="shared" si="123"/>
        <v>9.0946445692370901</v>
      </c>
      <c r="AB341" s="28">
        <f t="shared" si="124"/>
        <v>0.48475505627460136</v>
      </c>
      <c r="AC341" s="28">
        <f t="shared" si="125"/>
        <v>0.10964912280701754</v>
      </c>
      <c r="AD341" s="29">
        <f t="shared" si="126"/>
        <v>314.99051233396585</v>
      </c>
      <c r="AE341" s="28">
        <f t="shared" si="127"/>
        <v>0.10964912280701754</v>
      </c>
      <c r="AF341" s="28">
        <f t="shared" si="128"/>
        <v>0.37510593346758381</v>
      </c>
      <c r="AG341" s="28">
        <f t="shared" si="129"/>
        <v>0</v>
      </c>
      <c r="AI341" s="31">
        <f t="shared" si="130"/>
        <v>0.40461861247524022</v>
      </c>
      <c r="AJ341" s="25"/>
      <c r="AK341" s="31"/>
      <c r="AM341" s="27"/>
    </row>
    <row r="342" spans="4:39" x14ac:dyDescent="0.25">
      <c r="D342" s="25">
        <f>E342*'Profit per cycles Model'!$I$113</f>
        <v>3330.0000000000005</v>
      </c>
      <c r="E342" s="25">
        <v>9.1220380769757572</v>
      </c>
      <c r="F342" s="28">
        <f t="shared" si="111"/>
        <v>0.30030030030030025</v>
      </c>
      <c r="G342" s="28">
        <f>'Battery Pricing Model'!$C$17/D342</f>
        <v>0.30030030030030025</v>
      </c>
      <c r="H342" s="28">
        <f t="shared" si="112"/>
        <v>999</v>
      </c>
      <c r="I342" s="28"/>
      <c r="J342" s="34">
        <f>INDEX('Profit per cycles Model'!$I$149:$I$179, MATCH(TRUNC(E342, 0), 'Profit per cycles Model'!$H$149:$H$179, 0))</f>
        <v>0.48475505627460136</v>
      </c>
      <c r="K342" s="27">
        <f>AVERAGE($AB$10:AB342)</f>
        <v>0.42326311202341932</v>
      </c>
      <c r="L342" s="28">
        <f t="shared" si="113"/>
        <v>0.12296281172311907</v>
      </c>
      <c r="M342" s="28">
        <f t="shared" si="114"/>
        <v>0.12296281172311907</v>
      </c>
      <c r="N342" s="28">
        <f t="shared" si="115"/>
        <v>999</v>
      </c>
      <c r="O342" s="28"/>
      <c r="P342" s="29">
        <f t="shared" si="131"/>
        <v>0.33300000000000024</v>
      </c>
      <c r="Q342" s="33">
        <f t="shared" si="116"/>
        <v>6.7114093959731544</v>
      </c>
      <c r="R342" s="33">
        <f t="shared" si="117"/>
        <v>6.7114093959731544</v>
      </c>
      <c r="S342" s="33">
        <f t="shared" si="118"/>
        <v>-1</v>
      </c>
      <c r="T342" s="27"/>
      <c r="U342" s="28">
        <f t="shared" si="119"/>
        <v>0.10964912280701754</v>
      </c>
      <c r="V342" s="25">
        <f t="shared" si="120"/>
        <v>999</v>
      </c>
      <c r="W342" s="35">
        <f t="shared" si="132"/>
        <v>25</v>
      </c>
      <c r="X342" s="33">
        <f t="shared" si="121"/>
        <v>25</v>
      </c>
      <c r="Y342" s="32">
        <f t="shared" si="122"/>
        <v>-1</v>
      </c>
      <c r="Z342" s="32"/>
      <c r="AA342" s="30">
        <f t="shared" si="123"/>
        <v>9.1220380769757572</v>
      </c>
      <c r="AB342" s="28">
        <f t="shared" si="124"/>
        <v>0.48475505627460136</v>
      </c>
      <c r="AC342" s="28">
        <f t="shared" si="125"/>
        <v>0.10964912280701754</v>
      </c>
      <c r="AD342" s="29">
        <f t="shared" si="126"/>
        <v>315.93927893738146</v>
      </c>
      <c r="AE342" s="28">
        <f t="shared" si="127"/>
        <v>0.10964912280701754</v>
      </c>
      <c r="AF342" s="28">
        <f t="shared" si="128"/>
        <v>0.37510593346758381</v>
      </c>
      <c r="AG342" s="28">
        <f t="shared" si="129"/>
        <v>0</v>
      </c>
      <c r="AI342" s="31">
        <f t="shared" si="130"/>
        <v>0.40946616303798655</v>
      </c>
      <c r="AJ342" s="25"/>
      <c r="AK342" s="31"/>
      <c r="AM342" s="27"/>
    </row>
    <row r="343" spans="4:39" x14ac:dyDescent="0.25">
      <c r="D343" s="25">
        <f>E343*'Profit per cycles Model'!$I$113</f>
        <v>3340</v>
      </c>
      <c r="E343" s="25">
        <v>9.1494315847144225</v>
      </c>
      <c r="F343" s="28">
        <f t="shared" si="111"/>
        <v>0.29940119760479039</v>
      </c>
      <c r="G343" s="28">
        <f>'Battery Pricing Model'!$C$17/D343</f>
        <v>0.29940119760479039</v>
      </c>
      <c r="H343" s="28">
        <f t="shared" si="112"/>
        <v>999</v>
      </c>
      <c r="I343" s="28"/>
      <c r="J343" s="34">
        <f>INDEX('Profit per cycles Model'!$I$149:$I$179, MATCH(TRUNC(E343, 0), 'Profit per cycles Model'!$H$149:$H$179, 0))</f>
        <v>0.48475505627460136</v>
      </c>
      <c r="K343" s="27">
        <f>AVERAGE($AB$10:AB343)</f>
        <v>0.42344721964093779</v>
      </c>
      <c r="L343" s="28">
        <f t="shared" si="113"/>
        <v>0.1240460220361474</v>
      </c>
      <c r="M343" s="28">
        <f t="shared" si="114"/>
        <v>0.1240460220361474</v>
      </c>
      <c r="N343" s="28">
        <f t="shared" si="115"/>
        <v>999</v>
      </c>
      <c r="O343" s="28"/>
      <c r="P343" s="29">
        <f t="shared" si="131"/>
        <v>0.33400000000000024</v>
      </c>
      <c r="Q343" s="33">
        <f t="shared" si="116"/>
        <v>6.7114093959731544</v>
      </c>
      <c r="R343" s="33">
        <f t="shared" si="117"/>
        <v>6.7114093959731544</v>
      </c>
      <c r="S343" s="33">
        <f t="shared" si="118"/>
        <v>-1</v>
      </c>
      <c r="T343" s="27"/>
      <c r="U343" s="28">
        <f t="shared" si="119"/>
        <v>0.10964912280701754</v>
      </c>
      <c r="V343" s="25">
        <f t="shared" si="120"/>
        <v>999</v>
      </c>
      <c r="W343" s="35">
        <f t="shared" si="132"/>
        <v>25</v>
      </c>
      <c r="X343" s="33">
        <f t="shared" si="121"/>
        <v>25</v>
      </c>
      <c r="Y343" s="32">
        <f t="shared" si="122"/>
        <v>-1</v>
      </c>
      <c r="Z343" s="32"/>
      <c r="AA343" s="30">
        <f t="shared" si="123"/>
        <v>9.1494315847144225</v>
      </c>
      <c r="AB343" s="28">
        <f t="shared" si="124"/>
        <v>0.48475505627460136</v>
      </c>
      <c r="AC343" s="28">
        <f t="shared" si="125"/>
        <v>0.10964912280701754</v>
      </c>
      <c r="AD343" s="29">
        <f t="shared" si="126"/>
        <v>316.88804554079695</v>
      </c>
      <c r="AE343" s="28">
        <f t="shared" si="127"/>
        <v>0.10964912280701754</v>
      </c>
      <c r="AF343" s="28">
        <f t="shared" si="128"/>
        <v>0.37510593346758381</v>
      </c>
      <c r="AG343" s="28">
        <f t="shared" si="129"/>
        <v>0</v>
      </c>
      <c r="AI343" s="31">
        <f t="shared" si="130"/>
        <v>0.41431371360073233</v>
      </c>
      <c r="AJ343" s="25"/>
      <c r="AK343" s="31"/>
      <c r="AM343" s="27"/>
    </row>
    <row r="344" spans="4:39" x14ac:dyDescent="0.25">
      <c r="D344" s="25">
        <f>E344*'Profit per cycles Model'!$I$113</f>
        <v>3350</v>
      </c>
      <c r="E344" s="25">
        <v>9.1768250924530879</v>
      </c>
      <c r="F344" s="28">
        <f t="shared" si="111"/>
        <v>0.29850746268656714</v>
      </c>
      <c r="G344" s="28">
        <f>'Battery Pricing Model'!$C$17/D344</f>
        <v>0.29850746268656714</v>
      </c>
      <c r="H344" s="28">
        <f t="shared" si="112"/>
        <v>999</v>
      </c>
      <c r="I344" s="28"/>
      <c r="J344" s="34">
        <f>INDEX('Profit per cycles Model'!$I$149:$I$179, MATCH(TRUNC(E344, 0), 'Profit per cycles Model'!$H$149:$H$179, 0))</f>
        <v>0.48475505627460136</v>
      </c>
      <c r="K344" s="27">
        <f>AVERAGE($AB$10:AB344)</f>
        <v>0.42363022810850098</v>
      </c>
      <c r="L344" s="28">
        <f t="shared" si="113"/>
        <v>0.12512276542193385</v>
      </c>
      <c r="M344" s="28">
        <f t="shared" si="114"/>
        <v>0.12512276542193385</v>
      </c>
      <c r="N344" s="28">
        <f t="shared" si="115"/>
        <v>999</v>
      </c>
      <c r="O344" s="28"/>
      <c r="P344" s="29">
        <f t="shared" si="131"/>
        <v>0.33500000000000024</v>
      </c>
      <c r="Q344" s="33">
        <f t="shared" si="116"/>
        <v>6.7114093959731544</v>
      </c>
      <c r="R344" s="33">
        <f t="shared" si="117"/>
        <v>6.7114093959731544</v>
      </c>
      <c r="S344" s="33">
        <f t="shared" si="118"/>
        <v>-1</v>
      </c>
      <c r="T344" s="27"/>
      <c r="U344" s="28">
        <f t="shared" si="119"/>
        <v>0.10964912280701754</v>
      </c>
      <c r="V344" s="25">
        <f t="shared" si="120"/>
        <v>999</v>
      </c>
      <c r="W344" s="35">
        <f t="shared" si="132"/>
        <v>25</v>
      </c>
      <c r="X344" s="33">
        <f t="shared" si="121"/>
        <v>25</v>
      </c>
      <c r="Y344" s="32">
        <f t="shared" si="122"/>
        <v>-1</v>
      </c>
      <c r="Z344" s="32"/>
      <c r="AA344" s="30">
        <f t="shared" si="123"/>
        <v>9.1768250924530879</v>
      </c>
      <c r="AB344" s="28">
        <f t="shared" si="124"/>
        <v>0.48475505627460136</v>
      </c>
      <c r="AC344" s="28">
        <f t="shared" si="125"/>
        <v>0.10964912280701754</v>
      </c>
      <c r="AD344" s="29">
        <f t="shared" si="126"/>
        <v>317.8368121442125</v>
      </c>
      <c r="AE344" s="28">
        <f t="shared" si="127"/>
        <v>0.10964912280701754</v>
      </c>
      <c r="AF344" s="28">
        <f t="shared" si="128"/>
        <v>0.37510593346758381</v>
      </c>
      <c r="AG344" s="28">
        <f t="shared" si="129"/>
        <v>0</v>
      </c>
      <c r="AI344" s="31">
        <f t="shared" si="130"/>
        <v>0.41916126416347843</v>
      </c>
      <c r="AJ344" s="25"/>
      <c r="AK344" s="31"/>
      <c r="AM344" s="27"/>
    </row>
    <row r="345" spans="4:39" x14ac:dyDescent="0.25">
      <c r="D345" s="25">
        <f>E345*'Profit per cycles Model'!$I$113</f>
        <v>3360.0000000000005</v>
      </c>
      <c r="E345" s="25">
        <v>9.204218600191755</v>
      </c>
      <c r="F345" s="28">
        <f t="shared" si="111"/>
        <v>0.29761904761904756</v>
      </c>
      <c r="G345" s="28">
        <f>'Battery Pricing Model'!$C$17/D345</f>
        <v>0.29761904761904756</v>
      </c>
      <c r="H345" s="28">
        <f t="shared" si="112"/>
        <v>999</v>
      </c>
      <c r="I345" s="28"/>
      <c r="J345" s="34">
        <f>INDEX('Profit per cycles Model'!$I$149:$I$179, MATCH(TRUNC(E345, 0), 'Profit per cycles Model'!$H$149:$H$179, 0))</f>
        <v>0.48475505627460136</v>
      </c>
      <c r="K345" s="27">
        <f>AVERAGE($AB$10:AB345)</f>
        <v>0.42381214723994765</v>
      </c>
      <c r="L345" s="28">
        <f t="shared" si="113"/>
        <v>0.12619309962090008</v>
      </c>
      <c r="M345" s="28">
        <f t="shared" si="114"/>
        <v>0.12619309962090008</v>
      </c>
      <c r="N345" s="28">
        <f t="shared" si="115"/>
        <v>999</v>
      </c>
      <c r="O345" s="28"/>
      <c r="P345" s="29">
        <f t="shared" si="131"/>
        <v>0.33600000000000024</v>
      </c>
      <c r="Q345" s="33">
        <f t="shared" si="116"/>
        <v>6.7114093959731544</v>
      </c>
      <c r="R345" s="33">
        <f t="shared" si="117"/>
        <v>6.7114093959731544</v>
      </c>
      <c r="S345" s="33">
        <f t="shared" si="118"/>
        <v>-1</v>
      </c>
      <c r="T345" s="27"/>
      <c r="U345" s="28">
        <f t="shared" si="119"/>
        <v>0.10964912280701754</v>
      </c>
      <c r="V345" s="25">
        <f t="shared" si="120"/>
        <v>999</v>
      </c>
      <c r="W345" s="35">
        <f t="shared" si="132"/>
        <v>25</v>
      </c>
      <c r="X345" s="33">
        <f t="shared" si="121"/>
        <v>25</v>
      </c>
      <c r="Y345" s="32">
        <f t="shared" si="122"/>
        <v>-1</v>
      </c>
      <c r="Z345" s="32"/>
      <c r="AA345" s="30">
        <f t="shared" si="123"/>
        <v>9.204218600191755</v>
      </c>
      <c r="AB345" s="28">
        <f t="shared" si="124"/>
        <v>0.48475505627460136</v>
      </c>
      <c r="AC345" s="28">
        <f t="shared" si="125"/>
        <v>0.10964912280701754</v>
      </c>
      <c r="AD345" s="29">
        <f t="shared" si="126"/>
        <v>318.78557874762811</v>
      </c>
      <c r="AE345" s="28">
        <f t="shared" si="127"/>
        <v>0.10964912280701754</v>
      </c>
      <c r="AF345" s="28">
        <f t="shared" si="128"/>
        <v>0.37510593346758381</v>
      </c>
      <c r="AG345" s="28">
        <f t="shared" si="129"/>
        <v>0</v>
      </c>
      <c r="AI345" s="31">
        <f t="shared" si="130"/>
        <v>0.42400881472622437</v>
      </c>
      <c r="AJ345" s="25"/>
      <c r="AK345" s="31"/>
      <c r="AM345" s="27"/>
    </row>
    <row r="346" spans="4:39" x14ac:dyDescent="0.25">
      <c r="D346" s="25">
        <f>E346*'Profit per cycles Model'!$I$113</f>
        <v>3370</v>
      </c>
      <c r="E346" s="25">
        <v>9.2316121079304203</v>
      </c>
      <c r="F346" s="28">
        <f t="shared" si="111"/>
        <v>0.29673590504451036</v>
      </c>
      <c r="G346" s="28">
        <f>'Battery Pricing Model'!$C$17/D346</f>
        <v>0.29673590504451036</v>
      </c>
      <c r="H346" s="28">
        <f t="shared" si="112"/>
        <v>999</v>
      </c>
      <c r="I346" s="28"/>
      <c r="J346" s="34">
        <f>INDEX('Profit per cycles Model'!$I$149:$I$179, MATCH(TRUNC(E346, 0), 'Profit per cycles Model'!$H$149:$H$179, 0))</f>
        <v>0.48475505627460136</v>
      </c>
      <c r="K346" s="27">
        <f>AVERAGE($AB$10:AB346)</f>
        <v>0.42399298673263208</v>
      </c>
      <c r="L346" s="28">
        <f t="shared" si="113"/>
        <v>0.12725708168812172</v>
      </c>
      <c r="M346" s="28">
        <f t="shared" si="114"/>
        <v>0.12725708168812172</v>
      </c>
      <c r="N346" s="28">
        <f t="shared" si="115"/>
        <v>999</v>
      </c>
      <c r="O346" s="28"/>
      <c r="P346" s="29">
        <f t="shared" si="131"/>
        <v>0.33700000000000024</v>
      </c>
      <c r="Q346" s="33">
        <f t="shared" si="116"/>
        <v>6.7114093959731544</v>
      </c>
      <c r="R346" s="33">
        <f t="shared" si="117"/>
        <v>6.7114093959731544</v>
      </c>
      <c r="S346" s="33">
        <f t="shared" si="118"/>
        <v>-1</v>
      </c>
      <c r="T346" s="27"/>
      <c r="U346" s="28">
        <f t="shared" si="119"/>
        <v>0.10964912280701754</v>
      </c>
      <c r="V346" s="25">
        <f t="shared" si="120"/>
        <v>999</v>
      </c>
      <c r="W346" s="35">
        <f t="shared" si="132"/>
        <v>25</v>
      </c>
      <c r="X346" s="33">
        <f t="shared" si="121"/>
        <v>25</v>
      </c>
      <c r="Y346" s="32">
        <f t="shared" si="122"/>
        <v>-1</v>
      </c>
      <c r="Z346" s="32"/>
      <c r="AA346" s="30">
        <f t="shared" si="123"/>
        <v>9.2316121079304203</v>
      </c>
      <c r="AB346" s="28">
        <f t="shared" si="124"/>
        <v>0.48475505627460136</v>
      </c>
      <c r="AC346" s="28">
        <f t="shared" si="125"/>
        <v>0.10964912280701754</v>
      </c>
      <c r="AD346" s="29">
        <f t="shared" si="126"/>
        <v>319.73434535104366</v>
      </c>
      <c r="AE346" s="28">
        <f t="shared" si="127"/>
        <v>0.10964912280701754</v>
      </c>
      <c r="AF346" s="28">
        <f t="shared" si="128"/>
        <v>0.37510593346758381</v>
      </c>
      <c r="AG346" s="28">
        <f t="shared" si="129"/>
        <v>0</v>
      </c>
      <c r="AI346" s="31">
        <f t="shared" si="130"/>
        <v>0.42885636528897025</v>
      </c>
      <c r="AJ346" s="25"/>
      <c r="AK346" s="31"/>
      <c r="AM346" s="27"/>
    </row>
    <row r="347" spans="4:39" x14ac:dyDescent="0.25">
      <c r="D347" s="25">
        <f>E347*'Profit per cycles Model'!$I$113</f>
        <v>3380</v>
      </c>
      <c r="E347" s="25">
        <v>9.2590056156690856</v>
      </c>
      <c r="F347" s="28">
        <f t="shared" si="111"/>
        <v>0.29585798816568049</v>
      </c>
      <c r="G347" s="28">
        <f>'Battery Pricing Model'!$C$17/D347</f>
        <v>0.29585798816568049</v>
      </c>
      <c r="H347" s="28">
        <f t="shared" si="112"/>
        <v>999</v>
      </c>
      <c r="I347" s="28"/>
      <c r="J347" s="34">
        <f>INDEX('Profit per cycles Model'!$I$149:$I$179, MATCH(TRUNC(E347, 0), 'Profit per cycles Model'!$H$149:$H$179, 0))</f>
        <v>0.48475505627460136</v>
      </c>
      <c r="K347" s="27">
        <f>AVERAGE($AB$10:AB347)</f>
        <v>0.42417275616914674</v>
      </c>
      <c r="L347" s="28">
        <f t="shared" si="113"/>
        <v>0.12831476800346625</v>
      </c>
      <c r="M347" s="28">
        <f t="shared" si="114"/>
        <v>0.12831476800346625</v>
      </c>
      <c r="N347" s="28">
        <f t="shared" si="115"/>
        <v>999</v>
      </c>
      <c r="O347" s="28"/>
      <c r="P347" s="29">
        <f t="shared" si="131"/>
        <v>0.33800000000000024</v>
      </c>
      <c r="Q347" s="33">
        <f t="shared" si="116"/>
        <v>6.7114093959731544</v>
      </c>
      <c r="R347" s="33">
        <f t="shared" si="117"/>
        <v>6.7114093959731544</v>
      </c>
      <c r="S347" s="33">
        <f t="shared" si="118"/>
        <v>-1</v>
      </c>
      <c r="T347" s="27"/>
      <c r="U347" s="28">
        <f t="shared" si="119"/>
        <v>0.10964912280701754</v>
      </c>
      <c r="V347" s="25">
        <f t="shared" si="120"/>
        <v>999</v>
      </c>
      <c r="W347" s="35">
        <f t="shared" si="132"/>
        <v>25</v>
      </c>
      <c r="X347" s="33">
        <f t="shared" si="121"/>
        <v>25</v>
      </c>
      <c r="Y347" s="32">
        <f t="shared" si="122"/>
        <v>-1</v>
      </c>
      <c r="Z347" s="32"/>
      <c r="AA347" s="30">
        <f t="shared" si="123"/>
        <v>9.2590056156690856</v>
      </c>
      <c r="AB347" s="28">
        <f t="shared" si="124"/>
        <v>0.48475505627460136</v>
      </c>
      <c r="AC347" s="28">
        <f t="shared" si="125"/>
        <v>0.10964912280701754</v>
      </c>
      <c r="AD347" s="29">
        <f t="shared" si="126"/>
        <v>320.68311195445921</v>
      </c>
      <c r="AE347" s="28">
        <f t="shared" si="127"/>
        <v>0.10964912280701754</v>
      </c>
      <c r="AF347" s="28">
        <f t="shared" si="128"/>
        <v>0.37510593346758381</v>
      </c>
      <c r="AG347" s="28">
        <f t="shared" si="129"/>
        <v>0</v>
      </c>
      <c r="AI347" s="31">
        <f t="shared" si="130"/>
        <v>0.43370391585171592</v>
      </c>
      <c r="AJ347" s="25"/>
      <c r="AK347" s="31"/>
      <c r="AM347" s="27"/>
    </row>
    <row r="348" spans="4:39" x14ac:dyDescent="0.25">
      <c r="D348" s="25">
        <f>E348*'Profit per cycles Model'!$I$113</f>
        <v>3390.0000000000005</v>
      </c>
      <c r="E348" s="25">
        <v>9.2863991234077528</v>
      </c>
      <c r="F348" s="28">
        <f t="shared" si="111"/>
        <v>0.29498525073746307</v>
      </c>
      <c r="G348" s="28">
        <f>'Battery Pricing Model'!$C$17/D348</f>
        <v>0.29498525073746307</v>
      </c>
      <c r="H348" s="28">
        <f t="shared" si="112"/>
        <v>999</v>
      </c>
      <c r="I348" s="28"/>
      <c r="J348" s="34">
        <f>INDEX('Profit per cycles Model'!$I$149:$I$179, MATCH(TRUNC(E348, 0), 'Profit per cycles Model'!$H$149:$H$179, 0))</f>
        <v>0.48475505627460136</v>
      </c>
      <c r="K348" s="27">
        <f>AVERAGE($AB$10:AB348)</f>
        <v>0.42435146501901533</v>
      </c>
      <c r="L348" s="28">
        <f t="shared" si="113"/>
        <v>0.12936621428155226</v>
      </c>
      <c r="M348" s="28">
        <f t="shared" si="114"/>
        <v>0.12936621428155226</v>
      </c>
      <c r="N348" s="28">
        <f t="shared" si="115"/>
        <v>999</v>
      </c>
      <c r="O348" s="28"/>
      <c r="P348" s="29">
        <f t="shared" si="131"/>
        <v>0.33900000000000025</v>
      </c>
      <c r="Q348" s="33">
        <f t="shared" si="116"/>
        <v>6.7114093959731544</v>
      </c>
      <c r="R348" s="33">
        <f t="shared" si="117"/>
        <v>6.7114093959731544</v>
      </c>
      <c r="S348" s="33">
        <f t="shared" si="118"/>
        <v>-1</v>
      </c>
      <c r="T348" s="27"/>
      <c r="U348" s="28">
        <f t="shared" si="119"/>
        <v>0.10964912280701754</v>
      </c>
      <c r="V348" s="25">
        <f t="shared" si="120"/>
        <v>999</v>
      </c>
      <c r="W348" s="35">
        <f t="shared" si="132"/>
        <v>25</v>
      </c>
      <c r="X348" s="33">
        <f t="shared" si="121"/>
        <v>25</v>
      </c>
      <c r="Y348" s="32">
        <f t="shared" si="122"/>
        <v>-1</v>
      </c>
      <c r="Z348" s="32"/>
      <c r="AA348" s="30">
        <f t="shared" si="123"/>
        <v>9.2863991234077528</v>
      </c>
      <c r="AB348" s="28">
        <f t="shared" si="124"/>
        <v>0.48475505627460136</v>
      </c>
      <c r="AC348" s="28">
        <f t="shared" si="125"/>
        <v>0.10964912280701754</v>
      </c>
      <c r="AD348" s="29">
        <f t="shared" si="126"/>
        <v>321.63187855787481</v>
      </c>
      <c r="AE348" s="28">
        <f t="shared" si="127"/>
        <v>0.10964912280701754</v>
      </c>
      <c r="AF348" s="28">
        <f t="shared" si="128"/>
        <v>0.37510593346758381</v>
      </c>
      <c r="AG348" s="28">
        <f t="shared" si="129"/>
        <v>0</v>
      </c>
      <c r="AI348" s="31">
        <f t="shared" si="130"/>
        <v>0.43855146641446224</v>
      </c>
      <c r="AJ348" s="25"/>
      <c r="AK348" s="31"/>
      <c r="AM348" s="27"/>
    </row>
    <row r="349" spans="4:39" x14ac:dyDescent="0.25">
      <c r="D349" s="25">
        <f>E349*'Profit per cycles Model'!$I$113</f>
        <v>3400</v>
      </c>
      <c r="E349" s="25">
        <v>9.3137926311464181</v>
      </c>
      <c r="F349" s="28">
        <f t="shared" si="111"/>
        <v>0.29411764705882354</v>
      </c>
      <c r="G349" s="28">
        <f>'Battery Pricing Model'!$C$17/D349</f>
        <v>0.29411764705882354</v>
      </c>
      <c r="H349" s="28">
        <f t="shared" si="112"/>
        <v>999</v>
      </c>
      <c r="I349" s="28"/>
      <c r="J349" s="34">
        <f>INDEX('Profit per cycles Model'!$I$149:$I$179, MATCH(TRUNC(E349, 0), 'Profit per cycles Model'!$H$149:$H$179, 0))</f>
        <v>0.48475505627460136</v>
      </c>
      <c r="K349" s="27">
        <f>AVERAGE($AB$10:AB349)</f>
        <v>0.42452912264035525</v>
      </c>
      <c r="L349" s="28">
        <f t="shared" si="113"/>
        <v>0.13041147558153171</v>
      </c>
      <c r="M349" s="28">
        <f t="shared" si="114"/>
        <v>0.13041147558153171</v>
      </c>
      <c r="N349" s="28">
        <f t="shared" si="115"/>
        <v>999</v>
      </c>
      <c r="O349" s="28"/>
      <c r="P349" s="29">
        <f t="shared" si="131"/>
        <v>0.34000000000000025</v>
      </c>
      <c r="Q349" s="33">
        <f t="shared" si="116"/>
        <v>6.7114093959731544</v>
      </c>
      <c r="R349" s="33">
        <f t="shared" si="117"/>
        <v>6.7114093959731544</v>
      </c>
      <c r="S349" s="33">
        <f t="shared" si="118"/>
        <v>-1</v>
      </c>
      <c r="T349" s="27"/>
      <c r="U349" s="28">
        <f t="shared" si="119"/>
        <v>0.10964912280701754</v>
      </c>
      <c r="V349" s="25">
        <f t="shared" si="120"/>
        <v>999</v>
      </c>
      <c r="W349" s="35">
        <f t="shared" si="132"/>
        <v>25</v>
      </c>
      <c r="X349" s="33">
        <f t="shared" si="121"/>
        <v>25</v>
      </c>
      <c r="Y349" s="32">
        <f t="shared" si="122"/>
        <v>-1</v>
      </c>
      <c r="Z349" s="32"/>
      <c r="AA349" s="30">
        <f t="shared" si="123"/>
        <v>9.3137926311464181</v>
      </c>
      <c r="AB349" s="28">
        <f t="shared" si="124"/>
        <v>0.48475505627460136</v>
      </c>
      <c r="AC349" s="28">
        <f t="shared" si="125"/>
        <v>0.10964912280701754</v>
      </c>
      <c r="AD349" s="29">
        <f t="shared" si="126"/>
        <v>322.58064516129031</v>
      </c>
      <c r="AE349" s="28">
        <f t="shared" si="127"/>
        <v>0.10964912280701754</v>
      </c>
      <c r="AF349" s="28">
        <f t="shared" si="128"/>
        <v>0.37510593346758381</v>
      </c>
      <c r="AG349" s="28">
        <f t="shared" si="129"/>
        <v>0</v>
      </c>
      <c r="AI349" s="31">
        <f t="shared" si="130"/>
        <v>0.44339901697720779</v>
      </c>
      <c r="AJ349" s="25"/>
      <c r="AK349" s="31"/>
      <c r="AM349" s="27"/>
    </row>
    <row r="350" spans="4:39" x14ac:dyDescent="0.25">
      <c r="D350" s="25">
        <f>E350*'Profit per cycles Model'!$I$113</f>
        <v>3410</v>
      </c>
      <c r="E350" s="25">
        <v>9.3411861388850834</v>
      </c>
      <c r="F350" s="28">
        <f t="shared" si="111"/>
        <v>0.2932551319648094</v>
      </c>
      <c r="G350" s="28">
        <f>'Battery Pricing Model'!$C$17/D350</f>
        <v>0.2932551319648094</v>
      </c>
      <c r="H350" s="28">
        <f t="shared" si="112"/>
        <v>999</v>
      </c>
      <c r="I350" s="28"/>
      <c r="J350" s="34">
        <f>INDEX('Profit per cycles Model'!$I$149:$I$179, MATCH(TRUNC(E350, 0), 'Profit per cycles Model'!$H$149:$H$179, 0))</f>
        <v>0.48475505627460136</v>
      </c>
      <c r="K350" s="27">
        <f>AVERAGE($AB$10:AB350)</f>
        <v>0.42470573828151137</v>
      </c>
      <c r="L350" s="28">
        <f t="shared" si="113"/>
        <v>0.13145060631670197</v>
      </c>
      <c r="M350" s="28">
        <f t="shared" si="114"/>
        <v>0.13145060631670197</v>
      </c>
      <c r="N350" s="28">
        <f t="shared" si="115"/>
        <v>999</v>
      </c>
      <c r="O350" s="28"/>
      <c r="P350" s="29">
        <f t="shared" si="131"/>
        <v>0.34100000000000025</v>
      </c>
      <c r="Q350" s="33">
        <f t="shared" si="116"/>
        <v>6.7114093959731544</v>
      </c>
      <c r="R350" s="33">
        <f t="shared" si="117"/>
        <v>6.7114093959731544</v>
      </c>
      <c r="S350" s="33">
        <f t="shared" si="118"/>
        <v>-1</v>
      </c>
      <c r="T350" s="27"/>
      <c r="U350" s="28">
        <f t="shared" si="119"/>
        <v>0.10964912280701754</v>
      </c>
      <c r="V350" s="25">
        <f t="shared" si="120"/>
        <v>999</v>
      </c>
      <c r="W350" s="35">
        <f t="shared" si="132"/>
        <v>25</v>
      </c>
      <c r="X350" s="33">
        <f t="shared" si="121"/>
        <v>25</v>
      </c>
      <c r="Y350" s="32">
        <f t="shared" si="122"/>
        <v>-1</v>
      </c>
      <c r="Z350" s="32"/>
      <c r="AA350" s="30">
        <f t="shared" si="123"/>
        <v>9.3411861388850834</v>
      </c>
      <c r="AB350" s="28">
        <f t="shared" si="124"/>
        <v>0.48475505627460136</v>
      </c>
      <c r="AC350" s="28">
        <f t="shared" si="125"/>
        <v>0.10964912280701754</v>
      </c>
      <c r="AD350" s="29">
        <f t="shared" si="126"/>
        <v>323.52941176470586</v>
      </c>
      <c r="AE350" s="28">
        <f t="shared" si="127"/>
        <v>0.10964912280701754</v>
      </c>
      <c r="AF350" s="28">
        <f t="shared" si="128"/>
        <v>0.37510593346758381</v>
      </c>
      <c r="AG350" s="28">
        <f t="shared" si="129"/>
        <v>0</v>
      </c>
      <c r="AI350" s="31">
        <f t="shared" si="130"/>
        <v>0.44824656753995368</v>
      </c>
      <c r="AJ350" s="25"/>
      <c r="AK350" s="31"/>
      <c r="AM350" s="27"/>
    </row>
    <row r="351" spans="4:39" x14ac:dyDescent="0.25">
      <c r="D351" s="25">
        <f>E351*'Profit per cycles Model'!$I$113</f>
        <v>3420.0000000000005</v>
      </c>
      <c r="E351" s="25">
        <v>9.3685796466237505</v>
      </c>
      <c r="F351" s="28">
        <f t="shared" si="111"/>
        <v>0.29239766081871343</v>
      </c>
      <c r="G351" s="28">
        <f>'Battery Pricing Model'!$C$17/D351</f>
        <v>0.29239766081871343</v>
      </c>
      <c r="H351" s="28">
        <f t="shared" si="112"/>
        <v>999</v>
      </c>
      <c r="I351" s="28"/>
      <c r="J351" s="34">
        <f>INDEX('Profit per cycles Model'!$I$149:$I$179, MATCH(TRUNC(E351, 0), 'Profit per cycles Model'!$H$149:$H$179, 0))</f>
        <v>0.48475505627460136</v>
      </c>
      <c r="K351" s="27">
        <f>AVERAGE($AB$10:AB351)</f>
        <v>0.42488132108266075</v>
      </c>
      <c r="L351" s="28">
        <f t="shared" si="113"/>
        <v>0.13248366026394731</v>
      </c>
      <c r="M351" s="28">
        <f t="shared" si="114"/>
        <v>0.13248366026394731</v>
      </c>
      <c r="N351" s="28">
        <f t="shared" si="115"/>
        <v>999</v>
      </c>
      <c r="O351" s="28"/>
      <c r="P351" s="29">
        <f t="shared" si="131"/>
        <v>0.34200000000000025</v>
      </c>
      <c r="Q351" s="33">
        <f t="shared" si="116"/>
        <v>6.7114093959731544</v>
      </c>
      <c r="R351" s="33">
        <f t="shared" si="117"/>
        <v>6.7114093959731544</v>
      </c>
      <c r="S351" s="33">
        <f t="shared" si="118"/>
        <v>-1</v>
      </c>
      <c r="T351" s="27"/>
      <c r="U351" s="28">
        <f t="shared" si="119"/>
        <v>0.10964912280701754</v>
      </c>
      <c r="V351" s="25">
        <f t="shared" si="120"/>
        <v>999</v>
      </c>
      <c r="W351" s="35">
        <f t="shared" si="132"/>
        <v>25</v>
      </c>
      <c r="X351" s="33">
        <f t="shared" si="121"/>
        <v>25</v>
      </c>
      <c r="Y351" s="32">
        <f t="shared" si="122"/>
        <v>-1</v>
      </c>
      <c r="Z351" s="32"/>
      <c r="AA351" s="30">
        <f t="shared" si="123"/>
        <v>9.3685796466237505</v>
      </c>
      <c r="AB351" s="28">
        <f t="shared" si="124"/>
        <v>0.48475505627460136</v>
      </c>
      <c r="AC351" s="28">
        <f t="shared" si="125"/>
        <v>0.10964912280701754</v>
      </c>
      <c r="AD351" s="29">
        <f t="shared" si="126"/>
        <v>324.47817836812146</v>
      </c>
      <c r="AE351" s="28">
        <f t="shared" si="127"/>
        <v>0.10964912280701754</v>
      </c>
      <c r="AF351" s="28">
        <f t="shared" si="128"/>
        <v>0.37510593346758381</v>
      </c>
      <c r="AG351" s="28">
        <f t="shared" si="129"/>
        <v>0</v>
      </c>
      <c r="AI351" s="31">
        <f t="shared" si="130"/>
        <v>0.45309411810269984</v>
      </c>
      <c r="AJ351" s="25"/>
      <c r="AK351" s="31"/>
      <c r="AM351" s="27"/>
    </row>
    <row r="352" spans="4:39" x14ac:dyDescent="0.25">
      <c r="D352" s="25">
        <f>E352*'Profit per cycles Model'!$I$113</f>
        <v>3430</v>
      </c>
      <c r="E352" s="25">
        <v>9.3959731543624159</v>
      </c>
      <c r="F352" s="28">
        <f t="shared" si="111"/>
        <v>0.29154518950437319</v>
      </c>
      <c r="G352" s="28">
        <f>'Battery Pricing Model'!$C$17/D352</f>
        <v>0.29154518950437319</v>
      </c>
      <c r="H352" s="28">
        <f t="shared" si="112"/>
        <v>999</v>
      </c>
      <c r="I352" s="28"/>
      <c r="J352" s="34">
        <f>INDEX('Profit per cycles Model'!$I$149:$I$179, MATCH(TRUNC(E352, 0), 'Profit per cycles Model'!$H$149:$H$179, 0))</f>
        <v>0.48475505627460136</v>
      </c>
      <c r="K352" s="27">
        <f>AVERAGE($AB$10:AB352)</f>
        <v>0.42505588007738943</v>
      </c>
      <c r="L352" s="28">
        <f t="shared" si="113"/>
        <v>0.13351069057301623</v>
      </c>
      <c r="M352" s="28">
        <f t="shared" si="114"/>
        <v>0.13351069057301623</v>
      </c>
      <c r="N352" s="28">
        <f t="shared" si="115"/>
        <v>999</v>
      </c>
      <c r="O352" s="28"/>
      <c r="P352" s="29">
        <f t="shared" si="131"/>
        <v>0.34300000000000025</v>
      </c>
      <c r="Q352" s="33">
        <f t="shared" si="116"/>
        <v>6.7114093959731544</v>
      </c>
      <c r="R352" s="33">
        <f t="shared" si="117"/>
        <v>6.7114093959731544</v>
      </c>
      <c r="S352" s="33">
        <f t="shared" si="118"/>
        <v>-1</v>
      </c>
      <c r="T352" s="27"/>
      <c r="U352" s="28">
        <f t="shared" si="119"/>
        <v>0.10964912280701754</v>
      </c>
      <c r="V352" s="25">
        <f t="shared" si="120"/>
        <v>999</v>
      </c>
      <c r="W352" s="35">
        <f t="shared" si="132"/>
        <v>25</v>
      </c>
      <c r="X352" s="33">
        <f t="shared" si="121"/>
        <v>25</v>
      </c>
      <c r="Y352" s="32">
        <f t="shared" si="122"/>
        <v>-1</v>
      </c>
      <c r="Z352" s="32"/>
      <c r="AA352" s="30">
        <f t="shared" si="123"/>
        <v>9.3959731543624159</v>
      </c>
      <c r="AB352" s="28">
        <f t="shared" si="124"/>
        <v>0.48475505627460136</v>
      </c>
      <c r="AC352" s="28">
        <f t="shared" si="125"/>
        <v>0.10964912280701754</v>
      </c>
      <c r="AD352" s="29">
        <f t="shared" si="126"/>
        <v>325.42694497153701</v>
      </c>
      <c r="AE352" s="28">
        <f t="shared" si="127"/>
        <v>0.10964912280701754</v>
      </c>
      <c r="AF352" s="28">
        <f t="shared" si="128"/>
        <v>0.37510593346758381</v>
      </c>
      <c r="AG352" s="28">
        <f t="shared" si="129"/>
        <v>0</v>
      </c>
      <c r="AI352" s="31">
        <f t="shared" si="130"/>
        <v>0.45794166866544567</v>
      </c>
      <c r="AJ352" s="25"/>
      <c r="AK352" s="31"/>
      <c r="AM352" s="27"/>
    </row>
    <row r="353" spans="4:39" x14ac:dyDescent="0.25">
      <c r="D353" s="25">
        <f>E353*'Profit per cycles Model'!$I$113</f>
        <v>3440</v>
      </c>
      <c r="E353" s="25">
        <v>9.4233666621010812</v>
      </c>
      <c r="F353" s="28">
        <f t="shared" si="111"/>
        <v>0.29069767441860467</v>
      </c>
      <c r="G353" s="28">
        <f>'Battery Pricing Model'!$C$17/D353</f>
        <v>0.29069767441860467</v>
      </c>
      <c r="H353" s="28">
        <f t="shared" si="112"/>
        <v>999</v>
      </c>
      <c r="I353" s="28"/>
      <c r="J353" s="34">
        <f>INDEX('Profit per cycles Model'!$I$149:$I$179, MATCH(TRUNC(E353, 0), 'Profit per cycles Model'!$H$149:$H$179, 0))</f>
        <v>0.48475505627460136</v>
      </c>
      <c r="K353" s="27">
        <f>AVERAGE($AB$10:AB353)</f>
        <v>0.42522942419424176</v>
      </c>
      <c r="L353" s="28">
        <f t="shared" si="113"/>
        <v>0.13453174977563709</v>
      </c>
      <c r="M353" s="28">
        <f t="shared" si="114"/>
        <v>0.13453174977563709</v>
      </c>
      <c r="N353" s="28">
        <f t="shared" si="115"/>
        <v>999</v>
      </c>
      <c r="O353" s="28"/>
      <c r="P353" s="29">
        <f t="shared" si="131"/>
        <v>0.34400000000000025</v>
      </c>
      <c r="Q353" s="33">
        <f t="shared" si="116"/>
        <v>6.7114093959731544</v>
      </c>
      <c r="R353" s="33">
        <f t="shared" si="117"/>
        <v>6.7114093959731544</v>
      </c>
      <c r="S353" s="33">
        <f t="shared" si="118"/>
        <v>-1</v>
      </c>
      <c r="T353" s="27"/>
      <c r="U353" s="28">
        <f t="shared" si="119"/>
        <v>0.10964912280701754</v>
      </c>
      <c r="V353" s="25">
        <f t="shared" si="120"/>
        <v>999</v>
      </c>
      <c r="W353" s="35">
        <f t="shared" si="132"/>
        <v>25</v>
      </c>
      <c r="X353" s="33">
        <f t="shared" si="121"/>
        <v>25</v>
      </c>
      <c r="Y353" s="32">
        <f t="shared" si="122"/>
        <v>-1</v>
      </c>
      <c r="Z353" s="32"/>
      <c r="AA353" s="30">
        <f t="shared" si="123"/>
        <v>9.4233666621010812</v>
      </c>
      <c r="AB353" s="28">
        <f t="shared" si="124"/>
        <v>0.48475505627460136</v>
      </c>
      <c r="AC353" s="28">
        <f t="shared" si="125"/>
        <v>0.10964912280701754</v>
      </c>
      <c r="AD353" s="29">
        <f t="shared" si="126"/>
        <v>326.37571157495256</v>
      </c>
      <c r="AE353" s="28">
        <f t="shared" si="127"/>
        <v>0.10964912280701754</v>
      </c>
      <c r="AF353" s="28">
        <f t="shared" si="128"/>
        <v>0.37510593346758381</v>
      </c>
      <c r="AG353" s="28">
        <f t="shared" si="129"/>
        <v>0</v>
      </c>
      <c r="AI353" s="31">
        <f t="shared" si="130"/>
        <v>0.46278921922819155</v>
      </c>
      <c r="AJ353" s="25"/>
      <c r="AK353" s="31"/>
      <c r="AM353" s="27"/>
    </row>
    <row r="354" spans="4:39" x14ac:dyDescent="0.25">
      <c r="D354" s="25">
        <f>E354*'Profit per cycles Model'!$I$113</f>
        <v>3450.0000000000005</v>
      </c>
      <c r="E354" s="25">
        <v>9.4507601698397483</v>
      </c>
      <c r="F354" s="28">
        <f t="shared" si="111"/>
        <v>0.28985507246376807</v>
      </c>
      <c r="G354" s="28">
        <f>'Battery Pricing Model'!$C$17/D354</f>
        <v>0.28985507246376807</v>
      </c>
      <c r="H354" s="28">
        <f t="shared" si="112"/>
        <v>999</v>
      </c>
      <c r="I354" s="28"/>
      <c r="J354" s="34">
        <f>INDEX('Profit per cycles Model'!$I$149:$I$179, MATCH(TRUNC(E354, 0), 'Profit per cycles Model'!$H$149:$H$179, 0))</f>
        <v>0.48475505627460136</v>
      </c>
      <c r="K354" s="27">
        <f>AVERAGE($AB$10:AB354)</f>
        <v>0.42540196225824278</v>
      </c>
      <c r="L354" s="28">
        <f t="shared" si="113"/>
        <v>0.13554688979447471</v>
      </c>
      <c r="M354" s="28">
        <f t="shared" si="114"/>
        <v>0.13554688979447471</v>
      </c>
      <c r="N354" s="28">
        <f t="shared" si="115"/>
        <v>999</v>
      </c>
      <c r="O354" s="28"/>
      <c r="P354" s="29">
        <f t="shared" si="131"/>
        <v>0.34500000000000025</v>
      </c>
      <c r="Q354" s="33">
        <f t="shared" si="116"/>
        <v>6.7114093959731544</v>
      </c>
      <c r="R354" s="33">
        <f t="shared" si="117"/>
        <v>6.7114093959731544</v>
      </c>
      <c r="S354" s="33">
        <f t="shared" si="118"/>
        <v>-1</v>
      </c>
      <c r="T354" s="27"/>
      <c r="U354" s="28">
        <f t="shared" si="119"/>
        <v>0.10964912280701754</v>
      </c>
      <c r="V354" s="25">
        <f t="shared" si="120"/>
        <v>999</v>
      </c>
      <c r="W354" s="35">
        <f t="shared" si="132"/>
        <v>25</v>
      </c>
      <c r="X354" s="33">
        <f t="shared" si="121"/>
        <v>25</v>
      </c>
      <c r="Y354" s="32">
        <f t="shared" si="122"/>
        <v>-1</v>
      </c>
      <c r="Z354" s="32"/>
      <c r="AA354" s="30">
        <f t="shared" si="123"/>
        <v>9.4507601698397483</v>
      </c>
      <c r="AB354" s="28">
        <f t="shared" si="124"/>
        <v>0.48475505627460136</v>
      </c>
      <c r="AC354" s="28">
        <f t="shared" si="125"/>
        <v>0.10964912280701754</v>
      </c>
      <c r="AD354" s="29">
        <f t="shared" si="126"/>
        <v>327.32447817836817</v>
      </c>
      <c r="AE354" s="28">
        <f t="shared" si="127"/>
        <v>0.10964912280701754</v>
      </c>
      <c r="AF354" s="28">
        <f t="shared" si="128"/>
        <v>0.37510593346758381</v>
      </c>
      <c r="AG354" s="28">
        <f t="shared" si="129"/>
        <v>0</v>
      </c>
      <c r="AI354" s="31">
        <f t="shared" si="130"/>
        <v>0.46763676979093782</v>
      </c>
      <c r="AJ354" s="25"/>
      <c r="AK354" s="31"/>
      <c r="AM354" s="27"/>
    </row>
    <row r="355" spans="4:39" x14ac:dyDescent="0.25">
      <c r="D355" s="25">
        <f>E355*'Profit per cycles Model'!$I$113</f>
        <v>3460</v>
      </c>
      <c r="E355" s="25">
        <v>9.4781536775784136</v>
      </c>
      <c r="F355" s="28">
        <f t="shared" si="111"/>
        <v>0.28901734104046245</v>
      </c>
      <c r="G355" s="28">
        <f>'Battery Pricing Model'!$C$17/D355</f>
        <v>0.28901734104046245</v>
      </c>
      <c r="H355" s="28">
        <f t="shared" si="112"/>
        <v>999</v>
      </c>
      <c r="I355" s="28"/>
      <c r="J355" s="34">
        <f>INDEX('Profit per cycles Model'!$I$149:$I$179, MATCH(TRUNC(E355, 0), 'Profit per cycles Model'!$H$149:$H$179, 0))</f>
        <v>0.48475505627460136</v>
      </c>
      <c r="K355" s="27">
        <f>AVERAGE($AB$10:AB355)</f>
        <v>0.4255735029923941</v>
      </c>
      <c r="L355" s="28">
        <f t="shared" si="113"/>
        <v>0.13655616195193165</v>
      </c>
      <c r="M355" s="28">
        <f t="shared" si="114"/>
        <v>0.13655616195193165</v>
      </c>
      <c r="N355" s="28">
        <f t="shared" si="115"/>
        <v>999</v>
      </c>
      <c r="O355" s="28"/>
      <c r="P355" s="29">
        <f t="shared" si="131"/>
        <v>0.34600000000000025</v>
      </c>
      <c r="Q355" s="33">
        <f t="shared" si="116"/>
        <v>6.7114093959731544</v>
      </c>
      <c r="R355" s="33">
        <f t="shared" si="117"/>
        <v>6.7114093959731544</v>
      </c>
      <c r="S355" s="33">
        <f t="shared" si="118"/>
        <v>-1</v>
      </c>
      <c r="T355" s="27"/>
      <c r="U355" s="28">
        <f t="shared" si="119"/>
        <v>0.10964912280701754</v>
      </c>
      <c r="V355" s="25">
        <f t="shared" si="120"/>
        <v>999</v>
      </c>
      <c r="W355" s="35">
        <f t="shared" si="132"/>
        <v>25</v>
      </c>
      <c r="X355" s="33">
        <f t="shared" si="121"/>
        <v>25</v>
      </c>
      <c r="Y355" s="32">
        <f t="shared" si="122"/>
        <v>-1</v>
      </c>
      <c r="Z355" s="32"/>
      <c r="AA355" s="30">
        <f t="shared" si="123"/>
        <v>9.4781536775784136</v>
      </c>
      <c r="AB355" s="28">
        <f t="shared" si="124"/>
        <v>0.48475505627460136</v>
      </c>
      <c r="AC355" s="28">
        <f t="shared" si="125"/>
        <v>0.10964912280701754</v>
      </c>
      <c r="AD355" s="29">
        <f t="shared" si="126"/>
        <v>328.27324478178366</v>
      </c>
      <c r="AE355" s="28">
        <f t="shared" si="127"/>
        <v>0.10964912280701754</v>
      </c>
      <c r="AF355" s="28">
        <f t="shared" si="128"/>
        <v>0.37510593346758381</v>
      </c>
      <c r="AG355" s="28">
        <f t="shared" si="129"/>
        <v>0</v>
      </c>
      <c r="AI355" s="31">
        <f t="shared" si="130"/>
        <v>0.47248432035368348</v>
      </c>
      <c r="AJ355" s="25"/>
      <c r="AK355" s="31"/>
      <c r="AM355" s="27"/>
    </row>
    <row r="356" spans="4:39" x14ac:dyDescent="0.25">
      <c r="D356" s="25">
        <f>E356*'Profit per cycles Model'!$I$113</f>
        <v>3470</v>
      </c>
      <c r="E356" s="25">
        <v>9.505547185317079</v>
      </c>
      <c r="F356" s="28">
        <f t="shared" si="111"/>
        <v>0.28818443804034583</v>
      </c>
      <c r="G356" s="28">
        <f>'Battery Pricing Model'!$C$17/D356</f>
        <v>0.28818443804034583</v>
      </c>
      <c r="H356" s="28">
        <f t="shared" si="112"/>
        <v>999</v>
      </c>
      <c r="I356" s="28"/>
      <c r="J356" s="34">
        <f>INDEX('Profit per cycles Model'!$I$149:$I$179, MATCH(TRUNC(E356, 0), 'Profit per cycles Model'!$H$149:$H$179, 0))</f>
        <v>0.48475505627460136</v>
      </c>
      <c r="K356" s="27">
        <f>AVERAGE($AB$10:AB356)</f>
        <v>0.42574405501914392</v>
      </c>
      <c r="L356" s="28">
        <f t="shared" si="113"/>
        <v>0.13755961697879809</v>
      </c>
      <c r="M356" s="28">
        <f t="shared" si="114"/>
        <v>0.13755961697879809</v>
      </c>
      <c r="N356" s="28">
        <f t="shared" si="115"/>
        <v>999</v>
      </c>
      <c r="O356" s="28"/>
      <c r="P356" s="29">
        <f t="shared" si="131"/>
        <v>0.34700000000000025</v>
      </c>
      <c r="Q356" s="33">
        <f t="shared" si="116"/>
        <v>6.7114093959731544</v>
      </c>
      <c r="R356" s="33">
        <f t="shared" si="117"/>
        <v>6.7114093959731544</v>
      </c>
      <c r="S356" s="33">
        <f t="shared" si="118"/>
        <v>-1</v>
      </c>
      <c r="T356" s="27"/>
      <c r="U356" s="28">
        <f t="shared" si="119"/>
        <v>0.10964912280701754</v>
      </c>
      <c r="V356" s="25">
        <f t="shared" si="120"/>
        <v>999</v>
      </c>
      <c r="W356" s="35">
        <f t="shared" si="132"/>
        <v>25</v>
      </c>
      <c r="X356" s="33">
        <f t="shared" si="121"/>
        <v>25</v>
      </c>
      <c r="Y356" s="32">
        <f t="shared" si="122"/>
        <v>-1</v>
      </c>
      <c r="Z356" s="32"/>
      <c r="AA356" s="30">
        <f t="shared" si="123"/>
        <v>9.505547185317079</v>
      </c>
      <c r="AB356" s="28">
        <f t="shared" si="124"/>
        <v>0.48475505627460136</v>
      </c>
      <c r="AC356" s="28">
        <f t="shared" si="125"/>
        <v>0.10964912280701754</v>
      </c>
      <c r="AD356" s="29">
        <f t="shared" si="126"/>
        <v>329.22201138519921</v>
      </c>
      <c r="AE356" s="28">
        <f t="shared" si="127"/>
        <v>0.10964912280701754</v>
      </c>
      <c r="AF356" s="28">
        <f t="shared" si="128"/>
        <v>0.37510593346758381</v>
      </c>
      <c r="AG356" s="28">
        <f t="shared" si="129"/>
        <v>0</v>
      </c>
      <c r="AI356" s="31">
        <f t="shared" si="130"/>
        <v>0.47733187091642937</v>
      </c>
      <c r="AJ356" s="25"/>
      <c r="AK356" s="31"/>
      <c r="AM356" s="27"/>
    </row>
    <row r="357" spans="4:39" x14ac:dyDescent="0.25">
      <c r="D357" s="25">
        <f>E357*'Profit per cycles Model'!$I$113</f>
        <v>3480</v>
      </c>
      <c r="E357" s="25">
        <v>9.5329406930557461</v>
      </c>
      <c r="F357" s="28">
        <f t="shared" si="111"/>
        <v>0.28735632183908044</v>
      </c>
      <c r="G357" s="28">
        <f>'Battery Pricing Model'!$C$17/D357</f>
        <v>0.28735632183908044</v>
      </c>
      <c r="H357" s="28">
        <f t="shared" si="112"/>
        <v>999</v>
      </c>
      <c r="I357" s="28"/>
      <c r="J357" s="34">
        <f>INDEX('Profit per cycles Model'!$I$149:$I$179, MATCH(TRUNC(E357, 0), 'Profit per cycles Model'!$H$149:$H$179, 0))</f>
        <v>0.48475505627460136</v>
      </c>
      <c r="K357" s="27">
        <f>AVERAGE($AB$10:AB357)</f>
        <v>0.42591362686183204</v>
      </c>
      <c r="L357" s="28">
        <f t="shared" si="113"/>
        <v>0.1385573050227516</v>
      </c>
      <c r="M357" s="28">
        <f t="shared" si="114"/>
        <v>0.1385573050227516</v>
      </c>
      <c r="N357" s="28">
        <f t="shared" si="115"/>
        <v>999</v>
      </c>
      <c r="O357" s="28"/>
      <c r="P357" s="29">
        <f t="shared" si="131"/>
        <v>0.34800000000000025</v>
      </c>
      <c r="Q357" s="33">
        <f t="shared" si="116"/>
        <v>6.7114093959731544</v>
      </c>
      <c r="R357" s="33">
        <f t="shared" si="117"/>
        <v>6.7114093959731544</v>
      </c>
      <c r="S357" s="33">
        <f t="shared" si="118"/>
        <v>-1</v>
      </c>
      <c r="T357" s="27"/>
      <c r="U357" s="28">
        <f t="shared" si="119"/>
        <v>0.10964912280701754</v>
      </c>
      <c r="V357" s="25">
        <f t="shared" si="120"/>
        <v>999</v>
      </c>
      <c r="W357" s="35">
        <f t="shared" si="132"/>
        <v>25</v>
      </c>
      <c r="X357" s="33">
        <f t="shared" si="121"/>
        <v>25</v>
      </c>
      <c r="Y357" s="32">
        <f t="shared" si="122"/>
        <v>-1</v>
      </c>
      <c r="Z357" s="32"/>
      <c r="AA357" s="30">
        <f t="shared" si="123"/>
        <v>9.5329406930557461</v>
      </c>
      <c r="AB357" s="28">
        <f t="shared" si="124"/>
        <v>0.48475505627460136</v>
      </c>
      <c r="AC357" s="28">
        <f t="shared" si="125"/>
        <v>0.10964912280701754</v>
      </c>
      <c r="AD357" s="29">
        <f t="shared" si="126"/>
        <v>330.17077798861482</v>
      </c>
      <c r="AE357" s="28">
        <f t="shared" si="127"/>
        <v>0.10964912280701754</v>
      </c>
      <c r="AF357" s="28">
        <f t="shared" si="128"/>
        <v>0.37510593346758381</v>
      </c>
      <c r="AG357" s="28">
        <f t="shared" si="129"/>
        <v>0</v>
      </c>
      <c r="AI357" s="31">
        <f t="shared" si="130"/>
        <v>0.48217942147917559</v>
      </c>
      <c r="AJ357" s="25"/>
      <c r="AK357" s="31"/>
      <c r="AM357" s="27"/>
    </row>
    <row r="358" spans="4:39" x14ac:dyDescent="0.25">
      <c r="D358" s="25">
        <f>E358*'Profit per cycles Model'!$I$113</f>
        <v>3490</v>
      </c>
      <c r="E358" s="25">
        <v>9.5603342007944114</v>
      </c>
      <c r="F358" s="28">
        <f t="shared" si="111"/>
        <v>0.28653295128939826</v>
      </c>
      <c r="G358" s="28">
        <f>'Battery Pricing Model'!$C$17/D358</f>
        <v>0.28653295128939826</v>
      </c>
      <c r="H358" s="28">
        <f t="shared" si="112"/>
        <v>999</v>
      </c>
      <c r="I358" s="28"/>
      <c r="J358" s="34">
        <f>INDEX('Profit per cycles Model'!$I$149:$I$179, MATCH(TRUNC(E358, 0), 'Profit per cycles Model'!$H$149:$H$179, 0))</f>
        <v>0.48475505627460136</v>
      </c>
      <c r="K358" s="27">
        <f>AVERAGE($AB$10:AB358)</f>
        <v>0.42608222694610925</v>
      </c>
      <c r="L358" s="28">
        <f t="shared" si="113"/>
        <v>0.13954927565671099</v>
      </c>
      <c r="M358" s="28">
        <f t="shared" si="114"/>
        <v>0.13954927565671099</v>
      </c>
      <c r="N358" s="28">
        <f t="shared" si="115"/>
        <v>999</v>
      </c>
      <c r="O358" s="28"/>
      <c r="P358" s="29">
        <f t="shared" si="131"/>
        <v>0.34900000000000025</v>
      </c>
      <c r="Q358" s="33">
        <f t="shared" si="116"/>
        <v>6.7114093959731544</v>
      </c>
      <c r="R358" s="33">
        <f t="shared" si="117"/>
        <v>6.7114093959731544</v>
      </c>
      <c r="S358" s="33">
        <f t="shared" si="118"/>
        <v>-1</v>
      </c>
      <c r="T358" s="27"/>
      <c r="U358" s="28">
        <f t="shared" si="119"/>
        <v>0.10964912280701754</v>
      </c>
      <c r="V358" s="25">
        <f t="shared" si="120"/>
        <v>999</v>
      </c>
      <c r="W358" s="35">
        <f t="shared" si="132"/>
        <v>25</v>
      </c>
      <c r="X358" s="33">
        <f t="shared" si="121"/>
        <v>25</v>
      </c>
      <c r="Y358" s="32">
        <f t="shared" si="122"/>
        <v>-1</v>
      </c>
      <c r="Z358" s="32"/>
      <c r="AA358" s="30">
        <f t="shared" si="123"/>
        <v>9.5603342007944114</v>
      </c>
      <c r="AB358" s="28">
        <f t="shared" si="124"/>
        <v>0.48475505627460136</v>
      </c>
      <c r="AC358" s="28">
        <f t="shared" si="125"/>
        <v>0.10964912280701754</v>
      </c>
      <c r="AD358" s="29">
        <f t="shared" si="126"/>
        <v>331.11954459203037</v>
      </c>
      <c r="AE358" s="28">
        <f t="shared" si="127"/>
        <v>0.10964912280701754</v>
      </c>
      <c r="AF358" s="28">
        <f t="shared" si="128"/>
        <v>0.37510593346758381</v>
      </c>
      <c r="AG358" s="28">
        <f t="shared" si="129"/>
        <v>0</v>
      </c>
      <c r="AI358" s="31">
        <f t="shared" si="130"/>
        <v>0.48702697204192141</v>
      </c>
      <c r="AJ358" s="25"/>
      <c r="AK358" s="31"/>
      <c r="AM358" s="27"/>
    </row>
    <row r="359" spans="4:39" x14ac:dyDescent="0.25">
      <c r="D359" s="25">
        <f>E359*'Profit per cycles Model'!$I$113</f>
        <v>3500</v>
      </c>
      <c r="E359" s="25">
        <v>9.5877277085330768</v>
      </c>
      <c r="F359" s="28">
        <f t="shared" si="111"/>
        <v>0.2857142857142857</v>
      </c>
      <c r="G359" s="28">
        <f>'Battery Pricing Model'!$C$17/D359</f>
        <v>0.2857142857142857</v>
      </c>
      <c r="H359" s="28">
        <f t="shared" si="112"/>
        <v>999</v>
      </c>
      <c r="I359" s="28"/>
      <c r="J359" s="34">
        <f>INDEX('Profit per cycles Model'!$I$149:$I$179, MATCH(TRUNC(E359, 0), 'Profit per cycles Model'!$H$149:$H$179, 0))</f>
        <v>0.48475505627460136</v>
      </c>
      <c r="K359" s="27">
        <f>AVERAGE($AB$10:AB359)</f>
        <v>0.42624986360133349</v>
      </c>
      <c r="L359" s="28">
        <f t="shared" si="113"/>
        <v>0.14053557788704779</v>
      </c>
      <c r="M359" s="28">
        <f t="shared" si="114"/>
        <v>0.14053557788704779</v>
      </c>
      <c r="N359" s="28">
        <f t="shared" si="115"/>
        <v>999</v>
      </c>
      <c r="O359" s="28"/>
      <c r="P359" s="29">
        <f t="shared" si="131"/>
        <v>0.35000000000000026</v>
      </c>
      <c r="Q359" s="33">
        <f t="shared" si="116"/>
        <v>6.7114093959731544</v>
      </c>
      <c r="R359" s="33">
        <f t="shared" si="117"/>
        <v>6.7114093959731544</v>
      </c>
      <c r="S359" s="33">
        <f t="shared" si="118"/>
        <v>-1</v>
      </c>
      <c r="T359" s="27"/>
      <c r="U359" s="28">
        <f t="shared" si="119"/>
        <v>0.10964912280701754</v>
      </c>
      <c r="V359" s="25">
        <f t="shared" si="120"/>
        <v>999</v>
      </c>
      <c r="W359" s="35">
        <f t="shared" si="132"/>
        <v>25</v>
      </c>
      <c r="X359" s="33">
        <f t="shared" si="121"/>
        <v>25</v>
      </c>
      <c r="Y359" s="32">
        <f t="shared" si="122"/>
        <v>-1</v>
      </c>
      <c r="Z359" s="32"/>
      <c r="AA359" s="30">
        <f t="shared" si="123"/>
        <v>9.5877277085330768</v>
      </c>
      <c r="AB359" s="28">
        <f t="shared" si="124"/>
        <v>0.48475505627460136</v>
      </c>
      <c r="AC359" s="28">
        <f t="shared" si="125"/>
        <v>0.10964912280701754</v>
      </c>
      <c r="AD359" s="29">
        <f t="shared" si="126"/>
        <v>332.06831119544592</v>
      </c>
      <c r="AE359" s="28">
        <f t="shared" si="127"/>
        <v>0.10964912280701754</v>
      </c>
      <c r="AF359" s="28">
        <f t="shared" si="128"/>
        <v>0.37510593346758381</v>
      </c>
      <c r="AG359" s="28">
        <f t="shared" si="129"/>
        <v>0</v>
      </c>
      <c r="AI359" s="31">
        <f t="shared" si="130"/>
        <v>0.4918745226046673</v>
      </c>
      <c r="AJ359" s="25"/>
      <c r="AK359" s="31"/>
      <c r="AM359" s="27"/>
    </row>
    <row r="360" spans="4:39" x14ac:dyDescent="0.25">
      <c r="D360" s="25">
        <f>E360*'Profit per cycles Model'!$I$113</f>
        <v>3510</v>
      </c>
      <c r="E360" s="25">
        <v>9.6151212162717439</v>
      </c>
      <c r="F360" s="28">
        <f t="shared" si="111"/>
        <v>0.28490028490028491</v>
      </c>
      <c r="G360" s="28">
        <f>'Battery Pricing Model'!$C$17/D360</f>
        <v>0.28490028490028491</v>
      </c>
      <c r="H360" s="28">
        <f t="shared" si="112"/>
        <v>999</v>
      </c>
      <c r="I360" s="28"/>
      <c r="J360" s="34">
        <f>INDEX('Profit per cycles Model'!$I$149:$I$179, MATCH(TRUNC(E360, 0), 'Profit per cycles Model'!$H$149:$H$179, 0))</f>
        <v>0.48475505627460136</v>
      </c>
      <c r="K360" s="27">
        <f>AVERAGE($AB$10:AB360)</f>
        <v>0.4264165450619411</v>
      </c>
      <c r="L360" s="28">
        <f t="shared" si="113"/>
        <v>0.14151626016165619</v>
      </c>
      <c r="M360" s="28">
        <f t="shared" si="114"/>
        <v>0.14151626016165619</v>
      </c>
      <c r="N360" s="28">
        <f t="shared" si="115"/>
        <v>999</v>
      </c>
      <c r="O360" s="28"/>
      <c r="P360" s="29">
        <f t="shared" si="131"/>
        <v>0.35100000000000026</v>
      </c>
      <c r="Q360" s="33">
        <f t="shared" si="116"/>
        <v>6.7114093959731544</v>
      </c>
      <c r="R360" s="33">
        <f t="shared" si="117"/>
        <v>6.7114093959731544</v>
      </c>
      <c r="S360" s="33">
        <f t="shared" si="118"/>
        <v>-1</v>
      </c>
      <c r="T360" s="27"/>
      <c r="U360" s="28">
        <f t="shared" si="119"/>
        <v>0.10964912280701754</v>
      </c>
      <c r="V360" s="25">
        <f t="shared" si="120"/>
        <v>999</v>
      </c>
      <c r="W360" s="35">
        <f t="shared" si="132"/>
        <v>25</v>
      </c>
      <c r="X360" s="33">
        <f t="shared" si="121"/>
        <v>25</v>
      </c>
      <c r="Y360" s="32">
        <f t="shared" si="122"/>
        <v>-1</v>
      </c>
      <c r="Z360" s="32"/>
      <c r="AA360" s="30">
        <f t="shared" si="123"/>
        <v>9.6151212162717439</v>
      </c>
      <c r="AB360" s="28">
        <f t="shared" si="124"/>
        <v>0.48475505627460136</v>
      </c>
      <c r="AC360" s="28">
        <f t="shared" si="125"/>
        <v>0.10964912280701754</v>
      </c>
      <c r="AD360" s="29">
        <f t="shared" si="126"/>
        <v>333.01707779886152</v>
      </c>
      <c r="AE360" s="28">
        <f t="shared" si="127"/>
        <v>0.10964912280701754</v>
      </c>
      <c r="AF360" s="28">
        <f t="shared" si="128"/>
        <v>0.37510593346758381</v>
      </c>
      <c r="AG360" s="28">
        <f t="shared" si="129"/>
        <v>0</v>
      </c>
      <c r="AI360" s="31">
        <f t="shared" si="130"/>
        <v>0.49672207316741324</v>
      </c>
      <c r="AJ360" s="25"/>
      <c r="AK360" s="31"/>
      <c r="AM360" s="27"/>
    </row>
    <row r="361" spans="4:39" x14ac:dyDescent="0.25">
      <c r="D361" s="25">
        <f>E361*'Profit per cycles Model'!$I$113</f>
        <v>3520</v>
      </c>
      <c r="E361" s="25">
        <v>9.6425147240104092</v>
      </c>
      <c r="F361" s="28">
        <f t="shared" si="111"/>
        <v>0.28409090909090912</v>
      </c>
      <c r="G361" s="28">
        <f>'Battery Pricing Model'!$C$17/D361</f>
        <v>0.28409090909090912</v>
      </c>
      <c r="H361" s="28">
        <f t="shared" si="112"/>
        <v>999</v>
      </c>
      <c r="I361" s="28"/>
      <c r="J361" s="34">
        <f>INDEX('Profit per cycles Model'!$I$149:$I$179, MATCH(TRUNC(E361, 0), 'Profit per cycles Model'!$H$149:$H$179, 0))</f>
        <v>0.48475505627460136</v>
      </c>
      <c r="K361" s="27">
        <f>AVERAGE($AB$10:AB361)</f>
        <v>0.42658227946879523</v>
      </c>
      <c r="L361" s="28">
        <f t="shared" si="113"/>
        <v>0.14249137037788612</v>
      </c>
      <c r="M361" s="28">
        <f t="shared" si="114"/>
        <v>0.14249137037788612</v>
      </c>
      <c r="N361" s="28">
        <f t="shared" si="115"/>
        <v>999</v>
      </c>
      <c r="O361" s="28"/>
      <c r="P361" s="29">
        <f t="shared" si="131"/>
        <v>0.35200000000000026</v>
      </c>
      <c r="Q361" s="33">
        <f t="shared" si="116"/>
        <v>6.7114093959731544</v>
      </c>
      <c r="R361" s="33">
        <f t="shared" si="117"/>
        <v>6.7114093959731544</v>
      </c>
      <c r="S361" s="33">
        <f t="shared" si="118"/>
        <v>-1</v>
      </c>
      <c r="T361" s="27"/>
      <c r="U361" s="28">
        <f t="shared" si="119"/>
        <v>0.10964912280701754</v>
      </c>
      <c r="V361" s="25">
        <f t="shared" si="120"/>
        <v>999</v>
      </c>
      <c r="W361" s="35">
        <f t="shared" si="132"/>
        <v>25</v>
      </c>
      <c r="X361" s="33">
        <f t="shared" si="121"/>
        <v>25</v>
      </c>
      <c r="Y361" s="32">
        <f t="shared" si="122"/>
        <v>-1</v>
      </c>
      <c r="Z361" s="32"/>
      <c r="AA361" s="30">
        <f t="shared" si="123"/>
        <v>9.6425147240104092</v>
      </c>
      <c r="AB361" s="28">
        <f t="shared" si="124"/>
        <v>0.48475505627460136</v>
      </c>
      <c r="AC361" s="28">
        <f t="shared" si="125"/>
        <v>0.10964912280701754</v>
      </c>
      <c r="AD361" s="29">
        <f t="shared" si="126"/>
        <v>333.96584440227701</v>
      </c>
      <c r="AE361" s="28">
        <f t="shared" si="127"/>
        <v>0.10964912280701754</v>
      </c>
      <c r="AF361" s="28">
        <f t="shared" si="128"/>
        <v>0.37510593346758381</v>
      </c>
      <c r="AG361" s="28">
        <f t="shared" si="129"/>
        <v>0</v>
      </c>
      <c r="AI361" s="31">
        <f t="shared" si="130"/>
        <v>0.50156962373015912</v>
      </c>
      <c r="AJ361" s="25"/>
      <c r="AK361" s="31"/>
      <c r="AM361" s="27"/>
    </row>
    <row r="362" spans="4:39" x14ac:dyDescent="0.25">
      <c r="D362" s="25">
        <f>E362*'Profit per cycles Model'!$I$113</f>
        <v>3530</v>
      </c>
      <c r="E362" s="25">
        <v>9.6699082317490745</v>
      </c>
      <c r="F362" s="28">
        <f t="shared" si="111"/>
        <v>0.28328611898016998</v>
      </c>
      <c r="G362" s="28">
        <f>'Battery Pricing Model'!$C$17/D362</f>
        <v>0.28328611898016998</v>
      </c>
      <c r="H362" s="28">
        <f t="shared" si="112"/>
        <v>999</v>
      </c>
      <c r="I362" s="28"/>
      <c r="J362" s="34">
        <f>INDEX('Profit per cycles Model'!$I$149:$I$179, MATCH(TRUNC(E362, 0), 'Profit per cycles Model'!$H$149:$H$179, 0))</f>
        <v>0.48475505627460136</v>
      </c>
      <c r="K362" s="27">
        <f>AVERAGE($AB$10:AB362)</f>
        <v>0.42674707487051133</v>
      </c>
      <c r="L362" s="28">
        <f t="shared" si="113"/>
        <v>0.14346095589034136</v>
      </c>
      <c r="M362" s="28">
        <f t="shared" si="114"/>
        <v>0.14346095589034136</v>
      </c>
      <c r="N362" s="28">
        <f t="shared" si="115"/>
        <v>999</v>
      </c>
      <c r="O362" s="28"/>
      <c r="P362" s="29">
        <f t="shared" si="131"/>
        <v>0.35300000000000026</v>
      </c>
      <c r="Q362" s="33">
        <f t="shared" si="116"/>
        <v>6.7114093959731544</v>
      </c>
      <c r="R362" s="33">
        <f t="shared" si="117"/>
        <v>6.7114093959731544</v>
      </c>
      <c r="S362" s="33">
        <f t="shared" si="118"/>
        <v>-1</v>
      </c>
      <c r="T362" s="27"/>
      <c r="U362" s="28">
        <f t="shared" si="119"/>
        <v>0.10964912280701754</v>
      </c>
      <c r="V362" s="25">
        <f t="shared" si="120"/>
        <v>999</v>
      </c>
      <c r="W362" s="35">
        <f t="shared" si="132"/>
        <v>25</v>
      </c>
      <c r="X362" s="33">
        <f t="shared" si="121"/>
        <v>25</v>
      </c>
      <c r="Y362" s="32">
        <f t="shared" si="122"/>
        <v>-1</v>
      </c>
      <c r="Z362" s="32"/>
      <c r="AA362" s="30">
        <f t="shared" si="123"/>
        <v>9.6699082317490745</v>
      </c>
      <c r="AB362" s="28">
        <f t="shared" si="124"/>
        <v>0.48475505627460136</v>
      </c>
      <c r="AC362" s="28">
        <f t="shared" si="125"/>
        <v>0.10964912280701754</v>
      </c>
      <c r="AD362" s="29">
        <f t="shared" si="126"/>
        <v>334.91461100569256</v>
      </c>
      <c r="AE362" s="28">
        <f t="shared" si="127"/>
        <v>0.10964912280701754</v>
      </c>
      <c r="AF362" s="28">
        <f t="shared" si="128"/>
        <v>0.37510593346758381</v>
      </c>
      <c r="AG362" s="28">
        <f t="shared" si="129"/>
        <v>0</v>
      </c>
      <c r="AI362" s="31">
        <f t="shared" si="130"/>
        <v>0.506417174292905</v>
      </c>
      <c r="AJ362" s="25"/>
      <c r="AK362" s="31"/>
      <c r="AM362" s="27"/>
    </row>
    <row r="363" spans="4:39" x14ac:dyDescent="0.25">
      <c r="D363" s="25">
        <f>E363*'Profit per cycles Model'!$I$113</f>
        <v>3540</v>
      </c>
      <c r="E363" s="25">
        <v>9.6973017394877417</v>
      </c>
      <c r="F363" s="28">
        <f t="shared" si="111"/>
        <v>0.2824858757062147</v>
      </c>
      <c r="G363" s="28">
        <f>'Battery Pricing Model'!$C$17/D363</f>
        <v>0.2824858757062147</v>
      </c>
      <c r="H363" s="28">
        <f t="shared" si="112"/>
        <v>999</v>
      </c>
      <c r="I363" s="28"/>
      <c r="J363" s="34">
        <f>INDEX('Profit per cycles Model'!$I$149:$I$179, MATCH(TRUNC(E363, 0), 'Profit per cycles Model'!$H$149:$H$179, 0))</f>
        <v>0.48475505627460136</v>
      </c>
      <c r="K363" s="27">
        <f>AVERAGE($AB$10:AB363)</f>
        <v>0.4269109392247602</v>
      </c>
      <c r="L363" s="28">
        <f t="shared" si="113"/>
        <v>0.1444250635185455</v>
      </c>
      <c r="M363" s="28">
        <f t="shared" si="114"/>
        <v>0.1444250635185455</v>
      </c>
      <c r="N363" s="28">
        <f t="shared" si="115"/>
        <v>999</v>
      </c>
      <c r="O363" s="28"/>
      <c r="P363" s="29">
        <f t="shared" si="131"/>
        <v>0.35400000000000026</v>
      </c>
      <c r="Q363" s="33">
        <f t="shared" si="116"/>
        <v>6.7114093959731544</v>
      </c>
      <c r="R363" s="33">
        <f t="shared" si="117"/>
        <v>6.7114093959731544</v>
      </c>
      <c r="S363" s="33">
        <f t="shared" si="118"/>
        <v>-1</v>
      </c>
      <c r="T363" s="27"/>
      <c r="U363" s="28">
        <f t="shared" si="119"/>
        <v>0.10964912280701754</v>
      </c>
      <c r="V363" s="25">
        <f t="shared" si="120"/>
        <v>999</v>
      </c>
      <c r="W363" s="35">
        <f t="shared" si="132"/>
        <v>25</v>
      </c>
      <c r="X363" s="33">
        <f t="shared" si="121"/>
        <v>25</v>
      </c>
      <c r="Y363" s="32">
        <f t="shared" si="122"/>
        <v>-1</v>
      </c>
      <c r="Z363" s="32"/>
      <c r="AA363" s="30">
        <f t="shared" si="123"/>
        <v>9.6973017394877417</v>
      </c>
      <c r="AB363" s="28">
        <f t="shared" si="124"/>
        <v>0.48475505627460136</v>
      </c>
      <c r="AC363" s="28">
        <f t="shared" si="125"/>
        <v>0.10964912280701754</v>
      </c>
      <c r="AD363" s="29">
        <f t="shared" si="126"/>
        <v>335.86337760910823</v>
      </c>
      <c r="AE363" s="28">
        <f t="shared" si="127"/>
        <v>0.10964912280701754</v>
      </c>
      <c r="AF363" s="28">
        <f t="shared" si="128"/>
        <v>0.37510593346758381</v>
      </c>
      <c r="AG363" s="28">
        <f t="shared" si="129"/>
        <v>0</v>
      </c>
      <c r="AI363" s="31">
        <f t="shared" si="130"/>
        <v>0.51126472485565111</v>
      </c>
      <c r="AJ363" s="25"/>
      <c r="AK363" s="31"/>
      <c r="AM363" s="27"/>
    </row>
    <row r="364" spans="4:39" x14ac:dyDescent="0.25">
      <c r="D364" s="25">
        <f>E364*'Profit per cycles Model'!$I$113</f>
        <v>3550</v>
      </c>
      <c r="E364" s="25">
        <v>9.724695247226407</v>
      </c>
      <c r="F364" s="28">
        <f t="shared" si="111"/>
        <v>0.28169014084507044</v>
      </c>
      <c r="G364" s="28">
        <f>'Battery Pricing Model'!$C$17/D364</f>
        <v>0.28169014084507044</v>
      </c>
      <c r="H364" s="28">
        <f t="shared" si="112"/>
        <v>999</v>
      </c>
      <c r="I364" s="28"/>
      <c r="J364" s="34">
        <f>INDEX('Profit per cycles Model'!$I$149:$I$179, MATCH(TRUNC(E364, 0), 'Profit per cycles Model'!$H$149:$H$179, 0))</f>
        <v>0.48475505627460136</v>
      </c>
      <c r="K364" s="27">
        <f>AVERAGE($AB$10:AB364)</f>
        <v>0.42707388039954847</v>
      </c>
      <c r="L364" s="28">
        <f t="shared" si="113"/>
        <v>0.14538373955447803</v>
      </c>
      <c r="M364" s="28">
        <f t="shared" si="114"/>
        <v>0.14538373955447803</v>
      </c>
      <c r="N364" s="28">
        <f t="shared" si="115"/>
        <v>999</v>
      </c>
      <c r="O364" s="28"/>
      <c r="P364" s="29">
        <f t="shared" si="131"/>
        <v>0.35500000000000026</v>
      </c>
      <c r="Q364" s="33">
        <f t="shared" si="116"/>
        <v>6.7114093959731544</v>
      </c>
      <c r="R364" s="33">
        <f t="shared" si="117"/>
        <v>6.7114093959731544</v>
      </c>
      <c r="S364" s="33">
        <f t="shared" si="118"/>
        <v>-1</v>
      </c>
      <c r="T364" s="27"/>
      <c r="U364" s="28">
        <f t="shared" si="119"/>
        <v>0.10964912280701754</v>
      </c>
      <c r="V364" s="25">
        <f t="shared" si="120"/>
        <v>999</v>
      </c>
      <c r="W364" s="35">
        <f t="shared" si="132"/>
        <v>25</v>
      </c>
      <c r="X364" s="33">
        <f t="shared" si="121"/>
        <v>25</v>
      </c>
      <c r="Y364" s="32">
        <f t="shared" si="122"/>
        <v>-1</v>
      </c>
      <c r="Z364" s="32"/>
      <c r="AA364" s="30">
        <f t="shared" si="123"/>
        <v>9.724695247226407</v>
      </c>
      <c r="AB364" s="28">
        <f t="shared" si="124"/>
        <v>0.48475505627460136</v>
      </c>
      <c r="AC364" s="28">
        <f t="shared" si="125"/>
        <v>0.10964912280701754</v>
      </c>
      <c r="AD364" s="29">
        <f t="shared" si="126"/>
        <v>336.81214421252372</v>
      </c>
      <c r="AE364" s="28">
        <f t="shared" si="127"/>
        <v>0.10964912280701754</v>
      </c>
      <c r="AF364" s="28">
        <f t="shared" si="128"/>
        <v>0.37510593346758381</v>
      </c>
      <c r="AG364" s="28">
        <f t="shared" si="129"/>
        <v>0</v>
      </c>
      <c r="AI364" s="31">
        <f t="shared" si="130"/>
        <v>0.51611227541839699</v>
      </c>
      <c r="AJ364" s="25"/>
      <c r="AK364" s="31"/>
      <c r="AM364" s="27"/>
    </row>
    <row r="365" spans="4:39" x14ac:dyDescent="0.25">
      <c r="D365" s="25">
        <f>E365*'Profit per cycles Model'!$I$113</f>
        <v>3559.9999999999995</v>
      </c>
      <c r="E365" s="25">
        <v>9.7520887549650723</v>
      </c>
      <c r="F365" s="28">
        <f t="shared" si="111"/>
        <v>0.2808988764044944</v>
      </c>
      <c r="G365" s="28">
        <f>'Battery Pricing Model'!$C$17/D365</f>
        <v>0.2808988764044944</v>
      </c>
      <c r="H365" s="28">
        <f t="shared" si="112"/>
        <v>999</v>
      </c>
      <c r="I365" s="28"/>
      <c r="J365" s="34">
        <f>INDEX('Profit per cycles Model'!$I$149:$I$179, MATCH(TRUNC(E365, 0), 'Profit per cycles Model'!$H$149:$H$179, 0))</f>
        <v>0.48475505627460136</v>
      </c>
      <c r="K365" s="27">
        <f>AVERAGE($AB$10:AB365)</f>
        <v>0.42723590617447832</v>
      </c>
      <c r="L365" s="28">
        <f t="shared" si="113"/>
        <v>0.14633702976998392</v>
      </c>
      <c r="M365" s="28">
        <f t="shared" si="114"/>
        <v>0.14633702976998392</v>
      </c>
      <c r="N365" s="28">
        <f t="shared" si="115"/>
        <v>999</v>
      </c>
      <c r="O365" s="28"/>
      <c r="P365" s="29">
        <f t="shared" si="131"/>
        <v>0.35600000000000026</v>
      </c>
      <c r="Q365" s="33">
        <f t="shared" si="116"/>
        <v>6.7114093959731544</v>
      </c>
      <c r="R365" s="33">
        <f t="shared" si="117"/>
        <v>6.7114093959731544</v>
      </c>
      <c r="S365" s="33">
        <f t="shared" si="118"/>
        <v>-1</v>
      </c>
      <c r="T365" s="27"/>
      <c r="U365" s="28">
        <f t="shared" si="119"/>
        <v>0.10964912280701754</v>
      </c>
      <c r="V365" s="25">
        <f t="shared" si="120"/>
        <v>999</v>
      </c>
      <c r="W365" s="35">
        <f t="shared" si="132"/>
        <v>25</v>
      </c>
      <c r="X365" s="33">
        <f t="shared" si="121"/>
        <v>25</v>
      </c>
      <c r="Y365" s="32">
        <f t="shared" si="122"/>
        <v>-1</v>
      </c>
      <c r="Z365" s="32"/>
      <c r="AA365" s="30">
        <f t="shared" si="123"/>
        <v>9.7520887549650723</v>
      </c>
      <c r="AB365" s="28">
        <f t="shared" si="124"/>
        <v>0.48475505627460136</v>
      </c>
      <c r="AC365" s="28">
        <f t="shared" si="125"/>
        <v>0.10964912280701754</v>
      </c>
      <c r="AD365" s="29">
        <f t="shared" si="126"/>
        <v>337.76091081593927</v>
      </c>
      <c r="AE365" s="28">
        <f t="shared" si="127"/>
        <v>0.10964912280701754</v>
      </c>
      <c r="AF365" s="28">
        <f t="shared" si="128"/>
        <v>0.37510593346758381</v>
      </c>
      <c r="AG365" s="28">
        <f t="shared" si="129"/>
        <v>0</v>
      </c>
      <c r="AI365" s="31">
        <f t="shared" si="130"/>
        <v>0.52095982598114265</v>
      </c>
      <c r="AJ365" s="25"/>
      <c r="AK365" s="31"/>
      <c r="AM365" s="27"/>
    </row>
    <row r="366" spans="4:39" x14ac:dyDescent="0.25">
      <c r="D366" s="25">
        <f>E366*'Profit per cycles Model'!$I$113</f>
        <v>3570</v>
      </c>
      <c r="E366" s="25">
        <v>9.7794822627037394</v>
      </c>
      <c r="F366" s="28">
        <f t="shared" si="111"/>
        <v>0.28011204481792717</v>
      </c>
      <c r="G366" s="28">
        <f>'Battery Pricing Model'!$C$17/D366</f>
        <v>0.28011204481792717</v>
      </c>
      <c r="H366" s="28">
        <f t="shared" si="112"/>
        <v>999</v>
      </c>
      <c r="I366" s="28"/>
      <c r="J366" s="34">
        <f>INDEX('Profit per cycles Model'!$I$149:$I$179, MATCH(TRUNC(E366, 0), 'Profit per cycles Model'!$H$149:$H$179, 0))</f>
        <v>0.48475505627460136</v>
      </c>
      <c r="K366" s="27">
        <f>AVERAGE($AB$10:AB366)</f>
        <v>0.42739702424198567</v>
      </c>
      <c r="L366" s="28">
        <f t="shared" si="113"/>
        <v>0.14728497942405849</v>
      </c>
      <c r="M366" s="28">
        <f t="shared" si="114"/>
        <v>0.14728497942405849</v>
      </c>
      <c r="N366" s="28">
        <f t="shared" si="115"/>
        <v>999</v>
      </c>
      <c r="O366" s="28"/>
      <c r="P366" s="29">
        <f t="shared" si="131"/>
        <v>0.35700000000000026</v>
      </c>
      <c r="Q366" s="33">
        <f t="shared" si="116"/>
        <v>6.7114093959731544</v>
      </c>
      <c r="R366" s="33">
        <f t="shared" si="117"/>
        <v>6.7114093959731544</v>
      </c>
      <c r="S366" s="33">
        <f t="shared" si="118"/>
        <v>-1</v>
      </c>
      <c r="T366" s="27"/>
      <c r="U366" s="28">
        <f t="shared" si="119"/>
        <v>0.10964912280701754</v>
      </c>
      <c r="V366" s="25">
        <f t="shared" si="120"/>
        <v>999</v>
      </c>
      <c r="W366" s="35">
        <f t="shared" si="132"/>
        <v>25</v>
      </c>
      <c r="X366" s="33">
        <f t="shared" si="121"/>
        <v>25</v>
      </c>
      <c r="Y366" s="32">
        <f t="shared" si="122"/>
        <v>-1</v>
      </c>
      <c r="Z366" s="32"/>
      <c r="AA366" s="30">
        <f t="shared" si="123"/>
        <v>9.7794822627037394</v>
      </c>
      <c r="AB366" s="28">
        <f t="shared" si="124"/>
        <v>0.48475505627460136</v>
      </c>
      <c r="AC366" s="28">
        <f t="shared" si="125"/>
        <v>0.10964912280701754</v>
      </c>
      <c r="AD366" s="29">
        <f t="shared" si="126"/>
        <v>338.70967741935488</v>
      </c>
      <c r="AE366" s="28">
        <f t="shared" si="127"/>
        <v>0.10964912280701754</v>
      </c>
      <c r="AF366" s="28">
        <f t="shared" si="128"/>
        <v>0.37510593346758381</v>
      </c>
      <c r="AG366" s="28">
        <f t="shared" si="129"/>
        <v>0</v>
      </c>
      <c r="AI366" s="31">
        <f t="shared" si="130"/>
        <v>0.52580737654388876</v>
      </c>
      <c r="AJ366" s="25"/>
      <c r="AK366" s="31"/>
      <c r="AM366" s="27"/>
    </row>
    <row r="367" spans="4:39" x14ac:dyDescent="0.25">
      <c r="D367" s="25">
        <f>E367*'Profit per cycles Model'!$I$113</f>
        <v>3580</v>
      </c>
      <c r="E367" s="25">
        <v>9.8068757704424048</v>
      </c>
      <c r="F367" s="28">
        <f t="shared" si="111"/>
        <v>0.27932960893854747</v>
      </c>
      <c r="G367" s="28">
        <f>'Battery Pricing Model'!$C$17/D367</f>
        <v>0.27932960893854747</v>
      </c>
      <c r="H367" s="28">
        <f t="shared" si="112"/>
        <v>999</v>
      </c>
      <c r="I367" s="28"/>
      <c r="J367" s="34">
        <f>INDEX('Profit per cycles Model'!$I$149:$I$179, MATCH(TRUNC(E367, 0), 'Profit per cycles Model'!$H$149:$H$179, 0))</f>
        <v>0.48475505627460136</v>
      </c>
      <c r="K367" s="27">
        <f>AVERAGE($AB$10:AB367)</f>
        <v>0.42755724220855718</v>
      </c>
      <c r="L367" s="28">
        <f t="shared" si="113"/>
        <v>0.14822763327000971</v>
      </c>
      <c r="M367" s="28">
        <f t="shared" si="114"/>
        <v>0.14822763327000971</v>
      </c>
      <c r="N367" s="28">
        <f t="shared" si="115"/>
        <v>999</v>
      </c>
      <c r="O367" s="28"/>
      <c r="P367" s="29">
        <f t="shared" si="131"/>
        <v>0.35800000000000026</v>
      </c>
      <c r="Q367" s="33">
        <f t="shared" si="116"/>
        <v>6.7114093959731544</v>
      </c>
      <c r="R367" s="33">
        <f t="shared" si="117"/>
        <v>6.7114093959731544</v>
      </c>
      <c r="S367" s="33">
        <f t="shared" si="118"/>
        <v>-1</v>
      </c>
      <c r="T367" s="27"/>
      <c r="U367" s="28">
        <f t="shared" si="119"/>
        <v>0.10964912280701754</v>
      </c>
      <c r="V367" s="25">
        <f t="shared" si="120"/>
        <v>999</v>
      </c>
      <c r="W367" s="35">
        <f t="shared" si="132"/>
        <v>25</v>
      </c>
      <c r="X367" s="33">
        <f t="shared" si="121"/>
        <v>25</v>
      </c>
      <c r="Y367" s="32">
        <f t="shared" si="122"/>
        <v>-1</v>
      </c>
      <c r="Z367" s="32"/>
      <c r="AA367" s="30">
        <f t="shared" si="123"/>
        <v>9.8068757704424048</v>
      </c>
      <c r="AB367" s="28">
        <f t="shared" si="124"/>
        <v>0.48475505627460136</v>
      </c>
      <c r="AC367" s="28">
        <f t="shared" si="125"/>
        <v>0.10964912280701754</v>
      </c>
      <c r="AD367" s="29">
        <f t="shared" si="126"/>
        <v>339.65844402277037</v>
      </c>
      <c r="AE367" s="28">
        <f t="shared" si="127"/>
        <v>0.10964912280701754</v>
      </c>
      <c r="AF367" s="28">
        <f t="shared" si="128"/>
        <v>0.37510593346758381</v>
      </c>
      <c r="AG367" s="28">
        <f t="shared" si="129"/>
        <v>0</v>
      </c>
      <c r="AI367" s="31">
        <f t="shared" si="130"/>
        <v>0.53065492710663476</v>
      </c>
      <c r="AJ367" s="25"/>
      <c r="AK367" s="31"/>
      <c r="AM367" s="27"/>
    </row>
    <row r="368" spans="4:39" x14ac:dyDescent="0.25">
      <c r="D368" s="25">
        <f>E368*'Profit per cycles Model'!$I$113</f>
        <v>3589.9999999999995</v>
      </c>
      <c r="E368" s="25">
        <v>9.8342692781810701</v>
      </c>
      <c r="F368" s="28">
        <f t="shared" si="111"/>
        <v>0.2785515320334262</v>
      </c>
      <c r="G368" s="28">
        <f>'Battery Pricing Model'!$C$17/D368</f>
        <v>0.2785515320334262</v>
      </c>
      <c r="H368" s="28">
        <f t="shared" si="112"/>
        <v>999</v>
      </c>
      <c r="I368" s="28"/>
      <c r="J368" s="34">
        <f>INDEX('Profit per cycles Model'!$I$149:$I$179, MATCH(TRUNC(E368, 0), 'Profit per cycles Model'!$H$149:$H$179, 0))</f>
        <v>0.48475505627460136</v>
      </c>
      <c r="K368" s="27">
        <f>AVERAGE($AB$10:AB368)</f>
        <v>0.4277165675959278</v>
      </c>
      <c r="L368" s="28">
        <f t="shared" si="113"/>
        <v>0.1491650355625016</v>
      </c>
      <c r="M368" s="28">
        <f t="shared" si="114"/>
        <v>0.1491650355625016</v>
      </c>
      <c r="N368" s="28">
        <f t="shared" si="115"/>
        <v>999</v>
      </c>
      <c r="O368" s="28"/>
      <c r="P368" s="29">
        <f t="shared" si="131"/>
        <v>0.35900000000000026</v>
      </c>
      <c r="Q368" s="33">
        <f t="shared" si="116"/>
        <v>6.7114093959731544</v>
      </c>
      <c r="R368" s="33">
        <f t="shared" si="117"/>
        <v>6.7114093959731544</v>
      </c>
      <c r="S368" s="33">
        <f t="shared" si="118"/>
        <v>-1</v>
      </c>
      <c r="T368" s="27"/>
      <c r="U368" s="28">
        <f t="shared" si="119"/>
        <v>0.10964912280701754</v>
      </c>
      <c r="V368" s="25">
        <f t="shared" si="120"/>
        <v>999</v>
      </c>
      <c r="W368" s="35">
        <f t="shared" si="132"/>
        <v>25</v>
      </c>
      <c r="X368" s="33">
        <f t="shared" si="121"/>
        <v>25</v>
      </c>
      <c r="Y368" s="32">
        <f t="shared" si="122"/>
        <v>-1</v>
      </c>
      <c r="Z368" s="32"/>
      <c r="AA368" s="30">
        <f t="shared" si="123"/>
        <v>9.8342692781810701</v>
      </c>
      <c r="AB368" s="28">
        <f t="shared" si="124"/>
        <v>0.48475505627460136</v>
      </c>
      <c r="AC368" s="28">
        <f t="shared" si="125"/>
        <v>0.10964912280701754</v>
      </c>
      <c r="AD368" s="29">
        <f t="shared" si="126"/>
        <v>340.60721062618592</v>
      </c>
      <c r="AE368" s="28">
        <f t="shared" si="127"/>
        <v>0.10964912280701754</v>
      </c>
      <c r="AF368" s="28">
        <f t="shared" si="128"/>
        <v>0.37510593346758381</v>
      </c>
      <c r="AG368" s="28">
        <f t="shared" si="129"/>
        <v>0</v>
      </c>
      <c r="AI368" s="31">
        <f t="shared" si="130"/>
        <v>0.53550247766938075</v>
      </c>
      <c r="AJ368" s="25"/>
      <c r="AK368" s="31"/>
      <c r="AM368" s="27"/>
    </row>
    <row r="369" spans="4:39" x14ac:dyDescent="0.25">
      <c r="D369" s="25">
        <f>E369*'Profit per cycles Model'!$I$113</f>
        <v>3600</v>
      </c>
      <c r="E369" s="25">
        <v>9.8616627859197372</v>
      </c>
      <c r="F369" s="28">
        <f t="shared" si="111"/>
        <v>0.27777777777777779</v>
      </c>
      <c r="G369" s="28">
        <f>'Battery Pricing Model'!$C$17/D369</f>
        <v>0.27777777777777779</v>
      </c>
      <c r="H369" s="28">
        <f t="shared" si="112"/>
        <v>999</v>
      </c>
      <c r="I369" s="28"/>
      <c r="J369" s="34">
        <f>INDEX('Profit per cycles Model'!$I$149:$I$179, MATCH(TRUNC(E369, 0), 'Profit per cycles Model'!$H$149:$H$179, 0))</f>
        <v>0.48475505627460136</v>
      </c>
      <c r="K369" s="27">
        <f>AVERAGE($AB$10:AB369)</f>
        <v>0.4278750078422574</v>
      </c>
      <c r="L369" s="28">
        <f t="shared" si="113"/>
        <v>0.15009723006447961</v>
      </c>
      <c r="M369" s="28">
        <f t="shared" si="114"/>
        <v>0.15009723006447961</v>
      </c>
      <c r="N369" s="28">
        <f t="shared" si="115"/>
        <v>999</v>
      </c>
      <c r="O369" s="28"/>
      <c r="P369" s="29">
        <f t="shared" si="131"/>
        <v>0.36000000000000026</v>
      </c>
      <c r="Q369" s="33">
        <f t="shared" si="116"/>
        <v>6.7114093959731544</v>
      </c>
      <c r="R369" s="33">
        <f t="shared" si="117"/>
        <v>6.7114093959731544</v>
      </c>
      <c r="S369" s="33">
        <f t="shared" si="118"/>
        <v>-1</v>
      </c>
      <c r="T369" s="27"/>
      <c r="U369" s="28">
        <f t="shared" si="119"/>
        <v>0.10964912280701754</v>
      </c>
      <c r="V369" s="25">
        <f t="shared" si="120"/>
        <v>999</v>
      </c>
      <c r="W369" s="35">
        <f t="shared" si="132"/>
        <v>25</v>
      </c>
      <c r="X369" s="33">
        <f t="shared" si="121"/>
        <v>25</v>
      </c>
      <c r="Y369" s="32">
        <f t="shared" si="122"/>
        <v>-1</v>
      </c>
      <c r="Z369" s="32"/>
      <c r="AA369" s="30">
        <f t="shared" si="123"/>
        <v>9.8616627859197372</v>
      </c>
      <c r="AB369" s="28">
        <f t="shared" si="124"/>
        <v>0.48475505627460136</v>
      </c>
      <c r="AC369" s="28">
        <f t="shared" si="125"/>
        <v>0.10964912280701754</v>
      </c>
      <c r="AD369" s="29">
        <f t="shared" si="126"/>
        <v>341.55597722960158</v>
      </c>
      <c r="AE369" s="28">
        <f t="shared" si="127"/>
        <v>0.10964912280701754</v>
      </c>
      <c r="AF369" s="28">
        <f t="shared" si="128"/>
        <v>0.37510593346758381</v>
      </c>
      <c r="AG369" s="28">
        <f t="shared" si="129"/>
        <v>0</v>
      </c>
      <c r="AI369" s="31">
        <f t="shared" si="130"/>
        <v>0.54035002823212663</v>
      </c>
      <c r="AJ369" s="25"/>
      <c r="AK369" s="31"/>
      <c r="AM369" s="27"/>
    </row>
    <row r="370" spans="4:39" x14ac:dyDescent="0.25">
      <c r="D370" s="25">
        <f>E370*'Profit per cycles Model'!$I$113</f>
        <v>3610</v>
      </c>
      <c r="E370" s="25">
        <v>9.8890562936584026</v>
      </c>
      <c r="F370" s="28">
        <f t="shared" si="111"/>
        <v>0.2770083102493075</v>
      </c>
      <c r="G370" s="28">
        <f>'Battery Pricing Model'!$C$17/D370</f>
        <v>0.2770083102493075</v>
      </c>
      <c r="H370" s="28">
        <f t="shared" si="112"/>
        <v>999</v>
      </c>
      <c r="I370" s="28"/>
      <c r="J370" s="34">
        <f>INDEX('Profit per cycles Model'!$I$149:$I$179, MATCH(TRUNC(E370, 0), 'Profit per cycles Model'!$H$149:$H$179, 0))</f>
        <v>0.48475505627460136</v>
      </c>
      <c r="K370" s="27">
        <f>AVERAGE($AB$10:AB370)</f>
        <v>0.42803257030328878</v>
      </c>
      <c r="L370" s="28">
        <f t="shared" si="113"/>
        <v>0.15102426005398129</v>
      </c>
      <c r="M370" s="28">
        <f t="shared" si="114"/>
        <v>0.15102426005398129</v>
      </c>
      <c r="N370" s="28">
        <f t="shared" si="115"/>
        <v>999</v>
      </c>
      <c r="O370" s="28"/>
      <c r="P370" s="29">
        <f t="shared" si="131"/>
        <v>0.36100000000000027</v>
      </c>
      <c r="Q370" s="33">
        <f t="shared" si="116"/>
        <v>6.7114093959731544</v>
      </c>
      <c r="R370" s="33">
        <f t="shared" si="117"/>
        <v>6.7114093959731544</v>
      </c>
      <c r="S370" s="33">
        <f t="shared" si="118"/>
        <v>-1</v>
      </c>
      <c r="T370" s="27"/>
      <c r="U370" s="28">
        <f t="shared" si="119"/>
        <v>0.10964912280701754</v>
      </c>
      <c r="V370" s="25">
        <f t="shared" si="120"/>
        <v>999</v>
      </c>
      <c r="W370" s="35">
        <f t="shared" si="132"/>
        <v>25</v>
      </c>
      <c r="X370" s="33">
        <f t="shared" si="121"/>
        <v>25</v>
      </c>
      <c r="Y370" s="32">
        <f t="shared" si="122"/>
        <v>-1</v>
      </c>
      <c r="Z370" s="32"/>
      <c r="AA370" s="30">
        <f t="shared" si="123"/>
        <v>9.8890562936584026</v>
      </c>
      <c r="AB370" s="28">
        <f t="shared" si="124"/>
        <v>0.48475505627460136</v>
      </c>
      <c r="AC370" s="28">
        <f t="shared" si="125"/>
        <v>0.10964912280701754</v>
      </c>
      <c r="AD370" s="29">
        <f t="shared" si="126"/>
        <v>342.50474383301707</v>
      </c>
      <c r="AE370" s="28">
        <f t="shared" si="127"/>
        <v>0.10964912280701754</v>
      </c>
      <c r="AF370" s="28">
        <f t="shared" si="128"/>
        <v>0.37510593346758381</v>
      </c>
      <c r="AG370" s="28">
        <f t="shared" si="129"/>
        <v>0</v>
      </c>
      <c r="AI370" s="31">
        <f t="shared" si="130"/>
        <v>0.54519757879487241</v>
      </c>
      <c r="AJ370" s="25"/>
      <c r="AK370" s="31"/>
      <c r="AM370" s="27"/>
    </row>
    <row r="371" spans="4:39" x14ac:dyDescent="0.25">
      <c r="D371" s="25">
        <f>E371*'Profit per cycles Model'!$I$113</f>
        <v>3619.9999999999995</v>
      </c>
      <c r="E371" s="25">
        <v>9.9164498013970679</v>
      </c>
      <c r="F371" s="28">
        <f t="shared" si="111"/>
        <v>0.27624309392265195</v>
      </c>
      <c r="G371" s="28">
        <f>'Battery Pricing Model'!$C$17/D371</f>
        <v>0.27624309392265195</v>
      </c>
      <c r="H371" s="28">
        <f t="shared" si="112"/>
        <v>999</v>
      </c>
      <c r="I371" s="28"/>
      <c r="J371" s="34">
        <f>INDEX('Profit per cycles Model'!$I$149:$I$179, MATCH(TRUNC(E371, 0), 'Profit per cycles Model'!$H$149:$H$179, 0))</f>
        <v>0.48475505627460136</v>
      </c>
      <c r="K371" s="27">
        <f>AVERAGE($AB$10:AB371)</f>
        <v>0.4281892622534858</v>
      </c>
      <c r="L371" s="28">
        <f t="shared" si="113"/>
        <v>0.15194616833083385</v>
      </c>
      <c r="M371" s="28">
        <f t="shared" si="114"/>
        <v>0.15194616833083385</v>
      </c>
      <c r="N371" s="28">
        <f t="shared" si="115"/>
        <v>999</v>
      </c>
      <c r="O371" s="28"/>
      <c r="P371" s="29">
        <f t="shared" si="131"/>
        <v>0.36200000000000027</v>
      </c>
      <c r="Q371" s="33">
        <f t="shared" si="116"/>
        <v>6.7114093959731544</v>
      </c>
      <c r="R371" s="33">
        <f t="shared" si="117"/>
        <v>6.7114093959731544</v>
      </c>
      <c r="S371" s="33">
        <f t="shared" si="118"/>
        <v>-1</v>
      </c>
      <c r="T371" s="27"/>
      <c r="U371" s="28">
        <f t="shared" si="119"/>
        <v>0.10964912280701754</v>
      </c>
      <c r="V371" s="25">
        <f t="shared" si="120"/>
        <v>999</v>
      </c>
      <c r="W371" s="35">
        <f t="shared" si="132"/>
        <v>25</v>
      </c>
      <c r="X371" s="33">
        <f t="shared" si="121"/>
        <v>25</v>
      </c>
      <c r="Y371" s="32">
        <f t="shared" si="122"/>
        <v>-1</v>
      </c>
      <c r="Z371" s="32"/>
      <c r="AA371" s="30">
        <f t="shared" si="123"/>
        <v>9.9164498013970679</v>
      </c>
      <c r="AB371" s="28">
        <f t="shared" si="124"/>
        <v>0.48475505627460136</v>
      </c>
      <c r="AC371" s="28">
        <f t="shared" si="125"/>
        <v>0.10964912280701754</v>
      </c>
      <c r="AD371" s="29">
        <f t="shared" si="126"/>
        <v>343.45351043643262</v>
      </c>
      <c r="AE371" s="28">
        <f t="shared" si="127"/>
        <v>0.10964912280701754</v>
      </c>
      <c r="AF371" s="28">
        <f t="shared" si="128"/>
        <v>0.37510593346758381</v>
      </c>
      <c r="AG371" s="28">
        <f t="shared" si="129"/>
        <v>0</v>
      </c>
      <c r="AI371" s="31">
        <f t="shared" si="130"/>
        <v>0.55004512935761851</v>
      </c>
      <c r="AJ371" s="25"/>
      <c r="AK371" s="31"/>
      <c r="AM371" s="27"/>
    </row>
    <row r="372" spans="4:39" x14ac:dyDescent="0.25">
      <c r="D372" s="25">
        <f>E372*'Profit per cycles Model'!$I$113</f>
        <v>3630</v>
      </c>
      <c r="E372" s="25">
        <v>9.943843309135735</v>
      </c>
      <c r="F372" s="28">
        <f t="shared" si="111"/>
        <v>0.27548209366391185</v>
      </c>
      <c r="G372" s="28">
        <f>'Battery Pricing Model'!$C$17/D372</f>
        <v>0.27548209366391185</v>
      </c>
      <c r="H372" s="28">
        <f t="shared" si="112"/>
        <v>999</v>
      </c>
      <c r="I372" s="28"/>
      <c r="J372" s="34">
        <f>INDEX('Profit per cycles Model'!$I$149:$I$179, MATCH(TRUNC(E372, 0), 'Profit per cycles Model'!$H$149:$H$179, 0))</f>
        <v>0.48475505627460136</v>
      </c>
      <c r="K372" s="27">
        <f>AVERAGE($AB$10:AB372)</f>
        <v>0.42834509088715272</v>
      </c>
      <c r="L372" s="28">
        <f t="shared" si="113"/>
        <v>0.15286299722324087</v>
      </c>
      <c r="M372" s="28">
        <f t="shared" si="114"/>
        <v>0.15286299722324087</v>
      </c>
      <c r="N372" s="28">
        <f t="shared" si="115"/>
        <v>999</v>
      </c>
      <c r="O372" s="28"/>
      <c r="P372" s="29">
        <f t="shared" si="131"/>
        <v>0.36300000000000027</v>
      </c>
      <c r="Q372" s="33">
        <f t="shared" si="116"/>
        <v>6.7114093959731544</v>
      </c>
      <c r="R372" s="33">
        <f t="shared" si="117"/>
        <v>6.7114093959731544</v>
      </c>
      <c r="S372" s="33">
        <f t="shared" si="118"/>
        <v>-1</v>
      </c>
      <c r="T372" s="27"/>
      <c r="U372" s="28">
        <f t="shared" si="119"/>
        <v>0.10964912280701754</v>
      </c>
      <c r="V372" s="25">
        <f t="shared" si="120"/>
        <v>999</v>
      </c>
      <c r="W372" s="35">
        <f t="shared" si="132"/>
        <v>25</v>
      </c>
      <c r="X372" s="33">
        <f t="shared" si="121"/>
        <v>25</v>
      </c>
      <c r="Y372" s="32">
        <f t="shared" si="122"/>
        <v>-1</v>
      </c>
      <c r="Z372" s="32"/>
      <c r="AA372" s="30">
        <f t="shared" si="123"/>
        <v>9.943843309135735</v>
      </c>
      <c r="AB372" s="28">
        <f t="shared" si="124"/>
        <v>0.48475505627460136</v>
      </c>
      <c r="AC372" s="28">
        <f t="shared" si="125"/>
        <v>0.10964912280701754</v>
      </c>
      <c r="AD372" s="29">
        <f t="shared" si="126"/>
        <v>344.40227703984823</v>
      </c>
      <c r="AE372" s="28">
        <f t="shared" si="127"/>
        <v>0.10964912280701754</v>
      </c>
      <c r="AF372" s="28">
        <f t="shared" si="128"/>
        <v>0.37510593346758381</v>
      </c>
      <c r="AG372" s="28">
        <f t="shared" si="129"/>
        <v>0</v>
      </c>
      <c r="AI372" s="31">
        <f t="shared" si="130"/>
        <v>0.5548926799203644</v>
      </c>
      <c r="AJ372" s="25"/>
      <c r="AK372" s="31"/>
      <c r="AM372" s="27"/>
    </row>
    <row r="373" spans="4:39" x14ac:dyDescent="0.25">
      <c r="D373" s="25">
        <f>E373*'Profit per cycles Model'!$I$113</f>
        <v>3640</v>
      </c>
      <c r="E373" s="25">
        <v>9.9712368168744003</v>
      </c>
      <c r="F373" s="28">
        <f t="shared" si="111"/>
        <v>0.27472527472527475</v>
      </c>
      <c r="G373" s="28">
        <f>'Battery Pricing Model'!$C$17/D373</f>
        <v>0.27472527472527475</v>
      </c>
      <c r="H373" s="28">
        <f t="shared" si="112"/>
        <v>999</v>
      </c>
      <c r="I373" s="28"/>
      <c r="J373" s="34">
        <f>INDEX('Profit per cycles Model'!$I$149:$I$179, MATCH(TRUNC(E373, 0), 'Profit per cycles Model'!$H$149:$H$179, 0))</f>
        <v>0.48475505627460136</v>
      </c>
      <c r="K373" s="27">
        <f>AVERAGE($AB$10:AB373)</f>
        <v>0.42850006331953583</v>
      </c>
      <c r="L373" s="28">
        <f t="shared" si="113"/>
        <v>0.15377478859426108</v>
      </c>
      <c r="M373" s="28">
        <f t="shared" si="114"/>
        <v>0.15377478859426108</v>
      </c>
      <c r="N373" s="28">
        <f t="shared" si="115"/>
        <v>999</v>
      </c>
      <c r="O373" s="28"/>
      <c r="P373" s="29">
        <f t="shared" si="131"/>
        <v>0.36400000000000027</v>
      </c>
      <c r="Q373" s="33">
        <f t="shared" si="116"/>
        <v>6.7114093959731544</v>
      </c>
      <c r="R373" s="33">
        <f t="shared" si="117"/>
        <v>6.7114093959731544</v>
      </c>
      <c r="S373" s="33">
        <f t="shared" si="118"/>
        <v>-1</v>
      </c>
      <c r="T373" s="27"/>
      <c r="U373" s="28">
        <f t="shared" si="119"/>
        <v>0.10964912280701754</v>
      </c>
      <c r="V373" s="25">
        <f t="shared" si="120"/>
        <v>999</v>
      </c>
      <c r="W373" s="35">
        <f t="shared" si="132"/>
        <v>25</v>
      </c>
      <c r="X373" s="33">
        <f t="shared" si="121"/>
        <v>25</v>
      </c>
      <c r="Y373" s="32">
        <f t="shared" si="122"/>
        <v>-1</v>
      </c>
      <c r="Z373" s="32"/>
      <c r="AA373" s="30">
        <f t="shared" si="123"/>
        <v>9.9712368168744003</v>
      </c>
      <c r="AB373" s="28">
        <f t="shared" si="124"/>
        <v>0.48475505627460136</v>
      </c>
      <c r="AC373" s="28">
        <f t="shared" si="125"/>
        <v>0.10964912280701754</v>
      </c>
      <c r="AD373" s="29">
        <f t="shared" si="126"/>
        <v>345.35104364326372</v>
      </c>
      <c r="AE373" s="28">
        <f t="shared" si="127"/>
        <v>0.10964912280701754</v>
      </c>
      <c r="AF373" s="28">
        <f t="shared" si="128"/>
        <v>0.37510593346758381</v>
      </c>
      <c r="AG373" s="28">
        <f t="shared" si="129"/>
        <v>0</v>
      </c>
      <c r="AI373" s="31">
        <f t="shared" si="130"/>
        <v>0.55974023048311028</v>
      </c>
      <c r="AJ373" s="25"/>
      <c r="AK373" s="31"/>
      <c r="AM373" s="27"/>
    </row>
    <row r="374" spans="4:39" x14ac:dyDescent="0.25">
      <c r="D374" s="25">
        <f>E374*'Profit per cycles Model'!$I$113</f>
        <v>3649.9999999999995</v>
      </c>
      <c r="E374" s="25">
        <v>9.9986303246130657</v>
      </c>
      <c r="F374" s="28">
        <f t="shared" si="111"/>
        <v>0.27397260273972607</v>
      </c>
      <c r="G374" s="28">
        <f>'Battery Pricing Model'!$C$17/D374</f>
        <v>0.27397260273972607</v>
      </c>
      <c r="H374" s="28">
        <f t="shared" si="112"/>
        <v>999</v>
      </c>
      <c r="I374" s="28"/>
      <c r="J374" s="34">
        <f>INDEX('Profit per cycles Model'!$I$149:$I$179, MATCH(TRUNC(E374, 0), 'Profit per cycles Model'!$H$149:$H$179, 0))</f>
        <v>0.48475505627460136</v>
      </c>
      <c r="K374" s="27">
        <f>AVERAGE($AB$10:AB374)</f>
        <v>0.42865418658790583</v>
      </c>
      <c r="L374" s="28">
        <f t="shared" si="113"/>
        <v>0.15468158384817976</v>
      </c>
      <c r="M374" s="28">
        <f t="shared" si="114"/>
        <v>0.15468158384817976</v>
      </c>
      <c r="N374" s="28">
        <f t="shared" si="115"/>
        <v>999</v>
      </c>
      <c r="O374" s="28"/>
      <c r="P374" s="29">
        <f t="shared" si="131"/>
        <v>0.36500000000000027</v>
      </c>
      <c r="Q374" s="33">
        <f t="shared" si="116"/>
        <v>6.7114093959731544</v>
      </c>
      <c r="R374" s="33">
        <f t="shared" si="117"/>
        <v>6.7114093959731544</v>
      </c>
      <c r="S374" s="33">
        <f t="shared" si="118"/>
        <v>-1</v>
      </c>
      <c r="T374" s="27"/>
      <c r="U374" s="28">
        <f t="shared" si="119"/>
        <v>0.10964912280701754</v>
      </c>
      <c r="V374" s="25">
        <f t="shared" si="120"/>
        <v>999</v>
      </c>
      <c r="W374" s="35">
        <f t="shared" si="132"/>
        <v>25</v>
      </c>
      <c r="X374" s="33">
        <f t="shared" si="121"/>
        <v>25</v>
      </c>
      <c r="Y374" s="32">
        <f t="shared" si="122"/>
        <v>-1</v>
      </c>
      <c r="Z374" s="32"/>
      <c r="AA374" s="30">
        <f t="shared" si="123"/>
        <v>9.9986303246130657</v>
      </c>
      <c r="AB374" s="28">
        <f t="shared" si="124"/>
        <v>0.48475505627460136</v>
      </c>
      <c r="AC374" s="28">
        <f t="shared" si="125"/>
        <v>0.10964912280701754</v>
      </c>
      <c r="AD374" s="29">
        <f t="shared" si="126"/>
        <v>346.29981024667933</v>
      </c>
      <c r="AE374" s="28">
        <f t="shared" si="127"/>
        <v>0.10964912280701754</v>
      </c>
      <c r="AF374" s="28">
        <f t="shared" si="128"/>
        <v>0.37510593346758381</v>
      </c>
      <c r="AG374" s="28">
        <f t="shared" si="129"/>
        <v>0</v>
      </c>
      <c r="AI374" s="31">
        <f t="shared" si="130"/>
        <v>0.56458778104585605</v>
      </c>
      <c r="AJ374" s="25"/>
      <c r="AK374" s="31"/>
      <c r="AM374" s="27"/>
    </row>
    <row r="375" spans="4:39" x14ac:dyDescent="0.25">
      <c r="D375" s="25">
        <f>E375*'Profit per cycles Model'!$I$113</f>
        <v>3660</v>
      </c>
      <c r="E375" s="25">
        <v>10.026023832351733</v>
      </c>
      <c r="F375" s="28">
        <f t="shared" si="111"/>
        <v>0.27322404371584702</v>
      </c>
      <c r="G375" s="28">
        <f>'Battery Pricing Model'!$C$17/D375</f>
        <v>0.27322404371584702</v>
      </c>
      <c r="H375" s="28">
        <f t="shared" si="112"/>
        <v>999</v>
      </c>
      <c r="I375" s="28"/>
      <c r="J375" s="34">
        <f>INDEX('Profit per cycles Model'!$I$149:$I$179, MATCH(TRUNC(E375, 0), 'Profit per cycles Model'!$H$149:$H$179, 0))</f>
        <v>0.49840334444617229</v>
      </c>
      <c r="K375" s="27">
        <f>AVERAGE($AB$10:AB375)</f>
        <v>0.42884475805746392</v>
      </c>
      <c r="L375" s="28">
        <f t="shared" si="113"/>
        <v>0.15562071434161689</v>
      </c>
      <c r="M375" s="28">
        <f t="shared" si="114"/>
        <v>0.15562071434161689</v>
      </c>
      <c r="N375" s="28">
        <f t="shared" si="115"/>
        <v>999</v>
      </c>
      <c r="O375" s="28"/>
      <c r="P375" s="29">
        <f t="shared" si="131"/>
        <v>0.36600000000000027</v>
      </c>
      <c r="Q375" s="33">
        <f t="shared" si="116"/>
        <v>6.7114093959731544</v>
      </c>
      <c r="R375" s="33">
        <f t="shared" si="117"/>
        <v>6.7114093959731544</v>
      </c>
      <c r="S375" s="33">
        <f t="shared" si="118"/>
        <v>-1</v>
      </c>
      <c r="T375" s="27"/>
      <c r="U375" s="28">
        <f t="shared" si="119"/>
        <v>0.10964912280701754</v>
      </c>
      <c r="V375" s="25">
        <f t="shared" si="120"/>
        <v>999</v>
      </c>
      <c r="W375" s="35">
        <f t="shared" si="132"/>
        <v>25</v>
      </c>
      <c r="X375" s="33">
        <f t="shared" si="121"/>
        <v>25</v>
      </c>
      <c r="Y375" s="32">
        <f t="shared" si="122"/>
        <v>-1</v>
      </c>
      <c r="Z375" s="32"/>
      <c r="AA375" s="30">
        <f t="shared" si="123"/>
        <v>10.026023832351733</v>
      </c>
      <c r="AB375" s="28">
        <f t="shared" si="124"/>
        <v>0.49840334444617229</v>
      </c>
      <c r="AC375" s="28">
        <f t="shared" si="125"/>
        <v>0.10964912280701754</v>
      </c>
      <c r="AD375" s="29">
        <f t="shared" si="126"/>
        <v>347.24857685009493</v>
      </c>
      <c r="AE375" s="28">
        <f t="shared" si="127"/>
        <v>0.10964912280701754</v>
      </c>
      <c r="AF375" s="28">
        <f t="shared" si="128"/>
        <v>0.38875422163915474</v>
      </c>
      <c r="AG375" s="28">
        <f t="shared" si="129"/>
        <v>0</v>
      </c>
      <c r="AI375" s="31">
        <f t="shared" si="130"/>
        <v>0.5695718144903178</v>
      </c>
      <c r="AJ375" s="25"/>
      <c r="AK375" s="31"/>
      <c r="AM375" s="27"/>
    </row>
    <row r="376" spans="4:39" x14ac:dyDescent="0.25">
      <c r="D376" s="25">
        <f>E376*'Profit per cycles Model'!$I$113</f>
        <v>3670</v>
      </c>
      <c r="E376" s="25">
        <v>10.053417340090398</v>
      </c>
      <c r="F376" s="28">
        <f t="shared" si="111"/>
        <v>0.27247956403269757</v>
      </c>
      <c r="G376" s="28">
        <f>'Battery Pricing Model'!$C$17/D376</f>
        <v>0.27247956403269757</v>
      </c>
      <c r="H376" s="28">
        <f t="shared" si="112"/>
        <v>999</v>
      </c>
      <c r="I376" s="28"/>
      <c r="J376" s="34">
        <f>INDEX('Profit per cycles Model'!$I$149:$I$179, MATCH(TRUNC(E376, 0), 'Profit per cycles Model'!$H$149:$H$179, 0))</f>
        <v>0.49840334444617229</v>
      </c>
      <c r="K376" s="27">
        <f>AVERAGE($AB$10:AB376)</f>
        <v>0.42903429099040313</v>
      </c>
      <c r="L376" s="28">
        <f t="shared" si="113"/>
        <v>0.15655472695770556</v>
      </c>
      <c r="M376" s="28">
        <f t="shared" si="114"/>
        <v>0.15655472695770556</v>
      </c>
      <c r="N376" s="28">
        <f t="shared" si="115"/>
        <v>999</v>
      </c>
      <c r="O376" s="28"/>
      <c r="P376" s="29">
        <f t="shared" si="131"/>
        <v>0.36700000000000027</v>
      </c>
      <c r="Q376" s="33">
        <f t="shared" si="116"/>
        <v>6.7114093959731544</v>
      </c>
      <c r="R376" s="33">
        <f t="shared" si="117"/>
        <v>6.7114093959731544</v>
      </c>
      <c r="S376" s="33">
        <f t="shared" si="118"/>
        <v>-1</v>
      </c>
      <c r="T376" s="27"/>
      <c r="U376" s="28">
        <f t="shared" si="119"/>
        <v>0.10964912280701754</v>
      </c>
      <c r="V376" s="25">
        <f t="shared" si="120"/>
        <v>999</v>
      </c>
      <c r="W376" s="35">
        <f t="shared" si="132"/>
        <v>25</v>
      </c>
      <c r="X376" s="33">
        <f t="shared" si="121"/>
        <v>25</v>
      </c>
      <c r="Y376" s="32">
        <f t="shared" si="122"/>
        <v>-1</v>
      </c>
      <c r="Z376" s="32"/>
      <c r="AA376" s="30">
        <f t="shared" si="123"/>
        <v>10.053417340090398</v>
      </c>
      <c r="AB376" s="28">
        <f t="shared" si="124"/>
        <v>0.49840334444617229</v>
      </c>
      <c r="AC376" s="28">
        <f t="shared" si="125"/>
        <v>0.10964912280701754</v>
      </c>
      <c r="AD376" s="29">
        <f t="shared" si="126"/>
        <v>348.19734345351043</v>
      </c>
      <c r="AE376" s="28">
        <f t="shared" si="127"/>
        <v>0.10964912280701754</v>
      </c>
      <c r="AF376" s="28">
        <f t="shared" si="128"/>
        <v>0.38875422163915474</v>
      </c>
      <c r="AG376" s="28">
        <f t="shared" si="129"/>
        <v>0</v>
      </c>
      <c r="AI376" s="31">
        <f t="shared" si="130"/>
        <v>0.57455584793477932</v>
      </c>
      <c r="AJ376" s="25"/>
      <c r="AK376" s="31"/>
      <c r="AM376" s="27"/>
    </row>
    <row r="377" spans="4:39" x14ac:dyDescent="0.25">
      <c r="D377" s="25">
        <f>E377*'Profit per cycles Model'!$I$113</f>
        <v>3679.9999999999995</v>
      </c>
      <c r="E377" s="25">
        <v>10.080810847829063</v>
      </c>
      <c r="F377" s="28">
        <f t="shared" si="111"/>
        <v>0.27173913043478265</v>
      </c>
      <c r="G377" s="28">
        <f>'Battery Pricing Model'!$C$17/D377</f>
        <v>0.27173913043478265</v>
      </c>
      <c r="H377" s="28">
        <f t="shared" si="112"/>
        <v>999</v>
      </c>
      <c r="I377" s="28"/>
      <c r="J377" s="34">
        <f>INDEX('Profit per cycles Model'!$I$149:$I$179, MATCH(TRUNC(E377, 0), 'Profit per cycles Model'!$H$149:$H$179, 0))</f>
        <v>0.49840334444617229</v>
      </c>
      <c r="K377" s="27">
        <f>AVERAGE($AB$10:AB377)</f>
        <v>0.42922279385305467</v>
      </c>
      <c r="L377" s="28">
        <f t="shared" si="113"/>
        <v>0.15748366341827202</v>
      </c>
      <c r="M377" s="28">
        <f t="shared" si="114"/>
        <v>0.15748366341827202</v>
      </c>
      <c r="N377" s="28">
        <f t="shared" si="115"/>
        <v>999</v>
      </c>
      <c r="O377" s="28"/>
      <c r="P377" s="29">
        <f t="shared" si="131"/>
        <v>0.36800000000000027</v>
      </c>
      <c r="Q377" s="33">
        <f t="shared" si="116"/>
        <v>6.7114093959731544</v>
      </c>
      <c r="R377" s="33">
        <f t="shared" si="117"/>
        <v>6.7114093959731544</v>
      </c>
      <c r="S377" s="33">
        <f t="shared" si="118"/>
        <v>-1</v>
      </c>
      <c r="T377" s="27"/>
      <c r="U377" s="28">
        <f t="shared" si="119"/>
        <v>0.10964912280701754</v>
      </c>
      <c r="V377" s="25">
        <f t="shared" si="120"/>
        <v>999</v>
      </c>
      <c r="W377" s="35">
        <f t="shared" si="132"/>
        <v>25</v>
      </c>
      <c r="X377" s="33">
        <f t="shared" si="121"/>
        <v>25</v>
      </c>
      <c r="Y377" s="32">
        <f t="shared" si="122"/>
        <v>-1</v>
      </c>
      <c r="Z377" s="32"/>
      <c r="AA377" s="30">
        <f t="shared" si="123"/>
        <v>10.080810847829063</v>
      </c>
      <c r="AB377" s="28">
        <f t="shared" si="124"/>
        <v>0.49840334444617229</v>
      </c>
      <c r="AC377" s="28">
        <f t="shared" si="125"/>
        <v>0.10964912280701754</v>
      </c>
      <c r="AD377" s="29">
        <f t="shared" si="126"/>
        <v>349.14611005692598</v>
      </c>
      <c r="AE377" s="28">
        <f t="shared" si="127"/>
        <v>0.10964912280701754</v>
      </c>
      <c r="AF377" s="28">
        <f t="shared" si="128"/>
        <v>0.38875422163915474</v>
      </c>
      <c r="AG377" s="28">
        <f t="shared" si="129"/>
        <v>0</v>
      </c>
      <c r="AI377" s="31">
        <f t="shared" si="130"/>
        <v>0.57953988137924095</v>
      </c>
      <c r="AJ377" s="25"/>
      <c r="AK377" s="31"/>
      <c r="AM377" s="27"/>
    </row>
    <row r="378" spans="4:39" x14ac:dyDescent="0.25">
      <c r="D378" s="25">
        <f>E378*'Profit per cycles Model'!$I$113</f>
        <v>3690</v>
      </c>
      <c r="E378" s="25">
        <v>10.108204355567731</v>
      </c>
      <c r="F378" s="28">
        <f t="shared" si="111"/>
        <v>0.27100271002710025</v>
      </c>
      <c r="G378" s="28">
        <f>'Battery Pricing Model'!$C$17/D378</f>
        <v>0.27100271002710025</v>
      </c>
      <c r="H378" s="28">
        <f t="shared" si="112"/>
        <v>999</v>
      </c>
      <c r="I378" s="28"/>
      <c r="J378" s="34">
        <f>INDEX('Profit per cycles Model'!$I$149:$I$179, MATCH(TRUNC(E378, 0), 'Profit per cycles Model'!$H$149:$H$179, 0))</f>
        <v>0.49840334444617229</v>
      </c>
      <c r="K378" s="27">
        <f>AVERAGE($AB$10:AB378)</f>
        <v>0.42941027501997364</v>
      </c>
      <c r="L378" s="28">
        <f t="shared" si="113"/>
        <v>0.1584075649928734</v>
      </c>
      <c r="M378" s="28">
        <f t="shared" si="114"/>
        <v>0.1584075649928734</v>
      </c>
      <c r="N378" s="28">
        <f t="shared" si="115"/>
        <v>999</v>
      </c>
      <c r="O378" s="28"/>
      <c r="P378" s="29">
        <f t="shared" si="131"/>
        <v>0.36900000000000027</v>
      </c>
      <c r="Q378" s="33">
        <f t="shared" si="116"/>
        <v>6.7114093959731544</v>
      </c>
      <c r="R378" s="33">
        <f t="shared" si="117"/>
        <v>6.7114093959731544</v>
      </c>
      <c r="S378" s="33">
        <f t="shared" si="118"/>
        <v>-1</v>
      </c>
      <c r="T378" s="27"/>
      <c r="U378" s="28">
        <f t="shared" si="119"/>
        <v>0.10964912280701754</v>
      </c>
      <c r="V378" s="25">
        <f t="shared" si="120"/>
        <v>999</v>
      </c>
      <c r="W378" s="35">
        <f t="shared" si="132"/>
        <v>25</v>
      </c>
      <c r="X378" s="33">
        <f t="shared" si="121"/>
        <v>25</v>
      </c>
      <c r="Y378" s="32">
        <f t="shared" si="122"/>
        <v>-1</v>
      </c>
      <c r="Z378" s="32"/>
      <c r="AA378" s="30">
        <f t="shared" si="123"/>
        <v>10.108204355567731</v>
      </c>
      <c r="AB378" s="28">
        <f t="shared" si="124"/>
        <v>0.49840334444617229</v>
      </c>
      <c r="AC378" s="28">
        <f t="shared" si="125"/>
        <v>0.10964912280701754</v>
      </c>
      <c r="AD378" s="29">
        <f t="shared" si="126"/>
        <v>350.09487666034158</v>
      </c>
      <c r="AE378" s="28">
        <f t="shared" si="127"/>
        <v>0.10964912280701754</v>
      </c>
      <c r="AF378" s="28">
        <f t="shared" si="128"/>
        <v>0.38875422163915474</v>
      </c>
      <c r="AG378" s="28">
        <f t="shared" si="129"/>
        <v>0</v>
      </c>
      <c r="AI378" s="31">
        <f t="shared" si="130"/>
        <v>0.58452391482370292</v>
      </c>
      <c r="AJ378" s="25"/>
      <c r="AK378" s="31"/>
      <c r="AM378" s="27"/>
    </row>
    <row r="379" spans="4:39" x14ac:dyDescent="0.25">
      <c r="D379" s="25">
        <f>E379*'Profit per cycles Model'!$I$113</f>
        <v>3700</v>
      </c>
      <c r="E379" s="25">
        <v>10.135597863306396</v>
      </c>
      <c r="F379" s="28">
        <f t="shared" si="111"/>
        <v>0.27027027027027029</v>
      </c>
      <c r="G379" s="28">
        <f>'Battery Pricing Model'!$C$17/D379</f>
        <v>0.27027027027027029</v>
      </c>
      <c r="H379" s="28">
        <f t="shared" si="112"/>
        <v>999</v>
      </c>
      <c r="I379" s="28"/>
      <c r="J379" s="34">
        <f>INDEX('Profit per cycles Model'!$I$149:$I$179, MATCH(TRUNC(E379, 0), 'Profit per cycles Model'!$H$149:$H$179, 0))</f>
        <v>0.49840334444617229</v>
      </c>
      <c r="K379" s="27">
        <f>AVERAGE($AB$10:AB379)</f>
        <v>0.42959674277517956</v>
      </c>
      <c r="L379" s="28">
        <f t="shared" si="113"/>
        <v>0.15932647250490928</v>
      </c>
      <c r="M379" s="28">
        <f t="shared" si="114"/>
        <v>0.15932647250490928</v>
      </c>
      <c r="N379" s="28">
        <f t="shared" si="115"/>
        <v>999</v>
      </c>
      <c r="O379" s="28"/>
      <c r="P379" s="29">
        <f t="shared" si="131"/>
        <v>0.37000000000000027</v>
      </c>
      <c r="Q379" s="33">
        <f t="shared" si="116"/>
        <v>6.7114093959731544</v>
      </c>
      <c r="R379" s="33">
        <f t="shared" si="117"/>
        <v>6.7114093959731544</v>
      </c>
      <c r="S379" s="33">
        <f t="shared" si="118"/>
        <v>-1</v>
      </c>
      <c r="T379" s="27"/>
      <c r="U379" s="28">
        <f t="shared" si="119"/>
        <v>0.10964912280701754</v>
      </c>
      <c r="V379" s="25">
        <f t="shared" si="120"/>
        <v>999</v>
      </c>
      <c r="W379" s="35">
        <f t="shared" si="132"/>
        <v>25</v>
      </c>
      <c r="X379" s="33">
        <f t="shared" si="121"/>
        <v>25</v>
      </c>
      <c r="Y379" s="32">
        <f t="shared" si="122"/>
        <v>-1</v>
      </c>
      <c r="Z379" s="32"/>
      <c r="AA379" s="30">
        <f t="shared" si="123"/>
        <v>10.135597863306396</v>
      </c>
      <c r="AB379" s="28">
        <f t="shared" si="124"/>
        <v>0.49840334444617229</v>
      </c>
      <c r="AC379" s="28">
        <f t="shared" si="125"/>
        <v>0.10964912280701754</v>
      </c>
      <c r="AD379" s="29">
        <f t="shared" si="126"/>
        <v>351.04364326375708</v>
      </c>
      <c r="AE379" s="28">
        <f t="shared" si="127"/>
        <v>0.10964912280701754</v>
      </c>
      <c r="AF379" s="28">
        <f t="shared" si="128"/>
        <v>0.38875422163915474</v>
      </c>
      <c r="AG379" s="28">
        <f t="shared" si="129"/>
        <v>0</v>
      </c>
      <c r="AI379" s="31">
        <f t="shared" si="130"/>
        <v>0.58950794826816433</v>
      </c>
      <c r="AJ379" s="25"/>
      <c r="AK379" s="31"/>
      <c r="AM379" s="27"/>
    </row>
    <row r="380" spans="4:39" x14ac:dyDescent="0.25">
      <c r="D380" s="25">
        <f>E380*'Profit per cycles Model'!$I$113</f>
        <v>3709.9999999999995</v>
      </c>
      <c r="E380" s="25">
        <v>10.162991371045061</v>
      </c>
      <c r="F380" s="28">
        <f t="shared" si="111"/>
        <v>0.26954177897574128</v>
      </c>
      <c r="G380" s="28">
        <f>'Battery Pricing Model'!$C$17/D380</f>
        <v>0.26954177897574128</v>
      </c>
      <c r="H380" s="28">
        <f t="shared" si="112"/>
        <v>999</v>
      </c>
      <c r="I380" s="28"/>
      <c r="J380" s="34">
        <f>INDEX('Profit per cycles Model'!$I$149:$I$179, MATCH(TRUNC(E380, 0), 'Profit per cycles Model'!$H$149:$H$179, 0))</f>
        <v>0.49840334444617229</v>
      </c>
      <c r="K380" s="27">
        <f>AVERAGE($AB$10:AB380)</f>
        <v>0.42978220531337624</v>
      </c>
      <c r="L380" s="28">
        <f t="shared" si="113"/>
        <v>0.16024042633763497</v>
      </c>
      <c r="M380" s="28">
        <f t="shared" si="114"/>
        <v>0.16024042633763497</v>
      </c>
      <c r="N380" s="28">
        <f t="shared" si="115"/>
        <v>999</v>
      </c>
      <c r="O380" s="28"/>
      <c r="P380" s="29">
        <f t="shared" si="131"/>
        <v>0.37100000000000027</v>
      </c>
      <c r="Q380" s="33">
        <f t="shared" si="116"/>
        <v>6.7114093959731544</v>
      </c>
      <c r="R380" s="33">
        <f t="shared" si="117"/>
        <v>6.7114093959731544</v>
      </c>
      <c r="S380" s="33">
        <f t="shared" si="118"/>
        <v>-1</v>
      </c>
      <c r="T380" s="27"/>
      <c r="U380" s="28">
        <f t="shared" si="119"/>
        <v>0.10964912280701754</v>
      </c>
      <c r="V380" s="25">
        <f t="shared" si="120"/>
        <v>999</v>
      </c>
      <c r="W380" s="35">
        <f t="shared" si="132"/>
        <v>25</v>
      </c>
      <c r="X380" s="33">
        <f t="shared" si="121"/>
        <v>25</v>
      </c>
      <c r="Y380" s="32">
        <f t="shared" si="122"/>
        <v>-1</v>
      </c>
      <c r="Z380" s="32"/>
      <c r="AA380" s="30">
        <f t="shared" si="123"/>
        <v>10.162991371045061</v>
      </c>
      <c r="AB380" s="28">
        <f t="shared" si="124"/>
        <v>0.49840334444617229</v>
      </c>
      <c r="AC380" s="28">
        <f t="shared" si="125"/>
        <v>0.10964912280701754</v>
      </c>
      <c r="AD380" s="29">
        <f t="shared" si="126"/>
        <v>351.99240986717268</v>
      </c>
      <c r="AE380" s="28">
        <f t="shared" si="127"/>
        <v>0.10964912280701754</v>
      </c>
      <c r="AF380" s="28">
        <f t="shared" si="128"/>
        <v>0.38875422163915474</v>
      </c>
      <c r="AG380" s="28">
        <f t="shared" si="129"/>
        <v>0</v>
      </c>
      <c r="AI380" s="31">
        <f t="shared" si="130"/>
        <v>0.59449198171262563</v>
      </c>
      <c r="AJ380" s="25"/>
      <c r="AK380" s="31"/>
      <c r="AM380" s="27"/>
    </row>
    <row r="381" spans="4:39" x14ac:dyDescent="0.25">
      <c r="D381" s="25">
        <f>E381*'Profit per cycles Model'!$I$113</f>
        <v>3720</v>
      </c>
      <c r="E381" s="25">
        <v>10.190384878783728</v>
      </c>
      <c r="F381" s="28">
        <f t="shared" si="111"/>
        <v>0.26881720430107525</v>
      </c>
      <c r="G381" s="28">
        <f>'Battery Pricing Model'!$C$17/D381</f>
        <v>0.26881720430107525</v>
      </c>
      <c r="H381" s="28">
        <f t="shared" si="112"/>
        <v>999</v>
      </c>
      <c r="I381" s="28"/>
      <c r="J381" s="34">
        <f>INDEX('Profit per cycles Model'!$I$149:$I$179, MATCH(TRUNC(E381, 0), 'Profit per cycles Model'!$H$149:$H$179, 0))</f>
        <v>0.49840334444617229</v>
      </c>
      <c r="K381" s="27">
        <f>AVERAGE($AB$10:AB381)</f>
        <v>0.42996667074115258</v>
      </c>
      <c r="L381" s="28">
        <f t="shared" si="113"/>
        <v>0.16114946644007733</v>
      </c>
      <c r="M381" s="28">
        <f t="shared" si="114"/>
        <v>0.16114946644007733</v>
      </c>
      <c r="N381" s="28">
        <f t="shared" si="115"/>
        <v>999</v>
      </c>
      <c r="O381" s="28"/>
      <c r="P381" s="29">
        <f t="shared" si="131"/>
        <v>0.37200000000000027</v>
      </c>
      <c r="Q381" s="33">
        <f t="shared" si="116"/>
        <v>6.7114093959731544</v>
      </c>
      <c r="R381" s="33">
        <f t="shared" si="117"/>
        <v>6.7114093959731544</v>
      </c>
      <c r="S381" s="33">
        <f t="shared" si="118"/>
        <v>-1</v>
      </c>
      <c r="T381" s="27"/>
      <c r="U381" s="28">
        <f t="shared" si="119"/>
        <v>0.10964912280701754</v>
      </c>
      <c r="V381" s="25">
        <f t="shared" si="120"/>
        <v>999</v>
      </c>
      <c r="W381" s="35">
        <f t="shared" si="132"/>
        <v>25</v>
      </c>
      <c r="X381" s="33">
        <f t="shared" si="121"/>
        <v>25</v>
      </c>
      <c r="Y381" s="32">
        <f t="shared" si="122"/>
        <v>-1</v>
      </c>
      <c r="Z381" s="32"/>
      <c r="AA381" s="30">
        <f t="shared" si="123"/>
        <v>10.190384878783728</v>
      </c>
      <c r="AB381" s="28">
        <f t="shared" si="124"/>
        <v>0.49840334444617229</v>
      </c>
      <c r="AC381" s="28">
        <f t="shared" si="125"/>
        <v>0.10964912280701754</v>
      </c>
      <c r="AD381" s="29">
        <f t="shared" si="126"/>
        <v>352.94117647058829</v>
      </c>
      <c r="AE381" s="28">
        <f t="shared" si="127"/>
        <v>0.10964912280701754</v>
      </c>
      <c r="AF381" s="28">
        <f t="shared" si="128"/>
        <v>0.38875422163915474</v>
      </c>
      <c r="AG381" s="28">
        <f t="shared" si="129"/>
        <v>0</v>
      </c>
      <c r="AI381" s="31">
        <f t="shared" si="130"/>
        <v>0.5994760151570877</v>
      </c>
      <c r="AJ381" s="25"/>
      <c r="AK381" s="31"/>
      <c r="AM381" s="27"/>
    </row>
    <row r="382" spans="4:39" x14ac:dyDescent="0.25">
      <c r="D382" s="25">
        <f>E382*'Profit per cycles Model'!$I$113</f>
        <v>3730</v>
      </c>
      <c r="E382" s="25">
        <v>10.217778386522394</v>
      </c>
      <c r="F382" s="28">
        <f t="shared" si="111"/>
        <v>0.26809651474530832</v>
      </c>
      <c r="G382" s="28">
        <f>'Battery Pricing Model'!$C$17/D382</f>
        <v>0.26809651474530832</v>
      </c>
      <c r="H382" s="28">
        <f t="shared" si="112"/>
        <v>999</v>
      </c>
      <c r="I382" s="28"/>
      <c r="J382" s="34">
        <f>INDEX('Profit per cycles Model'!$I$149:$I$179, MATCH(TRUNC(E382, 0), 'Profit per cycles Model'!$H$149:$H$179, 0))</f>
        <v>0.49840334444617229</v>
      </c>
      <c r="K382" s="27">
        <f>AVERAGE($AB$10:AB382)</f>
        <v>0.43015014707816329</v>
      </c>
      <c r="L382" s="28">
        <f t="shared" si="113"/>
        <v>0.16205363233285497</v>
      </c>
      <c r="M382" s="28">
        <f t="shared" si="114"/>
        <v>0.16205363233285497</v>
      </c>
      <c r="N382" s="28">
        <f t="shared" si="115"/>
        <v>999</v>
      </c>
      <c r="O382" s="28"/>
      <c r="P382" s="29">
        <f t="shared" si="131"/>
        <v>0.37300000000000028</v>
      </c>
      <c r="Q382" s="33">
        <f t="shared" si="116"/>
        <v>6.7114093959731544</v>
      </c>
      <c r="R382" s="33">
        <f t="shared" si="117"/>
        <v>6.7114093959731544</v>
      </c>
      <c r="S382" s="33">
        <f t="shared" si="118"/>
        <v>-1</v>
      </c>
      <c r="T382" s="27"/>
      <c r="U382" s="28">
        <f t="shared" si="119"/>
        <v>0.10964912280701754</v>
      </c>
      <c r="V382" s="25">
        <f t="shared" si="120"/>
        <v>999</v>
      </c>
      <c r="W382" s="35">
        <f t="shared" si="132"/>
        <v>25</v>
      </c>
      <c r="X382" s="33">
        <f t="shared" si="121"/>
        <v>25</v>
      </c>
      <c r="Y382" s="32">
        <f t="shared" si="122"/>
        <v>-1</v>
      </c>
      <c r="Z382" s="32"/>
      <c r="AA382" s="30">
        <f t="shared" si="123"/>
        <v>10.217778386522394</v>
      </c>
      <c r="AB382" s="28">
        <f t="shared" si="124"/>
        <v>0.49840334444617229</v>
      </c>
      <c r="AC382" s="28">
        <f t="shared" si="125"/>
        <v>0.10964912280701754</v>
      </c>
      <c r="AD382" s="29">
        <f t="shared" si="126"/>
        <v>353.88994307400378</v>
      </c>
      <c r="AE382" s="28">
        <f t="shared" si="127"/>
        <v>0.10964912280701754</v>
      </c>
      <c r="AF382" s="28">
        <f t="shared" si="128"/>
        <v>0.38875422163915474</v>
      </c>
      <c r="AG382" s="28">
        <f t="shared" si="129"/>
        <v>0</v>
      </c>
      <c r="AI382" s="31">
        <f t="shared" si="130"/>
        <v>0.604460048601549</v>
      </c>
      <c r="AJ382" s="25"/>
      <c r="AK382" s="31"/>
      <c r="AM382" s="27"/>
    </row>
    <row r="383" spans="4:39" x14ac:dyDescent="0.25">
      <c r="D383" s="25">
        <f>E383*'Profit per cycles Model'!$I$113</f>
        <v>3739.9999999999995</v>
      </c>
      <c r="E383" s="25">
        <v>10.245171894261059</v>
      </c>
      <c r="F383" s="28">
        <f t="shared" si="111"/>
        <v>0.26737967914438504</v>
      </c>
      <c r="G383" s="28">
        <f>'Battery Pricing Model'!$C$17/D383</f>
        <v>0.26737967914438504</v>
      </c>
      <c r="H383" s="28">
        <f t="shared" si="112"/>
        <v>999</v>
      </c>
      <c r="I383" s="28"/>
      <c r="J383" s="34">
        <f>INDEX('Profit per cycles Model'!$I$149:$I$179, MATCH(TRUNC(E383, 0), 'Profit per cycles Model'!$H$149:$H$179, 0))</f>
        <v>0.49840334444617229</v>
      </c>
      <c r="K383" s="27">
        <f>AVERAGE($AB$10:AB383)</f>
        <v>0.43033264225829165</v>
      </c>
      <c r="L383" s="28">
        <f t="shared" si="113"/>
        <v>0.16295296311390661</v>
      </c>
      <c r="M383" s="28">
        <f t="shared" si="114"/>
        <v>0.16295296311390661</v>
      </c>
      <c r="N383" s="28">
        <f t="shared" si="115"/>
        <v>999</v>
      </c>
      <c r="O383" s="28"/>
      <c r="P383" s="29">
        <f t="shared" si="131"/>
        <v>0.37400000000000028</v>
      </c>
      <c r="Q383" s="33">
        <f t="shared" si="116"/>
        <v>6.7114093959731544</v>
      </c>
      <c r="R383" s="33">
        <f t="shared" si="117"/>
        <v>6.7114093959731544</v>
      </c>
      <c r="S383" s="33">
        <f t="shared" si="118"/>
        <v>-1</v>
      </c>
      <c r="T383" s="27"/>
      <c r="U383" s="28">
        <f t="shared" si="119"/>
        <v>0.10964912280701754</v>
      </c>
      <c r="V383" s="25">
        <f t="shared" si="120"/>
        <v>999</v>
      </c>
      <c r="W383" s="35">
        <f t="shared" si="132"/>
        <v>25</v>
      </c>
      <c r="X383" s="33">
        <f t="shared" si="121"/>
        <v>25</v>
      </c>
      <c r="Y383" s="32">
        <f t="shared" si="122"/>
        <v>-1</v>
      </c>
      <c r="Z383" s="32"/>
      <c r="AA383" s="30">
        <f t="shared" si="123"/>
        <v>10.245171894261059</v>
      </c>
      <c r="AB383" s="28">
        <f t="shared" si="124"/>
        <v>0.49840334444617229</v>
      </c>
      <c r="AC383" s="28">
        <f t="shared" si="125"/>
        <v>0.10964912280701754</v>
      </c>
      <c r="AD383" s="29">
        <f t="shared" si="126"/>
        <v>354.83870967741933</v>
      </c>
      <c r="AE383" s="28">
        <f t="shared" si="127"/>
        <v>0.10964912280701754</v>
      </c>
      <c r="AF383" s="28">
        <f t="shared" si="128"/>
        <v>0.38875422163915474</v>
      </c>
      <c r="AG383" s="28">
        <f t="shared" si="129"/>
        <v>0</v>
      </c>
      <c r="AI383" s="31">
        <f t="shared" si="130"/>
        <v>0.60944408204601075</v>
      </c>
      <c r="AJ383" s="25"/>
      <c r="AK383" s="31"/>
      <c r="AM383" s="27"/>
    </row>
    <row r="384" spans="4:39" x14ac:dyDescent="0.25">
      <c r="D384" s="25">
        <f>E384*'Profit per cycles Model'!$I$113</f>
        <v>3750</v>
      </c>
      <c r="E384" s="25">
        <v>10.272565401999726</v>
      </c>
      <c r="F384" s="28">
        <f t="shared" si="111"/>
        <v>0.26666666666666666</v>
      </c>
      <c r="G384" s="28">
        <f>'Battery Pricing Model'!$C$17/D384</f>
        <v>0.26666666666666666</v>
      </c>
      <c r="H384" s="28">
        <f t="shared" si="112"/>
        <v>999</v>
      </c>
      <c r="I384" s="28"/>
      <c r="J384" s="34">
        <f>INDEX('Profit per cycles Model'!$I$149:$I$179, MATCH(TRUNC(E384, 0), 'Profit per cycles Model'!$H$149:$H$179, 0))</f>
        <v>0.49840334444617229</v>
      </c>
      <c r="K384" s="27">
        <f>AVERAGE($AB$10:AB384)</f>
        <v>0.43051416413079263</v>
      </c>
      <c r="L384" s="28">
        <f t="shared" si="113"/>
        <v>0.16384749746412597</v>
      </c>
      <c r="M384" s="28">
        <f t="shared" si="114"/>
        <v>0.16384749746412597</v>
      </c>
      <c r="N384" s="28">
        <f t="shared" si="115"/>
        <v>999</v>
      </c>
      <c r="O384" s="28"/>
      <c r="P384" s="29">
        <f t="shared" si="131"/>
        <v>0.37500000000000028</v>
      </c>
      <c r="Q384" s="33">
        <f t="shared" si="116"/>
        <v>6.7114093959731544</v>
      </c>
      <c r="R384" s="33">
        <f t="shared" si="117"/>
        <v>6.7114093959731544</v>
      </c>
      <c r="S384" s="33">
        <f t="shared" si="118"/>
        <v>-1</v>
      </c>
      <c r="T384" s="27"/>
      <c r="U384" s="28">
        <f t="shared" si="119"/>
        <v>0.10964912280701754</v>
      </c>
      <c r="V384" s="25">
        <f t="shared" si="120"/>
        <v>999</v>
      </c>
      <c r="W384" s="35">
        <f t="shared" si="132"/>
        <v>25</v>
      </c>
      <c r="X384" s="33">
        <f t="shared" si="121"/>
        <v>25</v>
      </c>
      <c r="Y384" s="32">
        <f t="shared" si="122"/>
        <v>-1</v>
      </c>
      <c r="Z384" s="32"/>
      <c r="AA384" s="30">
        <f t="shared" si="123"/>
        <v>10.272565401999726</v>
      </c>
      <c r="AB384" s="28">
        <f t="shared" si="124"/>
        <v>0.49840334444617229</v>
      </c>
      <c r="AC384" s="28">
        <f t="shared" si="125"/>
        <v>0.10964912280701754</v>
      </c>
      <c r="AD384" s="29">
        <f t="shared" si="126"/>
        <v>355.78747628083494</v>
      </c>
      <c r="AE384" s="28">
        <f t="shared" si="127"/>
        <v>0.10964912280701754</v>
      </c>
      <c r="AF384" s="28">
        <f t="shared" si="128"/>
        <v>0.38875422163915474</v>
      </c>
      <c r="AG384" s="28">
        <f t="shared" si="129"/>
        <v>0</v>
      </c>
      <c r="AI384" s="31">
        <f t="shared" si="130"/>
        <v>0.61442811549047238</v>
      </c>
      <c r="AJ384" s="25"/>
      <c r="AK384" s="31"/>
      <c r="AM384" s="27"/>
    </row>
    <row r="385" spans="4:39" x14ac:dyDescent="0.25">
      <c r="D385" s="25">
        <f>E385*'Profit per cycles Model'!$I$113</f>
        <v>3760</v>
      </c>
      <c r="E385" s="25">
        <v>10.299958909738391</v>
      </c>
      <c r="F385" s="28">
        <f t="shared" si="111"/>
        <v>0.26595744680851063</v>
      </c>
      <c r="G385" s="28">
        <f>'Battery Pricing Model'!$C$17/D385</f>
        <v>0.26595744680851063</v>
      </c>
      <c r="H385" s="28">
        <f t="shared" si="112"/>
        <v>999</v>
      </c>
      <c r="I385" s="28"/>
      <c r="J385" s="34">
        <f>INDEX('Profit per cycles Model'!$I$149:$I$179, MATCH(TRUNC(E385, 0), 'Profit per cycles Model'!$H$149:$H$179, 0))</f>
        <v>0.49840334444617229</v>
      </c>
      <c r="K385" s="27">
        <f>AVERAGE($AB$10:AB385)</f>
        <v>0.4306947204614186</v>
      </c>
      <c r="L385" s="28">
        <f t="shared" si="113"/>
        <v>0.16473727365290797</v>
      </c>
      <c r="M385" s="28">
        <f t="shared" si="114"/>
        <v>0.16473727365290797</v>
      </c>
      <c r="N385" s="28">
        <f t="shared" si="115"/>
        <v>999</v>
      </c>
      <c r="O385" s="28"/>
      <c r="P385" s="29">
        <f t="shared" si="131"/>
        <v>0.37600000000000028</v>
      </c>
      <c r="Q385" s="33">
        <f t="shared" si="116"/>
        <v>6.7114093959731544</v>
      </c>
      <c r="R385" s="33">
        <f t="shared" si="117"/>
        <v>6.7114093959731544</v>
      </c>
      <c r="S385" s="33">
        <f t="shared" si="118"/>
        <v>-1</v>
      </c>
      <c r="T385" s="27"/>
      <c r="U385" s="28">
        <f t="shared" si="119"/>
        <v>0.10964912280701754</v>
      </c>
      <c r="V385" s="25">
        <f t="shared" si="120"/>
        <v>999</v>
      </c>
      <c r="W385" s="35">
        <f t="shared" si="132"/>
        <v>25</v>
      </c>
      <c r="X385" s="33">
        <f t="shared" si="121"/>
        <v>25</v>
      </c>
      <c r="Y385" s="32">
        <f t="shared" si="122"/>
        <v>-1</v>
      </c>
      <c r="Z385" s="32"/>
      <c r="AA385" s="30">
        <f t="shared" si="123"/>
        <v>10.299958909738391</v>
      </c>
      <c r="AB385" s="28">
        <f t="shared" si="124"/>
        <v>0.49840334444617229</v>
      </c>
      <c r="AC385" s="28">
        <f t="shared" si="125"/>
        <v>0.10964912280701754</v>
      </c>
      <c r="AD385" s="29">
        <f t="shared" si="126"/>
        <v>356.73624288425049</v>
      </c>
      <c r="AE385" s="28">
        <f t="shared" si="127"/>
        <v>0.10964912280701754</v>
      </c>
      <c r="AF385" s="28">
        <f t="shared" si="128"/>
        <v>0.38875422163915474</v>
      </c>
      <c r="AG385" s="28">
        <f t="shared" si="129"/>
        <v>0</v>
      </c>
      <c r="AI385" s="31">
        <f t="shared" si="130"/>
        <v>0.61941214893493401</v>
      </c>
      <c r="AJ385" s="25"/>
      <c r="AK385" s="31"/>
      <c r="AM385" s="27"/>
    </row>
    <row r="386" spans="4:39" x14ac:dyDescent="0.25">
      <c r="D386" s="25">
        <f>E386*'Profit per cycles Model'!$I$113</f>
        <v>3769.9999999999995</v>
      </c>
      <c r="E386" s="25">
        <v>10.327352417477057</v>
      </c>
      <c r="F386" s="28">
        <f t="shared" si="111"/>
        <v>0.26525198938992045</v>
      </c>
      <c r="G386" s="28">
        <f>'Battery Pricing Model'!$C$17/D386</f>
        <v>0.26525198938992045</v>
      </c>
      <c r="H386" s="28">
        <f t="shared" si="112"/>
        <v>999</v>
      </c>
      <c r="I386" s="28"/>
      <c r="J386" s="34">
        <f>INDEX('Profit per cycles Model'!$I$149:$I$179, MATCH(TRUNC(E386, 0), 'Profit per cycles Model'!$H$149:$H$179, 0))</f>
        <v>0.49840334444617229</v>
      </c>
      <c r="K386" s="27">
        <f>AVERAGE($AB$10:AB386)</f>
        <v>0.43087431893352668</v>
      </c>
      <c r="L386" s="28">
        <f t="shared" si="113"/>
        <v>0.16562232954360623</v>
      </c>
      <c r="M386" s="28">
        <f t="shared" si="114"/>
        <v>0.16562232954360623</v>
      </c>
      <c r="N386" s="28">
        <f t="shared" si="115"/>
        <v>999</v>
      </c>
      <c r="O386" s="28"/>
      <c r="P386" s="29">
        <f t="shared" si="131"/>
        <v>0.37700000000000028</v>
      </c>
      <c r="Q386" s="33">
        <f t="shared" si="116"/>
        <v>6.7114093959731544</v>
      </c>
      <c r="R386" s="33">
        <f t="shared" si="117"/>
        <v>6.7114093959731544</v>
      </c>
      <c r="S386" s="33">
        <f t="shared" si="118"/>
        <v>-1</v>
      </c>
      <c r="T386" s="27"/>
      <c r="U386" s="28">
        <f t="shared" si="119"/>
        <v>0.10964912280701754</v>
      </c>
      <c r="V386" s="25">
        <f t="shared" si="120"/>
        <v>999</v>
      </c>
      <c r="W386" s="35">
        <f t="shared" si="132"/>
        <v>25</v>
      </c>
      <c r="X386" s="33">
        <f t="shared" si="121"/>
        <v>25</v>
      </c>
      <c r="Y386" s="32">
        <f t="shared" si="122"/>
        <v>-1</v>
      </c>
      <c r="Z386" s="32"/>
      <c r="AA386" s="30">
        <f t="shared" si="123"/>
        <v>10.327352417477057</v>
      </c>
      <c r="AB386" s="28">
        <f t="shared" si="124"/>
        <v>0.49840334444617229</v>
      </c>
      <c r="AC386" s="28">
        <f t="shared" si="125"/>
        <v>0.10964912280701754</v>
      </c>
      <c r="AD386" s="29">
        <f t="shared" si="126"/>
        <v>357.68500948766604</v>
      </c>
      <c r="AE386" s="28">
        <f t="shared" si="127"/>
        <v>0.10964912280701754</v>
      </c>
      <c r="AF386" s="28">
        <f t="shared" si="128"/>
        <v>0.38875422163915474</v>
      </c>
      <c r="AG386" s="28">
        <f t="shared" si="129"/>
        <v>0</v>
      </c>
      <c r="AI386" s="31">
        <f t="shared" si="130"/>
        <v>0.62439618237939543</v>
      </c>
      <c r="AJ386" s="25"/>
      <c r="AK386" s="31"/>
      <c r="AM386" s="27"/>
    </row>
    <row r="387" spans="4:39" x14ac:dyDescent="0.25">
      <c r="D387" s="25">
        <f>E387*'Profit per cycles Model'!$I$113</f>
        <v>3780</v>
      </c>
      <c r="E387" s="25">
        <v>10.354745925215724</v>
      </c>
      <c r="F387" s="28">
        <f t="shared" si="111"/>
        <v>0.26455026455026454</v>
      </c>
      <c r="G387" s="28">
        <f>'Battery Pricing Model'!$C$17/D387</f>
        <v>0.26455026455026454</v>
      </c>
      <c r="H387" s="28">
        <f t="shared" si="112"/>
        <v>999</v>
      </c>
      <c r="I387" s="28"/>
      <c r="J387" s="34">
        <f>INDEX('Profit per cycles Model'!$I$149:$I$179, MATCH(TRUNC(E387, 0), 'Profit per cycles Model'!$H$149:$H$179, 0))</f>
        <v>0.49840334444617229</v>
      </c>
      <c r="K387" s="27">
        <f>AVERAGE($AB$10:AB387)</f>
        <v>0.43105296714916858</v>
      </c>
      <c r="L387" s="28">
        <f t="shared" si="113"/>
        <v>0.16650270259890404</v>
      </c>
      <c r="M387" s="28">
        <f t="shared" si="114"/>
        <v>0.16650270259890404</v>
      </c>
      <c r="N387" s="28">
        <f t="shared" si="115"/>
        <v>999</v>
      </c>
      <c r="O387" s="28"/>
      <c r="P387" s="29">
        <f t="shared" si="131"/>
        <v>0.37800000000000028</v>
      </c>
      <c r="Q387" s="33">
        <f t="shared" si="116"/>
        <v>6.7114093959731544</v>
      </c>
      <c r="R387" s="33">
        <f t="shared" si="117"/>
        <v>6.7114093959731544</v>
      </c>
      <c r="S387" s="33">
        <f t="shared" si="118"/>
        <v>-1</v>
      </c>
      <c r="T387" s="27"/>
      <c r="U387" s="28">
        <f t="shared" si="119"/>
        <v>0.10964912280701754</v>
      </c>
      <c r="V387" s="25">
        <f t="shared" si="120"/>
        <v>999</v>
      </c>
      <c r="W387" s="35">
        <f t="shared" si="132"/>
        <v>25</v>
      </c>
      <c r="X387" s="33">
        <f t="shared" si="121"/>
        <v>25</v>
      </c>
      <c r="Y387" s="32">
        <f t="shared" si="122"/>
        <v>-1</v>
      </c>
      <c r="Z387" s="32"/>
      <c r="AA387" s="30">
        <f t="shared" si="123"/>
        <v>10.354745925215724</v>
      </c>
      <c r="AB387" s="28">
        <f t="shared" si="124"/>
        <v>0.49840334444617229</v>
      </c>
      <c r="AC387" s="28">
        <f t="shared" si="125"/>
        <v>0.10964912280701754</v>
      </c>
      <c r="AD387" s="29">
        <f t="shared" si="126"/>
        <v>358.63377609108164</v>
      </c>
      <c r="AE387" s="28">
        <f t="shared" si="127"/>
        <v>0.10964912280701754</v>
      </c>
      <c r="AF387" s="28">
        <f t="shared" si="128"/>
        <v>0.38875422163915474</v>
      </c>
      <c r="AG387" s="28">
        <f t="shared" si="129"/>
        <v>0</v>
      </c>
      <c r="AI387" s="31">
        <f t="shared" si="130"/>
        <v>0.62938021582385728</v>
      </c>
      <c r="AJ387" s="25"/>
      <c r="AK387" s="31"/>
      <c r="AM387" s="27"/>
    </row>
    <row r="388" spans="4:39" x14ac:dyDescent="0.25">
      <c r="D388" s="25">
        <f>E388*'Profit per cycles Model'!$I$113</f>
        <v>3790</v>
      </c>
      <c r="E388" s="25">
        <v>10.382139432954389</v>
      </c>
      <c r="F388" s="28">
        <f t="shared" si="111"/>
        <v>0.26385224274406333</v>
      </c>
      <c r="G388" s="28">
        <f>'Battery Pricing Model'!$C$17/D388</f>
        <v>0.26385224274406333</v>
      </c>
      <c r="H388" s="28">
        <f t="shared" si="112"/>
        <v>999</v>
      </c>
      <c r="I388" s="28"/>
      <c r="J388" s="34">
        <f>INDEX('Profit per cycles Model'!$I$149:$I$179, MATCH(TRUNC(E388, 0), 'Profit per cycles Model'!$H$149:$H$179, 0))</f>
        <v>0.49840334444617229</v>
      </c>
      <c r="K388" s="27">
        <f>AVERAGE($AB$10:AB388)</f>
        <v>0.43123067263016324</v>
      </c>
      <c r="L388" s="28">
        <f t="shared" si="113"/>
        <v>0.16737842988609991</v>
      </c>
      <c r="M388" s="28">
        <f t="shared" si="114"/>
        <v>0.16737842988609991</v>
      </c>
      <c r="N388" s="28">
        <f t="shared" si="115"/>
        <v>999</v>
      </c>
      <c r="O388" s="28"/>
      <c r="P388" s="29">
        <f t="shared" si="131"/>
        <v>0.37900000000000028</v>
      </c>
      <c r="Q388" s="33">
        <f t="shared" si="116"/>
        <v>6.7114093959731544</v>
      </c>
      <c r="R388" s="33">
        <f t="shared" si="117"/>
        <v>6.7114093959731544</v>
      </c>
      <c r="S388" s="33">
        <f t="shared" si="118"/>
        <v>-1</v>
      </c>
      <c r="T388" s="27"/>
      <c r="U388" s="28">
        <f t="shared" si="119"/>
        <v>0.10964912280701754</v>
      </c>
      <c r="V388" s="25">
        <f t="shared" si="120"/>
        <v>999</v>
      </c>
      <c r="W388" s="35">
        <f t="shared" si="132"/>
        <v>25</v>
      </c>
      <c r="X388" s="33">
        <f t="shared" si="121"/>
        <v>25</v>
      </c>
      <c r="Y388" s="32">
        <f t="shared" si="122"/>
        <v>-1</v>
      </c>
      <c r="Z388" s="32"/>
      <c r="AA388" s="30">
        <f t="shared" si="123"/>
        <v>10.382139432954389</v>
      </c>
      <c r="AB388" s="28">
        <f t="shared" si="124"/>
        <v>0.49840334444617229</v>
      </c>
      <c r="AC388" s="28">
        <f t="shared" si="125"/>
        <v>0.10964912280701754</v>
      </c>
      <c r="AD388" s="29">
        <f t="shared" si="126"/>
        <v>359.58254269449714</v>
      </c>
      <c r="AE388" s="28">
        <f t="shared" si="127"/>
        <v>0.10964912280701754</v>
      </c>
      <c r="AF388" s="28">
        <f t="shared" si="128"/>
        <v>0.38875422163915474</v>
      </c>
      <c r="AG388" s="28">
        <f t="shared" si="129"/>
        <v>0</v>
      </c>
      <c r="AI388" s="31">
        <f t="shared" si="130"/>
        <v>0.63436424926831869</v>
      </c>
      <c r="AJ388" s="25"/>
      <c r="AK388" s="31"/>
      <c r="AM388" s="27"/>
    </row>
    <row r="389" spans="4:39" x14ac:dyDescent="0.25">
      <c r="D389" s="25">
        <f>E389*'Profit per cycles Model'!$I$113</f>
        <v>3799.9999999999995</v>
      </c>
      <c r="E389" s="25">
        <v>10.409532940693055</v>
      </c>
      <c r="F389" s="28">
        <f t="shared" si="111"/>
        <v>0.26315789473684215</v>
      </c>
      <c r="G389" s="28">
        <f>'Battery Pricing Model'!$C$17/D389</f>
        <v>0.26315789473684215</v>
      </c>
      <c r="H389" s="28">
        <f t="shared" si="112"/>
        <v>999</v>
      </c>
      <c r="I389" s="28"/>
      <c r="J389" s="34">
        <f>INDEX('Profit per cycles Model'!$I$149:$I$179, MATCH(TRUNC(E389, 0), 'Profit per cycles Model'!$H$149:$H$179, 0))</f>
        <v>0.49840334444617229</v>
      </c>
      <c r="K389" s="27">
        <f>AVERAGE($AB$10:AB389)</f>
        <v>0.43140744281915272</v>
      </c>
      <c r="L389" s="28">
        <f t="shared" si="113"/>
        <v>0.16824954808231057</v>
      </c>
      <c r="M389" s="28">
        <f t="shared" si="114"/>
        <v>0.16824954808231057</v>
      </c>
      <c r="N389" s="28">
        <f t="shared" si="115"/>
        <v>999</v>
      </c>
      <c r="O389" s="28"/>
      <c r="P389" s="29">
        <f t="shared" si="131"/>
        <v>0.38000000000000028</v>
      </c>
      <c r="Q389" s="33">
        <f t="shared" si="116"/>
        <v>6.7114093959731544</v>
      </c>
      <c r="R389" s="33">
        <f t="shared" si="117"/>
        <v>6.7114093959731544</v>
      </c>
      <c r="S389" s="33">
        <f t="shared" si="118"/>
        <v>-1</v>
      </c>
      <c r="T389" s="27"/>
      <c r="U389" s="28">
        <f t="shared" si="119"/>
        <v>0.10964912280701754</v>
      </c>
      <c r="V389" s="25">
        <f t="shared" si="120"/>
        <v>999</v>
      </c>
      <c r="W389" s="35">
        <f t="shared" si="132"/>
        <v>25</v>
      </c>
      <c r="X389" s="33">
        <f t="shared" si="121"/>
        <v>25</v>
      </c>
      <c r="Y389" s="32">
        <f t="shared" si="122"/>
        <v>-1</v>
      </c>
      <c r="Z389" s="32"/>
      <c r="AA389" s="30">
        <f t="shared" si="123"/>
        <v>10.409532940693055</v>
      </c>
      <c r="AB389" s="28">
        <f t="shared" si="124"/>
        <v>0.49840334444617229</v>
      </c>
      <c r="AC389" s="28">
        <f t="shared" si="125"/>
        <v>0.10964912280701754</v>
      </c>
      <c r="AD389" s="29">
        <f t="shared" si="126"/>
        <v>360.53130929791268</v>
      </c>
      <c r="AE389" s="28">
        <f t="shared" si="127"/>
        <v>0.10964912280701754</v>
      </c>
      <c r="AF389" s="28">
        <f t="shared" si="128"/>
        <v>0.38875422163915474</v>
      </c>
      <c r="AG389" s="28">
        <f t="shared" si="129"/>
        <v>0</v>
      </c>
      <c r="AI389" s="31">
        <f t="shared" si="130"/>
        <v>0.6393482827127801</v>
      </c>
      <c r="AJ389" s="25"/>
      <c r="AK389" s="31"/>
      <c r="AM389" s="27"/>
    </row>
    <row r="390" spans="4:39" x14ac:dyDescent="0.25">
      <c r="D390" s="25">
        <f>E390*'Profit per cycles Model'!$I$113</f>
        <v>3810</v>
      </c>
      <c r="E390" s="25">
        <v>10.436926448431722</v>
      </c>
      <c r="F390" s="28">
        <f t="shared" si="111"/>
        <v>0.26246719160104987</v>
      </c>
      <c r="G390" s="28">
        <f>'Battery Pricing Model'!$C$17/D390</f>
        <v>0.26246719160104987</v>
      </c>
      <c r="H390" s="28">
        <f t="shared" si="112"/>
        <v>999</v>
      </c>
      <c r="I390" s="28"/>
      <c r="J390" s="34">
        <f>INDEX('Profit per cycles Model'!$I$149:$I$179, MATCH(TRUNC(E390, 0), 'Profit per cycles Model'!$H$149:$H$179, 0))</f>
        <v>0.49840334444617229</v>
      </c>
      <c r="K390" s="27">
        <f>AVERAGE($AB$10:AB390)</f>
        <v>0.43158328508064092</v>
      </c>
      <c r="L390" s="28">
        <f t="shared" si="113"/>
        <v>0.16911609347959106</v>
      </c>
      <c r="M390" s="28">
        <f t="shared" si="114"/>
        <v>0.16911609347959106</v>
      </c>
      <c r="N390" s="28">
        <f t="shared" si="115"/>
        <v>999</v>
      </c>
      <c r="O390" s="28"/>
      <c r="P390" s="29">
        <f t="shared" si="131"/>
        <v>0.38100000000000028</v>
      </c>
      <c r="Q390" s="33">
        <f t="shared" si="116"/>
        <v>6.7114093959731544</v>
      </c>
      <c r="R390" s="33">
        <f t="shared" si="117"/>
        <v>6.7114093959731544</v>
      </c>
      <c r="S390" s="33">
        <f t="shared" si="118"/>
        <v>-1</v>
      </c>
      <c r="T390" s="27"/>
      <c r="U390" s="28">
        <f t="shared" si="119"/>
        <v>0.10964912280701754</v>
      </c>
      <c r="V390" s="25">
        <f t="shared" si="120"/>
        <v>999</v>
      </c>
      <c r="W390" s="35">
        <f t="shared" si="132"/>
        <v>25</v>
      </c>
      <c r="X390" s="33">
        <f t="shared" si="121"/>
        <v>25</v>
      </c>
      <c r="Y390" s="32">
        <f t="shared" si="122"/>
        <v>-1</v>
      </c>
      <c r="Z390" s="32"/>
      <c r="AA390" s="30">
        <f t="shared" si="123"/>
        <v>10.436926448431722</v>
      </c>
      <c r="AB390" s="28">
        <f t="shared" si="124"/>
        <v>0.49840334444617229</v>
      </c>
      <c r="AC390" s="28">
        <f t="shared" si="125"/>
        <v>0.10964912280701754</v>
      </c>
      <c r="AD390" s="29">
        <f t="shared" si="126"/>
        <v>361.48007590132829</v>
      </c>
      <c r="AE390" s="28">
        <f t="shared" si="127"/>
        <v>0.10964912280701754</v>
      </c>
      <c r="AF390" s="28">
        <f t="shared" si="128"/>
        <v>0.38875422163915474</v>
      </c>
      <c r="AG390" s="28">
        <f t="shared" si="129"/>
        <v>0</v>
      </c>
      <c r="AI390" s="31">
        <f t="shared" si="130"/>
        <v>0.64433231615724196</v>
      </c>
      <c r="AJ390" s="25"/>
      <c r="AK390" s="31"/>
      <c r="AM390" s="27"/>
    </row>
    <row r="391" spans="4:39" x14ac:dyDescent="0.25">
      <c r="D391" s="25">
        <f>E391*'Profit per cycles Model'!$I$113</f>
        <v>3820</v>
      </c>
      <c r="E391" s="25">
        <v>10.464319956170387</v>
      </c>
      <c r="F391" s="28">
        <f t="shared" si="111"/>
        <v>0.26178010471204188</v>
      </c>
      <c r="G391" s="28">
        <f>'Battery Pricing Model'!$C$17/D391</f>
        <v>0.26178010471204188</v>
      </c>
      <c r="H391" s="28">
        <f t="shared" si="112"/>
        <v>999</v>
      </c>
      <c r="I391" s="28"/>
      <c r="J391" s="34">
        <f>INDEX('Profit per cycles Model'!$I$149:$I$179, MATCH(TRUNC(E391, 0), 'Profit per cycles Model'!$H$149:$H$179, 0))</f>
        <v>0.49840334444617229</v>
      </c>
      <c r="K391" s="27">
        <f>AVERAGE($AB$10:AB391)</f>
        <v>0.43175820670201664</v>
      </c>
      <c r="L391" s="28">
        <f t="shared" si="113"/>
        <v>0.16997810198997476</v>
      </c>
      <c r="M391" s="28">
        <f t="shared" si="114"/>
        <v>0.16997810198997476</v>
      </c>
      <c r="N391" s="28">
        <f t="shared" si="115"/>
        <v>999</v>
      </c>
      <c r="O391" s="28"/>
      <c r="P391" s="29">
        <f t="shared" si="131"/>
        <v>0.38200000000000028</v>
      </c>
      <c r="Q391" s="33">
        <f t="shared" si="116"/>
        <v>6.7114093959731544</v>
      </c>
      <c r="R391" s="33">
        <f t="shared" si="117"/>
        <v>6.7114093959731544</v>
      </c>
      <c r="S391" s="33">
        <f t="shared" si="118"/>
        <v>-1</v>
      </c>
      <c r="T391" s="27"/>
      <c r="U391" s="28">
        <f t="shared" si="119"/>
        <v>0.10964912280701754</v>
      </c>
      <c r="V391" s="25">
        <f t="shared" si="120"/>
        <v>999</v>
      </c>
      <c r="W391" s="35">
        <f t="shared" si="132"/>
        <v>25</v>
      </c>
      <c r="X391" s="33">
        <f t="shared" si="121"/>
        <v>25</v>
      </c>
      <c r="Y391" s="32">
        <f t="shared" si="122"/>
        <v>-1</v>
      </c>
      <c r="Z391" s="32"/>
      <c r="AA391" s="30">
        <f t="shared" si="123"/>
        <v>10.464319956170387</v>
      </c>
      <c r="AB391" s="28">
        <f t="shared" si="124"/>
        <v>0.49840334444617229</v>
      </c>
      <c r="AC391" s="28">
        <f t="shared" si="125"/>
        <v>0.10964912280701754</v>
      </c>
      <c r="AD391" s="29">
        <f t="shared" si="126"/>
        <v>362.42884250474384</v>
      </c>
      <c r="AE391" s="28">
        <f t="shared" si="127"/>
        <v>0.10964912280701754</v>
      </c>
      <c r="AF391" s="28">
        <f t="shared" si="128"/>
        <v>0.38875422163915474</v>
      </c>
      <c r="AG391" s="28">
        <f t="shared" si="129"/>
        <v>0</v>
      </c>
      <c r="AI391" s="31">
        <f t="shared" si="130"/>
        <v>0.64931634960170359</v>
      </c>
      <c r="AJ391" s="25"/>
      <c r="AK391" s="31"/>
      <c r="AM391" s="27"/>
    </row>
    <row r="392" spans="4:39" x14ac:dyDescent="0.25">
      <c r="D392" s="25">
        <f>E392*'Profit per cycles Model'!$I$113</f>
        <v>3829.9999999999995</v>
      </c>
      <c r="E392" s="25">
        <v>10.491713463909052</v>
      </c>
      <c r="F392" s="28">
        <f t="shared" si="111"/>
        <v>0.26109660574412535</v>
      </c>
      <c r="G392" s="28">
        <f>'Battery Pricing Model'!$C$17/D392</f>
        <v>0.26109660574412535</v>
      </c>
      <c r="H392" s="28">
        <f t="shared" si="112"/>
        <v>999</v>
      </c>
      <c r="I392" s="28"/>
      <c r="J392" s="34">
        <f>INDEX('Profit per cycles Model'!$I$149:$I$179, MATCH(TRUNC(E392, 0), 'Profit per cycles Model'!$H$149:$H$179, 0))</f>
        <v>0.49840334444617229</v>
      </c>
      <c r="K392" s="27">
        <f>AVERAGE($AB$10:AB392)</f>
        <v>0.43193221489456007</v>
      </c>
      <c r="L392" s="28">
        <f t="shared" si="113"/>
        <v>0.17083560915043472</v>
      </c>
      <c r="M392" s="28">
        <f t="shared" si="114"/>
        <v>0.17083560915043472</v>
      </c>
      <c r="N392" s="28">
        <f t="shared" si="115"/>
        <v>999</v>
      </c>
      <c r="O392" s="28"/>
      <c r="P392" s="29">
        <f t="shared" si="131"/>
        <v>0.38300000000000028</v>
      </c>
      <c r="Q392" s="33">
        <f t="shared" si="116"/>
        <v>6.7114093959731544</v>
      </c>
      <c r="R392" s="33">
        <f t="shared" si="117"/>
        <v>6.7114093959731544</v>
      </c>
      <c r="S392" s="33">
        <f t="shared" si="118"/>
        <v>-1</v>
      </c>
      <c r="T392" s="27"/>
      <c r="U392" s="28">
        <f t="shared" si="119"/>
        <v>0.10964912280701754</v>
      </c>
      <c r="V392" s="25">
        <f t="shared" si="120"/>
        <v>999</v>
      </c>
      <c r="W392" s="35">
        <f t="shared" si="132"/>
        <v>25</v>
      </c>
      <c r="X392" s="33">
        <f t="shared" si="121"/>
        <v>25</v>
      </c>
      <c r="Y392" s="32">
        <f t="shared" si="122"/>
        <v>-1</v>
      </c>
      <c r="Z392" s="32"/>
      <c r="AA392" s="30">
        <f t="shared" si="123"/>
        <v>10.491713463909052</v>
      </c>
      <c r="AB392" s="28">
        <f t="shared" si="124"/>
        <v>0.49840334444617229</v>
      </c>
      <c r="AC392" s="28">
        <f t="shared" si="125"/>
        <v>0.10964912280701754</v>
      </c>
      <c r="AD392" s="29">
        <f t="shared" si="126"/>
        <v>363.37760910815939</v>
      </c>
      <c r="AE392" s="28">
        <f t="shared" si="127"/>
        <v>0.10964912280701754</v>
      </c>
      <c r="AF392" s="28">
        <f t="shared" si="128"/>
        <v>0.38875422163915474</v>
      </c>
      <c r="AG392" s="28">
        <f t="shared" si="129"/>
        <v>0</v>
      </c>
      <c r="AI392" s="31">
        <f t="shared" si="130"/>
        <v>0.65430038304616489</v>
      </c>
      <c r="AJ392" s="25"/>
      <c r="AK392" s="31"/>
      <c r="AM392" s="27"/>
    </row>
    <row r="393" spans="4:39" x14ac:dyDescent="0.25">
      <c r="D393" s="25">
        <f>E393*'Profit per cycles Model'!$I$113</f>
        <v>3840</v>
      </c>
      <c r="E393" s="25">
        <v>10.519106971647719</v>
      </c>
      <c r="F393" s="28">
        <f t="shared" si="111"/>
        <v>0.26041666666666669</v>
      </c>
      <c r="G393" s="28">
        <f>'Battery Pricing Model'!$C$17/D393</f>
        <v>0.26041666666666669</v>
      </c>
      <c r="H393" s="28">
        <f t="shared" si="112"/>
        <v>999</v>
      </c>
      <c r="I393" s="28"/>
      <c r="J393" s="34">
        <f>INDEX('Profit per cycles Model'!$I$149:$I$179, MATCH(TRUNC(E393, 0), 'Profit per cycles Model'!$H$149:$H$179, 0))</f>
        <v>0.49840334444617229</v>
      </c>
      <c r="K393" s="27">
        <f>AVERAGE($AB$10:AB393)</f>
        <v>0.43210531679443404</v>
      </c>
      <c r="L393" s="28">
        <f t="shared" si="113"/>
        <v>0.17168865012776735</v>
      </c>
      <c r="M393" s="28">
        <f t="shared" si="114"/>
        <v>0.17168865012776735</v>
      </c>
      <c r="N393" s="28">
        <f t="shared" si="115"/>
        <v>999</v>
      </c>
      <c r="O393" s="28"/>
      <c r="P393" s="29">
        <f t="shared" si="131"/>
        <v>0.38400000000000029</v>
      </c>
      <c r="Q393" s="33">
        <f t="shared" si="116"/>
        <v>6.7114093959731544</v>
      </c>
      <c r="R393" s="33">
        <f t="shared" si="117"/>
        <v>6.7114093959731544</v>
      </c>
      <c r="S393" s="33">
        <f t="shared" si="118"/>
        <v>-1</v>
      </c>
      <c r="T393" s="27"/>
      <c r="U393" s="28">
        <f t="shared" si="119"/>
        <v>0.10964912280701754</v>
      </c>
      <c r="V393" s="25">
        <f t="shared" si="120"/>
        <v>999</v>
      </c>
      <c r="W393" s="35">
        <f t="shared" si="132"/>
        <v>25</v>
      </c>
      <c r="X393" s="33">
        <f t="shared" si="121"/>
        <v>25</v>
      </c>
      <c r="Y393" s="32">
        <f t="shared" si="122"/>
        <v>-1</v>
      </c>
      <c r="Z393" s="32"/>
      <c r="AA393" s="30">
        <f t="shared" si="123"/>
        <v>10.519106971647719</v>
      </c>
      <c r="AB393" s="28">
        <f t="shared" si="124"/>
        <v>0.49840334444617229</v>
      </c>
      <c r="AC393" s="28">
        <f t="shared" si="125"/>
        <v>0.10964912280701754</v>
      </c>
      <c r="AD393" s="29">
        <f t="shared" si="126"/>
        <v>364.326375711575</v>
      </c>
      <c r="AE393" s="28">
        <f t="shared" si="127"/>
        <v>0.10964912280701754</v>
      </c>
      <c r="AF393" s="28">
        <f t="shared" si="128"/>
        <v>0.38875422163915474</v>
      </c>
      <c r="AG393" s="28">
        <f t="shared" si="129"/>
        <v>0</v>
      </c>
      <c r="AI393" s="31">
        <f t="shared" si="130"/>
        <v>0.65928441649062652</v>
      </c>
      <c r="AJ393" s="25"/>
      <c r="AK393" s="31"/>
      <c r="AM393" s="27"/>
    </row>
    <row r="394" spans="4:39" x14ac:dyDescent="0.25">
      <c r="D394" s="25">
        <f>E394*'Profit per cycles Model'!$I$113</f>
        <v>3850</v>
      </c>
      <c r="E394" s="25">
        <v>10.546500479386385</v>
      </c>
      <c r="F394" s="28">
        <f t="shared" ref="F394:F457" si="133">IF(OR($H$6="None", $H$6=0), G394, H394)</f>
        <v>0.25974025974025972</v>
      </c>
      <c r="G394" s="28">
        <f>'Battery Pricing Model'!$C$17/D394</f>
        <v>0.25974025974025972</v>
      </c>
      <c r="H394" s="28">
        <f t="shared" ref="H394:H457" si="134">IF(OR($H$6="None", $H$6=0), 999, $G394*(H$6))</f>
        <v>999</v>
      </c>
      <c r="I394" s="28"/>
      <c r="J394" s="34">
        <f>INDEX('Profit per cycles Model'!$I$149:$I$179, MATCH(TRUNC(E394, 0), 'Profit per cycles Model'!$H$149:$H$179, 0))</f>
        <v>0.49840334444617229</v>
      </c>
      <c r="K394" s="27">
        <f>AVERAGE($AB$10:AB394)</f>
        <v>0.43227751946365933</v>
      </c>
      <c r="L394" s="28">
        <f t="shared" ref="L394:L457" si="135">IF(K394-F394&lt;0, 999, K394-F394)</f>
        <v>0.17253725972339962</v>
      </c>
      <c r="M394" s="28">
        <f t="shared" ref="M394:M457" si="136">IF(K394-F394&lt;0, 999, K394-F394)</f>
        <v>0.17253725972339962</v>
      </c>
      <c r="N394" s="28">
        <f t="shared" ref="N394:N457" si="137">IF(K394-H394&lt;0, 999, K394-H394)</f>
        <v>999</v>
      </c>
      <c r="O394" s="28"/>
      <c r="P394" s="29">
        <f t="shared" si="131"/>
        <v>0.38500000000000029</v>
      </c>
      <c r="Q394" s="33">
        <f t="shared" ref="Q394:Q457" si="138">$L$5</f>
        <v>6.7114093959731544</v>
      </c>
      <c r="R394" s="33">
        <f t="shared" ref="R394:R457" si="139">$M$5</f>
        <v>6.7114093959731544</v>
      </c>
      <c r="S394" s="33">
        <f t="shared" ref="S394:S457" si="140">$N$5</f>
        <v>-1</v>
      </c>
      <c r="T394" s="27"/>
      <c r="U394" s="28">
        <f t="shared" ref="U394:U457" si="141">IF(ISNA(INDEX($F$10:$F$1063,MATCH(W394,$E$10:$E$1063,1))),-1,INDEX($F$10:$F$1063,MATCH(W394,$E$10:$E$1063,1)))</f>
        <v>0.10964912280701754</v>
      </c>
      <c r="V394" s="25">
        <f t="shared" ref="V394:V457" si="142">IF(ISNA(INDEX($H$10:$H$1063, MATCH(X394, $E$10:$E$1063,1))),-1,  INDEX($H$10:$H$1063, MATCH(X394, $E$10:$E$1063,1)))</f>
        <v>999</v>
      </c>
      <c r="W394" s="35">
        <f t="shared" si="132"/>
        <v>25</v>
      </c>
      <c r="X394" s="33">
        <f t="shared" ref="X394:X457" si="143">IF(PaybackCustom&gt;0, IF(PaybackCustom&lt;&gt;"Default", PaybackCustom, IF(PaybackStatus&lt;&gt;"",INDEX($Y$2:$Y$6,MATCH(PaybackStatus,$X$2:$X$6,FALSE)),-1)))</f>
        <v>25</v>
      </c>
      <c r="Y394" s="32">
        <f t="shared" ref="Y394:Y457" si="144">IF(PaybackStatus&lt;&gt;"",IF(PaybackStatus=$X$4,IF(X394&lt;=$Y$4,$Y$4,-1), -1), -1)</f>
        <v>-1</v>
      </c>
      <c r="Z394" s="32"/>
      <c r="AA394" s="30">
        <f t="shared" ref="AA394:AA457" si="145">E394</f>
        <v>10.546500479386385</v>
      </c>
      <c r="AB394" s="28">
        <f t="shared" ref="AB394:AB457" si="146">J394</f>
        <v>0.49840334444617229</v>
      </c>
      <c r="AC394" s="28">
        <f t="shared" ref="AC394:AC457" si="147">U394</f>
        <v>0.10964912280701754</v>
      </c>
      <c r="AD394" s="29">
        <f t="shared" ref="AD394:AD457" si="148">$AC$2*(AA394-$AC$3)/($AC$4-$AC$3)</f>
        <v>365.27514231499049</v>
      </c>
      <c r="AE394" s="28">
        <f t="shared" ref="AE394:AE457" si="149">MIN(AC394, AB394)</f>
        <v>0.10964912280701754</v>
      </c>
      <c r="AF394" s="28">
        <f t="shared" ref="AF394:AF457" si="150">IF(AND(AA394&lt;X394, AB394&gt;AC394), AB394-AC394, 0)</f>
        <v>0.38875422163915474</v>
      </c>
      <c r="AG394" s="28">
        <f t="shared" ref="AG394:AG457" si="151">IF(AND(AA394&lt;X394, AC394&gt;AB394), AC394-AB394, 0)</f>
        <v>0</v>
      </c>
      <c r="AI394" s="31">
        <f t="shared" ref="AI394:AI457" si="152">(K394-F394)/F394</f>
        <v>0.6642684499350886</v>
      </c>
      <c r="AJ394" s="25"/>
      <c r="AK394" s="31"/>
      <c r="AM394" s="27"/>
    </row>
    <row r="395" spans="4:39" x14ac:dyDescent="0.25">
      <c r="D395" s="25">
        <f>E395*'Profit per cycles Model'!$I$113</f>
        <v>3860.0000000000005</v>
      </c>
      <c r="E395" s="25">
        <v>10.573893987125052</v>
      </c>
      <c r="F395" s="28">
        <f t="shared" si="133"/>
        <v>0.25906735751295334</v>
      </c>
      <c r="G395" s="28">
        <f>'Battery Pricing Model'!$C$17/D395</f>
        <v>0.25906735751295334</v>
      </c>
      <c r="H395" s="28">
        <f t="shared" si="134"/>
        <v>999</v>
      </c>
      <c r="I395" s="28"/>
      <c r="J395" s="34">
        <f>INDEX('Profit per cycles Model'!$I$149:$I$179, MATCH(TRUNC(E395, 0), 'Profit per cycles Model'!$H$149:$H$179, 0))</f>
        <v>0.49840334444617229</v>
      </c>
      <c r="K395" s="27">
        <f>AVERAGE($AB$10:AB395)</f>
        <v>0.43244882989107514</v>
      </c>
      <c r="L395" s="28">
        <f t="shared" si="135"/>
        <v>0.17338147237812179</v>
      </c>
      <c r="M395" s="28">
        <f t="shared" si="136"/>
        <v>0.17338147237812179</v>
      </c>
      <c r="N395" s="28">
        <f t="shared" si="137"/>
        <v>999</v>
      </c>
      <c r="O395" s="28"/>
      <c r="P395" s="29">
        <f t="shared" ref="P395:P458" si="153">P394+0.001</f>
        <v>0.38600000000000029</v>
      </c>
      <c r="Q395" s="33">
        <f t="shared" si="138"/>
        <v>6.7114093959731544</v>
      </c>
      <c r="R395" s="33">
        <f t="shared" si="139"/>
        <v>6.7114093959731544</v>
      </c>
      <c r="S395" s="33">
        <f t="shared" si="140"/>
        <v>-1</v>
      </c>
      <c r="T395" s="27"/>
      <c r="U395" s="28">
        <f t="shared" si="141"/>
        <v>0.10964912280701754</v>
      </c>
      <c r="V395" s="25">
        <f t="shared" si="142"/>
        <v>999</v>
      </c>
      <c r="W395" s="35">
        <f t="shared" ref="W395:W458" si="154">IF( AND(X395&gt;0, Y395&gt;0), IF(X395&lt;Y395, X395, Y395),  IF(X395&gt;0, X395, IF(Y395&gt;0, Y395, -1)) )</f>
        <v>25</v>
      </c>
      <c r="X395" s="33">
        <f t="shared" si="143"/>
        <v>25</v>
      </c>
      <c r="Y395" s="32">
        <f t="shared" si="144"/>
        <v>-1</v>
      </c>
      <c r="Z395" s="32"/>
      <c r="AA395" s="30">
        <f t="shared" si="145"/>
        <v>10.573893987125052</v>
      </c>
      <c r="AB395" s="28">
        <f t="shared" si="146"/>
        <v>0.49840334444617229</v>
      </c>
      <c r="AC395" s="28">
        <f t="shared" si="147"/>
        <v>0.10964912280701754</v>
      </c>
      <c r="AD395" s="29">
        <f t="shared" si="148"/>
        <v>366.2239089184061</v>
      </c>
      <c r="AE395" s="28">
        <f t="shared" si="149"/>
        <v>0.10964912280701754</v>
      </c>
      <c r="AF395" s="28">
        <f t="shared" si="150"/>
        <v>0.38875422163915474</v>
      </c>
      <c r="AG395" s="28">
        <f t="shared" si="151"/>
        <v>0</v>
      </c>
      <c r="AI395" s="31">
        <f t="shared" si="152"/>
        <v>0.66925248337955023</v>
      </c>
      <c r="AJ395" s="25"/>
      <c r="AK395" s="31"/>
      <c r="AM395" s="27"/>
    </row>
    <row r="396" spans="4:39" x14ac:dyDescent="0.25">
      <c r="D396" s="25">
        <f>E396*'Profit per cycles Model'!$I$113</f>
        <v>3870</v>
      </c>
      <c r="E396" s="25">
        <v>10.601287494863717</v>
      </c>
      <c r="F396" s="28">
        <f t="shared" si="133"/>
        <v>0.25839793281653745</v>
      </c>
      <c r="G396" s="28">
        <f>'Battery Pricing Model'!$C$17/D396</f>
        <v>0.25839793281653745</v>
      </c>
      <c r="H396" s="28">
        <f t="shared" si="134"/>
        <v>999</v>
      </c>
      <c r="I396" s="28"/>
      <c r="J396" s="34">
        <f>INDEX('Profit per cycles Model'!$I$149:$I$179, MATCH(TRUNC(E396, 0), 'Profit per cycles Model'!$H$149:$H$179, 0))</f>
        <v>0.49840334444617229</v>
      </c>
      <c r="K396" s="27">
        <f>AVERAGE($AB$10:AB396)</f>
        <v>0.43261925499328463</v>
      </c>
      <c r="L396" s="28">
        <f t="shared" si="135"/>
        <v>0.17422132217674718</v>
      </c>
      <c r="M396" s="28">
        <f t="shared" si="136"/>
        <v>0.17422132217674718</v>
      </c>
      <c r="N396" s="28">
        <f t="shared" si="137"/>
        <v>999</v>
      </c>
      <c r="O396" s="28"/>
      <c r="P396" s="29">
        <f t="shared" si="153"/>
        <v>0.38700000000000029</v>
      </c>
      <c r="Q396" s="33">
        <f t="shared" si="138"/>
        <v>6.7114093959731544</v>
      </c>
      <c r="R396" s="33">
        <f t="shared" si="139"/>
        <v>6.7114093959731544</v>
      </c>
      <c r="S396" s="33">
        <f t="shared" si="140"/>
        <v>-1</v>
      </c>
      <c r="T396" s="27"/>
      <c r="U396" s="28">
        <f t="shared" si="141"/>
        <v>0.10964912280701754</v>
      </c>
      <c r="V396" s="25">
        <f t="shared" si="142"/>
        <v>999</v>
      </c>
      <c r="W396" s="35">
        <f t="shared" si="154"/>
        <v>25</v>
      </c>
      <c r="X396" s="33">
        <f t="shared" si="143"/>
        <v>25</v>
      </c>
      <c r="Y396" s="32">
        <f t="shared" si="144"/>
        <v>-1</v>
      </c>
      <c r="Z396" s="32"/>
      <c r="AA396" s="30">
        <f t="shared" si="145"/>
        <v>10.601287494863717</v>
      </c>
      <c r="AB396" s="28">
        <f t="shared" si="146"/>
        <v>0.49840334444617229</v>
      </c>
      <c r="AC396" s="28">
        <f t="shared" si="147"/>
        <v>0.10964912280701754</v>
      </c>
      <c r="AD396" s="29">
        <f t="shared" si="148"/>
        <v>367.17267552182165</v>
      </c>
      <c r="AE396" s="28">
        <f t="shared" si="149"/>
        <v>0.10964912280701754</v>
      </c>
      <c r="AF396" s="28">
        <f t="shared" si="150"/>
        <v>0.38875422163915474</v>
      </c>
      <c r="AG396" s="28">
        <f t="shared" si="151"/>
        <v>0</v>
      </c>
      <c r="AI396" s="31">
        <f t="shared" si="152"/>
        <v>0.67423651682401164</v>
      </c>
      <c r="AJ396" s="25"/>
      <c r="AK396" s="31"/>
      <c r="AM396" s="27"/>
    </row>
    <row r="397" spans="4:39" x14ac:dyDescent="0.25">
      <c r="D397" s="25">
        <f>E397*'Profit per cycles Model'!$I$113</f>
        <v>3880</v>
      </c>
      <c r="E397" s="25">
        <v>10.628681002602383</v>
      </c>
      <c r="F397" s="28">
        <f t="shared" si="133"/>
        <v>0.25773195876288657</v>
      </c>
      <c r="G397" s="28">
        <f>'Battery Pricing Model'!$C$17/D397</f>
        <v>0.25773195876288657</v>
      </c>
      <c r="H397" s="28">
        <f t="shared" si="134"/>
        <v>999</v>
      </c>
      <c r="I397" s="28"/>
      <c r="J397" s="34">
        <f>INDEX('Profit per cycles Model'!$I$149:$I$179, MATCH(TRUNC(E397, 0), 'Profit per cycles Model'!$H$149:$H$179, 0))</f>
        <v>0.49840334444617229</v>
      </c>
      <c r="K397" s="27">
        <f>AVERAGE($AB$10:AB397)</f>
        <v>0.43278880161558586</v>
      </c>
      <c r="L397" s="28">
        <f t="shared" si="135"/>
        <v>0.17505684285269929</v>
      </c>
      <c r="M397" s="28">
        <f t="shared" si="136"/>
        <v>0.17505684285269929</v>
      </c>
      <c r="N397" s="28">
        <f t="shared" si="137"/>
        <v>999</v>
      </c>
      <c r="O397" s="28"/>
      <c r="P397" s="29">
        <f t="shared" si="153"/>
        <v>0.38800000000000029</v>
      </c>
      <c r="Q397" s="33">
        <f t="shared" si="138"/>
        <v>6.7114093959731544</v>
      </c>
      <c r="R397" s="33">
        <f t="shared" si="139"/>
        <v>6.7114093959731544</v>
      </c>
      <c r="S397" s="33">
        <f t="shared" si="140"/>
        <v>-1</v>
      </c>
      <c r="T397" s="27"/>
      <c r="U397" s="28">
        <f t="shared" si="141"/>
        <v>0.10964912280701754</v>
      </c>
      <c r="V397" s="25">
        <f t="shared" si="142"/>
        <v>999</v>
      </c>
      <c r="W397" s="35">
        <f t="shared" si="154"/>
        <v>25</v>
      </c>
      <c r="X397" s="33">
        <f t="shared" si="143"/>
        <v>25</v>
      </c>
      <c r="Y397" s="32">
        <f t="shared" si="144"/>
        <v>-1</v>
      </c>
      <c r="Z397" s="32"/>
      <c r="AA397" s="30">
        <f t="shared" si="145"/>
        <v>10.628681002602383</v>
      </c>
      <c r="AB397" s="28">
        <f t="shared" si="146"/>
        <v>0.49840334444617229</v>
      </c>
      <c r="AC397" s="28">
        <f t="shared" si="147"/>
        <v>0.10964912280701754</v>
      </c>
      <c r="AD397" s="29">
        <f t="shared" si="148"/>
        <v>368.12144212523719</v>
      </c>
      <c r="AE397" s="28">
        <f t="shared" si="149"/>
        <v>0.10964912280701754</v>
      </c>
      <c r="AF397" s="28">
        <f t="shared" si="150"/>
        <v>0.38875422163915474</v>
      </c>
      <c r="AG397" s="28">
        <f t="shared" si="151"/>
        <v>0</v>
      </c>
      <c r="AI397" s="31">
        <f t="shared" si="152"/>
        <v>0.67922055026847328</v>
      </c>
      <c r="AJ397" s="25"/>
      <c r="AK397" s="31"/>
      <c r="AM397" s="27"/>
    </row>
    <row r="398" spans="4:39" x14ac:dyDescent="0.25">
      <c r="D398" s="25">
        <f>E398*'Profit per cycles Model'!$I$113</f>
        <v>3890.0000000000005</v>
      </c>
      <c r="E398" s="25">
        <v>10.65607451034105</v>
      </c>
      <c r="F398" s="28">
        <f t="shared" si="133"/>
        <v>0.25706940874035988</v>
      </c>
      <c r="G398" s="28">
        <f>'Battery Pricing Model'!$C$17/D398</f>
        <v>0.25706940874035988</v>
      </c>
      <c r="H398" s="28">
        <f t="shared" si="134"/>
        <v>999</v>
      </c>
      <c r="I398" s="28"/>
      <c r="J398" s="34">
        <f>INDEX('Profit per cycles Model'!$I$149:$I$179, MATCH(TRUNC(E398, 0), 'Profit per cycles Model'!$H$149:$H$179, 0))</f>
        <v>0.49840334444617229</v>
      </c>
      <c r="K398" s="27">
        <f>AVERAGE($AB$10:AB398)</f>
        <v>0.43295747653288813</v>
      </c>
      <c r="L398" s="28">
        <f t="shared" si="135"/>
        <v>0.17588806779252825</v>
      </c>
      <c r="M398" s="28">
        <f t="shared" si="136"/>
        <v>0.17588806779252825</v>
      </c>
      <c r="N398" s="28">
        <f t="shared" si="137"/>
        <v>999</v>
      </c>
      <c r="O398" s="28"/>
      <c r="P398" s="29">
        <f t="shared" si="153"/>
        <v>0.38900000000000029</v>
      </c>
      <c r="Q398" s="33">
        <f t="shared" si="138"/>
        <v>6.7114093959731544</v>
      </c>
      <c r="R398" s="33">
        <f t="shared" si="139"/>
        <v>6.7114093959731544</v>
      </c>
      <c r="S398" s="33">
        <f t="shared" si="140"/>
        <v>-1</v>
      </c>
      <c r="T398" s="27"/>
      <c r="U398" s="28">
        <f t="shared" si="141"/>
        <v>0.10964912280701754</v>
      </c>
      <c r="V398" s="25">
        <f t="shared" si="142"/>
        <v>999</v>
      </c>
      <c r="W398" s="35">
        <f t="shared" si="154"/>
        <v>25</v>
      </c>
      <c r="X398" s="33">
        <f t="shared" si="143"/>
        <v>25</v>
      </c>
      <c r="Y398" s="32">
        <f t="shared" si="144"/>
        <v>-1</v>
      </c>
      <c r="Z398" s="32"/>
      <c r="AA398" s="30">
        <f t="shared" si="145"/>
        <v>10.65607451034105</v>
      </c>
      <c r="AB398" s="28">
        <f t="shared" si="146"/>
        <v>0.49840334444617229</v>
      </c>
      <c r="AC398" s="28">
        <f t="shared" si="147"/>
        <v>0.10964912280701754</v>
      </c>
      <c r="AD398" s="29">
        <f t="shared" si="148"/>
        <v>369.0702087286528</v>
      </c>
      <c r="AE398" s="28">
        <f t="shared" si="149"/>
        <v>0.10964912280701754</v>
      </c>
      <c r="AF398" s="28">
        <f t="shared" si="150"/>
        <v>0.38875422163915474</v>
      </c>
      <c r="AG398" s="28">
        <f t="shared" si="151"/>
        <v>0</v>
      </c>
      <c r="AI398" s="31">
        <f t="shared" si="152"/>
        <v>0.68420458371293491</v>
      </c>
      <c r="AJ398" s="25"/>
      <c r="AK398" s="31"/>
      <c r="AM398" s="27"/>
    </row>
    <row r="399" spans="4:39" x14ac:dyDescent="0.25">
      <c r="D399" s="25">
        <f>E399*'Profit per cycles Model'!$I$113</f>
        <v>3900</v>
      </c>
      <c r="E399" s="25">
        <v>10.683468018079715</v>
      </c>
      <c r="F399" s="28">
        <f t="shared" si="133"/>
        <v>0.25641025641025639</v>
      </c>
      <c r="G399" s="28">
        <f>'Battery Pricing Model'!$C$17/D399</f>
        <v>0.25641025641025639</v>
      </c>
      <c r="H399" s="28">
        <f t="shared" si="134"/>
        <v>999</v>
      </c>
      <c r="I399" s="28"/>
      <c r="J399" s="34">
        <f>INDEX('Profit per cycles Model'!$I$149:$I$179, MATCH(TRUNC(E399, 0), 'Profit per cycles Model'!$H$149:$H$179, 0))</f>
        <v>0.49840334444617229</v>
      </c>
      <c r="K399" s="27">
        <f>AVERAGE($AB$10:AB399)</f>
        <v>0.43312528645061443</v>
      </c>
      <c r="L399" s="28">
        <f t="shared" si="135"/>
        <v>0.17671503004035805</v>
      </c>
      <c r="M399" s="28">
        <f t="shared" si="136"/>
        <v>0.17671503004035805</v>
      </c>
      <c r="N399" s="28">
        <f t="shared" si="137"/>
        <v>999</v>
      </c>
      <c r="O399" s="28"/>
      <c r="P399" s="29">
        <f t="shared" si="153"/>
        <v>0.39000000000000029</v>
      </c>
      <c r="Q399" s="33">
        <f t="shared" si="138"/>
        <v>6.7114093959731544</v>
      </c>
      <c r="R399" s="33">
        <f t="shared" si="139"/>
        <v>6.7114093959731544</v>
      </c>
      <c r="S399" s="33">
        <f t="shared" si="140"/>
        <v>-1</v>
      </c>
      <c r="T399" s="27"/>
      <c r="U399" s="28">
        <f t="shared" si="141"/>
        <v>0.10964912280701754</v>
      </c>
      <c r="V399" s="25">
        <f t="shared" si="142"/>
        <v>999</v>
      </c>
      <c r="W399" s="35">
        <f t="shared" si="154"/>
        <v>25</v>
      </c>
      <c r="X399" s="33">
        <f t="shared" si="143"/>
        <v>25</v>
      </c>
      <c r="Y399" s="32">
        <f t="shared" si="144"/>
        <v>-1</v>
      </c>
      <c r="Z399" s="32"/>
      <c r="AA399" s="30">
        <f t="shared" si="145"/>
        <v>10.683468018079715</v>
      </c>
      <c r="AB399" s="28">
        <f t="shared" si="146"/>
        <v>0.49840334444617229</v>
      </c>
      <c r="AC399" s="28">
        <f t="shared" si="147"/>
        <v>0.10964912280701754</v>
      </c>
      <c r="AD399" s="29">
        <f t="shared" si="148"/>
        <v>370.01897533206835</v>
      </c>
      <c r="AE399" s="28">
        <f t="shared" si="149"/>
        <v>0.10964912280701754</v>
      </c>
      <c r="AF399" s="28">
        <f t="shared" si="150"/>
        <v>0.38875422163915474</v>
      </c>
      <c r="AG399" s="28">
        <f t="shared" si="151"/>
        <v>0</v>
      </c>
      <c r="AI399" s="31">
        <f t="shared" si="152"/>
        <v>0.68918861715739643</v>
      </c>
      <c r="AJ399" s="25"/>
      <c r="AK399" s="31"/>
      <c r="AM399" s="27"/>
    </row>
    <row r="400" spans="4:39" x14ac:dyDescent="0.25">
      <c r="D400" s="25">
        <f>E400*'Profit per cycles Model'!$I$113</f>
        <v>3910</v>
      </c>
      <c r="E400" s="25">
        <v>10.71086152581838</v>
      </c>
      <c r="F400" s="28">
        <f t="shared" si="133"/>
        <v>0.25575447570332482</v>
      </c>
      <c r="G400" s="28">
        <f>'Battery Pricing Model'!$C$17/D400</f>
        <v>0.25575447570332482</v>
      </c>
      <c r="H400" s="28">
        <f t="shared" si="134"/>
        <v>999</v>
      </c>
      <c r="I400" s="28"/>
      <c r="J400" s="34">
        <f>INDEX('Profit per cycles Model'!$I$149:$I$179, MATCH(TRUNC(E400, 0), 'Profit per cycles Model'!$H$149:$H$179, 0))</f>
        <v>0.49840334444617229</v>
      </c>
      <c r="K400" s="27">
        <f>AVERAGE($AB$10:AB400)</f>
        <v>0.4332922380055903</v>
      </c>
      <c r="L400" s="28">
        <f t="shared" si="135"/>
        <v>0.17753776230226548</v>
      </c>
      <c r="M400" s="28">
        <f t="shared" si="136"/>
        <v>0.17753776230226548</v>
      </c>
      <c r="N400" s="28">
        <f t="shared" si="137"/>
        <v>999</v>
      </c>
      <c r="O400" s="28"/>
      <c r="P400" s="29">
        <f t="shared" si="153"/>
        <v>0.39100000000000029</v>
      </c>
      <c r="Q400" s="33">
        <f t="shared" si="138"/>
        <v>6.7114093959731544</v>
      </c>
      <c r="R400" s="33">
        <f t="shared" si="139"/>
        <v>6.7114093959731544</v>
      </c>
      <c r="S400" s="33">
        <f t="shared" si="140"/>
        <v>-1</v>
      </c>
      <c r="T400" s="27"/>
      <c r="U400" s="28">
        <f t="shared" si="141"/>
        <v>0.10964912280701754</v>
      </c>
      <c r="V400" s="25">
        <f t="shared" si="142"/>
        <v>999</v>
      </c>
      <c r="W400" s="35">
        <f t="shared" si="154"/>
        <v>25</v>
      </c>
      <c r="X400" s="33">
        <f t="shared" si="143"/>
        <v>25</v>
      </c>
      <c r="Y400" s="32">
        <f t="shared" si="144"/>
        <v>-1</v>
      </c>
      <c r="Z400" s="32"/>
      <c r="AA400" s="30">
        <f t="shared" si="145"/>
        <v>10.71086152581838</v>
      </c>
      <c r="AB400" s="28">
        <f t="shared" si="146"/>
        <v>0.49840334444617229</v>
      </c>
      <c r="AC400" s="28">
        <f t="shared" si="147"/>
        <v>0.10964912280701754</v>
      </c>
      <c r="AD400" s="29">
        <f t="shared" si="148"/>
        <v>370.96774193548384</v>
      </c>
      <c r="AE400" s="28">
        <f t="shared" si="149"/>
        <v>0.10964912280701754</v>
      </c>
      <c r="AF400" s="28">
        <f t="shared" si="150"/>
        <v>0.38875422163915474</v>
      </c>
      <c r="AG400" s="28">
        <f t="shared" si="151"/>
        <v>0</v>
      </c>
      <c r="AI400" s="31">
        <f t="shared" si="152"/>
        <v>0.69417265060185795</v>
      </c>
      <c r="AJ400" s="25"/>
      <c r="AK400" s="31"/>
      <c r="AM400" s="27"/>
    </row>
    <row r="401" spans="4:39" x14ac:dyDescent="0.25">
      <c r="D401" s="25">
        <f>E401*'Profit per cycles Model'!$I$113</f>
        <v>3920.0000000000005</v>
      </c>
      <c r="E401" s="25">
        <v>10.738255033557047</v>
      </c>
      <c r="F401" s="28">
        <f t="shared" si="133"/>
        <v>0.25510204081632648</v>
      </c>
      <c r="G401" s="28">
        <f>'Battery Pricing Model'!$C$17/D401</f>
        <v>0.25510204081632648</v>
      </c>
      <c r="H401" s="28">
        <f t="shared" si="134"/>
        <v>999</v>
      </c>
      <c r="I401" s="28"/>
      <c r="J401" s="34">
        <f>INDEX('Profit per cycles Model'!$I$149:$I$179, MATCH(TRUNC(E401, 0), 'Profit per cycles Model'!$H$149:$H$179, 0))</f>
        <v>0.49840334444617229</v>
      </c>
      <c r="K401" s="27">
        <f>AVERAGE($AB$10:AB401)</f>
        <v>0.43345833776691828</v>
      </c>
      <c r="L401" s="28">
        <f t="shared" si="135"/>
        <v>0.1783562969505918</v>
      </c>
      <c r="M401" s="28">
        <f t="shared" si="136"/>
        <v>0.1783562969505918</v>
      </c>
      <c r="N401" s="28">
        <f t="shared" si="137"/>
        <v>999</v>
      </c>
      <c r="O401" s="28"/>
      <c r="P401" s="29">
        <f t="shared" si="153"/>
        <v>0.39200000000000029</v>
      </c>
      <c r="Q401" s="33">
        <f t="shared" si="138"/>
        <v>6.7114093959731544</v>
      </c>
      <c r="R401" s="33">
        <f t="shared" si="139"/>
        <v>6.7114093959731544</v>
      </c>
      <c r="S401" s="33">
        <f t="shared" si="140"/>
        <v>-1</v>
      </c>
      <c r="T401" s="27"/>
      <c r="U401" s="28">
        <f t="shared" si="141"/>
        <v>0.10964912280701754</v>
      </c>
      <c r="V401" s="25">
        <f t="shared" si="142"/>
        <v>999</v>
      </c>
      <c r="W401" s="35">
        <f t="shared" si="154"/>
        <v>25</v>
      </c>
      <c r="X401" s="33">
        <f t="shared" si="143"/>
        <v>25</v>
      </c>
      <c r="Y401" s="32">
        <f t="shared" si="144"/>
        <v>-1</v>
      </c>
      <c r="Z401" s="32"/>
      <c r="AA401" s="30">
        <f t="shared" si="145"/>
        <v>10.738255033557047</v>
      </c>
      <c r="AB401" s="28">
        <f t="shared" si="146"/>
        <v>0.49840334444617229</v>
      </c>
      <c r="AC401" s="28">
        <f t="shared" si="147"/>
        <v>0.10964912280701754</v>
      </c>
      <c r="AD401" s="29">
        <f t="shared" si="148"/>
        <v>371.91650853889945</v>
      </c>
      <c r="AE401" s="28">
        <f t="shared" si="149"/>
        <v>0.10964912280701754</v>
      </c>
      <c r="AF401" s="28">
        <f t="shared" si="150"/>
        <v>0.38875422163915474</v>
      </c>
      <c r="AG401" s="28">
        <f t="shared" si="151"/>
        <v>0</v>
      </c>
      <c r="AI401" s="31">
        <f t="shared" si="152"/>
        <v>0.69915668404632003</v>
      </c>
      <c r="AJ401" s="25"/>
      <c r="AK401" s="31"/>
      <c r="AM401" s="27"/>
    </row>
    <row r="402" spans="4:39" x14ac:dyDescent="0.25">
      <c r="D402" s="25">
        <f>E402*'Profit per cycles Model'!$I$113</f>
        <v>3930</v>
      </c>
      <c r="E402" s="25">
        <v>10.765648541295713</v>
      </c>
      <c r="F402" s="28">
        <f t="shared" si="133"/>
        <v>0.2544529262086514</v>
      </c>
      <c r="G402" s="28">
        <f>'Battery Pricing Model'!$C$17/D402</f>
        <v>0.2544529262086514</v>
      </c>
      <c r="H402" s="28">
        <f t="shared" si="134"/>
        <v>999</v>
      </c>
      <c r="I402" s="28"/>
      <c r="J402" s="34">
        <f>INDEX('Profit per cycles Model'!$I$149:$I$179, MATCH(TRUNC(E402, 0), 'Profit per cycles Model'!$H$149:$H$179, 0))</f>
        <v>0.49840334444617229</v>
      </c>
      <c r="K402" s="27">
        <f>AVERAGE($AB$10:AB402)</f>
        <v>0.43362359223683999</v>
      </c>
      <c r="L402" s="28">
        <f t="shared" si="135"/>
        <v>0.1791706660281886</v>
      </c>
      <c r="M402" s="28">
        <f t="shared" si="136"/>
        <v>0.1791706660281886</v>
      </c>
      <c r="N402" s="28">
        <f t="shared" si="137"/>
        <v>999</v>
      </c>
      <c r="O402" s="28"/>
      <c r="P402" s="29">
        <f t="shared" si="153"/>
        <v>0.39300000000000029</v>
      </c>
      <c r="Q402" s="33">
        <f t="shared" si="138"/>
        <v>6.7114093959731544</v>
      </c>
      <c r="R402" s="33">
        <f t="shared" si="139"/>
        <v>6.7114093959731544</v>
      </c>
      <c r="S402" s="33">
        <f t="shared" si="140"/>
        <v>-1</v>
      </c>
      <c r="T402" s="27"/>
      <c r="U402" s="28">
        <f t="shared" si="141"/>
        <v>0.10964912280701754</v>
      </c>
      <c r="V402" s="25">
        <f t="shared" si="142"/>
        <v>999</v>
      </c>
      <c r="W402" s="35">
        <f t="shared" si="154"/>
        <v>25</v>
      </c>
      <c r="X402" s="33">
        <f t="shared" si="143"/>
        <v>25</v>
      </c>
      <c r="Y402" s="32">
        <f t="shared" si="144"/>
        <v>-1</v>
      </c>
      <c r="Z402" s="32"/>
      <c r="AA402" s="30">
        <f t="shared" si="145"/>
        <v>10.765648541295713</v>
      </c>
      <c r="AB402" s="28">
        <f t="shared" si="146"/>
        <v>0.49840334444617229</v>
      </c>
      <c r="AC402" s="28">
        <f t="shared" si="147"/>
        <v>0.10964912280701754</v>
      </c>
      <c r="AD402" s="29">
        <f t="shared" si="148"/>
        <v>372.86527514231506</v>
      </c>
      <c r="AE402" s="28">
        <f t="shared" si="149"/>
        <v>0.10964912280701754</v>
      </c>
      <c r="AF402" s="28">
        <f t="shared" si="150"/>
        <v>0.38875422163915474</v>
      </c>
      <c r="AG402" s="28">
        <f t="shared" si="151"/>
        <v>0</v>
      </c>
      <c r="AI402" s="31">
        <f t="shared" si="152"/>
        <v>0.70414071749078122</v>
      </c>
      <c r="AJ402" s="25"/>
      <c r="AK402" s="31"/>
      <c r="AM402" s="27"/>
    </row>
    <row r="403" spans="4:39" x14ac:dyDescent="0.25">
      <c r="D403" s="25">
        <f>E403*'Profit per cycles Model'!$I$113</f>
        <v>3940</v>
      </c>
      <c r="E403" s="25">
        <v>10.793042049034378</v>
      </c>
      <c r="F403" s="28">
        <f t="shared" si="133"/>
        <v>0.25380710659898476</v>
      </c>
      <c r="G403" s="28">
        <f>'Battery Pricing Model'!$C$17/D403</f>
        <v>0.25380710659898476</v>
      </c>
      <c r="H403" s="28">
        <f t="shared" si="134"/>
        <v>999</v>
      </c>
      <c r="I403" s="28"/>
      <c r="J403" s="34">
        <f>INDEX('Profit per cycles Model'!$I$149:$I$179, MATCH(TRUNC(E403, 0), 'Profit per cycles Model'!$H$149:$H$179, 0))</f>
        <v>0.49840334444617229</v>
      </c>
      <c r="K403" s="27">
        <f>AVERAGE($AB$10:AB403)</f>
        <v>0.43378800785158445</v>
      </c>
      <c r="L403" s="28">
        <f t="shared" si="135"/>
        <v>0.17998090125259969</v>
      </c>
      <c r="M403" s="28">
        <f t="shared" si="136"/>
        <v>0.17998090125259969</v>
      </c>
      <c r="N403" s="28">
        <f t="shared" si="137"/>
        <v>999</v>
      </c>
      <c r="O403" s="28"/>
      <c r="P403" s="29">
        <f t="shared" si="153"/>
        <v>0.39400000000000029</v>
      </c>
      <c r="Q403" s="33">
        <f t="shared" si="138"/>
        <v>6.7114093959731544</v>
      </c>
      <c r="R403" s="33">
        <f t="shared" si="139"/>
        <v>6.7114093959731544</v>
      </c>
      <c r="S403" s="33">
        <f t="shared" si="140"/>
        <v>-1</v>
      </c>
      <c r="T403" s="27"/>
      <c r="U403" s="28">
        <f t="shared" si="141"/>
        <v>0.10964912280701754</v>
      </c>
      <c r="V403" s="25">
        <f t="shared" si="142"/>
        <v>999</v>
      </c>
      <c r="W403" s="35">
        <f t="shared" si="154"/>
        <v>25</v>
      </c>
      <c r="X403" s="33">
        <f t="shared" si="143"/>
        <v>25</v>
      </c>
      <c r="Y403" s="32">
        <f t="shared" si="144"/>
        <v>-1</v>
      </c>
      <c r="Z403" s="32"/>
      <c r="AA403" s="30">
        <f t="shared" si="145"/>
        <v>10.793042049034378</v>
      </c>
      <c r="AB403" s="28">
        <f t="shared" si="146"/>
        <v>0.49840334444617229</v>
      </c>
      <c r="AC403" s="28">
        <f t="shared" si="147"/>
        <v>0.10964912280701754</v>
      </c>
      <c r="AD403" s="29">
        <f t="shared" si="148"/>
        <v>373.81404174573055</v>
      </c>
      <c r="AE403" s="28">
        <f t="shared" si="149"/>
        <v>0.10964912280701754</v>
      </c>
      <c r="AF403" s="28">
        <f t="shared" si="150"/>
        <v>0.38875422163915474</v>
      </c>
      <c r="AG403" s="28">
        <f t="shared" si="151"/>
        <v>0</v>
      </c>
      <c r="AI403" s="31">
        <f t="shared" si="152"/>
        <v>0.70912475093524285</v>
      </c>
      <c r="AJ403" s="25"/>
      <c r="AK403" s="31"/>
      <c r="AM403" s="27"/>
    </row>
    <row r="404" spans="4:39" x14ac:dyDescent="0.25">
      <c r="D404" s="25">
        <f>E404*'Profit per cycles Model'!$I$113</f>
        <v>3950.0000000000005</v>
      </c>
      <c r="E404" s="25">
        <v>10.820435556773045</v>
      </c>
      <c r="F404" s="28">
        <f t="shared" si="133"/>
        <v>0.25316455696202528</v>
      </c>
      <c r="G404" s="28">
        <f>'Battery Pricing Model'!$C$17/D404</f>
        <v>0.25316455696202528</v>
      </c>
      <c r="H404" s="28">
        <f t="shared" si="134"/>
        <v>999</v>
      </c>
      <c r="I404" s="28"/>
      <c r="J404" s="34">
        <f>INDEX('Profit per cycles Model'!$I$149:$I$179, MATCH(TRUNC(E404, 0), 'Profit per cycles Model'!$H$149:$H$179, 0))</f>
        <v>0.49840334444617229</v>
      </c>
      <c r="K404" s="27">
        <f>AVERAGE($AB$10:AB404)</f>
        <v>0.43395159098220365</v>
      </c>
      <c r="L404" s="28">
        <f t="shared" si="135"/>
        <v>0.18078703402017837</v>
      </c>
      <c r="M404" s="28">
        <f t="shared" si="136"/>
        <v>0.18078703402017837</v>
      </c>
      <c r="N404" s="28">
        <f t="shared" si="137"/>
        <v>999</v>
      </c>
      <c r="O404" s="28"/>
      <c r="P404" s="29">
        <f t="shared" si="153"/>
        <v>0.3950000000000003</v>
      </c>
      <c r="Q404" s="33">
        <f t="shared" si="138"/>
        <v>6.7114093959731544</v>
      </c>
      <c r="R404" s="33">
        <f t="shared" si="139"/>
        <v>6.7114093959731544</v>
      </c>
      <c r="S404" s="33">
        <f t="shared" si="140"/>
        <v>-1</v>
      </c>
      <c r="T404" s="27"/>
      <c r="U404" s="28">
        <f t="shared" si="141"/>
        <v>0.10964912280701754</v>
      </c>
      <c r="V404" s="25">
        <f t="shared" si="142"/>
        <v>999</v>
      </c>
      <c r="W404" s="35">
        <f t="shared" si="154"/>
        <v>25</v>
      </c>
      <c r="X404" s="33">
        <f t="shared" si="143"/>
        <v>25</v>
      </c>
      <c r="Y404" s="32">
        <f t="shared" si="144"/>
        <v>-1</v>
      </c>
      <c r="Z404" s="32"/>
      <c r="AA404" s="30">
        <f t="shared" si="145"/>
        <v>10.820435556773045</v>
      </c>
      <c r="AB404" s="28">
        <f t="shared" si="146"/>
        <v>0.49840334444617229</v>
      </c>
      <c r="AC404" s="28">
        <f t="shared" si="147"/>
        <v>0.10964912280701754</v>
      </c>
      <c r="AD404" s="29">
        <f t="shared" si="148"/>
        <v>374.76280834914616</v>
      </c>
      <c r="AE404" s="28">
        <f t="shared" si="149"/>
        <v>0.10964912280701754</v>
      </c>
      <c r="AF404" s="28">
        <f t="shared" si="150"/>
        <v>0.38875422163915474</v>
      </c>
      <c r="AG404" s="28">
        <f t="shared" si="151"/>
        <v>0</v>
      </c>
      <c r="AI404" s="31">
        <f t="shared" si="152"/>
        <v>0.71410878437970471</v>
      </c>
      <c r="AJ404" s="25"/>
      <c r="AK404" s="31"/>
      <c r="AM404" s="27"/>
    </row>
    <row r="405" spans="4:39" x14ac:dyDescent="0.25">
      <c r="D405" s="25">
        <f>E405*'Profit per cycles Model'!$I$113</f>
        <v>3960</v>
      </c>
      <c r="E405" s="25">
        <v>10.847829064511711</v>
      </c>
      <c r="F405" s="28">
        <f t="shared" si="133"/>
        <v>0.25252525252525254</v>
      </c>
      <c r="G405" s="28">
        <f>'Battery Pricing Model'!$C$17/D405</f>
        <v>0.25252525252525254</v>
      </c>
      <c r="H405" s="28">
        <f t="shared" si="134"/>
        <v>999</v>
      </c>
      <c r="I405" s="28"/>
      <c r="J405" s="34">
        <f>INDEX('Profit per cycles Model'!$I$149:$I$179, MATCH(TRUNC(E405, 0), 'Profit per cycles Model'!$H$149:$H$179, 0))</f>
        <v>0.49840334444617229</v>
      </c>
      <c r="K405" s="27">
        <f>AVERAGE($AB$10:AB405)</f>
        <v>0.43411434793539544</v>
      </c>
      <c r="L405" s="28">
        <f t="shared" si="135"/>
        <v>0.1815890954101429</v>
      </c>
      <c r="M405" s="28">
        <f t="shared" si="136"/>
        <v>0.1815890954101429</v>
      </c>
      <c r="N405" s="28">
        <f t="shared" si="137"/>
        <v>999</v>
      </c>
      <c r="O405" s="28"/>
      <c r="P405" s="29">
        <f t="shared" si="153"/>
        <v>0.3960000000000003</v>
      </c>
      <c r="Q405" s="33">
        <f t="shared" si="138"/>
        <v>6.7114093959731544</v>
      </c>
      <c r="R405" s="33">
        <f t="shared" si="139"/>
        <v>6.7114093959731544</v>
      </c>
      <c r="S405" s="33">
        <f t="shared" si="140"/>
        <v>-1</v>
      </c>
      <c r="T405" s="27"/>
      <c r="U405" s="28">
        <f t="shared" si="141"/>
        <v>0.10964912280701754</v>
      </c>
      <c r="V405" s="25">
        <f t="shared" si="142"/>
        <v>999</v>
      </c>
      <c r="W405" s="35">
        <f t="shared" si="154"/>
        <v>25</v>
      </c>
      <c r="X405" s="33">
        <f t="shared" si="143"/>
        <v>25</v>
      </c>
      <c r="Y405" s="32">
        <f t="shared" si="144"/>
        <v>-1</v>
      </c>
      <c r="Z405" s="32"/>
      <c r="AA405" s="30">
        <f t="shared" si="145"/>
        <v>10.847829064511711</v>
      </c>
      <c r="AB405" s="28">
        <f t="shared" si="146"/>
        <v>0.49840334444617229</v>
      </c>
      <c r="AC405" s="28">
        <f t="shared" si="147"/>
        <v>0.10964912280701754</v>
      </c>
      <c r="AD405" s="29">
        <f t="shared" si="148"/>
        <v>375.7115749525617</v>
      </c>
      <c r="AE405" s="28">
        <f t="shared" si="149"/>
        <v>0.10964912280701754</v>
      </c>
      <c r="AF405" s="28">
        <f t="shared" si="150"/>
        <v>0.38875422163915474</v>
      </c>
      <c r="AG405" s="28">
        <f t="shared" si="151"/>
        <v>0</v>
      </c>
      <c r="AI405" s="31">
        <f t="shared" si="152"/>
        <v>0.71909281782416579</v>
      </c>
      <c r="AJ405" s="25"/>
      <c r="AK405" s="31"/>
      <c r="AM405" s="27"/>
    </row>
    <row r="406" spans="4:39" x14ac:dyDescent="0.25">
      <c r="D406" s="25">
        <f>E406*'Profit per cycles Model'!$I$113</f>
        <v>3970</v>
      </c>
      <c r="E406" s="25">
        <v>10.875222572250376</v>
      </c>
      <c r="F406" s="28">
        <f t="shared" si="133"/>
        <v>0.25188916876574308</v>
      </c>
      <c r="G406" s="28">
        <f>'Battery Pricing Model'!$C$17/D406</f>
        <v>0.25188916876574308</v>
      </c>
      <c r="H406" s="28">
        <f t="shared" si="134"/>
        <v>999</v>
      </c>
      <c r="I406" s="28"/>
      <c r="J406" s="34">
        <f>INDEX('Profit per cycles Model'!$I$149:$I$179, MATCH(TRUNC(E406, 0), 'Profit per cycles Model'!$H$149:$H$179, 0))</f>
        <v>0.49840334444617229</v>
      </c>
      <c r="K406" s="27">
        <f>AVERAGE($AB$10:AB406)</f>
        <v>0.43427628495431425</v>
      </c>
      <c r="L406" s="28">
        <f t="shared" si="135"/>
        <v>0.18238711618857117</v>
      </c>
      <c r="M406" s="28">
        <f t="shared" si="136"/>
        <v>0.18238711618857117</v>
      </c>
      <c r="N406" s="28">
        <f t="shared" si="137"/>
        <v>999</v>
      </c>
      <c r="O406" s="28"/>
      <c r="P406" s="29">
        <f t="shared" si="153"/>
        <v>0.3970000000000003</v>
      </c>
      <c r="Q406" s="33">
        <f t="shared" si="138"/>
        <v>6.7114093959731544</v>
      </c>
      <c r="R406" s="33">
        <f t="shared" si="139"/>
        <v>6.7114093959731544</v>
      </c>
      <c r="S406" s="33">
        <f t="shared" si="140"/>
        <v>-1</v>
      </c>
      <c r="T406" s="27"/>
      <c r="U406" s="28">
        <f t="shared" si="141"/>
        <v>0.10964912280701754</v>
      </c>
      <c r="V406" s="25">
        <f t="shared" si="142"/>
        <v>999</v>
      </c>
      <c r="W406" s="35">
        <f t="shared" si="154"/>
        <v>25</v>
      </c>
      <c r="X406" s="33">
        <f t="shared" si="143"/>
        <v>25</v>
      </c>
      <c r="Y406" s="32">
        <f t="shared" si="144"/>
        <v>-1</v>
      </c>
      <c r="Z406" s="32"/>
      <c r="AA406" s="30">
        <f t="shared" si="145"/>
        <v>10.875222572250376</v>
      </c>
      <c r="AB406" s="28">
        <f t="shared" si="146"/>
        <v>0.49840334444617229</v>
      </c>
      <c r="AC406" s="28">
        <f t="shared" si="147"/>
        <v>0.10964912280701754</v>
      </c>
      <c r="AD406" s="29">
        <f t="shared" si="148"/>
        <v>376.6603415559772</v>
      </c>
      <c r="AE406" s="28">
        <f t="shared" si="149"/>
        <v>0.10964912280701754</v>
      </c>
      <c r="AF406" s="28">
        <f t="shared" si="150"/>
        <v>0.38875422163915474</v>
      </c>
      <c r="AG406" s="28">
        <f t="shared" si="151"/>
        <v>0</v>
      </c>
      <c r="AI406" s="31">
        <f t="shared" si="152"/>
        <v>0.72407685126862753</v>
      </c>
      <c r="AJ406" s="25"/>
      <c r="AK406" s="31"/>
      <c r="AM406" s="27"/>
    </row>
    <row r="407" spans="4:39" x14ac:dyDescent="0.25">
      <c r="D407" s="25">
        <f>E407*'Profit per cycles Model'!$I$113</f>
        <v>3980.0000000000005</v>
      </c>
      <c r="E407" s="25">
        <v>10.902616079989043</v>
      </c>
      <c r="F407" s="28">
        <f t="shared" si="133"/>
        <v>0.25125628140703515</v>
      </c>
      <c r="G407" s="28">
        <f>'Battery Pricing Model'!$C$17/D407</f>
        <v>0.25125628140703515</v>
      </c>
      <c r="H407" s="28">
        <f t="shared" si="134"/>
        <v>999</v>
      </c>
      <c r="I407" s="28"/>
      <c r="J407" s="34">
        <f>INDEX('Profit per cycles Model'!$I$149:$I$179, MATCH(TRUNC(E407, 0), 'Profit per cycles Model'!$H$149:$H$179, 0))</f>
        <v>0.49840334444617229</v>
      </c>
      <c r="K407" s="27">
        <f>AVERAGE($AB$10:AB407)</f>
        <v>0.43443740821936916</v>
      </c>
      <c r="L407" s="28">
        <f t="shared" si="135"/>
        <v>0.18318112681233401</v>
      </c>
      <c r="M407" s="28">
        <f t="shared" si="136"/>
        <v>0.18318112681233401</v>
      </c>
      <c r="N407" s="28">
        <f t="shared" si="137"/>
        <v>999</v>
      </c>
      <c r="O407" s="28"/>
      <c r="P407" s="29">
        <f t="shared" si="153"/>
        <v>0.3980000000000003</v>
      </c>
      <c r="Q407" s="33">
        <f t="shared" si="138"/>
        <v>6.7114093959731544</v>
      </c>
      <c r="R407" s="33">
        <f t="shared" si="139"/>
        <v>6.7114093959731544</v>
      </c>
      <c r="S407" s="33">
        <f t="shared" si="140"/>
        <v>-1</v>
      </c>
      <c r="T407" s="27"/>
      <c r="U407" s="28">
        <f t="shared" si="141"/>
        <v>0.10964912280701754</v>
      </c>
      <c r="V407" s="25">
        <f t="shared" si="142"/>
        <v>999</v>
      </c>
      <c r="W407" s="35">
        <f t="shared" si="154"/>
        <v>25</v>
      </c>
      <c r="X407" s="33">
        <f t="shared" si="143"/>
        <v>25</v>
      </c>
      <c r="Y407" s="32">
        <f t="shared" si="144"/>
        <v>-1</v>
      </c>
      <c r="Z407" s="32"/>
      <c r="AA407" s="30">
        <f t="shared" si="145"/>
        <v>10.902616079989043</v>
      </c>
      <c r="AB407" s="28">
        <f t="shared" si="146"/>
        <v>0.49840334444617229</v>
      </c>
      <c r="AC407" s="28">
        <f t="shared" si="147"/>
        <v>0.10964912280701754</v>
      </c>
      <c r="AD407" s="29">
        <f t="shared" si="148"/>
        <v>377.6091081593928</v>
      </c>
      <c r="AE407" s="28">
        <f t="shared" si="149"/>
        <v>0.10964912280701754</v>
      </c>
      <c r="AF407" s="28">
        <f t="shared" si="150"/>
        <v>0.38875422163915474</v>
      </c>
      <c r="AG407" s="28">
        <f t="shared" si="151"/>
        <v>0</v>
      </c>
      <c r="AI407" s="31">
        <f t="shared" si="152"/>
        <v>0.72906088471308939</v>
      </c>
      <c r="AJ407" s="25"/>
      <c r="AK407" s="31"/>
      <c r="AM407" s="27"/>
    </row>
    <row r="408" spans="4:39" x14ac:dyDescent="0.25">
      <c r="D408" s="25">
        <f>E408*'Profit per cycles Model'!$I$113</f>
        <v>3990</v>
      </c>
      <c r="E408" s="25">
        <v>10.930009587727708</v>
      </c>
      <c r="F408" s="28">
        <f t="shared" si="133"/>
        <v>0.25062656641604009</v>
      </c>
      <c r="G408" s="28">
        <f>'Battery Pricing Model'!$C$17/D408</f>
        <v>0.25062656641604009</v>
      </c>
      <c r="H408" s="28">
        <f t="shared" si="134"/>
        <v>999</v>
      </c>
      <c r="I408" s="28"/>
      <c r="J408" s="34">
        <f>INDEX('Profit per cycles Model'!$I$149:$I$179, MATCH(TRUNC(E408, 0), 'Profit per cycles Model'!$H$149:$H$179, 0))</f>
        <v>0.49840334444617229</v>
      </c>
      <c r="K408" s="27">
        <f>AVERAGE($AB$10:AB408)</f>
        <v>0.43459772384901024</v>
      </c>
      <c r="L408" s="28">
        <f t="shared" si="135"/>
        <v>0.18397115743297016</v>
      </c>
      <c r="M408" s="28">
        <f t="shared" si="136"/>
        <v>0.18397115743297016</v>
      </c>
      <c r="N408" s="28">
        <f t="shared" si="137"/>
        <v>999</v>
      </c>
      <c r="O408" s="28"/>
      <c r="P408" s="29">
        <f t="shared" si="153"/>
        <v>0.3990000000000003</v>
      </c>
      <c r="Q408" s="33">
        <f t="shared" si="138"/>
        <v>6.7114093959731544</v>
      </c>
      <c r="R408" s="33">
        <f t="shared" si="139"/>
        <v>6.7114093959731544</v>
      </c>
      <c r="S408" s="33">
        <f t="shared" si="140"/>
        <v>-1</v>
      </c>
      <c r="T408" s="27"/>
      <c r="U408" s="28">
        <f t="shared" si="141"/>
        <v>0.10964912280701754</v>
      </c>
      <c r="V408" s="25">
        <f t="shared" si="142"/>
        <v>999</v>
      </c>
      <c r="W408" s="35">
        <f t="shared" si="154"/>
        <v>25</v>
      </c>
      <c r="X408" s="33">
        <f t="shared" si="143"/>
        <v>25</v>
      </c>
      <c r="Y408" s="32">
        <f t="shared" si="144"/>
        <v>-1</v>
      </c>
      <c r="Z408" s="32"/>
      <c r="AA408" s="30">
        <f t="shared" si="145"/>
        <v>10.930009587727708</v>
      </c>
      <c r="AB408" s="28">
        <f t="shared" si="146"/>
        <v>0.49840334444617229</v>
      </c>
      <c r="AC408" s="28">
        <f t="shared" si="147"/>
        <v>0.10964912280701754</v>
      </c>
      <c r="AD408" s="29">
        <f t="shared" si="148"/>
        <v>378.55787476280841</v>
      </c>
      <c r="AE408" s="28">
        <f t="shared" si="149"/>
        <v>0.10964912280701754</v>
      </c>
      <c r="AF408" s="28">
        <f t="shared" si="150"/>
        <v>0.38875422163915474</v>
      </c>
      <c r="AG408" s="28">
        <f t="shared" si="151"/>
        <v>0</v>
      </c>
      <c r="AI408" s="31">
        <f t="shared" si="152"/>
        <v>0.73404491815755102</v>
      </c>
      <c r="AJ408" s="25"/>
      <c r="AK408" s="31"/>
      <c r="AM408" s="27"/>
    </row>
    <row r="409" spans="4:39" x14ac:dyDescent="0.25">
      <c r="D409" s="25">
        <f>E409*'Profit per cycles Model'!$I$113</f>
        <v>4000</v>
      </c>
      <c r="E409" s="25">
        <v>10.957403095466374</v>
      </c>
      <c r="F409" s="28">
        <f t="shared" si="133"/>
        <v>0.25</v>
      </c>
      <c r="G409" s="28">
        <f>'Battery Pricing Model'!$C$17/D409</f>
        <v>0.25</v>
      </c>
      <c r="H409" s="28">
        <f t="shared" si="134"/>
        <v>999</v>
      </c>
      <c r="I409" s="28"/>
      <c r="J409" s="34">
        <f>INDEX('Profit per cycles Model'!$I$149:$I$179, MATCH(TRUNC(E409, 0), 'Profit per cycles Model'!$H$149:$H$179, 0))</f>
        <v>0.49840334444617229</v>
      </c>
      <c r="K409" s="27">
        <f>AVERAGE($AB$10:AB409)</f>
        <v>0.43475723790050308</v>
      </c>
      <c r="L409" s="28">
        <f t="shared" si="135"/>
        <v>0.18475723790050308</v>
      </c>
      <c r="M409" s="28">
        <f t="shared" si="136"/>
        <v>0.18475723790050308</v>
      </c>
      <c r="N409" s="28">
        <f t="shared" si="137"/>
        <v>999</v>
      </c>
      <c r="O409" s="28"/>
      <c r="P409" s="29">
        <f t="shared" si="153"/>
        <v>0.4000000000000003</v>
      </c>
      <c r="Q409" s="33">
        <f t="shared" si="138"/>
        <v>6.7114093959731544</v>
      </c>
      <c r="R409" s="33">
        <f t="shared" si="139"/>
        <v>6.7114093959731544</v>
      </c>
      <c r="S409" s="33">
        <f t="shared" si="140"/>
        <v>-1</v>
      </c>
      <c r="T409" s="27"/>
      <c r="U409" s="28">
        <f t="shared" si="141"/>
        <v>0.10964912280701754</v>
      </c>
      <c r="V409" s="25">
        <f t="shared" si="142"/>
        <v>999</v>
      </c>
      <c r="W409" s="35">
        <f t="shared" si="154"/>
        <v>25</v>
      </c>
      <c r="X409" s="33">
        <f t="shared" si="143"/>
        <v>25</v>
      </c>
      <c r="Y409" s="32">
        <f t="shared" si="144"/>
        <v>-1</v>
      </c>
      <c r="Z409" s="32"/>
      <c r="AA409" s="30">
        <f t="shared" si="145"/>
        <v>10.957403095466374</v>
      </c>
      <c r="AB409" s="28">
        <f t="shared" si="146"/>
        <v>0.49840334444617229</v>
      </c>
      <c r="AC409" s="28">
        <f t="shared" si="147"/>
        <v>0.10964912280701754</v>
      </c>
      <c r="AD409" s="29">
        <f t="shared" si="148"/>
        <v>379.5066413662239</v>
      </c>
      <c r="AE409" s="28">
        <f t="shared" si="149"/>
        <v>0.10964912280701754</v>
      </c>
      <c r="AF409" s="28">
        <f t="shared" si="150"/>
        <v>0.38875422163915474</v>
      </c>
      <c r="AG409" s="28">
        <f t="shared" si="151"/>
        <v>0</v>
      </c>
      <c r="AI409" s="31">
        <f t="shared" si="152"/>
        <v>0.73902895160201232</v>
      </c>
      <c r="AJ409" s="25"/>
      <c r="AK409" s="31"/>
      <c r="AM409" s="27"/>
    </row>
    <row r="410" spans="4:39" x14ac:dyDescent="0.25">
      <c r="D410" s="25">
        <f>E410*'Profit per cycles Model'!$I$113</f>
        <v>4010.0000000000005</v>
      </c>
      <c r="E410" s="25">
        <v>10.984796603205041</v>
      </c>
      <c r="F410" s="28">
        <f t="shared" si="133"/>
        <v>0.24937655860349126</v>
      </c>
      <c r="G410" s="28">
        <f>'Battery Pricing Model'!$C$17/D410</f>
        <v>0.24937655860349126</v>
      </c>
      <c r="H410" s="28">
        <f t="shared" si="134"/>
        <v>999</v>
      </c>
      <c r="I410" s="28"/>
      <c r="J410" s="34">
        <f>INDEX('Profit per cycles Model'!$I$149:$I$179, MATCH(TRUNC(E410, 0), 'Profit per cycles Model'!$H$149:$H$179, 0))</f>
        <v>0.49840334444617229</v>
      </c>
      <c r="K410" s="27">
        <f>AVERAGE($AB$10:AB410)</f>
        <v>0.43491595637069175</v>
      </c>
      <c r="L410" s="28">
        <f t="shared" si="135"/>
        <v>0.18553939776720049</v>
      </c>
      <c r="M410" s="28">
        <f t="shared" si="136"/>
        <v>0.18553939776720049</v>
      </c>
      <c r="N410" s="28">
        <f t="shared" si="137"/>
        <v>999</v>
      </c>
      <c r="O410" s="28"/>
      <c r="P410" s="29">
        <f t="shared" si="153"/>
        <v>0.4010000000000003</v>
      </c>
      <c r="Q410" s="33">
        <f t="shared" si="138"/>
        <v>6.7114093959731544</v>
      </c>
      <c r="R410" s="33">
        <f t="shared" si="139"/>
        <v>6.7114093959731544</v>
      </c>
      <c r="S410" s="33">
        <f t="shared" si="140"/>
        <v>-1</v>
      </c>
      <c r="T410" s="27"/>
      <c r="U410" s="28">
        <f t="shared" si="141"/>
        <v>0.10964912280701754</v>
      </c>
      <c r="V410" s="25">
        <f t="shared" si="142"/>
        <v>999</v>
      </c>
      <c r="W410" s="35">
        <f t="shared" si="154"/>
        <v>25</v>
      </c>
      <c r="X410" s="33">
        <f t="shared" si="143"/>
        <v>25</v>
      </c>
      <c r="Y410" s="32">
        <f t="shared" si="144"/>
        <v>-1</v>
      </c>
      <c r="Z410" s="32"/>
      <c r="AA410" s="30">
        <f t="shared" si="145"/>
        <v>10.984796603205041</v>
      </c>
      <c r="AB410" s="28">
        <f t="shared" si="146"/>
        <v>0.49840334444617229</v>
      </c>
      <c r="AC410" s="28">
        <f t="shared" si="147"/>
        <v>0.10964912280701754</v>
      </c>
      <c r="AD410" s="29">
        <f t="shared" si="148"/>
        <v>380.45540796963951</v>
      </c>
      <c r="AE410" s="28">
        <f t="shared" si="149"/>
        <v>0.10964912280701754</v>
      </c>
      <c r="AF410" s="28">
        <f t="shared" si="150"/>
        <v>0.38875422163915474</v>
      </c>
      <c r="AG410" s="28">
        <f t="shared" si="151"/>
        <v>0</v>
      </c>
      <c r="AI410" s="31">
        <f t="shared" si="152"/>
        <v>0.74401298504647406</v>
      </c>
      <c r="AJ410" s="25"/>
      <c r="AK410" s="31"/>
      <c r="AM410" s="27"/>
    </row>
    <row r="411" spans="4:39" x14ac:dyDescent="0.25">
      <c r="D411" s="25">
        <f>E411*'Profit per cycles Model'!$I$113</f>
        <v>4020</v>
      </c>
      <c r="E411" s="25">
        <v>11.012190110943706</v>
      </c>
      <c r="F411" s="28">
        <f t="shared" si="133"/>
        <v>0.24875621890547264</v>
      </c>
      <c r="G411" s="28">
        <f>'Battery Pricing Model'!$C$17/D411</f>
        <v>0.24875621890547264</v>
      </c>
      <c r="H411" s="28">
        <f t="shared" si="134"/>
        <v>999</v>
      </c>
      <c r="I411" s="28"/>
      <c r="J411" s="34">
        <f>INDEX('Profit per cycles Model'!$I$149:$I$179, MATCH(TRUNC(E411, 0), 'Profit per cycles Model'!$H$149:$H$179, 0))</f>
        <v>0.51239283982203243</v>
      </c>
      <c r="K411" s="27">
        <f>AVERAGE($AB$10:AB411)</f>
        <v>0.43510868493649113</v>
      </c>
      <c r="L411" s="28">
        <f t="shared" si="135"/>
        <v>0.18635246603101849</v>
      </c>
      <c r="M411" s="28">
        <f t="shared" si="136"/>
        <v>0.18635246603101849</v>
      </c>
      <c r="N411" s="28">
        <f t="shared" si="137"/>
        <v>999</v>
      </c>
      <c r="O411" s="28"/>
      <c r="P411" s="29">
        <f t="shared" si="153"/>
        <v>0.4020000000000003</v>
      </c>
      <c r="Q411" s="33">
        <f t="shared" si="138"/>
        <v>6.7114093959731544</v>
      </c>
      <c r="R411" s="33">
        <f t="shared" si="139"/>
        <v>6.7114093959731544</v>
      </c>
      <c r="S411" s="33">
        <f t="shared" si="140"/>
        <v>-1</v>
      </c>
      <c r="T411" s="27"/>
      <c r="U411" s="28">
        <f t="shared" si="141"/>
        <v>0.10964912280701754</v>
      </c>
      <c r="V411" s="25">
        <f t="shared" si="142"/>
        <v>999</v>
      </c>
      <c r="W411" s="35">
        <f t="shared" si="154"/>
        <v>25</v>
      </c>
      <c r="X411" s="33">
        <f t="shared" si="143"/>
        <v>25</v>
      </c>
      <c r="Y411" s="32">
        <f t="shared" si="144"/>
        <v>-1</v>
      </c>
      <c r="Z411" s="32"/>
      <c r="AA411" s="30">
        <f t="shared" si="145"/>
        <v>11.012190110943706</v>
      </c>
      <c r="AB411" s="28">
        <f t="shared" si="146"/>
        <v>0.51239283982203243</v>
      </c>
      <c r="AC411" s="28">
        <f t="shared" si="147"/>
        <v>0.10964912280701754</v>
      </c>
      <c r="AD411" s="29">
        <f t="shared" si="148"/>
        <v>381.404174573055</v>
      </c>
      <c r="AE411" s="28">
        <f t="shared" si="149"/>
        <v>0.10964912280701754</v>
      </c>
      <c r="AF411" s="28">
        <f t="shared" si="150"/>
        <v>0.40274371701501488</v>
      </c>
      <c r="AG411" s="28">
        <f t="shared" si="151"/>
        <v>0</v>
      </c>
      <c r="AI411" s="31">
        <f t="shared" si="152"/>
        <v>0.74913691344469435</v>
      </c>
      <c r="AJ411" s="25"/>
      <c r="AK411" s="31"/>
      <c r="AM411" s="27"/>
    </row>
    <row r="412" spans="4:39" x14ac:dyDescent="0.25">
      <c r="D412" s="25">
        <f>E412*'Profit per cycles Model'!$I$113</f>
        <v>4030</v>
      </c>
      <c r="E412" s="25">
        <v>11.039583618682371</v>
      </c>
      <c r="F412" s="28">
        <f t="shared" si="133"/>
        <v>0.24813895781637718</v>
      </c>
      <c r="G412" s="28">
        <f>'Battery Pricing Model'!$C$17/D412</f>
        <v>0.24813895781637718</v>
      </c>
      <c r="H412" s="28">
        <f t="shared" si="134"/>
        <v>999</v>
      </c>
      <c r="I412" s="28"/>
      <c r="J412" s="34">
        <f>INDEX('Profit per cycles Model'!$I$149:$I$179, MATCH(TRUNC(E412, 0), 'Profit per cycles Model'!$H$149:$H$179, 0))</f>
        <v>0.51239283982203243</v>
      </c>
      <c r="K412" s="27">
        <f>AVERAGE($AB$10:AB412)</f>
        <v>0.43530045703298137</v>
      </c>
      <c r="L412" s="28">
        <f t="shared" si="135"/>
        <v>0.18716149921660419</v>
      </c>
      <c r="M412" s="28">
        <f t="shared" si="136"/>
        <v>0.18716149921660419</v>
      </c>
      <c r="N412" s="28">
        <f t="shared" si="137"/>
        <v>999</v>
      </c>
      <c r="O412" s="28"/>
      <c r="P412" s="29">
        <f t="shared" si="153"/>
        <v>0.4030000000000003</v>
      </c>
      <c r="Q412" s="33">
        <f t="shared" si="138"/>
        <v>6.7114093959731544</v>
      </c>
      <c r="R412" s="33">
        <f t="shared" si="139"/>
        <v>6.7114093959731544</v>
      </c>
      <c r="S412" s="33">
        <f t="shared" si="140"/>
        <v>-1</v>
      </c>
      <c r="T412" s="27"/>
      <c r="U412" s="28">
        <f t="shared" si="141"/>
        <v>0.10964912280701754</v>
      </c>
      <c r="V412" s="25">
        <f t="shared" si="142"/>
        <v>999</v>
      </c>
      <c r="W412" s="35">
        <f t="shared" si="154"/>
        <v>25</v>
      </c>
      <c r="X412" s="33">
        <f t="shared" si="143"/>
        <v>25</v>
      </c>
      <c r="Y412" s="32">
        <f t="shared" si="144"/>
        <v>-1</v>
      </c>
      <c r="Z412" s="32"/>
      <c r="AA412" s="30">
        <f t="shared" si="145"/>
        <v>11.039583618682371</v>
      </c>
      <c r="AB412" s="28">
        <f t="shared" si="146"/>
        <v>0.51239283982203243</v>
      </c>
      <c r="AC412" s="28">
        <f t="shared" si="147"/>
        <v>0.10964912280701754</v>
      </c>
      <c r="AD412" s="29">
        <f t="shared" si="148"/>
        <v>382.35294117647055</v>
      </c>
      <c r="AE412" s="28">
        <f t="shared" si="149"/>
        <v>0.10964912280701754</v>
      </c>
      <c r="AF412" s="28">
        <f t="shared" si="150"/>
        <v>0.40274371701501488</v>
      </c>
      <c r="AG412" s="28">
        <f t="shared" si="151"/>
        <v>0</v>
      </c>
      <c r="AI412" s="31">
        <f t="shared" si="152"/>
        <v>0.75426084184291486</v>
      </c>
      <c r="AJ412" s="25"/>
      <c r="AK412" s="31"/>
      <c r="AM412" s="27"/>
    </row>
    <row r="413" spans="4:39" x14ac:dyDescent="0.25">
      <c r="D413" s="25">
        <f>E413*'Profit per cycles Model'!$I$113</f>
        <v>4040.0000000000005</v>
      </c>
      <c r="E413" s="25">
        <v>11.066977126421039</v>
      </c>
      <c r="F413" s="28">
        <f t="shared" si="133"/>
        <v>0.24752475247524749</v>
      </c>
      <c r="G413" s="28">
        <f>'Battery Pricing Model'!$C$17/D413</f>
        <v>0.24752475247524749</v>
      </c>
      <c r="H413" s="28">
        <f t="shared" si="134"/>
        <v>999</v>
      </c>
      <c r="I413" s="28"/>
      <c r="J413" s="34">
        <f>INDEX('Profit per cycles Model'!$I$149:$I$179, MATCH(TRUNC(E413, 0), 'Profit per cycles Model'!$H$149:$H$179, 0))</f>
        <v>0.51239283982203243</v>
      </c>
      <c r="K413" s="27">
        <f>AVERAGE($AB$10:AB413)</f>
        <v>0.43549127976265722</v>
      </c>
      <c r="L413" s="28">
        <f t="shared" si="135"/>
        <v>0.18796652728740973</v>
      </c>
      <c r="M413" s="28">
        <f t="shared" si="136"/>
        <v>0.18796652728740973</v>
      </c>
      <c r="N413" s="28">
        <f t="shared" si="137"/>
        <v>999</v>
      </c>
      <c r="O413" s="28"/>
      <c r="P413" s="29">
        <f t="shared" si="153"/>
        <v>0.4040000000000003</v>
      </c>
      <c r="Q413" s="33">
        <f t="shared" si="138"/>
        <v>6.7114093959731544</v>
      </c>
      <c r="R413" s="33">
        <f t="shared" si="139"/>
        <v>6.7114093959731544</v>
      </c>
      <c r="S413" s="33">
        <f t="shared" si="140"/>
        <v>-1</v>
      </c>
      <c r="T413" s="27"/>
      <c r="U413" s="28">
        <f t="shared" si="141"/>
        <v>0.10964912280701754</v>
      </c>
      <c r="V413" s="25">
        <f t="shared" si="142"/>
        <v>999</v>
      </c>
      <c r="W413" s="35">
        <f t="shared" si="154"/>
        <v>25</v>
      </c>
      <c r="X413" s="33">
        <f t="shared" si="143"/>
        <v>25</v>
      </c>
      <c r="Y413" s="32">
        <f t="shared" si="144"/>
        <v>-1</v>
      </c>
      <c r="Z413" s="32"/>
      <c r="AA413" s="30">
        <f t="shared" si="145"/>
        <v>11.066977126421039</v>
      </c>
      <c r="AB413" s="28">
        <f t="shared" si="146"/>
        <v>0.51239283982203243</v>
      </c>
      <c r="AC413" s="28">
        <f t="shared" si="147"/>
        <v>0.10964912280701754</v>
      </c>
      <c r="AD413" s="29">
        <f t="shared" si="148"/>
        <v>383.30170777988621</v>
      </c>
      <c r="AE413" s="28">
        <f t="shared" si="149"/>
        <v>0.10964912280701754</v>
      </c>
      <c r="AF413" s="28">
        <f t="shared" si="150"/>
        <v>0.40274371701501488</v>
      </c>
      <c r="AG413" s="28">
        <f t="shared" si="151"/>
        <v>0</v>
      </c>
      <c r="AI413" s="31">
        <f t="shared" si="152"/>
        <v>0.75938477024113538</v>
      </c>
      <c r="AJ413" s="25"/>
      <c r="AK413" s="31"/>
      <c r="AM413" s="27"/>
    </row>
    <row r="414" spans="4:39" x14ac:dyDescent="0.25">
      <c r="D414" s="25">
        <f>E414*'Profit per cycles Model'!$I$113</f>
        <v>4050</v>
      </c>
      <c r="E414" s="25">
        <v>11.094370634159704</v>
      </c>
      <c r="F414" s="28">
        <f t="shared" si="133"/>
        <v>0.24691358024691357</v>
      </c>
      <c r="G414" s="28">
        <f>'Battery Pricing Model'!$C$17/D414</f>
        <v>0.24691358024691357</v>
      </c>
      <c r="H414" s="28">
        <f t="shared" si="134"/>
        <v>999</v>
      </c>
      <c r="I414" s="28"/>
      <c r="J414" s="34">
        <f>INDEX('Profit per cycles Model'!$I$149:$I$179, MATCH(TRUNC(E414, 0), 'Profit per cycles Model'!$H$149:$H$179, 0))</f>
        <v>0.51239283982203243</v>
      </c>
      <c r="K414" s="27">
        <f>AVERAGE($AB$10:AB414)</f>
        <v>0.43568116015786562</v>
      </c>
      <c r="L414" s="28">
        <f t="shared" si="135"/>
        <v>0.18876757991095205</v>
      </c>
      <c r="M414" s="28">
        <f t="shared" si="136"/>
        <v>0.18876757991095205</v>
      </c>
      <c r="N414" s="28">
        <f t="shared" si="137"/>
        <v>999</v>
      </c>
      <c r="O414" s="28"/>
      <c r="P414" s="29">
        <f t="shared" si="153"/>
        <v>0.4050000000000003</v>
      </c>
      <c r="Q414" s="33">
        <f t="shared" si="138"/>
        <v>6.7114093959731544</v>
      </c>
      <c r="R414" s="33">
        <f t="shared" si="139"/>
        <v>6.7114093959731544</v>
      </c>
      <c r="S414" s="33">
        <f t="shared" si="140"/>
        <v>-1</v>
      </c>
      <c r="T414" s="27"/>
      <c r="U414" s="28">
        <f t="shared" si="141"/>
        <v>0.10964912280701754</v>
      </c>
      <c r="V414" s="25">
        <f t="shared" si="142"/>
        <v>999</v>
      </c>
      <c r="W414" s="35">
        <f t="shared" si="154"/>
        <v>25</v>
      </c>
      <c r="X414" s="33">
        <f t="shared" si="143"/>
        <v>25</v>
      </c>
      <c r="Y414" s="32">
        <f t="shared" si="144"/>
        <v>-1</v>
      </c>
      <c r="Z414" s="32"/>
      <c r="AA414" s="30">
        <f t="shared" si="145"/>
        <v>11.094370634159704</v>
      </c>
      <c r="AB414" s="28">
        <f t="shared" si="146"/>
        <v>0.51239283982203243</v>
      </c>
      <c r="AC414" s="28">
        <f t="shared" si="147"/>
        <v>0.10964912280701754</v>
      </c>
      <c r="AD414" s="29">
        <f t="shared" si="148"/>
        <v>384.25047438330176</v>
      </c>
      <c r="AE414" s="28">
        <f t="shared" si="149"/>
        <v>0.10964912280701754</v>
      </c>
      <c r="AF414" s="28">
        <f t="shared" si="150"/>
        <v>0.40274371701501488</v>
      </c>
      <c r="AG414" s="28">
        <f t="shared" si="151"/>
        <v>0</v>
      </c>
      <c r="AI414" s="31">
        <f t="shared" si="152"/>
        <v>0.76450869863935589</v>
      </c>
      <c r="AJ414" s="25"/>
      <c r="AK414" s="31"/>
      <c r="AM414" s="27"/>
    </row>
    <row r="415" spans="4:39" x14ac:dyDescent="0.25">
      <c r="D415" s="25">
        <f>E415*'Profit per cycles Model'!$I$113</f>
        <v>4060</v>
      </c>
      <c r="E415" s="25">
        <v>11.121764141898369</v>
      </c>
      <c r="F415" s="28">
        <f t="shared" si="133"/>
        <v>0.24630541871921183</v>
      </c>
      <c r="G415" s="28">
        <f>'Battery Pricing Model'!$C$17/D415</f>
        <v>0.24630541871921183</v>
      </c>
      <c r="H415" s="28">
        <f t="shared" si="134"/>
        <v>999</v>
      </c>
      <c r="I415" s="28"/>
      <c r="J415" s="34">
        <f>INDEX('Profit per cycles Model'!$I$149:$I$179, MATCH(TRUNC(E415, 0), 'Profit per cycles Model'!$H$149:$H$179, 0))</f>
        <v>0.51239283982203243</v>
      </c>
      <c r="K415" s="27">
        <f>AVERAGE($AB$10:AB415)</f>
        <v>0.43587010518166897</v>
      </c>
      <c r="L415" s="28">
        <f t="shared" si="135"/>
        <v>0.18956468646245714</v>
      </c>
      <c r="M415" s="28">
        <f t="shared" si="136"/>
        <v>0.18956468646245714</v>
      </c>
      <c r="N415" s="28">
        <f t="shared" si="137"/>
        <v>999</v>
      </c>
      <c r="O415" s="28"/>
      <c r="P415" s="29">
        <f t="shared" si="153"/>
        <v>0.40600000000000031</v>
      </c>
      <c r="Q415" s="33">
        <f t="shared" si="138"/>
        <v>6.7114093959731544</v>
      </c>
      <c r="R415" s="33">
        <f t="shared" si="139"/>
        <v>6.7114093959731544</v>
      </c>
      <c r="S415" s="33">
        <f t="shared" si="140"/>
        <v>-1</v>
      </c>
      <c r="T415" s="27"/>
      <c r="U415" s="28">
        <f t="shared" si="141"/>
        <v>0.10964912280701754</v>
      </c>
      <c r="V415" s="25">
        <f t="shared" si="142"/>
        <v>999</v>
      </c>
      <c r="W415" s="35">
        <f t="shared" si="154"/>
        <v>25</v>
      </c>
      <c r="X415" s="33">
        <f t="shared" si="143"/>
        <v>25</v>
      </c>
      <c r="Y415" s="32">
        <f t="shared" si="144"/>
        <v>-1</v>
      </c>
      <c r="Z415" s="32"/>
      <c r="AA415" s="30">
        <f t="shared" si="145"/>
        <v>11.121764141898369</v>
      </c>
      <c r="AB415" s="28">
        <f t="shared" si="146"/>
        <v>0.51239283982203243</v>
      </c>
      <c r="AC415" s="28">
        <f t="shared" si="147"/>
        <v>0.10964912280701754</v>
      </c>
      <c r="AD415" s="29">
        <f t="shared" si="148"/>
        <v>385.19924098671726</v>
      </c>
      <c r="AE415" s="28">
        <f t="shared" si="149"/>
        <v>0.10964912280701754</v>
      </c>
      <c r="AF415" s="28">
        <f t="shared" si="150"/>
        <v>0.40274371701501488</v>
      </c>
      <c r="AG415" s="28">
        <f t="shared" si="151"/>
        <v>0</v>
      </c>
      <c r="AI415" s="31">
        <f t="shared" si="152"/>
        <v>0.76963262703757596</v>
      </c>
      <c r="AJ415" s="25"/>
      <c r="AK415" s="31"/>
      <c r="AM415" s="27"/>
    </row>
    <row r="416" spans="4:39" x14ac:dyDescent="0.25">
      <c r="D416" s="25">
        <f>E416*'Profit per cycles Model'!$I$113</f>
        <v>4070.0000000000005</v>
      </c>
      <c r="E416" s="25">
        <v>11.149157649637036</v>
      </c>
      <c r="F416" s="28">
        <f t="shared" si="133"/>
        <v>0.24570024570024568</v>
      </c>
      <c r="G416" s="28">
        <f>'Battery Pricing Model'!$C$17/D416</f>
        <v>0.24570024570024568</v>
      </c>
      <c r="H416" s="28">
        <f t="shared" si="134"/>
        <v>999</v>
      </c>
      <c r="I416" s="28"/>
      <c r="J416" s="34">
        <f>INDEX('Profit per cycles Model'!$I$149:$I$179, MATCH(TRUNC(E416, 0), 'Profit per cycles Model'!$H$149:$H$179, 0))</f>
        <v>0.51239283982203243</v>
      </c>
      <c r="K416" s="27">
        <f>AVERAGE($AB$10:AB416)</f>
        <v>0.4360581217286969</v>
      </c>
      <c r="L416" s="28">
        <f t="shared" si="135"/>
        <v>0.19035787602845122</v>
      </c>
      <c r="M416" s="28">
        <f t="shared" si="136"/>
        <v>0.19035787602845122</v>
      </c>
      <c r="N416" s="28">
        <f t="shared" si="137"/>
        <v>999</v>
      </c>
      <c r="O416" s="28"/>
      <c r="P416" s="29">
        <f t="shared" si="153"/>
        <v>0.40700000000000031</v>
      </c>
      <c r="Q416" s="33">
        <f t="shared" si="138"/>
        <v>6.7114093959731544</v>
      </c>
      <c r="R416" s="33">
        <f t="shared" si="139"/>
        <v>6.7114093959731544</v>
      </c>
      <c r="S416" s="33">
        <f t="shared" si="140"/>
        <v>-1</v>
      </c>
      <c r="T416" s="27"/>
      <c r="U416" s="28">
        <f t="shared" si="141"/>
        <v>0.10964912280701754</v>
      </c>
      <c r="V416" s="25">
        <f t="shared" si="142"/>
        <v>999</v>
      </c>
      <c r="W416" s="35">
        <f t="shared" si="154"/>
        <v>25</v>
      </c>
      <c r="X416" s="33">
        <f t="shared" si="143"/>
        <v>25</v>
      </c>
      <c r="Y416" s="32">
        <f t="shared" si="144"/>
        <v>-1</v>
      </c>
      <c r="Z416" s="32"/>
      <c r="AA416" s="30">
        <f t="shared" si="145"/>
        <v>11.149157649637036</v>
      </c>
      <c r="AB416" s="28">
        <f t="shared" si="146"/>
        <v>0.51239283982203243</v>
      </c>
      <c r="AC416" s="28">
        <f t="shared" si="147"/>
        <v>0.10964912280701754</v>
      </c>
      <c r="AD416" s="29">
        <f t="shared" si="148"/>
        <v>386.14800759013286</v>
      </c>
      <c r="AE416" s="28">
        <f t="shared" si="149"/>
        <v>0.10964912280701754</v>
      </c>
      <c r="AF416" s="28">
        <f t="shared" si="150"/>
        <v>0.40274371701501488</v>
      </c>
      <c r="AG416" s="28">
        <f t="shared" si="151"/>
        <v>0</v>
      </c>
      <c r="AI416" s="31">
        <f t="shared" si="152"/>
        <v>0.77475655543579658</v>
      </c>
      <c r="AJ416" s="25"/>
      <c r="AK416" s="31"/>
      <c r="AM416" s="27"/>
    </row>
    <row r="417" spans="4:39" x14ac:dyDescent="0.25">
      <c r="D417" s="25">
        <f>E417*'Profit per cycles Model'!$I$113</f>
        <v>4080</v>
      </c>
      <c r="E417" s="25">
        <v>11.176551157375702</v>
      </c>
      <c r="F417" s="28">
        <f t="shared" si="133"/>
        <v>0.24509803921568626</v>
      </c>
      <c r="G417" s="28">
        <f>'Battery Pricing Model'!$C$17/D417</f>
        <v>0.24509803921568626</v>
      </c>
      <c r="H417" s="28">
        <f t="shared" si="134"/>
        <v>999</v>
      </c>
      <c r="I417" s="28"/>
      <c r="J417" s="34">
        <f>INDEX('Profit per cycles Model'!$I$149:$I$179, MATCH(TRUNC(E417, 0), 'Profit per cycles Model'!$H$149:$H$179, 0))</f>
        <v>0.51239283982203243</v>
      </c>
      <c r="K417" s="27">
        <f>AVERAGE($AB$10:AB417)</f>
        <v>0.43624521662598453</v>
      </c>
      <c r="L417" s="28">
        <f t="shared" si="135"/>
        <v>0.19114717741029827</v>
      </c>
      <c r="M417" s="28">
        <f t="shared" si="136"/>
        <v>0.19114717741029827</v>
      </c>
      <c r="N417" s="28">
        <f t="shared" si="137"/>
        <v>999</v>
      </c>
      <c r="O417" s="28"/>
      <c r="P417" s="29">
        <f t="shared" si="153"/>
        <v>0.40800000000000031</v>
      </c>
      <c r="Q417" s="33">
        <f t="shared" si="138"/>
        <v>6.7114093959731544</v>
      </c>
      <c r="R417" s="33">
        <f t="shared" si="139"/>
        <v>6.7114093959731544</v>
      </c>
      <c r="S417" s="33">
        <f t="shared" si="140"/>
        <v>-1</v>
      </c>
      <c r="T417" s="27"/>
      <c r="U417" s="28">
        <f t="shared" si="141"/>
        <v>0.10964912280701754</v>
      </c>
      <c r="V417" s="25">
        <f t="shared" si="142"/>
        <v>999</v>
      </c>
      <c r="W417" s="35">
        <f t="shared" si="154"/>
        <v>25</v>
      </c>
      <c r="X417" s="33">
        <f t="shared" si="143"/>
        <v>25</v>
      </c>
      <c r="Y417" s="32">
        <f t="shared" si="144"/>
        <v>-1</v>
      </c>
      <c r="Z417" s="32"/>
      <c r="AA417" s="30">
        <f t="shared" si="145"/>
        <v>11.176551157375702</v>
      </c>
      <c r="AB417" s="28">
        <f t="shared" si="146"/>
        <v>0.51239283982203243</v>
      </c>
      <c r="AC417" s="28">
        <f t="shared" si="147"/>
        <v>0.10964912280701754</v>
      </c>
      <c r="AD417" s="29">
        <f t="shared" si="148"/>
        <v>387.09677419354836</v>
      </c>
      <c r="AE417" s="28">
        <f t="shared" si="149"/>
        <v>0.10964912280701754</v>
      </c>
      <c r="AF417" s="28">
        <f t="shared" si="150"/>
        <v>0.40274371701501488</v>
      </c>
      <c r="AG417" s="28">
        <f t="shared" si="151"/>
        <v>0</v>
      </c>
      <c r="AI417" s="31">
        <f t="shared" si="152"/>
        <v>0.77988048383401698</v>
      </c>
      <c r="AJ417" s="25"/>
      <c r="AK417" s="31"/>
      <c r="AM417" s="27"/>
    </row>
    <row r="418" spans="4:39" x14ac:dyDescent="0.25">
      <c r="D418" s="25">
        <f>E418*'Profit per cycles Model'!$I$113</f>
        <v>4090</v>
      </c>
      <c r="E418" s="25">
        <v>11.203944665114367</v>
      </c>
      <c r="F418" s="28">
        <f t="shared" si="133"/>
        <v>0.24449877750611246</v>
      </c>
      <c r="G418" s="28">
        <f>'Battery Pricing Model'!$C$17/D418</f>
        <v>0.24449877750611246</v>
      </c>
      <c r="H418" s="28">
        <f t="shared" si="134"/>
        <v>999</v>
      </c>
      <c r="I418" s="28"/>
      <c r="J418" s="34">
        <f>INDEX('Profit per cycles Model'!$I$149:$I$179, MATCH(TRUNC(E418, 0), 'Profit per cycles Model'!$H$149:$H$179, 0))</f>
        <v>0.51239283982203243</v>
      </c>
      <c r="K418" s="27">
        <f>AVERAGE($AB$10:AB418)</f>
        <v>0.43643139663379887</v>
      </c>
      <c r="L418" s="28">
        <f t="shared" si="135"/>
        <v>0.19193261912768642</v>
      </c>
      <c r="M418" s="28">
        <f t="shared" si="136"/>
        <v>0.19193261912768642</v>
      </c>
      <c r="N418" s="28">
        <f t="shared" si="137"/>
        <v>999</v>
      </c>
      <c r="O418" s="28"/>
      <c r="P418" s="29">
        <f t="shared" si="153"/>
        <v>0.40900000000000031</v>
      </c>
      <c r="Q418" s="33">
        <f t="shared" si="138"/>
        <v>6.7114093959731544</v>
      </c>
      <c r="R418" s="33">
        <f t="shared" si="139"/>
        <v>6.7114093959731544</v>
      </c>
      <c r="S418" s="33">
        <f t="shared" si="140"/>
        <v>-1</v>
      </c>
      <c r="T418" s="27"/>
      <c r="U418" s="28">
        <f t="shared" si="141"/>
        <v>0.10964912280701754</v>
      </c>
      <c r="V418" s="25">
        <f t="shared" si="142"/>
        <v>999</v>
      </c>
      <c r="W418" s="35">
        <f t="shared" si="154"/>
        <v>25</v>
      </c>
      <c r="X418" s="33">
        <f t="shared" si="143"/>
        <v>25</v>
      </c>
      <c r="Y418" s="32">
        <f t="shared" si="144"/>
        <v>-1</v>
      </c>
      <c r="Z418" s="32"/>
      <c r="AA418" s="30">
        <f t="shared" si="145"/>
        <v>11.203944665114367</v>
      </c>
      <c r="AB418" s="28">
        <f t="shared" si="146"/>
        <v>0.51239283982203243</v>
      </c>
      <c r="AC418" s="28">
        <f t="shared" si="147"/>
        <v>0.10964912280701754</v>
      </c>
      <c r="AD418" s="29">
        <f t="shared" si="148"/>
        <v>388.04554079696391</v>
      </c>
      <c r="AE418" s="28">
        <f t="shared" si="149"/>
        <v>0.10964912280701754</v>
      </c>
      <c r="AF418" s="28">
        <f t="shared" si="150"/>
        <v>0.40274371701501488</v>
      </c>
      <c r="AG418" s="28">
        <f t="shared" si="151"/>
        <v>0</v>
      </c>
      <c r="AI418" s="31">
        <f t="shared" si="152"/>
        <v>0.78500441223223749</v>
      </c>
      <c r="AJ418" s="25"/>
      <c r="AK418" s="31"/>
      <c r="AM418" s="27"/>
    </row>
    <row r="419" spans="4:39" x14ac:dyDescent="0.25">
      <c r="D419" s="25">
        <f>E419*'Profit per cycles Model'!$I$113</f>
        <v>4100</v>
      </c>
      <c r="E419" s="25">
        <v>11.231338172853034</v>
      </c>
      <c r="F419" s="28">
        <f t="shared" si="133"/>
        <v>0.24390243902439024</v>
      </c>
      <c r="G419" s="28">
        <f>'Battery Pricing Model'!$C$17/D419</f>
        <v>0.24390243902439024</v>
      </c>
      <c r="H419" s="28">
        <f t="shared" si="134"/>
        <v>999</v>
      </c>
      <c r="I419" s="28"/>
      <c r="J419" s="34">
        <f>INDEX('Profit per cycles Model'!$I$149:$I$179, MATCH(TRUNC(E419, 0), 'Profit per cycles Model'!$H$149:$H$179, 0))</f>
        <v>0.51239283982203243</v>
      </c>
      <c r="K419" s="27">
        <f>AVERAGE($AB$10:AB419)</f>
        <v>0.43661666844645308</v>
      </c>
      <c r="L419" s="28">
        <f t="shared" si="135"/>
        <v>0.19271422942206284</v>
      </c>
      <c r="M419" s="28">
        <f t="shared" si="136"/>
        <v>0.19271422942206284</v>
      </c>
      <c r="N419" s="28">
        <f t="shared" si="137"/>
        <v>999</v>
      </c>
      <c r="O419" s="28"/>
      <c r="P419" s="29">
        <f t="shared" si="153"/>
        <v>0.41000000000000031</v>
      </c>
      <c r="Q419" s="33">
        <f t="shared" si="138"/>
        <v>6.7114093959731544</v>
      </c>
      <c r="R419" s="33">
        <f t="shared" si="139"/>
        <v>6.7114093959731544</v>
      </c>
      <c r="S419" s="33">
        <f t="shared" si="140"/>
        <v>-1</v>
      </c>
      <c r="T419" s="27"/>
      <c r="U419" s="28">
        <f t="shared" si="141"/>
        <v>0.10964912280701754</v>
      </c>
      <c r="V419" s="25">
        <f t="shared" si="142"/>
        <v>999</v>
      </c>
      <c r="W419" s="35">
        <f t="shared" si="154"/>
        <v>25</v>
      </c>
      <c r="X419" s="33">
        <f t="shared" si="143"/>
        <v>25</v>
      </c>
      <c r="Y419" s="32">
        <f t="shared" si="144"/>
        <v>-1</v>
      </c>
      <c r="Z419" s="32"/>
      <c r="AA419" s="30">
        <f t="shared" si="145"/>
        <v>11.231338172853034</v>
      </c>
      <c r="AB419" s="28">
        <f t="shared" si="146"/>
        <v>0.51239283982203243</v>
      </c>
      <c r="AC419" s="28">
        <f t="shared" si="147"/>
        <v>0.10964912280701754</v>
      </c>
      <c r="AD419" s="29">
        <f t="shared" si="148"/>
        <v>388.99430740037957</v>
      </c>
      <c r="AE419" s="28">
        <f t="shared" si="149"/>
        <v>0.10964912280701754</v>
      </c>
      <c r="AF419" s="28">
        <f t="shared" si="150"/>
        <v>0.40274371701501488</v>
      </c>
      <c r="AG419" s="28">
        <f t="shared" si="151"/>
        <v>0</v>
      </c>
      <c r="AI419" s="31">
        <f t="shared" si="152"/>
        <v>0.79012834063045767</v>
      </c>
      <c r="AJ419" s="25"/>
      <c r="AK419" s="31"/>
      <c r="AM419" s="27"/>
    </row>
    <row r="420" spans="4:39" x14ac:dyDescent="0.25">
      <c r="D420" s="25">
        <f>E420*'Profit per cycles Model'!$I$113</f>
        <v>4110</v>
      </c>
      <c r="E420" s="25">
        <v>11.258731680591699</v>
      </c>
      <c r="F420" s="28">
        <f t="shared" si="133"/>
        <v>0.24330900243309003</v>
      </c>
      <c r="G420" s="28">
        <f>'Battery Pricing Model'!$C$17/D420</f>
        <v>0.24330900243309003</v>
      </c>
      <c r="H420" s="28">
        <f t="shared" si="134"/>
        <v>999</v>
      </c>
      <c r="I420" s="28"/>
      <c r="J420" s="34">
        <f>INDEX('Profit per cycles Model'!$I$149:$I$179, MATCH(TRUNC(E420, 0), 'Profit per cycles Model'!$H$149:$H$179, 0))</f>
        <v>0.51239283982203243</v>
      </c>
      <c r="K420" s="27">
        <f>AVERAGE($AB$10:AB420)</f>
        <v>0.43680103869310904</v>
      </c>
      <c r="L420" s="28">
        <f t="shared" si="135"/>
        <v>0.19349203626001901</v>
      </c>
      <c r="M420" s="28">
        <f t="shared" si="136"/>
        <v>0.19349203626001901</v>
      </c>
      <c r="N420" s="28">
        <f t="shared" si="137"/>
        <v>999</v>
      </c>
      <c r="O420" s="28"/>
      <c r="P420" s="29">
        <f t="shared" si="153"/>
        <v>0.41100000000000031</v>
      </c>
      <c r="Q420" s="33">
        <f t="shared" si="138"/>
        <v>6.7114093959731544</v>
      </c>
      <c r="R420" s="33">
        <f t="shared" si="139"/>
        <v>6.7114093959731544</v>
      </c>
      <c r="S420" s="33">
        <f t="shared" si="140"/>
        <v>-1</v>
      </c>
      <c r="T420" s="27"/>
      <c r="U420" s="28">
        <f t="shared" si="141"/>
        <v>0.10964912280701754</v>
      </c>
      <c r="V420" s="25">
        <f t="shared" si="142"/>
        <v>999</v>
      </c>
      <c r="W420" s="35">
        <f t="shared" si="154"/>
        <v>25</v>
      </c>
      <c r="X420" s="33">
        <f t="shared" si="143"/>
        <v>25</v>
      </c>
      <c r="Y420" s="32">
        <f t="shared" si="144"/>
        <v>-1</v>
      </c>
      <c r="Z420" s="32"/>
      <c r="AA420" s="30">
        <f t="shared" si="145"/>
        <v>11.258731680591699</v>
      </c>
      <c r="AB420" s="28">
        <f t="shared" si="146"/>
        <v>0.51239283982203243</v>
      </c>
      <c r="AC420" s="28">
        <f t="shared" si="147"/>
        <v>0.10964912280701754</v>
      </c>
      <c r="AD420" s="29">
        <f t="shared" si="148"/>
        <v>389.94307400379512</v>
      </c>
      <c r="AE420" s="28">
        <f t="shared" si="149"/>
        <v>0.10964912280701754</v>
      </c>
      <c r="AF420" s="28">
        <f t="shared" si="150"/>
        <v>0.40274371701501488</v>
      </c>
      <c r="AG420" s="28">
        <f t="shared" si="151"/>
        <v>0</v>
      </c>
      <c r="AI420" s="31">
        <f t="shared" si="152"/>
        <v>0.79525226902867807</v>
      </c>
      <c r="AJ420" s="25"/>
      <c r="AK420" s="31"/>
      <c r="AM420" s="27"/>
    </row>
    <row r="421" spans="4:39" x14ac:dyDescent="0.25">
      <c r="D421" s="25">
        <f>E421*'Profit per cycles Model'!$I$113</f>
        <v>4120</v>
      </c>
      <c r="E421" s="25">
        <v>11.286125188330365</v>
      </c>
      <c r="F421" s="28">
        <f t="shared" si="133"/>
        <v>0.24271844660194175</v>
      </c>
      <c r="G421" s="28">
        <f>'Battery Pricing Model'!$C$17/D421</f>
        <v>0.24271844660194175</v>
      </c>
      <c r="H421" s="28">
        <f t="shared" si="134"/>
        <v>999</v>
      </c>
      <c r="I421" s="28"/>
      <c r="J421" s="34">
        <f>INDEX('Profit per cycles Model'!$I$149:$I$179, MATCH(TRUNC(E421, 0), 'Profit per cycles Model'!$H$149:$H$179, 0))</f>
        <v>0.51239283982203243</v>
      </c>
      <c r="K421" s="27">
        <f>AVERAGE($AB$10:AB421)</f>
        <v>0.43698451393856763</v>
      </c>
      <c r="L421" s="28">
        <f t="shared" si="135"/>
        <v>0.19426606733662588</v>
      </c>
      <c r="M421" s="28">
        <f t="shared" si="136"/>
        <v>0.19426606733662588</v>
      </c>
      <c r="N421" s="28">
        <f t="shared" si="137"/>
        <v>999</v>
      </c>
      <c r="O421" s="28"/>
      <c r="P421" s="29">
        <f t="shared" si="153"/>
        <v>0.41200000000000031</v>
      </c>
      <c r="Q421" s="33">
        <f t="shared" si="138"/>
        <v>6.7114093959731544</v>
      </c>
      <c r="R421" s="33">
        <f t="shared" si="139"/>
        <v>6.7114093959731544</v>
      </c>
      <c r="S421" s="33">
        <f t="shared" si="140"/>
        <v>-1</v>
      </c>
      <c r="T421" s="27"/>
      <c r="U421" s="28">
        <f t="shared" si="141"/>
        <v>0.10964912280701754</v>
      </c>
      <c r="V421" s="25">
        <f t="shared" si="142"/>
        <v>999</v>
      </c>
      <c r="W421" s="35">
        <f t="shared" si="154"/>
        <v>25</v>
      </c>
      <c r="X421" s="33">
        <f t="shared" si="143"/>
        <v>25</v>
      </c>
      <c r="Y421" s="32">
        <f t="shared" si="144"/>
        <v>-1</v>
      </c>
      <c r="Z421" s="32"/>
      <c r="AA421" s="30">
        <f t="shared" si="145"/>
        <v>11.286125188330365</v>
      </c>
      <c r="AB421" s="28">
        <f t="shared" si="146"/>
        <v>0.51239283982203243</v>
      </c>
      <c r="AC421" s="28">
        <f t="shared" si="147"/>
        <v>0.10964912280701754</v>
      </c>
      <c r="AD421" s="29">
        <f t="shared" si="148"/>
        <v>390.89184060721061</v>
      </c>
      <c r="AE421" s="28">
        <f t="shared" si="149"/>
        <v>0.10964912280701754</v>
      </c>
      <c r="AF421" s="28">
        <f t="shared" si="150"/>
        <v>0.40274371701501488</v>
      </c>
      <c r="AG421" s="28">
        <f t="shared" si="151"/>
        <v>0</v>
      </c>
      <c r="AI421" s="31">
        <f t="shared" si="152"/>
        <v>0.80037619742689858</v>
      </c>
      <c r="AJ421" s="25"/>
      <c r="AK421" s="31"/>
      <c r="AM421" s="27"/>
    </row>
    <row r="422" spans="4:39" x14ac:dyDescent="0.25">
      <c r="D422" s="25">
        <f>E422*'Profit per cycles Model'!$I$113</f>
        <v>4130</v>
      </c>
      <c r="E422" s="25">
        <v>11.313518696069032</v>
      </c>
      <c r="F422" s="28">
        <f t="shared" si="133"/>
        <v>0.24213075060532688</v>
      </c>
      <c r="G422" s="28">
        <f>'Battery Pricing Model'!$C$17/D422</f>
        <v>0.24213075060532688</v>
      </c>
      <c r="H422" s="28">
        <f t="shared" si="134"/>
        <v>999</v>
      </c>
      <c r="I422" s="28"/>
      <c r="J422" s="34">
        <f>INDEX('Profit per cycles Model'!$I$149:$I$179, MATCH(TRUNC(E422, 0), 'Profit per cycles Model'!$H$149:$H$179, 0))</f>
        <v>0.51239283982203243</v>
      </c>
      <c r="K422" s="27">
        <f>AVERAGE($AB$10:AB422)</f>
        <v>0.43716710068404818</v>
      </c>
      <c r="L422" s="28">
        <f t="shared" si="135"/>
        <v>0.1950363500787213</v>
      </c>
      <c r="M422" s="28">
        <f t="shared" si="136"/>
        <v>0.1950363500787213</v>
      </c>
      <c r="N422" s="28">
        <f t="shared" si="137"/>
        <v>999</v>
      </c>
      <c r="O422" s="28"/>
      <c r="P422" s="29">
        <f t="shared" si="153"/>
        <v>0.41300000000000031</v>
      </c>
      <c r="Q422" s="33">
        <f t="shared" si="138"/>
        <v>6.7114093959731544</v>
      </c>
      <c r="R422" s="33">
        <f t="shared" si="139"/>
        <v>6.7114093959731544</v>
      </c>
      <c r="S422" s="33">
        <f t="shared" si="140"/>
        <v>-1</v>
      </c>
      <c r="T422" s="27"/>
      <c r="U422" s="28">
        <f t="shared" si="141"/>
        <v>0.10964912280701754</v>
      </c>
      <c r="V422" s="25">
        <f t="shared" si="142"/>
        <v>999</v>
      </c>
      <c r="W422" s="35">
        <f t="shared" si="154"/>
        <v>25</v>
      </c>
      <c r="X422" s="33">
        <f t="shared" si="143"/>
        <v>25</v>
      </c>
      <c r="Y422" s="32">
        <f t="shared" si="144"/>
        <v>-1</v>
      </c>
      <c r="Z422" s="32"/>
      <c r="AA422" s="30">
        <f t="shared" si="145"/>
        <v>11.313518696069032</v>
      </c>
      <c r="AB422" s="28">
        <f t="shared" si="146"/>
        <v>0.51239283982203243</v>
      </c>
      <c r="AC422" s="28">
        <f t="shared" si="147"/>
        <v>0.10964912280701754</v>
      </c>
      <c r="AD422" s="29">
        <f t="shared" si="148"/>
        <v>391.84060721062622</v>
      </c>
      <c r="AE422" s="28">
        <f t="shared" si="149"/>
        <v>0.10964912280701754</v>
      </c>
      <c r="AF422" s="28">
        <f t="shared" si="150"/>
        <v>0.40274371701501488</v>
      </c>
      <c r="AG422" s="28">
        <f t="shared" si="151"/>
        <v>0</v>
      </c>
      <c r="AI422" s="31">
        <f t="shared" si="152"/>
        <v>0.80550012582511898</v>
      </c>
      <c r="AJ422" s="25"/>
      <c r="AK422" s="31"/>
      <c r="AM422" s="27"/>
    </row>
    <row r="423" spans="4:39" x14ac:dyDescent="0.25">
      <c r="D423" s="25">
        <f>E423*'Profit per cycles Model'!$I$113</f>
        <v>4140</v>
      </c>
      <c r="E423" s="25">
        <v>11.340912203807697</v>
      </c>
      <c r="F423" s="28">
        <f t="shared" si="133"/>
        <v>0.24154589371980675</v>
      </c>
      <c r="G423" s="28">
        <f>'Battery Pricing Model'!$C$17/D423</f>
        <v>0.24154589371980675</v>
      </c>
      <c r="H423" s="28">
        <f t="shared" si="134"/>
        <v>999</v>
      </c>
      <c r="I423" s="28"/>
      <c r="J423" s="34">
        <f>INDEX('Profit per cycles Model'!$I$149:$I$179, MATCH(TRUNC(E423, 0), 'Profit per cycles Model'!$H$149:$H$179, 0))</f>
        <v>0.51239283982203243</v>
      </c>
      <c r="K423" s="27">
        <f>AVERAGE($AB$10:AB423)</f>
        <v>0.43734880536795639</v>
      </c>
      <c r="L423" s="28">
        <f t="shared" si="135"/>
        <v>0.19580291164814964</v>
      </c>
      <c r="M423" s="28">
        <f t="shared" si="136"/>
        <v>0.19580291164814964</v>
      </c>
      <c r="N423" s="28">
        <f t="shared" si="137"/>
        <v>999</v>
      </c>
      <c r="O423" s="28"/>
      <c r="P423" s="29">
        <f t="shared" si="153"/>
        <v>0.41400000000000031</v>
      </c>
      <c r="Q423" s="33">
        <f t="shared" si="138"/>
        <v>6.7114093959731544</v>
      </c>
      <c r="R423" s="33">
        <f t="shared" si="139"/>
        <v>6.7114093959731544</v>
      </c>
      <c r="S423" s="33">
        <f t="shared" si="140"/>
        <v>-1</v>
      </c>
      <c r="T423" s="27"/>
      <c r="U423" s="28">
        <f t="shared" si="141"/>
        <v>0.10964912280701754</v>
      </c>
      <c r="V423" s="25">
        <f t="shared" si="142"/>
        <v>999</v>
      </c>
      <c r="W423" s="35">
        <f t="shared" si="154"/>
        <v>25</v>
      </c>
      <c r="X423" s="33">
        <f t="shared" si="143"/>
        <v>25</v>
      </c>
      <c r="Y423" s="32">
        <f t="shared" si="144"/>
        <v>-1</v>
      </c>
      <c r="Z423" s="32"/>
      <c r="AA423" s="30">
        <f t="shared" si="145"/>
        <v>11.340912203807697</v>
      </c>
      <c r="AB423" s="28">
        <f t="shared" si="146"/>
        <v>0.51239283982203243</v>
      </c>
      <c r="AC423" s="28">
        <f t="shared" si="147"/>
        <v>0.10964912280701754</v>
      </c>
      <c r="AD423" s="29">
        <f t="shared" si="148"/>
        <v>392.78937381404171</v>
      </c>
      <c r="AE423" s="28">
        <f t="shared" si="149"/>
        <v>0.10964912280701754</v>
      </c>
      <c r="AF423" s="28">
        <f t="shared" si="150"/>
        <v>0.40274371701501488</v>
      </c>
      <c r="AG423" s="28">
        <f t="shared" si="151"/>
        <v>0</v>
      </c>
      <c r="AI423" s="31">
        <f t="shared" si="152"/>
        <v>0.8106240542233395</v>
      </c>
      <c r="AJ423" s="25"/>
      <c r="AK423" s="31"/>
      <c r="AM423" s="27"/>
    </row>
    <row r="424" spans="4:39" x14ac:dyDescent="0.25">
      <c r="D424" s="25">
        <f>E424*'Profit per cycles Model'!$I$113</f>
        <v>4150</v>
      </c>
      <c r="E424" s="25">
        <v>11.368305711546363</v>
      </c>
      <c r="F424" s="28">
        <f t="shared" si="133"/>
        <v>0.24096385542168675</v>
      </c>
      <c r="G424" s="28">
        <f>'Battery Pricing Model'!$C$17/D424</f>
        <v>0.24096385542168675</v>
      </c>
      <c r="H424" s="28">
        <f t="shared" si="134"/>
        <v>999</v>
      </c>
      <c r="I424" s="28"/>
      <c r="J424" s="34">
        <f>INDEX('Profit per cycles Model'!$I$149:$I$179, MATCH(TRUNC(E424, 0), 'Profit per cycles Model'!$H$149:$H$179, 0))</f>
        <v>0.51239283982203243</v>
      </c>
      <c r="K424" s="27">
        <f>AVERAGE($AB$10:AB424)</f>
        <v>0.43752963436664094</v>
      </c>
      <c r="L424" s="28">
        <f t="shared" si="135"/>
        <v>0.19656577894495419</v>
      </c>
      <c r="M424" s="28">
        <f t="shared" si="136"/>
        <v>0.19656577894495419</v>
      </c>
      <c r="N424" s="28">
        <f t="shared" si="137"/>
        <v>999</v>
      </c>
      <c r="O424" s="28"/>
      <c r="P424" s="29">
        <f t="shared" si="153"/>
        <v>0.41500000000000031</v>
      </c>
      <c r="Q424" s="33">
        <f t="shared" si="138"/>
        <v>6.7114093959731544</v>
      </c>
      <c r="R424" s="33">
        <f t="shared" si="139"/>
        <v>6.7114093959731544</v>
      </c>
      <c r="S424" s="33">
        <f t="shared" si="140"/>
        <v>-1</v>
      </c>
      <c r="T424" s="27"/>
      <c r="U424" s="28">
        <f t="shared" si="141"/>
        <v>0.10964912280701754</v>
      </c>
      <c r="V424" s="25">
        <f t="shared" si="142"/>
        <v>999</v>
      </c>
      <c r="W424" s="35">
        <f t="shared" si="154"/>
        <v>25</v>
      </c>
      <c r="X424" s="33">
        <f t="shared" si="143"/>
        <v>25</v>
      </c>
      <c r="Y424" s="32">
        <f t="shared" si="144"/>
        <v>-1</v>
      </c>
      <c r="Z424" s="32"/>
      <c r="AA424" s="30">
        <f t="shared" si="145"/>
        <v>11.368305711546363</v>
      </c>
      <c r="AB424" s="28">
        <f t="shared" si="146"/>
        <v>0.51239283982203243</v>
      </c>
      <c r="AC424" s="28">
        <f t="shared" si="147"/>
        <v>0.10964912280701754</v>
      </c>
      <c r="AD424" s="29">
        <f t="shared" si="148"/>
        <v>393.73814041745732</v>
      </c>
      <c r="AE424" s="28">
        <f t="shared" si="149"/>
        <v>0.10964912280701754</v>
      </c>
      <c r="AF424" s="28">
        <f t="shared" si="150"/>
        <v>0.40274371701501488</v>
      </c>
      <c r="AG424" s="28">
        <f t="shared" si="151"/>
        <v>0</v>
      </c>
      <c r="AI424" s="31">
        <f t="shared" si="152"/>
        <v>0.8157479826215599</v>
      </c>
      <c r="AJ424" s="25"/>
      <c r="AK424" s="31"/>
      <c r="AM424" s="27"/>
    </row>
    <row r="425" spans="4:39" x14ac:dyDescent="0.25">
      <c r="D425" s="25">
        <f>E425*'Profit per cycles Model'!$I$113</f>
        <v>4160</v>
      </c>
      <c r="E425" s="25">
        <v>11.39569921928503</v>
      </c>
      <c r="F425" s="28">
        <f t="shared" si="133"/>
        <v>0.24038461538461539</v>
      </c>
      <c r="G425" s="28">
        <f>'Battery Pricing Model'!$C$17/D425</f>
        <v>0.24038461538461539</v>
      </c>
      <c r="H425" s="28">
        <f t="shared" si="134"/>
        <v>999</v>
      </c>
      <c r="I425" s="28"/>
      <c r="J425" s="34">
        <f>INDEX('Profit per cycles Model'!$I$149:$I$179, MATCH(TRUNC(E425, 0), 'Profit per cycles Model'!$H$149:$H$179, 0))</f>
        <v>0.51239283982203243</v>
      </c>
      <c r="K425" s="27">
        <f>AVERAGE($AB$10:AB425)</f>
        <v>0.43770959399513948</v>
      </c>
      <c r="L425" s="28">
        <f t="shared" si="135"/>
        <v>0.19732497861052409</v>
      </c>
      <c r="M425" s="28">
        <f t="shared" si="136"/>
        <v>0.19732497861052409</v>
      </c>
      <c r="N425" s="28">
        <f t="shared" si="137"/>
        <v>999</v>
      </c>
      <c r="O425" s="28"/>
      <c r="P425" s="29">
        <f t="shared" si="153"/>
        <v>0.41600000000000031</v>
      </c>
      <c r="Q425" s="33">
        <f t="shared" si="138"/>
        <v>6.7114093959731544</v>
      </c>
      <c r="R425" s="33">
        <f t="shared" si="139"/>
        <v>6.7114093959731544</v>
      </c>
      <c r="S425" s="33">
        <f t="shared" si="140"/>
        <v>-1</v>
      </c>
      <c r="T425" s="27"/>
      <c r="U425" s="28">
        <f t="shared" si="141"/>
        <v>0.10964912280701754</v>
      </c>
      <c r="V425" s="25">
        <f t="shared" si="142"/>
        <v>999</v>
      </c>
      <c r="W425" s="35">
        <f t="shared" si="154"/>
        <v>25</v>
      </c>
      <c r="X425" s="33">
        <f t="shared" si="143"/>
        <v>25</v>
      </c>
      <c r="Y425" s="32">
        <f t="shared" si="144"/>
        <v>-1</v>
      </c>
      <c r="Z425" s="32"/>
      <c r="AA425" s="30">
        <f t="shared" si="145"/>
        <v>11.39569921928503</v>
      </c>
      <c r="AB425" s="28">
        <f t="shared" si="146"/>
        <v>0.51239283982203243</v>
      </c>
      <c r="AC425" s="28">
        <f t="shared" si="147"/>
        <v>0.10964912280701754</v>
      </c>
      <c r="AD425" s="29">
        <f t="shared" si="148"/>
        <v>394.68690702087292</v>
      </c>
      <c r="AE425" s="28">
        <f t="shared" si="149"/>
        <v>0.10964912280701754</v>
      </c>
      <c r="AF425" s="28">
        <f t="shared" si="150"/>
        <v>0.40274371701501488</v>
      </c>
      <c r="AG425" s="28">
        <f t="shared" si="151"/>
        <v>0</v>
      </c>
      <c r="AI425" s="31">
        <f t="shared" si="152"/>
        <v>0.82087191101978019</v>
      </c>
      <c r="AJ425" s="25"/>
      <c r="AK425" s="31"/>
      <c r="AM425" s="27"/>
    </row>
    <row r="426" spans="4:39" x14ac:dyDescent="0.25">
      <c r="D426" s="25">
        <f>E426*'Profit per cycles Model'!$I$113</f>
        <v>4170</v>
      </c>
      <c r="E426" s="25">
        <v>11.423092727023695</v>
      </c>
      <c r="F426" s="28">
        <f t="shared" si="133"/>
        <v>0.23980815347721823</v>
      </c>
      <c r="G426" s="28">
        <f>'Battery Pricing Model'!$C$17/D426</f>
        <v>0.23980815347721823</v>
      </c>
      <c r="H426" s="28">
        <f t="shared" si="134"/>
        <v>999</v>
      </c>
      <c r="I426" s="28"/>
      <c r="J426" s="34">
        <f>INDEX('Profit per cycles Model'!$I$149:$I$179, MATCH(TRUNC(E426, 0), 'Profit per cycles Model'!$H$149:$H$179, 0))</f>
        <v>0.51239283982203243</v>
      </c>
      <c r="K426" s="27">
        <f>AVERAGE($AB$10:AB426)</f>
        <v>0.43788869050791385</v>
      </c>
      <c r="L426" s="28">
        <f t="shared" si="135"/>
        <v>0.19808053703069561</v>
      </c>
      <c r="M426" s="28">
        <f t="shared" si="136"/>
        <v>0.19808053703069561</v>
      </c>
      <c r="N426" s="28">
        <f t="shared" si="137"/>
        <v>999</v>
      </c>
      <c r="O426" s="28"/>
      <c r="P426" s="29">
        <f t="shared" si="153"/>
        <v>0.41700000000000031</v>
      </c>
      <c r="Q426" s="33">
        <f t="shared" si="138"/>
        <v>6.7114093959731544</v>
      </c>
      <c r="R426" s="33">
        <f t="shared" si="139"/>
        <v>6.7114093959731544</v>
      </c>
      <c r="S426" s="33">
        <f t="shared" si="140"/>
        <v>-1</v>
      </c>
      <c r="T426" s="27"/>
      <c r="U426" s="28">
        <f t="shared" si="141"/>
        <v>0.10964912280701754</v>
      </c>
      <c r="V426" s="25">
        <f t="shared" si="142"/>
        <v>999</v>
      </c>
      <c r="W426" s="35">
        <f t="shared" si="154"/>
        <v>25</v>
      </c>
      <c r="X426" s="33">
        <f t="shared" si="143"/>
        <v>25</v>
      </c>
      <c r="Y426" s="32">
        <f t="shared" si="144"/>
        <v>-1</v>
      </c>
      <c r="Z426" s="32"/>
      <c r="AA426" s="30">
        <f t="shared" si="145"/>
        <v>11.423092727023695</v>
      </c>
      <c r="AB426" s="28">
        <f t="shared" si="146"/>
        <v>0.51239283982203243</v>
      </c>
      <c r="AC426" s="28">
        <f t="shared" si="147"/>
        <v>0.10964912280701754</v>
      </c>
      <c r="AD426" s="29">
        <f t="shared" si="148"/>
        <v>395.63567362428842</v>
      </c>
      <c r="AE426" s="28">
        <f t="shared" si="149"/>
        <v>0.10964912280701754</v>
      </c>
      <c r="AF426" s="28">
        <f t="shared" si="150"/>
        <v>0.40274371701501488</v>
      </c>
      <c r="AG426" s="28">
        <f t="shared" si="151"/>
        <v>0</v>
      </c>
      <c r="AI426" s="31">
        <f t="shared" si="152"/>
        <v>0.8259958394180007</v>
      </c>
      <c r="AJ426" s="25"/>
      <c r="AK426" s="31"/>
      <c r="AM426" s="27"/>
    </row>
    <row r="427" spans="4:39" x14ac:dyDescent="0.25">
      <c r="D427" s="25">
        <f>E427*'Profit per cycles Model'!$I$113</f>
        <v>4180</v>
      </c>
      <c r="E427" s="25">
        <v>11.45048623476236</v>
      </c>
      <c r="F427" s="28">
        <f t="shared" si="133"/>
        <v>0.23923444976076555</v>
      </c>
      <c r="G427" s="28">
        <f>'Battery Pricing Model'!$C$17/D427</f>
        <v>0.23923444976076555</v>
      </c>
      <c r="H427" s="28">
        <f t="shared" si="134"/>
        <v>999</v>
      </c>
      <c r="I427" s="28"/>
      <c r="J427" s="34">
        <f>INDEX('Profit per cycles Model'!$I$149:$I$179, MATCH(TRUNC(E427, 0), 'Profit per cycles Model'!$H$149:$H$179, 0))</f>
        <v>0.51239283982203243</v>
      </c>
      <c r="K427" s="27">
        <f>AVERAGE($AB$10:AB427)</f>
        <v>0.43806693009957443</v>
      </c>
      <c r="L427" s="28">
        <f t="shared" si="135"/>
        <v>0.19883248033880888</v>
      </c>
      <c r="M427" s="28">
        <f t="shared" si="136"/>
        <v>0.19883248033880888</v>
      </c>
      <c r="N427" s="28">
        <f t="shared" si="137"/>
        <v>999</v>
      </c>
      <c r="O427" s="28"/>
      <c r="P427" s="29">
        <f t="shared" si="153"/>
        <v>0.41800000000000032</v>
      </c>
      <c r="Q427" s="33">
        <f t="shared" si="138"/>
        <v>6.7114093959731544</v>
      </c>
      <c r="R427" s="33">
        <f t="shared" si="139"/>
        <v>6.7114093959731544</v>
      </c>
      <c r="S427" s="33">
        <f t="shared" si="140"/>
        <v>-1</v>
      </c>
      <c r="T427" s="27"/>
      <c r="U427" s="28">
        <f t="shared" si="141"/>
        <v>0.10964912280701754</v>
      </c>
      <c r="V427" s="25">
        <f t="shared" si="142"/>
        <v>999</v>
      </c>
      <c r="W427" s="35">
        <f t="shared" si="154"/>
        <v>25</v>
      </c>
      <c r="X427" s="33">
        <f t="shared" si="143"/>
        <v>25</v>
      </c>
      <c r="Y427" s="32">
        <f t="shared" si="144"/>
        <v>-1</v>
      </c>
      <c r="Z427" s="32"/>
      <c r="AA427" s="30">
        <f t="shared" si="145"/>
        <v>11.45048623476236</v>
      </c>
      <c r="AB427" s="28">
        <f t="shared" si="146"/>
        <v>0.51239283982203243</v>
      </c>
      <c r="AC427" s="28">
        <f t="shared" si="147"/>
        <v>0.10964912280701754</v>
      </c>
      <c r="AD427" s="29">
        <f t="shared" si="148"/>
        <v>396.58444022770396</v>
      </c>
      <c r="AE427" s="28">
        <f t="shared" si="149"/>
        <v>0.10964912280701754</v>
      </c>
      <c r="AF427" s="28">
        <f t="shared" si="150"/>
        <v>0.40274371701501488</v>
      </c>
      <c r="AG427" s="28">
        <f t="shared" si="151"/>
        <v>0</v>
      </c>
      <c r="AI427" s="31">
        <f t="shared" si="152"/>
        <v>0.8311197678162211</v>
      </c>
      <c r="AJ427" s="25"/>
      <c r="AK427" s="31"/>
      <c r="AM427" s="27"/>
    </row>
    <row r="428" spans="4:39" x14ac:dyDescent="0.25">
      <c r="D428" s="25">
        <f>E428*'Profit per cycles Model'!$I$113</f>
        <v>4190</v>
      </c>
      <c r="E428" s="25">
        <v>11.477879742501027</v>
      </c>
      <c r="F428" s="28">
        <f t="shared" si="133"/>
        <v>0.2386634844868735</v>
      </c>
      <c r="G428" s="28">
        <f>'Battery Pricing Model'!$C$17/D428</f>
        <v>0.2386634844868735</v>
      </c>
      <c r="H428" s="28">
        <f t="shared" si="134"/>
        <v>999</v>
      </c>
      <c r="I428" s="28"/>
      <c r="J428" s="34">
        <f>INDEX('Profit per cycles Model'!$I$149:$I$179, MATCH(TRUNC(E428, 0), 'Profit per cycles Model'!$H$149:$H$179, 0))</f>
        <v>0.51239283982203243</v>
      </c>
      <c r="K428" s="27">
        <f>AVERAGE($AB$10:AB428)</f>
        <v>0.43824431890559462</v>
      </c>
      <c r="L428" s="28">
        <f t="shared" si="135"/>
        <v>0.19958083441872113</v>
      </c>
      <c r="M428" s="28">
        <f t="shared" si="136"/>
        <v>0.19958083441872113</v>
      </c>
      <c r="N428" s="28">
        <f t="shared" si="137"/>
        <v>999</v>
      </c>
      <c r="O428" s="28"/>
      <c r="P428" s="29">
        <f t="shared" si="153"/>
        <v>0.41900000000000032</v>
      </c>
      <c r="Q428" s="33">
        <f t="shared" si="138"/>
        <v>6.7114093959731544</v>
      </c>
      <c r="R428" s="33">
        <f t="shared" si="139"/>
        <v>6.7114093959731544</v>
      </c>
      <c r="S428" s="33">
        <f t="shared" si="140"/>
        <v>-1</v>
      </c>
      <c r="T428" s="27"/>
      <c r="U428" s="28">
        <f t="shared" si="141"/>
        <v>0.10964912280701754</v>
      </c>
      <c r="V428" s="25">
        <f t="shared" si="142"/>
        <v>999</v>
      </c>
      <c r="W428" s="35">
        <f t="shared" si="154"/>
        <v>25</v>
      </c>
      <c r="X428" s="33">
        <f t="shared" si="143"/>
        <v>25</v>
      </c>
      <c r="Y428" s="32">
        <f t="shared" si="144"/>
        <v>-1</v>
      </c>
      <c r="Z428" s="32"/>
      <c r="AA428" s="30">
        <f t="shared" si="145"/>
        <v>11.477879742501027</v>
      </c>
      <c r="AB428" s="28">
        <f t="shared" si="146"/>
        <v>0.51239283982203243</v>
      </c>
      <c r="AC428" s="28">
        <f t="shared" si="147"/>
        <v>0.10964912280701754</v>
      </c>
      <c r="AD428" s="29">
        <f t="shared" si="148"/>
        <v>397.53320683111957</v>
      </c>
      <c r="AE428" s="28">
        <f t="shared" si="149"/>
        <v>0.10964912280701754</v>
      </c>
      <c r="AF428" s="28">
        <f t="shared" si="150"/>
        <v>0.40274371701501488</v>
      </c>
      <c r="AG428" s="28">
        <f t="shared" si="151"/>
        <v>0</v>
      </c>
      <c r="AI428" s="31">
        <f t="shared" si="152"/>
        <v>0.83624369621444161</v>
      </c>
      <c r="AJ428" s="25"/>
      <c r="AK428" s="31"/>
      <c r="AM428" s="27"/>
    </row>
    <row r="429" spans="4:39" x14ac:dyDescent="0.25">
      <c r="D429" s="25">
        <f>E429*'Profit per cycles Model'!$I$113</f>
        <v>4200</v>
      </c>
      <c r="E429" s="25">
        <v>11.505273250239693</v>
      </c>
      <c r="F429" s="28">
        <f t="shared" si="133"/>
        <v>0.23809523809523808</v>
      </c>
      <c r="G429" s="28">
        <f>'Battery Pricing Model'!$C$17/D429</f>
        <v>0.23809523809523808</v>
      </c>
      <c r="H429" s="28">
        <f t="shared" si="134"/>
        <v>999</v>
      </c>
      <c r="I429" s="28"/>
      <c r="J429" s="34">
        <f>INDEX('Profit per cycles Model'!$I$149:$I$179, MATCH(TRUNC(E429, 0), 'Profit per cycles Model'!$H$149:$H$179, 0))</f>
        <v>0.51239283982203243</v>
      </c>
      <c r="K429" s="27">
        <f>AVERAGE($AB$10:AB429)</f>
        <v>0.43842086300301475</v>
      </c>
      <c r="L429" s="28">
        <f t="shared" si="135"/>
        <v>0.20032562490777667</v>
      </c>
      <c r="M429" s="28">
        <f t="shared" si="136"/>
        <v>0.20032562490777667</v>
      </c>
      <c r="N429" s="28">
        <f t="shared" si="137"/>
        <v>999</v>
      </c>
      <c r="O429" s="28"/>
      <c r="P429" s="29">
        <f t="shared" si="153"/>
        <v>0.42000000000000032</v>
      </c>
      <c r="Q429" s="33">
        <f t="shared" si="138"/>
        <v>6.7114093959731544</v>
      </c>
      <c r="R429" s="33">
        <f t="shared" si="139"/>
        <v>6.7114093959731544</v>
      </c>
      <c r="S429" s="33">
        <f t="shared" si="140"/>
        <v>-1</v>
      </c>
      <c r="T429" s="27"/>
      <c r="U429" s="28">
        <f t="shared" si="141"/>
        <v>0.10964912280701754</v>
      </c>
      <c r="V429" s="25">
        <f t="shared" si="142"/>
        <v>999</v>
      </c>
      <c r="W429" s="35">
        <f t="shared" si="154"/>
        <v>25</v>
      </c>
      <c r="X429" s="33">
        <f t="shared" si="143"/>
        <v>25</v>
      </c>
      <c r="Y429" s="32">
        <f t="shared" si="144"/>
        <v>-1</v>
      </c>
      <c r="Z429" s="32"/>
      <c r="AA429" s="30">
        <f t="shared" si="145"/>
        <v>11.505273250239693</v>
      </c>
      <c r="AB429" s="28">
        <f t="shared" si="146"/>
        <v>0.51239283982203243</v>
      </c>
      <c r="AC429" s="28">
        <f t="shared" si="147"/>
        <v>0.10964912280701754</v>
      </c>
      <c r="AD429" s="29">
        <f t="shared" si="148"/>
        <v>398.48197343453506</v>
      </c>
      <c r="AE429" s="28">
        <f t="shared" si="149"/>
        <v>0.10964912280701754</v>
      </c>
      <c r="AF429" s="28">
        <f t="shared" si="150"/>
        <v>0.40274371701501488</v>
      </c>
      <c r="AG429" s="28">
        <f t="shared" si="151"/>
        <v>0</v>
      </c>
      <c r="AI429" s="31">
        <f t="shared" si="152"/>
        <v>0.84136762461266201</v>
      </c>
      <c r="AJ429" s="25"/>
      <c r="AK429" s="31"/>
      <c r="AM429" s="27"/>
    </row>
    <row r="430" spans="4:39" x14ac:dyDescent="0.25">
      <c r="D430" s="25">
        <f>E430*'Profit per cycles Model'!$I$113</f>
        <v>4210</v>
      </c>
      <c r="E430" s="25">
        <v>11.532666757978358</v>
      </c>
      <c r="F430" s="28">
        <f t="shared" si="133"/>
        <v>0.23752969121140141</v>
      </c>
      <c r="G430" s="28">
        <f>'Battery Pricing Model'!$C$17/D430</f>
        <v>0.23752969121140141</v>
      </c>
      <c r="H430" s="28">
        <f t="shared" si="134"/>
        <v>999</v>
      </c>
      <c r="I430" s="28"/>
      <c r="J430" s="34">
        <f>INDEX('Profit per cycles Model'!$I$149:$I$179, MATCH(TRUNC(E430, 0), 'Profit per cycles Model'!$H$149:$H$179, 0))</f>
        <v>0.51239283982203243</v>
      </c>
      <c r="K430" s="27">
        <f>AVERAGE($AB$10:AB430)</f>
        <v>0.43859656841113592</v>
      </c>
      <c r="L430" s="28">
        <f t="shared" si="135"/>
        <v>0.20106687719973451</v>
      </c>
      <c r="M430" s="28">
        <f t="shared" si="136"/>
        <v>0.20106687719973451</v>
      </c>
      <c r="N430" s="28">
        <f t="shared" si="137"/>
        <v>999</v>
      </c>
      <c r="O430" s="28"/>
      <c r="P430" s="29">
        <f t="shared" si="153"/>
        <v>0.42100000000000032</v>
      </c>
      <c r="Q430" s="33">
        <f t="shared" si="138"/>
        <v>6.7114093959731544</v>
      </c>
      <c r="R430" s="33">
        <f t="shared" si="139"/>
        <v>6.7114093959731544</v>
      </c>
      <c r="S430" s="33">
        <f t="shared" si="140"/>
        <v>-1</v>
      </c>
      <c r="T430" s="27"/>
      <c r="U430" s="28">
        <f t="shared" si="141"/>
        <v>0.10964912280701754</v>
      </c>
      <c r="V430" s="25">
        <f t="shared" si="142"/>
        <v>999</v>
      </c>
      <c r="W430" s="35">
        <f t="shared" si="154"/>
        <v>25</v>
      </c>
      <c r="X430" s="33">
        <f t="shared" si="143"/>
        <v>25</v>
      </c>
      <c r="Y430" s="32">
        <f t="shared" si="144"/>
        <v>-1</v>
      </c>
      <c r="Z430" s="32"/>
      <c r="AA430" s="30">
        <f t="shared" si="145"/>
        <v>11.532666757978358</v>
      </c>
      <c r="AB430" s="28">
        <f t="shared" si="146"/>
        <v>0.51239283982203243</v>
      </c>
      <c r="AC430" s="28">
        <f t="shared" si="147"/>
        <v>0.10964912280701754</v>
      </c>
      <c r="AD430" s="29">
        <f t="shared" si="148"/>
        <v>399.43074003795067</v>
      </c>
      <c r="AE430" s="28">
        <f t="shared" si="149"/>
        <v>0.10964912280701754</v>
      </c>
      <c r="AF430" s="28">
        <f t="shared" si="150"/>
        <v>0.40274371701501488</v>
      </c>
      <c r="AG430" s="28">
        <f t="shared" si="151"/>
        <v>0</v>
      </c>
      <c r="AI430" s="31">
        <f t="shared" si="152"/>
        <v>0.8464915530108823</v>
      </c>
      <c r="AJ430" s="25"/>
      <c r="AK430" s="31"/>
      <c r="AM430" s="27"/>
    </row>
    <row r="431" spans="4:39" x14ac:dyDescent="0.25">
      <c r="D431" s="25">
        <f>E431*'Profit per cycles Model'!$I$113</f>
        <v>4220</v>
      </c>
      <c r="E431" s="25">
        <v>11.560060265717025</v>
      </c>
      <c r="F431" s="28">
        <f t="shared" si="133"/>
        <v>0.23696682464454977</v>
      </c>
      <c r="G431" s="28">
        <f>'Battery Pricing Model'!$C$17/D431</f>
        <v>0.23696682464454977</v>
      </c>
      <c r="H431" s="28">
        <f t="shared" si="134"/>
        <v>999</v>
      </c>
      <c r="I431" s="28"/>
      <c r="J431" s="34">
        <f>INDEX('Profit per cycles Model'!$I$149:$I$179, MATCH(TRUNC(E431, 0), 'Profit per cycles Model'!$H$149:$H$179, 0))</f>
        <v>0.51239283982203243</v>
      </c>
      <c r="K431" s="27">
        <f>AVERAGE($AB$10:AB431)</f>
        <v>0.43877144109220445</v>
      </c>
      <c r="L431" s="28">
        <f t="shared" si="135"/>
        <v>0.20180461644765468</v>
      </c>
      <c r="M431" s="28">
        <f t="shared" si="136"/>
        <v>0.20180461644765468</v>
      </c>
      <c r="N431" s="28">
        <f t="shared" si="137"/>
        <v>999</v>
      </c>
      <c r="O431" s="28"/>
      <c r="P431" s="29">
        <f t="shared" si="153"/>
        <v>0.42200000000000032</v>
      </c>
      <c r="Q431" s="33">
        <f t="shared" si="138"/>
        <v>6.7114093959731544</v>
      </c>
      <c r="R431" s="33">
        <f t="shared" si="139"/>
        <v>6.7114093959731544</v>
      </c>
      <c r="S431" s="33">
        <f t="shared" si="140"/>
        <v>-1</v>
      </c>
      <c r="T431" s="27"/>
      <c r="U431" s="28">
        <f t="shared" si="141"/>
        <v>0.10964912280701754</v>
      </c>
      <c r="V431" s="25">
        <f t="shared" si="142"/>
        <v>999</v>
      </c>
      <c r="W431" s="35">
        <f t="shared" si="154"/>
        <v>25</v>
      </c>
      <c r="X431" s="33">
        <f t="shared" si="143"/>
        <v>25</v>
      </c>
      <c r="Y431" s="32">
        <f t="shared" si="144"/>
        <v>-1</v>
      </c>
      <c r="Z431" s="32"/>
      <c r="AA431" s="30">
        <f t="shared" si="145"/>
        <v>11.560060265717025</v>
      </c>
      <c r="AB431" s="28">
        <f t="shared" si="146"/>
        <v>0.51239283982203243</v>
      </c>
      <c r="AC431" s="28">
        <f t="shared" si="147"/>
        <v>0.10964912280701754</v>
      </c>
      <c r="AD431" s="29">
        <f t="shared" si="148"/>
        <v>400.37950664136628</v>
      </c>
      <c r="AE431" s="28">
        <f t="shared" si="149"/>
        <v>0.10964912280701754</v>
      </c>
      <c r="AF431" s="28">
        <f t="shared" si="150"/>
        <v>0.40274371701501488</v>
      </c>
      <c r="AG431" s="28">
        <f t="shared" si="151"/>
        <v>0</v>
      </c>
      <c r="AI431" s="31">
        <f t="shared" si="152"/>
        <v>0.8516154814091027</v>
      </c>
      <c r="AJ431" s="25"/>
      <c r="AK431" s="31"/>
      <c r="AM431" s="27"/>
    </row>
    <row r="432" spans="4:39" x14ac:dyDescent="0.25">
      <c r="D432" s="25">
        <f>E432*'Profit per cycles Model'!$I$113</f>
        <v>4230</v>
      </c>
      <c r="E432" s="25">
        <v>11.587453773455691</v>
      </c>
      <c r="F432" s="28">
        <f t="shared" si="133"/>
        <v>0.2364066193853428</v>
      </c>
      <c r="G432" s="28">
        <f>'Battery Pricing Model'!$C$17/D432</f>
        <v>0.2364066193853428</v>
      </c>
      <c r="H432" s="28">
        <f t="shared" si="134"/>
        <v>999</v>
      </c>
      <c r="I432" s="28"/>
      <c r="J432" s="34">
        <f>INDEX('Profit per cycles Model'!$I$149:$I$179, MATCH(TRUNC(E432, 0), 'Profit per cycles Model'!$H$149:$H$179, 0))</f>
        <v>0.51239283982203243</v>
      </c>
      <c r="K432" s="27">
        <f>AVERAGE($AB$10:AB432)</f>
        <v>0.43894548695208585</v>
      </c>
      <c r="L432" s="28">
        <f t="shared" si="135"/>
        <v>0.20253886756674305</v>
      </c>
      <c r="M432" s="28">
        <f t="shared" si="136"/>
        <v>0.20253886756674305</v>
      </c>
      <c r="N432" s="28">
        <f t="shared" si="137"/>
        <v>999</v>
      </c>
      <c r="O432" s="28"/>
      <c r="P432" s="29">
        <f t="shared" si="153"/>
        <v>0.42300000000000032</v>
      </c>
      <c r="Q432" s="33">
        <f t="shared" si="138"/>
        <v>6.7114093959731544</v>
      </c>
      <c r="R432" s="33">
        <f t="shared" si="139"/>
        <v>6.7114093959731544</v>
      </c>
      <c r="S432" s="33">
        <f t="shared" si="140"/>
        <v>-1</v>
      </c>
      <c r="T432" s="27"/>
      <c r="U432" s="28">
        <f t="shared" si="141"/>
        <v>0.10964912280701754</v>
      </c>
      <c r="V432" s="25">
        <f t="shared" si="142"/>
        <v>999</v>
      </c>
      <c r="W432" s="35">
        <f t="shared" si="154"/>
        <v>25</v>
      </c>
      <c r="X432" s="33">
        <f t="shared" si="143"/>
        <v>25</v>
      </c>
      <c r="Y432" s="32">
        <f t="shared" si="144"/>
        <v>-1</v>
      </c>
      <c r="Z432" s="32"/>
      <c r="AA432" s="30">
        <f t="shared" si="145"/>
        <v>11.587453773455691</v>
      </c>
      <c r="AB432" s="28">
        <f t="shared" si="146"/>
        <v>0.51239283982203243</v>
      </c>
      <c r="AC432" s="28">
        <f t="shared" si="147"/>
        <v>0.10964912280701754</v>
      </c>
      <c r="AD432" s="29">
        <f t="shared" si="148"/>
        <v>401.32827324478177</v>
      </c>
      <c r="AE432" s="28">
        <f t="shared" si="149"/>
        <v>0.10964912280701754</v>
      </c>
      <c r="AF432" s="28">
        <f t="shared" si="150"/>
        <v>0.40274371701501488</v>
      </c>
      <c r="AG432" s="28">
        <f t="shared" si="151"/>
        <v>0</v>
      </c>
      <c r="AI432" s="31">
        <f t="shared" si="152"/>
        <v>0.8567394098073231</v>
      </c>
      <c r="AJ432" s="25"/>
      <c r="AK432" s="31"/>
      <c r="AM432" s="27"/>
    </row>
    <row r="433" spans="4:39" x14ac:dyDescent="0.25">
      <c r="D433" s="25">
        <f>E433*'Profit per cycles Model'!$I$113</f>
        <v>4240</v>
      </c>
      <c r="E433" s="25">
        <v>11.614847281194356</v>
      </c>
      <c r="F433" s="28">
        <f t="shared" si="133"/>
        <v>0.23584905660377359</v>
      </c>
      <c r="G433" s="28">
        <f>'Battery Pricing Model'!$C$17/D433</f>
        <v>0.23584905660377359</v>
      </c>
      <c r="H433" s="28">
        <f t="shared" si="134"/>
        <v>999</v>
      </c>
      <c r="I433" s="28"/>
      <c r="J433" s="34">
        <f>INDEX('Profit per cycles Model'!$I$149:$I$179, MATCH(TRUNC(E433, 0), 'Profit per cycles Model'!$H$149:$H$179, 0))</f>
        <v>0.51239283982203243</v>
      </c>
      <c r="K433" s="27">
        <f>AVERAGE($AB$10:AB433)</f>
        <v>0.4391187118409301</v>
      </c>
      <c r="L433" s="28">
        <f t="shared" si="135"/>
        <v>0.20326965523715651</v>
      </c>
      <c r="M433" s="28">
        <f t="shared" si="136"/>
        <v>0.20326965523715651</v>
      </c>
      <c r="N433" s="28">
        <f t="shared" si="137"/>
        <v>999</v>
      </c>
      <c r="O433" s="28"/>
      <c r="P433" s="29">
        <f t="shared" si="153"/>
        <v>0.42400000000000032</v>
      </c>
      <c r="Q433" s="33">
        <f t="shared" si="138"/>
        <v>6.7114093959731544</v>
      </c>
      <c r="R433" s="33">
        <f t="shared" si="139"/>
        <v>6.7114093959731544</v>
      </c>
      <c r="S433" s="33">
        <f t="shared" si="140"/>
        <v>-1</v>
      </c>
      <c r="T433" s="27"/>
      <c r="U433" s="28">
        <f t="shared" si="141"/>
        <v>0.10964912280701754</v>
      </c>
      <c r="V433" s="25">
        <f t="shared" si="142"/>
        <v>999</v>
      </c>
      <c r="W433" s="35">
        <f t="shared" si="154"/>
        <v>25</v>
      </c>
      <c r="X433" s="33">
        <f t="shared" si="143"/>
        <v>25</v>
      </c>
      <c r="Y433" s="32">
        <f t="shared" si="144"/>
        <v>-1</v>
      </c>
      <c r="Z433" s="32"/>
      <c r="AA433" s="30">
        <f t="shared" si="145"/>
        <v>11.614847281194356</v>
      </c>
      <c r="AB433" s="28">
        <f t="shared" si="146"/>
        <v>0.51239283982203243</v>
      </c>
      <c r="AC433" s="28">
        <f t="shared" si="147"/>
        <v>0.10964912280701754</v>
      </c>
      <c r="AD433" s="29">
        <f t="shared" si="148"/>
        <v>402.27703984819732</v>
      </c>
      <c r="AE433" s="28">
        <f t="shared" si="149"/>
        <v>0.10964912280701754</v>
      </c>
      <c r="AF433" s="28">
        <f t="shared" si="150"/>
        <v>0.40274371701501488</v>
      </c>
      <c r="AG433" s="28">
        <f t="shared" si="151"/>
        <v>0</v>
      </c>
      <c r="AI433" s="31">
        <f t="shared" si="152"/>
        <v>0.86186333820554362</v>
      </c>
      <c r="AJ433" s="25"/>
      <c r="AK433" s="31"/>
      <c r="AM433" s="27"/>
    </row>
    <row r="434" spans="4:39" x14ac:dyDescent="0.25">
      <c r="D434" s="25">
        <f>E434*'Profit per cycles Model'!$I$113</f>
        <v>4250</v>
      </c>
      <c r="E434" s="25">
        <v>11.642240788933023</v>
      </c>
      <c r="F434" s="28">
        <f t="shared" si="133"/>
        <v>0.23529411764705882</v>
      </c>
      <c r="G434" s="28">
        <f>'Battery Pricing Model'!$C$17/D434</f>
        <v>0.23529411764705882</v>
      </c>
      <c r="H434" s="28">
        <f t="shared" si="134"/>
        <v>999</v>
      </c>
      <c r="I434" s="28"/>
      <c r="J434" s="34">
        <f>INDEX('Profit per cycles Model'!$I$149:$I$179, MATCH(TRUNC(E434, 0), 'Profit per cycles Model'!$H$149:$H$179, 0))</f>
        <v>0.51239283982203243</v>
      </c>
      <c r="K434" s="27">
        <f>AVERAGE($AB$10:AB434)</f>
        <v>0.43929112155382682</v>
      </c>
      <c r="L434" s="28">
        <f t="shared" si="135"/>
        <v>0.203997003906768</v>
      </c>
      <c r="M434" s="28">
        <f t="shared" si="136"/>
        <v>0.203997003906768</v>
      </c>
      <c r="N434" s="28">
        <f t="shared" si="137"/>
        <v>999</v>
      </c>
      <c r="O434" s="28"/>
      <c r="P434" s="29">
        <f t="shared" si="153"/>
        <v>0.42500000000000032</v>
      </c>
      <c r="Q434" s="33">
        <f t="shared" si="138"/>
        <v>6.7114093959731544</v>
      </c>
      <c r="R434" s="33">
        <f t="shared" si="139"/>
        <v>6.7114093959731544</v>
      </c>
      <c r="S434" s="33">
        <f t="shared" si="140"/>
        <v>-1</v>
      </c>
      <c r="T434" s="27"/>
      <c r="U434" s="28">
        <f t="shared" si="141"/>
        <v>0.10964912280701754</v>
      </c>
      <c r="V434" s="25">
        <f t="shared" si="142"/>
        <v>999</v>
      </c>
      <c r="W434" s="35">
        <f t="shared" si="154"/>
        <v>25</v>
      </c>
      <c r="X434" s="33">
        <f t="shared" si="143"/>
        <v>25</v>
      </c>
      <c r="Y434" s="32">
        <f t="shared" si="144"/>
        <v>-1</v>
      </c>
      <c r="Z434" s="32"/>
      <c r="AA434" s="30">
        <f t="shared" si="145"/>
        <v>11.642240788933023</v>
      </c>
      <c r="AB434" s="28">
        <f t="shared" si="146"/>
        <v>0.51239283982203243</v>
      </c>
      <c r="AC434" s="28">
        <f t="shared" si="147"/>
        <v>0.10964912280701754</v>
      </c>
      <c r="AD434" s="29">
        <f t="shared" si="148"/>
        <v>403.22580645161293</v>
      </c>
      <c r="AE434" s="28">
        <f t="shared" si="149"/>
        <v>0.10964912280701754</v>
      </c>
      <c r="AF434" s="28">
        <f t="shared" si="150"/>
        <v>0.40274371701501488</v>
      </c>
      <c r="AG434" s="28">
        <f t="shared" si="151"/>
        <v>0</v>
      </c>
      <c r="AI434" s="31">
        <f t="shared" si="152"/>
        <v>0.86698726660376402</v>
      </c>
      <c r="AJ434" s="25"/>
      <c r="AK434" s="31"/>
      <c r="AM434" s="27"/>
    </row>
    <row r="435" spans="4:39" x14ac:dyDescent="0.25">
      <c r="D435" s="25">
        <f>E435*'Profit per cycles Model'!$I$113</f>
        <v>4260</v>
      </c>
      <c r="E435" s="25">
        <v>11.669634296671688</v>
      </c>
      <c r="F435" s="28">
        <f t="shared" si="133"/>
        <v>0.23474178403755869</v>
      </c>
      <c r="G435" s="28">
        <f>'Battery Pricing Model'!$C$17/D435</f>
        <v>0.23474178403755869</v>
      </c>
      <c r="H435" s="28">
        <f t="shared" si="134"/>
        <v>999</v>
      </c>
      <c r="I435" s="28"/>
      <c r="J435" s="34">
        <f>INDEX('Profit per cycles Model'!$I$149:$I$179, MATCH(TRUNC(E435, 0), 'Profit per cycles Model'!$H$149:$H$179, 0))</f>
        <v>0.51239283982203243</v>
      </c>
      <c r="K435" s="27">
        <f>AVERAGE($AB$10:AB435)</f>
        <v>0.43946272183145174</v>
      </c>
      <c r="L435" s="28">
        <f t="shared" si="135"/>
        <v>0.20472093779389305</v>
      </c>
      <c r="M435" s="28">
        <f t="shared" si="136"/>
        <v>0.20472093779389305</v>
      </c>
      <c r="N435" s="28">
        <f t="shared" si="137"/>
        <v>999</v>
      </c>
      <c r="O435" s="28"/>
      <c r="P435" s="29">
        <f t="shared" si="153"/>
        <v>0.42600000000000032</v>
      </c>
      <c r="Q435" s="33">
        <f t="shared" si="138"/>
        <v>6.7114093959731544</v>
      </c>
      <c r="R435" s="33">
        <f t="shared" si="139"/>
        <v>6.7114093959731544</v>
      </c>
      <c r="S435" s="33">
        <f t="shared" si="140"/>
        <v>-1</v>
      </c>
      <c r="T435" s="27"/>
      <c r="U435" s="28">
        <f t="shared" si="141"/>
        <v>0.10964912280701754</v>
      </c>
      <c r="V435" s="25">
        <f t="shared" si="142"/>
        <v>999</v>
      </c>
      <c r="W435" s="35">
        <f t="shared" si="154"/>
        <v>25</v>
      </c>
      <c r="X435" s="33">
        <f t="shared" si="143"/>
        <v>25</v>
      </c>
      <c r="Y435" s="32">
        <f t="shared" si="144"/>
        <v>-1</v>
      </c>
      <c r="Z435" s="32"/>
      <c r="AA435" s="30">
        <f t="shared" si="145"/>
        <v>11.669634296671688</v>
      </c>
      <c r="AB435" s="28">
        <f t="shared" si="146"/>
        <v>0.51239283982203243</v>
      </c>
      <c r="AC435" s="28">
        <f t="shared" si="147"/>
        <v>0.10964912280701754</v>
      </c>
      <c r="AD435" s="29">
        <f t="shared" si="148"/>
        <v>404.17457305502842</v>
      </c>
      <c r="AE435" s="28">
        <f t="shared" si="149"/>
        <v>0.10964912280701754</v>
      </c>
      <c r="AF435" s="28">
        <f t="shared" si="150"/>
        <v>0.40274371701501488</v>
      </c>
      <c r="AG435" s="28">
        <f t="shared" si="151"/>
        <v>0</v>
      </c>
      <c r="AI435" s="31">
        <f t="shared" si="152"/>
        <v>0.87211119500198442</v>
      </c>
      <c r="AJ435" s="25"/>
      <c r="AK435" s="31"/>
      <c r="AM435" s="27"/>
    </row>
    <row r="436" spans="4:39" x14ac:dyDescent="0.25">
      <c r="D436" s="25">
        <f>E436*'Profit per cycles Model'!$I$113</f>
        <v>4270</v>
      </c>
      <c r="E436" s="25">
        <v>11.697027804410354</v>
      </c>
      <c r="F436" s="28">
        <f t="shared" si="133"/>
        <v>0.23419203747072601</v>
      </c>
      <c r="G436" s="28">
        <f>'Battery Pricing Model'!$C$17/D436</f>
        <v>0.23419203747072601</v>
      </c>
      <c r="H436" s="28">
        <f t="shared" si="134"/>
        <v>999</v>
      </c>
      <c r="I436" s="28"/>
      <c r="J436" s="34">
        <f>INDEX('Profit per cycles Model'!$I$149:$I$179, MATCH(TRUNC(E436, 0), 'Profit per cycles Model'!$H$149:$H$179, 0))</f>
        <v>0.51239283982203243</v>
      </c>
      <c r="K436" s="27">
        <f>AVERAGE($AB$10:AB436)</f>
        <v>0.43963351836070369</v>
      </c>
      <c r="L436" s="28">
        <f t="shared" si="135"/>
        <v>0.20544148088997768</v>
      </c>
      <c r="M436" s="28">
        <f t="shared" si="136"/>
        <v>0.20544148088997768</v>
      </c>
      <c r="N436" s="28">
        <f t="shared" si="137"/>
        <v>999</v>
      </c>
      <c r="O436" s="28"/>
      <c r="P436" s="29">
        <f t="shared" si="153"/>
        <v>0.42700000000000032</v>
      </c>
      <c r="Q436" s="33">
        <f t="shared" si="138"/>
        <v>6.7114093959731544</v>
      </c>
      <c r="R436" s="33">
        <f t="shared" si="139"/>
        <v>6.7114093959731544</v>
      </c>
      <c r="S436" s="33">
        <f t="shared" si="140"/>
        <v>-1</v>
      </c>
      <c r="T436" s="27"/>
      <c r="U436" s="28">
        <f t="shared" si="141"/>
        <v>0.10964912280701754</v>
      </c>
      <c r="V436" s="25">
        <f t="shared" si="142"/>
        <v>999</v>
      </c>
      <c r="W436" s="35">
        <f t="shared" si="154"/>
        <v>25</v>
      </c>
      <c r="X436" s="33">
        <f t="shared" si="143"/>
        <v>25</v>
      </c>
      <c r="Y436" s="32">
        <f t="shared" si="144"/>
        <v>-1</v>
      </c>
      <c r="Z436" s="32"/>
      <c r="AA436" s="30">
        <f t="shared" si="145"/>
        <v>11.697027804410354</v>
      </c>
      <c r="AB436" s="28">
        <f t="shared" si="146"/>
        <v>0.51239283982203243</v>
      </c>
      <c r="AC436" s="28">
        <f t="shared" si="147"/>
        <v>0.10964912280701754</v>
      </c>
      <c r="AD436" s="29">
        <f t="shared" si="148"/>
        <v>405.12333965844402</v>
      </c>
      <c r="AE436" s="28">
        <f t="shared" si="149"/>
        <v>0.10964912280701754</v>
      </c>
      <c r="AF436" s="28">
        <f t="shared" si="150"/>
        <v>0.40274371701501488</v>
      </c>
      <c r="AG436" s="28">
        <f t="shared" si="151"/>
        <v>0</v>
      </c>
      <c r="AI436" s="31">
        <f t="shared" si="152"/>
        <v>0.87723512340020471</v>
      </c>
      <c r="AJ436" s="25"/>
      <c r="AK436" s="31"/>
      <c r="AM436" s="27"/>
    </row>
    <row r="437" spans="4:39" x14ac:dyDescent="0.25">
      <c r="D437" s="25">
        <f>E437*'Profit per cycles Model'!$I$113</f>
        <v>4280</v>
      </c>
      <c r="E437" s="25">
        <v>11.724421312149021</v>
      </c>
      <c r="F437" s="28">
        <f t="shared" si="133"/>
        <v>0.23364485981308411</v>
      </c>
      <c r="G437" s="28">
        <f>'Battery Pricing Model'!$C$17/D437</f>
        <v>0.23364485981308411</v>
      </c>
      <c r="H437" s="28">
        <f t="shared" si="134"/>
        <v>999</v>
      </c>
      <c r="I437" s="28"/>
      <c r="J437" s="34">
        <f>INDEX('Profit per cycles Model'!$I$149:$I$179, MATCH(TRUNC(E437, 0), 'Profit per cycles Model'!$H$149:$H$179, 0))</f>
        <v>0.51239283982203243</v>
      </c>
      <c r="K437" s="27">
        <f>AVERAGE($AB$10:AB437)</f>
        <v>0.43980351677533297</v>
      </c>
      <c r="L437" s="28">
        <f t="shared" si="135"/>
        <v>0.20615865696224886</v>
      </c>
      <c r="M437" s="28">
        <f t="shared" si="136"/>
        <v>0.20615865696224886</v>
      </c>
      <c r="N437" s="28">
        <f t="shared" si="137"/>
        <v>999</v>
      </c>
      <c r="O437" s="28"/>
      <c r="P437" s="29">
        <f t="shared" si="153"/>
        <v>0.42800000000000032</v>
      </c>
      <c r="Q437" s="33">
        <f t="shared" si="138"/>
        <v>6.7114093959731544</v>
      </c>
      <c r="R437" s="33">
        <f t="shared" si="139"/>
        <v>6.7114093959731544</v>
      </c>
      <c r="S437" s="33">
        <f t="shared" si="140"/>
        <v>-1</v>
      </c>
      <c r="T437" s="27"/>
      <c r="U437" s="28">
        <f t="shared" si="141"/>
        <v>0.10964912280701754</v>
      </c>
      <c r="V437" s="25">
        <f t="shared" si="142"/>
        <v>999</v>
      </c>
      <c r="W437" s="35">
        <f t="shared" si="154"/>
        <v>25</v>
      </c>
      <c r="X437" s="33">
        <f t="shared" si="143"/>
        <v>25</v>
      </c>
      <c r="Y437" s="32">
        <f t="shared" si="144"/>
        <v>-1</v>
      </c>
      <c r="Z437" s="32"/>
      <c r="AA437" s="30">
        <f t="shared" si="145"/>
        <v>11.724421312149021</v>
      </c>
      <c r="AB437" s="28">
        <f t="shared" si="146"/>
        <v>0.51239283982203243</v>
      </c>
      <c r="AC437" s="28">
        <f t="shared" si="147"/>
        <v>0.10964912280701754</v>
      </c>
      <c r="AD437" s="29">
        <f t="shared" si="148"/>
        <v>406.07210626185963</v>
      </c>
      <c r="AE437" s="28">
        <f t="shared" si="149"/>
        <v>0.10964912280701754</v>
      </c>
      <c r="AF437" s="28">
        <f t="shared" si="150"/>
        <v>0.40274371701501488</v>
      </c>
      <c r="AG437" s="28">
        <f t="shared" si="151"/>
        <v>0</v>
      </c>
      <c r="AI437" s="31">
        <f t="shared" si="152"/>
        <v>0.88235905179842511</v>
      </c>
      <c r="AJ437" s="25"/>
      <c r="AK437" s="31"/>
      <c r="AM437" s="27"/>
    </row>
    <row r="438" spans="4:39" x14ac:dyDescent="0.25">
      <c r="D438" s="25">
        <f>E438*'Profit per cycles Model'!$I$113</f>
        <v>4290</v>
      </c>
      <c r="E438" s="25">
        <v>11.751814819887686</v>
      </c>
      <c r="F438" s="28">
        <f t="shared" si="133"/>
        <v>0.23310023310023309</v>
      </c>
      <c r="G438" s="28">
        <f>'Battery Pricing Model'!$C$17/D438</f>
        <v>0.23310023310023309</v>
      </c>
      <c r="H438" s="28">
        <f t="shared" si="134"/>
        <v>999</v>
      </c>
      <c r="I438" s="28"/>
      <c r="J438" s="34">
        <f>INDEX('Profit per cycles Model'!$I$149:$I$179, MATCH(TRUNC(E438, 0), 'Profit per cycles Model'!$H$149:$H$179, 0))</f>
        <v>0.51239283982203243</v>
      </c>
      <c r="K438" s="27">
        <f>AVERAGE($AB$10:AB438)</f>
        <v>0.43997272265656073</v>
      </c>
      <c r="L438" s="28">
        <f t="shared" si="135"/>
        <v>0.20687248955632764</v>
      </c>
      <c r="M438" s="28">
        <f t="shared" si="136"/>
        <v>0.20687248955632764</v>
      </c>
      <c r="N438" s="28">
        <f t="shared" si="137"/>
        <v>999</v>
      </c>
      <c r="O438" s="28"/>
      <c r="P438" s="29">
        <f t="shared" si="153"/>
        <v>0.42900000000000033</v>
      </c>
      <c r="Q438" s="33">
        <f t="shared" si="138"/>
        <v>6.7114093959731544</v>
      </c>
      <c r="R438" s="33">
        <f t="shared" si="139"/>
        <v>6.7114093959731544</v>
      </c>
      <c r="S438" s="33">
        <f t="shared" si="140"/>
        <v>-1</v>
      </c>
      <c r="T438" s="27"/>
      <c r="U438" s="28">
        <f t="shared" si="141"/>
        <v>0.10964912280701754</v>
      </c>
      <c r="V438" s="25">
        <f t="shared" si="142"/>
        <v>999</v>
      </c>
      <c r="W438" s="35">
        <f t="shared" si="154"/>
        <v>25</v>
      </c>
      <c r="X438" s="33">
        <f t="shared" si="143"/>
        <v>25</v>
      </c>
      <c r="Y438" s="32">
        <f t="shared" si="144"/>
        <v>-1</v>
      </c>
      <c r="Z438" s="32"/>
      <c r="AA438" s="30">
        <f t="shared" si="145"/>
        <v>11.751814819887686</v>
      </c>
      <c r="AB438" s="28">
        <f t="shared" si="146"/>
        <v>0.51239283982203243</v>
      </c>
      <c r="AC438" s="28">
        <f t="shared" si="147"/>
        <v>0.10964912280701754</v>
      </c>
      <c r="AD438" s="29">
        <f t="shared" si="148"/>
        <v>407.02087286527512</v>
      </c>
      <c r="AE438" s="28">
        <f t="shared" si="149"/>
        <v>0.10964912280701754</v>
      </c>
      <c r="AF438" s="28">
        <f t="shared" si="150"/>
        <v>0.40274371701501488</v>
      </c>
      <c r="AG438" s="28">
        <f t="shared" si="151"/>
        <v>0</v>
      </c>
      <c r="AI438" s="31">
        <f t="shared" si="152"/>
        <v>0.88748298019664562</v>
      </c>
      <c r="AJ438" s="25"/>
      <c r="AK438" s="31"/>
      <c r="AM438" s="27"/>
    </row>
    <row r="439" spans="4:39" x14ac:dyDescent="0.25">
      <c r="D439" s="25">
        <f>E439*'Profit per cycles Model'!$I$113</f>
        <v>4300</v>
      </c>
      <c r="E439" s="25">
        <v>11.779208327626352</v>
      </c>
      <c r="F439" s="28">
        <f t="shared" si="133"/>
        <v>0.23255813953488372</v>
      </c>
      <c r="G439" s="28">
        <f>'Battery Pricing Model'!$C$17/D439</f>
        <v>0.23255813953488372</v>
      </c>
      <c r="H439" s="28">
        <f t="shared" si="134"/>
        <v>999</v>
      </c>
      <c r="I439" s="28"/>
      <c r="J439" s="34">
        <f>INDEX('Profit per cycles Model'!$I$149:$I$179, MATCH(TRUNC(E439, 0), 'Profit per cycles Model'!$H$149:$H$179, 0))</f>
        <v>0.51239283982203243</v>
      </c>
      <c r="K439" s="27">
        <f>AVERAGE($AB$10:AB439)</f>
        <v>0.44014114153368977</v>
      </c>
      <c r="L439" s="28">
        <f t="shared" si="135"/>
        <v>0.20758300199880605</v>
      </c>
      <c r="M439" s="28">
        <f t="shared" si="136"/>
        <v>0.20758300199880605</v>
      </c>
      <c r="N439" s="28">
        <f t="shared" si="137"/>
        <v>999</v>
      </c>
      <c r="O439" s="28"/>
      <c r="P439" s="29">
        <f t="shared" si="153"/>
        <v>0.43000000000000033</v>
      </c>
      <c r="Q439" s="33">
        <f t="shared" si="138"/>
        <v>6.7114093959731544</v>
      </c>
      <c r="R439" s="33">
        <f t="shared" si="139"/>
        <v>6.7114093959731544</v>
      </c>
      <c r="S439" s="33">
        <f t="shared" si="140"/>
        <v>-1</v>
      </c>
      <c r="T439" s="27"/>
      <c r="U439" s="28">
        <f t="shared" si="141"/>
        <v>0.10964912280701754</v>
      </c>
      <c r="V439" s="25">
        <f t="shared" si="142"/>
        <v>999</v>
      </c>
      <c r="W439" s="35">
        <f t="shared" si="154"/>
        <v>25</v>
      </c>
      <c r="X439" s="33">
        <f t="shared" si="143"/>
        <v>25</v>
      </c>
      <c r="Y439" s="32">
        <f t="shared" si="144"/>
        <v>-1</v>
      </c>
      <c r="Z439" s="32"/>
      <c r="AA439" s="30">
        <f t="shared" si="145"/>
        <v>11.779208327626352</v>
      </c>
      <c r="AB439" s="28">
        <f t="shared" si="146"/>
        <v>0.51239283982203243</v>
      </c>
      <c r="AC439" s="28">
        <f t="shared" si="147"/>
        <v>0.10964912280701754</v>
      </c>
      <c r="AD439" s="29">
        <f t="shared" si="148"/>
        <v>407.96963946869067</v>
      </c>
      <c r="AE439" s="28">
        <f t="shared" si="149"/>
        <v>0.10964912280701754</v>
      </c>
      <c r="AF439" s="28">
        <f t="shared" si="150"/>
        <v>0.40274371701501488</v>
      </c>
      <c r="AG439" s="28">
        <f t="shared" si="151"/>
        <v>0</v>
      </c>
      <c r="AI439" s="31">
        <f t="shared" si="152"/>
        <v>0.89260690859486602</v>
      </c>
      <c r="AJ439" s="25"/>
      <c r="AK439" s="31"/>
      <c r="AM439" s="27"/>
    </row>
    <row r="440" spans="4:39" x14ac:dyDescent="0.25">
      <c r="D440" s="25">
        <f>E440*'Profit per cycles Model'!$I$113</f>
        <v>4310</v>
      </c>
      <c r="E440" s="25">
        <v>11.806601835365019</v>
      </c>
      <c r="F440" s="28">
        <f t="shared" si="133"/>
        <v>0.23201856148491878</v>
      </c>
      <c r="G440" s="28">
        <f>'Battery Pricing Model'!$C$17/D440</f>
        <v>0.23201856148491878</v>
      </c>
      <c r="H440" s="28">
        <f t="shared" si="134"/>
        <v>999</v>
      </c>
      <c r="I440" s="28"/>
      <c r="J440" s="34">
        <f>INDEX('Profit per cycles Model'!$I$149:$I$179, MATCH(TRUNC(E440, 0), 'Profit per cycles Model'!$H$149:$H$179, 0))</f>
        <v>0.51239283982203243</v>
      </c>
      <c r="K440" s="27">
        <f>AVERAGE($AB$10:AB440)</f>
        <v>0.44030877888470682</v>
      </c>
      <c r="L440" s="28">
        <f t="shared" si="135"/>
        <v>0.20829021739978804</v>
      </c>
      <c r="M440" s="28">
        <f t="shared" si="136"/>
        <v>0.20829021739978804</v>
      </c>
      <c r="N440" s="28">
        <f t="shared" si="137"/>
        <v>999</v>
      </c>
      <c r="O440" s="28"/>
      <c r="P440" s="29">
        <f t="shared" si="153"/>
        <v>0.43100000000000033</v>
      </c>
      <c r="Q440" s="33">
        <f t="shared" si="138"/>
        <v>6.7114093959731544</v>
      </c>
      <c r="R440" s="33">
        <f t="shared" si="139"/>
        <v>6.7114093959731544</v>
      </c>
      <c r="S440" s="33">
        <f t="shared" si="140"/>
        <v>-1</v>
      </c>
      <c r="T440" s="27"/>
      <c r="U440" s="28">
        <f t="shared" si="141"/>
        <v>0.10964912280701754</v>
      </c>
      <c r="V440" s="25">
        <f t="shared" si="142"/>
        <v>999</v>
      </c>
      <c r="W440" s="35">
        <f t="shared" si="154"/>
        <v>25</v>
      </c>
      <c r="X440" s="33">
        <f t="shared" si="143"/>
        <v>25</v>
      </c>
      <c r="Y440" s="32">
        <f t="shared" si="144"/>
        <v>-1</v>
      </c>
      <c r="Z440" s="32"/>
      <c r="AA440" s="30">
        <f t="shared" si="145"/>
        <v>11.806601835365019</v>
      </c>
      <c r="AB440" s="28">
        <f t="shared" si="146"/>
        <v>0.51239283982203243</v>
      </c>
      <c r="AC440" s="28">
        <f t="shared" si="147"/>
        <v>0.10964912280701754</v>
      </c>
      <c r="AD440" s="29">
        <f t="shared" si="148"/>
        <v>408.91840607210628</v>
      </c>
      <c r="AE440" s="28">
        <f t="shared" si="149"/>
        <v>0.10964912280701754</v>
      </c>
      <c r="AF440" s="28">
        <f t="shared" si="150"/>
        <v>0.40274371701501488</v>
      </c>
      <c r="AG440" s="28">
        <f t="shared" si="151"/>
        <v>0</v>
      </c>
      <c r="AI440" s="31">
        <f t="shared" si="152"/>
        <v>0.89773083699308642</v>
      </c>
      <c r="AJ440" s="25"/>
      <c r="AK440" s="31"/>
      <c r="AM440" s="27"/>
    </row>
    <row r="441" spans="4:39" x14ac:dyDescent="0.25">
      <c r="D441" s="25">
        <f>E441*'Profit per cycles Model'!$I$113</f>
        <v>4320</v>
      </c>
      <c r="E441" s="25">
        <v>11.833995343103684</v>
      </c>
      <c r="F441" s="28">
        <f t="shared" si="133"/>
        <v>0.23148148148148148</v>
      </c>
      <c r="G441" s="28">
        <f>'Battery Pricing Model'!$C$17/D441</f>
        <v>0.23148148148148148</v>
      </c>
      <c r="H441" s="28">
        <f t="shared" si="134"/>
        <v>999</v>
      </c>
      <c r="I441" s="28"/>
      <c r="J441" s="34">
        <f>INDEX('Profit per cycles Model'!$I$149:$I$179, MATCH(TRUNC(E441, 0), 'Profit per cycles Model'!$H$149:$H$179, 0))</f>
        <v>0.51239283982203243</v>
      </c>
      <c r="K441" s="27">
        <f>AVERAGE($AB$10:AB441)</f>
        <v>0.44047564013687657</v>
      </c>
      <c r="L441" s="28">
        <f t="shared" si="135"/>
        <v>0.20899415865539508</v>
      </c>
      <c r="M441" s="28">
        <f t="shared" si="136"/>
        <v>0.20899415865539508</v>
      </c>
      <c r="N441" s="28">
        <f t="shared" si="137"/>
        <v>999</v>
      </c>
      <c r="O441" s="28"/>
      <c r="P441" s="29">
        <f t="shared" si="153"/>
        <v>0.43200000000000033</v>
      </c>
      <c r="Q441" s="33">
        <f t="shared" si="138"/>
        <v>6.7114093959731544</v>
      </c>
      <c r="R441" s="33">
        <f t="shared" si="139"/>
        <v>6.7114093959731544</v>
      </c>
      <c r="S441" s="33">
        <f t="shared" si="140"/>
        <v>-1</v>
      </c>
      <c r="T441" s="27"/>
      <c r="U441" s="28">
        <f t="shared" si="141"/>
        <v>0.10964912280701754</v>
      </c>
      <c r="V441" s="25">
        <f t="shared" si="142"/>
        <v>999</v>
      </c>
      <c r="W441" s="35">
        <f t="shared" si="154"/>
        <v>25</v>
      </c>
      <c r="X441" s="33">
        <f t="shared" si="143"/>
        <v>25</v>
      </c>
      <c r="Y441" s="32">
        <f t="shared" si="144"/>
        <v>-1</v>
      </c>
      <c r="Z441" s="32"/>
      <c r="AA441" s="30">
        <f t="shared" si="145"/>
        <v>11.833995343103684</v>
      </c>
      <c r="AB441" s="28">
        <f t="shared" si="146"/>
        <v>0.51239283982203243</v>
      </c>
      <c r="AC441" s="28">
        <f t="shared" si="147"/>
        <v>0.10964912280701754</v>
      </c>
      <c r="AD441" s="29">
        <f t="shared" si="148"/>
        <v>409.86717267552183</v>
      </c>
      <c r="AE441" s="28">
        <f t="shared" si="149"/>
        <v>0.10964912280701754</v>
      </c>
      <c r="AF441" s="28">
        <f t="shared" si="150"/>
        <v>0.40274371701501488</v>
      </c>
      <c r="AG441" s="28">
        <f t="shared" si="151"/>
        <v>0</v>
      </c>
      <c r="AI441" s="31">
        <f t="shared" si="152"/>
        <v>0.90285476539130671</v>
      </c>
      <c r="AJ441" s="25"/>
      <c r="AK441" s="31"/>
      <c r="AM441" s="27"/>
    </row>
    <row r="442" spans="4:39" x14ac:dyDescent="0.25">
      <c r="D442" s="25">
        <f>E442*'Profit per cycles Model'!$I$113</f>
        <v>4330</v>
      </c>
      <c r="E442" s="25">
        <v>11.861388850842349</v>
      </c>
      <c r="F442" s="28">
        <f t="shared" si="133"/>
        <v>0.23094688221709006</v>
      </c>
      <c r="G442" s="28">
        <f>'Battery Pricing Model'!$C$17/D442</f>
        <v>0.23094688221709006</v>
      </c>
      <c r="H442" s="28">
        <f t="shared" si="134"/>
        <v>999</v>
      </c>
      <c r="I442" s="28"/>
      <c r="J442" s="34">
        <f>INDEX('Profit per cycles Model'!$I$149:$I$179, MATCH(TRUNC(E442, 0), 'Profit per cycles Model'!$H$149:$H$179, 0))</f>
        <v>0.51239283982203243</v>
      </c>
      <c r="K442" s="27">
        <f>AVERAGE($AB$10:AB442)</f>
        <v>0.44064173066732731</v>
      </c>
      <c r="L442" s="28">
        <f t="shared" si="135"/>
        <v>0.20969484845023725</v>
      </c>
      <c r="M442" s="28">
        <f t="shared" si="136"/>
        <v>0.20969484845023725</v>
      </c>
      <c r="N442" s="28">
        <f t="shared" si="137"/>
        <v>999</v>
      </c>
      <c r="O442" s="28"/>
      <c r="P442" s="29">
        <f t="shared" si="153"/>
        <v>0.43300000000000033</v>
      </c>
      <c r="Q442" s="33">
        <f t="shared" si="138"/>
        <v>6.7114093959731544</v>
      </c>
      <c r="R442" s="33">
        <f t="shared" si="139"/>
        <v>6.7114093959731544</v>
      </c>
      <c r="S442" s="33">
        <f t="shared" si="140"/>
        <v>-1</v>
      </c>
      <c r="T442" s="27"/>
      <c r="U442" s="28">
        <f t="shared" si="141"/>
        <v>0.10964912280701754</v>
      </c>
      <c r="V442" s="25">
        <f t="shared" si="142"/>
        <v>999</v>
      </c>
      <c r="W442" s="35">
        <f t="shared" si="154"/>
        <v>25</v>
      </c>
      <c r="X442" s="33">
        <f t="shared" si="143"/>
        <v>25</v>
      </c>
      <c r="Y442" s="32">
        <f t="shared" si="144"/>
        <v>-1</v>
      </c>
      <c r="Z442" s="32"/>
      <c r="AA442" s="30">
        <f t="shared" si="145"/>
        <v>11.861388850842349</v>
      </c>
      <c r="AB442" s="28">
        <f t="shared" si="146"/>
        <v>0.51239283982203243</v>
      </c>
      <c r="AC442" s="28">
        <f t="shared" si="147"/>
        <v>0.10964912280701754</v>
      </c>
      <c r="AD442" s="29">
        <f t="shared" si="148"/>
        <v>410.81593927893738</v>
      </c>
      <c r="AE442" s="28">
        <f t="shared" si="149"/>
        <v>0.10964912280701754</v>
      </c>
      <c r="AF442" s="28">
        <f t="shared" si="150"/>
        <v>0.40274371701501488</v>
      </c>
      <c r="AG442" s="28">
        <f t="shared" si="151"/>
        <v>0</v>
      </c>
      <c r="AI442" s="31">
        <f t="shared" si="152"/>
        <v>0.90797869378952734</v>
      </c>
      <c r="AJ442" s="25"/>
      <c r="AK442" s="31"/>
      <c r="AM442" s="27"/>
    </row>
    <row r="443" spans="4:39" x14ac:dyDescent="0.25">
      <c r="D443" s="25">
        <f>E443*'Profit per cycles Model'!$I$113</f>
        <v>4340</v>
      </c>
      <c r="E443" s="25">
        <v>11.888782358581016</v>
      </c>
      <c r="F443" s="28">
        <f t="shared" si="133"/>
        <v>0.2304147465437788</v>
      </c>
      <c r="G443" s="28">
        <f>'Battery Pricing Model'!$C$17/D443</f>
        <v>0.2304147465437788</v>
      </c>
      <c r="H443" s="28">
        <f t="shared" si="134"/>
        <v>999</v>
      </c>
      <c r="I443" s="28"/>
      <c r="J443" s="34">
        <f>INDEX('Profit per cycles Model'!$I$149:$I$179, MATCH(TRUNC(E443, 0), 'Profit per cycles Model'!$H$149:$H$179, 0))</f>
        <v>0.51239283982203243</v>
      </c>
      <c r="K443" s="27">
        <f>AVERAGE($AB$10:AB443)</f>
        <v>0.4408070558036285</v>
      </c>
      <c r="L443" s="28">
        <f t="shared" si="135"/>
        <v>0.2103923092598497</v>
      </c>
      <c r="M443" s="28">
        <f t="shared" si="136"/>
        <v>0.2103923092598497</v>
      </c>
      <c r="N443" s="28">
        <f t="shared" si="137"/>
        <v>999</v>
      </c>
      <c r="O443" s="28"/>
      <c r="P443" s="29">
        <f t="shared" si="153"/>
        <v>0.43400000000000033</v>
      </c>
      <c r="Q443" s="33">
        <f t="shared" si="138"/>
        <v>6.7114093959731544</v>
      </c>
      <c r="R443" s="33">
        <f t="shared" si="139"/>
        <v>6.7114093959731544</v>
      </c>
      <c r="S443" s="33">
        <f t="shared" si="140"/>
        <v>-1</v>
      </c>
      <c r="T443" s="27"/>
      <c r="U443" s="28">
        <f t="shared" si="141"/>
        <v>0.10964912280701754</v>
      </c>
      <c r="V443" s="25">
        <f t="shared" si="142"/>
        <v>999</v>
      </c>
      <c r="W443" s="35">
        <f t="shared" si="154"/>
        <v>25</v>
      </c>
      <c r="X443" s="33">
        <f t="shared" si="143"/>
        <v>25</v>
      </c>
      <c r="Y443" s="32">
        <f t="shared" si="144"/>
        <v>-1</v>
      </c>
      <c r="Z443" s="32"/>
      <c r="AA443" s="30">
        <f t="shared" si="145"/>
        <v>11.888782358581016</v>
      </c>
      <c r="AB443" s="28">
        <f t="shared" si="146"/>
        <v>0.51239283982203243</v>
      </c>
      <c r="AC443" s="28">
        <f t="shared" si="147"/>
        <v>0.10964912280701754</v>
      </c>
      <c r="AD443" s="29">
        <f t="shared" si="148"/>
        <v>411.76470588235298</v>
      </c>
      <c r="AE443" s="28">
        <f t="shared" si="149"/>
        <v>0.10964912280701754</v>
      </c>
      <c r="AF443" s="28">
        <f t="shared" si="150"/>
        <v>0.40274371701501488</v>
      </c>
      <c r="AG443" s="28">
        <f t="shared" si="151"/>
        <v>0</v>
      </c>
      <c r="AI443" s="31">
        <f t="shared" si="152"/>
        <v>0.91310262218774763</v>
      </c>
      <c r="AJ443" s="25"/>
      <c r="AK443" s="31"/>
      <c r="AM443" s="27"/>
    </row>
    <row r="444" spans="4:39" x14ac:dyDescent="0.25">
      <c r="D444" s="25">
        <f>E444*'Profit per cycles Model'!$I$113</f>
        <v>4350</v>
      </c>
      <c r="E444" s="25">
        <v>11.916175866319682</v>
      </c>
      <c r="F444" s="28">
        <f t="shared" si="133"/>
        <v>0.22988505747126436</v>
      </c>
      <c r="G444" s="28">
        <f>'Battery Pricing Model'!$C$17/D444</f>
        <v>0.22988505747126436</v>
      </c>
      <c r="H444" s="28">
        <f t="shared" si="134"/>
        <v>999</v>
      </c>
      <c r="I444" s="28"/>
      <c r="J444" s="34">
        <f>INDEX('Profit per cycles Model'!$I$149:$I$179, MATCH(TRUNC(E444, 0), 'Profit per cycles Model'!$H$149:$H$179, 0))</f>
        <v>0.51239283982203243</v>
      </c>
      <c r="K444" s="27">
        <f>AVERAGE($AB$10:AB444)</f>
        <v>0.44097162082436048</v>
      </c>
      <c r="L444" s="28">
        <f t="shared" si="135"/>
        <v>0.21108656335309611</v>
      </c>
      <c r="M444" s="28">
        <f t="shared" si="136"/>
        <v>0.21108656335309611</v>
      </c>
      <c r="N444" s="28">
        <f t="shared" si="137"/>
        <v>999</v>
      </c>
      <c r="O444" s="28"/>
      <c r="P444" s="29">
        <f t="shared" si="153"/>
        <v>0.43500000000000033</v>
      </c>
      <c r="Q444" s="33">
        <f t="shared" si="138"/>
        <v>6.7114093959731544</v>
      </c>
      <c r="R444" s="33">
        <f t="shared" si="139"/>
        <v>6.7114093959731544</v>
      </c>
      <c r="S444" s="33">
        <f t="shared" si="140"/>
        <v>-1</v>
      </c>
      <c r="T444" s="27"/>
      <c r="U444" s="28">
        <f t="shared" si="141"/>
        <v>0.10964912280701754</v>
      </c>
      <c r="V444" s="25">
        <f t="shared" si="142"/>
        <v>999</v>
      </c>
      <c r="W444" s="35">
        <f t="shared" si="154"/>
        <v>25</v>
      </c>
      <c r="X444" s="33">
        <f t="shared" si="143"/>
        <v>25</v>
      </c>
      <c r="Y444" s="32">
        <f t="shared" si="144"/>
        <v>-1</v>
      </c>
      <c r="Z444" s="32"/>
      <c r="AA444" s="30">
        <f t="shared" si="145"/>
        <v>11.916175866319682</v>
      </c>
      <c r="AB444" s="28">
        <f t="shared" si="146"/>
        <v>0.51239283982203243</v>
      </c>
      <c r="AC444" s="28">
        <f t="shared" si="147"/>
        <v>0.10964912280701754</v>
      </c>
      <c r="AD444" s="29">
        <f t="shared" si="148"/>
        <v>412.71347248576848</v>
      </c>
      <c r="AE444" s="28">
        <f t="shared" si="149"/>
        <v>0.10964912280701754</v>
      </c>
      <c r="AF444" s="28">
        <f t="shared" si="150"/>
        <v>0.40274371701501488</v>
      </c>
      <c r="AG444" s="28">
        <f t="shared" si="151"/>
        <v>0</v>
      </c>
      <c r="AI444" s="31">
        <f t="shared" si="152"/>
        <v>0.91822655058596814</v>
      </c>
      <c r="AJ444" s="25"/>
      <c r="AK444" s="31"/>
      <c r="AM444" s="27"/>
    </row>
    <row r="445" spans="4:39" x14ac:dyDescent="0.25">
      <c r="D445" s="25">
        <f>E445*'Profit per cycles Model'!$I$113</f>
        <v>4360</v>
      </c>
      <c r="E445" s="25">
        <v>11.943569374058347</v>
      </c>
      <c r="F445" s="28">
        <f t="shared" si="133"/>
        <v>0.22935779816513763</v>
      </c>
      <c r="G445" s="28">
        <f>'Battery Pricing Model'!$C$17/D445</f>
        <v>0.22935779816513763</v>
      </c>
      <c r="H445" s="28">
        <f t="shared" si="134"/>
        <v>999</v>
      </c>
      <c r="I445" s="28"/>
      <c r="J445" s="34">
        <f>INDEX('Profit per cycles Model'!$I$149:$I$179, MATCH(TRUNC(E445, 0), 'Profit per cycles Model'!$H$149:$H$179, 0))</f>
        <v>0.51239283982203243</v>
      </c>
      <c r="K445" s="27">
        <f>AVERAGE($AB$10:AB445)</f>
        <v>0.44113543095967628</v>
      </c>
      <c r="L445" s="28">
        <f t="shared" si="135"/>
        <v>0.21177763279453865</v>
      </c>
      <c r="M445" s="28">
        <f t="shared" si="136"/>
        <v>0.21177763279453865</v>
      </c>
      <c r="N445" s="28">
        <f t="shared" si="137"/>
        <v>999</v>
      </c>
      <c r="O445" s="28"/>
      <c r="P445" s="29">
        <f t="shared" si="153"/>
        <v>0.43600000000000033</v>
      </c>
      <c r="Q445" s="33">
        <f t="shared" si="138"/>
        <v>6.7114093959731544</v>
      </c>
      <c r="R445" s="33">
        <f t="shared" si="139"/>
        <v>6.7114093959731544</v>
      </c>
      <c r="S445" s="33">
        <f t="shared" si="140"/>
        <v>-1</v>
      </c>
      <c r="T445" s="27"/>
      <c r="U445" s="28">
        <f t="shared" si="141"/>
        <v>0.10964912280701754</v>
      </c>
      <c r="V445" s="25">
        <f t="shared" si="142"/>
        <v>999</v>
      </c>
      <c r="W445" s="35">
        <f t="shared" si="154"/>
        <v>25</v>
      </c>
      <c r="X445" s="33">
        <f t="shared" si="143"/>
        <v>25</v>
      </c>
      <c r="Y445" s="32">
        <f t="shared" si="144"/>
        <v>-1</v>
      </c>
      <c r="Z445" s="32"/>
      <c r="AA445" s="30">
        <f t="shared" si="145"/>
        <v>11.943569374058347</v>
      </c>
      <c r="AB445" s="28">
        <f t="shared" si="146"/>
        <v>0.51239283982203243</v>
      </c>
      <c r="AC445" s="28">
        <f t="shared" si="147"/>
        <v>0.10964912280701754</v>
      </c>
      <c r="AD445" s="29">
        <f t="shared" si="148"/>
        <v>413.66223908918403</v>
      </c>
      <c r="AE445" s="28">
        <f t="shared" si="149"/>
        <v>0.10964912280701754</v>
      </c>
      <c r="AF445" s="28">
        <f t="shared" si="150"/>
        <v>0.40274371701501488</v>
      </c>
      <c r="AG445" s="28">
        <f t="shared" si="151"/>
        <v>0</v>
      </c>
      <c r="AI445" s="31">
        <f t="shared" si="152"/>
        <v>0.92335047898418843</v>
      </c>
      <c r="AJ445" s="25"/>
      <c r="AK445" s="31"/>
      <c r="AM445" s="27"/>
    </row>
    <row r="446" spans="4:39" x14ac:dyDescent="0.25">
      <c r="D446" s="25">
        <f>E446*'Profit per cycles Model'!$I$113</f>
        <v>4370</v>
      </c>
      <c r="E446" s="25">
        <v>11.970962881797014</v>
      </c>
      <c r="F446" s="28">
        <f t="shared" si="133"/>
        <v>0.2288329519450801</v>
      </c>
      <c r="G446" s="28">
        <f>'Battery Pricing Model'!$C$17/D446</f>
        <v>0.2288329519450801</v>
      </c>
      <c r="H446" s="28">
        <f t="shared" si="134"/>
        <v>999</v>
      </c>
      <c r="I446" s="28"/>
      <c r="J446" s="34">
        <f>INDEX('Profit per cycles Model'!$I$149:$I$179, MATCH(TRUNC(E446, 0), 'Profit per cycles Model'!$H$149:$H$179, 0))</f>
        <v>0.51239283982203243</v>
      </c>
      <c r="K446" s="27">
        <f>AVERAGE($AB$10:AB446)</f>
        <v>0.44129849139185556</v>
      </c>
      <c r="L446" s="28">
        <f t="shared" si="135"/>
        <v>0.21246553944677546</v>
      </c>
      <c r="M446" s="28">
        <f t="shared" si="136"/>
        <v>0.21246553944677546</v>
      </c>
      <c r="N446" s="28">
        <f t="shared" si="137"/>
        <v>999</v>
      </c>
      <c r="O446" s="28"/>
      <c r="P446" s="29">
        <f t="shared" si="153"/>
        <v>0.43700000000000033</v>
      </c>
      <c r="Q446" s="33">
        <f t="shared" si="138"/>
        <v>6.7114093959731544</v>
      </c>
      <c r="R446" s="33">
        <f t="shared" si="139"/>
        <v>6.7114093959731544</v>
      </c>
      <c r="S446" s="33">
        <f t="shared" si="140"/>
        <v>-1</v>
      </c>
      <c r="T446" s="27"/>
      <c r="U446" s="28">
        <f t="shared" si="141"/>
        <v>0.10964912280701754</v>
      </c>
      <c r="V446" s="25">
        <f t="shared" si="142"/>
        <v>999</v>
      </c>
      <c r="W446" s="35">
        <f t="shared" si="154"/>
        <v>25</v>
      </c>
      <c r="X446" s="33">
        <f t="shared" si="143"/>
        <v>25</v>
      </c>
      <c r="Y446" s="32">
        <f t="shared" si="144"/>
        <v>-1</v>
      </c>
      <c r="Z446" s="32"/>
      <c r="AA446" s="30">
        <f t="shared" si="145"/>
        <v>11.970962881797014</v>
      </c>
      <c r="AB446" s="28">
        <f t="shared" si="146"/>
        <v>0.51239283982203243</v>
      </c>
      <c r="AC446" s="28">
        <f t="shared" si="147"/>
        <v>0.10964912280701754</v>
      </c>
      <c r="AD446" s="29">
        <f t="shared" si="148"/>
        <v>414.61100569259963</v>
      </c>
      <c r="AE446" s="28">
        <f t="shared" si="149"/>
        <v>0.10964912280701754</v>
      </c>
      <c r="AF446" s="28">
        <f t="shared" si="150"/>
        <v>0.40274371701501488</v>
      </c>
      <c r="AG446" s="28">
        <f t="shared" si="151"/>
        <v>0</v>
      </c>
      <c r="AI446" s="31">
        <f t="shared" si="152"/>
        <v>0.92847440738240872</v>
      </c>
      <c r="AJ446" s="25"/>
      <c r="AK446" s="31"/>
      <c r="AM446" s="27"/>
    </row>
    <row r="447" spans="4:39" x14ac:dyDescent="0.25">
      <c r="D447" s="25">
        <f>E447*'Profit per cycles Model'!$I$113</f>
        <v>4380</v>
      </c>
      <c r="E447" s="25">
        <v>11.99835638953568</v>
      </c>
      <c r="F447" s="28">
        <f t="shared" si="133"/>
        <v>0.22831050228310501</v>
      </c>
      <c r="G447" s="28">
        <f>'Battery Pricing Model'!$C$17/D447</f>
        <v>0.22831050228310501</v>
      </c>
      <c r="H447" s="28">
        <f t="shared" si="134"/>
        <v>999</v>
      </c>
      <c r="I447" s="28"/>
      <c r="J447" s="34">
        <f>INDEX('Profit per cycles Model'!$I$149:$I$179, MATCH(TRUNC(E447, 0), 'Profit per cycles Model'!$H$149:$H$179, 0))</f>
        <v>0.51239283982203243</v>
      </c>
      <c r="K447" s="27">
        <f>AVERAGE($AB$10:AB447)</f>
        <v>0.44146080725585146</v>
      </c>
      <c r="L447" s="28">
        <f t="shared" si="135"/>
        <v>0.21315030497274645</v>
      </c>
      <c r="M447" s="28">
        <f t="shared" si="136"/>
        <v>0.21315030497274645</v>
      </c>
      <c r="N447" s="28">
        <f t="shared" si="137"/>
        <v>999</v>
      </c>
      <c r="O447" s="28"/>
      <c r="P447" s="29">
        <f t="shared" si="153"/>
        <v>0.43800000000000033</v>
      </c>
      <c r="Q447" s="33">
        <f t="shared" si="138"/>
        <v>6.7114093959731544</v>
      </c>
      <c r="R447" s="33">
        <f t="shared" si="139"/>
        <v>6.7114093959731544</v>
      </c>
      <c r="S447" s="33">
        <f t="shared" si="140"/>
        <v>-1</v>
      </c>
      <c r="T447" s="27"/>
      <c r="U447" s="28">
        <f t="shared" si="141"/>
        <v>0.10964912280701754</v>
      </c>
      <c r="V447" s="25">
        <f t="shared" si="142"/>
        <v>999</v>
      </c>
      <c r="W447" s="35">
        <f t="shared" si="154"/>
        <v>25</v>
      </c>
      <c r="X447" s="33">
        <f t="shared" si="143"/>
        <v>25</v>
      </c>
      <c r="Y447" s="32">
        <f t="shared" si="144"/>
        <v>-1</v>
      </c>
      <c r="Z447" s="32"/>
      <c r="AA447" s="30">
        <f t="shared" si="145"/>
        <v>11.99835638953568</v>
      </c>
      <c r="AB447" s="28">
        <f t="shared" si="146"/>
        <v>0.51239283982203243</v>
      </c>
      <c r="AC447" s="28">
        <f t="shared" si="147"/>
        <v>0.10964912280701754</v>
      </c>
      <c r="AD447" s="29">
        <f t="shared" si="148"/>
        <v>415.55977229601518</v>
      </c>
      <c r="AE447" s="28">
        <f t="shared" si="149"/>
        <v>0.10964912280701754</v>
      </c>
      <c r="AF447" s="28">
        <f t="shared" si="150"/>
        <v>0.40274371701501488</v>
      </c>
      <c r="AG447" s="28">
        <f t="shared" si="151"/>
        <v>0</v>
      </c>
      <c r="AI447" s="31">
        <f t="shared" si="152"/>
        <v>0.93359833578062956</v>
      </c>
      <c r="AJ447" s="25"/>
      <c r="AK447" s="31"/>
      <c r="AM447" s="27"/>
    </row>
    <row r="448" spans="4:39" x14ac:dyDescent="0.25">
      <c r="D448" s="25">
        <f>E448*'Profit per cycles Model'!$I$113</f>
        <v>4390</v>
      </c>
      <c r="E448" s="25">
        <v>12.025749897274345</v>
      </c>
      <c r="F448" s="28">
        <f t="shared" si="133"/>
        <v>0.22779043280182232</v>
      </c>
      <c r="G448" s="28">
        <f>'Battery Pricing Model'!$C$17/D448</f>
        <v>0.22779043280182232</v>
      </c>
      <c r="H448" s="28">
        <f t="shared" si="134"/>
        <v>999</v>
      </c>
      <c r="I448" s="28"/>
      <c r="J448" s="34">
        <f>INDEX('Profit per cycles Model'!$I$149:$I$179, MATCH(TRUNC(E448, 0), 'Profit per cycles Model'!$H$149:$H$179, 0))</f>
        <v>0.52673207258228905</v>
      </c>
      <c r="K448" s="27">
        <f>AVERAGE($AB$10:AB448)</f>
        <v>0.44165504704019415</v>
      </c>
      <c r="L448" s="28">
        <f t="shared" si="135"/>
        <v>0.21386461423837183</v>
      </c>
      <c r="M448" s="28">
        <f t="shared" si="136"/>
        <v>0.21386461423837183</v>
      </c>
      <c r="N448" s="28">
        <f t="shared" si="137"/>
        <v>999</v>
      </c>
      <c r="O448" s="28"/>
      <c r="P448" s="29">
        <f t="shared" si="153"/>
        <v>0.43900000000000033</v>
      </c>
      <c r="Q448" s="33">
        <f t="shared" si="138"/>
        <v>6.7114093959731544</v>
      </c>
      <c r="R448" s="33">
        <f t="shared" si="139"/>
        <v>6.7114093959731544</v>
      </c>
      <c r="S448" s="33">
        <f t="shared" si="140"/>
        <v>-1</v>
      </c>
      <c r="T448" s="27"/>
      <c r="U448" s="28">
        <f t="shared" si="141"/>
        <v>0.10964912280701754</v>
      </c>
      <c r="V448" s="25">
        <f t="shared" si="142"/>
        <v>999</v>
      </c>
      <c r="W448" s="35">
        <f t="shared" si="154"/>
        <v>25</v>
      </c>
      <c r="X448" s="33">
        <f t="shared" si="143"/>
        <v>25</v>
      </c>
      <c r="Y448" s="32">
        <f t="shared" si="144"/>
        <v>-1</v>
      </c>
      <c r="Z448" s="32"/>
      <c r="AA448" s="30">
        <f t="shared" si="145"/>
        <v>12.025749897274345</v>
      </c>
      <c r="AB448" s="28">
        <f t="shared" si="146"/>
        <v>0.52673207258228905</v>
      </c>
      <c r="AC448" s="28">
        <f t="shared" si="147"/>
        <v>0.10964912280701754</v>
      </c>
      <c r="AD448" s="29">
        <f t="shared" si="148"/>
        <v>416.50853889943073</v>
      </c>
      <c r="AE448" s="28">
        <f t="shared" si="149"/>
        <v>0.10964912280701754</v>
      </c>
      <c r="AF448" s="28">
        <f t="shared" si="150"/>
        <v>0.41708294977527149</v>
      </c>
      <c r="AG448" s="28">
        <f t="shared" si="151"/>
        <v>0</v>
      </c>
      <c r="AI448" s="31">
        <f t="shared" si="152"/>
        <v>0.93886565650645237</v>
      </c>
      <c r="AJ448" s="25"/>
      <c r="AK448" s="31"/>
      <c r="AM448" s="27"/>
    </row>
    <row r="449" spans="4:39" x14ac:dyDescent="0.25">
      <c r="D449" s="25">
        <f>E449*'Profit per cycles Model'!$I$113</f>
        <v>4400</v>
      </c>
      <c r="E449" s="25">
        <v>12.053143405013012</v>
      </c>
      <c r="F449" s="28">
        <f t="shared" si="133"/>
        <v>0.22727272727272727</v>
      </c>
      <c r="G449" s="28">
        <f>'Battery Pricing Model'!$C$17/D449</f>
        <v>0.22727272727272727</v>
      </c>
      <c r="H449" s="28">
        <f t="shared" si="134"/>
        <v>999</v>
      </c>
      <c r="I449" s="28"/>
      <c r="J449" s="34">
        <f>INDEX('Profit per cycles Model'!$I$149:$I$179, MATCH(TRUNC(E449, 0), 'Profit per cycles Model'!$H$149:$H$179, 0))</f>
        <v>0.52673207258228905</v>
      </c>
      <c r="K449" s="27">
        <f>AVERAGE($AB$10:AB449)</f>
        <v>0.44184840391642616</v>
      </c>
      <c r="L449" s="28">
        <f t="shared" si="135"/>
        <v>0.21457567664369889</v>
      </c>
      <c r="M449" s="28">
        <f t="shared" si="136"/>
        <v>0.21457567664369889</v>
      </c>
      <c r="N449" s="28">
        <f t="shared" si="137"/>
        <v>999</v>
      </c>
      <c r="O449" s="28"/>
      <c r="P449" s="29">
        <f t="shared" si="153"/>
        <v>0.44000000000000034</v>
      </c>
      <c r="Q449" s="33">
        <f t="shared" si="138"/>
        <v>6.7114093959731544</v>
      </c>
      <c r="R449" s="33">
        <f t="shared" si="139"/>
        <v>6.7114093959731544</v>
      </c>
      <c r="S449" s="33">
        <f t="shared" si="140"/>
        <v>-1</v>
      </c>
      <c r="T449" s="27"/>
      <c r="U449" s="28">
        <f t="shared" si="141"/>
        <v>0.10964912280701754</v>
      </c>
      <c r="V449" s="25">
        <f t="shared" si="142"/>
        <v>999</v>
      </c>
      <c r="W449" s="35">
        <f t="shared" si="154"/>
        <v>25</v>
      </c>
      <c r="X449" s="33">
        <f t="shared" si="143"/>
        <v>25</v>
      </c>
      <c r="Y449" s="32">
        <f t="shared" si="144"/>
        <v>-1</v>
      </c>
      <c r="Z449" s="32"/>
      <c r="AA449" s="30">
        <f t="shared" si="145"/>
        <v>12.053143405013012</v>
      </c>
      <c r="AB449" s="28">
        <f t="shared" si="146"/>
        <v>0.52673207258228905</v>
      </c>
      <c r="AC449" s="28">
        <f t="shared" si="147"/>
        <v>0.10964912280701754</v>
      </c>
      <c r="AD449" s="29">
        <f t="shared" si="148"/>
        <v>417.45730550284634</v>
      </c>
      <c r="AE449" s="28">
        <f t="shared" si="149"/>
        <v>0.10964912280701754</v>
      </c>
      <c r="AF449" s="28">
        <f t="shared" si="150"/>
        <v>0.41708294977527149</v>
      </c>
      <c r="AG449" s="28">
        <f t="shared" si="151"/>
        <v>0</v>
      </c>
      <c r="AI449" s="31">
        <f t="shared" si="152"/>
        <v>0.94413297723227518</v>
      </c>
      <c r="AJ449" s="25"/>
      <c r="AK449" s="31"/>
      <c r="AM449" s="27"/>
    </row>
    <row r="450" spans="4:39" x14ac:dyDescent="0.25">
      <c r="D450" s="25">
        <f>E450*'Profit per cycles Model'!$I$113</f>
        <v>4410</v>
      </c>
      <c r="E450" s="25">
        <v>12.080536912751677</v>
      </c>
      <c r="F450" s="28">
        <f t="shared" si="133"/>
        <v>0.22675736961451248</v>
      </c>
      <c r="G450" s="28">
        <f>'Battery Pricing Model'!$C$17/D450</f>
        <v>0.22675736961451248</v>
      </c>
      <c r="H450" s="28">
        <f t="shared" si="134"/>
        <v>999</v>
      </c>
      <c r="I450" s="28"/>
      <c r="J450" s="34">
        <f>INDEX('Profit per cycles Model'!$I$149:$I$179, MATCH(TRUNC(E450, 0), 'Profit per cycles Model'!$H$149:$H$179, 0))</f>
        <v>0.52673207258228905</v>
      </c>
      <c r="K450" s="27">
        <f>AVERAGE($AB$10:AB450)</f>
        <v>0.44204088389072521</v>
      </c>
      <c r="L450" s="28">
        <f t="shared" si="135"/>
        <v>0.21528351427621273</v>
      </c>
      <c r="M450" s="28">
        <f t="shared" si="136"/>
        <v>0.21528351427621273</v>
      </c>
      <c r="N450" s="28">
        <f t="shared" si="137"/>
        <v>999</v>
      </c>
      <c r="O450" s="28"/>
      <c r="P450" s="29">
        <f t="shared" si="153"/>
        <v>0.44100000000000034</v>
      </c>
      <c r="Q450" s="33">
        <f t="shared" si="138"/>
        <v>6.7114093959731544</v>
      </c>
      <c r="R450" s="33">
        <f t="shared" si="139"/>
        <v>6.7114093959731544</v>
      </c>
      <c r="S450" s="33">
        <f t="shared" si="140"/>
        <v>-1</v>
      </c>
      <c r="T450" s="27"/>
      <c r="U450" s="28">
        <f t="shared" si="141"/>
        <v>0.10964912280701754</v>
      </c>
      <c r="V450" s="25">
        <f t="shared" si="142"/>
        <v>999</v>
      </c>
      <c r="W450" s="35">
        <f t="shared" si="154"/>
        <v>25</v>
      </c>
      <c r="X450" s="33">
        <f t="shared" si="143"/>
        <v>25</v>
      </c>
      <c r="Y450" s="32">
        <f t="shared" si="144"/>
        <v>-1</v>
      </c>
      <c r="Z450" s="32"/>
      <c r="AA450" s="30">
        <f t="shared" si="145"/>
        <v>12.080536912751677</v>
      </c>
      <c r="AB450" s="28">
        <f t="shared" si="146"/>
        <v>0.52673207258228905</v>
      </c>
      <c r="AC450" s="28">
        <f t="shared" si="147"/>
        <v>0.10964912280701754</v>
      </c>
      <c r="AD450" s="29">
        <f t="shared" si="148"/>
        <v>418.40607210626183</v>
      </c>
      <c r="AE450" s="28">
        <f t="shared" si="149"/>
        <v>0.10964912280701754</v>
      </c>
      <c r="AF450" s="28">
        <f t="shared" si="150"/>
        <v>0.41708294977527149</v>
      </c>
      <c r="AG450" s="28">
        <f t="shared" si="151"/>
        <v>0</v>
      </c>
      <c r="AI450" s="31">
        <f t="shared" si="152"/>
        <v>0.9494002979580981</v>
      </c>
      <c r="AJ450" s="25"/>
      <c r="AK450" s="31"/>
      <c r="AM450" s="27"/>
    </row>
    <row r="451" spans="4:39" x14ac:dyDescent="0.25">
      <c r="D451" s="25">
        <f>E451*'Profit per cycles Model'!$I$113</f>
        <v>4420</v>
      </c>
      <c r="E451" s="25">
        <v>12.107930420490343</v>
      </c>
      <c r="F451" s="28">
        <f t="shared" si="133"/>
        <v>0.22624434389140272</v>
      </c>
      <c r="G451" s="28">
        <f>'Battery Pricing Model'!$C$17/D451</f>
        <v>0.22624434389140272</v>
      </c>
      <c r="H451" s="28">
        <f t="shared" si="134"/>
        <v>999</v>
      </c>
      <c r="I451" s="28"/>
      <c r="J451" s="34">
        <f>INDEX('Profit per cycles Model'!$I$149:$I$179, MATCH(TRUNC(E451, 0), 'Profit per cycles Model'!$H$149:$H$179, 0))</f>
        <v>0.52673207258228905</v>
      </c>
      <c r="K451" s="27">
        <f>AVERAGE($AB$10:AB451)</f>
        <v>0.44223249291491423</v>
      </c>
      <c r="L451" s="28">
        <f t="shared" si="135"/>
        <v>0.21598814902351152</v>
      </c>
      <c r="M451" s="28">
        <f t="shared" si="136"/>
        <v>0.21598814902351152</v>
      </c>
      <c r="N451" s="28">
        <f t="shared" si="137"/>
        <v>999</v>
      </c>
      <c r="O451" s="28"/>
      <c r="P451" s="29">
        <f t="shared" si="153"/>
        <v>0.44200000000000034</v>
      </c>
      <c r="Q451" s="33">
        <f t="shared" si="138"/>
        <v>6.7114093959731544</v>
      </c>
      <c r="R451" s="33">
        <f t="shared" si="139"/>
        <v>6.7114093959731544</v>
      </c>
      <c r="S451" s="33">
        <f t="shared" si="140"/>
        <v>-1</v>
      </c>
      <c r="T451" s="27"/>
      <c r="U451" s="28">
        <f t="shared" si="141"/>
        <v>0.10964912280701754</v>
      </c>
      <c r="V451" s="25">
        <f t="shared" si="142"/>
        <v>999</v>
      </c>
      <c r="W451" s="35">
        <f t="shared" si="154"/>
        <v>25</v>
      </c>
      <c r="X451" s="33">
        <f t="shared" si="143"/>
        <v>25</v>
      </c>
      <c r="Y451" s="32">
        <f t="shared" si="144"/>
        <v>-1</v>
      </c>
      <c r="Z451" s="32"/>
      <c r="AA451" s="30">
        <f t="shared" si="145"/>
        <v>12.107930420490343</v>
      </c>
      <c r="AB451" s="28">
        <f t="shared" si="146"/>
        <v>0.52673207258228905</v>
      </c>
      <c r="AC451" s="28">
        <f t="shared" si="147"/>
        <v>0.10964912280701754</v>
      </c>
      <c r="AD451" s="29">
        <f t="shared" si="148"/>
        <v>419.35483870967738</v>
      </c>
      <c r="AE451" s="28">
        <f t="shared" si="149"/>
        <v>0.10964912280701754</v>
      </c>
      <c r="AF451" s="28">
        <f t="shared" si="150"/>
        <v>0.41708294977527149</v>
      </c>
      <c r="AG451" s="28">
        <f t="shared" si="151"/>
        <v>0</v>
      </c>
      <c r="AI451" s="31">
        <f t="shared" si="152"/>
        <v>0.95466761868392092</v>
      </c>
      <c r="AJ451" s="25"/>
      <c r="AK451" s="31"/>
      <c r="AM451" s="27"/>
    </row>
    <row r="452" spans="4:39" x14ac:dyDescent="0.25">
      <c r="D452" s="25">
        <f>E452*'Profit per cycles Model'!$I$113</f>
        <v>4430</v>
      </c>
      <c r="E452" s="25">
        <v>12.13532392822901</v>
      </c>
      <c r="F452" s="28">
        <f t="shared" si="133"/>
        <v>0.22573363431151242</v>
      </c>
      <c r="G452" s="28">
        <f>'Battery Pricing Model'!$C$17/D452</f>
        <v>0.22573363431151242</v>
      </c>
      <c r="H452" s="28">
        <f t="shared" si="134"/>
        <v>999</v>
      </c>
      <c r="I452" s="28"/>
      <c r="J452" s="34">
        <f>INDEX('Profit per cycles Model'!$I$149:$I$179, MATCH(TRUNC(E452, 0), 'Profit per cycles Model'!$H$149:$H$179, 0))</f>
        <v>0.52673207258228905</v>
      </c>
      <c r="K452" s="27">
        <f>AVERAGE($AB$10:AB452)</f>
        <v>0.44242323688707536</v>
      </c>
      <c r="L452" s="28">
        <f t="shared" si="135"/>
        <v>0.21668960257556294</v>
      </c>
      <c r="M452" s="28">
        <f t="shared" si="136"/>
        <v>0.21668960257556294</v>
      </c>
      <c r="N452" s="28">
        <f t="shared" si="137"/>
        <v>999</v>
      </c>
      <c r="O452" s="28"/>
      <c r="P452" s="29">
        <f t="shared" si="153"/>
        <v>0.44300000000000034</v>
      </c>
      <c r="Q452" s="33">
        <f t="shared" si="138"/>
        <v>6.7114093959731544</v>
      </c>
      <c r="R452" s="33">
        <f t="shared" si="139"/>
        <v>6.7114093959731544</v>
      </c>
      <c r="S452" s="33">
        <f t="shared" si="140"/>
        <v>-1</v>
      </c>
      <c r="T452" s="27"/>
      <c r="U452" s="28">
        <f t="shared" si="141"/>
        <v>0.10964912280701754</v>
      </c>
      <c r="V452" s="25">
        <f t="shared" si="142"/>
        <v>999</v>
      </c>
      <c r="W452" s="35">
        <f t="shared" si="154"/>
        <v>25</v>
      </c>
      <c r="X452" s="33">
        <f t="shared" si="143"/>
        <v>25</v>
      </c>
      <c r="Y452" s="32">
        <f t="shared" si="144"/>
        <v>-1</v>
      </c>
      <c r="Z452" s="32"/>
      <c r="AA452" s="30">
        <f t="shared" si="145"/>
        <v>12.13532392822901</v>
      </c>
      <c r="AB452" s="28">
        <f t="shared" si="146"/>
        <v>0.52673207258228905</v>
      </c>
      <c r="AC452" s="28">
        <f t="shared" si="147"/>
        <v>0.10964912280701754</v>
      </c>
      <c r="AD452" s="29">
        <f t="shared" si="148"/>
        <v>420.30360531309304</v>
      </c>
      <c r="AE452" s="28">
        <f t="shared" si="149"/>
        <v>0.10964912280701754</v>
      </c>
      <c r="AF452" s="28">
        <f t="shared" si="150"/>
        <v>0.41708294977527149</v>
      </c>
      <c r="AG452" s="28">
        <f t="shared" si="151"/>
        <v>0</v>
      </c>
      <c r="AI452" s="31">
        <f t="shared" si="152"/>
        <v>0.95993493940974384</v>
      </c>
      <c r="AJ452" s="25"/>
      <c r="AK452" s="31"/>
      <c r="AM452" s="27"/>
    </row>
    <row r="453" spans="4:39" x14ac:dyDescent="0.25">
      <c r="D453" s="25">
        <f>E453*'Profit per cycles Model'!$I$113</f>
        <v>4440</v>
      </c>
      <c r="E453" s="25">
        <v>12.162717435967675</v>
      </c>
      <c r="F453" s="28">
        <f t="shared" si="133"/>
        <v>0.22522522522522523</v>
      </c>
      <c r="G453" s="28">
        <f>'Battery Pricing Model'!$C$17/D453</f>
        <v>0.22522522522522523</v>
      </c>
      <c r="H453" s="28">
        <f t="shared" si="134"/>
        <v>999</v>
      </c>
      <c r="I453" s="28"/>
      <c r="J453" s="34">
        <f>INDEX('Profit per cycles Model'!$I$149:$I$179, MATCH(TRUNC(E453, 0), 'Profit per cycles Model'!$H$149:$H$179, 0))</f>
        <v>0.52673207258228905</v>
      </c>
      <c r="K453" s="27">
        <f>AVERAGE($AB$10:AB453)</f>
        <v>0.44261312165215466</v>
      </c>
      <c r="L453" s="28">
        <f t="shared" si="135"/>
        <v>0.21738789642692943</v>
      </c>
      <c r="M453" s="28">
        <f t="shared" si="136"/>
        <v>0.21738789642692943</v>
      </c>
      <c r="N453" s="28">
        <f t="shared" si="137"/>
        <v>999</v>
      </c>
      <c r="O453" s="28"/>
      <c r="P453" s="29">
        <f t="shared" si="153"/>
        <v>0.44400000000000034</v>
      </c>
      <c r="Q453" s="33">
        <f t="shared" si="138"/>
        <v>6.7114093959731544</v>
      </c>
      <c r="R453" s="33">
        <f t="shared" si="139"/>
        <v>6.7114093959731544</v>
      </c>
      <c r="S453" s="33">
        <f t="shared" si="140"/>
        <v>-1</v>
      </c>
      <c r="T453" s="27"/>
      <c r="U453" s="28">
        <f t="shared" si="141"/>
        <v>0.10964912280701754</v>
      </c>
      <c r="V453" s="25">
        <f t="shared" si="142"/>
        <v>999</v>
      </c>
      <c r="W453" s="35">
        <f t="shared" si="154"/>
        <v>25</v>
      </c>
      <c r="X453" s="33">
        <f t="shared" si="143"/>
        <v>25</v>
      </c>
      <c r="Y453" s="32">
        <f t="shared" si="144"/>
        <v>-1</v>
      </c>
      <c r="Z453" s="32"/>
      <c r="AA453" s="30">
        <f t="shared" si="145"/>
        <v>12.162717435967675</v>
      </c>
      <c r="AB453" s="28">
        <f t="shared" si="146"/>
        <v>0.52673207258228905</v>
      </c>
      <c r="AC453" s="28">
        <f t="shared" si="147"/>
        <v>0.10964912280701754</v>
      </c>
      <c r="AD453" s="29">
        <f t="shared" si="148"/>
        <v>421.25237191650854</v>
      </c>
      <c r="AE453" s="28">
        <f t="shared" si="149"/>
        <v>0.10964912280701754</v>
      </c>
      <c r="AF453" s="28">
        <f t="shared" si="150"/>
        <v>0.41708294977527149</v>
      </c>
      <c r="AG453" s="28">
        <f t="shared" si="151"/>
        <v>0</v>
      </c>
      <c r="AI453" s="31">
        <f t="shared" si="152"/>
        <v>0.96520226013556665</v>
      </c>
      <c r="AJ453" s="25"/>
      <c r="AK453" s="31"/>
      <c r="AM453" s="27"/>
    </row>
    <row r="454" spans="4:39" x14ac:dyDescent="0.25">
      <c r="D454" s="25">
        <f>E454*'Profit per cycles Model'!$I$113</f>
        <v>4450</v>
      </c>
      <c r="E454" s="25">
        <v>12.19011094370634</v>
      </c>
      <c r="F454" s="28">
        <f t="shared" si="133"/>
        <v>0.2247191011235955</v>
      </c>
      <c r="G454" s="28">
        <f>'Battery Pricing Model'!$C$17/D454</f>
        <v>0.2247191011235955</v>
      </c>
      <c r="H454" s="28">
        <f t="shared" si="134"/>
        <v>999</v>
      </c>
      <c r="I454" s="28"/>
      <c r="J454" s="34">
        <f>INDEX('Profit per cycles Model'!$I$149:$I$179, MATCH(TRUNC(E454, 0), 'Profit per cycles Model'!$H$149:$H$179, 0))</f>
        <v>0.52673207258228905</v>
      </c>
      <c r="K454" s="27">
        <f>AVERAGE($AB$10:AB454)</f>
        <v>0.44280215300255948</v>
      </c>
      <c r="L454" s="28">
        <f t="shared" si="135"/>
        <v>0.21808305187896398</v>
      </c>
      <c r="M454" s="28">
        <f t="shared" si="136"/>
        <v>0.21808305187896398</v>
      </c>
      <c r="N454" s="28">
        <f t="shared" si="137"/>
        <v>999</v>
      </c>
      <c r="O454" s="28"/>
      <c r="P454" s="29">
        <f t="shared" si="153"/>
        <v>0.44500000000000034</v>
      </c>
      <c r="Q454" s="33">
        <f t="shared" si="138"/>
        <v>6.7114093959731544</v>
      </c>
      <c r="R454" s="33">
        <f t="shared" si="139"/>
        <v>6.7114093959731544</v>
      </c>
      <c r="S454" s="33">
        <f t="shared" si="140"/>
        <v>-1</v>
      </c>
      <c r="T454" s="27"/>
      <c r="U454" s="28">
        <f t="shared" si="141"/>
        <v>0.10964912280701754</v>
      </c>
      <c r="V454" s="25">
        <f t="shared" si="142"/>
        <v>999</v>
      </c>
      <c r="W454" s="35">
        <f t="shared" si="154"/>
        <v>25</v>
      </c>
      <c r="X454" s="33">
        <f t="shared" si="143"/>
        <v>25</v>
      </c>
      <c r="Y454" s="32">
        <f t="shared" si="144"/>
        <v>-1</v>
      </c>
      <c r="Z454" s="32"/>
      <c r="AA454" s="30">
        <f t="shared" si="145"/>
        <v>12.19011094370634</v>
      </c>
      <c r="AB454" s="28">
        <f t="shared" si="146"/>
        <v>0.52673207258228905</v>
      </c>
      <c r="AC454" s="28">
        <f t="shared" si="147"/>
        <v>0.10964912280701754</v>
      </c>
      <c r="AD454" s="29">
        <f t="shared" si="148"/>
        <v>422.20113851992409</v>
      </c>
      <c r="AE454" s="28">
        <f t="shared" si="149"/>
        <v>0.10964912280701754</v>
      </c>
      <c r="AF454" s="28">
        <f t="shared" si="150"/>
        <v>0.41708294977527149</v>
      </c>
      <c r="AG454" s="28">
        <f t="shared" si="151"/>
        <v>0</v>
      </c>
      <c r="AI454" s="31">
        <f t="shared" si="152"/>
        <v>0.97046958086138979</v>
      </c>
      <c r="AJ454" s="25"/>
      <c r="AK454" s="31"/>
      <c r="AM454" s="27"/>
    </row>
    <row r="455" spans="4:39" x14ac:dyDescent="0.25">
      <c r="D455" s="25">
        <f>E455*'Profit per cycles Model'!$I$113</f>
        <v>4460</v>
      </c>
      <c r="E455" s="25">
        <v>12.217504451445008</v>
      </c>
      <c r="F455" s="28">
        <f t="shared" si="133"/>
        <v>0.22421524663677131</v>
      </c>
      <c r="G455" s="28">
        <f>'Battery Pricing Model'!$C$17/D455</f>
        <v>0.22421524663677131</v>
      </c>
      <c r="H455" s="28">
        <f t="shared" si="134"/>
        <v>999</v>
      </c>
      <c r="I455" s="28"/>
      <c r="J455" s="34">
        <f>INDEX('Profit per cycles Model'!$I$149:$I$179, MATCH(TRUNC(E455, 0), 'Profit per cycles Model'!$H$149:$H$179, 0))</f>
        <v>0.52673207258228905</v>
      </c>
      <c r="K455" s="27">
        <f>AVERAGE($AB$10:AB455)</f>
        <v>0.44299033667874721</v>
      </c>
      <c r="L455" s="28">
        <f t="shared" si="135"/>
        <v>0.2187750900419759</v>
      </c>
      <c r="M455" s="28">
        <f t="shared" si="136"/>
        <v>0.2187750900419759</v>
      </c>
      <c r="N455" s="28">
        <f t="shared" si="137"/>
        <v>999</v>
      </c>
      <c r="O455" s="28"/>
      <c r="P455" s="29">
        <f t="shared" si="153"/>
        <v>0.44600000000000034</v>
      </c>
      <c r="Q455" s="33">
        <f t="shared" si="138"/>
        <v>6.7114093959731544</v>
      </c>
      <c r="R455" s="33">
        <f t="shared" si="139"/>
        <v>6.7114093959731544</v>
      </c>
      <c r="S455" s="33">
        <f t="shared" si="140"/>
        <v>-1</v>
      </c>
      <c r="T455" s="27"/>
      <c r="U455" s="28">
        <f t="shared" si="141"/>
        <v>0.10964912280701754</v>
      </c>
      <c r="V455" s="25">
        <f t="shared" si="142"/>
        <v>999</v>
      </c>
      <c r="W455" s="35">
        <f t="shared" si="154"/>
        <v>25</v>
      </c>
      <c r="X455" s="33">
        <f t="shared" si="143"/>
        <v>25</v>
      </c>
      <c r="Y455" s="32">
        <f t="shared" si="144"/>
        <v>-1</v>
      </c>
      <c r="Z455" s="32"/>
      <c r="AA455" s="30">
        <f t="shared" si="145"/>
        <v>12.217504451445008</v>
      </c>
      <c r="AB455" s="28">
        <f t="shared" si="146"/>
        <v>0.52673207258228905</v>
      </c>
      <c r="AC455" s="28">
        <f t="shared" si="147"/>
        <v>0.10964912280701754</v>
      </c>
      <c r="AD455" s="29">
        <f t="shared" si="148"/>
        <v>423.14990512333969</v>
      </c>
      <c r="AE455" s="28">
        <f t="shared" si="149"/>
        <v>0.10964912280701754</v>
      </c>
      <c r="AF455" s="28">
        <f t="shared" si="150"/>
        <v>0.41708294977527149</v>
      </c>
      <c r="AG455" s="28">
        <f t="shared" si="151"/>
        <v>0</v>
      </c>
      <c r="AI455" s="31">
        <f t="shared" si="152"/>
        <v>0.97573690158721249</v>
      </c>
      <c r="AJ455" s="25"/>
      <c r="AK455" s="31"/>
      <c r="AM455" s="27"/>
    </row>
    <row r="456" spans="4:39" x14ac:dyDescent="0.25">
      <c r="D456" s="25">
        <f>E456*'Profit per cycles Model'!$I$113</f>
        <v>4470</v>
      </c>
      <c r="E456" s="25">
        <v>12.244897959183673</v>
      </c>
      <c r="F456" s="28">
        <f t="shared" si="133"/>
        <v>0.22371364653243847</v>
      </c>
      <c r="G456" s="28">
        <f>'Battery Pricing Model'!$C$17/D456</f>
        <v>0.22371364653243847</v>
      </c>
      <c r="H456" s="28">
        <f t="shared" si="134"/>
        <v>999</v>
      </c>
      <c r="I456" s="28"/>
      <c r="J456" s="34">
        <f>INDEX('Profit per cycles Model'!$I$149:$I$179, MATCH(TRUNC(E456, 0), 'Profit per cycles Model'!$H$149:$H$179, 0))</f>
        <v>0.52673207258228905</v>
      </c>
      <c r="K456" s="27">
        <f>AVERAGE($AB$10:AB456)</f>
        <v>0.44317767836980659</v>
      </c>
      <c r="L456" s="28">
        <f t="shared" si="135"/>
        <v>0.21946403183736812</v>
      </c>
      <c r="M456" s="28">
        <f t="shared" si="136"/>
        <v>0.21946403183736812</v>
      </c>
      <c r="N456" s="28">
        <f t="shared" si="137"/>
        <v>999</v>
      </c>
      <c r="O456" s="28"/>
      <c r="P456" s="29">
        <f t="shared" si="153"/>
        <v>0.44700000000000034</v>
      </c>
      <c r="Q456" s="33">
        <f t="shared" si="138"/>
        <v>6.7114093959731544</v>
      </c>
      <c r="R456" s="33">
        <f t="shared" si="139"/>
        <v>6.7114093959731544</v>
      </c>
      <c r="S456" s="33">
        <f t="shared" si="140"/>
        <v>-1</v>
      </c>
      <c r="T456" s="27"/>
      <c r="U456" s="28">
        <f t="shared" si="141"/>
        <v>0.10964912280701754</v>
      </c>
      <c r="V456" s="25">
        <f t="shared" si="142"/>
        <v>999</v>
      </c>
      <c r="W456" s="35">
        <f t="shared" si="154"/>
        <v>25</v>
      </c>
      <c r="X456" s="33">
        <f t="shared" si="143"/>
        <v>25</v>
      </c>
      <c r="Y456" s="32">
        <f t="shared" si="144"/>
        <v>-1</v>
      </c>
      <c r="Z456" s="32"/>
      <c r="AA456" s="30">
        <f t="shared" si="145"/>
        <v>12.244897959183673</v>
      </c>
      <c r="AB456" s="28">
        <f t="shared" si="146"/>
        <v>0.52673207258228905</v>
      </c>
      <c r="AC456" s="28">
        <f t="shared" si="147"/>
        <v>0.10964912280701754</v>
      </c>
      <c r="AD456" s="29">
        <f t="shared" si="148"/>
        <v>424.09867172675519</v>
      </c>
      <c r="AE456" s="28">
        <f t="shared" si="149"/>
        <v>0.10964912280701754</v>
      </c>
      <c r="AF456" s="28">
        <f t="shared" si="150"/>
        <v>0.41708294977527149</v>
      </c>
      <c r="AG456" s="28">
        <f t="shared" si="151"/>
        <v>0</v>
      </c>
      <c r="AI456" s="31">
        <f t="shared" si="152"/>
        <v>0.98100422231303552</v>
      </c>
      <c r="AJ456" s="25"/>
      <c r="AK456" s="31"/>
      <c r="AM456" s="27"/>
    </row>
    <row r="457" spans="4:39" x14ac:dyDescent="0.25">
      <c r="D457" s="25">
        <f>E457*'Profit per cycles Model'!$I$113</f>
        <v>4480</v>
      </c>
      <c r="E457" s="25">
        <v>12.272291466922338</v>
      </c>
      <c r="F457" s="28">
        <f t="shared" si="133"/>
        <v>0.22321428571428573</v>
      </c>
      <c r="G457" s="28">
        <f>'Battery Pricing Model'!$C$17/D457</f>
        <v>0.22321428571428573</v>
      </c>
      <c r="H457" s="28">
        <f t="shared" si="134"/>
        <v>999</v>
      </c>
      <c r="I457" s="28"/>
      <c r="J457" s="34">
        <f>INDEX('Profit per cycles Model'!$I$149:$I$179, MATCH(TRUNC(E457, 0), 'Profit per cycles Model'!$H$149:$H$179, 0))</f>
        <v>0.52673207258228905</v>
      </c>
      <c r="K457" s="27">
        <f>AVERAGE($AB$10:AB457)</f>
        <v>0.44336418371403091</v>
      </c>
      <c r="L457" s="28">
        <f t="shared" si="135"/>
        <v>0.22014989799974519</v>
      </c>
      <c r="M457" s="28">
        <f t="shared" si="136"/>
        <v>0.22014989799974519</v>
      </c>
      <c r="N457" s="28">
        <f t="shared" si="137"/>
        <v>999</v>
      </c>
      <c r="O457" s="28"/>
      <c r="P457" s="29">
        <f t="shared" si="153"/>
        <v>0.44800000000000034</v>
      </c>
      <c r="Q457" s="33">
        <f t="shared" si="138"/>
        <v>6.7114093959731544</v>
      </c>
      <c r="R457" s="33">
        <f t="shared" si="139"/>
        <v>6.7114093959731544</v>
      </c>
      <c r="S457" s="33">
        <f t="shared" si="140"/>
        <v>-1</v>
      </c>
      <c r="T457" s="27"/>
      <c r="U457" s="28">
        <f t="shared" si="141"/>
        <v>0.10964912280701754</v>
      </c>
      <c r="V457" s="25">
        <f t="shared" si="142"/>
        <v>999</v>
      </c>
      <c r="W457" s="35">
        <f t="shared" si="154"/>
        <v>25</v>
      </c>
      <c r="X457" s="33">
        <f t="shared" si="143"/>
        <v>25</v>
      </c>
      <c r="Y457" s="32">
        <f t="shared" si="144"/>
        <v>-1</v>
      </c>
      <c r="Z457" s="32"/>
      <c r="AA457" s="30">
        <f t="shared" si="145"/>
        <v>12.272291466922338</v>
      </c>
      <c r="AB457" s="28">
        <f t="shared" si="146"/>
        <v>0.52673207258228905</v>
      </c>
      <c r="AC457" s="28">
        <f t="shared" si="147"/>
        <v>0.10964912280701754</v>
      </c>
      <c r="AD457" s="29">
        <f t="shared" si="148"/>
        <v>425.04743833017073</v>
      </c>
      <c r="AE457" s="28">
        <f t="shared" si="149"/>
        <v>0.10964912280701754</v>
      </c>
      <c r="AF457" s="28">
        <f t="shared" si="150"/>
        <v>0.41708294977527149</v>
      </c>
      <c r="AG457" s="28">
        <f t="shared" si="151"/>
        <v>0</v>
      </c>
      <c r="AI457" s="31">
        <f t="shared" si="152"/>
        <v>0.98627154303885833</v>
      </c>
      <c r="AJ457" s="25"/>
      <c r="AK457" s="31"/>
      <c r="AM457" s="27"/>
    </row>
    <row r="458" spans="4:39" x14ac:dyDescent="0.25">
      <c r="D458" s="25">
        <f>E458*'Profit per cycles Model'!$I$113</f>
        <v>4490</v>
      </c>
      <c r="E458" s="25">
        <v>12.299684974661005</v>
      </c>
      <c r="F458" s="28">
        <f t="shared" ref="F458:F521" si="155">IF(OR($H$6="None", $H$6=0), G458, H458)</f>
        <v>0.22271714922048999</v>
      </c>
      <c r="G458" s="28">
        <f>'Battery Pricing Model'!$C$17/D458</f>
        <v>0.22271714922048999</v>
      </c>
      <c r="H458" s="28">
        <f t="shared" ref="H458:H521" si="156">IF(OR($H$6="None", $H$6=0), 999, $G458*(H$6))</f>
        <v>999</v>
      </c>
      <c r="I458" s="28"/>
      <c r="J458" s="34">
        <f>INDEX('Profit per cycles Model'!$I$149:$I$179, MATCH(TRUNC(E458, 0), 'Profit per cycles Model'!$H$149:$H$179, 0))</f>
        <v>0.52673207258228905</v>
      </c>
      <c r="K458" s="27">
        <f>AVERAGE($AB$10:AB458)</f>
        <v>0.44354985829948362</v>
      </c>
      <c r="L458" s="28">
        <f t="shared" ref="L458:L521" si="157">IF(K458-F458&lt;0, 999, K458-F458)</f>
        <v>0.22083270907899363</v>
      </c>
      <c r="M458" s="28">
        <f t="shared" ref="M458:M521" si="158">IF(K458-F458&lt;0, 999, K458-F458)</f>
        <v>0.22083270907899363</v>
      </c>
      <c r="N458" s="28">
        <f t="shared" ref="N458:N521" si="159">IF(K458-H458&lt;0, 999, K458-H458)</f>
        <v>999</v>
      </c>
      <c r="O458" s="28"/>
      <c r="P458" s="29">
        <f t="shared" si="153"/>
        <v>0.44900000000000034</v>
      </c>
      <c r="Q458" s="33">
        <f t="shared" ref="Q458:Q521" si="160">$L$5</f>
        <v>6.7114093959731544</v>
      </c>
      <c r="R458" s="33">
        <f t="shared" ref="R458:R521" si="161">$M$5</f>
        <v>6.7114093959731544</v>
      </c>
      <c r="S458" s="33">
        <f t="shared" ref="S458:S521" si="162">$N$5</f>
        <v>-1</v>
      </c>
      <c r="T458" s="27"/>
      <c r="U458" s="28">
        <f t="shared" ref="U458:U521" si="163">IF(ISNA(INDEX($F$10:$F$1063,MATCH(W458,$E$10:$E$1063,1))),-1,INDEX($F$10:$F$1063,MATCH(W458,$E$10:$E$1063,1)))</f>
        <v>0.10964912280701754</v>
      </c>
      <c r="V458" s="25">
        <f t="shared" ref="V458:V521" si="164">IF(ISNA(INDEX($H$10:$H$1063, MATCH(X458, $E$10:$E$1063,1))),-1,  INDEX($H$10:$H$1063, MATCH(X458, $E$10:$E$1063,1)))</f>
        <v>999</v>
      </c>
      <c r="W458" s="35">
        <f t="shared" si="154"/>
        <v>25</v>
      </c>
      <c r="X458" s="33">
        <f t="shared" ref="X458:X521" si="165">IF(PaybackCustom&gt;0, IF(PaybackCustom&lt;&gt;"Default", PaybackCustom, IF(PaybackStatus&lt;&gt;"",INDEX($Y$2:$Y$6,MATCH(PaybackStatus,$X$2:$X$6,FALSE)),-1)))</f>
        <v>25</v>
      </c>
      <c r="Y458" s="32">
        <f t="shared" ref="Y458:Y521" si="166">IF(PaybackStatus&lt;&gt;"",IF(PaybackStatus=$X$4,IF(X458&lt;=$Y$4,$Y$4,-1), -1), -1)</f>
        <v>-1</v>
      </c>
      <c r="Z458" s="32"/>
      <c r="AA458" s="30">
        <f t="shared" ref="AA458:AA521" si="167">E458</f>
        <v>12.299684974661005</v>
      </c>
      <c r="AB458" s="28">
        <f t="shared" ref="AB458:AB521" si="168">J458</f>
        <v>0.52673207258228905</v>
      </c>
      <c r="AC458" s="28">
        <f t="shared" ref="AC458:AC521" si="169">U458</f>
        <v>0.10964912280701754</v>
      </c>
      <c r="AD458" s="29">
        <f t="shared" ref="AD458:AD521" si="170">$AC$2*(AA458-$AC$3)/($AC$4-$AC$3)</f>
        <v>425.9962049335864</v>
      </c>
      <c r="AE458" s="28">
        <f t="shared" ref="AE458:AE521" si="171">MIN(AC458, AB458)</f>
        <v>0.10964912280701754</v>
      </c>
      <c r="AF458" s="28">
        <f t="shared" ref="AF458:AF521" si="172">IF(AND(AA458&lt;X458, AB458&gt;AC458), AB458-AC458, 0)</f>
        <v>0.41708294977527149</v>
      </c>
      <c r="AG458" s="28">
        <f t="shared" ref="AG458:AG521" si="173">IF(AND(AA458&lt;X458, AC458&gt;AB458), AC458-AB458, 0)</f>
        <v>0</v>
      </c>
      <c r="AI458" s="31">
        <f t="shared" ref="AI458:AI521" si="174">(K458-F458)/F458</f>
        <v>0.99153886376468137</v>
      </c>
      <c r="AJ458" s="25"/>
      <c r="AK458" s="31"/>
      <c r="AM458" s="27"/>
    </row>
    <row r="459" spans="4:39" x14ac:dyDescent="0.25">
      <c r="D459" s="25">
        <f>E459*'Profit per cycles Model'!$I$113</f>
        <v>4500</v>
      </c>
      <c r="E459" s="25">
        <v>12.327078482399671</v>
      </c>
      <c r="F459" s="28">
        <f t="shared" si="155"/>
        <v>0.22222222222222221</v>
      </c>
      <c r="G459" s="28">
        <f>'Battery Pricing Model'!$C$17/D459</f>
        <v>0.22222222222222221</v>
      </c>
      <c r="H459" s="28">
        <f t="shared" si="156"/>
        <v>999</v>
      </c>
      <c r="I459" s="28"/>
      <c r="J459" s="34">
        <f>INDEX('Profit per cycles Model'!$I$149:$I$179, MATCH(TRUNC(E459, 0), 'Profit per cycles Model'!$H$149:$H$179, 0))</f>
        <v>0.52673207258228905</v>
      </c>
      <c r="K459" s="27">
        <f>AVERAGE($AB$10:AB459)</f>
        <v>0.44373470766455653</v>
      </c>
      <c r="L459" s="28">
        <f t="shared" si="157"/>
        <v>0.22151248544233432</v>
      </c>
      <c r="M459" s="28">
        <f t="shared" si="158"/>
        <v>0.22151248544233432</v>
      </c>
      <c r="N459" s="28">
        <f t="shared" si="159"/>
        <v>999</v>
      </c>
      <c r="O459" s="28"/>
      <c r="P459" s="29">
        <f t="shared" ref="P459:P522" si="175">P458+0.001</f>
        <v>0.45000000000000034</v>
      </c>
      <c r="Q459" s="33">
        <f t="shared" si="160"/>
        <v>6.7114093959731544</v>
      </c>
      <c r="R459" s="33">
        <f t="shared" si="161"/>
        <v>6.7114093959731544</v>
      </c>
      <c r="S459" s="33">
        <f t="shared" si="162"/>
        <v>-1</v>
      </c>
      <c r="T459" s="27"/>
      <c r="U459" s="28">
        <f t="shared" si="163"/>
        <v>0.10964912280701754</v>
      </c>
      <c r="V459" s="25">
        <f t="shared" si="164"/>
        <v>999</v>
      </c>
      <c r="W459" s="35">
        <f t="shared" ref="W459:W522" si="176">IF( AND(X459&gt;0, Y459&gt;0), IF(X459&lt;Y459, X459, Y459),  IF(X459&gt;0, X459, IF(Y459&gt;0, Y459, -1)) )</f>
        <v>25</v>
      </c>
      <c r="X459" s="33">
        <f t="shared" si="165"/>
        <v>25</v>
      </c>
      <c r="Y459" s="32">
        <f t="shared" si="166"/>
        <v>-1</v>
      </c>
      <c r="Z459" s="32"/>
      <c r="AA459" s="30">
        <f t="shared" si="167"/>
        <v>12.327078482399671</v>
      </c>
      <c r="AB459" s="28">
        <f t="shared" si="168"/>
        <v>0.52673207258228905</v>
      </c>
      <c r="AC459" s="28">
        <f t="shared" si="169"/>
        <v>0.10964912280701754</v>
      </c>
      <c r="AD459" s="29">
        <f t="shared" si="170"/>
        <v>426.94497153700189</v>
      </c>
      <c r="AE459" s="28">
        <f t="shared" si="171"/>
        <v>0.10964912280701754</v>
      </c>
      <c r="AF459" s="28">
        <f t="shared" si="172"/>
        <v>0.41708294977527149</v>
      </c>
      <c r="AG459" s="28">
        <f t="shared" si="173"/>
        <v>0</v>
      </c>
      <c r="AI459" s="31">
        <f t="shared" si="174"/>
        <v>0.99680618449050451</v>
      </c>
      <c r="AJ459" s="25"/>
      <c r="AK459" s="31"/>
      <c r="AM459" s="27"/>
    </row>
    <row r="460" spans="4:39" x14ac:dyDescent="0.25">
      <c r="D460" s="25">
        <f>E460*'Profit per cycles Model'!$I$113</f>
        <v>4510</v>
      </c>
      <c r="E460" s="25">
        <v>12.354471990138336</v>
      </c>
      <c r="F460" s="28">
        <f t="shared" si="155"/>
        <v>0.22172949002217296</v>
      </c>
      <c r="G460" s="28">
        <f>'Battery Pricing Model'!$C$17/D460</f>
        <v>0.22172949002217296</v>
      </c>
      <c r="H460" s="28">
        <f t="shared" si="156"/>
        <v>999</v>
      </c>
      <c r="I460" s="28"/>
      <c r="J460" s="34">
        <f>INDEX('Profit per cycles Model'!$I$149:$I$179, MATCH(TRUNC(E460, 0), 'Profit per cycles Model'!$H$149:$H$179, 0))</f>
        <v>0.52673207258228905</v>
      </c>
      <c r="K460" s="27">
        <f>AVERAGE($AB$10:AB460)</f>
        <v>0.44391873729852044</v>
      </c>
      <c r="L460" s="28">
        <f t="shared" si="157"/>
        <v>0.22218924727634748</v>
      </c>
      <c r="M460" s="28">
        <f t="shared" si="158"/>
        <v>0.22218924727634748</v>
      </c>
      <c r="N460" s="28">
        <f t="shared" si="159"/>
        <v>999</v>
      </c>
      <c r="O460" s="28"/>
      <c r="P460" s="29">
        <f t="shared" si="175"/>
        <v>0.45100000000000035</v>
      </c>
      <c r="Q460" s="33">
        <f t="shared" si="160"/>
        <v>6.7114093959731544</v>
      </c>
      <c r="R460" s="33">
        <f t="shared" si="161"/>
        <v>6.7114093959731544</v>
      </c>
      <c r="S460" s="33">
        <f t="shared" si="162"/>
        <v>-1</v>
      </c>
      <c r="T460" s="27"/>
      <c r="U460" s="28">
        <f t="shared" si="163"/>
        <v>0.10964912280701754</v>
      </c>
      <c r="V460" s="25">
        <f t="shared" si="164"/>
        <v>999</v>
      </c>
      <c r="W460" s="35">
        <f t="shared" si="176"/>
        <v>25</v>
      </c>
      <c r="X460" s="33">
        <f t="shared" si="165"/>
        <v>25</v>
      </c>
      <c r="Y460" s="32">
        <f t="shared" si="166"/>
        <v>-1</v>
      </c>
      <c r="Z460" s="32"/>
      <c r="AA460" s="30">
        <f t="shared" si="167"/>
        <v>12.354471990138336</v>
      </c>
      <c r="AB460" s="28">
        <f t="shared" si="168"/>
        <v>0.52673207258228905</v>
      </c>
      <c r="AC460" s="28">
        <f t="shared" si="169"/>
        <v>0.10964912280701754</v>
      </c>
      <c r="AD460" s="29">
        <f t="shared" si="170"/>
        <v>427.89373814041744</v>
      </c>
      <c r="AE460" s="28">
        <f t="shared" si="171"/>
        <v>0.10964912280701754</v>
      </c>
      <c r="AF460" s="28">
        <f t="shared" si="172"/>
        <v>0.41708294977527149</v>
      </c>
      <c r="AG460" s="28">
        <f t="shared" si="173"/>
        <v>0</v>
      </c>
      <c r="AI460" s="31">
        <f t="shared" si="174"/>
        <v>1.002073505216327</v>
      </c>
      <c r="AJ460" s="25"/>
      <c r="AK460" s="31"/>
      <c r="AM460" s="27"/>
    </row>
    <row r="461" spans="4:39" x14ac:dyDescent="0.25">
      <c r="D461" s="25">
        <f>E461*'Profit per cycles Model'!$I$113</f>
        <v>4520</v>
      </c>
      <c r="E461" s="25">
        <v>12.381865497877003</v>
      </c>
      <c r="F461" s="28">
        <f t="shared" si="155"/>
        <v>0.22123893805309736</v>
      </c>
      <c r="G461" s="28">
        <f>'Battery Pricing Model'!$C$17/D461</f>
        <v>0.22123893805309736</v>
      </c>
      <c r="H461" s="28">
        <f t="shared" si="156"/>
        <v>999</v>
      </c>
      <c r="I461" s="28"/>
      <c r="J461" s="34">
        <f>INDEX('Profit per cycles Model'!$I$149:$I$179, MATCH(TRUNC(E461, 0), 'Profit per cycles Model'!$H$149:$H$179, 0))</f>
        <v>0.52673207258228905</v>
      </c>
      <c r="K461" s="27">
        <f>AVERAGE($AB$10:AB461)</f>
        <v>0.44410195264206859</v>
      </c>
      <c r="L461" s="28">
        <f t="shared" si="157"/>
        <v>0.22286301458897123</v>
      </c>
      <c r="M461" s="28">
        <f t="shared" si="158"/>
        <v>0.22286301458897123</v>
      </c>
      <c r="N461" s="28">
        <f t="shared" si="159"/>
        <v>999</v>
      </c>
      <c r="O461" s="28"/>
      <c r="P461" s="29">
        <f t="shared" si="175"/>
        <v>0.45200000000000035</v>
      </c>
      <c r="Q461" s="33">
        <f t="shared" si="160"/>
        <v>6.7114093959731544</v>
      </c>
      <c r="R461" s="33">
        <f t="shared" si="161"/>
        <v>6.7114093959731544</v>
      </c>
      <c r="S461" s="33">
        <f t="shared" si="162"/>
        <v>-1</v>
      </c>
      <c r="T461" s="27"/>
      <c r="U461" s="28">
        <f t="shared" si="163"/>
        <v>0.10964912280701754</v>
      </c>
      <c r="V461" s="25">
        <f t="shared" si="164"/>
        <v>999</v>
      </c>
      <c r="W461" s="35">
        <f t="shared" si="176"/>
        <v>25</v>
      </c>
      <c r="X461" s="33">
        <f t="shared" si="165"/>
        <v>25</v>
      </c>
      <c r="Y461" s="32">
        <f t="shared" si="166"/>
        <v>-1</v>
      </c>
      <c r="Z461" s="32"/>
      <c r="AA461" s="30">
        <f t="shared" si="167"/>
        <v>12.381865497877003</v>
      </c>
      <c r="AB461" s="28">
        <f t="shared" si="168"/>
        <v>0.52673207258228905</v>
      </c>
      <c r="AC461" s="28">
        <f t="shared" si="169"/>
        <v>0.10964912280701754</v>
      </c>
      <c r="AD461" s="29">
        <f t="shared" si="170"/>
        <v>428.84250474383305</v>
      </c>
      <c r="AE461" s="28">
        <f t="shared" si="171"/>
        <v>0.10964912280701754</v>
      </c>
      <c r="AF461" s="28">
        <f t="shared" si="172"/>
        <v>0.41708294977527149</v>
      </c>
      <c r="AG461" s="28">
        <f t="shared" si="173"/>
        <v>0</v>
      </c>
      <c r="AI461" s="31">
        <f t="shared" si="174"/>
        <v>1.0073408259421499</v>
      </c>
      <c r="AJ461" s="25"/>
      <c r="AK461" s="31"/>
      <c r="AM461" s="27"/>
    </row>
    <row r="462" spans="4:39" x14ac:dyDescent="0.25">
      <c r="D462" s="25">
        <f>E462*'Profit per cycles Model'!$I$113</f>
        <v>4530</v>
      </c>
      <c r="E462" s="25">
        <v>12.409259005615668</v>
      </c>
      <c r="F462" s="28">
        <f t="shared" si="155"/>
        <v>0.22075055187637968</v>
      </c>
      <c r="G462" s="28">
        <f>'Battery Pricing Model'!$C$17/D462</f>
        <v>0.22075055187637968</v>
      </c>
      <c r="H462" s="28">
        <f t="shared" si="156"/>
        <v>999</v>
      </c>
      <c r="I462" s="28"/>
      <c r="J462" s="34">
        <f>INDEX('Profit per cycles Model'!$I$149:$I$179, MATCH(TRUNC(E462, 0), 'Profit per cycles Model'!$H$149:$H$179, 0))</f>
        <v>0.52673207258228905</v>
      </c>
      <c r="K462" s="27">
        <f>AVERAGE($AB$10:AB462)</f>
        <v>0.44428435908785274</v>
      </c>
      <c r="L462" s="28">
        <f t="shared" si="157"/>
        <v>0.22353380721147306</v>
      </c>
      <c r="M462" s="28">
        <f t="shared" si="158"/>
        <v>0.22353380721147306</v>
      </c>
      <c r="N462" s="28">
        <f t="shared" si="159"/>
        <v>999</v>
      </c>
      <c r="O462" s="28"/>
      <c r="P462" s="29">
        <f t="shared" si="175"/>
        <v>0.45300000000000035</v>
      </c>
      <c r="Q462" s="33">
        <f t="shared" si="160"/>
        <v>6.7114093959731544</v>
      </c>
      <c r="R462" s="33">
        <f t="shared" si="161"/>
        <v>6.7114093959731544</v>
      </c>
      <c r="S462" s="33">
        <f t="shared" si="162"/>
        <v>-1</v>
      </c>
      <c r="T462" s="27"/>
      <c r="U462" s="28">
        <f t="shared" si="163"/>
        <v>0.10964912280701754</v>
      </c>
      <c r="V462" s="25">
        <f t="shared" si="164"/>
        <v>999</v>
      </c>
      <c r="W462" s="35">
        <f t="shared" si="176"/>
        <v>25</v>
      </c>
      <c r="X462" s="33">
        <f t="shared" si="165"/>
        <v>25</v>
      </c>
      <c r="Y462" s="32">
        <f t="shared" si="166"/>
        <v>-1</v>
      </c>
      <c r="Z462" s="32"/>
      <c r="AA462" s="30">
        <f t="shared" si="167"/>
        <v>12.409259005615668</v>
      </c>
      <c r="AB462" s="28">
        <f t="shared" si="168"/>
        <v>0.52673207258228905</v>
      </c>
      <c r="AC462" s="28">
        <f t="shared" si="169"/>
        <v>0.10964912280701754</v>
      </c>
      <c r="AD462" s="29">
        <f t="shared" si="170"/>
        <v>429.79127134724854</v>
      </c>
      <c r="AE462" s="28">
        <f t="shared" si="171"/>
        <v>0.10964912280701754</v>
      </c>
      <c r="AF462" s="28">
        <f t="shared" si="172"/>
        <v>0.41708294977527149</v>
      </c>
      <c r="AG462" s="28">
        <f t="shared" si="173"/>
        <v>0</v>
      </c>
      <c r="AI462" s="31">
        <f t="shared" si="174"/>
        <v>1.0126081466679731</v>
      </c>
      <c r="AJ462" s="25"/>
      <c r="AK462" s="31"/>
      <c r="AM462" s="27"/>
    </row>
    <row r="463" spans="4:39" x14ac:dyDescent="0.25">
      <c r="D463" s="25">
        <f>E463*'Profit per cycles Model'!$I$113</f>
        <v>4540</v>
      </c>
      <c r="E463" s="25">
        <v>12.436652513354334</v>
      </c>
      <c r="F463" s="28">
        <f t="shared" si="155"/>
        <v>0.22026431718061673</v>
      </c>
      <c r="G463" s="28">
        <f>'Battery Pricing Model'!$C$17/D463</f>
        <v>0.22026431718061673</v>
      </c>
      <c r="H463" s="28">
        <f t="shared" si="156"/>
        <v>999</v>
      </c>
      <c r="I463" s="28"/>
      <c r="J463" s="34">
        <f>INDEX('Profit per cycles Model'!$I$149:$I$179, MATCH(TRUNC(E463, 0), 'Profit per cycles Model'!$H$149:$H$179, 0))</f>
        <v>0.52673207258228905</v>
      </c>
      <c r="K463" s="27">
        <f>AVERAGE($AB$10:AB463)</f>
        <v>0.44446596198101229</v>
      </c>
      <c r="L463" s="28">
        <f t="shared" si="157"/>
        <v>0.22420164480039556</v>
      </c>
      <c r="M463" s="28">
        <f t="shared" si="158"/>
        <v>0.22420164480039556</v>
      </c>
      <c r="N463" s="28">
        <f t="shared" si="159"/>
        <v>999</v>
      </c>
      <c r="O463" s="28"/>
      <c r="P463" s="29">
        <f t="shared" si="175"/>
        <v>0.45400000000000035</v>
      </c>
      <c r="Q463" s="33">
        <f t="shared" si="160"/>
        <v>6.7114093959731544</v>
      </c>
      <c r="R463" s="33">
        <f t="shared" si="161"/>
        <v>6.7114093959731544</v>
      </c>
      <c r="S463" s="33">
        <f t="shared" si="162"/>
        <v>-1</v>
      </c>
      <c r="T463" s="27"/>
      <c r="U463" s="28">
        <f t="shared" si="163"/>
        <v>0.10964912280701754</v>
      </c>
      <c r="V463" s="25">
        <f t="shared" si="164"/>
        <v>999</v>
      </c>
      <c r="W463" s="35">
        <f t="shared" si="176"/>
        <v>25</v>
      </c>
      <c r="X463" s="33">
        <f t="shared" si="165"/>
        <v>25</v>
      </c>
      <c r="Y463" s="32">
        <f t="shared" si="166"/>
        <v>-1</v>
      </c>
      <c r="Z463" s="32"/>
      <c r="AA463" s="30">
        <f t="shared" si="167"/>
        <v>12.436652513354334</v>
      </c>
      <c r="AB463" s="28">
        <f t="shared" si="168"/>
        <v>0.52673207258228905</v>
      </c>
      <c r="AC463" s="28">
        <f t="shared" si="169"/>
        <v>0.10964912280701754</v>
      </c>
      <c r="AD463" s="29">
        <f t="shared" si="170"/>
        <v>430.74003795066415</v>
      </c>
      <c r="AE463" s="28">
        <f t="shared" si="171"/>
        <v>0.10964912280701754</v>
      </c>
      <c r="AF463" s="28">
        <f t="shared" si="172"/>
        <v>0.41708294977527149</v>
      </c>
      <c r="AG463" s="28">
        <f t="shared" si="173"/>
        <v>0</v>
      </c>
      <c r="AI463" s="31">
        <f t="shared" si="174"/>
        <v>1.017875467393796</v>
      </c>
      <c r="AJ463" s="25"/>
      <c r="AK463" s="31"/>
      <c r="AM463" s="27"/>
    </row>
    <row r="464" spans="4:39" x14ac:dyDescent="0.25">
      <c r="D464" s="25">
        <f>E464*'Profit per cycles Model'!$I$113</f>
        <v>4550</v>
      </c>
      <c r="E464" s="25">
        <v>12.464046021093001</v>
      </c>
      <c r="F464" s="28">
        <f t="shared" si="155"/>
        <v>0.21978021978021978</v>
      </c>
      <c r="G464" s="28">
        <f>'Battery Pricing Model'!$C$17/D464</f>
        <v>0.21978021978021978</v>
      </c>
      <c r="H464" s="28">
        <f t="shared" si="156"/>
        <v>999</v>
      </c>
      <c r="I464" s="28"/>
      <c r="J464" s="34">
        <f>INDEX('Profit per cycles Model'!$I$149:$I$179, MATCH(TRUNC(E464, 0), 'Profit per cycles Model'!$H$149:$H$179, 0))</f>
        <v>0.52673207258228905</v>
      </c>
      <c r="K464" s="27">
        <f>AVERAGE($AB$10:AB464)</f>
        <v>0.44464676661969643</v>
      </c>
      <c r="L464" s="28">
        <f t="shared" si="157"/>
        <v>0.22486654683947666</v>
      </c>
      <c r="M464" s="28">
        <f t="shared" si="158"/>
        <v>0.22486654683947666</v>
      </c>
      <c r="N464" s="28">
        <f t="shared" si="159"/>
        <v>999</v>
      </c>
      <c r="O464" s="28"/>
      <c r="P464" s="29">
        <f t="shared" si="175"/>
        <v>0.45500000000000035</v>
      </c>
      <c r="Q464" s="33">
        <f t="shared" si="160"/>
        <v>6.7114093959731544</v>
      </c>
      <c r="R464" s="33">
        <f t="shared" si="161"/>
        <v>6.7114093959731544</v>
      </c>
      <c r="S464" s="33">
        <f t="shared" si="162"/>
        <v>-1</v>
      </c>
      <c r="T464" s="27"/>
      <c r="U464" s="28">
        <f t="shared" si="163"/>
        <v>0.10964912280701754</v>
      </c>
      <c r="V464" s="25">
        <f t="shared" si="164"/>
        <v>999</v>
      </c>
      <c r="W464" s="35">
        <f t="shared" si="176"/>
        <v>25</v>
      </c>
      <c r="X464" s="33">
        <f t="shared" si="165"/>
        <v>25</v>
      </c>
      <c r="Y464" s="32">
        <f t="shared" si="166"/>
        <v>-1</v>
      </c>
      <c r="Z464" s="32"/>
      <c r="AA464" s="30">
        <f t="shared" si="167"/>
        <v>12.464046021093001</v>
      </c>
      <c r="AB464" s="28">
        <f t="shared" si="168"/>
        <v>0.52673207258228905</v>
      </c>
      <c r="AC464" s="28">
        <f t="shared" si="169"/>
        <v>0.10964912280701754</v>
      </c>
      <c r="AD464" s="29">
        <f t="shared" si="170"/>
        <v>431.68880455407975</v>
      </c>
      <c r="AE464" s="28">
        <f t="shared" si="171"/>
        <v>0.10964912280701754</v>
      </c>
      <c r="AF464" s="28">
        <f t="shared" si="172"/>
        <v>0.41708294977527149</v>
      </c>
      <c r="AG464" s="28">
        <f t="shared" si="173"/>
        <v>0</v>
      </c>
      <c r="AI464" s="31">
        <f t="shared" si="174"/>
        <v>1.0231427881196189</v>
      </c>
      <c r="AJ464" s="25"/>
      <c r="AK464" s="31"/>
      <c r="AM464" s="27"/>
    </row>
    <row r="465" spans="4:39" x14ac:dyDescent="0.25">
      <c r="D465" s="25">
        <f>E465*'Profit per cycles Model'!$I$113</f>
        <v>4560</v>
      </c>
      <c r="E465" s="25">
        <v>12.491439528831666</v>
      </c>
      <c r="F465" s="28">
        <f t="shared" si="155"/>
        <v>0.21929824561403508</v>
      </c>
      <c r="G465" s="28">
        <f>'Battery Pricing Model'!$C$17/D465</f>
        <v>0.21929824561403508</v>
      </c>
      <c r="H465" s="28">
        <f t="shared" si="156"/>
        <v>999</v>
      </c>
      <c r="I465" s="28"/>
      <c r="J465" s="34">
        <f>INDEX('Profit per cycles Model'!$I$149:$I$179, MATCH(TRUNC(E465, 0), 'Profit per cycles Model'!$H$149:$H$179, 0))</f>
        <v>0.52673207258228905</v>
      </c>
      <c r="K465" s="27">
        <f>AVERAGE($AB$10:AB465)</f>
        <v>0.44482677825557931</v>
      </c>
      <c r="L465" s="28">
        <f t="shared" si="157"/>
        <v>0.22552853264154424</v>
      </c>
      <c r="M465" s="28">
        <f t="shared" si="158"/>
        <v>0.22552853264154424</v>
      </c>
      <c r="N465" s="28">
        <f t="shared" si="159"/>
        <v>999</v>
      </c>
      <c r="O465" s="28"/>
      <c r="P465" s="29">
        <f t="shared" si="175"/>
        <v>0.45600000000000035</v>
      </c>
      <c r="Q465" s="33">
        <f t="shared" si="160"/>
        <v>6.7114093959731544</v>
      </c>
      <c r="R465" s="33">
        <f t="shared" si="161"/>
        <v>6.7114093959731544</v>
      </c>
      <c r="S465" s="33">
        <f t="shared" si="162"/>
        <v>-1</v>
      </c>
      <c r="T465" s="27"/>
      <c r="U465" s="28">
        <f t="shared" si="163"/>
        <v>0.10964912280701754</v>
      </c>
      <c r="V465" s="25">
        <f t="shared" si="164"/>
        <v>999</v>
      </c>
      <c r="W465" s="35">
        <f t="shared" si="176"/>
        <v>25</v>
      </c>
      <c r="X465" s="33">
        <f t="shared" si="165"/>
        <v>25</v>
      </c>
      <c r="Y465" s="32">
        <f t="shared" si="166"/>
        <v>-1</v>
      </c>
      <c r="Z465" s="32"/>
      <c r="AA465" s="30">
        <f t="shared" si="167"/>
        <v>12.491439528831666</v>
      </c>
      <c r="AB465" s="28">
        <f t="shared" si="168"/>
        <v>0.52673207258228905</v>
      </c>
      <c r="AC465" s="28">
        <f t="shared" si="169"/>
        <v>0.10964912280701754</v>
      </c>
      <c r="AD465" s="29">
        <f t="shared" si="170"/>
        <v>432.63757115749524</v>
      </c>
      <c r="AE465" s="28">
        <f t="shared" si="171"/>
        <v>0.10964912280701754</v>
      </c>
      <c r="AF465" s="28">
        <f t="shared" si="172"/>
        <v>0.41708294977527149</v>
      </c>
      <c r="AG465" s="28">
        <f t="shared" si="173"/>
        <v>0</v>
      </c>
      <c r="AI465" s="31">
        <f t="shared" si="174"/>
        <v>1.0284101088454418</v>
      </c>
      <c r="AJ465" s="25"/>
      <c r="AK465" s="31"/>
      <c r="AM465" s="27"/>
    </row>
    <row r="466" spans="4:39" x14ac:dyDescent="0.25">
      <c r="D466" s="25">
        <f>E466*'Profit per cycles Model'!$I$113</f>
        <v>4570</v>
      </c>
      <c r="E466" s="25">
        <v>12.518833036570333</v>
      </c>
      <c r="F466" s="28">
        <f t="shared" si="155"/>
        <v>0.21881838074398249</v>
      </c>
      <c r="G466" s="28">
        <f>'Battery Pricing Model'!$C$17/D466</f>
        <v>0.21881838074398249</v>
      </c>
      <c r="H466" s="28">
        <f t="shared" si="156"/>
        <v>999</v>
      </c>
      <c r="I466" s="28"/>
      <c r="J466" s="34">
        <f>INDEX('Profit per cycles Model'!$I$149:$I$179, MATCH(TRUNC(E466, 0), 'Profit per cycles Model'!$H$149:$H$179, 0))</f>
        <v>0.52673207258228905</v>
      </c>
      <c r="K466" s="27">
        <f>AVERAGE($AB$10:AB466)</f>
        <v>0.44500600209436864</v>
      </c>
      <c r="L466" s="28">
        <f t="shared" si="157"/>
        <v>0.22618762135038614</v>
      </c>
      <c r="M466" s="28">
        <f t="shared" si="158"/>
        <v>0.22618762135038614</v>
      </c>
      <c r="N466" s="28">
        <f t="shared" si="159"/>
        <v>999</v>
      </c>
      <c r="O466" s="28"/>
      <c r="P466" s="29">
        <f t="shared" si="175"/>
        <v>0.45700000000000035</v>
      </c>
      <c r="Q466" s="33">
        <f t="shared" si="160"/>
        <v>6.7114093959731544</v>
      </c>
      <c r="R466" s="33">
        <f t="shared" si="161"/>
        <v>6.7114093959731544</v>
      </c>
      <c r="S466" s="33">
        <f t="shared" si="162"/>
        <v>-1</v>
      </c>
      <c r="T466" s="27"/>
      <c r="U466" s="28">
        <f t="shared" si="163"/>
        <v>0.10964912280701754</v>
      </c>
      <c r="V466" s="25">
        <f t="shared" si="164"/>
        <v>999</v>
      </c>
      <c r="W466" s="35">
        <f t="shared" si="176"/>
        <v>25</v>
      </c>
      <c r="X466" s="33">
        <f t="shared" si="165"/>
        <v>25</v>
      </c>
      <c r="Y466" s="32">
        <f t="shared" si="166"/>
        <v>-1</v>
      </c>
      <c r="Z466" s="32"/>
      <c r="AA466" s="30">
        <f t="shared" si="167"/>
        <v>12.518833036570333</v>
      </c>
      <c r="AB466" s="28">
        <f t="shared" si="168"/>
        <v>0.52673207258228905</v>
      </c>
      <c r="AC466" s="28">
        <f t="shared" si="169"/>
        <v>0.10964912280701754</v>
      </c>
      <c r="AD466" s="29">
        <f t="shared" si="170"/>
        <v>433.58633776091085</v>
      </c>
      <c r="AE466" s="28">
        <f t="shared" si="171"/>
        <v>0.10964912280701754</v>
      </c>
      <c r="AF466" s="28">
        <f t="shared" si="172"/>
        <v>0.41708294977527149</v>
      </c>
      <c r="AG466" s="28">
        <f t="shared" si="173"/>
        <v>0</v>
      </c>
      <c r="AI466" s="31">
        <f t="shared" si="174"/>
        <v>1.0336774295712647</v>
      </c>
      <c r="AJ466" s="25"/>
      <c r="AK466" s="31"/>
      <c r="AM466" s="27"/>
    </row>
    <row r="467" spans="4:39" x14ac:dyDescent="0.25">
      <c r="D467" s="25">
        <f>E467*'Profit per cycles Model'!$I$113</f>
        <v>4580</v>
      </c>
      <c r="E467" s="25">
        <v>12.546226544308999</v>
      </c>
      <c r="F467" s="28">
        <f t="shared" si="155"/>
        <v>0.2183406113537118</v>
      </c>
      <c r="G467" s="28">
        <f>'Battery Pricing Model'!$C$17/D467</f>
        <v>0.2183406113537118</v>
      </c>
      <c r="H467" s="28">
        <f t="shared" si="156"/>
        <v>999</v>
      </c>
      <c r="I467" s="28"/>
      <c r="J467" s="34">
        <f>INDEX('Profit per cycles Model'!$I$149:$I$179, MATCH(TRUNC(E467, 0), 'Profit per cycles Model'!$H$149:$H$179, 0))</f>
        <v>0.52673207258228905</v>
      </c>
      <c r="K467" s="27">
        <f>AVERAGE($AB$10:AB467)</f>
        <v>0.44518444329630735</v>
      </c>
      <c r="L467" s="28">
        <f t="shared" si="157"/>
        <v>0.22684383194259555</v>
      </c>
      <c r="M467" s="28">
        <f t="shared" si="158"/>
        <v>0.22684383194259555</v>
      </c>
      <c r="N467" s="28">
        <f t="shared" si="159"/>
        <v>999</v>
      </c>
      <c r="O467" s="28"/>
      <c r="P467" s="29">
        <f t="shared" si="175"/>
        <v>0.45800000000000035</v>
      </c>
      <c r="Q467" s="33">
        <f t="shared" si="160"/>
        <v>6.7114093959731544</v>
      </c>
      <c r="R467" s="33">
        <f t="shared" si="161"/>
        <v>6.7114093959731544</v>
      </c>
      <c r="S467" s="33">
        <f t="shared" si="162"/>
        <v>-1</v>
      </c>
      <c r="T467" s="27"/>
      <c r="U467" s="28">
        <f t="shared" si="163"/>
        <v>0.10964912280701754</v>
      </c>
      <c r="V467" s="25">
        <f t="shared" si="164"/>
        <v>999</v>
      </c>
      <c r="W467" s="35">
        <f t="shared" si="176"/>
        <v>25</v>
      </c>
      <c r="X467" s="33">
        <f t="shared" si="165"/>
        <v>25</v>
      </c>
      <c r="Y467" s="32">
        <f t="shared" si="166"/>
        <v>-1</v>
      </c>
      <c r="Z467" s="32"/>
      <c r="AA467" s="30">
        <f t="shared" si="167"/>
        <v>12.546226544308999</v>
      </c>
      <c r="AB467" s="28">
        <f t="shared" si="168"/>
        <v>0.52673207258228905</v>
      </c>
      <c r="AC467" s="28">
        <f t="shared" si="169"/>
        <v>0.10964912280701754</v>
      </c>
      <c r="AD467" s="29">
        <f t="shared" si="170"/>
        <v>434.5351043643264</v>
      </c>
      <c r="AE467" s="28">
        <f t="shared" si="171"/>
        <v>0.10964912280701754</v>
      </c>
      <c r="AF467" s="28">
        <f t="shared" si="172"/>
        <v>0.41708294977527149</v>
      </c>
      <c r="AG467" s="28">
        <f t="shared" si="173"/>
        <v>0</v>
      </c>
      <c r="AI467" s="31">
        <f t="shared" si="174"/>
        <v>1.0389447502970877</v>
      </c>
      <c r="AJ467" s="25"/>
      <c r="AK467" s="31"/>
      <c r="AM467" s="27"/>
    </row>
    <row r="468" spans="4:39" x14ac:dyDescent="0.25">
      <c r="D468" s="25">
        <f>E468*'Profit per cycles Model'!$I$113</f>
        <v>4590</v>
      </c>
      <c r="E468" s="25">
        <v>12.573620052047664</v>
      </c>
      <c r="F468" s="28">
        <f t="shared" si="155"/>
        <v>0.2178649237472767</v>
      </c>
      <c r="G468" s="28">
        <f>'Battery Pricing Model'!$C$17/D468</f>
        <v>0.2178649237472767</v>
      </c>
      <c r="H468" s="28">
        <f t="shared" si="156"/>
        <v>999</v>
      </c>
      <c r="I468" s="28"/>
      <c r="J468" s="34">
        <f>INDEX('Profit per cycles Model'!$I$149:$I$179, MATCH(TRUNC(E468, 0), 'Profit per cycles Model'!$H$149:$H$179, 0))</f>
        <v>0.52673207258228905</v>
      </c>
      <c r="K468" s="27">
        <f>AVERAGE($AB$10:AB468)</f>
        <v>0.44536210697666895</v>
      </c>
      <c r="L468" s="28">
        <f t="shared" si="157"/>
        <v>0.22749718322939225</v>
      </c>
      <c r="M468" s="28">
        <f t="shared" si="158"/>
        <v>0.22749718322939225</v>
      </c>
      <c r="N468" s="28">
        <f t="shared" si="159"/>
        <v>999</v>
      </c>
      <c r="O468" s="28"/>
      <c r="P468" s="29">
        <f t="shared" si="175"/>
        <v>0.45900000000000035</v>
      </c>
      <c r="Q468" s="33">
        <f t="shared" si="160"/>
        <v>6.7114093959731544</v>
      </c>
      <c r="R468" s="33">
        <f t="shared" si="161"/>
        <v>6.7114093959731544</v>
      </c>
      <c r="S468" s="33">
        <f t="shared" si="162"/>
        <v>-1</v>
      </c>
      <c r="T468" s="27"/>
      <c r="U468" s="28">
        <f t="shared" si="163"/>
        <v>0.10964912280701754</v>
      </c>
      <c r="V468" s="25">
        <f t="shared" si="164"/>
        <v>999</v>
      </c>
      <c r="W468" s="35">
        <f t="shared" si="176"/>
        <v>25</v>
      </c>
      <c r="X468" s="33">
        <f t="shared" si="165"/>
        <v>25</v>
      </c>
      <c r="Y468" s="32">
        <f t="shared" si="166"/>
        <v>-1</v>
      </c>
      <c r="Z468" s="32"/>
      <c r="AA468" s="30">
        <f t="shared" si="167"/>
        <v>12.573620052047664</v>
      </c>
      <c r="AB468" s="28">
        <f t="shared" si="168"/>
        <v>0.52673207258228905</v>
      </c>
      <c r="AC468" s="28">
        <f t="shared" si="169"/>
        <v>0.10964912280701754</v>
      </c>
      <c r="AD468" s="29">
        <f t="shared" si="170"/>
        <v>435.48387096774189</v>
      </c>
      <c r="AE468" s="28">
        <f t="shared" si="171"/>
        <v>0.10964912280701754</v>
      </c>
      <c r="AF468" s="28">
        <f t="shared" si="172"/>
        <v>0.41708294977527149</v>
      </c>
      <c r="AG468" s="28">
        <f t="shared" si="173"/>
        <v>0</v>
      </c>
      <c r="AI468" s="31">
        <f t="shared" si="174"/>
        <v>1.0442120710229104</v>
      </c>
      <c r="AJ468" s="25"/>
      <c r="AK468" s="31"/>
      <c r="AM468" s="27"/>
    </row>
    <row r="469" spans="4:39" x14ac:dyDescent="0.25">
      <c r="D469" s="25">
        <f>E469*'Profit per cycles Model'!$I$113</f>
        <v>4600</v>
      </c>
      <c r="E469" s="25">
        <v>12.601013559786331</v>
      </c>
      <c r="F469" s="28">
        <f t="shared" si="155"/>
        <v>0.21739130434782608</v>
      </c>
      <c r="G469" s="28">
        <f>'Battery Pricing Model'!$C$17/D469</f>
        <v>0.21739130434782608</v>
      </c>
      <c r="H469" s="28">
        <f t="shared" si="156"/>
        <v>999</v>
      </c>
      <c r="I469" s="28"/>
      <c r="J469" s="34">
        <f>INDEX('Profit per cycles Model'!$I$149:$I$179, MATCH(TRUNC(E469, 0), 'Profit per cycles Model'!$H$149:$H$179, 0))</f>
        <v>0.52673207258228905</v>
      </c>
      <c r="K469" s="27">
        <f>AVERAGE($AB$10:AB469)</f>
        <v>0.44553899820624637</v>
      </c>
      <c r="L469" s="28">
        <f t="shared" si="157"/>
        <v>0.22814769385842029</v>
      </c>
      <c r="M469" s="28">
        <f t="shared" si="158"/>
        <v>0.22814769385842029</v>
      </c>
      <c r="N469" s="28">
        <f t="shared" si="159"/>
        <v>999</v>
      </c>
      <c r="O469" s="28"/>
      <c r="P469" s="29">
        <f t="shared" si="175"/>
        <v>0.46000000000000035</v>
      </c>
      <c r="Q469" s="33">
        <f t="shared" si="160"/>
        <v>6.7114093959731544</v>
      </c>
      <c r="R469" s="33">
        <f t="shared" si="161"/>
        <v>6.7114093959731544</v>
      </c>
      <c r="S469" s="33">
        <f t="shared" si="162"/>
        <v>-1</v>
      </c>
      <c r="T469" s="27"/>
      <c r="U469" s="28">
        <f t="shared" si="163"/>
        <v>0.10964912280701754</v>
      </c>
      <c r="V469" s="25">
        <f t="shared" si="164"/>
        <v>999</v>
      </c>
      <c r="W469" s="35">
        <f t="shared" si="176"/>
        <v>25</v>
      </c>
      <c r="X469" s="33">
        <f t="shared" si="165"/>
        <v>25</v>
      </c>
      <c r="Y469" s="32">
        <f t="shared" si="166"/>
        <v>-1</v>
      </c>
      <c r="Z469" s="32"/>
      <c r="AA469" s="30">
        <f t="shared" si="167"/>
        <v>12.601013559786331</v>
      </c>
      <c r="AB469" s="28">
        <f t="shared" si="168"/>
        <v>0.52673207258228905</v>
      </c>
      <c r="AC469" s="28">
        <f t="shared" si="169"/>
        <v>0.10964912280701754</v>
      </c>
      <c r="AD469" s="29">
        <f t="shared" si="170"/>
        <v>436.43263757115756</v>
      </c>
      <c r="AE469" s="28">
        <f t="shared" si="171"/>
        <v>0.10964912280701754</v>
      </c>
      <c r="AF469" s="28">
        <f t="shared" si="172"/>
        <v>0.41708294977527149</v>
      </c>
      <c r="AG469" s="28">
        <f t="shared" si="173"/>
        <v>0</v>
      </c>
      <c r="AI469" s="31">
        <f t="shared" si="174"/>
        <v>1.0494793917487333</v>
      </c>
      <c r="AJ469" s="25"/>
      <c r="AK469" s="31"/>
      <c r="AM469" s="27"/>
    </row>
    <row r="470" spans="4:39" x14ac:dyDescent="0.25">
      <c r="D470" s="25">
        <f>E470*'Profit per cycles Model'!$I$113</f>
        <v>4610</v>
      </c>
      <c r="E470" s="25">
        <v>12.628407067524996</v>
      </c>
      <c r="F470" s="28">
        <f t="shared" si="155"/>
        <v>0.21691973969631237</v>
      </c>
      <c r="G470" s="28">
        <f>'Battery Pricing Model'!$C$17/D470</f>
        <v>0.21691973969631237</v>
      </c>
      <c r="H470" s="28">
        <f t="shared" si="156"/>
        <v>999</v>
      </c>
      <c r="I470" s="28"/>
      <c r="J470" s="34">
        <f>INDEX('Profit per cycles Model'!$I$149:$I$179, MATCH(TRUNC(E470, 0), 'Profit per cycles Model'!$H$149:$H$179, 0))</f>
        <v>0.52673207258228905</v>
      </c>
      <c r="K470" s="27">
        <f>AVERAGE($AB$10:AB470)</f>
        <v>0.44571512201183433</v>
      </c>
      <c r="L470" s="28">
        <f t="shared" si="157"/>
        <v>0.22879538231552196</v>
      </c>
      <c r="M470" s="28">
        <f t="shared" si="158"/>
        <v>0.22879538231552196</v>
      </c>
      <c r="N470" s="28">
        <f t="shared" si="159"/>
        <v>999</v>
      </c>
      <c r="O470" s="28"/>
      <c r="P470" s="29">
        <f t="shared" si="175"/>
        <v>0.46100000000000035</v>
      </c>
      <c r="Q470" s="33">
        <f t="shared" si="160"/>
        <v>6.7114093959731544</v>
      </c>
      <c r="R470" s="33">
        <f t="shared" si="161"/>
        <v>6.7114093959731544</v>
      </c>
      <c r="S470" s="33">
        <f t="shared" si="162"/>
        <v>-1</v>
      </c>
      <c r="T470" s="27"/>
      <c r="U470" s="28">
        <f t="shared" si="163"/>
        <v>0.10964912280701754</v>
      </c>
      <c r="V470" s="25">
        <f t="shared" si="164"/>
        <v>999</v>
      </c>
      <c r="W470" s="35">
        <f t="shared" si="176"/>
        <v>25</v>
      </c>
      <c r="X470" s="33">
        <f t="shared" si="165"/>
        <v>25</v>
      </c>
      <c r="Y470" s="32">
        <f t="shared" si="166"/>
        <v>-1</v>
      </c>
      <c r="Z470" s="32"/>
      <c r="AA470" s="30">
        <f t="shared" si="167"/>
        <v>12.628407067524996</v>
      </c>
      <c r="AB470" s="28">
        <f t="shared" si="168"/>
        <v>0.52673207258228905</v>
      </c>
      <c r="AC470" s="28">
        <f t="shared" si="169"/>
        <v>0.10964912280701754</v>
      </c>
      <c r="AD470" s="29">
        <f t="shared" si="170"/>
        <v>437.38140417457311</v>
      </c>
      <c r="AE470" s="28">
        <f t="shared" si="171"/>
        <v>0.10964912280701754</v>
      </c>
      <c r="AF470" s="28">
        <f t="shared" si="172"/>
        <v>0.41708294977527149</v>
      </c>
      <c r="AG470" s="28">
        <f t="shared" si="173"/>
        <v>0</v>
      </c>
      <c r="AI470" s="31">
        <f t="shared" si="174"/>
        <v>1.0547467124745562</v>
      </c>
      <c r="AJ470" s="25"/>
      <c r="AK470" s="31"/>
      <c r="AM470" s="27"/>
    </row>
    <row r="471" spans="4:39" x14ac:dyDescent="0.25">
      <c r="D471" s="25">
        <f>E471*'Profit per cycles Model'!$I$113</f>
        <v>4620</v>
      </c>
      <c r="E471" s="25">
        <v>12.655800575263662</v>
      </c>
      <c r="F471" s="28">
        <f t="shared" si="155"/>
        <v>0.21645021645021645</v>
      </c>
      <c r="G471" s="28">
        <f>'Battery Pricing Model'!$C$17/D471</f>
        <v>0.21645021645021645</v>
      </c>
      <c r="H471" s="28">
        <f t="shared" si="156"/>
        <v>999</v>
      </c>
      <c r="I471" s="28"/>
      <c r="J471" s="34">
        <f>INDEX('Profit per cycles Model'!$I$149:$I$179, MATCH(TRUNC(E471, 0), 'Profit per cycles Model'!$H$149:$H$179, 0))</f>
        <v>0.52673207258228905</v>
      </c>
      <c r="K471" s="27">
        <f>AVERAGE($AB$10:AB471)</f>
        <v>0.44589048337670545</v>
      </c>
      <c r="L471" s="28">
        <f t="shared" si="157"/>
        <v>0.229440266926489</v>
      </c>
      <c r="M471" s="28">
        <f t="shared" si="158"/>
        <v>0.229440266926489</v>
      </c>
      <c r="N471" s="28">
        <f t="shared" si="159"/>
        <v>999</v>
      </c>
      <c r="O471" s="28"/>
      <c r="P471" s="29">
        <f t="shared" si="175"/>
        <v>0.46200000000000035</v>
      </c>
      <c r="Q471" s="33">
        <f t="shared" si="160"/>
        <v>6.7114093959731544</v>
      </c>
      <c r="R471" s="33">
        <f t="shared" si="161"/>
        <v>6.7114093959731544</v>
      </c>
      <c r="S471" s="33">
        <f t="shared" si="162"/>
        <v>-1</v>
      </c>
      <c r="T471" s="27"/>
      <c r="U471" s="28">
        <f t="shared" si="163"/>
        <v>0.10964912280701754</v>
      </c>
      <c r="V471" s="25">
        <f t="shared" si="164"/>
        <v>999</v>
      </c>
      <c r="W471" s="35">
        <f t="shared" si="176"/>
        <v>25</v>
      </c>
      <c r="X471" s="33">
        <f t="shared" si="165"/>
        <v>25</v>
      </c>
      <c r="Y471" s="32">
        <f t="shared" si="166"/>
        <v>-1</v>
      </c>
      <c r="Z471" s="32"/>
      <c r="AA471" s="30">
        <f t="shared" si="167"/>
        <v>12.655800575263662</v>
      </c>
      <c r="AB471" s="28">
        <f t="shared" si="168"/>
        <v>0.52673207258228905</v>
      </c>
      <c r="AC471" s="28">
        <f t="shared" si="169"/>
        <v>0.10964912280701754</v>
      </c>
      <c r="AD471" s="29">
        <f t="shared" si="170"/>
        <v>438.3301707779886</v>
      </c>
      <c r="AE471" s="28">
        <f t="shared" si="171"/>
        <v>0.10964912280701754</v>
      </c>
      <c r="AF471" s="28">
        <f t="shared" si="172"/>
        <v>0.41708294977527149</v>
      </c>
      <c r="AG471" s="28">
        <f t="shared" si="173"/>
        <v>0</v>
      </c>
      <c r="AI471" s="31">
        <f t="shared" si="174"/>
        <v>1.0600140332003791</v>
      </c>
      <c r="AJ471" s="25"/>
      <c r="AK471" s="31"/>
      <c r="AM471" s="27"/>
    </row>
    <row r="472" spans="4:39" x14ac:dyDescent="0.25">
      <c r="D472" s="25">
        <f>E472*'Profit per cycles Model'!$I$113</f>
        <v>4630</v>
      </c>
      <c r="E472" s="25">
        <v>12.683194083002329</v>
      </c>
      <c r="F472" s="28">
        <f t="shared" si="155"/>
        <v>0.21598272138228941</v>
      </c>
      <c r="G472" s="28">
        <f>'Battery Pricing Model'!$C$17/D472</f>
        <v>0.21598272138228941</v>
      </c>
      <c r="H472" s="28">
        <f t="shared" si="156"/>
        <v>999</v>
      </c>
      <c r="I472" s="28"/>
      <c r="J472" s="34">
        <f>INDEX('Profit per cycles Model'!$I$149:$I$179, MATCH(TRUNC(E472, 0), 'Profit per cycles Model'!$H$149:$H$179, 0))</f>
        <v>0.52673207258228905</v>
      </c>
      <c r="K472" s="27">
        <f>AVERAGE($AB$10:AB472)</f>
        <v>0.44606508724108035</v>
      </c>
      <c r="L472" s="28">
        <f t="shared" si="157"/>
        <v>0.23008236585879094</v>
      </c>
      <c r="M472" s="28">
        <f t="shared" si="158"/>
        <v>0.23008236585879094</v>
      </c>
      <c r="N472" s="28">
        <f t="shared" si="159"/>
        <v>999</v>
      </c>
      <c r="O472" s="28"/>
      <c r="P472" s="29">
        <f t="shared" si="175"/>
        <v>0.46300000000000036</v>
      </c>
      <c r="Q472" s="33">
        <f t="shared" si="160"/>
        <v>6.7114093959731544</v>
      </c>
      <c r="R472" s="33">
        <f t="shared" si="161"/>
        <v>6.7114093959731544</v>
      </c>
      <c r="S472" s="33">
        <f t="shared" si="162"/>
        <v>-1</v>
      </c>
      <c r="T472" s="27"/>
      <c r="U472" s="28">
        <f t="shared" si="163"/>
        <v>0.10964912280701754</v>
      </c>
      <c r="V472" s="25">
        <f t="shared" si="164"/>
        <v>999</v>
      </c>
      <c r="W472" s="35">
        <f t="shared" si="176"/>
        <v>25</v>
      </c>
      <c r="X472" s="33">
        <f t="shared" si="165"/>
        <v>25</v>
      </c>
      <c r="Y472" s="32">
        <f t="shared" si="166"/>
        <v>-1</v>
      </c>
      <c r="Z472" s="32"/>
      <c r="AA472" s="30">
        <f t="shared" si="167"/>
        <v>12.683194083002329</v>
      </c>
      <c r="AB472" s="28">
        <f t="shared" si="168"/>
        <v>0.52673207258228905</v>
      </c>
      <c r="AC472" s="28">
        <f t="shared" si="169"/>
        <v>0.10964912280701754</v>
      </c>
      <c r="AD472" s="29">
        <f t="shared" si="170"/>
        <v>439.27893738140421</v>
      </c>
      <c r="AE472" s="28">
        <f t="shared" si="171"/>
        <v>0.10964912280701754</v>
      </c>
      <c r="AF472" s="28">
        <f t="shared" si="172"/>
        <v>0.41708294977527149</v>
      </c>
      <c r="AG472" s="28">
        <f t="shared" si="173"/>
        <v>0</v>
      </c>
      <c r="AI472" s="31">
        <f t="shared" si="174"/>
        <v>1.065281353926202</v>
      </c>
      <c r="AJ472" s="25"/>
      <c r="AK472" s="31"/>
      <c r="AM472" s="27"/>
    </row>
    <row r="473" spans="4:39" x14ac:dyDescent="0.25">
      <c r="D473" s="25">
        <f>E473*'Profit per cycles Model'!$I$113</f>
        <v>4640</v>
      </c>
      <c r="E473" s="25">
        <v>12.710587590740994</v>
      </c>
      <c r="F473" s="28">
        <f t="shared" si="155"/>
        <v>0.21551724137931033</v>
      </c>
      <c r="G473" s="28">
        <f>'Battery Pricing Model'!$C$17/D473</f>
        <v>0.21551724137931033</v>
      </c>
      <c r="H473" s="28">
        <f t="shared" si="156"/>
        <v>999</v>
      </c>
      <c r="I473" s="28"/>
      <c r="J473" s="34">
        <f>INDEX('Profit per cycles Model'!$I$149:$I$179, MATCH(TRUNC(E473, 0), 'Profit per cycles Model'!$H$149:$H$179, 0))</f>
        <v>0.52673207258228905</v>
      </c>
      <c r="K473" s="27">
        <f>AVERAGE($AB$10:AB473)</f>
        <v>0.44623893850259161</v>
      </c>
      <c r="L473" s="28">
        <f t="shared" si="157"/>
        <v>0.23072169712328128</v>
      </c>
      <c r="M473" s="28">
        <f t="shared" si="158"/>
        <v>0.23072169712328128</v>
      </c>
      <c r="N473" s="28">
        <f t="shared" si="159"/>
        <v>999</v>
      </c>
      <c r="O473" s="28"/>
      <c r="P473" s="29">
        <f t="shared" si="175"/>
        <v>0.46400000000000036</v>
      </c>
      <c r="Q473" s="33">
        <f t="shared" si="160"/>
        <v>6.7114093959731544</v>
      </c>
      <c r="R473" s="33">
        <f t="shared" si="161"/>
        <v>6.7114093959731544</v>
      </c>
      <c r="S473" s="33">
        <f t="shared" si="162"/>
        <v>-1</v>
      </c>
      <c r="T473" s="27"/>
      <c r="U473" s="28">
        <f t="shared" si="163"/>
        <v>0.10964912280701754</v>
      </c>
      <c r="V473" s="25">
        <f t="shared" si="164"/>
        <v>999</v>
      </c>
      <c r="W473" s="35">
        <f t="shared" si="176"/>
        <v>25</v>
      </c>
      <c r="X473" s="33">
        <f t="shared" si="165"/>
        <v>25</v>
      </c>
      <c r="Y473" s="32">
        <f t="shared" si="166"/>
        <v>-1</v>
      </c>
      <c r="Z473" s="32"/>
      <c r="AA473" s="30">
        <f t="shared" si="167"/>
        <v>12.710587590740994</v>
      </c>
      <c r="AB473" s="28">
        <f t="shared" si="168"/>
        <v>0.52673207258228905</v>
      </c>
      <c r="AC473" s="28">
        <f t="shared" si="169"/>
        <v>0.10964912280701754</v>
      </c>
      <c r="AD473" s="29">
        <f t="shared" si="170"/>
        <v>440.22770398481975</v>
      </c>
      <c r="AE473" s="28">
        <f t="shared" si="171"/>
        <v>0.10964912280701754</v>
      </c>
      <c r="AF473" s="28">
        <f t="shared" si="172"/>
        <v>0.41708294977527149</v>
      </c>
      <c r="AG473" s="28">
        <f t="shared" si="173"/>
        <v>0</v>
      </c>
      <c r="AI473" s="31">
        <f t="shared" si="174"/>
        <v>1.0705486746520252</v>
      </c>
      <c r="AJ473" s="25"/>
      <c r="AK473" s="31"/>
      <c r="AM473" s="27"/>
    </row>
    <row r="474" spans="4:39" x14ac:dyDescent="0.25">
      <c r="D474" s="25">
        <f>E474*'Profit per cycles Model'!$I$113</f>
        <v>4650</v>
      </c>
      <c r="E474" s="25">
        <v>12.73798109847966</v>
      </c>
      <c r="F474" s="28">
        <f t="shared" si="155"/>
        <v>0.21505376344086022</v>
      </c>
      <c r="G474" s="28">
        <f>'Battery Pricing Model'!$C$17/D474</f>
        <v>0.21505376344086022</v>
      </c>
      <c r="H474" s="28">
        <f t="shared" si="156"/>
        <v>999</v>
      </c>
      <c r="I474" s="28"/>
      <c r="J474" s="34">
        <f>INDEX('Profit per cycles Model'!$I$149:$I$179, MATCH(TRUNC(E474, 0), 'Profit per cycles Model'!$H$149:$H$179, 0))</f>
        <v>0.52673207258228905</v>
      </c>
      <c r="K474" s="27">
        <f>AVERAGE($AB$10:AB474)</f>
        <v>0.44641204201674151</v>
      </c>
      <c r="L474" s="28">
        <f t="shared" si="157"/>
        <v>0.23135827857588129</v>
      </c>
      <c r="M474" s="28">
        <f t="shared" si="158"/>
        <v>0.23135827857588129</v>
      </c>
      <c r="N474" s="28">
        <f t="shared" si="159"/>
        <v>999</v>
      </c>
      <c r="O474" s="28"/>
      <c r="P474" s="29">
        <f t="shared" si="175"/>
        <v>0.46500000000000036</v>
      </c>
      <c r="Q474" s="33">
        <f t="shared" si="160"/>
        <v>6.7114093959731544</v>
      </c>
      <c r="R474" s="33">
        <f t="shared" si="161"/>
        <v>6.7114093959731544</v>
      </c>
      <c r="S474" s="33">
        <f t="shared" si="162"/>
        <v>-1</v>
      </c>
      <c r="T474" s="27"/>
      <c r="U474" s="28">
        <f t="shared" si="163"/>
        <v>0.10964912280701754</v>
      </c>
      <c r="V474" s="25">
        <f t="shared" si="164"/>
        <v>999</v>
      </c>
      <c r="W474" s="35">
        <f t="shared" si="176"/>
        <v>25</v>
      </c>
      <c r="X474" s="33">
        <f t="shared" si="165"/>
        <v>25</v>
      </c>
      <c r="Y474" s="32">
        <f t="shared" si="166"/>
        <v>-1</v>
      </c>
      <c r="Z474" s="32"/>
      <c r="AA474" s="30">
        <f t="shared" si="167"/>
        <v>12.73798109847966</v>
      </c>
      <c r="AB474" s="28">
        <f t="shared" si="168"/>
        <v>0.52673207258228905</v>
      </c>
      <c r="AC474" s="28">
        <f t="shared" si="169"/>
        <v>0.10964912280701754</v>
      </c>
      <c r="AD474" s="29">
        <f t="shared" si="170"/>
        <v>441.1764705882353</v>
      </c>
      <c r="AE474" s="28">
        <f t="shared" si="171"/>
        <v>0.10964912280701754</v>
      </c>
      <c r="AF474" s="28">
        <f t="shared" si="172"/>
        <v>0.41708294977527149</v>
      </c>
      <c r="AG474" s="28">
        <f t="shared" si="173"/>
        <v>0</v>
      </c>
      <c r="AI474" s="31">
        <f t="shared" si="174"/>
        <v>1.0758159953778479</v>
      </c>
      <c r="AJ474" s="25"/>
      <c r="AK474" s="31"/>
      <c r="AM474" s="27"/>
    </row>
    <row r="475" spans="4:39" x14ac:dyDescent="0.25">
      <c r="D475" s="25">
        <f>E475*'Profit per cycles Model'!$I$113</f>
        <v>4660</v>
      </c>
      <c r="E475" s="25">
        <v>12.765374606218327</v>
      </c>
      <c r="F475" s="28">
        <f t="shared" si="155"/>
        <v>0.21459227467811159</v>
      </c>
      <c r="G475" s="28">
        <f>'Battery Pricing Model'!$C$17/D475</f>
        <v>0.21459227467811159</v>
      </c>
      <c r="H475" s="28">
        <f t="shared" si="156"/>
        <v>999</v>
      </c>
      <c r="I475" s="28"/>
      <c r="J475" s="34">
        <f>INDEX('Profit per cycles Model'!$I$149:$I$179, MATCH(TRUNC(E475, 0), 'Profit per cycles Model'!$H$149:$H$179, 0))</f>
        <v>0.52673207258228905</v>
      </c>
      <c r="K475" s="27">
        <f>AVERAGE($AB$10:AB475)</f>
        <v>0.44658440259735427</v>
      </c>
      <c r="L475" s="28">
        <f t="shared" si="157"/>
        <v>0.23199212791924267</v>
      </c>
      <c r="M475" s="28">
        <f t="shared" si="158"/>
        <v>0.23199212791924267</v>
      </c>
      <c r="N475" s="28">
        <f t="shared" si="159"/>
        <v>999</v>
      </c>
      <c r="O475" s="28"/>
      <c r="P475" s="29">
        <f t="shared" si="175"/>
        <v>0.46600000000000036</v>
      </c>
      <c r="Q475" s="33">
        <f t="shared" si="160"/>
        <v>6.7114093959731544</v>
      </c>
      <c r="R475" s="33">
        <f t="shared" si="161"/>
        <v>6.7114093959731544</v>
      </c>
      <c r="S475" s="33">
        <f t="shared" si="162"/>
        <v>-1</v>
      </c>
      <c r="T475" s="27"/>
      <c r="U475" s="28">
        <f t="shared" si="163"/>
        <v>0.10964912280701754</v>
      </c>
      <c r="V475" s="25">
        <f t="shared" si="164"/>
        <v>999</v>
      </c>
      <c r="W475" s="35">
        <f t="shared" si="176"/>
        <v>25</v>
      </c>
      <c r="X475" s="33">
        <f t="shared" si="165"/>
        <v>25</v>
      </c>
      <c r="Y475" s="32">
        <f t="shared" si="166"/>
        <v>-1</v>
      </c>
      <c r="Z475" s="32"/>
      <c r="AA475" s="30">
        <f t="shared" si="167"/>
        <v>12.765374606218327</v>
      </c>
      <c r="AB475" s="28">
        <f t="shared" si="168"/>
        <v>0.52673207258228905</v>
      </c>
      <c r="AC475" s="28">
        <f t="shared" si="169"/>
        <v>0.10964912280701754</v>
      </c>
      <c r="AD475" s="29">
        <f t="shared" si="170"/>
        <v>442.12523719165091</v>
      </c>
      <c r="AE475" s="28">
        <f t="shared" si="171"/>
        <v>0.10964912280701754</v>
      </c>
      <c r="AF475" s="28">
        <f t="shared" si="172"/>
        <v>0.41708294977527149</v>
      </c>
      <c r="AG475" s="28">
        <f t="shared" si="173"/>
        <v>0</v>
      </c>
      <c r="AI475" s="31">
        <f t="shared" si="174"/>
        <v>1.0810833161036708</v>
      </c>
      <c r="AJ475" s="25"/>
      <c r="AK475" s="31"/>
      <c r="AM475" s="27"/>
    </row>
    <row r="476" spans="4:39" x14ac:dyDescent="0.25">
      <c r="D476" s="25">
        <f>E476*'Profit per cycles Model'!$I$113</f>
        <v>4670</v>
      </c>
      <c r="E476" s="25">
        <v>12.792768113956992</v>
      </c>
      <c r="F476" s="28">
        <f t="shared" si="155"/>
        <v>0.21413276231263384</v>
      </c>
      <c r="G476" s="28">
        <f>'Battery Pricing Model'!$C$17/D476</f>
        <v>0.21413276231263384</v>
      </c>
      <c r="H476" s="28">
        <f t="shared" si="156"/>
        <v>999</v>
      </c>
      <c r="I476" s="28"/>
      <c r="J476" s="34">
        <f>INDEX('Profit per cycles Model'!$I$149:$I$179, MATCH(TRUNC(E476, 0), 'Profit per cycles Model'!$H$149:$H$179, 0))</f>
        <v>0.52673207258228905</v>
      </c>
      <c r="K476" s="27">
        <f>AVERAGE($AB$10:AB476)</f>
        <v>0.44675602501702222</v>
      </c>
      <c r="L476" s="28">
        <f t="shared" si="157"/>
        <v>0.23262326270438838</v>
      </c>
      <c r="M476" s="28">
        <f t="shared" si="158"/>
        <v>0.23262326270438838</v>
      </c>
      <c r="N476" s="28">
        <f t="shared" si="159"/>
        <v>999</v>
      </c>
      <c r="O476" s="28"/>
      <c r="P476" s="29">
        <f t="shared" si="175"/>
        <v>0.46700000000000036</v>
      </c>
      <c r="Q476" s="33">
        <f t="shared" si="160"/>
        <v>6.7114093959731544</v>
      </c>
      <c r="R476" s="33">
        <f t="shared" si="161"/>
        <v>6.7114093959731544</v>
      </c>
      <c r="S476" s="33">
        <f t="shared" si="162"/>
        <v>-1</v>
      </c>
      <c r="T476" s="27"/>
      <c r="U476" s="28">
        <f t="shared" si="163"/>
        <v>0.10964912280701754</v>
      </c>
      <c r="V476" s="25">
        <f t="shared" si="164"/>
        <v>999</v>
      </c>
      <c r="W476" s="35">
        <f t="shared" si="176"/>
        <v>25</v>
      </c>
      <c r="X476" s="33">
        <f t="shared" si="165"/>
        <v>25</v>
      </c>
      <c r="Y476" s="32">
        <f t="shared" si="166"/>
        <v>-1</v>
      </c>
      <c r="Z476" s="32"/>
      <c r="AA476" s="30">
        <f t="shared" si="167"/>
        <v>12.792768113956992</v>
      </c>
      <c r="AB476" s="28">
        <f t="shared" si="168"/>
        <v>0.52673207258228905</v>
      </c>
      <c r="AC476" s="28">
        <f t="shared" si="169"/>
        <v>0.10964912280701754</v>
      </c>
      <c r="AD476" s="29">
        <f t="shared" si="170"/>
        <v>443.07400379506646</v>
      </c>
      <c r="AE476" s="28">
        <f t="shared" si="171"/>
        <v>0.10964912280701754</v>
      </c>
      <c r="AF476" s="28">
        <f t="shared" si="172"/>
        <v>0.41708294977527149</v>
      </c>
      <c r="AG476" s="28">
        <f t="shared" si="173"/>
        <v>0</v>
      </c>
      <c r="AI476" s="31">
        <f t="shared" si="174"/>
        <v>1.0863506368294937</v>
      </c>
      <c r="AJ476" s="25"/>
      <c r="AK476" s="31"/>
      <c r="AM476" s="27"/>
    </row>
    <row r="477" spans="4:39" x14ac:dyDescent="0.25">
      <c r="D477" s="25">
        <f>E477*'Profit per cycles Model'!$I$113</f>
        <v>4680</v>
      </c>
      <c r="E477" s="25">
        <v>12.820161621695657</v>
      </c>
      <c r="F477" s="28">
        <f t="shared" si="155"/>
        <v>0.21367521367521367</v>
      </c>
      <c r="G477" s="28">
        <f>'Battery Pricing Model'!$C$17/D477</f>
        <v>0.21367521367521367</v>
      </c>
      <c r="H477" s="28">
        <f t="shared" si="156"/>
        <v>999</v>
      </c>
      <c r="I477" s="28"/>
      <c r="J477" s="34">
        <f>INDEX('Profit per cycles Model'!$I$149:$I$179, MATCH(TRUNC(E477, 0), 'Profit per cycles Model'!$H$149:$H$179, 0))</f>
        <v>0.52673207258228905</v>
      </c>
      <c r="K477" s="27">
        <f>AVERAGE($AB$10:AB477)</f>
        <v>0.44692691400754631</v>
      </c>
      <c r="L477" s="28">
        <f t="shared" si="157"/>
        <v>0.23325170033233264</v>
      </c>
      <c r="M477" s="28">
        <f t="shared" si="158"/>
        <v>0.23325170033233264</v>
      </c>
      <c r="N477" s="28">
        <f t="shared" si="159"/>
        <v>999</v>
      </c>
      <c r="O477" s="28"/>
      <c r="P477" s="29">
        <f t="shared" si="175"/>
        <v>0.46800000000000036</v>
      </c>
      <c r="Q477" s="33">
        <f t="shared" si="160"/>
        <v>6.7114093959731544</v>
      </c>
      <c r="R477" s="33">
        <f t="shared" si="161"/>
        <v>6.7114093959731544</v>
      </c>
      <c r="S477" s="33">
        <f t="shared" si="162"/>
        <v>-1</v>
      </c>
      <c r="T477" s="27"/>
      <c r="U477" s="28">
        <f t="shared" si="163"/>
        <v>0.10964912280701754</v>
      </c>
      <c r="V477" s="25">
        <f t="shared" si="164"/>
        <v>999</v>
      </c>
      <c r="W477" s="35">
        <f t="shared" si="176"/>
        <v>25</v>
      </c>
      <c r="X477" s="33">
        <f t="shared" si="165"/>
        <v>25</v>
      </c>
      <c r="Y477" s="32">
        <f t="shared" si="166"/>
        <v>-1</v>
      </c>
      <c r="Z477" s="32"/>
      <c r="AA477" s="30">
        <f t="shared" si="167"/>
        <v>12.820161621695657</v>
      </c>
      <c r="AB477" s="28">
        <f t="shared" si="168"/>
        <v>0.52673207258228905</v>
      </c>
      <c r="AC477" s="28">
        <f t="shared" si="169"/>
        <v>0.10964912280701754</v>
      </c>
      <c r="AD477" s="29">
        <f t="shared" si="170"/>
        <v>444.02277039848195</v>
      </c>
      <c r="AE477" s="28">
        <f t="shared" si="171"/>
        <v>0.10964912280701754</v>
      </c>
      <c r="AF477" s="28">
        <f t="shared" si="172"/>
        <v>0.41708294977527149</v>
      </c>
      <c r="AG477" s="28">
        <f t="shared" si="173"/>
        <v>0</v>
      </c>
      <c r="AI477" s="31">
        <f t="shared" si="174"/>
        <v>1.0916179575553169</v>
      </c>
      <c r="AJ477" s="25"/>
      <c r="AK477" s="31"/>
      <c r="AM477" s="27"/>
    </row>
    <row r="478" spans="4:39" x14ac:dyDescent="0.25">
      <c r="D478" s="25">
        <f>E478*'Profit per cycles Model'!$I$113</f>
        <v>4690</v>
      </c>
      <c r="E478" s="25">
        <v>12.847555129434324</v>
      </c>
      <c r="F478" s="28">
        <f t="shared" si="155"/>
        <v>0.21321961620469082</v>
      </c>
      <c r="G478" s="28">
        <f>'Battery Pricing Model'!$C$17/D478</f>
        <v>0.21321961620469082</v>
      </c>
      <c r="H478" s="28">
        <f t="shared" si="156"/>
        <v>999</v>
      </c>
      <c r="I478" s="28"/>
      <c r="J478" s="34">
        <f>INDEX('Profit per cycles Model'!$I$149:$I$179, MATCH(TRUNC(E478, 0), 'Profit per cycles Model'!$H$149:$H$179, 0))</f>
        <v>0.52673207258228905</v>
      </c>
      <c r="K478" s="27">
        <f>AVERAGE($AB$10:AB478)</f>
        <v>0.44709707426037093</v>
      </c>
      <c r="L478" s="28">
        <f t="shared" si="157"/>
        <v>0.23387745805568011</v>
      </c>
      <c r="M478" s="28">
        <f t="shared" si="158"/>
        <v>0.23387745805568011</v>
      </c>
      <c r="N478" s="28">
        <f t="shared" si="159"/>
        <v>999</v>
      </c>
      <c r="O478" s="28"/>
      <c r="P478" s="29">
        <f t="shared" si="175"/>
        <v>0.46900000000000036</v>
      </c>
      <c r="Q478" s="33">
        <f t="shared" si="160"/>
        <v>6.7114093959731544</v>
      </c>
      <c r="R478" s="33">
        <f t="shared" si="161"/>
        <v>6.7114093959731544</v>
      </c>
      <c r="S478" s="33">
        <f t="shared" si="162"/>
        <v>-1</v>
      </c>
      <c r="T478" s="27"/>
      <c r="U478" s="28">
        <f t="shared" si="163"/>
        <v>0.10964912280701754</v>
      </c>
      <c r="V478" s="25">
        <f t="shared" si="164"/>
        <v>999</v>
      </c>
      <c r="W478" s="35">
        <f t="shared" si="176"/>
        <v>25</v>
      </c>
      <c r="X478" s="33">
        <f t="shared" si="165"/>
        <v>25</v>
      </c>
      <c r="Y478" s="32">
        <f t="shared" si="166"/>
        <v>-1</v>
      </c>
      <c r="Z478" s="32"/>
      <c r="AA478" s="30">
        <f t="shared" si="167"/>
        <v>12.847555129434324</v>
      </c>
      <c r="AB478" s="28">
        <f t="shared" si="168"/>
        <v>0.52673207258228905</v>
      </c>
      <c r="AC478" s="28">
        <f t="shared" si="169"/>
        <v>0.10964912280701754</v>
      </c>
      <c r="AD478" s="29">
        <f t="shared" si="170"/>
        <v>444.97153700189756</v>
      </c>
      <c r="AE478" s="28">
        <f t="shared" si="171"/>
        <v>0.10964912280701754</v>
      </c>
      <c r="AF478" s="28">
        <f t="shared" si="172"/>
        <v>0.41708294977527149</v>
      </c>
      <c r="AG478" s="28">
        <f t="shared" si="173"/>
        <v>0</v>
      </c>
      <c r="AI478" s="31">
        <f t="shared" si="174"/>
        <v>1.0968852782811398</v>
      </c>
      <c r="AJ478" s="25"/>
      <c r="AK478" s="31"/>
      <c r="AM478" s="27"/>
    </row>
    <row r="479" spans="4:39" x14ac:dyDescent="0.25">
      <c r="D479" s="25">
        <f>E479*'Profit per cycles Model'!$I$113</f>
        <v>4700</v>
      </c>
      <c r="E479" s="25">
        <v>12.87494863717299</v>
      </c>
      <c r="F479" s="28">
        <f t="shared" si="155"/>
        <v>0.21276595744680851</v>
      </c>
      <c r="G479" s="28">
        <f>'Battery Pricing Model'!$C$17/D479</f>
        <v>0.21276595744680851</v>
      </c>
      <c r="H479" s="28">
        <f t="shared" si="156"/>
        <v>999</v>
      </c>
      <c r="I479" s="28"/>
      <c r="J479" s="34">
        <f>INDEX('Profit per cycles Model'!$I$149:$I$179, MATCH(TRUNC(E479, 0), 'Profit per cycles Model'!$H$149:$H$179, 0))</f>
        <v>0.52673207258228905</v>
      </c>
      <c r="K479" s="27">
        <f>AVERAGE($AB$10:AB479)</f>
        <v>0.44726651042701332</v>
      </c>
      <c r="L479" s="28">
        <f t="shared" si="157"/>
        <v>0.23450055298020481</v>
      </c>
      <c r="M479" s="28">
        <f t="shared" si="158"/>
        <v>0.23450055298020481</v>
      </c>
      <c r="N479" s="28">
        <f t="shared" si="159"/>
        <v>999</v>
      </c>
      <c r="O479" s="28"/>
      <c r="P479" s="29">
        <f t="shared" si="175"/>
        <v>0.47000000000000036</v>
      </c>
      <c r="Q479" s="33">
        <f t="shared" si="160"/>
        <v>6.7114093959731544</v>
      </c>
      <c r="R479" s="33">
        <f t="shared" si="161"/>
        <v>6.7114093959731544</v>
      </c>
      <c r="S479" s="33">
        <f t="shared" si="162"/>
        <v>-1</v>
      </c>
      <c r="T479" s="27"/>
      <c r="U479" s="28">
        <f t="shared" si="163"/>
        <v>0.10964912280701754</v>
      </c>
      <c r="V479" s="25">
        <f t="shared" si="164"/>
        <v>999</v>
      </c>
      <c r="W479" s="35">
        <f t="shared" si="176"/>
        <v>25</v>
      </c>
      <c r="X479" s="33">
        <f t="shared" si="165"/>
        <v>25</v>
      </c>
      <c r="Y479" s="32">
        <f t="shared" si="166"/>
        <v>-1</v>
      </c>
      <c r="Z479" s="32"/>
      <c r="AA479" s="30">
        <f t="shared" si="167"/>
        <v>12.87494863717299</v>
      </c>
      <c r="AB479" s="28">
        <f t="shared" si="168"/>
        <v>0.52673207258228905</v>
      </c>
      <c r="AC479" s="28">
        <f t="shared" si="169"/>
        <v>0.10964912280701754</v>
      </c>
      <c r="AD479" s="29">
        <f t="shared" si="170"/>
        <v>445.92030360531311</v>
      </c>
      <c r="AE479" s="28">
        <f t="shared" si="171"/>
        <v>0.10964912280701754</v>
      </c>
      <c r="AF479" s="28">
        <f t="shared" si="172"/>
        <v>0.41708294977527149</v>
      </c>
      <c r="AG479" s="28">
        <f t="shared" si="173"/>
        <v>0</v>
      </c>
      <c r="AI479" s="31">
        <f t="shared" si="174"/>
        <v>1.1021525990069625</v>
      </c>
      <c r="AJ479" s="25"/>
      <c r="AK479" s="31"/>
      <c r="AM479" s="27"/>
    </row>
    <row r="480" spans="4:39" x14ac:dyDescent="0.25">
      <c r="D480" s="25">
        <f>E480*'Profit per cycles Model'!$I$113</f>
        <v>4710</v>
      </c>
      <c r="E480" s="25">
        <v>12.902342144911655</v>
      </c>
      <c r="F480" s="28">
        <f t="shared" si="155"/>
        <v>0.21231422505307856</v>
      </c>
      <c r="G480" s="28">
        <f>'Battery Pricing Model'!$C$17/D480</f>
        <v>0.21231422505307856</v>
      </c>
      <c r="H480" s="28">
        <f t="shared" si="156"/>
        <v>999</v>
      </c>
      <c r="I480" s="28"/>
      <c r="J480" s="34">
        <f>INDEX('Profit per cycles Model'!$I$149:$I$179, MATCH(TRUNC(E480, 0), 'Profit per cycles Model'!$H$149:$H$179, 0))</f>
        <v>0.52673207258228905</v>
      </c>
      <c r="K480" s="27">
        <f>AVERAGE($AB$10:AB480)</f>
        <v>0.44743522711948736</v>
      </c>
      <c r="L480" s="28">
        <f t="shared" si="157"/>
        <v>0.23512100206640879</v>
      </c>
      <c r="M480" s="28">
        <f t="shared" si="158"/>
        <v>0.23512100206640879</v>
      </c>
      <c r="N480" s="28">
        <f t="shared" si="159"/>
        <v>999</v>
      </c>
      <c r="O480" s="28"/>
      <c r="P480" s="29">
        <f t="shared" si="175"/>
        <v>0.47100000000000036</v>
      </c>
      <c r="Q480" s="33">
        <f t="shared" si="160"/>
        <v>6.7114093959731544</v>
      </c>
      <c r="R480" s="33">
        <f t="shared" si="161"/>
        <v>6.7114093959731544</v>
      </c>
      <c r="S480" s="33">
        <f t="shared" si="162"/>
        <v>-1</v>
      </c>
      <c r="T480" s="27"/>
      <c r="U480" s="28">
        <f t="shared" si="163"/>
        <v>0.10964912280701754</v>
      </c>
      <c r="V480" s="25">
        <f t="shared" si="164"/>
        <v>999</v>
      </c>
      <c r="W480" s="35">
        <f t="shared" si="176"/>
        <v>25</v>
      </c>
      <c r="X480" s="33">
        <f t="shared" si="165"/>
        <v>25</v>
      </c>
      <c r="Y480" s="32">
        <f t="shared" si="166"/>
        <v>-1</v>
      </c>
      <c r="Z480" s="32"/>
      <c r="AA480" s="30">
        <f t="shared" si="167"/>
        <v>12.902342144911655</v>
      </c>
      <c r="AB480" s="28">
        <f t="shared" si="168"/>
        <v>0.52673207258228905</v>
      </c>
      <c r="AC480" s="28">
        <f t="shared" si="169"/>
        <v>0.10964912280701754</v>
      </c>
      <c r="AD480" s="29">
        <f t="shared" si="170"/>
        <v>446.86907020872866</v>
      </c>
      <c r="AE480" s="28">
        <f t="shared" si="171"/>
        <v>0.10964912280701754</v>
      </c>
      <c r="AF480" s="28">
        <f t="shared" si="172"/>
        <v>0.41708294977527149</v>
      </c>
      <c r="AG480" s="28">
        <f t="shared" si="173"/>
        <v>0</v>
      </c>
      <c r="AI480" s="31">
        <f t="shared" si="174"/>
        <v>1.1074199197327854</v>
      </c>
      <c r="AJ480" s="25"/>
      <c r="AK480" s="31"/>
      <c r="AM480" s="27"/>
    </row>
    <row r="481" spans="4:39" x14ac:dyDescent="0.25">
      <c r="D481" s="25">
        <f>E481*'Profit per cycles Model'!$I$113</f>
        <v>4720</v>
      </c>
      <c r="E481" s="25">
        <v>12.929735652650322</v>
      </c>
      <c r="F481" s="28">
        <f t="shared" si="155"/>
        <v>0.21186440677966101</v>
      </c>
      <c r="G481" s="28">
        <f>'Battery Pricing Model'!$C$17/D481</f>
        <v>0.21186440677966101</v>
      </c>
      <c r="H481" s="28">
        <f t="shared" si="156"/>
        <v>999</v>
      </c>
      <c r="I481" s="28"/>
      <c r="J481" s="34">
        <f>INDEX('Profit per cycles Model'!$I$149:$I$179, MATCH(TRUNC(E481, 0), 'Profit per cycles Model'!$H$149:$H$179, 0))</f>
        <v>0.52673207258228905</v>
      </c>
      <c r="K481" s="27">
        <f>AVERAGE($AB$10:AB481)</f>
        <v>0.44760322891072213</v>
      </c>
      <c r="L481" s="28">
        <f t="shared" si="157"/>
        <v>0.23573882213106112</v>
      </c>
      <c r="M481" s="28">
        <f t="shared" si="158"/>
        <v>0.23573882213106112</v>
      </c>
      <c r="N481" s="28">
        <f t="shared" si="159"/>
        <v>999</v>
      </c>
      <c r="O481" s="28"/>
      <c r="P481" s="29">
        <f t="shared" si="175"/>
        <v>0.47200000000000036</v>
      </c>
      <c r="Q481" s="33">
        <f t="shared" si="160"/>
        <v>6.7114093959731544</v>
      </c>
      <c r="R481" s="33">
        <f t="shared" si="161"/>
        <v>6.7114093959731544</v>
      </c>
      <c r="S481" s="33">
        <f t="shared" si="162"/>
        <v>-1</v>
      </c>
      <c r="T481" s="27"/>
      <c r="U481" s="28">
        <f t="shared" si="163"/>
        <v>0.10964912280701754</v>
      </c>
      <c r="V481" s="25">
        <f t="shared" si="164"/>
        <v>999</v>
      </c>
      <c r="W481" s="35">
        <f t="shared" si="176"/>
        <v>25</v>
      </c>
      <c r="X481" s="33">
        <f t="shared" si="165"/>
        <v>25</v>
      </c>
      <c r="Y481" s="32">
        <f t="shared" si="166"/>
        <v>-1</v>
      </c>
      <c r="Z481" s="32"/>
      <c r="AA481" s="30">
        <f t="shared" si="167"/>
        <v>12.929735652650322</v>
      </c>
      <c r="AB481" s="28">
        <f t="shared" si="168"/>
        <v>0.52673207258228905</v>
      </c>
      <c r="AC481" s="28">
        <f t="shared" si="169"/>
        <v>0.10964912280701754</v>
      </c>
      <c r="AD481" s="29">
        <f t="shared" si="170"/>
        <v>447.81783681214426</v>
      </c>
      <c r="AE481" s="28">
        <f t="shared" si="171"/>
        <v>0.10964912280701754</v>
      </c>
      <c r="AF481" s="28">
        <f t="shared" si="172"/>
        <v>0.41708294977527149</v>
      </c>
      <c r="AG481" s="28">
        <f t="shared" si="173"/>
        <v>0</v>
      </c>
      <c r="AI481" s="31">
        <f t="shared" si="174"/>
        <v>1.1126872404586086</v>
      </c>
      <c r="AJ481" s="25"/>
      <c r="AK481" s="31"/>
      <c r="AM481" s="27"/>
    </row>
    <row r="482" spans="4:39" x14ac:dyDescent="0.25">
      <c r="D482" s="25">
        <f>E482*'Profit per cycles Model'!$I$113</f>
        <v>4730</v>
      </c>
      <c r="E482" s="25">
        <v>12.957129160388988</v>
      </c>
      <c r="F482" s="28">
        <f t="shared" si="155"/>
        <v>0.21141649048625794</v>
      </c>
      <c r="G482" s="28">
        <f>'Battery Pricing Model'!$C$17/D482</f>
        <v>0.21141649048625794</v>
      </c>
      <c r="H482" s="28">
        <f t="shared" si="156"/>
        <v>999</v>
      </c>
      <c r="I482" s="28"/>
      <c r="J482" s="34">
        <f>INDEX('Profit per cycles Model'!$I$149:$I$179, MATCH(TRUNC(E482, 0), 'Profit per cycles Model'!$H$149:$H$179, 0))</f>
        <v>0.52673207258228905</v>
      </c>
      <c r="K482" s="27">
        <f>AVERAGE($AB$10:AB482)</f>
        <v>0.44777052033497489</v>
      </c>
      <c r="L482" s="28">
        <f t="shared" si="157"/>
        <v>0.23635402984871695</v>
      </c>
      <c r="M482" s="28">
        <f t="shared" si="158"/>
        <v>0.23635402984871695</v>
      </c>
      <c r="N482" s="28">
        <f t="shared" si="159"/>
        <v>999</v>
      </c>
      <c r="O482" s="28"/>
      <c r="P482" s="29">
        <f t="shared" si="175"/>
        <v>0.47300000000000036</v>
      </c>
      <c r="Q482" s="33">
        <f t="shared" si="160"/>
        <v>6.7114093959731544</v>
      </c>
      <c r="R482" s="33">
        <f t="shared" si="161"/>
        <v>6.7114093959731544</v>
      </c>
      <c r="S482" s="33">
        <f t="shared" si="162"/>
        <v>-1</v>
      </c>
      <c r="T482" s="27"/>
      <c r="U482" s="28">
        <f t="shared" si="163"/>
        <v>0.10964912280701754</v>
      </c>
      <c r="V482" s="25">
        <f t="shared" si="164"/>
        <v>999</v>
      </c>
      <c r="W482" s="35">
        <f t="shared" si="176"/>
        <v>25</v>
      </c>
      <c r="X482" s="33">
        <f t="shared" si="165"/>
        <v>25</v>
      </c>
      <c r="Y482" s="32">
        <f t="shared" si="166"/>
        <v>-1</v>
      </c>
      <c r="Z482" s="32"/>
      <c r="AA482" s="30">
        <f t="shared" si="167"/>
        <v>12.957129160388988</v>
      </c>
      <c r="AB482" s="28">
        <f t="shared" si="168"/>
        <v>0.52673207258228905</v>
      </c>
      <c r="AC482" s="28">
        <f t="shared" si="169"/>
        <v>0.10964912280701754</v>
      </c>
      <c r="AD482" s="29">
        <f t="shared" si="170"/>
        <v>448.76660341555981</v>
      </c>
      <c r="AE482" s="28">
        <f t="shared" si="171"/>
        <v>0.10964912280701754</v>
      </c>
      <c r="AF482" s="28">
        <f t="shared" si="172"/>
        <v>0.41708294977527149</v>
      </c>
      <c r="AG482" s="28">
        <f t="shared" si="173"/>
        <v>0</v>
      </c>
      <c r="AI482" s="31">
        <f t="shared" si="174"/>
        <v>1.117954561184431</v>
      </c>
      <c r="AJ482" s="25"/>
      <c r="AK482" s="31"/>
      <c r="AM482" s="27"/>
    </row>
    <row r="483" spans="4:39" x14ac:dyDescent="0.25">
      <c r="D483" s="25">
        <f>E483*'Profit per cycles Model'!$I$113</f>
        <v>4740</v>
      </c>
      <c r="E483" s="25">
        <v>12.984522668127653</v>
      </c>
      <c r="F483" s="28">
        <f t="shared" si="155"/>
        <v>0.2109704641350211</v>
      </c>
      <c r="G483" s="28">
        <f>'Battery Pricing Model'!$C$17/D483</f>
        <v>0.2109704641350211</v>
      </c>
      <c r="H483" s="28">
        <f t="shared" si="156"/>
        <v>999</v>
      </c>
      <c r="I483" s="28"/>
      <c r="J483" s="34">
        <f>INDEX('Profit per cycles Model'!$I$149:$I$179, MATCH(TRUNC(E483, 0), 'Profit per cycles Model'!$H$149:$H$179, 0))</f>
        <v>0.52673207258228905</v>
      </c>
      <c r="K483" s="27">
        <f>AVERAGE($AB$10:AB483)</f>
        <v>0.44793710588823926</v>
      </c>
      <c r="L483" s="28">
        <f t="shared" si="157"/>
        <v>0.23696664175321816</v>
      </c>
      <c r="M483" s="28">
        <f t="shared" si="158"/>
        <v>0.23696664175321816</v>
      </c>
      <c r="N483" s="28">
        <f t="shared" si="159"/>
        <v>999</v>
      </c>
      <c r="O483" s="28"/>
      <c r="P483" s="29">
        <f t="shared" si="175"/>
        <v>0.47400000000000037</v>
      </c>
      <c r="Q483" s="33">
        <f t="shared" si="160"/>
        <v>6.7114093959731544</v>
      </c>
      <c r="R483" s="33">
        <f t="shared" si="161"/>
        <v>6.7114093959731544</v>
      </c>
      <c r="S483" s="33">
        <f t="shared" si="162"/>
        <v>-1</v>
      </c>
      <c r="T483" s="27"/>
      <c r="U483" s="28">
        <f t="shared" si="163"/>
        <v>0.10964912280701754</v>
      </c>
      <c r="V483" s="25">
        <f t="shared" si="164"/>
        <v>999</v>
      </c>
      <c r="W483" s="35">
        <f t="shared" si="176"/>
        <v>25</v>
      </c>
      <c r="X483" s="33">
        <f t="shared" si="165"/>
        <v>25</v>
      </c>
      <c r="Y483" s="32">
        <f t="shared" si="166"/>
        <v>-1</v>
      </c>
      <c r="Z483" s="32"/>
      <c r="AA483" s="30">
        <f t="shared" si="167"/>
        <v>12.984522668127653</v>
      </c>
      <c r="AB483" s="28">
        <f t="shared" si="168"/>
        <v>0.52673207258228905</v>
      </c>
      <c r="AC483" s="28">
        <f t="shared" si="169"/>
        <v>0.10964912280701754</v>
      </c>
      <c r="AD483" s="29">
        <f t="shared" si="170"/>
        <v>449.71537001897531</v>
      </c>
      <c r="AE483" s="28">
        <f t="shared" si="171"/>
        <v>0.10964912280701754</v>
      </c>
      <c r="AF483" s="28">
        <f t="shared" si="172"/>
        <v>0.41708294977527149</v>
      </c>
      <c r="AG483" s="28">
        <f t="shared" si="173"/>
        <v>0</v>
      </c>
      <c r="AI483" s="31">
        <f t="shared" si="174"/>
        <v>1.123221881910254</v>
      </c>
      <c r="AJ483" s="25"/>
      <c r="AK483" s="31"/>
      <c r="AM483" s="27"/>
    </row>
    <row r="484" spans="4:39" x14ac:dyDescent="0.25">
      <c r="D484" s="25">
        <f>E484*'Profit per cycles Model'!$I$113</f>
        <v>4750</v>
      </c>
      <c r="E484" s="25">
        <v>13.01191617586632</v>
      </c>
      <c r="F484" s="28">
        <f t="shared" si="155"/>
        <v>0.21052631578947367</v>
      </c>
      <c r="G484" s="28">
        <f>'Battery Pricing Model'!$C$17/D484</f>
        <v>0.21052631578947367</v>
      </c>
      <c r="H484" s="28">
        <f t="shared" si="156"/>
        <v>999</v>
      </c>
      <c r="I484" s="28"/>
      <c r="J484" s="34">
        <f>INDEX('Profit per cycles Model'!$I$149:$I$179, MATCH(TRUNC(E484, 0), 'Profit per cycles Model'!$H$149:$H$179, 0))</f>
        <v>0.54142978616155213</v>
      </c>
      <c r="K484" s="27">
        <f>AVERAGE($AB$10:AB484)</f>
        <v>0.44813393258355155</v>
      </c>
      <c r="L484" s="28">
        <f t="shared" si="157"/>
        <v>0.23760761679407788</v>
      </c>
      <c r="M484" s="28">
        <f t="shared" si="158"/>
        <v>0.23760761679407788</v>
      </c>
      <c r="N484" s="28">
        <f t="shared" si="159"/>
        <v>999</v>
      </c>
      <c r="O484" s="28"/>
      <c r="P484" s="29">
        <f t="shared" si="175"/>
        <v>0.47500000000000037</v>
      </c>
      <c r="Q484" s="33">
        <f t="shared" si="160"/>
        <v>6.7114093959731544</v>
      </c>
      <c r="R484" s="33">
        <f t="shared" si="161"/>
        <v>6.7114093959731544</v>
      </c>
      <c r="S484" s="33">
        <f t="shared" si="162"/>
        <v>-1</v>
      </c>
      <c r="T484" s="27"/>
      <c r="U484" s="28">
        <f t="shared" si="163"/>
        <v>0.10964912280701754</v>
      </c>
      <c r="V484" s="25">
        <f t="shared" si="164"/>
        <v>999</v>
      </c>
      <c r="W484" s="35">
        <f t="shared" si="176"/>
        <v>25</v>
      </c>
      <c r="X484" s="33">
        <f t="shared" si="165"/>
        <v>25</v>
      </c>
      <c r="Y484" s="32">
        <f t="shared" si="166"/>
        <v>-1</v>
      </c>
      <c r="Z484" s="32"/>
      <c r="AA484" s="30">
        <f t="shared" si="167"/>
        <v>13.01191617586632</v>
      </c>
      <c r="AB484" s="28">
        <f t="shared" si="168"/>
        <v>0.54142978616155213</v>
      </c>
      <c r="AC484" s="28">
        <f t="shared" si="169"/>
        <v>0.10964912280701754</v>
      </c>
      <c r="AD484" s="29">
        <f t="shared" si="170"/>
        <v>450.66413662239091</v>
      </c>
      <c r="AE484" s="28">
        <f t="shared" si="171"/>
        <v>0.10964912280701754</v>
      </c>
      <c r="AF484" s="28">
        <f t="shared" si="172"/>
        <v>0.43178066335453458</v>
      </c>
      <c r="AG484" s="28">
        <f t="shared" si="173"/>
        <v>0</v>
      </c>
      <c r="AI484" s="31">
        <f t="shared" si="174"/>
        <v>1.12863617977187</v>
      </c>
      <c r="AJ484" s="25"/>
      <c r="AK484" s="31"/>
      <c r="AM484" s="27"/>
    </row>
    <row r="485" spans="4:39" x14ac:dyDescent="0.25">
      <c r="D485" s="25">
        <f>E485*'Profit per cycles Model'!$I$113</f>
        <v>4760</v>
      </c>
      <c r="E485" s="25">
        <v>13.039309683604985</v>
      </c>
      <c r="F485" s="28">
        <f t="shared" si="155"/>
        <v>0.21008403361344538</v>
      </c>
      <c r="G485" s="28">
        <f>'Battery Pricing Model'!$C$17/D485</f>
        <v>0.21008403361344538</v>
      </c>
      <c r="H485" s="28">
        <f t="shared" si="156"/>
        <v>999</v>
      </c>
      <c r="I485" s="28"/>
      <c r="J485" s="34">
        <f>INDEX('Profit per cycles Model'!$I$149:$I$179, MATCH(TRUNC(E485, 0), 'Profit per cycles Model'!$H$149:$H$179, 0))</f>
        <v>0.54142978616155213</v>
      </c>
      <c r="K485" s="27">
        <f>AVERAGE($AB$10:AB485)</f>
        <v>0.44832993227594231</v>
      </c>
      <c r="L485" s="28">
        <f t="shared" si="157"/>
        <v>0.23824589866249693</v>
      </c>
      <c r="M485" s="28">
        <f t="shared" si="158"/>
        <v>0.23824589866249693</v>
      </c>
      <c r="N485" s="28">
        <f t="shared" si="159"/>
        <v>999</v>
      </c>
      <c r="O485" s="28"/>
      <c r="P485" s="29">
        <f t="shared" si="175"/>
        <v>0.47600000000000037</v>
      </c>
      <c r="Q485" s="33">
        <f t="shared" si="160"/>
        <v>6.7114093959731544</v>
      </c>
      <c r="R485" s="33">
        <f t="shared" si="161"/>
        <v>6.7114093959731544</v>
      </c>
      <c r="S485" s="33">
        <f t="shared" si="162"/>
        <v>-1</v>
      </c>
      <c r="T485" s="27"/>
      <c r="U485" s="28">
        <f t="shared" si="163"/>
        <v>0.10964912280701754</v>
      </c>
      <c r="V485" s="25">
        <f t="shared" si="164"/>
        <v>999</v>
      </c>
      <c r="W485" s="35">
        <f t="shared" si="176"/>
        <v>25</v>
      </c>
      <c r="X485" s="33">
        <f t="shared" si="165"/>
        <v>25</v>
      </c>
      <c r="Y485" s="32">
        <f t="shared" si="166"/>
        <v>-1</v>
      </c>
      <c r="Z485" s="32"/>
      <c r="AA485" s="30">
        <f t="shared" si="167"/>
        <v>13.039309683604985</v>
      </c>
      <c r="AB485" s="28">
        <f t="shared" si="168"/>
        <v>0.54142978616155213</v>
      </c>
      <c r="AC485" s="28">
        <f t="shared" si="169"/>
        <v>0.10964912280701754</v>
      </c>
      <c r="AD485" s="29">
        <f t="shared" si="170"/>
        <v>451.61290322580646</v>
      </c>
      <c r="AE485" s="28">
        <f t="shared" si="171"/>
        <v>0.10964912280701754</v>
      </c>
      <c r="AF485" s="28">
        <f t="shared" si="172"/>
        <v>0.43178066335453458</v>
      </c>
      <c r="AG485" s="28">
        <f t="shared" si="173"/>
        <v>0</v>
      </c>
      <c r="AI485" s="31">
        <f t="shared" si="174"/>
        <v>1.1340504776334854</v>
      </c>
      <c r="AJ485" s="25"/>
      <c r="AK485" s="31"/>
      <c r="AM485" s="27"/>
    </row>
    <row r="486" spans="4:39" x14ac:dyDescent="0.25">
      <c r="D486" s="25">
        <f>E486*'Profit per cycles Model'!$I$113</f>
        <v>4770</v>
      </c>
      <c r="E486" s="25">
        <v>13.066703191343651</v>
      </c>
      <c r="F486" s="28">
        <f t="shared" si="155"/>
        <v>0.20964360587002095</v>
      </c>
      <c r="G486" s="28">
        <f>'Battery Pricing Model'!$C$17/D486</f>
        <v>0.20964360587002095</v>
      </c>
      <c r="H486" s="28">
        <f t="shared" si="156"/>
        <v>999</v>
      </c>
      <c r="I486" s="28"/>
      <c r="J486" s="34">
        <f>INDEX('Profit per cycles Model'!$I$149:$I$179, MATCH(TRUNC(E486, 0), 'Profit per cycles Model'!$H$149:$H$179, 0))</f>
        <v>0.54142978616155213</v>
      </c>
      <c r="K486" s="27">
        <f>AVERAGE($AB$10:AB486)</f>
        <v>0.44852511016668783</v>
      </c>
      <c r="L486" s="28">
        <f t="shared" si="157"/>
        <v>0.23888150429666688</v>
      </c>
      <c r="M486" s="28">
        <f t="shared" si="158"/>
        <v>0.23888150429666688</v>
      </c>
      <c r="N486" s="28">
        <f t="shared" si="159"/>
        <v>999</v>
      </c>
      <c r="O486" s="28"/>
      <c r="P486" s="29">
        <f t="shared" si="175"/>
        <v>0.47700000000000037</v>
      </c>
      <c r="Q486" s="33">
        <f t="shared" si="160"/>
        <v>6.7114093959731544</v>
      </c>
      <c r="R486" s="33">
        <f t="shared" si="161"/>
        <v>6.7114093959731544</v>
      </c>
      <c r="S486" s="33">
        <f t="shared" si="162"/>
        <v>-1</v>
      </c>
      <c r="T486" s="27"/>
      <c r="U486" s="28">
        <f t="shared" si="163"/>
        <v>0.10964912280701754</v>
      </c>
      <c r="V486" s="25">
        <f t="shared" si="164"/>
        <v>999</v>
      </c>
      <c r="W486" s="35">
        <f t="shared" si="176"/>
        <v>25</v>
      </c>
      <c r="X486" s="33">
        <f t="shared" si="165"/>
        <v>25</v>
      </c>
      <c r="Y486" s="32">
        <f t="shared" si="166"/>
        <v>-1</v>
      </c>
      <c r="Z486" s="32"/>
      <c r="AA486" s="30">
        <f t="shared" si="167"/>
        <v>13.066703191343651</v>
      </c>
      <c r="AB486" s="28">
        <f t="shared" si="168"/>
        <v>0.54142978616155213</v>
      </c>
      <c r="AC486" s="28">
        <f t="shared" si="169"/>
        <v>0.10964912280701754</v>
      </c>
      <c r="AD486" s="29">
        <f t="shared" si="170"/>
        <v>452.56166982922201</v>
      </c>
      <c r="AE486" s="28">
        <f t="shared" si="171"/>
        <v>0.10964912280701754</v>
      </c>
      <c r="AF486" s="28">
        <f t="shared" si="172"/>
        <v>0.43178066335453458</v>
      </c>
      <c r="AG486" s="28">
        <f t="shared" si="173"/>
        <v>0</v>
      </c>
      <c r="AI486" s="31">
        <f t="shared" si="174"/>
        <v>1.1394647754951011</v>
      </c>
      <c r="AJ486" s="25"/>
      <c r="AK486" s="31"/>
      <c r="AM486" s="27"/>
    </row>
    <row r="487" spans="4:39" x14ac:dyDescent="0.25">
      <c r="D487" s="25">
        <f>E487*'Profit per cycles Model'!$I$113</f>
        <v>4780</v>
      </c>
      <c r="E487" s="25">
        <v>13.094096699082318</v>
      </c>
      <c r="F487" s="28">
        <f t="shared" si="155"/>
        <v>0.20920502092050208</v>
      </c>
      <c r="G487" s="28">
        <f>'Battery Pricing Model'!$C$17/D487</f>
        <v>0.20920502092050208</v>
      </c>
      <c r="H487" s="28">
        <f t="shared" si="156"/>
        <v>999</v>
      </c>
      <c r="I487" s="28"/>
      <c r="J487" s="34">
        <f>INDEX('Profit per cycles Model'!$I$149:$I$179, MATCH(TRUNC(E487, 0), 'Profit per cycles Model'!$H$149:$H$179, 0))</f>
        <v>0.54142978616155213</v>
      </c>
      <c r="K487" s="27">
        <f>AVERAGE($AB$10:AB487)</f>
        <v>0.44871947141353902</v>
      </c>
      <c r="L487" s="28">
        <f t="shared" si="157"/>
        <v>0.23951445049303693</v>
      </c>
      <c r="M487" s="28">
        <f t="shared" si="158"/>
        <v>0.23951445049303693</v>
      </c>
      <c r="N487" s="28">
        <f t="shared" si="159"/>
        <v>999</v>
      </c>
      <c r="O487" s="28"/>
      <c r="P487" s="29">
        <f t="shared" si="175"/>
        <v>0.47800000000000037</v>
      </c>
      <c r="Q487" s="33">
        <f t="shared" si="160"/>
        <v>6.7114093959731544</v>
      </c>
      <c r="R487" s="33">
        <f t="shared" si="161"/>
        <v>6.7114093959731544</v>
      </c>
      <c r="S487" s="33">
        <f t="shared" si="162"/>
        <v>-1</v>
      </c>
      <c r="T487" s="27"/>
      <c r="U487" s="28">
        <f t="shared" si="163"/>
        <v>0.10964912280701754</v>
      </c>
      <c r="V487" s="25">
        <f t="shared" si="164"/>
        <v>999</v>
      </c>
      <c r="W487" s="35">
        <f t="shared" si="176"/>
        <v>25</v>
      </c>
      <c r="X487" s="33">
        <f t="shared" si="165"/>
        <v>25</v>
      </c>
      <c r="Y487" s="32">
        <f t="shared" si="166"/>
        <v>-1</v>
      </c>
      <c r="Z487" s="32"/>
      <c r="AA487" s="30">
        <f t="shared" si="167"/>
        <v>13.094096699082318</v>
      </c>
      <c r="AB487" s="28">
        <f t="shared" si="168"/>
        <v>0.54142978616155213</v>
      </c>
      <c r="AC487" s="28">
        <f t="shared" si="169"/>
        <v>0.10964912280701754</v>
      </c>
      <c r="AD487" s="29">
        <f t="shared" si="170"/>
        <v>453.51043643263762</v>
      </c>
      <c r="AE487" s="28">
        <f t="shared" si="171"/>
        <v>0.10964912280701754</v>
      </c>
      <c r="AF487" s="28">
        <f t="shared" si="172"/>
        <v>0.43178066335453458</v>
      </c>
      <c r="AG487" s="28">
        <f t="shared" si="173"/>
        <v>0</v>
      </c>
      <c r="AI487" s="31">
        <f t="shared" si="174"/>
        <v>1.1448790733567167</v>
      </c>
      <c r="AJ487" s="25"/>
      <c r="AK487" s="31"/>
      <c r="AM487" s="27"/>
    </row>
    <row r="488" spans="4:39" x14ac:dyDescent="0.25">
      <c r="D488" s="25">
        <f>E488*'Profit per cycles Model'!$I$113</f>
        <v>4790</v>
      </c>
      <c r="E488" s="25">
        <v>13.121490206820983</v>
      </c>
      <c r="F488" s="28">
        <f t="shared" si="155"/>
        <v>0.20876826722338204</v>
      </c>
      <c r="G488" s="28">
        <f>'Battery Pricing Model'!$C$17/D488</f>
        <v>0.20876826722338204</v>
      </c>
      <c r="H488" s="28">
        <f t="shared" si="156"/>
        <v>999</v>
      </c>
      <c r="I488" s="28"/>
      <c r="J488" s="34">
        <f>INDEX('Profit per cycles Model'!$I$149:$I$179, MATCH(TRUNC(E488, 0), 'Profit per cycles Model'!$H$149:$H$179, 0))</f>
        <v>0.54142978616155213</v>
      </c>
      <c r="K488" s="27">
        <f>AVERAGE($AB$10:AB488)</f>
        <v>0.44891302113117582</v>
      </c>
      <c r="L488" s="28">
        <f t="shared" si="157"/>
        <v>0.24014475390779377</v>
      </c>
      <c r="M488" s="28">
        <f t="shared" si="158"/>
        <v>0.24014475390779377</v>
      </c>
      <c r="N488" s="28">
        <f t="shared" si="159"/>
        <v>999</v>
      </c>
      <c r="O488" s="28"/>
      <c r="P488" s="29">
        <f t="shared" si="175"/>
        <v>0.47900000000000037</v>
      </c>
      <c r="Q488" s="33">
        <f t="shared" si="160"/>
        <v>6.7114093959731544</v>
      </c>
      <c r="R488" s="33">
        <f t="shared" si="161"/>
        <v>6.7114093959731544</v>
      </c>
      <c r="S488" s="33">
        <f t="shared" si="162"/>
        <v>-1</v>
      </c>
      <c r="T488" s="27"/>
      <c r="U488" s="28">
        <f t="shared" si="163"/>
        <v>0.10964912280701754</v>
      </c>
      <c r="V488" s="25">
        <f t="shared" si="164"/>
        <v>999</v>
      </c>
      <c r="W488" s="35">
        <f t="shared" si="176"/>
        <v>25</v>
      </c>
      <c r="X488" s="33">
        <f t="shared" si="165"/>
        <v>25</v>
      </c>
      <c r="Y488" s="32">
        <f t="shared" si="166"/>
        <v>-1</v>
      </c>
      <c r="Z488" s="32"/>
      <c r="AA488" s="30">
        <f t="shared" si="167"/>
        <v>13.121490206820983</v>
      </c>
      <c r="AB488" s="28">
        <f t="shared" si="168"/>
        <v>0.54142978616155213</v>
      </c>
      <c r="AC488" s="28">
        <f t="shared" si="169"/>
        <v>0.10964912280701754</v>
      </c>
      <c r="AD488" s="29">
        <f t="shared" si="170"/>
        <v>454.45920303605317</v>
      </c>
      <c r="AE488" s="28">
        <f t="shared" si="171"/>
        <v>0.10964912280701754</v>
      </c>
      <c r="AF488" s="28">
        <f t="shared" si="172"/>
        <v>0.43178066335453458</v>
      </c>
      <c r="AG488" s="28">
        <f t="shared" si="173"/>
        <v>0</v>
      </c>
      <c r="AI488" s="31">
        <f t="shared" si="174"/>
        <v>1.1502933712183321</v>
      </c>
      <c r="AJ488" s="25"/>
      <c r="AK488" s="31"/>
      <c r="AM488" s="27"/>
    </row>
    <row r="489" spans="4:39" x14ac:dyDescent="0.25">
      <c r="D489" s="25">
        <f>E489*'Profit per cycles Model'!$I$113</f>
        <v>4800</v>
      </c>
      <c r="E489" s="25">
        <v>13.148883714559648</v>
      </c>
      <c r="F489" s="28">
        <f t="shared" si="155"/>
        <v>0.20833333333333334</v>
      </c>
      <c r="G489" s="28">
        <f>'Battery Pricing Model'!$C$17/D489</f>
        <v>0.20833333333333334</v>
      </c>
      <c r="H489" s="28">
        <f t="shared" si="156"/>
        <v>999</v>
      </c>
      <c r="I489" s="28"/>
      <c r="J489" s="34">
        <f>INDEX('Profit per cycles Model'!$I$149:$I$179, MATCH(TRUNC(E489, 0), 'Profit per cycles Model'!$H$149:$H$179, 0))</f>
        <v>0.54142978616155213</v>
      </c>
      <c r="K489" s="27">
        <f>AVERAGE($AB$10:AB489)</f>
        <v>0.44910576439165578</v>
      </c>
      <c r="L489" s="28">
        <f t="shared" si="157"/>
        <v>0.24077243105832244</v>
      </c>
      <c r="M489" s="28">
        <f t="shared" si="158"/>
        <v>0.24077243105832244</v>
      </c>
      <c r="N489" s="28">
        <f t="shared" si="159"/>
        <v>999</v>
      </c>
      <c r="O489" s="28"/>
      <c r="P489" s="29">
        <f t="shared" si="175"/>
        <v>0.48000000000000037</v>
      </c>
      <c r="Q489" s="33">
        <f t="shared" si="160"/>
        <v>6.7114093959731544</v>
      </c>
      <c r="R489" s="33">
        <f t="shared" si="161"/>
        <v>6.7114093959731544</v>
      </c>
      <c r="S489" s="33">
        <f t="shared" si="162"/>
        <v>-1</v>
      </c>
      <c r="T489" s="27"/>
      <c r="U489" s="28">
        <f t="shared" si="163"/>
        <v>0.10964912280701754</v>
      </c>
      <c r="V489" s="25">
        <f t="shared" si="164"/>
        <v>999</v>
      </c>
      <c r="W489" s="35">
        <f t="shared" si="176"/>
        <v>25</v>
      </c>
      <c r="X489" s="33">
        <f t="shared" si="165"/>
        <v>25</v>
      </c>
      <c r="Y489" s="32">
        <f t="shared" si="166"/>
        <v>-1</v>
      </c>
      <c r="Z489" s="32"/>
      <c r="AA489" s="30">
        <f t="shared" si="167"/>
        <v>13.148883714559648</v>
      </c>
      <c r="AB489" s="28">
        <f t="shared" si="168"/>
        <v>0.54142978616155213</v>
      </c>
      <c r="AC489" s="28">
        <f t="shared" si="169"/>
        <v>0.10964912280701754</v>
      </c>
      <c r="AD489" s="29">
        <f t="shared" si="170"/>
        <v>455.40796963946866</v>
      </c>
      <c r="AE489" s="28">
        <f t="shared" si="171"/>
        <v>0.10964912280701754</v>
      </c>
      <c r="AF489" s="28">
        <f t="shared" si="172"/>
        <v>0.43178066335453458</v>
      </c>
      <c r="AG489" s="28">
        <f t="shared" si="173"/>
        <v>0</v>
      </c>
      <c r="AI489" s="31">
        <f t="shared" si="174"/>
        <v>1.1557076690799477</v>
      </c>
      <c r="AJ489" s="25"/>
      <c r="AK489" s="31"/>
      <c r="AM489" s="27"/>
    </row>
    <row r="490" spans="4:39" x14ac:dyDescent="0.25">
      <c r="D490" s="25">
        <f>E490*'Profit per cycles Model'!$I$113</f>
        <v>4810</v>
      </c>
      <c r="E490" s="25">
        <v>13.176277222298316</v>
      </c>
      <c r="F490" s="28">
        <f t="shared" si="155"/>
        <v>0.20790020790020791</v>
      </c>
      <c r="G490" s="28">
        <f>'Battery Pricing Model'!$C$17/D490</f>
        <v>0.20790020790020791</v>
      </c>
      <c r="H490" s="28">
        <f t="shared" si="156"/>
        <v>999</v>
      </c>
      <c r="I490" s="28"/>
      <c r="J490" s="34">
        <f>INDEX('Profit per cycles Model'!$I$149:$I$179, MATCH(TRUNC(E490, 0), 'Profit per cycles Model'!$H$149:$H$179, 0))</f>
        <v>0.54142978616155213</v>
      </c>
      <c r="K490" s="27">
        <f>AVERAGE($AB$10:AB490)</f>
        <v>0.44929770622485721</v>
      </c>
      <c r="L490" s="28">
        <f t="shared" si="157"/>
        <v>0.2413974983246493</v>
      </c>
      <c r="M490" s="28">
        <f t="shared" si="158"/>
        <v>0.2413974983246493</v>
      </c>
      <c r="N490" s="28">
        <f t="shared" si="159"/>
        <v>999</v>
      </c>
      <c r="O490" s="28"/>
      <c r="P490" s="29">
        <f t="shared" si="175"/>
        <v>0.48100000000000037</v>
      </c>
      <c r="Q490" s="33">
        <f t="shared" si="160"/>
        <v>6.7114093959731544</v>
      </c>
      <c r="R490" s="33">
        <f t="shared" si="161"/>
        <v>6.7114093959731544</v>
      </c>
      <c r="S490" s="33">
        <f t="shared" si="162"/>
        <v>-1</v>
      </c>
      <c r="T490" s="27"/>
      <c r="U490" s="28">
        <f t="shared" si="163"/>
        <v>0.10964912280701754</v>
      </c>
      <c r="V490" s="25">
        <f t="shared" si="164"/>
        <v>999</v>
      </c>
      <c r="W490" s="35">
        <f t="shared" si="176"/>
        <v>25</v>
      </c>
      <c r="X490" s="33">
        <f t="shared" si="165"/>
        <v>25</v>
      </c>
      <c r="Y490" s="32">
        <f t="shared" si="166"/>
        <v>-1</v>
      </c>
      <c r="Z490" s="32"/>
      <c r="AA490" s="30">
        <f t="shared" si="167"/>
        <v>13.176277222298316</v>
      </c>
      <c r="AB490" s="28">
        <f t="shared" si="168"/>
        <v>0.54142978616155213</v>
      </c>
      <c r="AC490" s="28">
        <f t="shared" si="169"/>
        <v>0.10964912280701754</v>
      </c>
      <c r="AD490" s="29">
        <f t="shared" si="170"/>
        <v>456.35673624288427</v>
      </c>
      <c r="AE490" s="28">
        <f t="shared" si="171"/>
        <v>0.10964912280701754</v>
      </c>
      <c r="AF490" s="28">
        <f t="shared" si="172"/>
        <v>0.43178066335453458</v>
      </c>
      <c r="AG490" s="28">
        <f t="shared" si="173"/>
        <v>0</v>
      </c>
      <c r="AI490" s="31">
        <f t="shared" si="174"/>
        <v>1.1611219669415631</v>
      </c>
      <c r="AJ490" s="25"/>
      <c r="AK490" s="31"/>
      <c r="AM490" s="27"/>
    </row>
    <row r="491" spans="4:39" x14ac:dyDescent="0.25">
      <c r="D491" s="25">
        <f>E491*'Profit per cycles Model'!$I$113</f>
        <v>4820</v>
      </c>
      <c r="E491" s="25">
        <v>13.203670730036981</v>
      </c>
      <c r="F491" s="28">
        <f t="shared" si="155"/>
        <v>0.2074688796680498</v>
      </c>
      <c r="G491" s="28">
        <f>'Battery Pricing Model'!$C$17/D491</f>
        <v>0.2074688796680498</v>
      </c>
      <c r="H491" s="28">
        <f t="shared" si="156"/>
        <v>999</v>
      </c>
      <c r="I491" s="28"/>
      <c r="J491" s="34">
        <f>INDEX('Profit per cycles Model'!$I$149:$I$179, MATCH(TRUNC(E491, 0), 'Profit per cycles Model'!$H$149:$H$179, 0))</f>
        <v>0.54142978616155213</v>
      </c>
      <c r="K491" s="27">
        <f>AVERAGE($AB$10:AB491)</f>
        <v>0.44948885161891677</v>
      </c>
      <c r="L491" s="28">
        <f t="shared" si="157"/>
        <v>0.24201997195086697</v>
      </c>
      <c r="M491" s="28">
        <f t="shared" si="158"/>
        <v>0.24201997195086697</v>
      </c>
      <c r="N491" s="28">
        <f t="shared" si="159"/>
        <v>999</v>
      </c>
      <c r="O491" s="28"/>
      <c r="P491" s="29">
        <f t="shared" si="175"/>
        <v>0.48200000000000037</v>
      </c>
      <c r="Q491" s="33">
        <f t="shared" si="160"/>
        <v>6.7114093959731544</v>
      </c>
      <c r="R491" s="33">
        <f t="shared" si="161"/>
        <v>6.7114093959731544</v>
      </c>
      <c r="S491" s="33">
        <f t="shared" si="162"/>
        <v>-1</v>
      </c>
      <c r="T491" s="27"/>
      <c r="U491" s="28">
        <f t="shared" si="163"/>
        <v>0.10964912280701754</v>
      </c>
      <c r="V491" s="25">
        <f t="shared" si="164"/>
        <v>999</v>
      </c>
      <c r="W491" s="35">
        <f t="shared" si="176"/>
        <v>25</v>
      </c>
      <c r="X491" s="33">
        <f t="shared" si="165"/>
        <v>25</v>
      </c>
      <c r="Y491" s="32">
        <f t="shared" si="166"/>
        <v>-1</v>
      </c>
      <c r="Z491" s="32"/>
      <c r="AA491" s="30">
        <f t="shared" si="167"/>
        <v>13.203670730036981</v>
      </c>
      <c r="AB491" s="28">
        <f t="shared" si="168"/>
        <v>0.54142978616155213</v>
      </c>
      <c r="AC491" s="28">
        <f t="shared" si="169"/>
        <v>0.10964912280701754</v>
      </c>
      <c r="AD491" s="29">
        <f t="shared" si="170"/>
        <v>457.30550284629987</v>
      </c>
      <c r="AE491" s="28">
        <f t="shared" si="171"/>
        <v>0.10964912280701754</v>
      </c>
      <c r="AF491" s="28">
        <f t="shared" si="172"/>
        <v>0.43178066335453458</v>
      </c>
      <c r="AG491" s="28">
        <f t="shared" si="173"/>
        <v>0</v>
      </c>
      <c r="AI491" s="31">
        <f t="shared" si="174"/>
        <v>1.1665362648031787</v>
      </c>
      <c r="AJ491" s="25"/>
      <c r="AK491" s="31"/>
      <c r="AM491" s="27"/>
    </row>
    <row r="492" spans="4:39" x14ac:dyDescent="0.25">
      <c r="D492" s="25">
        <f>E492*'Profit per cycles Model'!$I$113</f>
        <v>4830</v>
      </c>
      <c r="E492" s="25">
        <v>13.231064237775646</v>
      </c>
      <c r="F492" s="28">
        <f t="shared" si="155"/>
        <v>0.20703933747412009</v>
      </c>
      <c r="G492" s="28">
        <f>'Battery Pricing Model'!$C$17/D492</f>
        <v>0.20703933747412009</v>
      </c>
      <c r="H492" s="28">
        <f t="shared" si="156"/>
        <v>999</v>
      </c>
      <c r="I492" s="28"/>
      <c r="J492" s="34">
        <f>INDEX('Profit per cycles Model'!$I$149:$I$179, MATCH(TRUNC(E492, 0), 'Profit per cycles Model'!$H$149:$H$179, 0))</f>
        <v>0.54142978616155213</v>
      </c>
      <c r="K492" s="27">
        <f>AVERAGE($AB$10:AB492)</f>
        <v>0.44967920552066137</v>
      </c>
      <c r="L492" s="28">
        <f t="shared" si="157"/>
        <v>0.24263986804654128</v>
      </c>
      <c r="M492" s="28">
        <f t="shared" si="158"/>
        <v>0.24263986804654128</v>
      </c>
      <c r="N492" s="28">
        <f t="shared" si="159"/>
        <v>999</v>
      </c>
      <c r="O492" s="28"/>
      <c r="P492" s="29">
        <f t="shared" si="175"/>
        <v>0.48300000000000037</v>
      </c>
      <c r="Q492" s="33">
        <f t="shared" si="160"/>
        <v>6.7114093959731544</v>
      </c>
      <c r="R492" s="33">
        <f t="shared" si="161"/>
        <v>6.7114093959731544</v>
      </c>
      <c r="S492" s="33">
        <f t="shared" si="162"/>
        <v>-1</v>
      </c>
      <c r="T492" s="27"/>
      <c r="U492" s="28">
        <f t="shared" si="163"/>
        <v>0.10964912280701754</v>
      </c>
      <c r="V492" s="25">
        <f t="shared" si="164"/>
        <v>999</v>
      </c>
      <c r="W492" s="35">
        <f t="shared" si="176"/>
        <v>25</v>
      </c>
      <c r="X492" s="33">
        <f t="shared" si="165"/>
        <v>25</v>
      </c>
      <c r="Y492" s="32">
        <f t="shared" si="166"/>
        <v>-1</v>
      </c>
      <c r="Z492" s="32"/>
      <c r="AA492" s="30">
        <f t="shared" si="167"/>
        <v>13.231064237775646</v>
      </c>
      <c r="AB492" s="28">
        <f t="shared" si="168"/>
        <v>0.54142978616155213</v>
      </c>
      <c r="AC492" s="28">
        <f t="shared" si="169"/>
        <v>0.10964912280701754</v>
      </c>
      <c r="AD492" s="29">
        <f t="shared" si="170"/>
        <v>458.25426944971537</v>
      </c>
      <c r="AE492" s="28">
        <f t="shared" si="171"/>
        <v>0.10964912280701754</v>
      </c>
      <c r="AF492" s="28">
        <f t="shared" si="172"/>
        <v>0.43178066335453458</v>
      </c>
      <c r="AG492" s="28">
        <f t="shared" si="173"/>
        <v>0</v>
      </c>
      <c r="AI492" s="31">
        <f t="shared" si="174"/>
        <v>1.1719505626647944</v>
      </c>
      <c r="AJ492" s="25"/>
      <c r="AK492" s="31"/>
      <c r="AM492" s="27"/>
    </row>
    <row r="493" spans="4:39" x14ac:dyDescent="0.25">
      <c r="D493" s="25">
        <f>E493*'Profit per cycles Model'!$I$113</f>
        <v>4840</v>
      </c>
      <c r="E493" s="25">
        <v>13.258457745514313</v>
      </c>
      <c r="F493" s="28">
        <f t="shared" si="155"/>
        <v>0.20661157024793389</v>
      </c>
      <c r="G493" s="28">
        <f>'Battery Pricing Model'!$C$17/D493</f>
        <v>0.20661157024793389</v>
      </c>
      <c r="H493" s="28">
        <f t="shared" si="156"/>
        <v>999</v>
      </c>
      <c r="I493" s="28"/>
      <c r="J493" s="34">
        <f>INDEX('Profit per cycles Model'!$I$149:$I$179, MATCH(TRUNC(E493, 0), 'Profit per cycles Model'!$H$149:$H$179, 0))</f>
        <v>0.54142978616155213</v>
      </c>
      <c r="K493" s="27">
        <f>AVERAGE($AB$10:AB493)</f>
        <v>0.4498687728360351</v>
      </c>
      <c r="L493" s="28">
        <f t="shared" si="157"/>
        <v>0.24325720258810121</v>
      </c>
      <c r="M493" s="28">
        <f t="shared" si="158"/>
        <v>0.24325720258810121</v>
      </c>
      <c r="N493" s="28">
        <f t="shared" si="159"/>
        <v>999</v>
      </c>
      <c r="O493" s="28"/>
      <c r="P493" s="29">
        <f t="shared" si="175"/>
        <v>0.48400000000000037</v>
      </c>
      <c r="Q493" s="33">
        <f t="shared" si="160"/>
        <v>6.7114093959731544</v>
      </c>
      <c r="R493" s="33">
        <f t="shared" si="161"/>
        <v>6.7114093959731544</v>
      </c>
      <c r="S493" s="33">
        <f t="shared" si="162"/>
        <v>-1</v>
      </c>
      <c r="T493" s="27"/>
      <c r="U493" s="28">
        <f t="shared" si="163"/>
        <v>0.10964912280701754</v>
      </c>
      <c r="V493" s="25">
        <f t="shared" si="164"/>
        <v>999</v>
      </c>
      <c r="W493" s="35">
        <f t="shared" si="176"/>
        <v>25</v>
      </c>
      <c r="X493" s="33">
        <f t="shared" si="165"/>
        <v>25</v>
      </c>
      <c r="Y493" s="32">
        <f t="shared" si="166"/>
        <v>-1</v>
      </c>
      <c r="Z493" s="32"/>
      <c r="AA493" s="30">
        <f t="shared" si="167"/>
        <v>13.258457745514313</v>
      </c>
      <c r="AB493" s="28">
        <f t="shared" si="168"/>
        <v>0.54142978616155213</v>
      </c>
      <c r="AC493" s="28">
        <f t="shared" si="169"/>
        <v>0.10964912280701754</v>
      </c>
      <c r="AD493" s="29">
        <f t="shared" si="170"/>
        <v>459.20303605313097</v>
      </c>
      <c r="AE493" s="28">
        <f t="shared" si="171"/>
        <v>0.10964912280701754</v>
      </c>
      <c r="AF493" s="28">
        <f t="shared" si="172"/>
        <v>0.43178066335453458</v>
      </c>
      <c r="AG493" s="28">
        <f t="shared" si="173"/>
        <v>0</v>
      </c>
      <c r="AI493" s="31">
        <f t="shared" si="174"/>
        <v>1.1773648605264098</v>
      </c>
      <c r="AJ493" s="25"/>
      <c r="AK493" s="31"/>
      <c r="AM493" s="27"/>
    </row>
    <row r="494" spans="4:39" x14ac:dyDescent="0.25">
      <c r="D494" s="25">
        <f>E494*'Profit per cycles Model'!$I$113</f>
        <v>4850</v>
      </c>
      <c r="E494" s="25">
        <v>13.285851253252979</v>
      </c>
      <c r="F494" s="28">
        <f t="shared" si="155"/>
        <v>0.20618556701030927</v>
      </c>
      <c r="G494" s="28">
        <f>'Battery Pricing Model'!$C$17/D494</f>
        <v>0.20618556701030927</v>
      </c>
      <c r="H494" s="28">
        <f t="shared" si="156"/>
        <v>999</v>
      </c>
      <c r="I494" s="28"/>
      <c r="J494" s="34">
        <f>INDEX('Profit per cycles Model'!$I$149:$I$179, MATCH(TRUNC(E494, 0), 'Profit per cycles Model'!$H$149:$H$179, 0))</f>
        <v>0.54142978616155213</v>
      </c>
      <c r="K494" s="27">
        <f>AVERAGE($AB$10:AB494)</f>
        <v>0.45005755843052075</v>
      </c>
      <c r="L494" s="28">
        <f t="shared" si="157"/>
        <v>0.24387199142021149</v>
      </c>
      <c r="M494" s="28">
        <f t="shared" si="158"/>
        <v>0.24387199142021149</v>
      </c>
      <c r="N494" s="28">
        <f t="shared" si="159"/>
        <v>999</v>
      </c>
      <c r="O494" s="28"/>
      <c r="P494" s="29">
        <f t="shared" si="175"/>
        <v>0.48500000000000038</v>
      </c>
      <c r="Q494" s="33">
        <f t="shared" si="160"/>
        <v>6.7114093959731544</v>
      </c>
      <c r="R494" s="33">
        <f t="shared" si="161"/>
        <v>6.7114093959731544</v>
      </c>
      <c r="S494" s="33">
        <f t="shared" si="162"/>
        <v>-1</v>
      </c>
      <c r="T494" s="27"/>
      <c r="U494" s="28">
        <f t="shared" si="163"/>
        <v>0.10964912280701754</v>
      </c>
      <c r="V494" s="25">
        <f t="shared" si="164"/>
        <v>999</v>
      </c>
      <c r="W494" s="35">
        <f t="shared" si="176"/>
        <v>25</v>
      </c>
      <c r="X494" s="33">
        <f t="shared" si="165"/>
        <v>25</v>
      </c>
      <c r="Y494" s="32">
        <f t="shared" si="166"/>
        <v>-1</v>
      </c>
      <c r="Z494" s="32"/>
      <c r="AA494" s="30">
        <f t="shared" si="167"/>
        <v>13.285851253252979</v>
      </c>
      <c r="AB494" s="28">
        <f t="shared" si="168"/>
        <v>0.54142978616155213</v>
      </c>
      <c r="AC494" s="28">
        <f t="shared" si="169"/>
        <v>0.10964912280701754</v>
      </c>
      <c r="AD494" s="29">
        <f t="shared" si="170"/>
        <v>460.15180265654652</v>
      </c>
      <c r="AE494" s="28">
        <f t="shared" si="171"/>
        <v>0.10964912280701754</v>
      </c>
      <c r="AF494" s="28">
        <f t="shared" si="172"/>
        <v>0.43178066335453458</v>
      </c>
      <c r="AG494" s="28">
        <f t="shared" si="173"/>
        <v>0</v>
      </c>
      <c r="AI494" s="31">
        <f t="shared" si="174"/>
        <v>1.1827791583880258</v>
      </c>
      <c r="AJ494" s="25"/>
      <c r="AK494" s="31"/>
      <c r="AM494" s="27"/>
    </row>
    <row r="495" spans="4:39" x14ac:dyDescent="0.25">
      <c r="D495" s="25">
        <f>E495*'Profit per cycles Model'!$I$113</f>
        <v>4860</v>
      </c>
      <c r="E495" s="25">
        <v>13.313244760991644</v>
      </c>
      <c r="F495" s="28">
        <f t="shared" si="155"/>
        <v>0.20576131687242799</v>
      </c>
      <c r="G495" s="28">
        <f>'Battery Pricing Model'!$C$17/D495</f>
        <v>0.20576131687242799</v>
      </c>
      <c r="H495" s="28">
        <f t="shared" si="156"/>
        <v>999</v>
      </c>
      <c r="I495" s="28"/>
      <c r="J495" s="34">
        <f>INDEX('Profit per cycles Model'!$I$149:$I$179, MATCH(TRUNC(E495, 0), 'Profit per cycles Model'!$H$149:$H$179, 0))</f>
        <v>0.54142978616155213</v>
      </c>
      <c r="K495" s="27">
        <f>AVERAGE($AB$10:AB495)</f>
        <v>0.45024556712955577</v>
      </c>
      <c r="L495" s="28">
        <f t="shared" si="157"/>
        <v>0.24448425025712778</v>
      </c>
      <c r="M495" s="28">
        <f t="shared" si="158"/>
        <v>0.24448425025712778</v>
      </c>
      <c r="N495" s="28">
        <f t="shared" si="159"/>
        <v>999</v>
      </c>
      <c r="O495" s="28"/>
      <c r="P495" s="29">
        <f t="shared" si="175"/>
        <v>0.48600000000000038</v>
      </c>
      <c r="Q495" s="33">
        <f t="shared" si="160"/>
        <v>6.7114093959731544</v>
      </c>
      <c r="R495" s="33">
        <f t="shared" si="161"/>
        <v>6.7114093959731544</v>
      </c>
      <c r="S495" s="33">
        <f t="shared" si="162"/>
        <v>-1</v>
      </c>
      <c r="T495" s="27"/>
      <c r="U495" s="28">
        <f t="shared" si="163"/>
        <v>0.10964912280701754</v>
      </c>
      <c r="V495" s="25">
        <f t="shared" si="164"/>
        <v>999</v>
      </c>
      <c r="W495" s="35">
        <f t="shared" si="176"/>
        <v>25</v>
      </c>
      <c r="X495" s="33">
        <f t="shared" si="165"/>
        <v>25</v>
      </c>
      <c r="Y495" s="32">
        <f t="shared" si="166"/>
        <v>-1</v>
      </c>
      <c r="Z495" s="32"/>
      <c r="AA495" s="30">
        <f t="shared" si="167"/>
        <v>13.313244760991644</v>
      </c>
      <c r="AB495" s="28">
        <f t="shared" si="168"/>
        <v>0.54142978616155213</v>
      </c>
      <c r="AC495" s="28">
        <f t="shared" si="169"/>
        <v>0.10964912280701754</v>
      </c>
      <c r="AD495" s="29">
        <f t="shared" si="170"/>
        <v>461.10056925996201</v>
      </c>
      <c r="AE495" s="28">
        <f t="shared" si="171"/>
        <v>0.10964912280701754</v>
      </c>
      <c r="AF495" s="28">
        <f t="shared" si="172"/>
        <v>0.43178066335453458</v>
      </c>
      <c r="AG495" s="28">
        <f t="shared" si="173"/>
        <v>0</v>
      </c>
      <c r="AI495" s="31">
        <f t="shared" si="174"/>
        <v>1.188193456249641</v>
      </c>
      <c r="AJ495" s="25"/>
      <c r="AK495" s="31"/>
      <c r="AM495" s="27"/>
    </row>
    <row r="496" spans="4:39" x14ac:dyDescent="0.25">
      <c r="D496" s="25">
        <f>E496*'Profit per cycles Model'!$I$113</f>
        <v>4870</v>
      </c>
      <c r="E496" s="25">
        <v>13.340638268730311</v>
      </c>
      <c r="F496" s="28">
        <f t="shared" si="155"/>
        <v>0.20533880903490759</v>
      </c>
      <c r="G496" s="28">
        <f>'Battery Pricing Model'!$C$17/D496</f>
        <v>0.20533880903490759</v>
      </c>
      <c r="H496" s="28">
        <f t="shared" si="156"/>
        <v>999</v>
      </c>
      <c r="I496" s="28"/>
      <c r="J496" s="34">
        <f>INDEX('Profit per cycles Model'!$I$149:$I$179, MATCH(TRUNC(E496, 0), 'Profit per cycles Model'!$H$149:$H$179, 0))</f>
        <v>0.54142978616155213</v>
      </c>
      <c r="K496" s="27">
        <f>AVERAGE($AB$10:AB496)</f>
        <v>0.4504328037189439</v>
      </c>
      <c r="L496" s="28">
        <f t="shared" si="157"/>
        <v>0.24509399468403631</v>
      </c>
      <c r="M496" s="28">
        <f t="shared" si="158"/>
        <v>0.24509399468403631</v>
      </c>
      <c r="N496" s="28">
        <f t="shared" si="159"/>
        <v>999</v>
      </c>
      <c r="O496" s="28"/>
      <c r="P496" s="29">
        <f t="shared" si="175"/>
        <v>0.48700000000000038</v>
      </c>
      <c r="Q496" s="33">
        <f t="shared" si="160"/>
        <v>6.7114093959731544</v>
      </c>
      <c r="R496" s="33">
        <f t="shared" si="161"/>
        <v>6.7114093959731544</v>
      </c>
      <c r="S496" s="33">
        <f t="shared" si="162"/>
        <v>-1</v>
      </c>
      <c r="T496" s="27"/>
      <c r="U496" s="28">
        <f t="shared" si="163"/>
        <v>0.10964912280701754</v>
      </c>
      <c r="V496" s="25">
        <f t="shared" si="164"/>
        <v>999</v>
      </c>
      <c r="W496" s="35">
        <f t="shared" si="176"/>
        <v>25</v>
      </c>
      <c r="X496" s="33">
        <f t="shared" si="165"/>
        <v>25</v>
      </c>
      <c r="Y496" s="32">
        <f t="shared" si="166"/>
        <v>-1</v>
      </c>
      <c r="Z496" s="32"/>
      <c r="AA496" s="30">
        <f t="shared" si="167"/>
        <v>13.340638268730311</v>
      </c>
      <c r="AB496" s="28">
        <f t="shared" si="168"/>
        <v>0.54142978616155213</v>
      </c>
      <c r="AC496" s="28">
        <f t="shared" si="169"/>
        <v>0.10964912280701754</v>
      </c>
      <c r="AD496" s="29">
        <f t="shared" si="170"/>
        <v>462.04933586337762</v>
      </c>
      <c r="AE496" s="28">
        <f t="shared" si="171"/>
        <v>0.10964912280701754</v>
      </c>
      <c r="AF496" s="28">
        <f t="shared" si="172"/>
        <v>0.43178066335453458</v>
      </c>
      <c r="AG496" s="28">
        <f t="shared" si="173"/>
        <v>0</v>
      </c>
      <c r="AI496" s="31">
        <f t="shared" si="174"/>
        <v>1.1936077541112569</v>
      </c>
      <c r="AJ496" s="25"/>
      <c r="AK496" s="31"/>
      <c r="AM496" s="27"/>
    </row>
    <row r="497" spans="4:39" x14ac:dyDescent="0.25">
      <c r="D497" s="25">
        <f>E497*'Profit per cycles Model'!$I$113</f>
        <v>4880</v>
      </c>
      <c r="E497" s="25">
        <v>13.368031776468976</v>
      </c>
      <c r="F497" s="28">
        <f t="shared" si="155"/>
        <v>0.20491803278688525</v>
      </c>
      <c r="G497" s="28">
        <f>'Battery Pricing Model'!$C$17/D497</f>
        <v>0.20491803278688525</v>
      </c>
      <c r="H497" s="28">
        <f t="shared" si="156"/>
        <v>999</v>
      </c>
      <c r="I497" s="28"/>
      <c r="J497" s="34">
        <f>INDEX('Profit per cycles Model'!$I$149:$I$179, MATCH(TRUNC(E497, 0), 'Profit per cycles Model'!$H$149:$H$179, 0))</f>
        <v>0.54142978616155213</v>
      </c>
      <c r="K497" s="27">
        <f>AVERAGE($AB$10:AB497)</f>
        <v>0.45061927294526072</v>
      </c>
      <c r="L497" s="28">
        <f t="shared" si="157"/>
        <v>0.24570124015837547</v>
      </c>
      <c r="M497" s="28">
        <f t="shared" si="158"/>
        <v>0.24570124015837547</v>
      </c>
      <c r="N497" s="28">
        <f t="shared" si="159"/>
        <v>999</v>
      </c>
      <c r="O497" s="28"/>
      <c r="P497" s="29">
        <f t="shared" si="175"/>
        <v>0.48800000000000038</v>
      </c>
      <c r="Q497" s="33">
        <f t="shared" si="160"/>
        <v>6.7114093959731544</v>
      </c>
      <c r="R497" s="33">
        <f t="shared" si="161"/>
        <v>6.7114093959731544</v>
      </c>
      <c r="S497" s="33">
        <f t="shared" si="162"/>
        <v>-1</v>
      </c>
      <c r="T497" s="27"/>
      <c r="U497" s="28">
        <f t="shared" si="163"/>
        <v>0.10964912280701754</v>
      </c>
      <c r="V497" s="25">
        <f t="shared" si="164"/>
        <v>999</v>
      </c>
      <c r="W497" s="35">
        <f t="shared" si="176"/>
        <v>25</v>
      </c>
      <c r="X497" s="33">
        <f t="shared" si="165"/>
        <v>25</v>
      </c>
      <c r="Y497" s="32">
        <f t="shared" si="166"/>
        <v>-1</v>
      </c>
      <c r="Z497" s="32"/>
      <c r="AA497" s="30">
        <f t="shared" si="167"/>
        <v>13.368031776468976</v>
      </c>
      <c r="AB497" s="28">
        <f t="shared" si="168"/>
        <v>0.54142978616155213</v>
      </c>
      <c r="AC497" s="28">
        <f t="shared" si="169"/>
        <v>0.10964912280701754</v>
      </c>
      <c r="AD497" s="29">
        <f t="shared" si="170"/>
        <v>462.99810246679323</v>
      </c>
      <c r="AE497" s="28">
        <f t="shared" si="171"/>
        <v>0.10964912280701754</v>
      </c>
      <c r="AF497" s="28">
        <f t="shared" si="172"/>
        <v>0.43178066335453458</v>
      </c>
      <c r="AG497" s="28">
        <f t="shared" si="173"/>
        <v>0</v>
      </c>
      <c r="AI497" s="31">
        <f t="shared" si="174"/>
        <v>1.1990220519728723</v>
      </c>
      <c r="AJ497" s="25"/>
      <c r="AK497" s="31"/>
      <c r="AM497" s="27"/>
    </row>
    <row r="498" spans="4:39" x14ac:dyDescent="0.25">
      <c r="D498" s="25">
        <f>E498*'Profit per cycles Model'!$I$113</f>
        <v>4890</v>
      </c>
      <c r="E498" s="25">
        <v>13.395425284207642</v>
      </c>
      <c r="F498" s="28">
        <f t="shared" si="155"/>
        <v>0.20449897750511248</v>
      </c>
      <c r="G498" s="28">
        <f>'Battery Pricing Model'!$C$17/D498</f>
        <v>0.20449897750511248</v>
      </c>
      <c r="H498" s="28">
        <f t="shared" si="156"/>
        <v>999</v>
      </c>
      <c r="I498" s="28"/>
      <c r="J498" s="34">
        <f>INDEX('Profit per cycles Model'!$I$149:$I$179, MATCH(TRUNC(E498, 0), 'Profit per cycles Model'!$H$149:$H$179, 0))</f>
        <v>0.54142978616155213</v>
      </c>
      <c r="K498" s="27">
        <f>AVERAGE($AB$10:AB498)</f>
        <v>0.4508049795162552</v>
      </c>
      <c r="L498" s="28">
        <f t="shared" si="157"/>
        <v>0.24630600201114272</v>
      </c>
      <c r="M498" s="28">
        <f t="shared" si="158"/>
        <v>0.24630600201114272</v>
      </c>
      <c r="N498" s="28">
        <f t="shared" si="159"/>
        <v>999</v>
      </c>
      <c r="O498" s="28"/>
      <c r="P498" s="29">
        <f t="shared" si="175"/>
        <v>0.48900000000000038</v>
      </c>
      <c r="Q498" s="33">
        <f t="shared" si="160"/>
        <v>6.7114093959731544</v>
      </c>
      <c r="R498" s="33">
        <f t="shared" si="161"/>
        <v>6.7114093959731544</v>
      </c>
      <c r="S498" s="33">
        <f t="shared" si="162"/>
        <v>-1</v>
      </c>
      <c r="T498" s="27"/>
      <c r="U498" s="28">
        <f t="shared" si="163"/>
        <v>0.10964912280701754</v>
      </c>
      <c r="V498" s="25">
        <f t="shared" si="164"/>
        <v>999</v>
      </c>
      <c r="W498" s="35">
        <f t="shared" si="176"/>
        <v>25</v>
      </c>
      <c r="X498" s="33">
        <f t="shared" si="165"/>
        <v>25</v>
      </c>
      <c r="Y498" s="32">
        <f t="shared" si="166"/>
        <v>-1</v>
      </c>
      <c r="Z498" s="32"/>
      <c r="AA498" s="30">
        <f t="shared" si="167"/>
        <v>13.395425284207642</v>
      </c>
      <c r="AB498" s="28">
        <f t="shared" si="168"/>
        <v>0.54142978616155213</v>
      </c>
      <c r="AC498" s="28">
        <f t="shared" si="169"/>
        <v>0.10964912280701754</v>
      </c>
      <c r="AD498" s="29">
        <f t="shared" si="170"/>
        <v>463.94686907020872</v>
      </c>
      <c r="AE498" s="28">
        <f t="shared" si="171"/>
        <v>0.10964912280701754</v>
      </c>
      <c r="AF498" s="28">
        <f t="shared" si="172"/>
        <v>0.43178066335453458</v>
      </c>
      <c r="AG498" s="28">
        <f t="shared" si="173"/>
        <v>0</v>
      </c>
      <c r="AI498" s="31">
        <f t="shared" si="174"/>
        <v>1.2044363498344879</v>
      </c>
      <c r="AJ498" s="25"/>
      <c r="AK498" s="31"/>
      <c r="AM498" s="27"/>
    </row>
    <row r="499" spans="4:39" x14ac:dyDescent="0.25">
      <c r="D499" s="25">
        <f>E499*'Profit per cycles Model'!$I$113</f>
        <v>4900</v>
      </c>
      <c r="E499" s="25">
        <v>13.422818791946309</v>
      </c>
      <c r="F499" s="28">
        <f t="shared" si="155"/>
        <v>0.20408163265306123</v>
      </c>
      <c r="G499" s="28">
        <f>'Battery Pricing Model'!$C$17/D499</f>
        <v>0.20408163265306123</v>
      </c>
      <c r="H499" s="28">
        <f t="shared" si="156"/>
        <v>999</v>
      </c>
      <c r="I499" s="28"/>
      <c r="J499" s="34">
        <f>INDEX('Profit per cycles Model'!$I$149:$I$179, MATCH(TRUNC(E499, 0), 'Profit per cycles Model'!$H$149:$H$179, 0))</f>
        <v>0.54142978616155213</v>
      </c>
      <c r="K499" s="27">
        <f>AVERAGE($AB$10:AB499)</f>
        <v>0.45098992810124561</v>
      </c>
      <c r="L499" s="28">
        <f t="shared" si="157"/>
        <v>0.24690829544818438</v>
      </c>
      <c r="M499" s="28">
        <f t="shared" si="158"/>
        <v>0.24690829544818438</v>
      </c>
      <c r="N499" s="28">
        <f t="shared" si="159"/>
        <v>999</v>
      </c>
      <c r="O499" s="28"/>
      <c r="P499" s="29">
        <f t="shared" si="175"/>
        <v>0.49000000000000038</v>
      </c>
      <c r="Q499" s="33">
        <f t="shared" si="160"/>
        <v>6.7114093959731544</v>
      </c>
      <c r="R499" s="33">
        <f t="shared" si="161"/>
        <v>6.7114093959731544</v>
      </c>
      <c r="S499" s="33">
        <f t="shared" si="162"/>
        <v>-1</v>
      </c>
      <c r="T499" s="27"/>
      <c r="U499" s="28">
        <f t="shared" si="163"/>
        <v>0.10964912280701754</v>
      </c>
      <c r="V499" s="25">
        <f t="shared" si="164"/>
        <v>999</v>
      </c>
      <c r="W499" s="35">
        <f t="shared" si="176"/>
        <v>25</v>
      </c>
      <c r="X499" s="33">
        <f t="shared" si="165"/>
        <v>25</v>
      </c>
      <c r="Y499" s="32">
        <f t="shared" si="166"/>
        <v>-1</v>
      </c>
      <c r="Z499" s="32"/>
      <c r="AA499" s="30">
        <f t="shared" si="167"/>
        <v>13.422818791946309</v>
      </c>
      <c r="AB499" s="28">
        <f t="shared" si="168"/>
        <v>0.54142978616155213</v>
      </c>
      <c r="AC499" s="28">
        <f t="shared" si="169"/>
        <v>0.10964912280701754</v>
      </c>
      <c r="AD499" s="29">
        <f t="shared" si="170"/>
        <v>464.89563567362433</v>
      </c>
      <c r="AE499" s="28">
        <f t="shared" si="171"/>
        <v>0.10964912280701754</v>
      </c>
      <c r="AF499" s="28">
        <f t="shared" si="172"/>
        <v>0.43178066335453458</v>
      </c>
      <c r="AG499" s="28">
        <f t="shared" si="173"/>
        <v>0</v>
      </c>
      <c r="AI499" s="31">
        <f t="shared" si="174"/>
        <v>1.2098506476961035</v>
      </c>
      <c r="AJ499" s="25"/>
      <c r="AK499" s="31"/>
      <c r="AM499" s="27"/>
    </row>
    <row r="500" spans="4:39" x14ac:dyDescent="0.25">
      <c r="D500" s="25">
        <f>E500*'Profit per cycles Model'!$I$113</f>
        <v>4910</v>
      </c>
      <c r="E500" s="25">
        <v>13.450212299684974</v>
      </c>
      <c r="F500" s="28">
        <f t="shared" si="155"/>
        <v>0.20366598778004075</v>
      </c>
      <c r="G500" s="28">
        <f>'Battery Pricing Model'!$C$17/D500</f>
        <v>0.20366598778004075</v>
      </c>
      <c r="H500" s="28">
        <f t="shared" si="156"/>
        <v>999</v>
      </c>
      <c r="I500" s="28"/>
      <c r="J500" s="34">
        <f>INDEX('Profit per cycles Model'!$I$149:$I$179, MATCH(TRUNC(E500, 0), 'Profit per cycles Model'!$H$149:$H$179, 0))</f>
        <v>0.54142978616155213</v>
      </c>
      <c r="K500" s="27">
        <f>AVERAGE($AB$10:AB500)</f>
        <v>0.45117412333151102</v>
      </c>
      <c r="L500" s="28">
        <f t="shared" si="157"/>
        <v>0.24750813555147028</v>
      </c>
      <c r="M500" s="28">
        <f t="shared" si="158"/>
        <v>0.24750813555147028</v>
      </c>
      <c r="N500" s="28">
        <f t="shared" si="159"/>
        <v>999</v>
      </c>
      <c r="O500" s="28"/>
      <c r="P500" s="29">
        <f t="shared" si="175"/>
        <v>0.49100000000000038</v>
      </c>
      <c r="Q500" s="33">
        <f t="shared" si="160"/>
        <v>6.7114093959731544</v>
      </c>
      <c r="R500" s="33">
        <f t="shared" si="161"/>
        <v>6.7114093959731544</v>
      </c>
      <c r="S500" s="33">
        <f t="shared" si="162"/>
        <v>-1</v>
      </c>
      <c r="T500" s="27"/>
      <c r="U500" s="28">
        <f t="shared" si="163"/>
        <v>0.10964912280701754</v>
      </c>
      <c r="V500" s="25">
        <f t="shared" si="164"/>
        <v>999</v>
      </c>
      <c r="W500" s="35">
        <f t="shared" si="176"/>
        <v>25</v>
      </c>
      <c r="X500" s="33">
        <f t="shared" si="165"/>
        <v>25</v>
      </c>
      <c r="Y500" s="32">
        <f t="shared" si="166"/>
        <v>-1</v>
      </c>
      <c r="Z500" s="32"/>
      <c r="AA500" s="30">
        <f t="shared" si="167"/>
        <v>13.450212299684974</v>
      </c>
      <c r="AB500" s="28">
        <f t="shared" si="168"/>
        <v>0.54142978616155213</v>
      </c>
      <c r="AC500" s="28">
        <f t="shared" si="169"/>
        <v>0.10964912280701754</v>
      </c>
      <c r="AD500" s="29">
        <f t="shared" si="170"/>
        <v>465.84440227703982</v>
      </c>
      <c r="AE500" s="28">
        <f t="shared" si="171"/>
        <v>0.10964912280701754</v>
      </c>
      <c r="AF500" s="28">
        <f t="shared" si="172"/>
        <v>0.43178066335453458</v>
      </c>
      <c r="AG500" s="28">
        <f t="shared" si="173"/>
        <v>0</v>
      </c>
      <c r="AI500" s="31">
        <f t="shared" si="174"/>
        <v>1.2152649455577189</v>
      </c>
      <c r="AJ500" s="25"/>
      <c r="AK500" s="31"/>
      <c r="AM500" s="27"/>
    </row>
    <row r="501" spans="4:39" x14ac:dyDescent="0.25">
      <c r="D501" s="25">
        <f>E501*'Profit per cycles Model'!$I$113</f>
        <v>4920</v>
      </c>
      <c r="E501" s="25">
        <v>13.47760580742364</v>
      </c>
      <c r="F501" s="28">
        <f t="shared" si="155"/>
        <v>0.2032520325203252</v>
      </c>
      <c r="G501" s="28">
        <f>'Battery Pricing Model'!$C$17/D501</f>
        <v>0.2032520325203252</v>
      </c>
      <c r="H501" s="28">
        <f t="shared" si="156"/>
        <v>999</v>
      </c>
      <c r="I501" s="28"/>
      <c r="J501" s="34">
        <f>INDEX('Profit per cycles Model'!$I$149:$I$179, MATCH(TRUNC(E501, 0), 'Profit per cycles Model'!$H$149:$H$179, 0))</f>
        <v>0.54142978616155213</v>
      </c>
      <c r="K501" s="27">
        <f>AVERAGE($AB$10:AB501)</f>
        <v>0.45135756980067776</v>
      </c>
      <c r="L501" s="28">
        <f t="shared" si="157"/>
        <v>0.24810553728035256</v>
      </c>
      <c r="M501" s="28">
        <f t="shared" si="158"/>
        <v>0.24810553728035256</v>
      </c>
      <c r="N501" s="28">
        <f t="shared" si="159"/>
        <v>999</v>
      </c>
      <c r="O501" s="28"/>
      <c r="P501" s="29">
        <f t="shared" si="175"/>
        <v>0.49200000000000038</v>
      </c>
      <c r="Q501" s="33">
        <f t="shared" si="160"/>
        <v>6.7114093959731544</v>
      </c>
      <c r="R501" s="33">
        <f t="shared" si="161"/>
        <v>6.7114093959731544</v>
      </c>
      <c r="S501" s="33">
        <f t="shared" si="162"/>
        <v>-1</v>
      </c>
      <c r="T501" s="27"/>
      <c r="U501" s="28">
        <f t="shared" si="163"/>
        <v>0.10964912280701754</v>
      </c>
      <c r="V501" s="25">
        <f t="shared" si="164"/>
        <v>999</v>
      </c>
      <c r="W501" s="35">
        <f t="shared" si="176"/>
        <v>25</v>
      </c>
      <c r="X501" s="33">
        <f t="shared" si="165"/>
        <v>25</v>
      </c>
      <c r="Y501" s="32">
        <f t="shared" si="166"/>
        <v>-1</v>
      </c>
      <c r="Z501" s="32"/>
      <c r="AA501" s="30">
        <f t="shared" si="167"/>
        <v>13.47760580742364</v>
      </c>
      <c r="AB501" s="28">
        <f t="shared" si="168"/>
        <v>0.54142978616155213</v>
      </c>
      <c r="AC501" s="28">
        <f t="shared" si="169"/>
        <v>0.10964912280701754</v>
      </c>
      <c r="AD501" s="29">
        <f t="shared" si="170"/>
        <v>466.79316888045537</v>
      </c>
      <c r="AE501" s="28">
        <f t="shared" si="171"/>
        <v>0.10964912280701754</v>
      </c>
      <c r="AF501" s="28">
        <f t="shared" si="172"/>
        <v>0.43178066335453458</v>
      </c>
      <c r="AG501" s="28">
        <f t="shared" si="173"/>
        <v>0</v>
      </c>
      <c r="AI501" s="31">
        <f t="shared" si="174"/>
        <v>1.2206792434193345</v>
      </c>
      <c r="AJ501" s="25"/>
      <c r="AK501" s="31"/>
      <c r="AM501" s="27"/>
    </row>
    <row r="502" spans="4:39" x14ac:dyDescent="0.25">
      <c r="D502" s="25">
        <f>E502*'Profit per cycles Model'!$I$113</f>
        <v>4930</v>
      </c>
      <c r="E502" s="25">
        <v>13.504999315162307</v>
      </c>
      <c r="F502" s="28">
        <f t="shared" si="155"/>
        <v>0.20283975659229209</v>
      </c>
      <c r="G502" s="28">
        <f>'Battery Pricing Model'!$C$17/D502</f>
        <v>0.20283975659229209</v>
      </c>
      <c r="H502" s="28">
        <f t="shared" si="156"/>
        <v>999</v>
      </c>
      <c r="I502" s="28"/>
      <c r="J502" s="34">
        <f>INDEX('Profit per cycles Model'!$I$149:$I$179, MATCH(TRUNC(E502, 0), 'Profit per cycles Model'!$H$149:$H$179, 0))</f>
        <v>0.54142978616155213</v>
      </c>
      <c r="K502" s="27">
        <f>AVERAGE($AB$10:AB502)</f>
        <v>0.45154027206510144</v>
      </c>
      <c r="L502" s="28">
        <f t="shared" si="157"/>
        <v>0.24870051547280936</v>
      </c>
      <c r="M502" s="28">
        <f t="shared" si="158"/>
        <v>0.24870051547280936</v>
      </c>
      <c r="N502" s="28">
        <f t="shared" si="159"/>
        <v>999</v>
      </c>
      <c r="O502" s="28"/>
      <c r="P502" s="29">
        <f t="shared" si="175"/>
        <v>0.49300000000000038</v>
      </c>
      <c r="Q502" s="33">
        <f t="shared" si="160"/>
        <v>6.7114093959731544</v>
      </c>
      <c r="R502" s="33">
        <f t="shared" si="161"/>
        <v>6.7114093959731544</v>
      </c>
      <c r="S502" s="33">
        <f t="shared" si="162"/>
        <v>-1</v>
      </c>
      <c r="T502" s="27"/>
      <c r="U502" s="28">
        <f t="shared" si="163"/>
        <v>0.10964912280701754</v>
      </c>
      <c r="V502" s="25">
        <f t="shared" si="164"/>
        <v>999</v>
      </c>
      <c r="W502" s="35">
        <f t="shared" si="176"/>
        <v>25</v>
      </c>
      <c r="X502" s="33">
        <f t="shared" si="165"/>
        <v>25</v>
      </c>
      <c r="Y502" s="32">
        <f t="shared" si="166"/>
        <v>-1</v>
      </c>
      <c r="Z502" s="32"/>
      <c r="AA502" s="30">
        <f t="shared" si="167"/>
        <v>13.504999315162307</v>
      </c>
      <c r="AB502" s="28">
        <f t="shared" si="168"/>
        <v>0.54142978616155213</v>
      </c>
      <c r="AC502" s="28">
        <f t="shared" si="169"/>
        <v>0.10964912280701754</v>
      </c>
      <c r="AD502" s="29">
        <f t="shared" si="170"/>
        <v>467.74193548387103</v>
      </c>
      <c r="AE502" s="28">
        <f t="shared" si="171"/>
        <v>0.10964912280701754</v>
      </c>
      <c r="AF502" s="28">
        <f t="shared" si="172"/>
        <v>0.43178066335453458</v>
      </c>
      <c r="AG502" s="28">
        <f t="shared" si="173"/>
        <v>0</v>
      </c>
      <c r="AI502" s="31">
        <f t="shared" si="174"/>
        <v>1.2260935412809502</v>
      </c>
      <c r="AJ502" s="25"/>
      <c r="AK502" s="31"/>
      <c r="AM502" s="27"/>
    </row>
    <row r="503" spans="4:39" x14ac:dyDescent="0.25">
      <c r="D503" s="25">
        <f>E503*'Profit per cycles Model'!$I$113</f>
        <v>4940</v>
      </c>
      <c r="E503" s="25">
        <v>13.532392822900972</v>
      </c>
      <c r="F503" s="28">
        <f t="shared" si="155"/>
        <v>0.20242914979757085</v>
      </c>
      <c r="G503" s="28">
        <f>'Battery Pricing Model'!$C$17/D503</f>
        <v>0.20242914979757085</v>
      </c>
      <c r="H503" s="28">
        <f t="shared" si="156"/>
        <v>999</v>
      </c>
      <c r="I503" s="28"/>
      <c r="J503" s="34">
        <f>INDEX('Profit per cycles Model'!$I$149:$I$179, MATCH(TRUNC(E503, 0), 'Profit per cycles Model'!$H$149:$H$179, 0))</f>
        <v>0.54142978616155213</v>
      </c>
      <c r="K503" s="27">
        <f>AVERAGE($AB$10:AB503)</f>
        <v>0.4517222346442441</v>
      </c>
      <c r="L503" s="28">
        <f t="shared" si="157"/>
        <v>0.24929308484667326</v>
      </c>
      <c r="M503" s="28">
        <f t="shared" si="158"/>
        <v>0.24929308484667326</v>
      </c>
      <c r="N503" s="28">
        <f t="shared" si="159"/>
        <v>999</v>
      </c>
      <c r="O503" s="28"/>
      <c r="P503" s="29">
        <f t="shared" si="175"/>
        <v>0.49400000000000038</v>
      </c>
      <c r="Q503" s="33">
        <f t="shared" si="160"/>
        <v>6.7114093959731544</v>
      </c>
      <c r="R503" s="33">
        <f t="shared" si="161"/>
        <v>6.7114093959731544</v>
      </c>
      <c r="S503" s="33">
        <f t="shared" si="162"/>
        <v>-1</v>
      </c>
      <c r="T503" s="27"/>
      <c r="U503" s="28">
        <f t="shared" si="163"/>
        <v>0.10964912280701754</v>
      </c>
      <c r="V503" s="25">
        <f t="shared" si="164"/>
        <v>999</v>
      </c>
      <c r="W503" s="35">
        <f t="shared" si="176"/>
        <v>25</v>
      </c>
      <c r="X503" s="33">
        <f t="shared" si="165"/>
        <v>25</v>
      </c>
      <c r="Y503" s="32">
        <f t="shared" si="166"/>
        <v>-1</v>
      </c>
      <c r="Z503" s="32"/>
      <c r="AA503" s="30">
        <f t="shared" si="167"/>
        <v>13.532392822900972</v>
      </c>
      <c r="AB503" s="28">
        <f t="shared" si="168"/>
        <v>0.54142978616155213</v>
      </c>
      <c r="AC503" s="28">
        <f t="shared" si="169"/>
        <v>0.10964912280701754</v>
      </c>
      <c r="AD503" s="29">
        <f t="shared" si="170"/>
        <v>468.69070208728658</v>
      </c>
      <c r="AE503" s="28">
        <f t="shared" si="171"/>
        <v>0.10964912280701754</v>
      </c>
      <c r="AF503" s="28">
        <f t="shared" si="172"/>
        <v>0.43178066335453458</v>
      </c>
      <c r="AG503" s="28">
        <f t="shared" si="173"/>
        <v>0</v>
      </c>
      <c r="AI503" s="31">
        <f t="shared" si="174"/>
        <v>1.231507839142566</v>
      </c>
      <c r="AJ503" s="25"/>
      <c r="AK503" s="31"/>
      <c r="AM503" s="27"/>
    </row>
    <row r="504" spans="4:39" x14ac:dyDescent="0.25">
      <c r="D504" s="25">
        <f>E504*'Profit per cycles Model'!$I$113</f>
        <v>4950</v>
      </c>
      <c r="E504" s="25">
        <v>13.559786330639637</v>
      </c>
      <c r="F504" s="28">
        <f t="shared" si="155"/>
        <v>0.20202020202020202</v>
      </c>
      <c r="G504" s="28">
        <f>'Battery Pricing Model'!$C$17/D504</f>
        <v>0.20202020202020202</v>
      </c>
      <c r="H504" s="28">
        <f t="shared" si="156"/>
        <v>999</v>
      </c>
      <c r="I504" s="28"/>
      <c r="J504" s="34">
        <f>INDEX('Profit per cycles Model'!$I$149:$I$179, MATCH(TRUNC(E504, 0), 'Profit per cycles Model'!$H$149:$H$179, 0))</f>
        <v>0.54142978616155213</v>
      </c>
      <c r="K504" s="27">
        <f>AVERAGE($AB$10:AB504)</f>
        <v>0.45190346202104675</v>
      </c>
      <c r="L504" s="28">
        <f t="shared" si="157"/>
        <v>0.24988326000084474</v>
      </c>
      <c r="M504" s="28">
        <f t="shared" si="158"/>
        <v>0.24988326000084474</v>
      </c>
      <c r="N504" s="28">
        <f t="shared" si="159"/>
        <v>999</v>
      </c>
      <c r="O504" s="28"/>
      <c r="P504" s="29">
        <f t="shared" si="175"/>
        <v>0.49500000000000038</v>
      </c>
      <c r="Q504" s="33">
        <f t="shared" si="160"/>
        <v>6.7114093959731544</v>
      </c>
      <c r="R504" s="33">
        <f t="shared" si="161"/>
        <v>6.7114093959731544</v>
      </c>
      <c r="S504" s="33">
        <f t="shared" si="162"/>
        <v>-1</v>
      </c>
      <c r="T504" s="27"/>
      <c r="U504" s="28">
        <f t="shared" si="163"/>
        <v>0.10964912280701754</v>
      </c>
      <c r="V504" s="25">
        <f t="shared" si="164"/>
        <v>999</v>
      </c>
      <c r="W504" s="35">
        <f t="shared" si="176"/>
        <v>25</v>
      </c>
      <c r="X504" s="33">
        <f t="shared" si="165"/>
        <v>25</v>
      </c>
      <c r="Y504" s="32">
        <f t="shared" si="166"/>
        <v>-1</v>
      </c>
      <c r="Z504" s="32"/>
      <c r="AA504" s="30">
        <f t="shared" si="167"/>
        <v>13.559786330639637</v>
      </c>
      <c r="AB504" s="28">
        <f t="shared" si="168"/>
        <v>0.54142978616155213</v>
      </c>
      <c r="AC504" s="28">
        <f t="shared" si="169"/>
        <v>0.10964912280701754</v>
      </c>
      <c r="AD504" s="29">
        <f t="shared" si="170"/>
        <v>469.63946869070207</v>
      </c>
      <c r="AE504" s="28">
        <f t="shared" si="171"/>
        <v>0.10964912280701754</v>
      </c>
      <c r="AF504" s="28">
        <f t="shared" si="172"/>
        <v>0.43178066335453458</v>
      </c>
      <c r="AG504" s="28">
        <f t="shared" si="173"/>
        <v>0</v>
      </c>
      <c r="AI504" s="31">
        <f t="shared" si="174"/>
        <v>1.2369221370041814</v>
      </c>
      <c r="AJ504" s="25"/>
      <c r="AK504" s="31"/>
      <c r="AM504" s="27"/>
    </row>
    <row r="505" spans="4:39" x14ac:dyDescent="0.25">
      <c r="D505" s="25">
        <f>E505*'Profit per cycles Model'!$I$113</f>
        <v>4960</v>
      </c>
      <c r="E505" s="25">
        <v>13.587179838378304</v>
      </c>
      <c r="F505" s="28">
        <f t="shared" si="155"/>
        <v>0.20161290322580644</v>
      </c>
      <c r="G505" s="28">
        <f>'Battery Pricing Model'!$C$17/D505</f>
        <v>0.20161290322580644</v>
      </c>
      <c r="H505" s="28">
        <f t="shared" si="156"/>
        <v>999</v>
      </c>
      <c r="I505" s="28"/>
      <c r="J505" s="34">
        <f>INDEX('Profit per cycles Model'!$I$149:$I$179, MATCH(TRUNC(E505, 0), 'Profit per cycles Model'!$H$149:$H$179, 0))</f>
        <v>0.54142978616155213</v>
      </c>
      <c r="K505" s="27">
        <f>AVERAGE($AB$10:AB505)</f>
        <v>0.45208395864229778</v>
      </c>
      <c r="L505" s="28">
        <f t="shared" si="157"/>
        <v>0.25047105541649134</v>
      </c>
      <c r="M505" s="28">
        <f t="shared" si="158"/>
        <v>0.25047105541649134</v>
      </c>
      <c r="N505" s="28">
        <f t="shared" si="159"/>
        <v>999</v>
      </c>
      <c r="O505" s="28"/>
      <c r="P505" s="29">
        <f t="shared" si="175"/>
        <v>0.49600000000000039</v>
      </c>
      <c r="Q505" s="33">
        <f t="shared" si="160"/>
        <v>6.7114093959731544</v>
      </c>
      <c r="R505" s="33">
        <f t="shared" si="161"/>
        <v>6.7114093959731544</v>
      </c>
      <c r="S505" s="33">
        <f t="shared" si="162"/>
        <v>-1</v>
      </c>
      <c r="T505" s="27"/>
      <c r="U505" s="28">
        <f t="shared" si="163"/>
        <v>0.10964912280701754</v>
      </c>
      <c r="V505" s="25">
        <f t="shared" si="164"/>
        <v>999</v>
      </c>
      <c r="W505" s="35">
        <f t="shared" si="176"/>
        <v>25</v>
      </c>
      <c r="X505" s="33">
        <f t="shared" si="165"/>
        <v>25</v>
      </c>
      <c r="Y505" s="32">
        <f t="shared" si="166"/>
        <v>-1</v>
      </c>
      <c r="Z505" s="32"/>
      <c r="AA505" s="30">
        <f t="shared" si="167"/>
        <v>13.587179838378304</v>
      </c>
      <c r="AB505" s="28">
        <f t="shared" si="168"/>
        <v>0.54142978616155213</v>
      </c>
      <c r="AC505" s="28">
        <f t="shared" si="169"/>
        <v>0.10964912280701754</v>
      </c>
      <c r="AD505" s="29">
        <f t="shared" si="170"/>
        <v>470.58823529411768</v>
      </c>
      <c r="AE505" s="28">
        <f t="shared" si="171"/>
        <v>0.10964912280701754</v>
      </c>
      <c r="AF505" s="28">
        <f t="shared" si="172"/>
        <v>0.43178066335453458</v>
      </c>
      <c r="AG505" s="28">
        <f t="shared" si="173"/>
        <v>0</v>
      </c>
      <c r="AI505" s="31">
        <f t="shared" si="174"/>
        <v>1.242336434865797</v>
      </c>
      <c r="AJ505" s="25"/>
      <c r="AK505" s="31"/>
      <c r="AM505" s="27"/>
    </row>
    <row r="506" spans="4:39" x14ac:dyDescent="0.25">
      <c r="D506" s="25">
        <f>E506*'Profit per cycles Model'!$I$113</f>
        <v>4970</v>
      </c>
      <c r="E506" s="25">
        <v>13.61457334611697</v>
      </c>
      <c r="F506" s="28">
        <f t="shared" si="155"/>
        <v>0.2012072434607646</v>
      </c>
      <c r="G506" s="28">
        <f>'Battery Pricing Model'!$C$17/D506</f>
        <v>0.2012072434607646</v>
      </c>
      <c r="H506" s="28">
        <f t="shared" si="156"/>
        <v>999</v>
      </c>
      <c r="I506" s="28"/>
      <c r="J506" s="34">
        <f>INDEX('Profit per cycles Model'!$I$149:$I$179, MATCH(TRUNC(E506, 0), 'Profit per cycles Model'!$H$149:$H$179, 0))</f>
        <v>0.54142978616155213</v>
      </c>
      <c r="K506" s="27">
        <f>AVERAGE($AB$10:AB506)</f>
        <v>0.45226372891899647</v>
      </c>
      <c r="L506" s="28">
        <f t="shared" si="157"/>
        <v>0.25105648545823189</v>
      </c>
      <c r="M506" s="28">
        <f t="shared" si="158"/>
        <v>0.25105648545823189</v>
      </c>
      <c r="N506" s="28">
        <f t="shared" si="159"/>
        <v>999</v>
      </c>
      <c r="O506" s="28"/>
      <c r="P506" s="29">
        <f t="shared" si="175"/>
        <v>0.49700000000000039</v>
      </c>
      <c r="Q506" s="33">
        <f t="shared" si="160"/>
        <v>6.7114093959731544</v>
      </c>
      <c r="R506" s="33">
        <f t="shared" si="161"/>
        <v>6.7114093959731544</v>
      </c>
      <c r="S506" s="33">
        <f t="shared" si="162"/>
        <v>-1</v>
      </c>
      <c r="T506" s="27"/>
      <c r="U506" s="28">
        <f t="shared" si="163"/>
        <v>0.10964912280701754</v>
      </c>
      <c r="V506" s="25">
        <f t="shared" si="164"/>
        <v>999</v>
      </c>
      <c r="W506" s="35">
        <f t="shared" si="176"/>
        <v>25</v>
      </c>
      <c r="X506" s="33">
        <f t="shared" si="165"/>
        <v>25</v>
      </c>
      <c r="Y506" s="32">
        <f t="shared" si="166"/>
        <v>-1</v>
      </c>
      <c r="Z506" s="32"/>
      <c r="AA506" s="30">
        <f t="shared" si="167"/>
        <v>13.61457334611697</v>
      </c>
      <c r="AB506" s="28">
        <f t="shared" si="168"/>
        <v>0.54142978616155213</v>
      </c>
      <c r="AC506" s="28">
        <f t="shared" si="169"/>
        <v>0.10964912280701754</v>
      </c>
      <c r="AD506" s="29">
        <f t="shared" si="170"/>
        <v>471.53700189753317</v>
      </c>
      <c r="AE506" s="28">
        <f t="shared" si="171"/>
        <v>0.10964912280701754</v>
      </c>
      <c r="AF506" s="28">
        <f t="shared" si="172"/>
        <v>0.43178066335453458</v>
      </c>
      <c r="AG506" s="28">
        <f t="shared" si="173"/>
        <v>0</v>
      </c>
      <c r="AI506" s="31">
        <f t="shared" si="174"/>
        <v>1.2477507327274124</v>
      </c>
      <c r="AJ506" s="25"/>
      <c r="AK506" s="31"/>
      <c r="AM506" s="27"/>
    </row>
    <row r="507" spans="4:39" x14ac:dyDescent="0.25">
      <c r="D507" s="25">
        <f>E507*'Profit per cycles Model'!$I$113</f>
        <v>4980</v>
      </c>
      <c r="E507" s="25">
        <v>13.641966853855635</v>
      </c>
      <c r="F507" s="28">
        <f t="shared" si="155"/>
        <v>0.20080321285140562</v>
      </c>
      <c r="G507" s="28">
        <f>'Battery Pricing Model'!$C$17/D507</f>
        <v>0.20080321285140562</v>
      </c>
      <c r="H507" s="28">
        <f t="shared" si="156"/>
        <v>999</v>
      </c>
      <c r="I507" s="28"/>
      <c r="J507" s="34">
        <f>INDEX('Profit per cycles Model'!$I$149:$I$179, MATCH(TRUNC(E507, 0), 'Profit per cycles Model'!$H$149:$H$179, 0))</f>
        <v>0.54142978616155213</v>
      </c>
      <c r="K507" s="27">
        <f>AVERAGE($AB$10:AB507)</f>
        <v>0.45244277722671244</v>
      </c>
      <c r="L507" s="28">
        <f t="shared" si="157"/>
        <v>0.25163956437530682</v>
      </c>
      <c r="M507" s="28">
        <f t="shared" si="158"/>
        <v>0.25163956437530682</v>
      </c>
      <c r="N507" s="28">
        <f t="shared" si="159"/>
        <v>999</v>
      </c>
      <c r="O507" s="28"/>
      <c r="P507" s="29">
        <f t="shared" si="175"/>
        <v>0.49800000000000039</v>
      </c>
      <c r="Q507" s="33">
        <f t="shared" si="160"/>
        <v>6.7114093959731544</v>
      </c>
      <c r="R507" s="33">
        <f t="shared" si="161"/>
        <v>6.7114093959731544</v>
      </c>
      <c r="S507" s="33">
        <f t="shared" si="162"/>
        <v>-1</v>
      </c>
      <c r="T507" s="27"/>
      <c r="U507" s="28">
        <f t="shared" si="163"/>
        <v>0.10964912280701754</v>
      </c>
      <c r="V507" s="25">
        <f t="shared" si="164"/>
        <v>999</v>
      </c>
      <c r="W507" s="35">
        <f t="shared" si="176"/>
        <v>25</v>
      </c>
      <c r="X507" s="33">
        <f t="shared" si="165"/>
        <v>25</v>
      </c>
      <c r="Y507" s="32">
        <f t="shared" si="166"/>
        <v>-1</v>
      </c>
      <c r="Z507" s="32"/>
      <c r="AA507" s="30">
        <f t="shared" si="167"/>
        <v>13.641966853855635</v>
      </c>
      <c r="AB507" s="28">
        <f t="shared" si="168"/>
        <v>0.54142978616155213</v>
      </c>
      <c r="AC507" s="28">
        <f t="shared" si="169"/>
        <v>0.10964912280701754</v>
      </c>
      <c r="AD507" s="29">
        <f t="shared" si="170"/>
        <v>472.48576850094872</v>
      </c>
      <c r="AE507" s="28">
        <f t="shared" si="171"/>
        <v>0.10964912280701754</v>
      </c>
      <c r="AF507" s="28">
        <f t="shared" si="172"/>
        <v>0.43178066335453458</v>
      </c>
      <c r="AG507" s="28">
        <f t="shared" si="173"/>
        <v>0</v>
      </c>
      <c r="AI507" s="31">
        <f t="shared" si="174"/>
        <v>1.2531650305890281</v>
      </c>
      <c r="AJ507" s="25"/>
      <c r="AK507" s="31"/>
      <c r="AM507" s="27"/>
    </row>
    <row r="508" spans="4:39" x14ac:dyDescent="0.25">
      <c r="D508" s="25">
        <f>E508*'Profit per cycles Model'!$I$113</f>
        <v>4990</v>
      </c>
      <c r="E508" s="25">
        <v>13.669360361594302</v>
      </c>
      <c r="F508" s="28">
        <f t="shared" si="155"/>
        <v>0.20040080160320642</v>
      </c>
      <c r="G508" s="28">
        <f>'Battery Pricing Model'!$C$17/D508</f>
        <v>0.20040080160320642</v>
      </c>
      <c r="H508" s="28">
        <f t="shared" si="156"/>
        <v>999</v>
      </c>
      <c r="I508" s="28"/>
      <c r="J508" s="34">
        <f>INDEX('Profit per cycles Model'!$I$149:$I$179, MATCH(TRUNC(E508, 0), 'Profit per cycles Model'!$H$149:$H$179, 0))</f>
        <v>0.54142978616155213</v>
      </c>
      <c r="K508" s="27">
        <f>AVERAGE($AB$10:AB508)</f>
        <v>0.45262110790594062</v>
      </c>
      <c r="L508" s="28">
        <f t="shared" si="157"/>
        <v>0.25222030630273418</v>
      </c>
      <c r="M508" s="28">
        <f t="shared" si="158"/>
        <v>0.25222030630273418</v>
      </c>
      <c r="N508" s="28">
        <f t="shared" si="159"/>
        <v>999</v>
      </c>
      <c r="O508" s="28"/>
      <c r="P508" s="29">
        <f t="shared" si="175"/>
        <v>0.49900000000000039</v>
      </c>
      <c r="Q508" s="33">
        <f t="shared" si="160"/>
        <v>6.7114093959731544</v>
      </c>
      <c r="R508" s="33">
        <f t="shared" si="161"/>
        <v>6.7114093959731544</v>
      </c>
      <c r="S508" s="33">
        <f t="shared" si="162"/>
        <v>-1</v>
      </c>
      <c r="T508" s="27"/>
      <c r="U508" s="28">
        <f t="shared" si="163"/>
        <v>0.10964912280701754</v>
      </c>
      <c r="V508" s="25">
        <f t="shared" si="164"/>
        <v>999</v>
      </c>
      <c r="W508" s="35">
        <f t="shared" si="176"/>
        <v>25</v>
      </c>
      <c r="X508" s="33">
        <f t="shared" si="165"/>
        <v>25</v>
      </c>
      <c r="Y508" s="32">
        <f t="shared" si="166"/>
        <v>-1</v>
      </c>
      <c r="Z508" s="32"/>
      <c r="AA508" s="30">
        <f t="shared" si="167"/>
        <v>13.669360361594302</v>
      </c>
      <c r="AB508" s="28">
        <f t="shared" si="168"/>
        <v>0.54142978616155213</v>
      </c>
      <c r="AC508" s="28">
        <f t="shared" si="169"/>
        <v>0.10964912280701754</v>
      </c>
      <c r="AD508" s="29">
        <f t="shared" si="170"/>
        <v>473.43453510436439</v>
      </c>
      <c r="AE508" s="28">
        <f t="shared" si="171"/>
        <v>0.10964912280701754</v>
      </c>
      <c r="AF508" s="28">
        <f t="shared" si="172"/>
        <v>0.43178066335453458</v>
      </c>
      <c r="AG508" s="28">
        <f t="shared" si="173"/>
        <v>0</v>
      </c>
      <c r="AI508" s="31">
        <f t="shared" si="174"/>
        <v>1.2585793284506435</v>
      </c>
      <c r="AJ508" s="25"/>
      <c r="AK508" s="31"/>
      <c r="AM508" s="27"/>
    </row>
    <row r="509" spans="4:39" x14ac:dyDescent="0.25">
      <c r="D509" s="25">
        <f>E509*'Profit per cycles Model'!$I$113</f>
        <v>5000</v>
      </c>
      <c r="E509" s="25">
        <v>13.696753869332968</v>
      </c>
      <c r="F509" s="28">
        <f t="shared" si="155"/>
        <v>0.2</v>
      </c>
      <c r="G509" s="28">
        <f>'Battery Pricing Model'!$C$17/D509</f>
        <v>0.2</v>
      </c>
      <c r="H509" s="28">
        <f t="shared" si="156"/>
        <v>999</v>
      </c>
      <c r="I509" s="28"/>
      <c r="J509" s="34">
        <f>INDEX('Profit per cycles Model'!$I$149:$I$179, MATCH(TRUNC(E509, 0), 'Profit per cycles Model'!$H$149:$H$179, 0))</f>
        <v>0.54142978616155213</v>
      </c>
      <c r="K509" s="27">
        <f>AVERAGE($AB$10:AB509)</f>
        <v>0.45279872526245185</v>
      </c>
      <c r="L509" s="28">
        <f t="shared" si="157"/>
        <v>0.25279872526245184</v>
      </c>
      <c r="M509" s="28">
        <f t="shared" si="158"/>
        <v>0.25279872526245184</v>
      </c>
      <c r="N509" s="28">
        <f t="shared" si="159"/>
        <v>999</v>
      </c>
      <c r="O509" s="28"/>
      <c r="P509" s="29">
        <f t="shared" si="175"/>
        <v>0.50000000000000033</v>
      </c>
      <c r="Q509" s="33">
        <f t="shared" si="160"/>
        <v>6.7114093959731544</v>
      </c>
      <c r="R509" s="33">
        <f t="shared" si="161"/>
        <v>6.7114093959731544</v>
      </c>
      <c r="S509" s="33">
        <f t="shared" si="162"/>
        <v>-1</v>
      </c>
      <c r="T509" s="27"/>
      <c r="U509" s="28">
        <f t="shared" si="163"/>
        <v>0.10964912280701754</v>
      </c>
      <c r="V509" s="25">
        <f t="shared" si="164"/>
        <v>999</v>
      </c>
      <c r="W509" s="35">
        <f t="shared" si="176"/>
        <v>25</v>
      </c>
      <c r="X509" s="33">
        <f t="shared" si="165"/>
        <v>25</v>
      </c>
      <c r="Y509" s="32">
        <f t="shared" si="166"/>
        <v>-1</v>
      </c>
      <c r="Z509" s="32"/>
      <c r="AA509" s="30">
        <f t="shared" si="167"/>
        <v>13.696753869332968</v>
      </c>
      <c r="AB509" s="28">
        <f t="shared" si="168"/>
        <v>0.54142978616155213</v>
      </c>
      <c r="AC509" s="28">
        <f t="shared" si="169"/>
        <v>0.10964912280701754</v>
      </c>
      <c r="AD509" s="29">
        <f t="shared" si="170"/>
        <v>474.38330170777988</v>
      </c>
      <c r="AE509" s="28">
        <f t="shared" si="171"/>
        <v>0.10964912280701754</v>
      </c>
      <c r="AF509" s="28">
        <f t="shared" si="172"/>
        <v>0.43178066335453458</v>
      </c>
      <c r="AG509" s="28">
        <f t="shared" si="173"/>
        <v>0</v>
      </c>
      <c r="AI509" s="31">
        <f t="shared" si="174"/>
        <v>1.2639936263122591</v>
      </c>
      <c r="AJ509" s="25"/>
      <c r="AK509" s="31"/>
      <c r="AM509" s="27"/>
    </row>
    <row r="510" spans="4:39" x14ac:dyDescent="0.25">
      <c r="D510" s="25">
        <f>E510*'Profit per cycles Model'!$I$113</f>
        <v>5010</v>
      </c>
      <c r="E510" s="25">
        <v>13.724147377071633</v>
      </c>
      <c r="F510" s="28">
        <f t="shared" si="155"/>
        <v>0.19960079840319361</v>
      </c>
      <c r="G510" s="28">
        <f>'Battery Pricing Model'!$C$17/D510</f>
        <v>0.19960079840319361</v>
      </c>
      <c r="H510" s="28">
        <f t="shared" si="156"/>
        <v>999</v>
      </c>
      <c r="I510" s="28"/>
      <c r="J510" s="34">
        <f>INDEX('Profit per cycles Model'!$I$149:$I$179, MATCH(TRUNC(E510, 0), 'Profit per cycles Model'!$H$149:$H$179, 0))</f>
        <v>0.54142978616155213</v>
      </c>
      <c r="K510" s="27">
        <f>AVERAGE($AB$10:AB510)</f>
        <v>0.4529756335676397</v>
      </c>
      <c r="L510" s="28">
        <f t="shared" si="157"/>
        <v>0.25337483516444609</v>
      </c>
      <c r="M510" s="28">
        <f t="shared" si="158"/>
        <v>0.25337483516444609</v>
      </c>
      <c r="N510" s="28">
        <f t="shared" si="159"/>
        <v>999</v>
      </c>
      <c r="O510" s="28"/>
      <c r="P510" s="29">
        <f t="shared" si="175"/>
        <v>0.50100000000000033</v>
      </c>
      <c r="Q510" s="33">
        <f t="shared" si="160"/>
        <v>6.7114093959731544</v>
      </c>
      <c r="R510" s="33">
        <f t="shared" si="161"/>
        <v>6.7114093959731544</v>
      </c>
      <c r="S510" s="33">
        <f t="shared" si="162"/>
        <v>-1</v>
      </c>
      <c r="T510" s="27"/>
      <c r="U510" s="28">
        <f t="shared" si="163"/>
        <v>0.10964912280701754</v>
      </c>
      <c r="V510" s="25">
        <f t="shared" si="164"/>
        <v>999</v>
      </c>
      <c r="W510" s="35">
        <f t="shared" si="176"/>
        <v>25</v>
      </c>
      <c r="X510" s="33">
        <f t="shared" si="165"/>
        <v>25</v>
      </c>
      <c r="Y510" s="32">
        <f t="shared" si="166"/>
        <v>-1</v>
      </c>
      <c r="Z510" s="32"/>
      <c r="AA510" s="30">
        <f t="shared" si="167"/>
        <v>13.724147377071633</v>
      </c>
      <c r="AB510" s="28">
        <f t="shared" si="168"/>
        <v>0.54142978616155213</v>
      </c>
      <c r="AC510" s="28">
        <f t="shared" si="169"/>
        <v>0.10964912280701754</v>
      </c>
      <c r="AD510" s="29">
        <f t="shared" si="170"/>
        <v>475.33206831119543</v>
      </c>
      <c r="AE510" s="28">
        <f t="shared" si="171"/>
        <v>0.10964912280701754</v>
      </c>
      <c r="AF510" s="28">
        <f t="shared" si="172"/>
        <v>0.43178066335453458</v>
      </c>
      <c r="AG510" s="28">
        <f t="shared" si="173"/>
        <v>0</v>
      </c>
      <c r="AI510" s="31">
        <f t="shared" si="174"/>
        <v>1.2694079241738749</v>
      </c>
      <c r="AJ510" s="25"/>
      <c r="AK510" s="31"/>
      <c r="AM510" s="27"/>
    </row>
    <row r="511" spans="4:39" x14ac:dyDescent="0.25">
      <c r="D511" s="25">
        <f>E511*'Profit per cycles Model'!$I$113</f>
        <v>5020</v>
      </c>
      <c r="E511" s="25">
        <v>13.7515408848103</v>
      </c>
      <c r="F511" s="28">
        <f t="shared" si="155"/>
        <v>0.19920318725099601</v>
      </c>
      <c r="G511" s="28">
        <f>'Battery Pricing Model'!$C$17/D511</f>
        <v>0.19920318725099601</v>
      </c>
      <c r="H511" s="28">
        <f t="shared" si="156"/>
        <v>999</v>
      </c>
      <c r="I511" s="28"/>
      <c r="J511" s="34">
        <f>INDEX('Profit per cycles Model'!$I$149:$I$179, MATCH(TRUNC(E511, 0), 'Profit per cycles Model'!$H$149:$H$179, 0))</f>
        <v>0.54142978616155213</v>
      </c>
      <c r="K511" s="27">
        <f>AVERAGE($AB$10:AB511)</f>
        <v>0.45315183705886264</v>
      </c>
      <c r="L511" s="28">
        <f t="shared" si="157"/>
        <v>0.25394864980786663</v>
      </c>
      <c r="M511" s="28">
        <f t="shared" si="158"/>
        <v>0.25394864980786663</v>
      </c>
      <c r="N511" s="28">
        <f t="shared" si="159"/>
        <v>999</v>
      </c>
      <c r="O511" s="28"/>
      <c r="P511" s="29">
        <f t="shared" si="175"/>
        <v>0.50200000000000033</v>
      </c>
      <c r="Q511" s="33">
        <f t="shared" si="160"/>
        <v>6.7114093959731544</v>
      </c>
      <c r="R511" s="33">
        <f t="shared" si="161"/>
        <v>6.7114093959731544</v>
      </c>
      <c r="S511" s="33">
        <f t="shared" si="162"/>
        <v>-1</v>
      </c>
      <c r="T511" s="27"/>
      <c r="U511" s="28">
        <f t="shared" si="163"/>
        <v>0.10964912280701754</v>
      </c>
      <c r="V511" s="25">
        <f t="shared" si="164"/>
        <v>999</v>
      </c>
      <c r="W511" s="35">
        <f t="shared" si="176"/>
        <v>25</v>
      </c>
      <c r="X511" s="33">
        <f t="shared" si="165"/>
        <v>25</v>
      </c>
      <c r="Y511" s="32">
        <f t="shared" si="166"/>
        <v>-1</v>
      </c>
      <c r="Z511" s="32"/>
      <c r="AA511" s="30">
        <f t="shared" si="167"/>
        <v>13.7515408848103</v>
      </c>
      <c r="AB511" s="28">
        <f t="shared" si="168"/>
        <v>0.54142978616155213</v>
      </c>
      <c r="AC511" s="28">
        <f t="shared" si="169"/>
        <v>0.10964912280701754</v>
      </c>
      <c r="AD511" s="29">
        <f t="shared" si="170"/>
        <v>476.28083491461103</v>
      </c>
      <c r="AE511" s="28">
        <f t="shared" si="171"/>
        <v>0.10964912280701754</v>
      </c>
      <c r="AF511" s="28">
        <f t="shared" si="172"/>
        <v>0.43178066335453458</v>
      </c>
      <c r="AG511" s="28">
        <f t="shared" si="173"/>
        <v>0</v>
      </c>
      <c r="AI511" s="31">
        <f t="shared" si="174"/>
        <v>1.2748222220354906</v>
      </c>
      <c r="AJ511" s="25"/>
      <c r="AK511" s="31"/>
      <c r="AM511" s="27"/>
    </row>
    <row r="512" spans="4:39" x14ac:dyDescent="0.25">
      <c r="D512" s="25">
        <f>E512*'Profit per cycles Model'!$I$113</f>
        <v>5030</v>
      </c>
      <c r="E512" s="25">
        <v>13.778934392548965</v>
      </c>
      <c r="F512" s="28">
        <f t="shared" si="155"/>
        <v>0.19880715705765409</v>
      </c>
      <c r="G512" s="28">
        <f>'Battery Pricing Model'!$C$17/D512</f>
        <v>0.19880715705765409</v>
      </c>
      <c r="H512" s="28">
        <f t="shared" si="156"/>
        <v>999</v>
      </c>
      <c r="I512" s="28"/>
      <c r="J512" s="34">
        <f>INDEX('Profit per cycles Model'!$I$149:$I$179, MATCH(TRUNC(E512, 0), 'Profit per cycles Model'!$H$149:$H$179, 0))</f>
        <v>0.54142978616155213</v>
      </c>
      <c r="K512" s="27">
        <f>AVERAGE($AB$10:AB512)</f>
        <v>0.45332733993978253</v>
      </c>
      <c r="L512" s="28">
        <f t="shared" si="157"/>
        <v>0.25452018288212841</v>
      </c>
      <c r="M512" s="28">
        <f t="shared" si="158"/>
        <v>0.25452018288212841</v>
      </c>
      <c r="N512" s="28">
        <f t="shared" si="159"/>
        <v>999</v>
      </c>
      <c r="O512" s="28"/>
      <c r="P512" s="29">
        <f t="shared" si="175"/>
        <v>0.50300000000000034</v>
      </c>
      <c r="Q512" s="33">
        <f t="shared" si="160"/>
        <v>6.7114093959731544</v>
      </c>
      <c r="R512" s="33">
        <f t="shared" si="161"/>
        <v>6.7114093959731544</v>
      </c>
      <c r="S512" s="33">
        <f t="shared" si="162"/>
        <v>-1</v>
      </c>
      <c r="T512" s="27"/>
      <c r="U512" s="28">
        <f t="shared" si="163"/>
        <v>0.10964912280701754</v>
      </c>
      <c r="V512" s="25">
        <f t="shared" si="164"/>
        <v>999</v>
      </c>
      <c r="W512" s="35">
        <f t="shared" si="176"/>
        <v>25</v>
      </c>
      <c r="X512" s="33">
        <f t="shared" si="165"/>
        <v>25</v>
      </c>
      <c r="Y512" s="32">
        <f t="shared" si="166"/>
        <v>-1</v>
      </c>
      <c r="Z512" s="32"/>
      <c r="AA512" s="30">
        <f t="shared" si="167"/>
        <v>13.778934392548965</v>
      </c>
      <c r="AB512" s="28">
        <f t="shared" si="168"/>
        <v>0.54142978616155213</v>
      </c>
      <c r="AC512" s="28">
        <f t="shared" si="169"/>
        <v>0.10964912280701754</v>
      </c>
      <c r="AD512" s="29">
        <f t="shared" si="170"/>
        <v>477.22960151802653</v>
      </c>
      <c r="AE512" s="28">
        <f t="shared" si="171"/>
        <v>0.10964912280701754</v>
      </c>
      <c r="AF512" s="28">
        <f t="shared" si="172"/>
        <v>0.43178066335453458</v>
      </c>
      <c r="AG512" s="28">
        <f t="shared" si="173"/>
        <v>0</v>
      </c>
      <c r="AI512" s="31">
        <f t="shared" si="174"/>
        <v>1.2802365198971057</v>
      </c>
      <c r="AJ512" s="25"/>
      <c r="AK512" s="31"/>
      <c r="AM512" s="27"/>
    </row>
    <row r="513" spans="4:39" x14ac:dyDescent="0.25">
      <c r="D513" s="25">
        <f>E513*'Profit per cycles Model'!$I$113</f>
        <v>5040</v>
      </c>
      <c r="E513" s="25">
        <v>13.806327900287631</v>
      </c>
      <c r="F513" s="28">
        <f t="shared" si="155"/>
        <v>0.1984126984126984</v>
      </c>
      <c r="G513" s="28">
        <f>'Battery Pricing Model'!$C$17/D513</f>
        <v>0.1984126984126984</v>
      </c>
      <c r="H513" s="28">
        <f t="shared" si="156"/>
        <v>999</v>
      </c>
      <c r="I513" s="28"/>
      <c r="J513" s="34">
        <f>INDEX('Profit per cycles Model'!$I$149:$I$179, MATCH(TRUNC(E513, 0), 'Profit per cycles Model'!$H$149:$H$179, 0))</f>
        <v>0.54142978616155213</v>
      </c>
      <c r="K513" s="27">
        <f>AVERAGE($AB$10:AB513)</f>
        <v>0.45350214638069875</v>
      </c>
      <c r="L513" s="28">
        <f t="shared" si="157"/>
        <v>0.25508944796800037</v>
      </c>
      <c r="M513" s="28">
        <f t="shared" si="158"/>
        <v>0.25508944796800037</v>
      </c>
      <c r="N513" s="28">
        <f t="shared" si="159"/>
        <v>999</v>
      </c>
      <c r="O513" s="28"/>
      <c r="P513" s="29">
        <f t="shared" si="175"/>
        <v>0.50400000000000034</v>
      </c>
      <c r="Q513" s="33">
        <f t="shared" si="160"/>
        <v>6.7114093959731544</v>
      </c>
      <c r="R513" s="33">
        <f t="shared" si="161"/>
        <v>6.7114093959731544</v>
      </c>
      <c r="S513" s="33">
        <f t="shared" si="162"/>
        <v>-1</v>
      </c>
      <c r="T513" s="27"/>
      <c r="U513" s="28">
        <f t="shared" si="163"/>
        <v>0.10964912280701754</v>
      </c>
      <c r="V513" s="25">
        <f t="shared" si="164"/>
        <v>999</v>
      </c>
      <c r="W513" s="35">
        <f t="shared" si="176"/>
        <v>25</v>
      </c>
      <c r="X513" s="33">
        <f t="shared" si="165"/>
        <v>25</v>
      </c>
      <c r="Y513" s="32">
        <f t="shared" si="166"/>
        <v>-1</v>
      </c>
      <c r="Z513" s="32"/>
      <c r="AA513" s="30">
        <f t="shared" si="167"/>
        <v>13.806327900287631</v>
      </c>
      <c r="AB513" s="28">
        <f t="shared" si="168"/>
        <v>0.54142978616155213</v>
      </c>
      <c r="AC513" s="28">
        <f t="shared" si="169"/>
        <v>0.10964912280701754</v>
      </c>
      <c r="AD513" s="29">
        <f t="shared" si="170"/>
        <v>478.17836812144213</v>
      </c>
      <c r="AE513" s="28">
        <f t="shared" si="171"/>
        <v>0.10964912280701754</v>
      </c>
      <c r="AF513" s="28">
        <f t="shared" si="172"/>
        <v>0.43178066335453458</v>
      </c>
      <c r="AG513" s="28">
        <f t="shared" si="173"/>
        <v>0</v>
      </c>
      <c r="AI513" s="31">
        <f t="shared" si="174"/>
        <v>1.285650817758722</v>
      </c>
      <c r="AJ513" s="25"/>
      <c r="AK513" s="31"/>
      <c r="AM513" s="27"/>
    </row>
    <row r="514" spans="4:39" x14ac:dyDescent="0.25">
      <c r="D514" s="25">
        <f>E514*'Profit per cycles Model'!$I$113</f>
        <v>5050</v>
      </c>
      <c r="E514" s="25">
        <v>13.833721408026298</v>
      </c>
      <c r="F514" s="28">
        <f t="shared" si="155"/>
        <v>0.19801980198019803</v>
      </c>
      <c r="G514" s="28">
        <f>'Battery Pricing Model'!$C$17/D514</f>
        <v>0.19801980198019803</v>
      </c>
      <c r="H514" s="28">
        <f t="shared" si="156"/>
        <v>999</v>
      </c>
      <c r="I514" s="28"/>
      <c r="J514" s="34">
        <f>INDEX('Profit per cycles Model'!$I$149:$I$179, MATCH(TRUNC(E514, 0), 'Profit per cycles Model'!$H$149:$H$179, 0))</f>
        <v>0.54142978616155213</v>
      </c>
      <c r="K514" s="27">
        <f>AVERAGE($AB$10:AB514)</f>
        <v>0.45367626051887866</v>
      </c>
      <c r="L514" s="28">
        <f t="shared" si="157"/>
        <v>0.25565645853868063</v>
      </c>
      <c r="M514" s="28">
        <f t="shared" si="158"/>
        <v>0.25565645853868063</v>
      </c>
      <c r="N514" s="28">
        <f t="shared" si="159"/>
        <v>999</v>
      </c>
      <c r="O514" s="28"/>
      <c r="P514" s="29">
        <f t="shared" si="175"/>
        <v>0.50500000000000034</v>
      </c>
      <c r="Q514" s="33">
        <f t="shared" si="160"/>
        <v>6.7114093959731544</v>
      </c>
      <c r="R514" s="33">
        <f t="shared" si="161"/>
        <v>6.7114093959731544</v>
      </c>
      <c r="S514" s="33">
        <f t="shared" si="162"/>
        <v>-1</v>
      </c>
      <c r="T514" s="27"/>
      <c r="U514" s="28">
        <f t="shared" si="163"/>
        <v>0.10964912280701754</v>
      </c>
      <c r="V514" s="25">
        <f t="shared" si="164"/>
        <v>999</v>
      </c>
      <c r="W514" s="35">
        <f t="shared" si="176"/>
        <v>25</v>
      </c>
      <c r="X514" s="33">
        <f t="shared" si="165"/>
        <v>25</v>
      </c>
      <c r="Y514" s="32">
        <f t="shared" si="166"/>
        <v>-1</v>
      </c>
      <c r="Z514" s="32"/>
      <c r="AA514" s="30">
        <f t="shared" si="167"/>
        <v>13.833721408026298</v>
      </c>
      <c r="AB514" s="28">
        <f t="shared" si="168"/>
        <v>0.54142978616155213</v>
      </c>
      <c r="AC514" s="28">
        <f t="shared" si="169"/>
        <v>0.10964912280701754</v>
      </c>
      <c r="AD514" s="29">
        <f t="shared" si="170"/>
        <v>479.12713472485774</v>
      </c>
      <c r="AE514" s="28">
        <f t="shared" si="171"/>
        <v>0.10964912280701754</v>
      </c>
      <c r="AF514" s="28">
        <f t="shared" si="172"/>
        <v>0.43178066335453458</v>
      </c>
      <c r="AG514" s="28">
        <f t="shared" si="173"/>
        <v>0</v>
      </c>
      <c r="AI514" s="31">
        <f t="shared" si="174"/>
        <v>1.2910651156203372</v>
      </c>
      <c r="AJ514" s="25"/>
      <c r="AK514" s="31"/>
      <c r="AM514" s="27"/>
    </row>
    <row r="515" spans="4:39" x14ac:dyDescent="0.25">
      <c r="D515" s="25">
        <f>E515*'Profit per cycles Model'!$I$113</f>
        <v>5060</v>
      </c>
      <c r="E515" s="25">
        <v>13.861114915764963</v>
      </c>
      <c r="F515" s="28">
        <f t="shared" si="155"/>
        <v>0.19762845849802371</v>
      </c>
      <c r="G515" s="28">
        <f>'Battery Pricing Model'!$C$17/D515</f>
        <v>0.19762845849802371</v>
      </c>
      <c r="H515" s="28">
        <f t="shared" si="156"/>
        <v>999</v>
      </c>
      <c r="I515" s="28"/>
      <c r="J515" s="34">
        <f>INDEX('Profit per cycles Model'!$I$149:$I$179, MATCH(TRUNC(E515, 0), 'Profit per cycles Model'!$H$149:$H$179, 0))</f>
        <v>0.54142978616155213</v>
      </c>
      <c r="K515" s="27">
        <f>AVERAGE($AB$10:AB515)</f>
        <v>0.45384968645888396</v>
      </c>
      <c r="L515" s="28">
        <f t="shared" si="157"/>
        <v>0.25622122796086022</v>
      </c>
      <c r="M515" s="28">
        <f t="shared" si="158"/>
        <v>0.25622122796086022</v>
      </c>
      <c r="N515" s="28">
        <f t="shared" si="159"/>
        <v>999</v>
      </c>
      <c r="O515" s="28"/>
      <c r="P515" s="29">
        <f t="shared" si="175"/>
        <v>0.50600000000000034</v>
      </c>
      <c r="Q515" s="33">
        <f t="shared" si="160"/>
        <v>6.7114093959731544</v>
      </c>
      <c r="R515" s="33">
        <f t="shared" si="161"/>
        <v>6.7114093959731544</v>
      </c>
      <c r="S515" s="33">
        <f t="shared" si="162"/>
        <v>-1</v>
      </c>
      <c r="T515" s="27"/>
      <c r="U515" s="28">
        <f t="shared" si="163"/>
        <v>0.10964912280701754</v>
      </c>
      <c r="V515" s="25">
        <f t="shared" si="164"/>
        <v>999</v>
      </c>
      <c r="W515" s="35">
        <f t="shared" si="176"/>
        <v>25</v>
      </c>
      <c r="X515" s="33">
        <f t="shared" si="165"/>
        <v>25</v>
      </c>
      <c r="Y515" s="32">
        <f t="shared" si="166"/>
        <v>-1</v>
      </c>
      <c r="Z515" s="32"/>
      <c r="AA515" s="30">
        <f t="shared" si="167"/>
        <v>13.861114915764963</v>
      </c>
      <c r="AB515" s="28">
        <f t="shared" si="168"/>
        <v>0.54142978616155213</v>
      </c>
      <c r="AC515" s="28">
        <f t="shared" si="169"/>
        <v>0.10964912280701754</v>
      </c>
      <c r="AD515" s="29">
        <f t="shared" si="170"/>
        <v>480.07590132827323</v>
      </c>
      <c r="AE515" s="28">
        <f t="shared" si="171"/>
        <v>0.10964912280701754</v>
      </c>
      <c r="AF515" s="28">
        <f t="shared" si="172"/>
        <v>0.43178066335453458</v>
      </c>
      <c r="AG515" s="28">
        <f t="shared" si="173"/>
        <v>0</v>
      </c>
      <c r="AI515" s="31">
        <f t="shared" si="174"/>
        <v>1.2964794134819528</v>
      </c>
      <c r="AJ515" s="25"/>
      <c r="AK515" s="31"/>
      <c r="AM515" s="27"/>
    </row>
    <row r="516" spans="4:39" x14ac:dyDescent="0.25">
      <c r="D516" s="25">
        <f>E516*'Profit per cycles Model'!$I$113</f>
        <v>5070</v>
      </c>
      <c r="E516" s="25">
        <v>13.888508423503628</v>
      </c>
      <c r="F516" s="28">
        <f t="shared" si="155"/>
        <v>0.19723865877712032</v>
      </c>
      <c r="G516" s="28">
        <f>'Battery Pricing Model'!$C$17/D516</f>
        <v>0.19723865877712032</v>
      </c>
      <c r="H516" s="28">
        <f t="shared" si="156"/>
        <v>999</v>
      </c>
      <c r="I516" s="28"/>
      <c r="J516" s="34">
        <f>INDEX('Profit per cycles Model'!$I$149:$I$179, MATCH(TRUNC(E516, 0), 'Profit per cycles Model'!$H$149:$H$179, 0))</f>
        <v>0.54142978616155213</v>
      </c>
      <c r="K516" s="27">
        <f>AVERAGE($AB$10:AB516)</f>
        <v>0.45402242827289319</v>
      </c>
      <c r="L516" s="28">
        <f t="shared" si="157"/>
        <v>0.25678376949577286</v>
      </c>
      <c r="M516" s="28">
        <f t="shared" si="158"/>
        <v>0.25678376949577286</v>
      </c>
      <c r="N516" s="28">
        <f t="shared" si="159"/>
        <v>999</v>
      </c>
      <c r="O516" s="28"/>
      <c r="P516" s="29">
        <f t="shared" si="175"/>
        <v>0.50700000000000034</v>
      </c>
      <c r="Q516" s="33">
        <f t="shared" si="160"/>
        <v>6.7114093959731544</v>
      </c>
      <c r="R516" s="33">
        <f t="shared" si="161"/>
        <v>6.7114093959731544</v>
      </c>
      <c r="S516" s="33">
        <f t="shared" si="162"/>
        <v>-1</v>
      </c>
      <c r="T516" s="27"/>
      <c r="U516" s="28">
        <f t="shared" si="163"/>
        <v>0.10964912280701754</v>
      </c>
      <c r="V516" s="25">
        <f t="shared" si="164"/>
        <v>999</v>
      </c>
      <c r="W516" s="35">
        <f t="shared" si="176"/>
        <v>25</v>
      </c>
      <c r="X516" s="33">
        <f t="shared" si="165"/>
        <v>25</v>
      </c>
      <c r="Y516" s="32">
        <f t="shared" si="166"/>
        <v>-1</v>
      </c>
      <c r="Z516" s="32"/>
      <c r="AA516" s="30">
        <f t="shared" si="167"/>
        <v>13.888508423503628</v>
      </c>
      <c r="AB516" s="28">
        <f t="shared" si="168"/>
        <v>0.54142978616155213</v>
      </c>
      <c r="AC516" s="28">
        <f t="shared" si="169"/>
        <v>0.10964912280701754</v>
      </c>
      <c r="AD516" s="29">
        <f t="shared" si="170"/>
        <v>481.02466793168878</v>
      </c>
      <c r="AE516" s="28">
        <f t="shared" si="171"/>
        <v>0.10964912280701754</v>
      </c>
      <c r="AF516" s="28">
        <f t="shared" si="172"/>
        <v>0.43178066335453458</v>
      </c>
      <c r="AG516" s="28">
        <f t="shared" si="173"/>
        <v>0</v>
      </c>
      <c r="AI516" s="31">
        <f t="shared" si="174"/>
        <v>1.3018937113435685</v>
      </c>
      <c r="AJ516" s="25"/>
      <c r="AK516" s="31"/>
      <c r="AM516" s="27"/>
    </row>
    <row r="517" spans="4:39" x14ac:dyDescent="0.25">
      <c r="D517" s="25">
        <f>E517*'Profit per cycles Model'!$I$113</f>
        <v>5080</v>
      </c>
      <c r="E517" s="25">
        <v>13.915901931242296</v>
      </c>
      <c r="F517" s="28">
        <f t="shared" si="155"/>
        <v>0.19685039370078741</v>
      </c>
      <c r="G517" s="28">
        <f>'Battery Pricing Model'!$C$17/D517</f>
        <v>0.19685039370078741</v>
      </c>
      <c r="H517" s="28">
        <f t="shared" si="156"/>
        <v>999</v>
      </c>
      <c r="I517" s="28"/>
      <c r="J517" s="34">
        <f>INDEX('Profit per cycles Model'!$I$149:$I$179, MATCH(TRUNC(E517, 0), 'Profit per cycles Model'!$H$149:$H$179, 0))</f>
        <v>0.54142978616155213</v>
      </c>
      <c r="K517" s="27">
        <f>AVERAGE($AB$10:AB517)</f>
        <v>0.45419449000102047</v>
      </c>
      <c r="L517" s="28">
        <f t="shared" si="157"/>
        <v>0.25734409630023303</v>
      </c>
      <c r="M517" s="28">
        <f t="shared" si="158"/>
        <v>0.25734409630023303</v>
      </c>
      <c r="N517" s="28">
        <f t="shared" si="159"/>
        <v>999</v>
      </c>
      <c r="O517" s="28"/>
      <c r="P517" s="29">
        <f t="shared" si="175"/>
        <v>0.50800000000000034</v>
      </c>
      <c r="Q517" s="33">
        <f t="shared" si="160"/>
        <v>6.7114093959731544</v>
      </c>
      <c r="R517" s="33">
        <f t="shared" si="161"/>
        <v>6.7114093959731544</v>
      </c>
      <c r="S517" s="33">
        <f t="shared" si="162"/>
        <v>-1</v>
      </c>
      <c r="T517" s="27"/>
      <c r="U517" s="28">
        <f t="shared" si="163"/>
        <v>0.10964912280701754</v>
      </c>
      <c r="V517" s="25">
        <f t="shared" si="164"/>
        <v>999</v>
      </c>
      <c r="W517" s="35">
        <f t="shared" si="176"/>
        <v>25</v>
      </c>
      <c r="X517" s="33">
        <f t="shared" si="165"/>
        <v>25</v>
      </c>
      <c r="Y517" s="32">
        <f t="shared" si="166"/>
        <v>-1</v>
      </c>
      <c r="Z517" s="32"/>
      <c r="AA517" s="30">
        <f t="shared" si="167"/>
        <v>13.915901931242296</v>
      </c>
      <c r="AB517" s="28">
        <f t="shared" si="168"/>
        <v>0.54142978616155213</v>
      </c>
      <c r="AC517" s="28">
        <f t="shared" si="169"/>
        <v>0.10964912280701754</v>
      </c>
      <c r="AD517" s="29">
        <f t="shared" si="170"/>
        <v>481.97343453510439</v>
      </c>
      <c r="AE517" s="28">
        <f t="shared" si="171"/>
        <v>0.10964912280701754</v>
      </c>
      <c r="AF517" s="28">
        <f t="shared" si="172"/>
        <v>0.43178066335453458</v>
      </c>
      <c r="AG517" s="28">
        <f t="shared" si="173"/>
        <v>0</v>
      </c>
      <c r="AI517" s="31">
        <f t="shared" si="174"/>
        <v>1.3073080092051836</v>
      </c>
      <c r="AJ517" s="25"/>
      <c r="AK517" s="31"/>
      <c r="AM517" s="27"/>
    </row>
    <row r="518" spans="4:39" x14ac:dyDescent="0.25">
      <c r="D518" s="25">
        <f>E518*'Profit per cycles Model'!$I$113</f>
        <v>5090</v>
      </c>
      <c r="E518" s="25">
        <v>13.943295438980961</v>
      </c>
      <c r="F518" s="28">
        <f t="shared" si="155"/>
        <v>0.19646365422396855</v>
      </c>
      <c r="G518" s="28">
        <f>'Battery Pricing Model'!$C$17/D518</f>
        <v>0.19646365422396855</v>
      </c>
      <c r="H518" s="28">
        <f t="shared" si="156"/>
        <v>999</v>
      </c>
      <c r="I518" s="28"/>
      <c r="J518" s="34">
        <f>INDEX('Profit per cycles Model'!$I$149:$I$179, MATCH(TRUNC(E518, 0), 'Profit per cycles Model'!$H$149:$H$179, 0))</f>
        <v>0.54142978616155213</v>
      </c>
      <c r="K518" s="27">
        <f>AVERAGE($AB$10:AB518)</f>
        <v>0.45436587565163056</v>
      </c>
      <c r="L518" s="28">
        <f t="shared" si="157"/>
        <v>0.257902221427662</v>
      </c>
      <c r="M518" s="28">
        <f t="shared" si="158"/>
        <v>0.257902221427662</v>
      </c>
      <c r="N518" s="28">
        <f t="shared" si="159"/>
        <v>999</v>
      </c>
      <c r="O518" s="28"/>
      <c r="P518" s="29">
        <f t="shared" si="175"/>
        <v>0.50900000000000034</v>
      </c>
      <c r="Q518" s="33">
        <f t="shared" si="160"/>
        <v>6.7114093959731544</v>
      </c>
      <c r="R518" s="33">
        <f t="shared" si="161"/>
        <v>6.7114093959731544</v>
      </c>
      <c r="S518" s="33">
        <f t="shared" si="162"/>
        <v>-1</v>
      </c>
      <c r="T518" s="27"/>
      <c r="U518" s="28">
        <f t="shared" si="163"/>
        <v>0.10964912280701754</v>
      </c>
      <c r="V518" s="25">
        <f t="shared" si="164"/>
        <v>999</v>
      </c>
      <c r="W518" s="35">
        <f t="shared" si="176"/>
        <v>25</v>
      </c>
      <c r="X518" s="33">
        <f t="shared" si="165"/>
        <v>25</v>
      </c>
      <c r="Y518" s="32">
        <f t="shared" si="166"/>
        <v>-1</v>
      </c>
      <c r="Z518" s="32"/>
      <c r="AA518" s="30">
        <f t="shared" si="167"/>
        <v>13.943295438980961</v>
      </c>
      <c r="AB518" s="28">
        <f t="shared" si="168"/>
        <v>0.54142978616155213</v>
      </c>
      <c r="AC518" s="28">
        <f t="shared" si="169"/>
        <v>0.10964912280701754</v>
      </c>
      <c r="AD518" s="29">
        <f t="shared" si="170"/>
        <v>482.92220113851988</v>
      </c>
      <c r="AE518" s="28">
        <f t="shared" si="171"/>
        <v>0.10964912280701754</v>
      </c>
      <c r="AF518" s="28">
        <f t="shared" si="172"/>
        <v>0.43178066335453458</v>
      </c>
      <c r="AG518" s="28">
        <f t="shared" si="173"/>
        <v>0</v>
      </c>
      <c r="AI518" s="31">
        <f t="shared" si="174"/>
        <v>1.3127223070667997</v>
      </c>
      <c r="AJ518" s="25"/>
      <c r="AK518" s="31"/>
      <c r="AM518" s="27"/>
    </row>
    <row r="519" spans="4:39" x14ac:dyDescent="0.25">
      <c r="D519" s="25">
        <f>E519*'Profit per cycles Model'!$I$113</f>
        <v>5100</v>
      </c>
      <c r="E519" s="25">
        <v>13.970688946719626</v>
      </c>
      <c r="F519" s="28">
        <f t="shared" si="155"/>
        <v>0.19607843137254902</v>
      </c>
      <c r="G519" s="28">
        <f>'Battery Pricing Model'!$C$17/D519</f>
        <v>0.19607843137254902</v>
      </c>
      <c r="H519" s="28">
        <f t="shared" si="156"/>
        <v>999</v>
      </c>
      <c r="I519" s="28"/>
      <c r="J519" s="34">
        <f>INDEX('Profit per cycles Model'!$I$149:$I$179, MATCH(TRUNC(E519, 0), 'Profit per cycles Model'!$H$149:$H$179, 0))</f>
        <v>0.54142978616155213</v>
      </c>
      <c r="K519" s="27">
        <f>AVERAGE($AB$10:AB519)</f>
        <v>0.45453658920165002</v>
      </c>
      <c r="L519" s="28">
        <f t="shared" si="157"/>
        <v>0.25845815782910098</v>
      </c>
      <c r="M519" s="28">
        <f t="shared" si="158"/>
        <v>0.25845815782910098</v>
      </c>
      <c r="N519" s="28">
        <f t="shared" si="159"/>
        <v>999</v>
      </c>
      <c r="O519" s="28"/>
      <c r="P519" s="29">
        <f t="shared" si="175"/>
        <v>0.51000000000000034</v>
      </c>
      <c r="Q519" s="33">
        <f t="shared" si="160"/>
        <v>6.7114093959731544</v>
      </c>
      <c r="R519" s="33">
        <f t="shared" si="161"/>
        <v>6.7114093959731544</v>
      </c>
      <c r="S519" s="33">
        <f t="shared" si="162"/>
        <v>-1</v>
      </c>
      <c r="T519" s="27"/>
      <c r="U519" s="28">
        <f t="shared" si="163"/>
        <v>0.10964912280701754</v>
      </c>
      <c r="V519" s="25">
        <f t="shared" si="164"/>
        <v>999</v>
      </c>
      <c r="W519" s="35">
        <f t="shared" si="176"/>
        <v>25</v>
      </c>
      <c r="X519" s="33">
        <f t="shared" si="165"/>
        <v>25</v>
      </c>
      <c r="Y519" s="32">
        <f t="shared" si="166"/>
        <v>-1</v>
      </c>
      <c r="Z519" s="32"/>
      <c r="AA519" s="30">
        <f t="shared" si="167"/>
        <v>13.970688946719626</v>
      </c>
      <c r="AB519" s="28">
        <f t="shared" si="168"/>
        <v>0.54142978616155213</v>
      </c>
      <c r="AC519" s="28">
        <f t="shared" si="169"/>
        <v>0.10964912280701754</v>
      </c>
      <c r="AD519" s="29">
        <f t="shared" si="170"/>
        <v>483.87096774193549</v>
      </c>
      <c r="AE519" s="28">
        <f t="shared" si="171"/>
        <v>0.10964912280701754</v>
      </c>
      <c r="AF519" s="28">
        <f t="shared" si="172"/>
        <v>0.43178066335453458</v>
      </c>
      <c r="AG519" s="28">
        <f t="shared" si="173"/>
        <v>0</v>
      </c>
      <c r="AI519" s="31">
        <f t="shared" si="174"/>
        <v>1.3181366049284149</v>
      </c>
      <c r="AJ519" s="25"/>
      <c r="AK519" s="31"/>
      <c r="AM519" s="27"/>
    </row>
    <row r="520" spans="4:39" x14ac:dyDescent="0.25">
      <c r="D520" s="25">
        <f>E520*'Profit per cycles Model'!$I$113</f>
        <v>5110</v>
      </c>
      <c r="E520" s="25">
        <v>13.998082454458293</v>
      </c>
      <c r="F520" s="28">
        <f t="shared" si="155"/>
        <v>0.19569471624266144</v>
      </c>
      <c r="G520" s="28">
        <f>'Battery Pricing Model'!$C$17/D520</f>
        <v>0.19569471624266144</v>
      </c>
      <c r="H520" s="28">
        <f t="shared" si="156"/>
        <v>999</v>
      </c>
      <c r="I520" s="28"/>
      <c r="J520" s="34">
        <f>INDEX('Profit per cycles Model'!$I$149:$I$179, MATCH(TRUNC(E520, 0), 'Profit per cycles Model'!$H$149:$H$179, 0))</f>
        <v>0.54142978616155213</v>
      </c>
      <c r="K520" s="27">
        <f>AVERAGE($AB$10:AB520)</f>
        <v>0.45470663459687488</v>
      </c>
      <c r="L520" s="28">
        <f t="shared" si="157"/>
        <v>0.25901191835421344</v>
      </c>
      <c r="M520" s="28">
        <f t="shared" si="158"/>
        <v>0.25901191835421344</v>
      </c>
      <c r="N520" s="28">
        <f t="shared" si="159"/>
        <v>999</v>
      </c>
      <c r="O520" s="28"/>
      <c r="P520" s="29">
        <f t="shared" si="175"/>
        <v>0.51100000000000034</v>
      </c>
      <c r="Q520" s="33">
        <f t="shared" si="160"/>
        <v>6.7114093959731544</v>
      </c>
      <c r="R520" s="33">
        <f t="shared" si="161"/>
        <v>6.7114093959731544</v>
      </c>
      <c r="S520" s="33">
        <f t="shared" si="162"/>
        <v>-1</v>
      </c>
      <c r="T520" s="27"/>
      <c r="U520" s="28">
        <f t="shared" si="163"/>
        <v>0.10964912280701754</v>
      </c>
      <c r="V520" s="25">
        <f t="shared" si="164"/>
        <v>999</v>
      </c>
      <c r="W520" s="35">
        <f t="shared" si="176"/>
        <v>25</v>
      </c>
      <c r="X520" s="33">
        <f t="shared" si="165"/>
        <v>25</v>
      </c>
      <c r="Y520" s="32">
        <f t="shared" si="166"/>
        <v>-1</v>
      </c>
      <c r="Z520" s="32"/>
      <c r="AA520" s="30">
        <f t="shared" si="167"/>
        <v>13.998082454458293</v>
      </c>
      <c r="AB520" s="28">
        <f t="shared" si="168"/>
        <v>0.54142978616155213</v>
      </c>
      <c r="AC520" s="28">
        <f t="shared" si="169"/>
        <v>0.10964912280701754</v>
      </c>
      <c r="AD520" s="29">
        <f t="shared" si="170"/>
        <v>484.81973434535109</v>
      </c>
      <c r="AE520" s="28">
        <f t="shared" si="171"/>
        <v>0.10964912280701754</v>
      </c>
      <c r="AF520" s="28">
        <f t="shared" si="172"/>
        <v>0.43178066335453458</v>
      </c>
      <c r="AG520" s="28">
        <f t="shared" si="173"/>
        <v>0</v>
      </c>
      <c r="AI520" s="31">
        <f t="shared" si="174"/>
        <v>1.3235509027900307</v>
      </c>
      <c r="AJ520" s="25"/>
      <c r="AK520" s="31"/>
      <c r="AM520" s="27"/>
    </row>
    <row r="521" spans="4:39" x14ac:dyDescent="0.25">
      <c r="D521" s="25">
        <f>E521*'Profit per cycles Model'!$I$113</f>
        <v>5120</v>
      </c>
      <c r="E521" s="25">
        <v>14.025475962196959</v>
      </c>
      <c r="F521" s="28">
        <f t="shared" si="155"/>
        <v>0.1953125</v>
      </c>
      <c r="G521" s="28">
        <f>'Battery Pricing Model'!$C$17/D521</f>
        <v>0.1953125</v>
      </c>
      <c r="H521" s="28">
        <f t="shared" si="156"/>
        <v>999</v>
      </c>
      <c r="I521" s="28"/>
      <c r="J521" s="34">
        <f>INDEX('Profit per cycles Model'!$I$149:$I$179, MATCH(TRUNC(E521, 0), 'Profit per cycles Model'!$H$149:$H$179, 0))</f>
        <v>0.55649494258029675</v>
      </c>
      <c r="K521" s="27">
        <f>AVERAGE($AB$10:AB521)</f>
        <v>0.45490543988590498</v>
      </c>
      <c r="L521" s="28">
        <f t="shared" si="157"/>
        <v>0.25959293988590498</v>
      </c>
      <c r="M521" s="28">
        <f t="shared" si="158"/>
        <v>0.25959293988590498</v>
      </c>
      <c r="N521" s="28">
        <f t="shared" si="159"/>
        <v>999</v>
      </c>
      <c r="O521" s="28"/>
      <c r="P521" s="29">
        <f t="shared" si="175"/>
        <v>0.51200000000000034</v>
      </c>
      <c r="Q521" s="33">
        <f t="shared" si="160"/>
        <v>6.7114093959731544</v>
      </c>
      <c r="R521" s="33">
        <f t="shared" si="161"/>
        <v>6.7114093959731544</v>
      </c>
      <c r="S521" s="33">
        <f t="shared" si="162"/>
        <v>-1</v>
      </c>
      <c r="T521" s="27"/>
      <c r="U521" s="28">
        <f t="shared" si="163"/>
        <v>0.10964912280701754</v>
      </c>
      <c r="V521" s="25">
        <f t="shared" si="164"/>
        <v>999</v>
      </c>
      <c r="W521" s="35">
        <f t="shared" si="176"/>
        <v>25</v>
      </c>
      <c r="X521" s="33">
        <f t="shared" si="165"/>
        <v>25</v>
      </c>
      <c r="Y521" s="32">
        <f t="shared" si="166"/>
        <v>-1</v>
      </c>
      <c r="Z521" s="32"/>
      <c r="AA521" s="30">
        <f t="shared" si="167"/>
        <v>14.025475962196959</v>
      </c>
      <c r="AB521" s="28">
        <f t="shared" si="168"/>
        <v>0.55649494258029675</v>
      </c>
      <c r="AC521" s="28">
        <f t="shared" si="169"/>
        <v>0.10964912280701754</v>
      </c>
      <c r="AD521" s="29">
        <f t="shared" si="170"/>
        <v>485.76850094876659</v>
      </c>
      <c r="AE521" s="28">
        <f t="shared" si="171"/>
        <v>0.10964912280701754</v>
      </c>
      <c r="AF521" s="28">
        <f t="shared" si="172"/>
        <v>0.4468458197732792</v>
      </c>
      <c r="AG521" s="28">
        <f t="shared" si="173"/>
        <v>0</v>
      </c>
      <c r="AI521" s="31">
        <f t="shared" si="174"/>
        <v>1.3291158522158335</v>
      </c>
      <c r="AJ521" s="25"/>
      <c r="AK521" s="31"/>
      <c r="AM521" s="27"/>
    </row>
    <row r="522" spans="4:39" x14ac:dyDescent="0.25">
      <c r="D522" s="25">
        <f>E522*'Profit per cycles Model'!$I$113</f>
        <v>5130</v>
      </c>
      <c r="E522" s="25">
        <v>14.052869469935624</v>
      </c>
      <c r="F522" s="28">
        <f t="shared" ref="F522:F585" si="177">IF(OR($H$6="None", $H$6=0), G522, H522)</f>
        <v>0.19493177387914229</v>
      </c>
      <c r="G522" s="28">
        <f>'Battery Pricing Model'!$C$17/D522</f>
        <v>0.19493177387914229</v>
      </c>
      <c r="H522" s="28">
        <f t="shared" ref="H522:H585" si="178">IF(OR($H$6="None", $H$6=0), 999, $G522*(H$6))</f>
        <v>999</v>
      </c>
      <c r="I522" s="28"/>
      <c r="J522" s="34">
        <f>INDEX('Profit per cycles Model'!$I$149:$I$179, MATCH(TRUNC(E522, 0), 'Profit per cycles Model'!$H$149:$H$179, 0))</f>
        <v>0.55649494258029675</v>
      </c>
      <c r="K522" s="27">
        <f>AVERAGE($AB$10:AB522)</f>
        <v>0.45510347010558216</v>
      </c>
      <c r="L522" s="28">
        <f t="shared" ref="L522:L585" si="179">IF(K522-F522&lt;0, 999, K522-F522)</f>
        <v>0.26017169622643987</v>
      </c>
      <c r="M522" s="28">
        <f t="shared" ref="M522:M585" si="180">IF(K522-F522&lt;0, 999, K522-F522)</f>
        <v>0.26017169622643987</v>
      </c>
      <c r="N522" s="28">
        <f t="shared" ref="N522:N585" si="181">IF(K522-H522&lt;0, 999, K522-H522)</f>
        <v>999</v>
      </c>
      <c r="O522" s="28"/>
      <c r="P522" s="29">
        <f t="shared" si="175"/>
        <v>0.51300000000000034</v>
      </c>
      <c r="Q522" s="33">
        <f t="shared" ref="Q522:Q585" si="182">$L$5</f>
        <v>6.7114093959731544</v>
      </c>
      <c r="R522" s="33">
        <f t="shared" ref="R522:R585" si="183">$M$5</f>
        <v>6.7114093959731544</v>
      </c>
      <c r="S522" s="33">
        <f t="shared" ref="S522:S585" si="184">$N$5</f>
        <v>-1</v>
      </c>
      <c r="T522" s="27"/>
      <c r="U522" s="28">
        <f t="shared" ref="U522:U585" si="185">IF(ISNA(INDEX($F$10:$F$1063,MATCH(W522,$E$10:$E$1063,1))),-1,INDEX($F$10:$F$1063,MATCH(W522,$E$10:$E$1063,1)))</f>
        <v>0.10964912280701754</v>
      </c>
      <c r="V522" s="25">
        <f t="shared" ref="V522:V585" si="186">IF(ISNA(INDEX($H$10:$H$1063, MATCH(X522, $E$10:$E$1063,1))),-1,  INDEX($H$10:$H$1063, MATCH(X522, $E$10:$E$1063,1)))</f>
        <v>999</v>
      </c>
      <c r="W522" s="35">
        <f t="shared" si="176"/>
        <v>25</v>
      </c>
      <c r="X522" s="33">
        <f t="shared" ref="X522:X585" si="187">IF(PaybackCustom&gt;0, IF(PaybackCustom&lt;&gt;"Default", PaybackCustom, IF(PaybackStatus&lt;&gt;"",INDEX($Y$2:$Y$6,MATCH(PaybackStatus,$X$2:$X$6,FALSE)),-1)))</f>
        <v>25</v>
      </c>
      <c r="Y522" s="32">
        <f t="shared" ref="Y522:Y585" si="188">IF(PaybackStatus&lt;&gt;"",IF(PaybackStatus=$X$4,IF(X522&lt;=$Y$4,$Y$4,-1), -1), -1)</f>
        <v>-1</v>
      </c>
      <c r="Z522" s="32"/>
      <c r="AA522" s="30">
        <f t="shared" ref="AA522:AA585" si="189">E522</f>
        <v>14.052869469935624</v>
      </c>
      <c r="AB522" s="28">
        <f t="shared" ref="AB522:AB585" si="190">J522</f>
        <v>0.55649494258029675</v>
      </c>
      <c r="AC522" s="28">
        <f t="shared" ref="AC522:AC585" si="191">U522</f>
        <v>0.10964912280701754</v>
      </c>
      <c r="AD522" s="29">
        <f t="shared" ref="AD522:AD585" si="192">$AC$2*(AA522-$AC$3)/($AC$4-$AC$3)</f>
        <v>486.71726755218214</v>
      </c>
      <c r="AE522" s="28">
        <f t="shared" ref="AE522:AE585" si="193">MIN(AC522, AB522)</f>
        <v>0.10964912280701754</v>
      </c>
      <c r="AF522" s="28">
        <f t="shared" ref="AF522:AF585" si="194">IF(AND(AA522&lt;X522, AB522&gt;AC522), AB522-AC522, 0)</f>
        <v>0.4468458197732792</v>
      </c>
      <c r="AG522" s="28">
        <f t="shared" ref="AG522:AG585" si="195">IF(AND(AA522&lt;X522, AC522&gt;AB522), AC522-AB522, 0)</f>
        <v>0</v>
      </c>
      <c r="AI522" s="31">
        <f t="shared" ref="AI522:AI585" si="196">(K522-F522)/F522</f>
        <v>1.3346808016416367</v>
      </c>
      <c r="AJ522" s="25"/>
      <c r="AK522" s="31"/>
      <c r="AM522" s="27"/>
    </row>
    <row r="523" spans="4:39" x14ac:dyDescent="0.25">
      <c r="D523" s="25">
        <f>E523*'Profit per cycles Model'!$I$113</f>
        <v>5140</v>
      </c>
      <c r="E523" s="25">
        <v>14.080262977674291</v>
      </c>
      <c r="F523" s="28">
        <f t="shared" si="177"/>
        <v>0.19455252918287938</v>
      </c>
      <c r="G523" s="28">
        <f>'Battery Pricing Model'!$C$17/D523</f>
        <v>0.19455252918287938</v>
      </c>
      <c r="H523" s="28">
        <f t="shared" si="178"/>
        <v>999</v>
      </c>
      <c r="I523" s="28"/>
      <c r="J523" s="34">
        <f>INDEX('Profit per cycles Model'!$I$149:$I$179, MATCH(TRUNC(E523, 0), 'Profit per cycles Model'!$H$149:$H$179, 0))</f>
        <v>0.55649494258029675</v>
      </c>
      <c r="K523" s="27">
        <f>AVERAGE($AB$10:AB523)</f>
        <v>0.45530072977965746</v>
      </c>
      <c r="L523" s="28">
        <f t="shared" si="179"/>
        <v>0.26074820059677806</v>
      </c>
      <c r="M523" s="28">
        <f t="shared" si="180"/>
        <v>0.26074820059677806</v>
      </c>
      <c r="N523" s="28">
        <f t="shared" si="181"/>
        <v>999</v>
      </c>
      <c r="O523" s="28"/>
      <c r="P523" s="29">
        <f t="shared" ref="P523:P586" si="197">P522+0.001</f>
        <v>0.51400000000000035</v>
      </c>
      <c r="Q523" s="33">
        <f t="shared" si="182"/>
        <v>6.7114093959731544</v>
      </c>
      <c r="R523" s="33">
        <f t="shared" si="183"/>
        <v>6.7114093959731544</v>
      </c>
      <c r="S523" s="33">
        <f t="shared" si="184"/>
        <v>-1</v>
      </c>
      <c r="T523" s="27"/>
      <c r="U523" s="28">
        <f t="shared" si="185"/>
        <v>0.10964912280701754</v>
      </c>
      <c r="V523" s="25">
        <f t="shared" si="186"/>
        <v>999</v>
      </c>
      <c r="W523" s="35">
        <f t="shared" ref="W523:W586" si="198">IF( AND(X523&gt;0, Y523&gt;0), IF(X523&lt;Y523, X523, Y523),  IF(X523&gt;0, X523, IF(Y523&gt;0, Y523, -1)) )</f>
        <v>25</v>
      </c>
      <c r="X523" s="33">
        <f t="shared" si="187"/>
        <v>25</v>
      </c>
      <c r="Y523" s="32">
        <f t="shared" si="188"/>
        <v>-1</v>
      </c>
      <c r="Z523" s="32"/>
      <c r="AA523" s="30">
        <f t="shared" si="189"/>
        <v>14.080262977674291</v>
      </c>
      <c r="AB523" s="28">
        <f t="shared" si="190"/>
        <v>0.55649494258029675</v>
      </c>
      <c r="AC523" s="28">
        <f t="shared" si="191"/>
        <v>0.10964912280701754</v>
      </c>
      <c r="AD523" s="29">
        <f t="shared" si="192"/>
        <v>487.66603415559774</v>
      </c>
      <c r="AE523" s="28">
        <f t="shared" si="193"/>
        <v>0.10964912280701754</v>
      </c>
      <c r="AF523" s="28">
        <f t="shared" si="194"/>
        <v>0.4468458197732792</v>
      </c>
      <c r="AG523" s="28">
        <f t="shared" si="195"/>
        <v>0</v>
      </c>
      <c r="AI523" s="31">
        <f t="shared" si="196"/>
        <v>1.3402457510674393</v>
      </c>
      <c r="AJ523" s="25"/>
      <c r="AK523" s="31"/>
      <c r="AM523" s="27"/>
    </row>
    <row r="524" spans="4:39" x14ac:dyDescent="0.25">
      <c r="D524" s="25">
        <f>E524*'Profit per cycles Model'!$I$113</f>
        <v>5150</v>
      </c>
      <c r="E524" s="25">
        <v>14.107656485412956</v>
      </c>
      <c r="F524" s="28">
        <f t="shared" si="177"/>
        <v>0.1941747572815534</v>
      </c>
      <c r="G524" s="28">
        <f>'Battery Pricing Model'!$C$17/D524</f>
        <v>0.1941747572815534</v>
      </c>
      <c r="H524" s="28">
        <f t="shared" si="178"/>
        <v>999</v>
      </c>
      <c r="I524" s="28"/>
      <c r="J524" s="34">
        <f>INDEX('Profit per cycles Model'!$I$149:$I$179, MATCH(TRUNC(E524, 0), 'Profit per cycles Model'!$H$149:$H$179, 0))</f>
        <v>0.55649494258029675</v>
      </c>
      <c r="K524" s="27">
        <f>AVERAGE($AB$10:AB524)</f>
        <v>0.45549722339674603</v>
      </c>
      <c r="L524" s="28">
        <f t="shared" si="179"/>
        <v>0.26132246611519261</v>
      </c>
      <c r="M524" s="28">
        <f t="shared" si="180"/>
        <v>0.26132246611519261</v>
      </c>
      <c r="N524" s="28">
        <f t="shared" si="181"/>
        <v>999</v>
      </c>
      <c r="O524" s="28"/>
      <c r="P524" s="29">
        <f t="shared" si="197"/>
        <v>0.51500000000000035</v>
      </c>
      <c r="Q524" s="33">
        <f t="shared" si="182"/>
        <v>6.7114093959731544</v>
      </c>
      <c r="R524" s="33">
        <f t="shared" si="183"/>
        <v>6.7114093959731544</v>
      </c>
      <c r="S524" s="33">
        <f t="shared" si="184"/>
        <v>-1</v>
      </c>
      <c r="T524" s="27"/>
      <c r="U524" s="28">
        <f t="shared" si="185"/>
        <v>0.10964912280701754</v>
      </c>
      <c r="V524" s="25">
        <f t="shared" si="186"/>
        <v>999</v>
      </c>
      <c r="W524" s="35">
        <f t="shared" si="198"/>
        <v>25</v>
      </c>
      <c r="X524" s="33">
        <f t="shared" si="187"/>
        <v>25</v>
      </c>
      <c r="Y524" s="32">
        <f t="shared" si="188"/>
        <v>-1</v>
      </c>
      <c r="Z524" s="32"/>
      <c r="AA524" s="30">
        <f t="shared" si="189"/>
        <v>14.107656485412956</v>
      </c>
      <c r="AB524" s="28">
        <f t="shared" si="190"/>
        <v>0.55649494258029675</v>
      </c>
      <c r="AC524" s="28">
        <f t="shared" si="191"/>
        <v>0.10964912280701754</v>
      </c>
      <c r="AD524" s="29">
        <f t="shared" si="192"/>
        <v>488.61480075901324</v>
      </c>
      <c r="AE524" s="28">
        <f t="shared" si="193"/>
        <v>0.10964912280701754</v>
      </c>
      <c r="AF524" s="28">
        <f t="shared" si="194"/>
        <v>0.4468458197732792</v>
      </c>
      <c r="AG524" s="28">
        <f t="shared" si="195"/>
        <v>0</v>
      </c>
      <c r="AI524" s="31">
        <f t="shared" si="196"/>
        <v>1.345810700493242</v>
      </c>
      <c r="AJ524" s="25"/>
      <c r="AK524" s="31"/>
      <c r="AM524" s="27"/>
    </row>
    <row r="525" spans="4:39" x14ac:dyDescent="0.25">
      <c r="D525" s="25">
        <f>E525*'Profit per cycles Model'!$I$113</f>
        <v>5160</v>
      </c>
      <c r="E525" s="25">
        <v>14.135049993151622</v>
      </c>
      <c r="F525" s="28">
        <f t="shared" si="177"/>
        <v>0.19379844961240311</v>
      </c>
      <c r="G525" s="28">
        <f>'Battery Pricing Model'!$C$17/D525</f>
        <v>0.19379844961240311</v>
      </c>
      <c r="H525" s="28">
        <f t="shared" si="178"/>
        <v>999</v>
      </c>
      <c r="I525" s="28"/>
      <c r="J525" s="34">
        <f>INDEX('Profit per cycles Model'!$I$149:$I$179, MATCH(TRUNC(E525, 0), 'Profit per cycles Model'!$H$149:$H$179, 0))</f>
        <v>0.55649494258029675</v>
      </c>
      <c r="K525" s="27">
        <f>AVERAGE($AB$10:AB525)</f>
        <v>0.45569295541066762</v>
      </c>
      <c r="L525" s="28">
        <f t="shared" si="179"/>
        <v>0.26189450579826451</v>
      </c>
      <c r="M525" s="28">
        <f t="shared" si="180"/>
        <v>0.26189450579826451</v>
      </c>
      <c r="N525" s="28">
        <f t="shared" si="181"/>
        <v>999</v>
      </c>
      <c r="O525" s="28"/>
      <c r="P525" s="29">
        <f t="shared" si="197"/>
        <v>0.51600000000000035</v>
      </c>
      <c r="Q525" s="33">
        <f t="shared" si="182"/>
        <v>6.7114093959731544</v>
      </c>
      <c r="R525" s="33">
        <f t="shared" si="183"/>
        <v>6.7114093959731544</v>
      </c>
      <c r="S525" s="33">
        <f t="shared" si="184"/>
        <v>-1</v>
      </c>
      <c r="T525" s="27"/>
      <c r="U525" s="28">
        <f t="shared" si="185"/>
        <v>0.10964912280701754</v>
      </c>
      <c r="V525" s="25">
        <f t="shared" si="186"/>
        <v>999</v>
      </c>
      <c r="W525" s="35">
        <f t="shared" si="198"/>
        <v>25</v>
      </c>
      <c r="X525" s="33">
        <f t="shared" si="187"/>
        <v>25</v>
      </c>
      <c r="Y525" s="32">
        <f t="shared" si="188"/>
        <v>-1</v>
      </c>
      <c r="Z525" s="32"/>
      <c r="AA525" s="30">
        <f t="shared" si="189"/>
        <v>14.135049993151622</v>
      </c>
      <c r="AB525" s="28">
        <f t="shared" si="190"/>
        <v>0.55649494258029675</v>
      </c>
      <c r="AC525" s="28">
        <f t="shared" si="191"/>
        <v>0.10964912280701754</v>
      </c>
      <c r="AD525" s="29">
        <f t="shared" si="192"/>
        <v>489.56356736242884</v>
      </c>
      <c r="AE525" s="28">
        <f t="shared" si="193"/>
        <v>0.10964912280701754</v>
      </c>
      <c r="AF525" s="28">
        <f t="shared" si="194"/>
        <v>0.4468458197732792</v>
      </c>
      <c r="AG525" s="28">
        <f t="shared" si="195"/>
        <v>0</v>
      </c>
      <c r="AI525" s="31">
        <f t="shared" si="196"/>
        <v>1.3513756499190448</v>
      </c>
      <c r="AJ525" s="25"/>
      <c r="AK525" s="31"/>
      <c r="AM525" s="27"/>
    </row>
    <row r="526" spans="4:39" x14ac:dyDescent="0.25">
      <c r="D526" s="25">
        <f>E526*'Profit per cycles Model'!$I$113</f>
        <v>5170</v>
      </c>
      <c r="E526" s="25">
        <v>14.162443500890289</v>
      </c>
      <c r="F526" s="28">
        <f t="shared" si="177"/>
        <v>0.19342359767891681</v>
      </c>
      <c r="G526" s="28">
        <f>'Battery Pricing Model'!$C$17/D526</f>
        <v>0.19342359767891681</v>
      </c>
      <c r="H526" s="28">
        <f t="shared" si="178"/>
        <v>999</v>
      </c>
      <c r="I526" s="28"/>
      <c r="J526" s="34">
        <f>INDEX('Profit per cycles Model'!$I$149:$I$179, MATCH(TRUNC(E526, 0), 'Profit per cycles Model'!$H$149:$H$179, 0))</f>
        <v>0.55649494258029675</v>
      </c>
      <c r="K526" s="27">
        <f>AVERAGE($AB$10:AB526)</f>
        <v>0.45588793024078295</v>
      </c>
      <c r="L526" s="28">
        <f t="shared" si="179"/>
        <v>0.26246433256186613</v>
      </c>
      <c r="M526" s="28">
        <f t="shared" si="180"/>
        <v>0.26246433256186613</v>
      </c>
      <c r="N526" s="28">
        <f t="shared" si="181"/>
        <v>999</v>
      </c>
      <c r="O526" s="28"/>
      <c r="P526" s="29">
        <f t="shared" si="197"/>
        <v>0.51700000000000035</v>
      </c>
      <c r="Q526" s="33">
        <f t="shared" si="182"/>
        <v>6.7114093959731544</v>
      </c>
      <c r="R526" s="33">
        <f t="shared" si="183"/>
        <v>6.7114093959731544</v>
      </c>
      <c r="S526" s="33">
        <f t="shared" si="184"/>
        <v>-1</v>
      </c>
      <c r="T526" s="27"/>
      <c r="U526" s="28">
        <f t="shared" si="185"/>
        <v>0.10964912280701754</v>
      </c>
      <c r="V526" s="25">
        <f t="shared" si="186"/>
        <v>999</v>
      </c>
      <c r="W526" s="35">
        <f t="shared" si="198"/>
        <v>25</v>
      </c>
      <c r="X526" s="33">
        <f t="shared" si="187"/>
        <v>25</v>
      </c>
      <c r="Y526" s="32">
        <f t="shared" si="188"/>
        <v>-1</v>
      </c>
      <c r="Z526" s="32"/>
      <c r="AA526" s="30">
        <f t="shared" si="189"/>
        <v>14.162443500890289</v>
      </c>
      <c r="AB526" s="28">
        <f t="shared" si="190"/>
        <v>0.55649494258029675</v>
      </c>
      <c r="AC526" s="28">
        <f t="shared" si="191"/>
        <v>0.10964912280701754</v>
      </c>
      <c r="AD526" s="29">
        <f t="shared" si="192"/>
        <v>490.51233396584445</v>
      </c>
      <c r="AE526" s="28">
        <f t="shared" si="193"/>
        <v>0.10964912280701754</v>
      </c>
      <c r="AF526" s="28">
        <f t="shared" si="194"/>
        <v>0.4468458197732792</v>
      </c>
      <c r="AG526" s="28">
        <f t="shared" si="195"/>
        <v>0</v>
      </c>
      <c r="AI526" s="31">
        <f t="shared" si="196"/>
        <v>1.356940599344848</v>
      </c>
      <c r="AJ526" s="25"/>
      <c r="AK526" s="31"/>
      <c r="AM526" s="27"/>
    </row>
    <row r="527" spans="4:39" x14ac:dyDescent="0.25">
      <c r="D527" s="25">
        <f>E527*'Profit per cycles Model'!$I$113</f>
        <v>5180</v>
      </c>
      <c r="E527" s="25">
        <v>14.189837008628954</v>
      </c>
      <c r="F527" s="28">
        <f t="shared" si="177"/>
        <v>0.19305019305019305</v>
      </c>
      <c r="G527" s="28">
        <f>'Battery Pricing Model'!$C$17/D527</f>
        <v>0.19305019305019305</v>
      </c>
      <c r="H527" s="28">
        <f t="shared" si="178"/>
        <v>999</v>
      </c>
      <c r="I527" s="28"/>
      <c r="J527" s="34">
        <f>INDEX('Profit per cycles Model'!$I$149:$I$179, MATCH(TRUNC(E527, 0), 'Profit per cycles Model'!$H$149:$H$179, 0))</f>
        <v>0.55649494258029675</v>
      </c>
      <c r="K527" s="27">
        <f>AVERAGE($AB$10:AB527)</f>
        <v>0.4560821522723264</v>
      </c>
      <c r="L527" s="28">
        <f t="shared" si="179"/>
        <v>0.26303195922213335</v>
      </c>
      <c r="M527" s="28">
        <f t="shared" si="180"/>
        <v>0.26303195922213335</v>
      </c>
      <c r="N527" s="28">
        <f t="shared" si="181"/>
        <v>999</v>
      </c>
      <c r="O527" s="28"/>
      <c r="P527" s="29">
        <f t="shared" si="197"/>
        <v>0.51800000000000035</v>
      </c>
      <c r="Q527" s="33">
        <f t="shared" si="182"/>
        <v>6.7114093959731544</v>
      </c>
      <c r="R527" s="33">
        <f t="shared" si="183"/>
        <v>6.7114093959731544</v>
      </c>
      <c r="S527" s="33">
        <f t="shared" si="184"/>
        <v>-1</v>
      </c>
      <c r="T527" s="27"/>
      <c r="U527" s="28">
        <f t="shared" si="185"/>
        <v>0.10964912280701754</v>
      </c>
      <c r="V527" s="25">
        <f t="shared" si="186"/>
        <v>999</v>
      </c>
      <c r="W527" s="35">
        <f t="shared" si="198"/>
        <v>25</v>
      </c>
      <c r="X527" s="33">
        <f t="shared" si="187"/>
        <v>25</v>
      </c>
      <c r="Y527" s="32">
        <f t="shared" si="188"/>
        <v>-1</v>
      </c>
      <c r="Z527" s="32"/>
      <c r="AA527" s="30">
        <f t="shared" si="189"/>
        <v>14.189837008628954</v>
      </c>
      <c r="AB527" s="28">
        <f t="shared" si="190"/>
        <v>0.55649494258029675</v>
      </c>
      <c r="AC527" s="28">
        <f t="shared" si="191"/>
        <v>0.10964912280701754</v>
      </c>
      <c r="AD527" s="29">
        <f t="shared" si="192"/>
        <v>491.46110056925994</v>
      </c>
      <c r="AE527" s="28">
        <f t="shared" si="193"/>
        <v>0.10964912280701754</v>
      </c>
      <c r="AF527" s="28">
        <f t="shared" si="194"/>
        <v>0.4468458197732792</v>
      </c>
      <c r="AG527" s="28">
        <f t="shared" si="195"/>
        <v>0</v>
      </c>
      <c r="AI527" s="31">
        <f t="shared" si="196"/>
        <v>1.3625055487706508</v>
      </c>
      <c r="AJ527" s="25"/>
      <c r="AK527" s="31"/>
      <c r="AM527" s="27"/>
    </row>
    <row r="528" spans="4:39" x14ac:dyDescent="0.25">
      <c r="D528" s="25">
        <f>E528*'Profit per cycles Model'!$I$113</f>
        <v>5190</v>
      </c>
      <c r="E528" s="25">
        <v>14.21723051636762</v>
      </c>
      <c r="F528" s="28">
        <f t="shared" si="177"/>
        <v>0.19267822736030829</v>
      </c>
      <c r="G528" s="28">
        <f>'Battery Pricing Model'!$C$17/D528</f>
        <v>0.19267822736030829</v>
      </c>
      <c r="H528" s="28">
        <f t="shared" si="178"/>
        <v>999</v>
      </c>
      <c r="I528" s="28"/>
      <c r="J528" s="34">
        <f>INDEX('Profit per cycles Model'!$I$149:$I$179, MATCH(TRUNC(E528, 0), 'Profit per cycles Model'!$H$149:$H$179, 0))</f>
        <v>0.55649494258029675</v>
      </c>
      <c r="K528" s="27">
        <f>AVERAGE($AB$10:AB528)</f>
        <v>0.45627562585673481</v>
      </c>
      <c r="L528" s="28">
        <f t="shared" si="179"/>
        <v>0.26359739849642649</v>
      </c>
      <c r="M528" s="28">
        <f t="shared" si="180"/>
        <v>0.26359739849642649</v>
      </c>
      <c r="N528" s="28">
        <f t="shared" si="181"/>
        <v>999</v>
      </c>
      <c r="O528" s="28"/>
      <c r="P528" s="29">
        <f t="shared" si="197"/>
        <v>0.51900000000000035</v>
      </c>
      <c r="Q528" s="33">
        <f t="shared" si="182"/>
        <v>6.7114093959731544</v>
      </c>
      <c r="R528" s="33">
        <f t="shared" si="183"/>
        <v>6.7114093959731544</v>
      </c>
      <c r="S528" s="33">
        <f t="shared" si="184"/>
        <v>-1</v>
      </c>
      <c r="T528" s="27"/>
      <c r="U528" s="28">
        <f t="shared" si="185"/>
        <v>0.10964912280701754</v>
      </c>
      <c r="V528" s="25">
        <f t="shared" si="186"/>
        <v>999</v>
      </c>
      <c r="W528" s="35">
        <f t="shared" si="198"/>
        <v>25</v>
      </c>
      <c r="X528" s="33">
        <f t="shared" si="187"/>
        <v>25</v>
      </c>
      <c r="Y528" s="32">
        <f t="shared" si="188"/>
        <v>-1</v>
      </c>
      <c r="Z528" s="32"/>
      <c r="AA528" s="30">
        <f t="shared" si="189"/>
        <v>14.21723051636762</v>
      </c>
      <c r="AB528" s="28">
        <f t="shared" si="190"/>
        <v>0.55649494258029675</v>
      </c>
      <c r="AC528" s="28">
        <f t="shared" si="191"/>
        <v>0.10964912280701754</v>
      </c>
      <c r="AD528" s="29">
        <f t="shared" si="192"/>
        <v>492.40986717267549</v>
      </c>
      <c r="AE528" s="28">
        <f t="shared" si="193"/>
        <v>0.10964912280701754</v>
      </c>
      <c r="AF528" s="28">
        <f t="shared" si="194"/>
        <v>0.4468458197732792</v>
      </c>
      <c r="AG528" s="28">
        <f t="shared" si="195"/>
        <v>0</v>
      </c>
      <c r="AI528" s="31">
        <f t="shared" si="196"/>
        <v>1.3680704981964535</v>
      </c>
      <c r="AJ528" s="25"/>
      <c r="AK528" s="31"/>
      <c r="AM528" s="27"/>
    </row>
    <row r="529" spans="4:39" x14ac:dyDescent="0.25">
      <c r="D529" s="25">
        <f>E529*'Profit per cycles Model'!$I$113</f>
        <v>5200</v>
      </c>
      <c r="E529" s="25">
        <v>14.244624024106287</v>
      </c>
      <c r="F529" s="28">
        <f t="shared" si="177"/>
        <v>0.19230769230769232</v>
      </c>
      <c r="G529" s="28">
        <f>'Battery Pricing Model'!$C$17/D529</f>
        <v>0.19230769230769232</v>
      </c>
      <c r="H529" s="28">
        <f t="shared" si="178"/>
        <v>999</v>
      </c>
      <c r="I529" s="28"/>
      <c r="J529" s="34">
        <f>INDEX('Profit per cycles Model'!$I$149:$I$179, MATCH(TRUNC(E529, 0), 'Profit per cycles Model'!$H$149:$H$179, 0))</f>
        <v>0.55649494258029675</v>
      </c>
      <c r="K529" s="27">
        <f>AVERAGE($AB$10:AB529)</f>
        <v>0.45646835531197238</v>
      </c>
      <c r="L529" s="28">
        <f t="shared" si="179"/>
        <v>0.26416066300428009</v>
      </c>
      <c r="M529" s="28">
        <f t="shared" si="180"/>
        <v>0.26416066300428009</v>
      </c>
      <c r="N529" s="28">
        <f t="shared" si="181"/>
        <v>999</v>
      </c>
      <c r="O529" s="28"/>
      <c r="P529" s="29">
        <f t="shared" si="197"/>
        <v>0.52000000000000035</v>
      </c>
      <c r="Q529" s="33">
        <f t="shared" si="182"/>
        <v>6.7114093959731544</v>
      </c>
      <c r="R529" s="33">
        <f t="shared" si="183"/>
        <v>6.7114093959731544</v>
      </c>
      <c r="S529" s="33">
        <f t="shared" si="184"/>
        <v>-1</v>
      </c>
      <c r="T529" s="27"/>
      <c r="U529" s="28">
        <f t="shared" si="185"/>
        <v>0.10964912280701754</v>
      </c>
      <c r="V529" s="25">
        <f t="shared" si="186"/>
        <v>999</v>
      </c>
      <c r="W529" s="35">
        <f t="shared" si="198"/>
        <v>25</v>
      </c>
      <c r="X529" s="33">
        <f t="shared" si="187"/>
        <v>25</v>
      </c>
      <c r="Y529" s="32">
        <f t="shared" si="188"/>
        <v>-1</v>
      </c>
      <c r="Z529" s="32"/>
      <c r="AA529" s="30">
        <f t="shared" si="189"/>
        <v>14.244624024106287</v>
      </c>
      <c r="AB529" s="28">
        <f t="shared" si="190"/>
        <v>0.55649494258029675</v>
      </c>
      <c r="AC529" s="28">
        <f t="shared" si="191"/>
        <v>0.10964912280701754</v>
      </c>
      <c r="AD529" s="29">
        <f t="shared" si="192"/>
        <v>493.3586337760911</v>
      </c>
      <c r="AE529" s="28">
        <f t="shared" si="193"/>
        <v>0.10964912280701754</v>
      </c>
      <c r="AF529" s="28">
        <f t="shared" si="194"/>
        <v>0.4468458197732792</v>
      </c>
      <c r="AG529" s="28">
        <f t="shared" si="195"/>
        <v>0</v>
      </c>
      <c r="AI529" s="31">
        <f t="shared" si="196"/>
        <v>1.3736354476222563</v>
      </c>
      <c r="AJ529" s="25"/>
      <c r="AK529" s="31"/>
      <c r="AM529" s="27"/>
    </row>
    <row r="530" spans="4:39" x14ac:dyDescent="0.25">
      <c r="D530" s="25">
        <f>E530*'Profit per cycles Model'!$I$113</f>
        <v>5210</v>
      </c>
      <c r="E530" s="25">
        <v>14.272017531844952</v>
      </c>
      <c r="F530" s="28">
        <f t="shared" si="177"/>
        <v>0.19193857965451055</v>
      </c>
      <c r="G530" s="28">
        <f>'Battery Pricing Model'!$C$17/D530</f>
        <v>0.19193857965451055</v>
      </c>
      <c r="H530" s="28">
        <f t="shared" si="178"/>
        <v>999</v>
      </c>
      <c r="I530" s="28"/>
      <c r="J530" s="34">
        <f>INDEX('Profit per cycles Model'!$I$149:$I$179, MATCH(TRUNC(E530, 0), 'Profit per cycles Model'!$H$149:$H$179, 0))</f>
        <v>0.55649494258029675</v>
      </c>
      <c r="K530" s="27">
        <f>AVERAGE($AB$10:AB530)</f>
        <v>0.45666034492285207</v>
      </c>
      <c r="L530" s="28">
        <f t="shared" si="179"/>
        <v>0.26472176526834151</v>
      </c>
      <c r="M530" s="28">
        <f t="shared" si="180"/>
        <v>0.26472176526834151</v>
      </c>
      <c r="N530" s="28">
        <f t="shared" si="181"/>
        <v>999</v>
      </c>
      <c r="O530" s="28"/>
      <c r="P530" s="29">
        <f t="shared" si="197"/>
        <v>0.52100000000000035</v>
      </c>
      <c r="Q530" s="33">
        <f t="shared" si="182"/>
        <v>6.7114093959731544</v>
      </c>
      <c r="R530" s="33">
        <f t="shared" si="183"/>
        <v>6.7114093959731544</v>
      </c>
      <c r="S530" s="33">
        <f t="shared" si="184"/>
        <v>-1</v>
      </c>
      <c r="T530" s="27"/>
      <c r="U530" s="28">
        <f t="shared" si="185"/>
        <v>0.10964912280701754</v>
      </c>
      <c r="V530" s="25">
        <f t="shared" si="186"/>
        <v>999</v>
      </c>
      <c r="W530" s="35">
        <f t="shared" si="198"/>
        <v>25</v>
      </c>
      <c r="X530" s="33">
        <f t="shared" si="187"/>
        <v>25</v>
      </c>
      <c r="Y530" s="32">
        <f t="shared" si="188"/>
        <v>-1</v>
      </c>
      <c r="Z530" s="32"/>
      <c r="AA530" s="30">
        <f t="shared" si="189"/>
        <v>14.272017531844952</v>
      </c>
      <c r="AB530" s="28">
        <f t="shared" si="190"/>
        <v>0.55649494258029675</v>
      </c>
      <c r="AC530" s="28">
        <f t="shared" si="191"/>
        <v>0.10964912280701754</v>
      </c>
      <c r="AD530" s="29">
        <f t="shared" si="192"/>
        <v>494.30740037950665</v>
      </c>
      <c r="AE530" s="28">
        <f t="shared" si="193"/>
        <v>0.10964912280701754</v>
      </c>
      <c r="AF530" s="28">
        <f t="shared" si="194"/>
        <v>0.4468458197732792</v>
      </c>
      <c r="AG530" s="28">
        <f t="shared" si="195"/>
        <v>0</v>
      </c>
      <c r="AI530" s="31">
        <f t="shared" si="196"/>
        <v>1.3792003970480593</v>
      </c>
      <c r="AJ530" s="25"/>
      <c r="AK530" s="31"/>
      <c r="AM530" s="27"/>
    </row>
    <row r="531" spans="4:39" x14ac:dyDescent="0.25">
      <c r="D531" s="25">
        <f>E531*'Profit per cycles Model'!$I$113</f>
        <v>5220</v>
      </c>
      <c r="E531" s="25">
        <v>14.299411039583617</v>
      </c>
      <c r="F531" s="28">
        <f t="shared" si="177"/>
        <v>0.19157088122605365</v>
      </c>
      <c r="G531" s="28">
        <f>'Battery Pricing Model'!$C$17/D531</f>
        <v>0.19157088122605365</v>
      </c>
      <c r="H531" s="28">
        <f t="shared" si="178"/>
        <v>999</v>
      </c>
      <c r="I531" s="28"/>
      <c r="J531" s="34">
        <f>INDEX('Profit per cycles Model'!$I$149:$I$179, MATCH(TRUNC(E531, 0), 'Profit per cycles Model'!$H$149:$H$179, 0))</f>
        <v>0.55649494258029675</v>
      </c>
      <c r="K531" s="27">
        <f>AVERAGE($AB$10:AB531)</f>
        <v>0.45685159894135291</v>
      </c>
      <c r="L531" s="28">
        <f t="shared" si="179"/>
        <v>0.26528071771529926</v>
      </c>
      <c r="M531" s="28">
        <f t="shared" si="180"/>
        <v>0.26528071771529926</v>
      </c>
      <c r="N531" s="28">
        <f t="shared" si="181"/>
        <v>999</v>
      </c>
      <c r="O531" s="28"/>
      <c r="P531" s="29">
        <f t="shared" si="197"/>
        <v>0.52200000000000035</v>
      </c>
      <c r="Q531" s="33">
        <f t="shared" si="182"/>
        <v>6.7114093959731544</v>
      </c>
      <c r="R531" s="33">
        <f t="shared" si="183"/>
        <v>6.7114093959731544</v>
      </c>
      <c r="S531" s="33">
        <f t="shared" si="184"/>
        <v>-1</v>
      </c>
      <c r="T531" s="27"/>
      <c r="U531" s="28">
        <f t="shared" si="185"/>
        <v>0.10964912280701754</v>
      </c>
      <c r="V531" s="25">
        <f t="shared" si="186"/>
        <v>999</v>
      </c>
      <c r="W531" s="35">
        <f t="shared" si="198"/>
        <v>25</v>
      </c>
      <c r="X531" s="33">
        <f t="shared" si="187"/>
        <v>25</v>
      </c>
      <c r="Y531" s="32">
        <f t="shared" si="188"/>
        <v>-1</v>
      </c>
      <c r="Z531" s="32"/>
      <c r="AA531" s="30">
        <f t="shared" si="189"/>
        <v>14.299411039583617</v>
      </c>
      <c r="AB531" s="28">
        <f t="shared" si="190"/>
        <v>0.55649494258029675</v>
      </c>
      <c r="AC531" s="28">
        <f t="shared" si="191"/>
        <v>0.10964912280701754</v>
      </c>
      <c r="AD531" s="29">
        <f t="shared" si="192"/>
        <v>495.2561669829222</v>
      </c>
      <c r="AE531" s="28">
        <f t="shared" si="193"/>
        <v>0.10964912280701754</v>
      </c>
      <c r="AF531" s="28">
        <f t="shared" si="194"/>
        <v>0.4468458197732792</v>
      </c>
      <c r="AG531" s="28">
        <f t="shared" si="195"/>
        <v>0</v>
      </c>
      <c r="AI531" s="31">
        <f t="shared" si="196"/>
        <v>1.3847653464738621</v>
      </c>
      <c r="AJ531" s="25"/>
      <c r="AK531" s="31"/>
      <c r="AM531" s="27"/>
    </row>
    <row r="532" spans="4:39" x14ac:dyDescent="0.25">
      <c r="D532" s="25">
        <f>E532*'Profit per cycles Model'!$I$113</f>
        <v>5230</v>
      </c>
      <c r="E532" s="25">
        <v>14.326804547322284</v>
      </c>
      <c r="F532" s="28">
        <f t="shared" si="177"/>
        <v>0.19120458891013384</v>
      </c>
      <c r="G532" s="28">
        <f>'Battery Pricing Model'!$C$17/D532</f>
        <v>0.19120458891013384</v>
      </c>
      <c r="H532" s="28">
        <f t="shared" si="178"/>
        <v>999</v>
      </c>
      <c r="I532" s="28"/>
      <c r="J532" s="34">
        <f>INDEX('Profit per cycles Model'!$I$149:$I$179, MATCH(TRUNC(E532, 0), 'Profit per cycles Model'!$H$149:$H$179, 0))</f>
        <v>0.55649494258029675</v>
      </c>
      <c r="K532" s="27">
        <f>AVERAGE($AB$10:AB532)</f>
        <v>0.45704212158693402</v>
      </c>
      <c r="L532" s="28">
        <f t="shared" si="179"/>
        <v>0.26583753267680021</v>
      </c>
      <c r="M532" s="28">
        <f t="shared" si="180"/>
        <v>0.26583753267680021</v>
      </c>
      <c r="N532" s="28">
        <f t="shared" si="181"/>
        <v>999</v>
      </c>
      <c r="O532" s="28"/>
      <c r="P532" s="29">
        <f t="shared" si="197"/>
        <v>0.52300000000000035</v>
      </c>
      <c r="Q532" s="33">
        <f t="shared" si="182"/>
        <v>6.7114093959731544</v>
      </c>
      <c r="R532" s="33">
        <f t="shared" si="183"/>
        <v>6.7114093959731544</v>
      </c>
      <c r="S532" s="33">
        <f t="shared" si="184"/>
        <v>-1</v>
      </c>
      <c r="T532" s="27"/>
      <c r="U532" s="28">
        <f t="shared" si="185"/>
        <v>0.10964912280701754</v>
      </c>
      <c r="V532" s="25">
        <f t="shared" si="186"/>
        <v>999</v>
      </c>
      <c r="W532" s="35">
        <f t="shared" si="198"/>
        <v>25</v>
      </c>
      <c r="X532" s="33">
        <f t="shared" si="187"/>
        <v>25</v>
      </c>
      <c r="Y532" s="32">
        <f t="shared" si="188"/>
        <v>-1</v>
      </c>
      <c r="Z532" s="32"/>
      <c r="AA532" s="30">
        <f t="shared" si="189"/>
        <v>14.326804547322284</v>
      </c>
      <c r="AB532" s="28">
        <f t="shared" si="190"/>
        <v>0.55649494258029675</v>
      </c>
      <c r="AC532" s="28">
        <f t="shared" si="191"/>
        <v>0.10964912280701754</v>
      </c>
      <c r="AD532" s="29">
        <f t="shared" si="192"/>
        <v>496.2049335863378</v>
      </c>
      <c r="AE532" s="28">
        <f t="shared" si="193"/>
        <v>0.10964912280701754</v>
      </c>
      <c r="AF532" s="28">
        <f t="shared" si="194"/>
        <v>0.4468458197732792</v>
      </c>
      <c r="AG532" s="28">
        <f t="shared" si="195"/>
        <v>0</v>
      </c>
      <c r="AI532" s="31">
        <f t="shared" si="196"/>
        <v>1.3903302958996651</v>
      </c>
      <c r="AJ532" s="25"/>
      <c r="AK532" s="31"/>
      <c r="AM532" s="27"/>
    </row>
    <row r="533" spans="4:39" x14ac:dyDescent="0.25">
      <c r="D533" s="25">
        <f>E533*'Profit per cycles Model'!$I$113</f>
        <v>5240</v>
      </c>
      <c r="E533" s="25">
        <v>14.35419805506095</v>
      </c>
      <c r="F533" s="28">
        <f t="shared" si="177"/>
        <v>0.19083969465648856</v>
      </c>
      <c r="G533" s="28">
        <f>'Battery Pricing Model'!$C$17/D533</f>
        <v>0.19083969465648856</v>
      </c>
      <c r="H533" s="28">
        <f t="shared" si="178"/>
        <v>999</v>
      </c>
      <c r="I533" s="28"/>
      <c r="J533" s="34">
        <f>INDEX('Profit per cycles Model'!$I$149:$I$179, MATCH(TRUNC(E533, 0), 'Profit per cycles Model'!$H$149:$H$179, 0))</f>
        <v>0.55649494258029675</v>
      </c>
      <c r="K533" s="27">
        <f>AVERAGE($AB$10:AB533)</f>
        <v>0.45723191704684502</v>
      </c>
      <c r="L533" s="28">
        <f t="shared" si="179"/>
        <v>0.26639222239035643</v>
      </c>
      <c r="M533" s="28">
        <f t="shared" si="180"/>
        <v>0.26639222239035643</v>
      </c>
      <c r="N533" s="28">
        <f t="shared" si="181"/>
        <v>999</v>
      </c>
      <c r="O533" s="28"/>
      <c r="P533" s="29">
        <f t="shared" si="197"/>
        <v>0.52400000000000035</v>
      </c>
      <c r="Q533" s="33">
        <f t="shared" si="182"/>
        <v>6.7114093959731544</v>
      </c>
      <c r="R533" s="33">
        <f t="shared" si="183"/>
        <v>6.7114093959731544</v>
      </c>
      <c r="S533" s="33">
        <f t="shared" si="184"/>
        <v>-1</v>
      </c>
      <c r="T533" s="27"/>
      <c r="U533" s="28">
        <f t="shared" si="185"/>
        <v>0.10964912280701754</v>
      </c>
      <c r="V533" s="25">
        <f t="shared" si="186"/>
        <v>999</v>
      </c>
      <c r="W533" s="35">
        <f t="shared" si="198"/>
        <v>25</v>
      </c>
      <c r="X533" s="33">
        <f t="shared" si="187"/>
        <v>25</v>
      </c>
      <c r="Y533" s="32">
        <f t="shared" si="188"/>
        <v>-1</v>
      </c>
      <c r="Z533" s="32"/>
      <c r="AA533" s="30">
        <f t="shared" si="189"/>
        <v>14.35419805506095</v>
      </c>
      <c r="AB533" s="28">
        <f t="shared" si="190"/>
        <v>0.55649494258029675</v>
      </c>
      <c r="AC533" s="28">
        <f t="shared" si="191"/>
        <v>0.10964912280701754</v>
      </c>
      <c r="AD533" s="29">
        <f t="shared" si="192"/>
        <v>497.15370018975329</v>
      </c>
      <c r="AE533" s="28">
        <f t="shared" si="193"/>
        <v>0.10964912280701754</v>
      </c>
      <c r="AF533" s="28">
        <f t="shared" si="194"/>
        <v>0.4468458197732792</v>
      </c>
      <c r="AG533" s="28">
        <f t="shared" si="195"/>
        <v>0</v>
      </c>
      <c r="AI533" s="31">
        <f t="shared" si="196"/>
        <v>1.3958952453254676</v>
      </c>
      <c r="AJ533" s="25"/>
      <c r="AK533" s="31"/>
      <c r="AM533" s="27"/>
    </row>
    <row r="534" spans="4:39" x14ac:dyDescent="0.25">
      <c r="D534" s="25">
        <f>E534*'Profit per cycles Model'!$I$113</f>
        <v>5250</v>
      </c>
      <c r="E534" s="25">
        <v>14.381591562799617</v>
      </c>
      <c r="F534" s="28">
        <f t="shared" si="177"/>
        <v>0.19047619047619047</v>
      </c>
      <c r="G534" s="28">
        <f>'Battery Pricing Model'!$C$17/D534</f>
        <v>0.19047619047619047</v>
      </c>
      <c r="H534" s="28">
        <f t="shared" si="178"/>
        <v>999</v>
      </c>
      <c r="I534" s="28"/>
      <c r="J534" s="34">
        <f>INDEX('Profit per cycles Model'!$I$149:$I$179, MATCH(TRUNC(E534, 0), 'Profit per cycles Model'!$H$149:$H$179, 0))</f>
        <v>0.55649494258029675</v>
      </c>
      <c r="K534" s="27">
        <f>AVERAGE($AB$10:AB534)</f>
        <v>0.4574209894764325</v>
      </c>
      <c r="L534" s="28">
        <f t="shared" si="179"/>
        <v>0.26694479900024204</v>
      </c>
      <c r="M534" s="28">
        <f t="shared" si="180"/>
        <v>0.26694479900024204</v>
      </c>
      <c r="N534" s="28">
        <f t="shared" si="181"/>
        <v>999</v>
      </c>
      <c r="O534" s="28"/>
      <c r="P534" s="29">
        <f t="shared" si="197"/>
        <v>0.52500000000000036</v>
      </c>
      <c r="Q534" s="33">
        <f t="shared" si="182"/>
        <v>6.7114093959731544</v>
      </c>
      <c r="R534" s="33">
        <f t="shared" si="183"/>
        <v>6.7114093959731544</v>
      </c>
      <c r="S534" s="33">
        <f t="shared" si="184"/>
        <v>-1</v>
      </c>
      <c r="T534" s="27"/>
      <c r="U534" s="28">
        <f t="shared" si="185"/>
        <v>0.10964912280701754</v>
      </c>
      <c r="V534" s="25">
        <f t="shared" si="186"/>
        <v>999</v>
      </c>
      <c r="W534" s="35">
        <f t="shared" si="198"/>
        <v>25</v>
      </c>
      <c r="X534" s="33">
        <f t="shared" si="187"/>
        <v>25</v>
      </c>
      <c r="Y534" s="32">
        <f t="shared" si="188"/>
        <v>-1</v>
      </c>
      <c r="Z534" s="32"/>
      <c r="AA534" s="30">
        <f t="shared" si="189"/>
        <v>14.381591562799617</v>
      </c>
      <c r="AB534" s="28">
        <f t="shared" si="190"/>
        <v>0.55649494258029675</v>
      </c>
      <c r="AC534" s="28">
        <f t="shared" si="191"/>
        <v>0.10964912280701754</v>
      </c>
      <c r="AD534" s="29">
        <f t="shared" si="192"/>
        <v>498.1024667931689</v>
      </c>
      <c r="AE534" s="28">
        <f t="shared" si="193"/>
        <v>0.10964912280701754</v>
      </c>
      <c r="AF534" s="28">
        <f t="shared" si="194"/>
        <v>0.4468458197732792</v>
      </c>
      <c r="AG534" s="28">
        <f t="shared" si="195"/>
        <v>0</v>
      </c>
      <c r="AI534" s="31">
        <f t="shared" si="196"/>
        <v>1.4014601947512708</v>
      </c>
      <c r="AJ534" s="25"/>
      <c r="AK534" s="31"/>
      <c r="AM534" s="27"/>
    </row>
    <row r="535" spans="4:39" x14ac:dyDescent="0.25">
      <c r="D535" s="25">
        <f>E535*'Profit per cycles Model'!$I$113</f>
        <v>5260</v>
      </c>
      <c r="E535" s="25">
        <v>14.408985070538282</v>
      </c>
      <c r="F535" s="28">
        <f t="shared" si="177"/>
        <v>0.19011406844106463</v>
      </c>
      <c r="G535" s="28">
        <f>'Battery Pricing Model'!$C$17/D535</f>
        <v>0.19011406844106463</v>
      </c>
      <c r="H535" s="28">
        <f t="shared" si="178"/>
        <v>999</v>
      </c>
      <c r="I535" s="28"/>
      <c r="J535" s="34">
        <f>INDEX('Profit per cycles Model'!$I$149:$I$179, MATCH(TRUNC(E535, 0), 'Profit per cycles Model'!$H$149:$H$179, 0))</f>
        <v>0.55649494258029675</v>
      </c>
      <c r="K535" s="27">
        <f>AVERAGE($AB$10:AB535)</f>
        <v>0.45760934299944367</v>
      </c>
      <c r="L535" s="28">
        <f t="shared" si="179"/>
        <v>0.26749527455837907</v>
      </c>
      <c r="M535" s="28">
        <f t="shared" si="180"/>
        <v>0.26749527455837907</v>
      </c>
      <c r="N535" s="28">
        <f t="shared" si="181"/>
        <v>999</v>
      </c>
      <c r="O535" s="28"/>
      <c r="P535" s="29">
        <f t="shared" si="197"/>
        <v>0.52600000000000036</v>
      </c>
      <c r="Q535" s="33">
        <f t="shared" si="182"/>
        <v>6.7114093959731544</v>
      </c>
      <c r="R535" s="33">
        <f t="shared" si="183"/>
        <v>6.7114093959731544</v>
      </c>
      <c r="S535" s="33">
        <f t="shared" si="184"/>
        <v>-1</v>
      </c>
      <c r="T535" s="27"/>
      <c r="U535" s="28">
        <f t="shared" si="185"/>
        <v>0.10964912280701754</v>
      </c>
      <c r="V535" s="25">
        <f t="shared" si="186"/>
        <v>999</v>
      </c>
      <c r="W535" s="35">
        <f t="shared" si="198"/>
        <v>25</v>
      </c>
      <c r="X535" s="33">
        <f t="shared" si="187"/>
        <v>25</v>
      </c>
      <c r="Y535" s="32">
        <f t="shared" si="188"/>
        <v>-1</v>
      </c>
      <c r="Z535" s="32"/>
      <c r="AA535" s="30">
        <f t="shared" si="189"/>
        <v>14.408985070538282</v>
      </c>
      <c r="AB535" s="28">
        <f t="shared" si="190"/>
        <v>0.55649494258029675</v>
      </c>
      <c r="AC535" s="28">
        <f t="shared" si="191"/>
        <v>0.10964912280701754</v>
      </c>
      <c r="AD535" s="29">
        <f t="shared" si="192"/>
        <v>499.05123339658445</v>
      </c>
      <c r="AE535" s="28">
        <f t="shared" si="193"/>
        <v>0.10964912280701754</v>
      </c>
      <c r="AF535" s="28">
        <f t="shared" si="194"/>
        <v>0.4468458197732792</v>
      </c>
      <c r="AG535" s="28">
        <f t="shared" si="195"/>
        <v>0</v>
      </c>
      <c r="AI535" s="31">
        <f t="shared" si="196"/>
        <v>1.407025144177074</v>
      </c>
      <c r="AJ535" s="25"/>
      <c r="AK535" s="31"/>
      <c r="AM535" s="27"/>
    </row>
    <row r="536" spans="4:39" x14ac:dyDescent="0.25">
      <c r="D536" s="25">
        <f>E536*'Profit per cycles Model'!$I$113</f>
        <v>5270</v>
      </c>
      <c r="E536" s="25">
        <v>14.436378578276948</v>
      </c>
      <c r="F536" s="28">
        <f t="shared" si="177"/>
        <v>0.18975332068311196</v>
      </c>
      <c r="G536" s="28">
        <f>'Battery Pricing Model'!$C$17/D536</f>
        <v>0.18975332068311196</v>
      </c>
      <c r="H536" s="28">
        <f t="shared" si="178"/>
        <v>999</v>
      </c>
      <c r="I536" s="28"/>
      <c r="J536" s="34">
        <f>INDEX('Profit per cycles Model'!$I$149:$I$179, MATCH(TRUNC(E536, 0), 'Profit per cycles Model'!$H$149:$H$179, 0))</f>
        <v>0.55649494258029675</v>
      </c>
      <c r="K536" s="27">
        <f>AVERAGE($AB$10:AB536)</f>
        <v>0.45779698170832572</v>
      </c>
      <c r="L536" s="28">
        <f t="shared" si="179"/>
        <v>0.26804366102521376</v>
      </c>
      <c r="M536" s="28">
        <f t="shared" si="180"/>
        <v>0.26804366102521376</v>
      </c>
      <c r="N536" s="28">
        <f t="shared" si="181"/>
        <v>999</v>
      </c>
      <c r="O536" s="28"/>
      <c r="P536" s="29">
        <f t="shared" si="197"/>
        <v>0.52700000000000036</v>
      </c>
      <c r="Q536" s="33">
        <f t="shared" si="182"/>
        <v>6.7114093959731544</v>
      </c>
      <c r="R536" s="33">
        <f t="shared" si="183"/>
        <v>6.7114093959731544</v>
      </c>
      <c r="S536" s="33">
        <f t="shared" si="184"/>
        <v>-1</v>
      </c>
      <c r="T536" s="27"/>
      <c r="U536" s="28">
        <f t="shared" si="185"/>
        <v>0.10964912280701754</v>
      </c>
      <c r="V536" s="25">
        <f t="shared" si="186"/>
        <v>999</v>
      </c>
      <c r="W536" s="35">
        <f t="shared" si="198"/>
        <v>25</v>
      </c>
      <c r="X536" s="33">
        <f t="shared" si="187"/>
        <v>25</v>
      </c>
      <c r="Y536" s="32">
        <f t="shared" si="188"/>
        <v>-1</v>
      </c>
      <c r="Z536" s="32"/>
      <c r="AA536" s="30">
        <f t="shared" si="189"/>
        <v>14.436378578276948</v>
      </c>
      <c r="AB536" s="28">
        <f t="shared" si="190"/>
        <v>0.55649494258029675</v>
      </c>
      <c r="AC536" s="28">
        <f t="shared" si="191"/>
        <v>0.10964912280701754</v>
      </c>
      <c r="AD536" s="29">
        <f t="shared" si="192"/>
        <v>500</v>
      </c>
      <c r="AE536" s="28">
        <f t="shared" si="193"/>
        <v>0.10964912280701754</v>
      </c>
      <c r="AF536" s="28">
        <f t="shared" si="194"/>
        <v>0.4468458197732792</v>
      </c>
      <c r="AG536" s="28">
        <f t="shared" si="195"/>
        <v>0</v>
      </c>
      <c r="AI536" s="31">
        <f t="shared" si="196"/>
        <v>1.4125900936028766</v>
      </c>
      <c r="AJ536" s="25"/>
      <c r="AK536" s="31"/>
      <c r="AM536" s="27"/>
    </row>
    <row r="537" spans="4:39" x14ac:dyDescent="0.25">
      <c r="D537" s="25">
        <f>E537*'Profit per cycles Model'!$I$113</f>
        <v>5280</v>
      </c>
      <c r="E537" s="25">
        <v>14.463772086015615</v>
      </c>
      <c r="F537" s="28">
        <f t="shared" si="177"/>
        <v>0.18939393939393939</v>
      </c>
      <c r="G537" s="28">
        <f>'Battery Pricing Model'!$C$17/D537</f>
        <v>0.18939393939393939</v>
      </c>
      <c r="H537" s="28">
        <f t="shared" si="178"/>
        <v>999</v>
      </c>
      <c r="I537" s="28"/>
      <c r="J537" s="34">
        <f>INDEX('Profit per cycles Model'!$I$149:$I$179, MATCH(TRUNC(E537, 0), 'Profit per cycles Model'!$H$149:$H$179, 0))</f>
        <v>0.55649494258029675</v>
      </c>
      <c r="K537" s="27">
        <f>AVERAGE($AB$10:AB537)</f>
        <v>0.45798390966452263</v>
      </c>
      <c r="L537" s="28">
        <f t="shared" si="179"/>
        <v>0.26858997027058323</v>
      </c>
      <c r="M537" s="28">
        <f t="shared" si="180"/>
        <v>0.26858997027058323</v>
      </c>
      <c r="N537" s="28">
        <f t="shared" si="181"/>
        <v>999</v>
      </c>
      <c r="O537" s="28"/>
      <c r="P537" s="29">
        <f t="shared" si="197"/>
        <v>0.52800000000000036</v>
      </c>
      <c r="Q537" s="33">
        <f t="shared" si="182"/>
        <v>6.7114093959731544</v>
      </c>
      <c r="R537" s="33">
        <f t="shared" si="183"/>
        <v>6.7114093959731544</v>
      </c>
      <c r="S537" s="33">
        <f t="shared" si="184"/>
        <v>-1</v>
      </c>
      <c r="T537" s="27"/>
      <c r="U537" s="28">
        <f t="shared" si="185"/>
        <v>0.10964912280701754</v>
      </c>
      <c r="V537" s="25">
        <f t="shared" si="186"/>
        <v>999</v>
      </c>
      <c r="W537" s="35">
        <f t="shared" si="198"/>
        <v>25</v>
      </c>
      <c r="X537" s="33">
        <f t="shared" si="187"/>
        <v>25</v>
      </c>
      <c r="Y537" s="32">
        <f t="shared" si="188"/>
        <v>-1</v>
      </c>
      <c r="Z537" s="32"/>
      <c r="AA537" s="30">
        <f t="shared" si="189"/>
        <v>14.463772086015615</v>
      </c>
      <c r="AB537" s="28">
        <f t="shared" si="190"/>
        <v>0.55649494258029675</v>
      </c>
      <c r="AC537" s="28">
        <f t="shared" si="191"/>
        <v>0.10964912280701754</v>
      </c>
      <c r="AD537" s="29">
        <f t="shared" si="192"/>
        <v>500.94876660341561</v>
      </c>
      <c r="AE537" s="28">
        <f t="shared" si="193"/>
        <v>0.10964912280701754</v>
      </c>
      <c r="AF537" s="28">
        <f t="shared" si="194"/>
        <v>0.4468458197732792</v>
      </c>
      <c r="AG537" s="28">
        <f t="shared" si="195"/>
        <v>0</v>
      </c>
      <c r="AI537" s="31">
        <f t="shared" si="196"/>
        <v>1.4181550430286796</v>
      </c>
      <c r="AJ537" s="25"/>
      <c r="AK537" s="31"/>
      <c r="AM537" s="27"/>
    </row>
    <row r="538" spans="4:39" x14ac:dyDescent="0.25">
      <c r="D538" s="25">
        <f>E538*'Profit per cycles Model'!$I$113</f>
        <v>5290</v>
      </c>
      <c r="E538" s="25">
        <v>14.49116559375428</v>
      </c>
      <c r="F538" s="28">
        <f t="shared" si="177"/>
        <v>0.1890359168241966</v>
      </c>
      <c r="G538" s="28">
        <f>'Battery Pricing Model'!$C$17/D538</f>
        <v>0.1890359168241966</v>
      </c>
      <c r="H538" s="28">
        <f t="shared" si="178"/>
        <v>999</v>
      </c>
      <c r="I538" s="28"/>
      <c r="J538" s="34">
        <f>INDEX('Profit per cycles Model'!$I$149:$I$179, MATCH(TRUNC(E538, 0), 'Profit per cycles Model'!$H$149:$H$179, 0))</f>
        <v>0.55649494258029675</v>
      </c>
      <c r="K538" s="27">
        <f>AVERAGE($AB$10:AB538)</f>
        <v>0.4581701308987679</v>
      </c>
      <c r="L538" s="28">
        <f t="shared" si="179"/>
        <v>0.26913421407457128</v>
      </c>
      <c r="M538" s="28">
        <f t="shared" si="180"/>
        <v>0.26913421407457128</v>
      </c>
      <c r="N538" s="28">
        <f t="shared" si="181"/>
        <v>999</v>
      </c>
      <c r="O538" s="28"/>
      <c r="P538" s="29">
        <f t="shared" si="197"/>
        <v>0.52900000000000036</v>
      </c>
      <c r="Q538" s="33">
        <f t="shared" si="182"/>
        <v>6.7114093959731544</v>
      </c>
      <c r="R538" s="33">
        <f t="shared" si="183"/>
        <v>6.7114093959731544</v>
      </c>
      <c r="S538" s="33">
        <f t="shared" si="184"/>
        <v>-1</v>
      </c>
      <c r="T538" s="27"/>
      <c r="U538" s="28">
        <f t="shared" si="185"/>
        <v>0.10964912280701754</v>
      </c>
      <c r="V538" s="25">
        <f t="shared" si="186"/>
        <v>999</v>
      </c>
      <c r="W538" s="35">
        <f t="shared" si="198"/>
        <v>25</v>
      </c>
      <c r="X538" s="33">
        <f t="shared" si="187"/>
        <v>25</v>
      </c>
      <c r="Y538" s="32">
        <f t="shared" si="188"/>
        <v>-1</v>
      </c>
      <c r="Z538" s="32"/>
      <c r="AA538" s="30">
        <f t="shared" si="189"/>
        <v>14.49116559375428</v>
      </c>
      <c r="AB538" s="28">
        <f t="shared" si="190"/>
        <v>0.55649494258029675</v>
      </c>
      <c r="AC538" s="28">
        <f t="shared" si="191"/>
        <v>0.10964912280701754</v>
      </c>
      <c r="AD538" s="29">
        <f t="shared" si="192"/>
        <v>501.89753320683116</v>
      </c>
      <c r="AE538" s="28">
        <f t="shared" si="193"/>
        <v>0.10964912280701754</v>
      </c>
      <c r="AF538" s="28">
        <f t="shared" si="194"/>
        <v>0.4468458197732792</v>
      </c>
      <c r="AG538" s="28">
        <f t="shared" si="195"/>
        <v>0</v>
      </c>
      <c r="AI538" s="31">
        <f t="shared" si="196"/>
        <v>1.4237199924544821</v>
      </c>
      <c r="AJ538" s="25"/>
      <c r="AK538" s="31"/>
      <c r="AM538" s="27"/>
    </row>
    <row r="539" spans="4:39" x14ac:dyDescent="0.25">
      <c r="D539" s="25">
        <f>E539*'Profit per cycles Model'!$I$113</f>
        <v>5300</v>
      </c>
      <c r="E539" s="25">
        <v>14.518559101492945</v>
      </c>
      <c r="F539" s="28">
        <f t="shared" si="177"/>
        <v>0.18867924528301888</v>
      </c>
      <c r="G539" s="28">
        <f>'Battery Pricing Model'!$C$17/D539</f>
        <v>0.18867924528301888</v>
      </c>
      <c r="H539" s="28">
        <f t="shared" si="178"/>
        <v>999</v>
      </c>
      <c r="I539" s="28"/>
      <c r="J539" s="34">
        <f>INDEX('Profit per cycles Model'!$I$149:$I$179, MATCH(TRUNC(E539, 0), 'Profit per cycles Model'!$H$149:$H$179, 0))</f>
        <v>0.55649494258029675</v>
      </c>
      <c r="K539" s="27">
        <f>AVERAGE($AB$10:AB539)</f>
        <v>0.45835564941137452</v>
      </c>
      <c r="L539" s="28">
        <f t="shared" si="179"/>
        <v>0.26967640412835564</v>
      </c>
      <c r="M539" s="28">
        <f t="shared" si="180"/>
        <v>0.26967640412835564</v>
      </c>
      <c r="N539" s="28">
        <f t="shared" si="181"/>
        <v>999</v>
      </c>
      <c r="O539" s="28"/>
      <c r="P539" s="29">
        <f t="shared" si="197"/>
        <v>0.53000000000000036</v>
      </c>
      <c r="Q539" s="33">
        <f t="shared" si="182"/>
        <v>6.7114093959731544</v>
      </c>
      <c r="R539" s="33">
        <f t="shared" si="183"/>
        <v>6.7114093959731544</v>
      </c>
      <c r="S539" s="33">
        <f t="shared" si="184"/>
        <v>-1</v>
      </c>
      <c r="T539" s="27"/>
      <c r="U539" s="28">
        <f t="shared" si="185"/>
        <v>0.10964912280701754</v>
      </c>
      <c r="V539" s="25">
        <f t="shared" si="186"/>
        <v>999</v>
      </c>
      <c r="W539" s="35">
        <f t="shared" si="198"/>
        <v>25</v>
      </c>
      <c r="X539" s="33">
        <f t="shared" si="187"/>
        <v>25</v>
      </c>
      <c r="Y539" s="32">
        <f t="shared" si="188"/>
        <v>-1</v>
      </c>
      <c r="Z539" s="32"/>
      <c r="AA539" s="30">
        <f t="shared" si="189"/>
        <v>14.518559101492945</v>
      </c>
      <c r="AB539" s="28">
        <f t="shared" si="190"/>
        <v>0.55649494258029675</v>
      </c>
      <c r="AC539" s="28">
        <f t="shared" si="191"/>
        <v>0.10964912280701754</v>
      </c>
      <c r="AD539" s="29">
        <f t="shared" si="192"/>
        <v>502.84629981024665</v>
      </c>
      <c r="AE539" s="28">
        <f t="shared" si="193"/>
        <v>0.10964912280701754</v>
      </c>
      <c r="AF539" s="28">
        <f t="shared" si="194"/>
        <v>0.4468458197732792</v>
      </c>
      <c r="AG539" s="28">
        <f t="shared" si="195"/>
        <v>0</v>
      </c>
      <c r="AI539" s="31">
        <f t="shared" si="196"/>
        <v>1.4292849418802849</v>
      </c>
      <c r="AJ539" s="25"/>
      <c r="AK539" s="31"/>
      <c r="AM539" s="27"/>
    </row>
    <row r="540" spans="4:39" x14ac:dyDescent="0.25">
      <c r="D540" s="25">
        <f>E540*'Profit per cycles Model'!$I$113</f>
        <v>5310</v>
      </c>
      <c r="E540" s="25">
        <v>14.545952609231612</v>
      </c>
      <c r="F540" s="28">
        <f t="shared" si="177"/>
        <v>0.18832391713747645</v>
      </c>
      <c r="G540" s="28">
        <f>'Battery Pricing Model'!$C$17/D540</f>
        <v>0.18832391713747645</v>
      </c>
      <c r="H540" s="28">
        <f t="shared" si="178"/>
        <v>999</v>
      </c>
      <c r="I540" s="28"/>
      <c r="J540" s="34">
        <f>INDEX('Profit per cycles Model'!$I$149:$I$179, MATCH(TRUNC(E540, 0), 'Profit per cycles Model'!$H$149:$H$179, 0))</f>
        <v>0.55649494258029675</v>
      </c>
      <c r="K540" s="27">
        <f>AVERAGE($AB$10:AB540)</f>
        <v>0.45854046917252128</v>
      </c>
      <c r="L540" s="28">
        <f t="shared" si="179"/>
        <v>0.2702165520350448</v>
      </c>
      <c r="M540" s="28">
        <f t="shared" si="180"/>
        <v>0.2702165520350448</v>
      </c>
      <c r="N540" s="28">
        <f t="shared" si="181"/>
        <v>999</v>
      </c>
      <c r="O540" s="28"/>
      <c r="P540" s="29">
        <f t="shared" si="197"/>
        <v>0.53100000000000036</v>
      </c>
      <c r="Q540" s="33">
        <f t="shared" si="182"/>
        <v>6.7114093959731544</v>
      </c>
      <c r="R540" s="33">
        <f t="shared" si="183"/>
        <v>6.7114093959731544</v>
      </c>
      <c r="S540" s="33">
        <f t="shared" si="184"/>
        <v>-1</v>
      </c>
      <c r="T540" s="27"/>
      <c r="U540" s="28">
        <f t="shared" si="185"/>
        <v>0.10964912280701754</v>
      </c>
      <c r="V540" s="25">
        <f t="shared" si="186"/>
        <v>999</v>
      </c>
      <c r="W540" s="35">
        <f t="shared" si="198"/>
        <v>25</v>
      </c>
      <c r="X540" s="33">
        <f t="shared" si="187"/>
        <v>25</v>
      </c>
      <c r="Y540" s="32">
        <f t="shared" si="188"/>
        <v>-1</v>
      </c>
      <c r="Z540" s="32"/>
      <c r="AA540" s="30">
        <f t="shared" si="189"/>
        <v>14.545952609231612</v>
      </c>
      <c r="AB540" s="28">
        <f t="shared" si="190"/>
        <v>0.55649494258029675</v>
      </c>
      <c r="AC540" s="28">
        <f t="shared" si="191"/>
        <v>0.10964912280701754</v>
      </c>
      <c r="AD540" s="29">
        <f t="shared" si="192"/>
        <v>503.79506641366225</v>
      </c>
      <c r="AE540" s="28">
        <f t="shared" si="193"/>
        <v>0.10964912280701754</v>
      </c>
      <c r="AF540" s="28">
        <f t="shared" si="194"/>
        <v>0.4468458197732792</v>
      </c>
      <c r="AG540" s="28">
        <f t="shared" si="195"/>
        <v>0</v>
      </c>
      <c r="AI540" s="31">
        <f t="shared" si="196"/>
        <v>1.4348498913060879</v>
      </c>
      <c r="AJ540" s="25"/>
      <c r="AK540" s="31"/>
      <c r="AM540" s="27"/>
    </row>
    <row r="541" spans="4:39" x14ac:dyDescent="0.25">
      <c r="D541" s="25">
        <f>E541*'Profit per cycles Model'!$I$113</f>
        <v>5320</v>
      </c>
      <c r="E541" s="25">
        <v>14.573346116970278</v>
      </c>
      <c r="F541" s="28">
        <f t="shared" si="177"/>
        <v>0.18796992481203006</v>
      </c>
      <c r="G541" s="28">
        <f>'Battery Pricing Model'!$C$17/D541</f>
        <v>0.18796992481203006</v>
      </c>
      <c r="H541" s="28">
        <f t="shared" si="178"/>
        <v>999</v>
      </c>
      <c r="I541" s="28"/>
      <c r="J541" s="34">
        <f>INDEX('Profit per cycles Model'!$I$149:$I$179, MATCH(TRUNC(E541, 0), 'Profit per cycles Model'!$H$149:$H$179, 0))</f>
        <v>0.55649494258029675</v>
      </c>
      <c r="K541" s="27">
        <f>AVERAGE($AB$10:AB541)</f>
        <v>0.45872459412253586</v>
      </c>
      <c r="L541" s="28">
        <f t="shared" si="179"/>
        <v>0.27075466931050579</v>
      </c>
      <c r="M541" s="28">
        <f t="shared" si="180"/>
        <v>0.27075466931050579</v>
      </c>
      <c r="N541" s="28">
        <f t="shared" si="181"/>
        <v>999</v>
      </c>
      <c r="O541" s="28"/>
      <c r="P541" s="29">
        <f t="shared" si="197"/>
        <v>0.53200000000000036</v>
      </c>
      <c r="Q541" s="33">
        <f t="shared" si="182"/>
        <v>6.7114093959731544</v>
      </c>
      <c r="R541" s="33">
        <f t="shared" si="183"/>
        <v>6.7114093959731544</v>
      </c>
      <c r="S541" s="33">
        <f t="shared" si="184"/>
        <v>-1</v>
      </c>
      <c r="T541" s="27"/>
      <c r="U541" s="28">
        <f t="shared" si="185"/>
        <v>0.10964912280701754</v>
      </c>
      <c r="V541" s="25">
        <f t="shared" si="186"/>
        <v>999</v>
      </c>
      <c r="W541" s="35">
        <f t="shared" si="198"/>
        <v>25</v>
      </c>
      <c r="X541" s="33">
        <f t="shared" si="187"/>
        <v>25</v>
      </c>
      <c r="Y541" s="32">
        <f t="shared" si="188"/>
        <v>-1</v>
      </c>
      <c r="Z541" s="32"/>
      <c r="AA541" s="30">
        <f t="shared" si="189"/>
        <v>14.573346116970278</v>
      </c>
      <c r="AB541" s="28">
        <f t="shared" si="190"/>
        <v>0.55649494258029675</v>
      </c>
      <c r="AC541" s="28">
        <f t="shared" si="191"/>
        <v>0.10964912280701754</v>
      </c>
      <c r="AD541" s="29">
        <f t="shared" si="192"/>
        <v>504.74383301707786</v>
      </c>
      <c r="AE541" s="28">
        <f t="shared" si="193"/>
        <v>0.10964912280701754</v>
      </c>
      <c r="AF541" s="28">
        <f t="shared" si="194"/>
        <v>0.4468458197732792</v>
      </c>
      <c r="AG541" s="28">
        <f t="shared" si="195"/>
        <v>0</v>
      </c>
      <c r="AI541" s="31">
        <f t="shared" si="196"/>
        <v>1.4404148407318909</v>
      </c>
      <c r="AJ541" s="25"/>
      <c r="AK541" s="31"/>
      <c r="AM541" s="27"/>
    </row>
    <row r="542" spans="4:39" x14ac:dyDescent="0.25">
      <c r="D542" s="25">
        <f>E542*'Profit per cycles Model'!$I$113</f>
        <v>5330</v>
      </c>
      <c r="E542" s="25">
        <v>14.600739624708943</v>
      </c>
      <c r="F542" s="28">
        <f t="shared" si="177"/>
        <v>0.18761726078799248</v>
      </c>
      <c r="G542" s="28">
        <f>'Battery Pricing Model'!$C$17/D542</f>
        <v>0.18761726078799248</v>
      </c>
      <c r="H542" s="28">
        <f t="shared" si="178"/>
        <v>999</v>
      </c>
      <c r="I542" s="28"/>
      <c r="J542" s="34">
        <f>INDEX('Profit per cycles Model'!$I$149:$I$179, MATCH(TRUNC(E542, 0), 'Profit per cycles Model'!$H$149:$H$179, 0))</f>
        <v>0.55649494258029675</v>
      </c>
      <c r="K542" s="27">
        <f>AVERAGE($AB$10:AB542)</f>
        <v>0.45890802817217519</v>
      </c>
      <c r="L542" s="28">
        <f t="shared" si="179"/>
        <v>0.27129076738418267</v>
      </c>
      <c r="M542" s="28">
        <f t="shared" si="180"/>
        <v>0.27129076738418267</v>
      </c>
      <c r="N542" s="28">
        <f t="shared" si="181"/>
        <v>999</v>
      </c>
      <c r="O542" s="28"/>
      <c r="P542" s="29">
        <f t="shared" si="197"/>
        <v>0.53300000000000036</v>
      </c>
      <c r="Q542" s="33">
        <f t="shared" si="182"/>
        <v>6.7114093959731544</v>
      </c>
      <c r="R542" s="33">
        <f t="shared" si="183"/>
        <v>6.7114093959731544</v>
      </c>
      <c r="S542" s="33">
        <f t="shared" si="184"/>
        <v>-1</v>
      </c>
      <c r="T542" s="27"/>
      <c r="U542" s="28">
        <f t="shared" si="185"/>
        <v>0.10964912280701754</v>
      </c>
      <c r="V542" s="25">
        <f t="shared" si="186"/>
        <v>999</v>
      </c>
      <c r="W542" s="35">
        <f t="shared" si="198"/>
        <v>25</v>
      </c>
      <c r="X542" s="33">
        <f t="shared" si="187"/>
        <v>25</v>
      </c>
      <c r="Y542" s="32">
        <f t="shared" si="188"/>
        <v>-1</v>
      </c>
      <c r="Z542" s="32"/>
      <c r="AA542" s="30">
        <f t="shared" si="189"/>
        <v>14.600739624708943</v>
      </c>
      <c r="AB542" s="28">
        <f t="shared" si="190"/>
        <v>0.55649494258029675</v>
      </c>
      <c r="AC542" s="28">
        <f t="shared" si="191"/>
        <v>0.10964912280701754</v>
      </c>
      <c r="AD542" s="29">
        <f t="shared" si="192"/>
        <v>505.69259962049335</v>
      </c>
      <c r="AE542" s="28">
        <f t="shared" si="193"/>
        <v>0.10964912280701754</v>
      </c>
      <c r="AF542" s="28">
        <f t="shared" si="194"/>
        <v>0.4468458197732792</v>
      </c>
      <c r="AG542" s="28">
        <f t="shared" si="195"/>
        <v>0</v>
      </c>
      <c r="AI542" s="31">
        <f t="shared" si="196"/>
        <v>1.4459797901576936</v>
      </c>
      <c r="AJ542" s="25"/>
      <c r="AK542" s="31"/>
      <c r="AM542" s="27"/>
    </row>
    <row r="543" spans="4:39" x14ac:dyDescent="0.25">
      <c r="D543" s="25">
        <f>E543*'Profit per cycles Model'!$I$113</f>
        <v>5340</v>
      </c>
      <c r="E543" s="25">
        <v>14.62813313244761</v>
      </c>
      <c r="F543" s="28">
        <f t="shared" si="177"/>
        <v>0.18726591760299627</v>
      </c>
      <c r="G543" s="28">
        <f>'Battery Pricing Model'!$C$17/D543</f>
        <v>0.18726591760299627</v>
      </c>
      <c r="H543" s="28">
        <f t="shared" si="178"/>
        <v>999</v>
      </c>
      <c r="I543" s="28"/>
      <c r="J543" s="34">
        <f>INDEX('Profit per cycles Model'!$I$149:$I$179, MATCH(TRUNC(E543, 0), 'Profit per cycles Model'!$H$149:$H$179, 0))</f>
        <v>0.55649494258029675</v>
      </c>
      <c r="K543" s="27">
        <f>AVERAGE($AB$10:AB543)</f>
        <v>0.45909077520290198</v>
      </c>
      <c r="L543" s="28">
        <f t="shared" si="179"/>
        <v>0.27182485759990571</v>
      </c>
      <c r="M543" s="28">
        <f t="shared" si="180"/>
        <v>0.27182485759990571</v>
      </c>
      <c r="N543" s="28">
        <f t="shared" si="181"/>
        <v>999</v>
      </c>
      <c r="O543" s="28"/>
      <c r="P543" s="29">
        <f t="shared" si="197"/>
        <v>0.53400000000000036</v>
      </c>
      <c r="Q543" s="33">
        <f t="shared" si="182"/>
        <v>6.7114093959731544</v>
      </c>
      <c r="R543" s="33">
        <f t="shared" si="183"/>
        <v>6.7114093959731544</v>
      </c>
      <c r="S543" s="33">
        <f t="shared" si="184"/>
        <v>-1</v>
      </c>
      <c r="T543" s="27"/>
      <c r="U543" s="28">
        <f t="shared" si="185"/>
        <v>0.10964912280701754</v>
      </c>
      <c r="V543" s="25">
        <f t="shared" si="186"/>
        <v>999</v>
      </c>
      <c r="W543" s="35">
        <f t="shared" si="198"/>
        <v>25</v>
      </c>
      <c r="X543" s="33">
        <f t="shared" si="187"/>
        <v>25</v>
      </c>
      <c r="Y543" s="32">
        <f t="shared" si="188"/>
        <v>-1</v>
      </c>
      <c r="Z543" s="32"/>
      <c r="AA543" s="30">
        <f t="shared" si="189"/>
        <v>14.62813313244761</v>
      </c>
      <c r="AB543" s="28">
        <f t="shared" si="190"/>
        <v>0.55649494258029675</v>
      </c>
      <c r="AC543" s="28">
        <f t="shared" si="191"/>
        <v>0.10964912280701754</v>
      </c>
      <c r="AD543" s="29">
        <f t="shared" si="192"/>
        <v>506.64136622390896</v>
      </c>
      <c r="AE543" s="28">
        <f t="shared" si="193"/>
        <v>0.10964912280701754</v>
      </c>
      <c r="AF543" s="28">
        <f t="shared" si="194"/>
        <v>0.4468458197732792</v>
      </c>
      <c r="AG543" s="28">
        <f t="shared" si="195"/>
        <v>0</v>
      </c>
      <c r="AI543" s="31">
        <f t="shared" si="196"/>
        <v>1.4515447395834964</v>
      </c>
      <c r="AJ543" s="25"/>
      <c r="AK543" s="31"/>
      <c r="AM543" s="27"/>
    </row>
    <row r="544" spans="4:39" x14ac:dyDescent="0.25">
      <c r="D544" s="25">
        <f>E544*'Profit per cycles Model'!$I$113</f>
        <v>5350</v>
      </c>
      <c r="E544" s="25">
        <v>14.655526640186276</v>
      </c>
      <c r="F544" s="28">
        <f t="shared" si="177"/>
        <v>0.18691588785046728</v>
      </c>
      <c r="G544" s="28">
        <f>'Battery Pricing Model'!$C$17/D544</f>
        <v>0.18691588785046728</v>
      </c>
      <c r="H544" s="28">
        <f t="shared" si="178"/>
        <v>999</v>
      </c>
      <c r="I544" s="28"/>
      <c r="J544" s="34">
        <f>INDEX('Profit per cycles Model'!$I$149:$I$179, MATCH(TRUNC(E544, 0), 'Profit per cycles Model'!$H$149:$H$179, 0))</f>
        <v>0.55649494258029675</v>
      </c>
      <c r="K544" s="27">
        <f>AVERAGE($AB$10:AB544)</f>
        <v>0.45927283906715877</v>
      </c>
      <c r="L544" s="28">
        <f t="shared" si="179"/>
        <v>0.27235695121669146</v>
      </c>
      <c r="M544" s="28">
        <f t="shared" si="180"/>
        <v>0.27235695121669146</v>
      </c>
      <c r="N544" s="28">
        <f t="shared" si="181"/>
        <v>999</v>
      </c>
      <c r="O544" s="28"/>
      <c r="P544" s="29">
        <f t="shared" si="197"/>
        <v>0.53500000000000036</v>
      </c>
      <c r="Q544" s="33">
        <f t="shared" si="182"/>
        <v>6.7114093959731544</v>
      </c>
      <c r="R544" s="33">
        <f t="shared" si="183"/>
        <v>6.7114093959731544</v>
      </c>
      <c r="S544" s="33">
        <f t="shared" si="184"/>
        <v>-1</v>
      </c>
      <c r="T544" s="27"/>
      <c r="U544" s="28">
        <f t="shared" si="185"/>
        <v>0.10964912280701754</v>
      </c>
      <c r="V544" s="25">
        <f t="shared" si="186"/>
        <v>999</v>
      </c>
      <c r="W544" s="35">
        <f t="shared" si="198"/>
        <v>25</v>
      </c>
      <c r="X544" s="33">
        <f t="shared" si="187"/>
        <v>25</v>
      </c>
      <c r="Y544" s="32">
        <f t="shared" si="188"/>
        <v>-1</v>
      </c>
      <c r="Z544" s="32"/>
      <c r="AA544" s="30">
        <f t="shared" si="189"/>
        <v>14.655526640186276</v>
      </c>
      <c r="AB544" s="28">
        <f t="shared" si="190"/>
        <v>0.55649494258029675</v>
      </c>
      <c r="AC544" s="28">
        <f t="shared" si="191"/>
        <v>0.10964912280701754</v>
      </c>
      <c r="AD544" s="29">
        <f t="shared" si="192"/>
        <v>507.59013282732451</v>
      </c>
      <c r="AE544" s="28">
        <f t="shared" si="193"/>
        <v>0.10964912280701754</v>
      </c>
      <c r="AF544" s="28">
        <f t="shared" si="194"/>
        <v>0.4468458197732792</v>
      </c>
      <c r="AG544" s="28">
        <f t="shared" si="195"/>
        <v>0</v>
      </c>
      <c r="AI544" s="31">
        <f t="shared" si="196"/>
        <v>1.4571096890092994</v>
      </c>
      <c r="AJ544" s="25"/>
      <c r="AK544" s="31"/>
      <c r="AM544" s="27"/>
    </row>
    <row r="545" spans="4:39" x14ac:dyDescent="0.25">
      <c r="D545" s="25">
        <f>E545*'Profit per cycles Model'!$I$113</f>
        <v>5360</v>
      </c>
      <c r="E545" s="25">
        <v>14.682920147924941</v>
      </c>
      <c r="F545" s="28">
        <f t="shared" si="177"/>
        <v>0.18656716417910449</v>
      </c>
      <c r="G545" s="28">
        <f>'Battery Pricing Model'!$C$17/D545</f>
        <v>0.18656716417910449</v>
      </c>
      <c r="H545" s="28">
        <f t="shared" si="178"/>
        <v>999</v>
      </c>
      <c r="I545" s="28"/>
      <c r="J545" s="34">
        <f>INDEX('Profit per cycles Model'!$I$149:$I$179, MATCH(TRUNC(E545, 0), 'Profit per cycles Model'!$H$149:$H$179, 0))</f>
        <v>0.55649494258029675</v>
      </c>
      <c r="K545" s="27">
        <f>AVERAGE($AB$10:AB545)</f>
        <v>0.45945422358863847</v>
      </c>
      <c r="L545" s="28">
        <f t="shared" si="179"/>
        <v>0.27288705940953395</v>
      </c>
      <c r="M545" s="28">
        <f t="shared" si="180"/>
        <v>0.27288705940953395</v>
      </c>
      <c r="N545" s="28">
        <f t="shared" si="181"/>
        <v>999</v>
      </c>
      <c r="O545" s="28"/>
      <c r="P545" s="29">
        <f t="shared" si="197"/>
        <v>0.53600000000000037</v>
      </c>
      <c r="Q545" s="33">
        <f t="shared" si="182"/>
        <v>6.7114093959731544</v>
      </c>
      <c r="R545" s="33">
        <f t="shared" si="183"/>
        <v>6.7114093959731544</v>
      </c>
      <c r="S545" s="33">
        <f t="shared" si="184"/>
        <v>-1</v>
      </c>
      <c r="T545" s="27"/>
      <c r="U545" s="28">
        <f t="shared" si="185"/>
        <v>0.10964912280701754</v>
      </c>
      <c r="V545" s="25">
        <f t="shared" si="186"/>
        <v>999</v>
      </c>
      <c r="W545" s="35">
        <f t="shared" si="198"/>
        <v>25</v>
      </c>
      <c r="X545" s="33">
        <f t="shared" si="187"/>
        <v>25</v>
      </c>
      <c r="Y545" s="32">
        <f t="shared" si="188"/>
        <v>-1</v>
      </c>
      <c r="Z545" s="32"/>
      <c r="AA545" s="30">
        <f t="shared" si="189"/>
        <v>14.682920147924941</v>
      </c>
      <c r="AB545" s="28">
        <f t="shared" si="190"/>
        <v>0.55649494258029675</v>
      </c>
      <c r="AC545" s="28">
        <f t="shared" si="191"/>
        <v>0.10964912280701754</v>
      </c>
      <c r="AD545" s="29">
        <f t="shared" si="192"/>
        <v>508.53889943074</v>
      </c>
      <c r="AE545" s="28">
        <f t="shared" si="193"/>
        <v>0.10964912280701754</v>
      </c>
      <c r="AF545" s="28">
        <f t="shared" si="194"/>
        <v>0.4468458197732792</v>
      </c>
      <c r="AG545" s="28">
        <f t="shared" si="195"/>
        <v>0</v>
      </c>
      <c r="AI545" s="31">
        <f t="shared" si="196"/>
        <v>1.4626746384351019</v>
      </c>
      <c r="AJ545" s="25"/>
      <c r="AK545" s="31"/>
      <c r="AM545" s="27"/>
    </row>
    <row r="546" spans="4:39" x14ac:dyDescent="0.25">
      <c r="D546" s="25">
        <f>E546*'Profit per cycles Model'!$I$113</f>
        <v>5370</v>
      </c>
      <c r="E546" s="25">
        <v>14.710313655663608</v>
      </c>
      <c r="F546" s="28">
        <f t="shared" si="177"/>
        <v>0.18621973929236499</v>
      </c>
      <c r="G546" s="28">
        <f>'Battery Pricing Model'!$C$17/D546</f>
        <v>0.18621973929236499</v>
      </c>
      <c r="H546" s="28">
        <f t="shared" si="178"/>
        <v>999</v>
      </c>
      <c r="I546" s="28"/>
      <c r="J546" s="34">
        <f>INDEX('Profit per cycles Model'!$I$149:$I$179, MATCH(TRUNC(E546, 0), 'Profit per cycles Model'!$H$149:$H$179, 0))</f>
        <v>0.55649494258029675</v>
      </c>
      <c r="K546" s="27">
        <f>AVERAGE($AB$10:AB546)</f>
        <v>0.45963493256255217</v>
      </c>
      <c r="L546" s="28">
        <f t="shared" si="179"/>
        <v>0.27341519327018715</v>
      </c>
      <c r="M546" s="28">
        <f t="shared" si="180"/>
        <v>0.27341519327018715</v>
      </c>
      <c r="N546" s="28">
        <f t="shared" si="181"/>
        <v>999</v>
      </c>
      <c r="O546" s="28"/>
      <c r="P546" s="29">
        <f t="shared" si="197"/>
        <v>0.53700000000000037</v>
      </c>
      <c r="Q546" s="33">
        <f t="shared" si="182"/>
        <v>6.7114093959731544</v>
      </c>
      <c r="R546" s="33">
        <f t="shared" si="183"/>
        <v>6.7114093959731544</v>
      </c>
      <c r="S546" s="33">
        <f t="shared" si="184"/>
        <v>-1</v>
      </c>
      <c r="T546" s="27"/>
      <c r="U546" s="28">
        <f t="shared" si="185"/>
        <v>0.10964912280701754</v>
      </c>
      <c r="V546" s="25">
        <f t="shared" si="186"/>
        <v>999</v>
      </c>
      <c r="W546" s="35">
        <f t="shared" si="198"/>
        <v>25</v>
      </c>
      <c r="X546" s="33">
        <f t="shared" si="187"/>
        <v>25</v>
      </c>
      <c r="Y546" s="32">
        <f t="shared" si="188"/>
        <v>-1</v>
      </c>
      <c r="Z546" s="32"/>
      <c r="AA546" s="30">
        <f t="shared" si="189"/>
        <v>14.710313655663608</v>
      </c>
      <c r="AB546" s="28">
        <f t="shared" si="190"/>
        <v>0.55649494258029675</v>
      </c>
      <c r="AC546" s="28">
        <f t="shared" si="191"/>
        <v>0.10964912280701754</v>
      </c>
      <c r="AD546" s="29">
        <f t="shared" si="192"/>
        <v>509.48766603415561</v>
      </c>
      <c r="AE546" s="28">
        <f t="shared" si="193"/>
        <v>0.10964912280701754</v>
      </c>
      <c r="AF546" s="28">
        <f t="shared" si="194"/>
        <v>0.4468458197732792</v>
      </c>
      <c r="AG546" s="28">
        <f t="shared" si="195"/>
        <v>0</v>
      </c>
      <c r="AI546" s="31">
        <f t="shared" si="196"/>
        <v>1.4682395878609049</v>
      </c>
      <c r="AJ546" s="25"/>
      <c r="AK546" s="31"/>
      <c r="AM546" s="27"/>
    </row>
    <row r="547" spans="4:39" x14ac:dyDescent="0.25">
      <c r="D547" s="25">
        <f>E547*'Profit per cycles Model'!$I$113</f>
        <v>5380</v>
      </c>
      <c r="E547" s="25">
        <v>14.737707163402273</v>
      </c>
      <c r="F547" s="28">
        <f t="shared" si="177"/>
        <v>0.18587360594795538</v>
      </c>
      <c r="G547" s="28">
        <f>'Battery Pricing Model'!$C$17/D547</f>
        <v>0.18587360594795538</v>
      </c>
      <c r="H547" s="28">
        <f t="shared" si="178"/>
        <v>999</v>
      </c>
      <c r="I547" s="28"/>
      <c r="J547" s="34">
        <f>INDEX('Profit per cycles Model'!$I$149:$I$179, MATCH(TRUNC(E547, 0), 'Profit per cycles Model'!$H$149:$H$179, 0))</f>
        <v>0.55649494258029675</v>
      </c>
      <c r="K547" s="27">
        <f>AVERAGE($AB$10:AB547)</f>
        <v>0.4598149697558937</v>
      </c>
      <c r="L547" s="28">
        <f t="shared" si="179"/>
        <v>0.27394136380793832</v>
      </c>
      <c r="M547" s="28">
        <f t="shared" si="180"/>
        <v>0.27394136380793832</v>
      </c>
      <c r="N547" s="28">
        <f t="shared" si="181"/>
        <v>999</v>
      </c>
      <c r="O547" s="28"/>
      <c r="P547" s="29">
        <f t="shared" si="197"/>
        <v>0.53800000000000037</v>
      </c>
      <c r="Q547" s="33">
        <f t="shared" si="182"/>
        <v>6.7114093959731544</v>
      </c>
      <c r="R547" s="33">
        <f t="shared" si="183"/>
        <v>6.7114093959731544</v>
      </c>
      <c r="S547" s="33">
        <f t="shared" si="184"/>
        <v>-1</v>
      </c>
      <c r="T547" s="27"/>
      <c r="U547" s="28">
        <f t="shared" si="185"/>
        <v>0.10964912280701754</v>
      </c>
      <c r="V547" s="25">
        <f t="shared" si="186"/>
        <v>999</v>
      </c>
      <c r="W547" s="35">
        <f t="shared" si="198"/>
        <v>25</v>
      </c>
      <c r="X547" s="33">
        <f t="shared" si="187"/>
        <v>25</v>
      </c>
      <c r="Y547" s="32">
        <f t="shared" si="188"/>
        <v>-1</v>
      </c>
      <c r="Z547" s="32"/>
      <c r="AA547" s="30">
        <f t="shared" si="189"/>
        <v>14.737707163402273</v>
      </c>
      <c r="AB547" s="28">
        <f t="shared" si="190"/>
        <v>0.55649494258029675</v>
      </c>
      <c r="AC547" s="28">
        <f t="shared" si="191"/>
        <v>0.10964912280701754</v>
      </c>
      <c r="AD547" s="29">
        <f t="shared" si="192"/>
        <v>510.43643263757122</v>
      </c>
      <c r="AE547" s="28">
        <f t="shared" si="193"/>
        <v>0.10964912280701754</v>
      </c>
      <c r="AF547" s="28">
        <f t="shared" si="194"/>
        <v>0.4468458197732792</v>
      </c>
      <c r="AG547" s="28">
        <f t="shared" si="195"/>
        <v>0</v>
      </c>
      <c r="AI547" s="31">
        <f t="shared" si="196"/>
        <v>1.4738045372867083</v>
      </c>
      <c r="AJ547" s="25"/>
      <c r="AK547" s="31"/>
      <c r="AM547" s="27"/>
    </row>
    <row r="548" spans="4:39" x14ac:dyDescent="0.25">
      <c r="D548" s="25">
        <f>E548*'Profit per cycles Model'!$I$113</f>
        <v>5390</v>
      </c>
      <c r="E548" s="25">
        <v>14.765100671140939</v>
      </c>
      <c r="F548" s="28">
        <f t="shared" si="177"/>
        <v>0.18552875695732837</v>
      </c>
      <c r="G548" s="28">
        <f>'Battery Pricing Model'!$C$17/D548</f>
        <v>0.18552875695732837</v>
      </c>
      <c r="H548" s="28">
        <f t="shared" si="178"/>
        <v>999</v>
      </c>
      <c r="I548" s="28"/>
      <c r="J548" s="34">
        <f>INDEX('Profit per cycles Model'!$I$149:$I$179, MATCH(TRUNC(E548, 0), 'Profit per cycles Model'!$H$149:$H$179, 0))</f>
        <v>0.55649494258029675</v>
      </c>
      <c r="K548" s="27">
        <f>AVERAGE($AB$10:AB548)</f>
        <v>0.45999433890770147</v>
      </c>
      <c r="L548" s="28">
        <f t="shared" si="179"/>
        <v>0.27446558195037307</v>
      </c>
      <c r="M548" s="28">
        <f t="shared" si="180"/>
        <v>0.27446558195037307</v>
      </c>
      <c r="N548" s="28">
        <f t="shared" si="181"/>
        <v>999</v>
      </c>
      <c r="O548" s="28"/>
      <c r="P548" s="29">
        <f t="shared" si="197"/>
        <v>0.53900000000000037</v>
      </c>
      <c r="Q548" s="33">
        <f t="shared" si="182"/>
        <v>6.7114093959731544</v>
      </c>
      <c r="R548" s="33">
        <f t="shared" si="183"/>
        <v>6.7114093959731544</v>
      </c>
      <c r="S548" s="33">
        <f t="shared" si="184"/>
        <v>-1</v>
      </c>
      <c r="T548" s="27"/>
      <c r="U548" s="28">
        <f t="shared" si="185"/>
        <v>0.10964912280701754</v>
      </c>
      <c r="V548" s="25">
        <f t="shared" si="186"/>
        <v>999</v>
      </c>
      <c r="W548" s="35">
        <f t="shared" si="198"/>
        <v>25</v>
      </c>
      <c r="X548" s="33">
        <f t="shared" si="187"/>
        <v>25</v>
      </c>
      <c r="Y548" s="32">
        <f t="shared" si="188"/>
        <v>-1</v>
      </c>
      <c r="Z548" s="32"/>
      <c r="AA548" s="30">
        <f t="shared" si="189"/>
        <v>14.765100671140939</v>
      </c>
      <c r="AB548" s="28">
        <f t="shared" si="190"/>
        <v>0.55649494258029675</v>
      </c>
      <c r="AC548" s="28">
        <f t="shared" si="191"/>
        <v>0.10964912280701754</v>
      </c>
      <c r="AD548" s="29">
        <f t="shared" si="192"/>
        <v>511.38519924098671</v>
      </c>
      <c r="AE548" s="28">
        <f t="shared" si="193"/>
        <v>0.10964912280701754</v>
      </c>
      <c r="AF548" s="28">
        <f t="shared" si="194"/>
        <v>0.4468458197732792</v>
      </c>
      <c r="AG548" s="28">
        <f t="shared" si="195"/>
        <v>0</v>
      </c>
      <c r="AI548" s="31">
        <f t="shared" si="196"/>
        <v>1.4793694867125109</v>
      </c>
      <c r="AJ548" s="25"/>
      <c r="AK548" s="31"/>
      <c r="AM548" s="27"/>
    </row>
    <row r="549" spans="4:39" x14ac:dyDescent="0.25">
      <c r="D549" s="25">
        <f>E549*'Profit per cycles Model'!$I$113</f>
        <v>5400</v>
      </c>
      <c r="E549" s="25">
        <v>14.792494178879606</v>
      </c>
      <c r="F549" s="28">
        <f t="shared" si="177"/>
        <v>0.18518518518518517</v>
      </c>
      <c r="G549" s="28">
        <f>'Battery Pricing Model'!$C$17/D549</f>
        <v>0.18518518518518517</v>
      </c>
      <c r="H549" s="28">
        <f t="shared" si="178"/>
        <v>999</v>
      </c>
      <c r="I549" s="28"/>
      <c r="J549" s="34">
        <f>INDEX('Profit per cycles Model'!$I$149:$I$179, MATCH(TRUNC(E549, 0), 'Profit per cycles Model'!$H$149:$H$179, 0))</f>
        <v>0.55649494258029675</v>
      </c>
      <c r="K549" s="27">
        <f>AVERAGE($AB$10:AB549)</f>
        <v>0.46017304372931733</v>
      </c>
      <c r="L549" s="28">
        <f t="shared" si="179"/>
        <v>0.27498785854413216</v>
      </c>
      <c r="M549" s="28">
        <f t="shared" si="180"/>
        <v>0.27498785854413216</v>
      </c>
      <c r="N549" s="28">
        <f t="shared" si="181"/>
        <v>999</v>
      </c>
      <c r="O549" s="28"/>
      <c r="P549" s="29">
        <f t="shared" si="197"/>
        <v>0.54000000000000037</v>
      </c>
      <c r="Q549" s="33">
        <f t="shared" si="182"/>
        <v>6.7114093959731544</v>
      </c>
      <c r="R549" s="33">
        <f t="shared" si="183"/>
        <v>6.7114093959731544</v>
      </c>
      <c r="S549" s="33">
        <f t="shared" si="184"/>
        <v>-1</v>
      </c>
      <c r="T549" s="27"/>
      <c r="U549" s="28">
        <f t="shared" si="185"/>
        <v>0.10964912280701754</v>
      </c>
      <c r="V549" s="25">
        <f t="shared" si="186"/>
        <v>999</v>
      </c>
      <c r="W549" s="35">
        <f t="shared" si="198"/>
        <v>25</v>
      </c>
      <c r="X549" s="33">
        <f t="shared" si="187"/>
        <v>25</v>
      </c>
      <c r="Y549" s="32">
        <f t="shared" si="188"/>
        <v>-1</v>
      </c>
      <c r="Z549" s="32"/>
      <c r="AA549" s="30">
        <f t="shared" si="189"/>
        <v>14.792494178879606</v>
      </c>
      <c r="AB549" s="28">
        <f t="shared" si="190"/>
        <v>0.55649494258029675</v>
      </c>
      <c r="AC549" s="28">
        <f t="shared" si="191"/>
        <v>0.10964912280701754</v>
      </c>
      <c r="AD549" s="29">
        <f t="shared" si="192"/>
        <v>512.33396584440231</v>
      </c>
      <c r="AE549" s="28">
        <f t="shared" si="193"/>
        <v>0.10964912280701754</v>
      </c>
      <c r="AF549" s="28">
        <f t="shared" si="194"/>
        <v>0.4468458197732792</v>
      </c>
      <c r="AG549" s="28">
        <f t="shared" si="195"/>
        <v>0</v>
      </c>
      <c r="AI549" s="31">
        <f t="shared" si="196"/>
        <v>1.4849344361383137</v>
      </c>
      <c r="AJ549" s="25"/>
      <c r="AK549" s="31"/>
      <c r="AM549" s="27"/>
    </row>
    <row r="550" spans="4:39" x14ac:dyDescent="0.25">
      <c r="D550" s="25">
        <f>E550*'Profit per cycles Model'!$I$113</f>
        <v>5410</v>
      </c>
      <c r="E550" s="25">
        <v>14.819887686618271</v>
      </c>
      <c r="F550" s="28">
        <f t="shared" si="177"/>
        <v>0.18484288354898337</v>
      </c>
      <c r="G550" s="28">
        <f>'Battery Pricing Model'!$C$17/D550</f>
        <v>0.18484288354898337</v>
      </c>
      <c r="H550" s="28">
        <f t="shared" si="178"/>
        <v>999</v>
      </c>
      <c r="I550" s="28"/>
      <c r="J550" s="34">
        <f>INDEX('Profit per cycles Model'!$I$149:$I$179, MATCH(TRUNC(E550, 0), 'Profit per cycles Model'!$H$149:$H$179, 0))</f>
        <v>0.55649494258029675</v>
      </c>
      <c r="K550" s="27">
        <f>AVERAGE($AB$10:AB550)</f>
        <v>0.46035108790464263</v>
      </c>
      <c r="L550" s="28">
        <f t="shared" si="179"/>
        <v>0.27550820435565926</v>
      </c>
      <c r="M550" s="28">
        <f t="shared" si="180"/>
        <v>0.27550820435565926</v>
      </c>
      <c r="N550" s="28">
        <f t="shared" si="181"/>
        <v>999</v>
      </c>
      <c r="O550" s="28"/>
      <c r="P550" s="29">
        <f t="shared" si="197"/>
        <v>0.54100000000000037</v>
      </c>
      <c r="Q550" s="33">
        <f t="shared" si="182"/>
        <v>6.7114093959731544</v>
      </c>
      <c r="R550" s="33">
        <f t="shared" si="183"/>
        <v>6.7114093959731544</v>
      </c>
      <c r="S550" s="33">
        <f t="shared" si="184"/>
        <v>-1</v>
      </c>
      <c r="T550" s="27"/>
      <c r="U550" s="28">
        <f t="shared" si="185"/>
        <v>0.10964912280701754</v>
      </c>
      <c r="V550" s="25">
        <f t="shared" si="186"/>
        <v>999</v>
      </c>
      <c r="W550" s="35">
        <f t="shared" si="198"/>
        <v>25</v>
      </c>
      <c r="X550" s="33">
        <f t="shared" si="187"/>
        <v>25</v>
      </c>
      <c r="Y550" s="32">
        <f t="shared" si="188"/>
        <v>-1</v>
      </c>
      <c r="Z550" s="32"/>
      <c r="AA550" s="30">
        <f t="shared" si="189"/>
        <v>14.819887686618271</v>
      </c>
      <c r="AB550" s="28">
        <f t="shared" si="190"/>
        <v>0.55649494258029675</v>
      </c>
      <c r="AC550" s="28">
        <f t="shared" si="191"/>
        <v>0.10964912280701754</v>
      </c>
      <c r="AD550" s="29">
        <f t="shared" si="192"/>
        <v>513.28273244781781</v>
      </c>
      <c r="AE550" s="28">
        <f t="shared" si="193"/>
        <v>0.10964912280701754</v>
      </c>
      <c r="AF550" s="28">
        <f t="shared" si="194"/>
        <v>0.4468458197732792</v>
      </c>
      <c r="AG550" s="28">
        <f t="shared" si="195"/>
        <v>0</v>
      </c>
      <c r="AI550" s="31">
        <f t="shared" si="196"/>
        <v>1.4904993855641164</v>
      </c>
      <c r="AJ550" s="25"/>
      <c r="AK550" s="31"/>
      <c r="AM550" s="27"/>
    </row>
    <row r="551" spans="4:39" x14ac:dyDescent="0.25">
      <c r="D551" s="25">
        <f>E551*'Profit per cycles Model'!$I$113</f>
        <v>5420</v>
      </c>
      <c r="E551" s="25">
        <v>14.847281194356936</v>
      </c>
      <c r="F551" s="28">
        <f t="shared" si="177"/>
        <v>0.18450184501845018</v>
      </c>
      <c r="G551" s="28">
        <f>'Battery Pricing Model'!$C$17/D551</f>
        <v>0.18450184501845018</v>
      </c>
      <c r="H551" s="28">
        <f t="shared" si="178"/>
        <v>999</v>
      </c>
      <c r="I551" s="28"/>
      <c r="J551" s="34">
        <f>INDEX('Profit per cycles Model'!$I$149:$I$179, MATCH(TRUNC(E551, 0), 'Profit per cycles Model'!$H$149:$H$179, 0))</f>
        <v>0.55649494258029675</v>
      </c>
      <c r="K551" s="27">
        <f>AVERAGE($AB$10:AB551)</f>
        <v>0.46052847509039102</v>
      </c>
      <c r="L551" s="28">
        <f t="shared" si="179"/>
        <v>0.27602663007194084</v>
      </c>
      <c r="M551" s="28">
        <f t="shared" si="180"/>
        <v>0.27602663007194084</v>
      </c>
      <c r="N551" s="28">
        <f t="shared" si="181"/>
        <v>999</v>
      </c>
      <c r="O551" s="28"/>
      <c r="P551" s="29">
        <f t="shared" si="197"/>
        <v>0.54200000000000037</v>
      </c>
      <c r="Q551" s="33">
        <f t="shared" si="182"/>
        <v>6.7114093959731544</v>
      </c>
      <c r="R551" s="33">
        <f t="shared" si="183"/>
        <v>6.7114093959731544</v>
      </c>
      <c r="S551" s="33">
        <f t="shared" si="184"/>
        <v>-1</v>
      </c>
      <c r="T551" s="27"/>
      <c r="U551" s="28">
        <f t="shared" si="185"/>
        <v>0.10964912280701754</v>
      </c>
      <c r="V551" s="25">
        <f t="shared" si="186"/>
        <v>999</v>
      </c>
      <c r="W551" s="35">
        <f t="shared" si="198"/>
        <v>25</v>
      </c>
      <c r="X551" s="33">
        <f t="shared" si="187"/>
        <v>25</v>
      </c>
      <c r="Y551" s="32">
        <f t="shared" si="188"/>
        <v>-1</v>
      </c>
      <c r="Z551" s="32"/>
      <c r="AA551" s="30">
        <f t="shared" si="189"/>
        <v>14.847281194356936</v>
      </c>
      <c r="AB551" s="28">
        <f t="shared" si="190"/>
        <v>0.55649494258029675</v>
      </c>
      <c r="AC551" s="28">
        <f t="shared" si="191"/>
        <v>0.10964912280701754</v>
      </c>
      <c r="AD551" s="29">
        <f t="shared" si="192"/>
        <v>514.23149905123341</v>
      </c>
      <c r="AE551" s="28">
        <f t="shared" si="193"/>
        <v>0.10964912280701754</v>
      </c>
      <c r="AF551" s="28">
        <f t="shared" si="194"/>
        <v>0.4468458197732792</v>
      </c>
      <c r="AG551" s="28">
        <f t="shared" si="195"/>
        <v>0</v>
      </c>
      <c r="AI551" s="31">
        <f t="shared" si="196"/>
        <v>1.4960643349899194</v>
      </c>
      <c r="AJ551" s="25"/>
      <c r="AK551" s="31"/>
      <c r="AM551" s="27"/>
    </row>
    <row r="552" spans="4:39" x14ac:dyDescent="0.25">
      <c r="D552" s="25">
        <f>E552*'Profit per cycles Model'!$I$113</f>
        <v>5430</v>
      </c>
      <c r="E552" s="25">
        <v>14.874674702095604</v>
      </c>
      <c r="F552" s="28">
        <f t="shared" si="177"/>
        <v>0.18416206261510129</v>
      </c>
      <c r="G552" s="28">
        <f>'Battery Pricing Model'!$C$17/D552</f>
        <v>0.18416206261510129</v>
      </c>
      <c r="H552" s="28">
        <f t="shared" si="178"/>
        <v>999</v>
      </c>
      <c r="I552" s="28"/>
      <c r="J552" s="34">
        <f>INDEX('Profit per cycles Model'!$I$149:$I$179, MATCH(TRUNC(E552, 0), 'Profit per cycles Model'!$H$149:$H$179, 0))</f>
        <v>0.55649494258029675</v>
      </c>
      <c r="K552" s="27">
        <f>AVERAGE($AB$10:AB552)</f>
        <v>0.46070520891633931</v>
      </c>
      <c r="L552" s="28">
        <f t="shared" si="179"/>
        <v>0.276543146301238</v>
      </c>
      <c r="M552" s="28">
        <f t="shared" si="180"/>
        <v>0.276543146301238</v>
      </c>
      <c r="N552" s="28">
        <f t="shared" si="181"/>
        <v>999</v>
      </c>
      <c r="O552" s="28"/>
      <c r="P552" s="29">
        <f t="shared" si="197"/>
        <v>0.54300000000000037</v>
      </c>
      <c r="Q552" s="33">
        <f t="shared" si="182"/>
        <v>6.7114093959731544</v>
      </c>
      <c r="R552" s="33">
        <f t="shared" si="183"/>
        <v>6.7114093959731544</v>
      </c>
      <c r="S552" s="33">
        <f t="shared" si="184"/>
        <v>-1</v>
      </c>
      <c r="T552" s="27"/>
      <c r="U552" s="28">
        <f t="shared" si="185"/>
        <v>0.10964912280701754</v>
      </c>
      <c r="V552" s="25">
        <f t="shared" si="186"/>
        <v>999</v>
      </c>
      <c r="W552" s="35">
        <f t="shared" si="198"/>
        <v>25</v>
      </c>
      <c r="X552" s="33">
        <f t="shared" si="187"/>
        <v>25</v>
      </c>
      <c r="Y552" s="32">
        <f t="shared" si="188"/>
        <v>-1</v>
      </c>
      <c r="Z552" s="32"/>
      <c r="AA552" s="30">
        <f t="shared" si="189"/>
        <v>14.874674702095604</v>
      </c>
      <c r="AB552" s="28">
        <f t="shared" si="190"/>
        <v>0.55649494258029675</v>
      </c>
      <c r="AC552" s="28">
        <f t="shared" si="191"/>
        <v>0.10964912280701754</v>
      </c>
      <c r="AD552" s="29">
        <f t="shared" si="192"/>
        <v>515.18026565464891</v>
      </c>
      <c r="AE552" s="28">
        <f t="shared" si="193"/>
        <v>0.10964912280701754</v>
      </c>
      <c r="AF552" s="28">
        <f t="shared" si="194"/>
        <v>0.4468458197732792</v>
      </c>
      <c r="AG552" s="28">
        <f t="shared" si="195"/>
        <v>0</v>
      </c>
      <c r="AI552" s="31">
        <f t="shared" si="196"/>
        <v>1.5016292844157224</v>
      </c>
      <c r="AJ552" s="25"/>
      <c r="AK552" s="31"/>
      <c r="AM552" s="27"/>
    </row>
    <row r="553" spans="4:39" x14ac:dyDescent="0.25">
      <c r="D553" s="25">
        <f>E553*'Profit per cycles Model'!$I$113</f>
        <v>5440</v>
      </c>
      <c r="E553" s="25">
        <v>14.902068209834269</v>
      </c>
      <c r="F553" s="28">
        <f t="shared" si="177"/>
        <v>0.18382352941176472</v>
      </c>
      <c r="G553" s="28">
        <f>'Battery Pricing Model'!$C$17/D553</f>
        <v>0.18382352941176472</v>
      </c>
      <c r="H553" s="28">
        <f t="shared" si="178"/>
        <v>999</v>
      </c>
      <c r="I553" s="28"/>
      <c r="J553" s="34">
        <f>INDEX('Profit per cycles Model'!$I$149:$I$179, MATCH(TRUNC(E553, 0), 'Profit per cycles Model'!$H$149:$H$179, 0))</f>
        <v>0.55649494258029675</v>
      </c>
      <c r="K553" s="27">
        <f>AVERAGE($AB$10:AB553)</f>
        <v>0.46088129298557451</v>
      </c>
      <c r="L553" s="28">
        <f t="shared" si="179"/>
        <v>0.27705776357380979</v>
      </c>
      <c r="M553" s="28">
        <f t="shared" si="180"/>
        <v>0.27705776357380979</v>
      </c>
      <c r="N553" s="28">
        <f t="shared" si="181"/>
        <v>999</v>
      </c>
      <c r="O553" s="28"/>
      <c r="P553" s="29">
        <f t="shared" si="197"/>
        <v>0.54400000000000037</v>
      </c>
      <c r="Q553" s="33">
        <f t="shared" si="182"/>
        <v>6.7114093959731544</v>
      </c>
      <c r="R553" s="33">
        <f t="shared" si="183"/>
        <v>6.7114093959731544</v>
      </c>
      <c r="S553" s="33">
        <f t="shared" si="184"/>
        <v>-1</v>
      </c>
      <c r="T553" s="27"/>
      <c r="U553" s="28">
        <f t="shared" si="185"/>
        <v>0.10964912280701754</v>
      </c>
      <c r="V553" s="25">
        <f t="shared" si="186"/>
        <v>999</v>
      </c>
      <c r="W553" s="35">
        <f t="shared" si="198"/>
        <v>25</v>
      </c>
      <c r="X553" s="33">
        <f t="shared" si="187"/>
        <v>25</v>
      </c>
      <c r="Y553" s="32">
        <f t="shared" si="188"/>
        <v>-1</v>
      </c>
      <c r="Z553" s="32"/>
      <c r="AA553" s="30">
        <f t="shared" si="189"/>
        <v>14.902068209834269</v>
      </c>
      <c r="AB553" s="28">
        <f t="shared" si="190"/>
        <v>0.55649494258029675</v>
      </c>
      <c r="AC553" s="28">
        <f t="shared" si="191"/>
        <v>0.10964912280701754</v>
      </c>
      <c r="AD553" s="29">
        <f t="shared" si="192"/>
        <v>516.12903225806451</v>
      </c>
      <c r="AE553" s="28">
        <f t="shared" si="193"/>
        <v>0.10964912280701754</v>
      </c>
      <c r="AF553" s="28">
        <f t="shared" si="194"/>
        <v>0.4468458197732792</v>
      </c>
      <c r="AG553" s="28">
        <f t="shared" si="195"/>
        <v>0</v>
      </c>
      <c r="AI553" s="31">
        <f t="shared" si="196"/>
        <v>1.5071942338415252</v>
      </c>
      <c r="AJ553" s="25"/>
      <c r="AK553" s="31"/>
      <c r="AM553" s="27"/>
    </row>
    <row r="554" spans="4:39" x14ac:dyDescent="0.25">
      <c r="D554" s="25">
        <f>E554*'Profit per cycles Model'!$I$113</f>
        <v>5450</v>
      </c>
      <c r="E554" s="25">
        <v>14.929461717572934</v>
      </c>
      <c r="F554" s="28">
        <f t="shared" si="177"/>
        <v>0.1834862385321101</v>
      </c>
      <c r="G554" s="28">
        <f>'Battery Pricing Model'!$C$17/D554</f>
        <v>0.1834862385321101</v>
      </c>
      <c r="H554" s="28">
        <f t="shared" si="178"/>
        <v>999</v>
      </c>
      <c r="I554" s="28"/>
      <c r="J554" s="34">
        <f>INDEX('Profit per cycles Model'!$I$149:$I$179, MATCH(TRUNC(E554, 0), 'Profit per cycles Model'!$H$149:$H$179, 0))</f>
        <v>0.55649494258029675</v>
      </c>
      <c r="K554" s="27">
        <f>AVERAGE($AB$10:AB554)</f>
        <v>0.46105673087473908</v>
      </c>
      <c r="L554" s="28">
        <f t="shared" si="179"/>
        <v>0.27757049234262898</v>
      </c>
      <c r="M554" s="28">
        <f t="shared" si="180"/>
        <v>0.27757049234262898</v>
      </c>
      <c r="N554" s="28">
        <f t="shared" si="181"/>
        <v>999</v>
      </c>
      <c r="O554" s="28"/>
      <c r="P554" s="29">
        <f t="shared" si="197"/>
        <v>0.54500000000000037</v>
      </c>
      <c r="Q554" s="33">
        <f t="shared" si="182"/>
        <v>6.7114093959731544</v>
      </c>
      <c r="R554" s="33">
        <f t="shared" si="183"/>
        <v>6.7114093959731544</v>
      </c>
      <c r="S554" s="33">
        <f t="shared" si="184"/>
        <v>-1</v>
      </c>
      <c r="T554" s="27"/>
      <c r="U554" s="28">
        <f t="shared" si="185"/>
        <v>0.10964912280701754</v>
      </c>
      <c r="V554" s="25">
        <f t="shared" si="186"/>
        <v>999</v>
      </c>
      <c r="W554" s="35">
        <f t="shared" si="198"/>
        <v>25</v>
      </c>
      <c r="X554" s="33">
        <f t="shared" si="187"/>
        <v>25</v>
      </c>
      <c r="Y554" s="32">
        <f t="shared" si="188"/>
        <v>-1</v>
      </c>
      <c r="Z554" s="32"/>
      <c r="AA554" s="30">
        <f t="shared" si="189"/>
        <v>14.929461717572934</v>
      </c>
      <c r="AB554" s="28">
        <f t="shared" si="190"/>
        <v>0.55649494258029675</v>
      </c>
      <c r="AC554" s="28">
        <f t="shared" si="191"/>
        <v>0.10964912280701754</v>
      </c>
      <c r="AD554" s="29">
        <f t="shared" si="192"/>
        <v>517.07779886148012</v>
      </c>
      <c r="AE554" s="28">
        <f t="shared" si="193"/>
        <v>0.10964912280701754</v>
      </c>
      <c r="AF554" s="28">
        <f t="shared" si="194"/>
        <v>0.4468458197732792</v>
      </c>
      <c r="AG554" s="28">
        <f t="shared" si="195"/>
        <v>0</v>
      </c>
      <c r="AI554" s="31">
        <f t="shared" si="196"/>
        <v>1.5127591832673279</v>
      </c>
      <c r="AJ554" s="25"/>
      <c r="AK554" s="31"/>
      <c r="AM554" s="27"/>
    </row>
    <row r="555" spans="4:39" x14ac:dyDescent="0.25">
      <c r="D555" s="25">
        <f>E555*'Profit per cycles Model'!$I$113</f>
        <v>5460</v>
      </c>
      <c r="E555" s="25">
        <v>14.956855225311601</v>
      </c>
      <c r="F555" s="28">
        <f t="shared" si="177"/>
        <v>0.18315018315018314</v>
      </c>
      <c r="G555" s="28">
        <f>'Battery Pricing Model'!$C$17/D555</f>
        <v>0.18315018315018314</v>
      </c>
      <c r="H555" s="28">
        <f t="shared" si="178"/>
        <v>999</v>
      </c>
      <c r="I555" s="28"/>
      <c r="J555" s="34">
        <f>INDEX('Profit per cycles Model'!$I$149:$I$179, MATCH(TRUNC(E555, 0), 'Profit per cycles Model'!$H$149:$H$179, 0))</f>
        <v>0.55649494258029675</v>
      </c>
      <c r="K555" s="27">
        <f>AVERAGE($AB$10:AB555)</f>
        <v>0.46123152613427304</v>
      </c>
      <c r="L555" s="28">
        <f t="shared" si="179"/>
        <v>0.27808134298408993</v>
      </c>
      <c r="M555" s="28">
        <f t="shared" si="180"/>
        <v>0.27808134298408993</v>
      </c>
      <c r="N555" s="28">
        <f t="shared" si="181"/>
        <v>999</v>
      </c>
      <c r="O555" s="28"/>
      <c r="P555" s="29">
        <f t="shared" si="197"/>
        <v>0.54600000000000037</v>
      </c>
      <c r="Q555" s="33">
        <f t="shared" si="182"/>
        <v>6.7114093959731544</v>
      </c>
      <c r="R555" s="33">
        <f t="shared" si="183"/>
        <v>6.7114093959731544</v>
      </c>
      <c r="S555" s="33">
        <f t="shared" si="184"/>
        <v>-1</v>
      </c>
      <c r="T555" s="27"/>
      <c r="U555" s="28">
        <f t="shared" si="185"/>
        <v>0.10964912280701754</v>
      </c>
      <c r="V555" s="25">
        <f t="shared" si="186"/>
        <v>999</v>
      </c>
      <c r="W555" s="35">
        <f t="shared" si="198"/>
        <v>25</v>
      </c>
      <c r="X555" s="33">
        <f t="shared" si="187"/>
        <v>25</v>
      </c>
      <c r="Y555" s="32">
        <f t="shared" si="188"/>
        <v>-1</v>
      </c>
      <c r="Z555" s="32"/>
      <c r="AA555" s="30">
        <f t="shared" si="189"/>
        <v>14.956855225311601</v>
      </c>
      <c r="AB555" s="28">
        <f t="shared" si="190"/>
        <v>0.55649494258029675</v>
      </c>
      <c r="AC555" s="28">
        <f t="shared" si="191"/>
        <v>0.10964912280701754</v>
      </c>
      <c r="AD555" s="29">
        <f t="shared" si="192"/>
        <v>518.02656546489573</v>
      </c>
      <c r="AE555" s="28">
        <f t="shared" si="193"/>
        <v>0.10964912280701754</v>
      </c>
      <c r="AF555" s="28">
        <f t="shared" si="194"/>
        <v>0.4468458197732792</v>
      </c>
      <c r="AG555" s="28">
        <f t="shared" si="195"/>
        <v>0</v>
      </c>
      <c r="AI555" s="31">
        <f t="shared" si="196"/>
        <v>1.5183241326931312</v>
      </c>
      <c r="AJ555" s="25"/>
      <c r="AK555" s="31"/>
      <c r="AM555" s="27"/>
    </row>
    <row r="556" spans="4:39" x14ac:dyDescent="0.25">
      <c r="D556" s="25">
        <f>E556*'Profit per cycles Model'!$I$113</f>
        <v>5470</v>
      </c>
      <c r="E556" s="25">
        <v>14.984248733050267</v>
      </c>
      <c r="F556" s="28">
        <f t="shared" si="177"/>
        <v>0.18281535648994515</v>
      </c>
      <c r="G556" s="28">
        <f>'Battery Pricing Model'!$C$17/D556</f>
        <v>0.18281535648994515</v>
      </c>
      <c r="H556" s="28">
        <f t="shared" si="178"/>
        <v>999</v>
      </c>
      <c r="I556" s="28"/>
      <c r="J556" s="34">
        <f>INDEX('Profit per cycles Model'!$I$149:$I$179, MATCH(TRUNC(E556, 0), 'Profit per cycles Model'!$H$149:$H$179, 0))</f>
        <v>0.55649494258029675</v>
      </c>
      <c r="K556" s="27">
        <f>AVERAGE($AB$10:AB556)</f>
        <v>0.46140568228865336</v>
      </c>
      <c r="L556" s="28">
        <f t="shared" si="179"/>
        <v>0.27859032579870824</v>
      </c>
      <c r="M556" s="28">
        <f t="shared" si="180"/>
        <v>0.27859032579870824</v>
      </c>
      <c r="N556" s="28">
        <f t="shared" si="181"/>
        <v>999</v>
      </c>
      <c r="O556" s="28"/>
      <c r="P556" s="29">
        <f t="shared" si="197"/>
        <v>0.54700000000000037</v>
      </c>
      <c r="Q556" s="33">
        <f t="shared" si="182"/>
        <v>6.7114093959731544</v>
      </c>
      <c r="R556" s="33">
        <f t="shared" si="183"/>
        <v>6.7114093959731544</v>
      </c>
      <c r="S556" s="33">
        <f t="shared" si="184"/>
        <v>-1</v>
      </c>
      <c r="T556" s="27"/>
      <c r="U556" s="28">
        <f t="shared" si="185"/>
        <v>0.10964912280701754</v>
      </c>
      <c r="V556" s="25">
        <f t="shared" si="186"/>
        <v>999</v>
      </c>
      <c r="W556" s="35">
        <f t="shared" si="198"/>
        <v>25</v>
      </c>
      <c r="X556" s="33">
        <f t="shared" si="187"/>
        <v>25</v>
      </c>
      <c r="Y556" s="32">
        <f t="shared" si="188"/>
        <v>-1</v>
      </c>
      <c r="Z556" s="32"/>
      <c r="AA556" s="30">
        <f t="shared" si="189"/>
        <v>14.984248733050267</v>
      </c>
      <c r="AB556" s="28">
        <f t="shared" si="190"/>
        <v>0.55649494258029675</v>
      </c>
      <c r="AC556" s="28">
        <f t="shared" si="191"/>
        <v>0.10964912280701754</v>
      </c>
      <c r="AD556" s="29">
        <f t="shared" si="192"/>
        <v>518.97533206831122</v>
      </c>
      <c r="AE556" s="28">
        <f t="shared" si="193"/>
        <v>0.10964912280701754</v>
      </c>
      <c r="AF556" s="28">
        <f t="shared" si="194"/>
        <v>0.4468458197732792</v>
      </c>
      <c r="AG556" s="28">
        <f t="shared" si="195"/>
        <v>0</v>
      </c>
      <c r="AI556" s="31">
        <f t="shared" si="196"/>
        <v>1.5238890821189341</v>
      </c>
      <c r="AJ556" s="25"/>
      <c r="AK556" s="31"/>
      <c r="AM556" s="27"/>
    </row>
    <row r="557" spans="4:39" x14ac:dyDescent="0.25">
      <c r="D557" s="25">
        <f>E557*'Profit per cycles Model'!$I$113</f>
        <v>5480</v>
      </c>
      <c r="E557" s="25">
        <v>15.011642240788932</v>
      </c>
      <c r="F557" s="28">
        <f t="shared" si="177"/>
        <v>0.18248175182481752</v>
      </c>
      <c r="G557" s="28">
        <f>'Battery Pricing Model'!$C$17/D557</f>
        <v>0.18248175182481752</v>
      </c>
      <c r="H557" s="28">
        <f t="shared" si="178"/>
        <v>999</v>
      </c>
      <c r="I557" s="28"/>
      <c r="J557" s="34">
        <f>INDEX('Profit per cycles Model'!$I$149:$I$179, MATCH(TRUNC(E557, 0), 'Profit per cycles Model'!$H$149:$H$179, 0))</f>
        <v>0.57193672790951011</v>
      </c>
      <c r="K557" s="27">
        <f>AVERAGE($AB$10:AB557)</f>
        <v>0.46160738127701256</v>
      </c>
      <c r="L557" s="28">
        <f t="shared" si="179"/>
        <v>0.27912562945219505</v>
      </c>
      <c r="M557" s="28">
        <f t="shared" si="180"/>
        <v>0.27912562945219505</v>
      </c>
      <c r="N557" s="28">
        <f t="shared" si="181"/>
        <v>999</v>
      </c>
      <c r="O557" s="28"/>
      <c r="P557" s="29">
        <f t="shared" si="197"/>
        <v>0.54800000000000038</v>
      </c>
      <c r="Q557" s="33">
        <f t="shared" si="182"/>
        <v>6.7114093959731544</v>
      </c>
      <c r="R557" s="33">
        <f t="shared" si="183"/>
        <v>6.7114093959731544</v>
      </c>
      <c r="S557" s="33">
        <f t="shared" si="184"/>
        <v>-1</v>
      </c>
      <c r="T557" s="27"/>
      <c r="U557" s="28">
        <f t="shared" si="185"/>
        <v>0.10964912280701754</v>
      </c>
      <c r="V557" s="25">
        <f t="shared" si="186"/>
        <v>999</v>
      </c>
      <c r="W557" s="35">
        <f t="shared" si="198"/>
        <v>25</v>
      </c>
      <c r="X557" s="33">
        <f t="shared" si="187"/>
        <v>25</v>
      </c>
      <c r="Y557" s="32">
        <f t="shared" si="188"/>
        <v>-1</v>
      </c>
      <c r="Z557" s="32"/>
      <c r="AA557" s="30">
        <f t="shared" si="189"/>
        <v>15.011642240788932</v>
      </c>
      <c r="AB557" s="28">
        <f t="shared" si="190"/>
        <v>0.57193672790951011</v>
      </c>
      <c r="AC557" s="28">
        <f t="shared" si="191"/>
        <v>0.10964912280701754</v>
      </c>
      <c r="AD557" s="29">
        <f t="shared" si="192"/>
        <v>519.92409867172671</v>
      </c>
      <c r="AE557" s="28">
        <f t="shared" si="193"/>
        <v>0.10964912280701754</v>
      </c>
      <c r="AF557" s="28">
        <f t="shared" si="194"/>
        <v>0.46228760510249256</v>
      </c>
      <c r="AG557" s="28">
        <f t="shared" si="195"/>
        <v>0</v>
      </c>
      <c r="AI557" s="31">
        <f t="shared" si="196"/>
        <v>1.5296084493980289</v>
      </c>
      <c r="AJ557" s="25"/>
      <c r="AK557" s="31"/>
      <c r="AM557" s="27"/>
    </row>
    <row r="558" spans="4:39" x14ac:dyDescent="0.25">
      <c r="D558" s="25">
        <f>E558*'Profit per cycles Model'!$I$113</f>
        <v>5490</v>
      </c>
      <c r="E558" s="25">
        <v>15.039035748527599</v>
      </c>
      <c r="F558" s="28">
        <f t="shared" si="177"/>
        <v>0.18214936247723132</v>
      </c>
      <c r="G558" s="28">
        <f>'Battery Pricing Model'!$C$17/D558</f>
        <v>0.18214936247723132</v>
      </c>
      <c r="H558" s="28">
        <f t="shared" si="178"/>
        <v>999</v>
      </c>
      <c r="I558" s="28"/>
      <c r="J558" s="34">
        <f>INDEX('Profit per cycles Model'!$I$149:$I$179, MATCH(TRUNC(E558, 0), 'Profit per cycles Model'!$H$149:$H$179, 0))</f>
        <v>0.57193672790951011</v>
      </c>
      <c r="K558" s="27">
        <f>AVERAGE($AB$10:AB558)</f>
        <v>0.46180834547852895</v>
      </c>
      <c r="L558" s="28">
        <f t="shared" si="179"/>
        <v>0.27965898300129766</v>
      </c>
      <c r="M558" s="28">
        <f t="shared" si="180"/>
        <v>0.27965898300129766</v>
      </c>
      <c r="N558" s="28">
        <f t="shared" si="181"/>
        <v>999</v>
      </c>
      <c r="O558" s="28"/>
      <c r="P558" s="29">
        <f t="shared" si="197"/>
        <v>0.54900000000000038</v>
      </c>
      <c r="Q558" s="33">
        <f t="shared" si="182"/>
        <v>6.7114093959731544</v>
      </c>
      <c r="R558" s="33">
        <f t="shared" si="183"/>
        <v>6.7114093959731544</v>
      </c>
      <c r="S558" s="33">
        <f t="shared" si="184"/>
        <v>-1</v>
      </c>
      <c r="T558" s="27"/>
      <c r="U558" s="28">
        <f t="shared" si="185"/>
        <v>0.10964912280701754</v>
      </c>
      <c r="V558" s="25">
        <f t="shared" si="186"/>
        <v>999</v>
      </c>
      <c r="W558" s="35">
        <f t="shared" si="198"/>
        <v>25</v>
      </c>
      <c r="X558" s="33">
        <f t="shared" si="187"/>
        <v>25</v>
      </c>
      <c r="Y558" s="32">
        <f t="shared" si="188"/>
        <v>-1</v>
      </c>
      <c r="Z558" s="32"/>
      <c r="AA558" s="30">
        <f t="shared" si="189"/>
        <v>15.039035748527599</v>
      </c>
      <c r="AB558" s="28">
        <f t="shared" si="190"/>
        <v>0.57193672790951011</v>
      </c>
      <c r="AC558" s="28">
        <f t="shared" si="191"/>
        <v>0.10964912280701754</v>
      </c>
      <c r="AD558" s="29">
        <f t="shared" si="192"/>
        <v>520.87286527514243</v>
      </c>
      <c r="AE558" s="28">
        <f t="shared" si="193"/>
        <v>0.10964912280701754</v>
      </c>
      <c r="AF558" s="28">
        <f t="shared" si="194"/>
        <v>0.46228760510249256</v>
      </c>
      <c r="AG558" s="28">
        <f t="shared" si="195"/>
        <v>0</v>
      </c>
      <c r="AI558" s="31">
        <f t="shared" si="196"/>
        <v>1.5353278166771243</v>
      </c>
      <c r="AJ558" s="25"/>
      <c r="AK558" s="31"/>
      <c r="AM558" s="27"/>
    </row>
    <row r="559" spans="4:39" x14ac:dyDescent="0.25">
      <c r="D559" s="25">
        <f>E559*'Profit per cycles Model'!$I$113</f>
        <v>5500</v>
      </c>
      <c r="E559" s="25">
        <v>15.066429256266265</v>
      </c>
      <c r="F559" s="28">
        <f t="shared" si="177"/>
        <v>0.18181818181818182</v>
      </c>
      <c r="G559" s="28">
        <f>'Battery Pricing Model'!$C$17/D559</f>
        <v>0.18181818181818182</v>
      </c>
      <c r="H559" s="28">
        <f t="shared" si="178"/>
        <v>999</v>
      </c>
      <c r="I559" s="28"/>
      <c r="J559" s="34">
        <f>INDEX('Profit per cycles Model'!$I$149:$I$179, MATCH(TRUNC(E559, 0), 'Profit per cycles Model'!$H$149:$H$179, 0))</f>
        <v>0.57193672790951011</v>
      </c>
      <c r="K559" s="27">
        <f>AVERAGE($AB$10:AB559)</f>
        <v>0.46200857890113073</v>
      </c>
      <c r="L559" s="28">
        <f t="shared" si="179"/>
        <v>0.28019039708294891</v>
      </c>
      <c r="M559" s="28">
        <f t="shared" si="180"/>
        <v>0.28019039708294891</v>
      </c>
      <c r="N559" s="28">
        <f t="shared" si="181"/>
        <v>999</v>
      </c>
      <c r="O559" s="28"/>
      <c r="P559" s="29">
        <f t="shared" si="197"/>
        <v>0.55000000000000038</v>
      </c>
      <c r="Q559" s="33">
        <f t="shared" si="182"/>
        <v>6.7114093959731544</v>
      </c>
      <c r="R559" s="33">
        <f t="shared" si="183"/>
        <v>6.7114093959731544</v>
      </c>
      <c r="S559" s="33">
        <f t="shared" si="184"/>
        <v>-1</v>
      </c>
      <c r="T559" s="27"/>
      <c r="U559" s="28">
        <f t="shared" si="185"/>
        <v>0.10964912280701754</v>
      </c>
      <c r="V559" s="25">
        <f t="shared" si="186"/>
        <v>999</v>
      </c>
      <c r="W559" s="35">
        <f t="shared" si="198"/>
        <v>25</v>
      </c>
      <c r="X559" s="33">
        <f t="shared" si="187"/>
        <v>25</v>
      </c>
      <c r="Y559" s="32">
        <f t="shared" si="188"/>
        <v>-1</v>
      </c>
      <c r="Z559" s="32"/>
      <c r="AA559" s="30">
        <f t="shared" si="189"/>
        <v>15.066429256266265</v>
      </c>
      <c r="AB559" s="28">
        <f t="shared" si="190"/>
        <v>0.57193672790951011</v>
      </c>
      <c r="AC559" s="28">
        <f t="shared" si="191"/>
        <v>0.10964912280701754</v>
      </c>
      <c r="AD559" s="29">
        <f t="shared" si="192"/>
        <v>521.82163187855792</v>
      </c>
      <c r="AE559" s="28">
        <f t="shared" si="193"/>
        <v>0.10964912280701754</v>
      </c>
      <c r="AF559" s="28">
        <f t="shared" si="194"/>
        <v>0.46228760510249256</v>
      </c>
      <c r="AG559" s="28">
        <f t="shared" si="195"/>
        <v>0</v>
      </c>
      <c r="AI559" s="31">
        <f t="shared" si="196"/>
        <v>1.541047183956219</v>
      </c>
      <c r="AJ559" s="25"/>
      <c r="AK559" s="31"/>
      <c r="AM559" s="27"/>
    </row>
    <row r="560" spans="4:39" x14ac:dyDescent="0.25">
      <c r="D560" s="25">
        <f>E560*'Profit per cycles Model'!$I$113</f>
        <v>5510</v>
      </c>
      <c r="E560" s="25">
        <v>15.09382276400493</v>
      </c>
      <c r="F560" s="28">
        <f t="shared" si="177"/>
        <v>0.18148820326678766</v>
      </c>
      <c r="G560" s="28">
        <f>'Battery Pricing Model'!$C$17/D560</f>
        <v>0.18148820326678766</v>
      </c>
      <c r="H560" s="28">
        <f t="shared" si="178"/>
        <v>999</v>
      </c>
      <c r="I560" s="28"/>
      <c r="J560" s="34">
        <f>INDEX('Profit per cycles Model'!$I$149:$I$179, MATCH(TRUNC(E560, 0), 'Profit per cycles Model'!$H$149:$H$179, 0))</f>
        <v>0.57193672790951011</v>
      </c>
      <c r="K560" s="27">
        <f>AVERAGE($AB$10:AB560)</f>
        <v>0.46220808552365045</v>
      </c>
      <c r="L560" s="28">
        <f t="shared" si="179"/>
        <v>0.28071988225686278</v>
      </c>
      <c r="M560" s="28">
        <f t="shared" si="180"/>
        <v>0.28071988225686278</v>
      </c>
      <c r="N560" s="28">
        <f t="shared" si="181"/>
        <v>999</v>
      </c>
      <c r="O560" s="28"/>
      <c r="P560" s="29">
        <f t="shared" si="197"/>
        <v>0.55100000000000038</v>
      </c>
      <c r="Q560" s="33">
        <f t="shared" si="182"/>
        <v>6.7114093959731544</v>
      </c>
      <c r="R560" s="33">
        <f t="shared" si="183"/>
        <v>6.7114093959731544</v>
      </c>
      <c r="S560" s="33">
        <f t="shared" si="184"/>
        <v>-1</v>
      </c>
      <c r="T560" s="27"/>
      <c r="U560" s="28">
        <f t="shared" si="185"/>
        <v>0.10964912280701754</v>
      </c>
      <c r="V560" s="25">
        <f t="shared" si="186"/>
        <v>999</v>
      </c>
      <c r="W560" s="35">
        <f t="shared" si="198"/>
        <v>25</v>
      </c>
      <c r="X560" s="33">
        <f t="shared" si="187"/>
        <v>25</v>
      </c>
      <c r="Y560" s="32">
        <f t="shared" si="188"/>
        <v>-1</v>
      </c>
      <c r="Z560" s="32"/>
      <c r="AA560" s="30">
        <f t="shared" si="189"/>
        <v>15.09382276400493</v>
      </c>
      <c r="AB560" s="28">
        <f t="shared" si="190"/>
        <v>0.57193672790951011</v>
      </c>
      <c r="AC560" s="28">
        <f t="shared" si="191"/>
        <v>0.10964912280701754</v>
      </c>
      <c r="AD560" s="29">
        <f t="shared" si="192"/>
        <v>522.77039848197342</v>
      </c>
      <c r="AE560" s="28">
        <f t="shared" si="193"/>
        <v>0.10964912280701754</v>
      </c>
      <c r="AF560" s="28">
        <f t="shared" si="194"/>
        <v>0.46228760510249256</v>
      </c>
      <c r="AG560" s="28">
        <f t="shared" si="195"/>
        <v>0</v>
      </c>
      <c r="AI560" s="31">
        <f t="shared" si="196"/>
        <v>1.5467665512353139</v>
      </c>
      <c r="AJ560" s="25"/>
      <c r="AK560" s="31"/>
      <c r="AM560" s="27"/>
    </row>
    <row r="561" spans="4:39" x14ac:dyDescent="0.25">
      <c r="D561" s="25">
        <f>E561*'Profit per cycles Model'!$I$113</f>
        <v>5520</v>
      </c>
      <c r="E561" s="25">
        <v>15.121216271743597</v>
      </c>
      <c r="F561" s="28">
        <f t="shared" si="177"/>
        <v>0.18115942028985507</v>
      </c>
      <c r="G561" s="28">
        <f>'Battery Pricing Model'!$C$17/D561</f>
        <v>0.18115942028985507</v>
      </c>
      <c r="H561" s="28">
        <f t="shared" si="178"/>
        <v>999</v>
      </c>
      <c r="I561" s="28"/>
      <c r="J561" s="34">
        <f>INDEX('Profit per cycles Model'!$I$149:$I$179, MATCH(TRUNC(E561, 0), 'Profit per cycles Model'!$H$149:$H$179, 0))</f>
        <v>0.57193672790951011</v>
      </c>
      <c r="K561" s="27">
        <f>AVERAGE($AB$10:AB561)</f>
        <v>0.4624068692960886</v>
      </c>
      <c r="L561" s="28">
        <f t="shared" si="179"/>
        <v>0.28124744900623355</v>
      </c>
      <c r="M561" s="28">
        <f t="shared" si="180"/>
        <v>0.28124744900623355</v>
      </c>
      <c r="N561" s="28">
        <f t="shared" si="181"/>
        <v>999</v>
      </c>
      <c r="O561" s="28"/>
      <c r="P561" s="29">
        <f t="shared" si="197"/>
        <v>0.55200000000000038</v>
      </c>
      <c r="Q561" s="33">
        <f t="shared" si="182"/>
        <v>6.7114093959731544</v>
      </c>
      <c r="R561" s="33">
        <f t="shared" si="183"/>
        <v>6.7114093959731544</v>
      </c>
      <c r="S561" s="33">
        <f t="shared" si="184"/>
        <v>-1</v>
      </c>
      <c r="T561" s="27"/>
      <c r="U561" s="28">
        <f t="shared" si="185"/>
        <v>0.10964912280701754</v>
      </c>
      <c r="V561" s="25">
        <f t="shared" si="186"/>
        <v>999</v>
      </c>
      <c r="W561" s="35">
        <f t="shared" si="198"/>
        <v>25</v>
      </c>
      <c r="X561" s="33">
        <f t="shared" si="187"/>
        <v>25</v>
      </c>
      <c r="Y561" s="32">
        <f t="shared" si="188"/>
        <v>-1</v>
      </c>
      <c r="Z561" s="32"/>
      <c r="AA561" s="30">
        <f t="shared" si="189"/>
        <v>15.121216271743597</v>
      </c>
      <c r="AB561" s="28">
        <f t="shared" si="190"/>
        <v>0.57193672790951011</v>
      </c>
      <c r="AC561" s="28">
        <f t="shared" si="191"/>
        <v>0.10964912280701754</v>
      </c>
      <c r="AD561" s="29">
        <f t="shared" si="192"/>
        <v>523.71916508538902</v>
      </c>
      <c r="AE561" s="28">
        <f t="shared" si="193"/>
        <v>0.10964912280701754</v>
      </c>
      <c r="AF561" s="28">
        <f t="shared" si="194"/>
        <v>0.46228760510249256</v>
      </c>
      <c r="AG561" s="28">
        <f t="shared" si="195"/>
        <v>0</v>
      </c>
      <c r="AI561" s="31">
        <f t="shared" si="196"/>
        <v>1.5524859185144093</v>
      </c>
      <c r="AJ561" s="25"/>
      <c r="AK561" s="31"/>
      <c r="AM561" s="27"/>
    </row>
    <row r="562" spans="4:39" x14ac:dyDescent="0.25">
      <c r="D562" s="25">
        <f>E562*'Profit per cycles Model'!$I$113</f>
        <v>5530</v>
      </c>
      <c r="E562" s="25">
        <v>15.148609779482262</v>
      </c>
      <c r="F562" s="28">
        <f t="shared" si="177"/>
        <v>0.18083182640144665</v>
      </c>
      <c r="G562" s="28">
        <f>'Battery Pricing Model'!$C$17/D562</f>
        <v>0.18083182640144665</v>
      </c>
      <c r="H562" s="28">
        <f t="shared" si="178"/>
        <v>999</v>
      </c>
      <c r="I562" s="28"/>
      <c r="J562" s="34">
        <f>INDEX('Profit per cycles Model'!$I$149:$I$179, MATCH(TRUNC(E562, 0), 'Profit per cycles Model'!$H$149:$H$179, 0))</f>
        <v>0.57193672790951011</v>
      </c>
      <c r="K562" s="27">
        <f>AVERAGE($AB$10:AB562)</f>
        <v>0.46260493413987414</v>
      </c>
      <c r="L562" s="28">
        <f t="shared" si="179"/>
        <v>0.28177310773842745</v>
      </c>
      <c r="M562" s="28">
        <f t="shared" si="180"/>
        <v>0.28177310773842745</v>
      </c>
      <c r="N562" s="28">
        <f t="shared" si="181"/>
        <v>999</v>
      </c>
      <c r="O562" s="28"/>
      <c r="P562" s="29">
        <f t="shared" si="197"/>
        <v>0.55300000000000038</v>
      </c>
      <c r="Q562" s="33">
        <f t="shared" si="182"/>
        <v>6.7114093959731544</v>
      </c>
      <c r="R562" s="33">
        <f t="shared" si="183"/>
        <v>6.7114093959731544</v>
      </c>
      <c r="S562" s="33">
        <f t="shared" si="184"/>
        <v>-1</v>
      </c>
      <c r="T562" s="27"/>
      <c r="U562" s="28">
        <f t="shared" si="185"/>
        <v>0.10964912280701754</v>
      </c>
      <c r="V562" s="25">
        <f t="shared" si="186"/>
        <v>999</v>
      </c>
      <c r="W562" s="35">
        <f t="shared" si="198"/>
        <v>25</v>
      </c>
      <c r="X562" s="33">
        <f t="shared" si="187"/>
        <v>25</v>
      </c>
      <c r="Y562" s="32">
        <f t="shared" si="188"/>
        <v>-1</v>
      </c>
      <c r="Z562" s="32"/>
      <c r="AA562" s="30">
        <f t="shared" si="189"/>
        <v>15.148609779482262</v>
      </c>
      <c r="AB562" s="28">
        <f t="shared" si="190"/>
        <v>0.57193672790951011</v>
      </c>
      <c r="AC562" s="28">
        <f t="shared" si="191"/>
        <v>0.10964912280701754</v>
      </c>
      <c r="AD562" s="29">
        <f t="shared" si="192"/>
        <v>524.66793168880452</v>
      </c>
      <c r="AE562" s="28">
        <f t="shared" si="193"/>
        <v>0.10964912280701754</v>
      </c>
      <c r="AF562" s="28">
        <f t="shared" si="194"/>
        <v>0.46228760510249256</v>
      </c>
      <c r="AG562" s="28">
        <f t="shared" si="195"/>
        <v>0</v>
      </c>
      <c r="AI562" s="31">
        <f t="shared" si="196"/>
        <v>1.5582052857935038</v>
      </c>
      <c r="AJ562" s="25"/>
      <c r="AK562" s="31"/>
      <c r="AM562" s="27"/>
    </row>
    <row r="563" spans="4:39" x14ac:dyDescent="0.25">
      <c r="D563" s="25">
        <f>E563*'Profit per cycles Model'!$I$113</f>
        <v>5540</v>
      </c>
      <c r="E563" s="25">
        <v>15.176003287220928</v>
      </c>
      <c r="F563" s="28">
        <f t="shared" si="177"/>
        <v>0.18050541516245489</v>
      </c>
      <c r="G563" s="28">
        <f>'Battery Pricing Model'!$C$17/D563</f>
        <v>0.18050541516245489</v>
      </c>
      <c r="H563" s="28">
        <f t="shared" si="178"/>
        <v>999</v>
      </c>
      <c r="I563" s="28"/>
      <c r="J563" s="34">
        <f>INDEX('Profit per cycles Model'!$I$149:$I$179, MATCH(TRUNC(E563, 0), 'Profit per cycles Model'!$H$149:$H$179, 0))</f>
        <v>0.57193672790951011</v>
      </c>
      <c r="K563" s="27">
        <f>AVERAGE($AB$10:AB563)</f>
        <v>0.46280228394812256</v>
      </c>
      <c r="L563" s="28">
        <f t="shared" si="179"/>
        <v>0.28229686878566768</v>
      </c>
      <c r="M563" s="28">
        <f t="shared" si="180"/>
        <v>0.28229686878566768</v>
      </c>
      <c r="N563" s="28">
        <f t="shared" si="181"/>
        <v>999</v>
      </c>
      <c r="O563" s="28"/>
      <c r="P563" s="29">
        <f t="shared" si="197"/>
        <v>0.55400000000000038</v>
      </c>
      <c r="Q563" s="33">
        <f t="shared" si="182"/>
        <v>6.7114093959731544</v>
      </c>
      <c r="R563" s="33">
        <f t="shared" si="183"/>
        <v>6.7114093959731544</v>
      </c>
      <c r="S563" s="33">
        <f t="shared" si="184"/>
        <v>-1</v>
      </c>
      <c r="T563" s="27"/>
      <c r="U563" s="28">
        <f t="shared" si="185"/>
        <v>0.10964912280701754</v>
      </c>
      <c r="V563" s="25">
        <f t="shared" si="186"/>
        <v>999</v>
      </c>
      <c r="W563" s="35">
        <f t="shared" si="198"/>
        <v>25</v>
      </c>
      <c r="X563" s="33">
        <f t="shared" si="187"/>
        <v>25</v>
      </c>
      <c r="Y563" s="32">
        <f t="shared" si="188"/>
        <v>-1</v>
      </c>
      <c r="Z563" s="32"/>
      <c r="AA563" s="30">
        <f t="shared" si="189"/>
        <v>15.176003287220928</v>
      </c>
      <c r="AB563" s="28">
        <f t="shared" si="190"/>
        <v>0.57193672790951011</v>
      </c>
      <c r="AC563" s="28">
        <f t="shared" si="191"/>
        <v>0.10964912280701754</v>
      </c>
      <c r="AD563" s="29">
        <f t="shared" si="192"/>
        <v>525.61669829222012</v>
      </c>
      <c r="AE563" s="28">
        <f t="shared" si="193"/>
        <v>0.10964912280701754</v>
      </c>
      <c r="AF563" s="28">
        <f t="shared" si="194"/>
        <v>0.46228760510249256</v>
      </c>
      <c r="AG563" s="28">
        <f t="shared" si="195"/>
        <v>0</v>
      </c>
      <c r="AI563" s="31">
        <f t="shared" si="196"/>
        <v>1.5639246530725988</v>
      </c>
      <c r="AJ563" s="25"/>
      <c r="AK563" s="31"/>
      <c r="AM563" s="27"/>
    </row>
    <row r="564" spans="4:39" x14ac:dyDescent="0.25">
      <c r="D564" s="25">
        <f>E564*'Profit per cycles Model'!$I$113</f>
        <v>5550</v>
      </c>
      <c r="E564" s="25">
        <v>15.203396794959595</v>
      </c>
      <c r="F564" s="28">
        <f t="shared" si="177"/>
        <v>0.18018018018018017</v>
      </c>
      <c r="G564" s="28">
        <f>'Battery Pricing Model'!$C$17/D564</f>
        <v>0.18018018018018017</v>
      </c>
      <c r="H564" s="28">
        <f t="shared" si="178"/>
        <v>999</v>
      </c>
      <c r="I564" s="28"/>
      <c r="J564" s="34">
        <f>INDEX('Profit per cycles Model'!$I$149:$I$179, MATCH(TRUNC(E564, 0), 'Profit per cycles Model'!$H$149:$H$179, 0))</f>
        <v>0.57193672790951011</v>
      </c>
      <c r="K564" s="27">
        <f>AVERAGE($AB$10:AB564)</f>
        <v>0.46299892258589087</v>
      </c>
      <c r="L564" s="28">
        <f t="shared" si="179"/>
        <v>0.2828187424057107</v>
      </c>
      <c r="M564" s="28">
        <f t="shared" si="180"/>
        <v>0.2828187424057107</v>
      </c>
      <c r="N564" s="28">
        <f t="shared" si="181"/>
        <v>999</v>
      </c>
      <c r="O564" s="28"/>
      <c r="P564" s="29">
        <f t="shared" si="197"/>
        <v>0.55500000000000038</v>
      </c>
      <c r="Q564" s="33">
        <f t="shared" si="182"/>
        <v>6.7114093959731544</v>
      </c>
      <c r="R564" s="33">
        <f t="shared" si="183"/>
        <v>6.7114093959731544</v>
      </c>
      <c r="S564" s="33">
        <f t="shared" si="184"/>
        <v>-1</v>
      </c>
      <c r="T564" s="27"/>
      <c r="U564" s="28">
        <f t="shared" si="185"/>
        <v>0.10964912280701754</v>
      </c>
      <c r="V564" s="25">
        <f t="shared" si="186"/>
        <v>999</v>
      </c>
      <c r="W564" s="35">
        <f t="shared" si="198"/>
        <v>25</v>
      </c>
      <c r="X564" s="33">
        <f t="shared" si="187"/>
        <v>25</v>
      </c>
      <c r="Y564" s="32">
        <f t="shared" si="188"/>
        <v>-1</v>
      </c>
      <c r="Z564" s="32"/>
      <c r="AA564" s="30">
        <f t="shared" si="189"/>
        <v>15.203396794959595</v>
      </c>
      <c r="AB564" s="28">
        <f t="shared" si="190"/>
        <v>0.57193672790951011</v>
      </c>
      <c r="AC564" s="28">
        <f t="shared" si="191"/>
        <v>0.10964912280701754</v>
      </c>
      <c r="AD564" s="29">
        <f t="shared" si="192"/>
        <v>526.56546489563573</v>
      </c>
      <c r="AE564" s="28">
        <f t="shared" si="193"/>
        <v>0.10964912280701754</v>
      </c>
      <c r="AF564" s="28">
        <f t="shared" si="194"/>
        <v>0.46228760510249256</v>
      </c>
      <c r="AG564" s="28">
        <f t="shared" si="195"/>
        <v>0</v>
      </c>
      <c r="AI564" s="31">
        <f t="shared" si="196"/>
        <v>1.5696440203516944</v>
      </c>
      <c r="AJ564" s="25"/>
      <c r="AK564" s="31"/>
      <c r="AM564" s="27"/>
    </row>
    <row r="565" spans="4:39" x14ac:dyDescent="0.25">
      <c r="D565" s="25">
        <f>E565*'Profit per cycles Model'!$I$113</f>
        <v>5560</v>
      </c>
      <c r="E565" s="25">
        <v>15.23079030269826</v>
      </c>
      <c r="F565" s="28">
        <f t="shared" si="177"/>
        <v>0.17985611510791366</v>
      </c>
      <c r="G565" s="28">
        <f>'Battery Pricing Model'!$C$17/D565</f>
        <v>0.17985611510791366</v>
      </c>
      <c r="H565" s="28">
        <f t="shared" si="178"/>
        <v>999</v>
      </c>
      <c r="I565" s="28"/>
      <c r="J565" s="34">
        <f>INDEX('Profit per cycles Model'!$I$149:$I$179, MATCH(TRUNC(E565, 0), 'Profit per cycles Model'!$H$149:$H$179, 0))</f>
        <v>0.57193672790951011</v>
      </c>
      <c r="K565" s="27">
        <f>AVERAGE($AB$10:AB565)</f>
        <v>0.4631948538904298</v>
      </c>
      <c r="L565" s="28">
        <f t="shared" si="179"/>
        <v>0.28333873878251614</v>
      </c>
      <c r="M565" s="28">
        <f t="shared" si="180"/>
        <v>0.28333873878251614</v>
      </c>
      <c r="N565" s="28">
        <f t="shared" si="181"/>
        <v>999</v>
      </c>
      <c r="O565" s="28"/>
      <c r="P565" s="29">
        <f t="shared" si="197"/>
        <v>0.55600000000000038</v>
      </c>
      <c r="Q565" s="33">
        <f t="shared" si="182"/>
        <v>6.7114093959731544</v>
      </c>
      <c r="R565" s="33">
        <f t="shared" si="183"/>
        <v>6.7114093959731544</v>
      </c>
      <c r="S565" s="33">
        <f t="shared" si="184"/>
        <v>-1</v>
      </c>
      <c r="T565" s="27"/>
      <c r="U565" s="28">
        <f t="shared" si="185"/>
        <v>0.10964912280701754</v>
      </c>
      <c r="V565" s="25">
        <f t="shared" si="186"/>
        <v>999</v>
      </c>
      <c r="W565" s="35">
        <f t="shared" si="198"/>
        <v>25</v>
      </c>
      <c r="X565" s="33">
        <f t="shared" si="187"/>
        <v>25</v>
      </c>
      <c r="Y565" s="32">
        <f t="shared" si="188"/>
        <v>-1</v>
      </c>
      <c r="Z565" s="32"/>
      <c r="AA565" s="30">
        <f t="shared" si="189"/>
        <v>15.23079030269826</v>
      </c>
      <c r="AB565" s="28">
        <f t="shared" si="190"/>
        <v>0.57193672790951011</v>
      </c>
      <c r="AC565" s="28">
        <f t="shared" si="191"/>
        <v>0.10964912280701754</v>
      </c>
      <c r="AD565" s="29">
        <f t="shared" si="192"/>
        <v>527.51423149905122</v>
      </c>
      <c r="AE565" s="28">
        <f t="shared" si="193"/>
        <v>0.10964912280701754</v>
      </c>
      <c r="AF565" s="28">
        <f t="shared" si="194"/>
        <v>0.46228760510249256</v>
      </c>
      <c r="AG565" s="28">
        <f t="shared" si="195"/>
        <v>0</v>
      </c>
      <c r="AI565" s="31">
        <f t="shared" si="196"/>
        <v>1.5753633876307898</v>
      </c>
      <c r="AJ565" s="25"/>
      <c r="AK565" s="31"/>
      <c r="AM565" s="27"/>
    </row>
    <row r="566" spans="4:39" x14ac:dyDescent="0.25">
      <c r="D566" s="25">
        <f>E566*'Profit per cycles Model'!$I$113</f>
        <v>5570</v>
      </c>
      <c r="E566" s="25">
        <v>15.258183810436925</v>
      </c>
      <c r="F566" s="28">
        <f t="shared" si="177"/>
        <v>0.17953321364452424</v>
      </c>
      <c r="G566" s="28">
        <f>'Battery Pricing Model'!$C$17/D566</f>
        <v>0.17953321364452424</v>
      </c>
      <c r="H566" s="28">
        <f t="shared" si="178"/>
        <v>999</v>
      </c>
      <c r="I566" s="28"/>
      <c r="J566" s="34">
        <f>INDEX('Profit per cycles Model'!$I$149:$I$179, MATCH(TRUNC(E566, 0), 'Profit per cycles Model'!$H$149:$H$179, 0))</f>
        <v>0.57193672790951011</v>
      </c>
      <c r="K566" s="27">
        <f>AVERAGE($AB$10:AB566)</f>
        <v>0.46339008167143353</v>
      </c>
      <c r="L566" s="28">
        <f t="shared" si="179"/>
        <v>0.28385686802690929</v>
      </c>
      <c r="M566" s="28">
        <f t="shared" si="180"/>
        <v>0.28385686802690929</v>
      </c>
      <c r="N566" s="28">
        <f t="shared" si="181"/>
        <v>999</v>
      </c>
      <c r="O566" s="28"/>
      <c r="P566" s="29">
        <f t="shared" si="197"/>
        <v>0.55700000000000038</v>
      </c>
      <c r="Q566" s="33">
        <f t="shared" si="182"/>
        <v>6.7114093959731544</v>
      </c>
      <c r="R566" s="33">
        <f t="shared" si="183"/>
        <v>6.7114093959731544</v>
      </c>
      <c r="S566" s="33">
        <f t="shared" si="184"/>
        <v>-1</v>
      </c>
      <c r="T566" s="27"/>
      <c r="U566" s="28">
        <f t="shared" si="185"/>
        <v>0.10964912280701754</v>
      </c>
      <c r="V566" s="25">
        <f t="shared" si="186"/>
        <v>999</v>
      </c>
      <c r="W566" s="35">
        <f t="shared" si="198"/>
        <v>25</v>
      </c>
      <c r="X566" s="33">
        <f t="shared" si="187"/>
        <v>25</v>
      </c>
      <c r="Y566" s="32">
        <f t="shared" si="188"/>
        <v>-1</v>
      </c>
      <c r="Z566" s="32"/>
      <c r="AA566" s="30">
        <f t="shared" si="189"/>
        <v>15.258183810436925</v>
      </c>
      <c r="AB566" s="28">
        <f t="shared" si="190"/>
        <v>0.57193672790951011</v>
      </c>
      <c r="AC566" s="28">
        <f t="shared" si="191"/>
        <v>0.10964912280701754</v>
      </c>
      <c r="AD566" s="29">
        <f t="shared" si="192"/>
        <v>528.46299810246683</v>
      </c>
      <c r="AE566" s="28">
        <f t="shared" si="193"/>
        <v>0.10964912280701754</v>
      </c>
      <c r="AF566" s="28">
        <f t="shared" si="194"/>
        <v>0.46228760510249256</v>
      </c>
      <c r="AG566" s="28">
        <f t="shared" si="195"/>
        <v>0</v>
      </c>
      <c r="AI566" s="31">
        <f t="shared" si="196"/>
        <v>1.5810827549098847</v>
      </c>
      <c r="AJ566" s="25"/>
      <c r="AK566" s="31"/>
      <c r="AM566" s="27"/>
    </row>
    <row r="567" spans="4:39" x14ac:dyDescent="0.25">
      <c r="D567" s="25">
        <f>E567*'Profit per cycles Model'!$I$113</f>
        <v>5580</v>
      </c>
      <c r="E567" s="25">
        <v>15.285577318175593</v>
      </c>
      <c r="F567" s="28">
        <f t="shared" si="177"/>
        <v>0.17921146953405018</v>
      </c>
      <c r="G567" s="28">
        <f>'Battery Pricing Model'!$C$17/D567</f>
        <v>0.17921146953405018</v>
      </c>
      <c r="H567" s="28">
        <f t="shared" si="178"/>
        <v>999</v>
      </c>
      <c r="I567" s="28"/>
      <c r="J567" s="34">
        <f>INDEX('Profit per cycles Model'!$I$149:$I$179, MATCH(TRUNC(E567, 0), 'Profit per cycles Model'!$H$149:$H$179, 0))</f>
        <v>0.57193672790951011</v>
      </c>
      <c r="K567" s="27">
        <f>AVERAGE($AB$10:AB567)</f>
        <v>0.46358460971128679</v>
      </c>
      <c r="L567" s="28">
        <f t="shared" si="179"/>
        <v>0.28437314017723658</v>
      </c>
      <c r="M567" s="28">
        <f t="shared" si="180"/>
        <v>0.28437314017723658</v>
      </c>
      <c r="N567" s="28">
        <f t="shared" si="181"/>
        <v>999</v>
      </c>
      <c r="O567" s="28"/>
      <c r="P567" s="29">
        <f t="shared" si="197"/>
        <v>0.55800000000000038</v>
      </c>
      <c r="Q567" s="33">
        <f t="shared" si="182"/>
        <v>6.7114093959731544</v>
      </c>
      <c r="R567" s="33">
        <f t="shared" si="183"/>
        <v>6.7114093959731544</v>
      </c>
      <c r="S567" s="33">
        <f t="shared" si="184"/>
        <v>-1</v>
      </c>
      <c r="T567" s="27"/>
      <c r="U567" s="28">
        <f t="shared" si="185"/>
        <v>0.10964912280701754</v>
      </c>
      <c r="V567" s="25">
        <f t="shared" si="186"/>
        <v>999</v>
      </c>
      <c r="W567" s="35">
        <f t="shared" si="198"/>
        <v>25</v>
      </c>
      <c r="X567" s="33">
        <f t="shared" si="187"/>
        <v>25</v>
      </c>
      <c r="Y567" s="32">
        <f t="shared" si="188"/>
        <v>-1</v>
      </c>
      <c r="Z567" s="32"/>
      <c r="AA567" s="30">
        <f t="shared" si="189"/>
        <v>15.285577318175593</v>
      </c>
      <c r="AB567" s="28">
        <f t="shared" si="190"/>
        <v>0.57193672790951011</v>
      </c>
      <c r="AC567" s="28">
        <f t="shared" si="191"/>
        <v>0.10964912280701754</v>
      </c>
      <c r="AD567" s="29">
        <f t="shared" si="192"/>
        <v>529.41176470588232</v>
      </c>
      <c r="AE567" s="28">
        <f t="shared" si="193"/>
        <v>0.10964912280701754</v>
      </c>
      <c r="AF567" s="28">
        <f t="shared" si="194"/>
        <v>0.46228760510249256</v>
      </c>
      <c r="AG567" s="28">
        <f t="shared" si="195"/>
        <v>0</v>
      </c>
      <c r="AI567" s="31">
        <f t="shared" si="196"/>
        <v>1.5868021221889801</v>
      </c>
      <c r="AJ567" s="25"/>
      <c r="AK567" s="31"/>
      <c r="AM567" s="27"/>
    </row>
    <row r="568" spans="4:39" x14ac:dyDescent="0.25">
      <c r="D568" s="25">
        <f>E568*'Profit per cycles Model'!$I$113</f>
        <v>5590</v>
      </c>
      <c r="E568" s="25">
        <v>15.312970825914258</v>
      </c>
      <c r="F568" s="28">
        <f t="shared" si="177"/>
        <v>0.17889087656529518</v>
      </c>
      <c r="G568" s="28">
        <f>'Battery Pricing Model'!$C$17/D568</f>
        <v>0.17889087656529518</v>
      </c>
      <c r="H568" s="28">
        <f t="shared" si="178"/>
        <v>999</v>
      </c>
      <c r="I568" s="28"/>
      <c r="J568" s="34">
        <f>INDEX('Profit per cycles Model'!$I$149:$I$179, MATCH(TRUNC(E568, 0), 'Profit per cycles Model'!$H$149:$H$179, 0))</f>
        <v>0.57193672790951011</v>
      </c>
      <c r="K568" s="27">
        <f>AVERAGE($AB$10:AB568)</f>
        <v>0.46377844176530869</v>
      </c>
      <c r="L568" s="28">
        <f t="shared" si="179"/>
        <v>0.28488756520001352</v>
      </c>
      <c r="M568" s="28">
        <f t="shared" si="180"/>
        <v>0.28488756520001352</v>
      </c>
      <c r="N568" s="28">
        <f t="shared" si="181"/>
        <v>999</v>
      </c>
      <c r="O568" s="28"/>
      <c r="P568" s="29">
        <f t="shared" si="197"/>
        <v>0.55900000000000039</v>
      </c>
      <c r="Q568" s="33">
        <f t="shared" si="182"/>
        <v>6.7114093959731544</v>
      </c>
      <c r="R568" s="33">
        <f t="shared" si="183"/>
        <v>6.7114093959731544</v>
      </c>
      <c r="S568" s="33">
        <f t="shared" si="184"/>
        <v>-1</v>
      </c>
      <c r="T568" s="27"/>
      <c r="U568" s="28">
        <f t="shared" si="185"/>
        <v>0.10964912280701754</v>
      </c>
      <c r="V568" s="25">
        <f t="shared" si="186"/>
        <v>999</v>
      </c>
      <c r="W568" s="35">
        <f t="shared" si="198"/>
        <v>25</v>
      </c>
      <c r="X568" s="33">
        <f t="shared" si="187"/>
        <v>25</v>
      </c>
      <c r="Y568" s="32">
        <f t="shared" si="188"/>
        <v>-1</v>
      </c>
      <c r="Z568" s="32"/>
      <c r="AA568" s="30">
        <f t="shared" si="189"/>
        <v>15.312970825914258</v>
      </c>
      <c r="AB568" s="28">
        <f t="shared" si="190"/>
        <v>0.57193672790951011</v>
      </c>
      <c r="AC568" s="28">
        <f t="shared" si="191"/>
        <v>0.10964912280701754</v>
      </c>
      <c r="AD568" s="29">
        <f t="shared" si="192"/>
        <v>530.36053130929793</v>
      </c>
      <c r="AE568" s="28">
        <f t="shared" si="193"/>
        <v>0.10964912280701754</v>
      </c>
      <c r="AF568" s="28">
        <f t="shared" si="194"/>
        <v>0.46228760510249256</v>
      </c>
      <c r="AG568" s="28">
        <f t="shared" si="195"/>
        <v>0</v>
      </c>
      <c r="AI568" s="31">
        <f t="shared" si="196"/>
        <v>1.5925214894680755</v>
      </c>
      <c r="AJ568" s="25"/>
      <c r="AK568" s="31"/>
      <c r="AM568" s="27"/>
    </row>
    <row r="569" spans="4:39" x14ac:dyDescent="0.25">
      <c r="D569" s="25">
        <f>E569*'Profit per cycles Model'!$I$113</f>
        <v>5600</v>
      </c>
      <c r="E569" s="25">
        <v>15.340364333652923</v>
      </c>
      <c r="F569" s="28">
        <f t="shared" si="177"/>
        <v>0.17857142857142858</v>
      </c>
      <c r="G569" s="28">
        <f>'Battery Pricing Model'!$C$17/D569</f>
        <v>0.17857142857142858</v>
      </c>
      <c r="H569" s="28">
        <f t="shared" si="178"/>
        <v>999</v>
      </c>
      <c r="I569" s="28"/>
      <c r="J569" s="34">
        <f>INDEX('Profit per cycles Model'!$I$149:$I$179, MATCH(TRUNC(E569, 0), 'Profit per cycles Model'!$H$149:$H$179, 0))</f>
        <v>0.57193672790951011</v>
      </c>
      <c r="K569" s="27">
        <f>AVERAGE($AB$10:AB569)</f>
        <v>0.46397158156199481</v>
      </c>
      <c r="L569" s="28">
        <f t="shared" si="179"/>
        <v>0.2854001529905662</v>
      </c>
      <c r="M569" s="28">
        <f t="shared" si="180"/>
        <v>0.2854001529905662</v>
      </c>
      <c r="N569" s="28">
        <f t="shared" si="181"/>
        <v>999</v>
      </c>
      <c r="O569" s="28"/>
      <c r="P569" s="29">
        <f t="shared" si="197"/>
        <v>0.56000000000000039</v>
      </c>
      <c r="Q569" s="33">
        <f t="shared" si="182"/>
        <v>6.7114093959731544</v>
      </c>
      <c r="R569" s="33">
        <f t="shared" si="183"/>
        <v>6.7114093959731544</v>
      </c>
      <c r="S569" s="33">
        <f t="shared" si="184"/>
        <v>-1</v>
      </c>
      <c r="T569" s="27"/>
      <c r="U569" s="28">
        <f t="shared" si="185"/>
        <v>0.10964912280701754</v>
      </c>
      <c r="V569" s="25">
        <f t="shared" si="186"/>
        <v>999</v>
      </c>
      <c r="W569" s="35">
        <f t="shared" si="198"/>
        <v>25</v>
      </c>
      <c r="X569" s="33">
        <f t="shared" si="187"/>
        <v>25</v>
      </c>
      <c r="Y569" s="32">
        <f t="shared" si="188"/>
        <v>-1</v>
      </c>
      <c r="Z569" s="32"/>
      <c r="AA569" s="30">
        <f t="shared" si="189"/>
        <v>15.340364333652923</v>
      </c>
      <c r="AB569" s="28">
        <f t="shared" si="190"/>
        <v>0.57193672790951011</v>
      </c>
      <c r="AC569" s="28">
        <f t="shared" si="191"/>
        <v>0.10964912280701754</v>
      </c>
      <c r="AD569" s="29">
        <f t="shared" si="192"/>
        <v>531.30929791271353</v>
      </c>
      <c r="AE569" s="28">
        <f t="shared" si="193"/>
        <v>0.10964912280701754</v>
      </c>
      <c r="AF569" s="28">
        <f t="shared" si="194"/>
        <v>0.46228760510249256</v>
      </c>
      <c r="AG569" s="28">
        <f t="shared" si="195"/>
        <v>0</v>
      </c>
      <c r="AI569" s="31">
        <f t="shared" si="196"/>
        <v>1.5982408567471706</v>
      </c>
      <c r="AJ569" s="25"/>
      <c r="AK569" s="31"/>
      <c r="AM569" s="27"/>
    </row>
    <row r="570" spans="4:39" x14ac:dyDescent="0.25">
      <c r="D570" s="25">
        <f>E570*'Profit per cycles Model'!$I$113</f>
        <v>5610</v>
      </c>
      <c r="E570" s="25">
        <v>15.36775784139159</v>
      </c>
      <c r="F570" s="28">
        <f t="shared" si="177"/>
        <v>0.17825311942959002</v>
      </c>
      <c r="G570" s="28">
        <f>'Battery Pricing Model'!$C$17/D570</f>
        <v>0.17825311942959002</v>
      </c>
      <c r="H570" s="28">
        <f t="shared" si="178"/>
        <v>999</v>
      </c>
      <c r="I570" s="28"/>
      <c r="J570" s="34">
        <f>INDEX('Profit per cycles Model'!$I$149:$I$179, MATCH(TRUNC(E570, 0), 'Profit per cycles Model'!$H$149:$H$179, 0))</f>
        <v>0.57193672790951011</v>
      </c>
      <c r="K570" s="27">
        <f>AVERAGE($AB$10:AB570)</f>
        <v>0.46416403280325602</v>
      </c>
      <c r="L570" s="28">
        <f t="shared" si="179"/>
        <v>0.28591091337366603</v>
      </c>
      <c r="M570" s="28">
        <f t="shared" si="180"/>
        <v>0.28591091337366603</v>
      </c>
      <c r="N570" s="28">
        <f t="shared" si="181"/>
        <v>999</v>
      </c>
      <c r="O570" s="28"/>
      <c r="P570" s="29">
        <f t="shared" si="197"/>
        <v>0.56100000000000039</v>
      </c>
      <c r="Q570" s="33">
        <f t="shared" si="182"/>
        <v>6.7114093959731544</v>
      </c>
      <c r="R570" s="33">
        <f t="shared" si="183"/>
        <v>6.7114093959731544</v>
      </c>
      <c r="S570" s="33">
        <f t="shared" si="184"/>
        <v>-1</v>
      </c>
      <c r="T570" s="27"/>
      <c r="U570" s="28">
        <f t="shared" si="185"/>
        <v>0.10964912280701754</v>
      </c>
      <c r="V570" s="25">
        <f t="shared" si="186"/>
        <v>999</v>
      </c>
      <c r="W570" s="35">
        <f t="shared" si="198"/>
        <v>25</v>
      </c>
      <c r="X570" s="33">
        <f t="shared" si="187"/>
        <v>25</v>
      </c>
      <c r="Y570" s="32">
        <f t="shared" si="188"/>
        <v>-1</v>
      </c>
      <c r="Z570" s="32"/>
      <c r="AA570" s="30">
        <f t="shared" si="189"/>
        <v>15.36775784139159</v>
      </c>
      <c r="AB570" s="28">
        <f t="shared" si="190"/>
        <v>0.57193672790951011</v>
      </c>
      <c r="AC570" s="28">
        <f t="shared" si="191"/>
        <v>0.10964912280701754</v>
      </c>
      <c r="AD570" s="29">
        <f t="shared" si="192"/>
        <v>532.25806451612902</v>
      </c>
      <c r="AE570" s="28">
        <f t="shared" si="193"/>
        <v>0.10964912280701754</v>
      </c>
      <c r="AF570" s="28">
        <f t="shared" si="194"/>
        <v>0.46228760510249256</v>
      </c>
      <c r="AG570" s="28">
        <f t="shared" si="195"/>
        <v>0</v>
      </c>
      <c r="AI570" s="31">
        <f t="shared" si="196"/>
        <v>1.6039602240262665</v>
      </c>
      <c r="AJ570" s="25"/>
      <c r="AK570" s="31"/>
      <c r="AM570" s="27"/>
    </row>
    <row r="571" spans="4:39" x14ac:dyDescent="0.25">
      <c r="D571" s="25">
        <f>E571*'Profit per cycles Model'!$I$113</f>
        <v>5620</v>
      </c>
      <c r="E571" s="25">
        <v>15.395151349130256</v>
      </c>
      <c r="F571" s="28">
        <f t="shared" si="177"/>
        <v>0.17793594306049823</v>
      </c>
      <c r="G571" s="28">
        <f>'Battery Pricing Model'!$C$17/D571</f>
        <v>0.17793594306049823</v>
      </c>
      <c r="H571" s="28">
        <f t="shared" si="178"/>
        <v>999</v>
      </c>
      <c r="I571" s="28"/>
      <c r="J571" s="34">
        <f>INDEX('Profit per cycles Model'!$I$149:$I$179, MATCH(TRUNC(E571, 0), 'Profit per cycles Model'!$H$149:$H$179, 0))</f>
        <v>0.57193672790951011</v>
      </c>
      <c r="K571" s="27">
        <f>AVERAGE($AB$10:AB571)</f>
        <v>0.46435579916465508</v>
      </c>
      <c r="L571" s="28">
        <f t="shared" si="179"/>
        <v>0.28641985610415688</v>
      </c>
      <c r="M571" s="28">
        <f t="shared" si="180"/>
        <v>0.28641985610415688</v>
      </c>
      <c r="N571" s="28">
        <f t="shared" si="181"/>
        <v>999</v>
      </c>
      <c r="O571" s="28"/>
      <c r="P571" s="29">
        <f t="shared" si="197"/>
        <v>0.56200000000000039</v>
      </c>
      <c r="Q571" s="33">
        <f t="shared" si="182"/>
        <v>6.7114093959731544</v>
      </c>
      <c r="R571" s="33">
        <f t="shared" si="183"/>
        <v>6.7114093959731544</v>
      </c>
      <c r="S571" s="33">
        <f t="shared" si="184"/>
        <v>-1</v>
      </c>
      <c r="T571" s="27"/>
      <c r="U571" s="28">
        <f t="shared" si="185"/>
        <v>0.10964912280701754</v>
      </c>
      <c r="V571" s="25">
        <f t="shared" si="186"/>
        <v>999</v>
      </c>
      <c r="W571" s="35">
        <f t="shared" si="198"/>
        <v>25</v>
      </c>
      <c r="X571" s="33">
        <f t="shared" si="187"/>
        <v>25</v>
      </c>
      <c r="Y571" s="32">
        <f t="shared" si="188"/>
        <v>-1</v>
      </c>
      <c r="Z571" s="32"/>
      <c r="AA571" s="30">
        <f t="shared" si="189"/>
        <v>15.395151349130256</v>
      </c>
      <c r="AB571" s="28">
        <f t="shared" si="190"/>
        <v>0.57193672790951011</v>
      </c>
      <c r="AC571" s="28">
        <f t="shared" si="191"/>
        <v>0.10964912280701754</v>
      </c>
      <c r="AD571" s="29">
        <f t="shared" si="192"/>
        <v>533.20683111954463</v>
      </c>
      <c r="AE571" s="28">
        <f t="shared" si="193"/>
        <v>0.10964912280701754</v>
      </c>
      <c r="AF571" s="28">
        <f t="shared" si="194"/>
        <v>0.46228760510249256</v>
      </c>
      <c r="AG571" s="28">
        <f t="shared" si="195"/>
        <v>0</v>
      </c>
      <c r="AI571" s="31">
        <f t="shared" si="196"/>
        <v>1.6096795913053616</v>
      </c>
      <c r="AJ571" s="25"/>
      <c r="AK571" s="31"/>
      <c r="AM571" s="27"/>
    </row>
    <row r="572" spans="4:39" x14ac:dyDescent="0.25">
      <c r="D572" s="25">
        <f>E572*'Profit per cycles Model'!$I$113</f>
        <v>5630</v>
      </c>
      <c r="E572" s="25">
        <v>15.422544856868921</v>
      </c>
      <c r="F572" s="28">
        <f t="shared" si="177"/>
        <v>0.17761989342806395</v>
      </c>
      <c r="G572" s="28">
        <f>'Battery Pricing Model'!$C$17/D572</f>
        <v>0.17761989342806395</v>
      </c>
      <c r="H572" s="28">
        <f t="shared" si="178"/>
        <v>999</v>
      </c>
      <c r="I572" s="28"/>
      <c r="J572" s="34">
        <f>INDEX('Profit per cycles Model'!$I$149:$I$179, MATCH(TRUNC(E572, 0), 'Profit per cycles Model'!$H$149:$H$179, 0))</f>
        <v>0.57193672790951011</v>
      </c>
      <c r="K572" s="27">
        <f>AVERAGE($AB$10:AB572)</f>
        <v>0.46454688429564062</v>
      </c>
      <c r="L572" s="28">
        <f t="shared" si="179"/>
        <v>0.28692699086757667</v>
      </c>
      <c r="M572" s="28">
        <f t="shared" si="180"/>
        <v>0.28692699086757667</v>
      </c>
      <c r="N572" s="28">
        <f t="shared" si="181"/>
        <v>999</v>
      </c>
      <c r="O572" s="28"/>
      <c r="P572" s="29">
        <f t="shared" si="197"/>
        <v>0.56300000000000039</v>
      </c>
      <c r="Q572" s="33">
        <f t="shared" si="182"/>
        <v>6.7114093959731544</v>
      </c>
      <c r="R572" s="33">
        <f t="shared" si="183"/>
        <v>6.7114093959731544</v>
      </c>
      <c r="S572" s="33">
        <f t="shared" si="184"/>
        <v>-1</v>
      </c>
      <c r="T572" s="27"/>
      <c r="U572" s="28">
        <f t="shared" si="185"/>
        <v>0.10964912280701754</v>
      </c>
      <c r="V572" s="25">
        <f t="shared" si="186"/>
        <v>999</v>
      </c>
      <c r="W572" s="35">
        <f t="shared" si="198"/>
        <v>25</v>
      </c>
      <c r="X572" s="33">
        <f t="shared" si="187"/>
        <v>25</v>
      </c>
      <c r="Y572" s="32">
        <f t="shared" si="188"/>
        <v>-1</v>
      </c>
      <c r="Z572" s="32"/>
      <c r="AA572" s="30">
        <f t="shared" si="189"/>
        <v>15.422544856868921</v>
      </c>
      <c r="AB572" s="28">
        <f t="shared" si="190"/>
        <v>0.57193672790951011</v>
      </c>
      <c r="AC572" s="28">
        <f t="shared" si="191"/>
        <v>0.10964912280701754</v>
      </c>
      <c r="AD572" s="29">
        <f t="shared" si="192"/>
        <v>534.15559772296012</v>
      </c>
      <c r="AE572" s="28">
        <f t="shared" si="193"/>
        <v>0.10964912280701754</v>
      </c>
      <c r="AF572" s="28">
        <f t="shared" si="194"/>
        <v>0.46228760510249256</v>
      </c>
      <c r="AG572" s="28">
        <f t="shared" si="195"/>
        <v>0</v>
      </c>
      <c r="AI572" s="31">
        <f t="shared" si="196"/>
        <v>1.6153989585844566</v>
      </c>
      <c r="AJ572" s="25"/>
      <c r="AK572" s="31"/>
      <c r="AM572" s="27"/>
    </row>
    <row r="573" spans="4:39" x14ac:dyDescent="0.25">
      <c r="D573" s="25">
        <f>E573*'Profit per cycles Model'!$I$113</f>
        <v>5640</v>
      </c>
      <c r="E573" s="25">
        <v>15.449938364607588</v>
      </c>
      <c r="F573" s="28">
        <f t="shared" si="177"/>
        <v>0.1773049645390071</v>
      </c>
      <c r="G573" s="28">
        <f>'Battery Pricing Model'!$C$17/D573</f>
        <v>0.1773049645390071</v>
      </c>
      <c r="H573" s="28">
        <f t="shared" si="178"/>
        <v>999</v>
      </c>
      <c r="I573" s="28"/>
      <c r="J573" s="34">
        <f>INDEX('Profit per cycles Model'!$I$149:$I$179, MATCH(TRUNC(E573, 0), 'Profit per cycles Model'!$H$149:$H$179, 0))</f>
        <v>0.57193672790951011</v>
      </c>
      <c r="K573" s="27">
        <f>AVERAGE($AB$10:AB573)</f>
        <v>0.46473729181977874</v>
      </c>
      <c r="L573" s="28">
        <f t="shared" si="179"/>
        <v>0.28743232728077162</v>
      </c>
      <c r="M573" s="28">
        <f t="shared" si="180"/>
        <v>0.28743232728077162</v>
      </c>
      <c r="N573" s="28">
        <f t="shared" si="181"/>
        <v>999</v>
      </c>
      <c r="O573" s="28"/>
      <c r="P573" s="29">
        <f t="shared" si="197"/>
        <v>0.56400000000000039</v>
      </c>
      <c r="Q573" s="33">
        <f t="shared" si="182"/>
        <v>6.7114093959731544</v>
      </c>
      <c r="R573" s="33">
        <f t="shared" si="183"/>
        <v>6.7114093959731544</v>
      </c>
      <c r="S573" s="33">
        <f t="shared" si="184"/>
        <v>-1</v>
      </c>
      <c r="T573" s="27"/>
      <c r="U573" s="28">
        <f t="shared" si="185"/>
        <v>0.10964912280701754</v>
      </c>
      <c r="V573" s="25">
        <f t="shared" si="186"/>
        <v>999</v>
      </c>
      <c r="W573" s="35">
        <f t="shared" si="198"/>
        <v>25</v>
      </c>
      <c r="X573" s="33">
        <f t="shared" si="187"/>
        <v>25</v>
      </c>
      <c r="Y573" s="32">
        <f t="shared" si="188"/>
        <v>-1</v>
      </c>
      <c r="Z573" s="32"/>
      <c r="AA573" s="30">
        <f t="shared" si="189"/>
        <v>15.449938364607588</v>
      </c>
      <c r="AB573" s="28">
        <f t="shared" si="190"/>
        <v>0.57193672790951011</v>
      </c>
      <c r="AC573" s="28">
        <f t="shared" si="191"/>
        <v>0.10964912280701754</v>
      </c>
      <c r="AD573" s="29">
        <f t="shared" si="192"/>
        <v>535.10436432637573</v>
      </c>
      <c r="AE573" s="28">
        <f t="shared" si="193"/>
        <v>0.10964912280701754</v>
      </c>
      <c r="AF573" s="28">
        <f t="shared" si="194"/>
        <v>0.46228760510249256</v>
      </c>
      <c r="AG573" s="28">
        <f t="shared" si="195"/>
        <v>0</v>
      </c>
      <c r="AI573" s="31">
        <f t="shared" si="196"/>
        <v>1.6211183258635518</v>
      </c>
      <c r="AJ573" s="25"/>
      <c r="AK573" s="31"/>
      <c r="AM573" s="27"/>
    </row>
    <row r="574" spans="4:39" x14ac:dyDescent="0.25">
      <c r="D574" s="25">
        <f>E574*'Profit per cycles Model'!$I$113</f>
        <v>5650</v>
      </c>
      <c r="E574" s="25">
        <v>15.477331872346253</v>
      </c>
      <c r="F574" s="28">
        <f t="shared" si="177"/>
        <v>0.17699115044247787</v>
      </c>
      <c r="G574" s="28">
        <f>'Battery Pricing Model'!$C$17/D574</f>
        <v>0.17699115044247787</v>
      </c>
      <c r="H574" s="28">
        <f t="shared" si="178"/>
        <v>999</v>
      </c>
      <c r="I574" s="28"/>
      <c r="J574" s="34">
        <f>INDEX('Profit per cycles Model'!$I$149:$I$179, MATCH(TRUNC(E574, 0), 'Profit per cycles Model'!$H$149:$H$179, 0))</f>
        <v>0.57193672790951011</v>
      </c>
      <c r="K574" s="27">
        <f>AVERAGE($AB$10:AB574)</f>
        <v>0.46492702533498181</v>
      </c>
      <c r="L574" s="28">
        <f t="shared" si="179"/>
        <v>0.28793587489250394</v>
      </c>
      <c r="M574" s="28">
        <f t="shared" si="180"/>
        <v>0.28793587489250394</v>
      </c>
      <c r="N574" s="28">
        <f t="shared" si="181"/>
        <v>999</v>
      </c>
      <c r="O574" s="28"/>
      <c r="P574" s="29">
        <f t="shared" si="197"/>
        <v>0.56500000000000039</v>
      </c>
      <c r="Q574" s="33">
        <f t="shared" si="182"/>
        <v>6.7114093959731544</v>
      </c>
      <c r="R574" s="33">
        <f t="shared" si="183"/>
        <v>6.7114093959731544</v>
      </c>
      <c r="S574" s="33">
        <f t="shared" si="184"/>
        <v>-1</v>
      </c>
      <c r="T574" s="27"/>
      <c r="U574" s="28">
        <f t="shared" si="185"/>
        <v>0.10964912280701754</v>
      </c>
      <c r="V574" s="25">
        <f t="shared" si="186"/>
        <v>999</v>
      </c>
      <c r="W574" s="35">
        <f t="shared" si="198"/>
        <v>25</v>
      </c>
      <c r="X574" s="33">
        <f t="shared" si="187"/>
        <v>25</v>
      </c>
      <c r="Y574" s="32">
        <f t="shared" si="188"/>
        <v>-1</v>
      </c>
      <c r="Z574" s="32"/>
      <c r="AA574" s="30">
        <f t="shared" si="189"/>
        <v>15.477331872346253</v>
      </c>
      <c r="AB574" s="28">
        <f t="shared" si="190"/>
        <v>0.57193672790951011</v>
      </c>
      <c r="AC574" s="28">
        <f t="shared" si="191"/>
        <v>0.10964912280701754</v>
      </c>
      <c r="AD574" s="29">
        <f t="shared" si="192"/>
        <v>536.05313092979122</v>
      </c>
      <c r="AE574" s="28">
        <f t="shared" si="193"/>
        <v>0.10964912280701754</v>
      </c>
      <c r="AF574" s="28">
        <f t="shared" si="194"/>
        <v>0.46228760510249256</v>
      </c>
      <c r="AG574" s="28">
        <f t="shared" si="195"/>
        <v>0</v>
      </c>
      <c r="AI574" s="31">
        <f t="shared" si="196"/>
        <v>1.6268376931426474</v>
      </c>
      <c r="AJ574" s="25"/>
      <c r="AK574" s="31"/>
      <c r="AM574" s="27"/>
    </row>
    <row r="575" spans="4:39" x14ac:dyDescent="0.25">
      <c r="D575" s="25">
        <f>E575*'Profit per cycles Model'!$I$113</f>
        <v>5660</v>
      </c>
      <c r="E575" s="25">
        <v>15.504725380084919</v>
      </c>
      <c r="F575" s="28">
        <f t="shared" si="177"/>
        <v>0.17667844522968199</v>
      </c>
      <c r="G575" s="28">
        <f>'Battery Pricing Model'!$C$17/D575</f>
        <v>0.17667844522968199</v>
      </c>
      <c r="H575" s="28">
        <f t="shared" si="178"/>
        <v>999</v>
      </c>
      <c r="I575" s="28"/>
      <c r="J575" s="34">
        <f>INDEX('Profit per cycles Model'!$I$149:$I$179, MATCH(TRUNC(E575, 0), 'Profit per cycles Model'!$H$149:$H$179, 0))</f>
        <v>0.57193672790951011</v>
      </c>
      <c r="K575" s="27">
        <f>AVERAGE($AB$10:AB575)</f>
        <v>0.46511608841373547</v>
      </c>
      <c r="L575" s="28">
        <f t="shared" si="179"/>
        <v>0.28843764318405352</v>
      </c>
      <c r="M575" s="28">
        <f t="shared" si="180"/>
        <v>0.28843764318405352</v>
      </c>
      <c r="N575" s="28">
        <f t="shared" si="181"/>
        <v>999</v>
      </c>
      <c r="O575" s="28"/>
      <c r="P575" s="29">
        <f t="shared" si="197"/>
        <v>0.56600000000000039</v>
      </c>
      <c r="Q575" s="33">
        <f t="shared" si="182"/>
        <v>6.7114093959731544</v>
      </c>
      <c r="R575" s="33">
        <f t="shared" si="183"/>
        <v>6.7114093959731544</v>
      </c>
      <c r="S575" s="33">
        <f t="shared" si="184"/>
        <v>-1</v>
      </c>
      <c r="T575" s="27"/>
      <c r="U575" s="28">
        <f t="shared" si="185"/>
        <v>0.10964912280701754</v>
      </c>
      <c r="V575" s="25">
        <f t="shared" si="186"/>
        <v>999</v>
      </c>
      <c r="W575" s="35">
        <f t="shared" si="198"/>
        <v>25</v>
      </c>
      <c r="X575" s="33">
        <f t="shared" si="187"/>
        <v>25</v>
      </c>
      <c r="Y575" s="32">
        <f t="shared" si="188"/>
        <v>-1</v>
      </c>
      <c r="Z575" s="32"/>
      <c r="AA575" s="30">
        <f t="shared" si="189"/>
        <v>15.504725380084919</v>
      </c>
      <c r="AB575" s="28">
        <f t="shared" si="190"/>
        <v>0.57193672790951011</v>
      </c>
      <c r="AC575" s="28">
        <f t="shared" si="191"/>
        <v>0.10964912280701754</v>
      </c>
      <c r="AD575" s="29">
        <f t="shared" si="192"/>
        <v>537.00189753320683</v>
      </c>
      <c r="AE575" s="28">
        <f t="shared" si="193"/>
        <v>0.10964912280701754</v>
      </c>
      <c r="AF575" s="28">
        <f t="shared" si="194"/>
        <v>0.46228760510249256</v>
      </c>
      <c r="AG575" s="28">
        <f t="shared" si="195"/>
        <v>0</v>
      </c>
      <c r="AI575" s="31">
        <f t="shared" si="196"/>
        <v>1.6325570604217428</v>
      </c>
      <c r="AJ575" s="25"/>
      <c r="AK575" s="31"/>
      <c r="AM575" s="27"/>
    </row>
    <row r="576" spans="4:39" x14ac:dyDescent="0.25">
      <c r="D576" s="25">
        <f>E576*'Profit per cycles Model'!$I$113</f>
        <v>5670</v>
      </c>
      <c r="E576" s="25">
        <v>15.532118887823586</v>
      </c>
      <c r="F576" s="28">
        <f t="shared" si="177"/>
        <v>0.17636684303350969</v>
      </c>
      <c r="G576" s="28">
        <f>'Battery Pricing Model'!$C$17/D576</f>
        <v>0.17636684303350969</v>
      </c>
      <c r="H576" s="28">
        <f t="shared" si="178"/>
        <v>999</v>
      </c>
      <c r="I576" s="28"/>
      <c r="J576" s="34">
        <f>INDEX('Profit per cycles Model'!$I$149:$I$179, MATCH(TRUNC(E576, 0), 'Profit per cycles Model'!$H$149:$H$179, 0))</f>
        <v>0.57193672790951011</v>
      </c>
      <c r="K576" s="27">
        <f>AVERAGE($AB$10:AB576)</f>
        <v>0.46530448460332241</v>
      </c>
      <c r="L576" s="28">
        <f t="shared" si="179"/>
        <v>0.28893764156981272</v>
      </c>
      <c r="M576" s="28">
        <f t="shared" si="180"/>
        <v>0.28893764156981272</v>
      </c>
      <c r="N576" s="28">
        <f t="shared" si="181"/>
        <v>999</v>
      </c>
      <c r="O576" s="28"/>
      <c r="P576" s="29">
        <f t="shared" si="197"/>
        <v>0.56700000000000039</v>
      </c>
      <c r="Q576" s="33">
        <f t="shared" si="182"/>
        <v>6.7114093959731544</v>
      </c>
      <c r="R576" s="33">
        <f t="shared" si="183"/>
        <v>6.7114093959731544</v>
      </c>
      <c r="S576" s="33">
        <f t="shared" si="184"/>
        <v>-1</v>
      </c>
      <c r="T576" s="27"/>
      <c r="U576" s="28">
        <f t="shared" si="185"/>
        <v>0.10964912280701754</v>
      </c>
      <c r="V576" s="25">
        <f t="shared" si="186"/>
        <v>999</v>
      </c>
      <c r="W576" s="35">
        <f t="shared" si="198"/>
        <v>25</v>
      </c>
      <c r="X576" s="33">
        <f t="shared" si="187"/>
        <v>25</v>
      </c>
      <c r="Y576" s="32">
        <f t="shared" si="188"/>
        <v>-1</v>
      </c>
      <c r="Z576" s="32"/>
      <c r="AA576" s="30">
        <f t="shared" si="189"/>
        <v>15.532118887823586</v>
      </c>
      <c r="AB576" s="28">
        <f t="shared" si="190"/>
        <v>0.57193672790951011</v>
      </c>
      <c r="AC576" s="28">
        <f t="shared" si="191"/>
        <v>0.10964912280701754</v>
      </c>
      <c r="AD576" s="29">
        <f t="shared" si="192"/>
        <v>537.95066413662244</v>
      </c>
      <c r="AE576" s="28">
        <f t="shared" si="193"/>
        <v>0.10964912280701754</v>
      </c>
      <c r="AF576" s="28">
        <f t="shared" si="194"/>
        <v>0.46228760510249256</v>
      </c>
      <c r="AG576" s="28">
        <f t="shared" si="195"/>
        <v>0</v>
      </c>
      <c r="AI576" s="31">
        <f t="shared" si="196"/>
        <v>1.6382764277008381</v>
      </c>
      <c r="AJ576" s="25"/>
      <c r="AK576" s="31"/>
      <c r="AM576" s="27"/>
    </row>
    <row r="577" spans="4:39" x14ac:dyDescent="0.25">
      <c r="D577" s="25">
        <f>E577*'Profit per cycles Model'!$I$113</f>
        <v>5680</v>
      </c>
      <c r="E577" s="25">
        <v>15.559512395562251</v>
      </c>
      <c r="F577" s="28">
        <f t="shared" si="177"/>
        <v>0.176056338028169</v>
      </c>
      <c r="G577" s="28">
        <f>'Battery Pricing Model'!$C$17/D577</f>
        <v>0.176056338028169</v>
      </c>
      <c r="H577" s="28">
        <f t="shared" si="178"/>
        <v>999</v>
      </c>
      <c r="I577" s="28"/>
      <c r="J577" s="34">
        <f>INDEX('Profit per cycles Model'!$I$149:$I$179, MATCH(TRUNC(E577, 0), 'Profit per cycles Model'!$H$149:$H$179, 0))</f>
        <v>0.57193672790951011</v>
      </c>
      <c r="K577" s="27">
        <f>AVERAGE($AB$10:AB577)</f>
        <v>0.46549221742604457</v>
      </c>
      <c r="L577" s="28">
        <f t="shared" si="179"/>
        <v>0.28943587939787557</v>
      </c>
      <c r="M577" s="28">
        <f t="shared" si="180"/>
        <v>0.28943587939787557</v>
      </c>
      <c r="N577" s="28">
        <f t="shared" si="181"/>
        <v>999</v>
      </c>
      <c r="O577" s="28"/>
      <c r="P577" s="29">
        <f t="shared" si="197"/>
        <v>0.56800000000000039</v>
      </c>
      <c r="Q577" s="33">
        <f t="shared" si="182"/>
        <v>6.7114093959731544</v>
      </c>
      <c r="R577" s="33">
        <f t="shared" si="183"/>
        <v>6.7114093959731544</v>
      </c>
      <c r="S577" s="33">
        <f t="shared" si="184"/>
        <v>-1</v>
      </c>
      <c r="T577" s="27"/>
      <c r="U577" s="28">
        <f t="shared" si="185"/>
        <v>0.10964912280701754</v>
      </c>
      <c r="V577" s="25">
        <f t="shared" si="186"/>
        <v>999</v>
      </c>
      <c r="W577" s="35">
        <f t="shared" si="198"/>
        <v>25</v>
      </c>
      <c r="X577" s="33">
        <f t="shared" si="187"/>
        <v>25</v>
      </c>
      <c r="Y577" s="32">
        <f t="shared" si="188"/>
        <v>-1</v>
      </c>
      <c r="Z577" s="32"/>
      <c r="AA577" s="30">
        <f t="shared" si="189"/>
        <v>15.559512395562251</v>
      </c>
      <c r="AB577" s="28">
        <f t="shared" si="190"/>
        <v>0.57193672790951011</v>
      </c>
      <c r="AC577" s="28">
        <f t="shared" si="191"/>
        <v>0.10964912280701754</v>
      </c>
      <c r="AD577" s="29">
        <f t="shared" si="192"/>
        <v>538.89943074003793</v>
      </c>
      <c r="AE577" s="28">
        <f t="shared" si="193"/>
        <v>0.10964912280701754</v>
      </c>
      <c r="AF577" s="28">
        <f t="shared" si="194"/>
        <v>0.46228760510249256</v>
      </c>
      <c r="AG577" s="28">
        <f t="shared" si="195"/>
        <v>0</v>
      </c>
      <c r="AI577" s="31">
        <f t="shared" si="196"/>
        <v>1.6439957949799333</v>
      </c>
      <c r="AJ577" s="25"/>
      <c r="AK577" s="31"/>
      <c r="AM577" s="27"/>
    </row>
    <row r="578" spans="4:39" x14ac:dyDescent="0.25">
      <c r="D578" s="25">
        <f>E578*'Profit per cycles Model'!$I$113</f>
        <v>5690</v>
      </c>
      <c r="E578" s="25">
        <v>15.586905903300917</v>
      </c>
      <c r="F578" s="28">
        <f t="shared" si="177"/>
        <v>0.1757469244288225</v>
      </c>
      <c r="G578" s="28">
        <f>'Battery Pricing Model'!$C$17/D578</f>
        <v>0.1757469244288225</v>
      </c>
      <c r="H578" s="28">
        <f t="shared" si="178"/>
        <v>999</v>
      </c>
      <c r="I578" s="28"/>
      <c r="J578" s="34">
        <f>INDEX('Profit per cycles Model'!$I$149:$I$179, MATCH(TRUNC(E578, 0), 'Profit per cycles Model'!$H$149:$H$179, 0))</f>
        <v>0.57193672790951011</v>
      </c>
      <c r="K578" s="27">
        <f>AVERAGE($AB$10:AB578)</f>
        <v>0.46567929037944261</v>
      </c>
      <c r="L578" s="28">
        <f t="shared" si="179"/>
        <v>0.28993236595062011</v>
      </c>
      <c r="M578" s="28">
        <f t="shared" si="180"/>
        <v>0.28993236595062011</v>
      </c>
      <c r="N578" s="28">
        <f t="shared" si="181"/>
        <v>999</v>
      </c>
      <c r="O578" s="28"/>
      <c r="P578" s="29">
        <f t="shared" si="197"/>
        <v>0.56900000000000039</v>
      </c>
      <c r="Q578" s="33">
        <f t="shared" si="182"/>
        <v>6.7114093959731544</v>
      </c>
      <c r="R578" s="33">
        <f t="shared" si="183"/>
        <v>6.7114093959731544</v>
      </c>
      <c r="S578" s="33">
        <f t="shared" si="184"/>
        <v>-1</v>
      </c>
      <c r="T578" s="27"/>
      <c r="U578" s="28">
        <f t="shared" si="185"/>
        <v>0.10964912280701754</v>
      </c>
      <c r="V578" s="25">
        <f t="shared" si="186"/>
        <v>999</v>
      </c>
      <c r="W578" s="35">
        <f t="shared" si="198"/>
        <v>25</v>
      </c>
      <c r="X578" s="33">
        <f t="shared" si="187"/>
        <v>25</v>
      </c>
      <c r="Y578" s="32">
        <f t="shared" si="188"/>
        <v>-1</v>
      </c>
      <c r="Z578" s="32"/>
      <c r="AA578" s="30">
        <f t="shared" si="189"/>
        <v>15.586905903300917</v>
      </c>
      <c r="AB578" s="28">
        <f t="shared" si="190"/>
        <v>0.57193672790951011</v>
      </c>
      <c r="AC578" s="28">
        <f t="shared" si="191"/>
        <v>0.10964912280701754</v>
      </c>
      <c r="AD578" s="29">
        <f t="shared" si="192"/>
        <v>539.84819734345353</v>
      </c>
      <c r="AE578" s="28">
        <f t="shared" si="193"/>
        <v>0.10964912280701754</v>
      </c>
      <c r="AF578" s="28">
        <f t="shared" si="194"/>
        <v>0.46228760510249256</v>
      </c>
      <c r="AG578" s="28">
        <f t="shared" si="195"/>
        <v>0</v>
      </c>
      <c r="AI578" s="31">
        <f t="shared" si="196"/>
        <v>1.6497151622590283</v>
      </c>
      <c r="AJ578" s="25"/>
      <c r="AK578" s="31"/>
      <c r="AM578" s="27"/>
    </row>
    <row r="579" spans="4:39" x14ac:dyDescent="0.25">
      <c r="D579" s="25">
        <f>E579*'Profit per cycles Model'!$I$113</f>
        <v>5700</v>
      </c>
      <c r="E579" s="25">
        <v>15.614299411039584</v>
      </c>
      <c r="F579" s="28">
        <f t="shared" si="177"/>
        <v>0.17543859649122806</v>
      </c>
      <c r="G579" s="28">
        <f>'Battery Pricing Model'!$C$17/D579</f>
        <v>0.17543859649122806</v>
      </c>
      <c r="H579" s="28">
        <f t="shared" si="178"/>
        <v>999</v>
      </c>
      <c r="I579" s="28"/>
      <c r="J579" s="34">
        <f>INDEX('Profit per cycles Model'!$I$149:$I$179, MATCH(TRUNC(E579, 0), 'Profit per cycles Model'!$H$149:$H$179, 0))</f>
        <v>0.57193672790951011</v>
      </c>
      <c r="K579" s="27">
        <f>AVERAGE($AB$10:AB579)</f>
        <v>0.46586570693651297</v>
      </c>
      <c r="L579" s="28">
        <f t="shared" si="179"/>
        <v>0.29042711044528491</v>
      </c>
      <c r="M579" s="28">
        <f t="shared" si="180"/>
        <v>0.29042711044528491</v>
      </c>
      <c r="N579" s="28">
        <f t="shared" si="181"/>
        <v>999</v>
      </c>
      <c r="O579" s="28"/>
      <c r="P579" s="29">
        <f t="shared" si="197"/>
        <v>0.5700000000000004</v>
      </c>
      <c r="Q579" s="33">
        <f t="shared" si="182"/>
        <v>6.7114093959731544</v>
      </c>
      <c r="R579" s="33">
        <f t="shared" si="183"/>
        <v>6.7114093959731544</v>
      </c>
      <c r="S579" s="33">
        <f t="shared" si="184"/>
        <v>-1</v>
      </c>
      <c r="T579" s="27"/>
      <c r="U579" s="28">
        <f t="shared" si="185"/>
        <v>0.10964912280701754</v>
      </c>
      <c r="V579" s="25">
        <f t="shared" si="186"/>
        <v>999</v>
      </c>
      <c r="W579" s="35">
        <f t="shared" si="198"/>
        <v>25</v>
      </c>
      <c r="X579" s="33">
        <f t="shared" si="187"/>
        <v>25</v>
      </c>
      <c r="Y579" s="32">
        <f t="shared" si="188"/>
        <v>-1</v>
      </c>
      <c r="Z579" s="32"/>
      <c r="AA579" s="30">
        <f t="shared" si="189"/>
        <v>15.614299411039584</v>
      </c>
      <c r="AB579" s="28">
        <f t="shared" si="190"/>
        <v>0.57193672790951011</v>
      </c>
      <c r="AC579" s="28">
        <f t="shared" si="191"/>
        <v>0.10964912280701754</v>
      </c>
      <c r="AD579" s="29">
        <f t="shared" si="192"/>
        <v>540.79696394686903</v>
      </c>
      <c r="AE579" s="28">
        <f t="shared" si="193"/>
        <v>0.10964912280701754</v>
      </c>
      <c r="AF579" s="28">
        <f t="shared" si="194"/>
        <v>0.46228760510249256</v>
      </c>
      <c r="AG579" s="28">
        <f t="shared" si="195"/>
        <v>0</v>
      </c>
      <c r="AI579" s="31">
        <f t="shared" si="196"/>
        <v>1.6554345295381241</v>
      </c>
      <c r="AJ579" s="25"/>
      <c r="AK579" s="31"/>
      <c r="AM579" s="27"/>
    </row>
    <row r="580" spans="4:39" x14ac:dyDescent="0.25">
      <c r="D580" s="25">
        <f>E580*'Profit per cycles Model'!$I$113</f>
        <v>5710</v>
      </c>
      <c r="E580" s="25">
        <v>15.641692918778249</v>
      </c>
      <c r="F580" s="28">
        <f t="shared" si="177"/>
        <v>0.17513134851138354</v>
      </c>
      <c r="G580" s="28">
        <f>'Battery Pricing Model'!$C$17/D580</f>
        <v>0.17513134851138354</v>
      </c>
      <c r="H580" s="28">
        <f t="shared" si="178"/>
        <v>999</v>
      </c>
      <c r="I580" s="28"/>
      <c r="J580" s="34">
        <f>INDEX('Profit per cycles Model'!$I$149:$I$179, MATCH(TRUNC(E580, 0), 'Profit per cycles Model'!$H$149:$H$179, 0))</f>
        <v>0.57193672790951011</v>
      </c>
      <c r="K580" s="27">
        <f>AVERAGE($AB$10:AB580)</f>
        <v>0.46605147054592283</v>
      </c>
      <c r="L580" s="28">
        <f t="shared" si="179"/>
        <v>0.29092012203453932</v>
      </c>
      <c r="M580" s="28">
        <f t="shared" si="180"/>
        <v>0.29092012203453932</v>
      </c>
      <c r="N580" s="28">
        <f t="shared" si="181"/>
        <v>999</v>
      </c>
      <c r="O580" s="28"/>
      <c r="P580" s="29">
        <f t="shared" si="197"/>
        <v>0.5710000000000004</v>
      </c>
      <c r="Q580" s="33">
        <f t="shared" si="182"/>
        <v>6.7114093959731544</v>
      </c>
      <c r="R580" s="33">
        <f t="shared" si="183"/>
        <v>6.7114093959731544</v>
      </c>
      <c r="S580" s="33">
        <f t="shared" si="184"/>
        <v>-1</v>
      </c>
      <c r="T580" s="27"/>
      <c r="U580" s="28">
        <f t="shared" si="185"/>
        <v>0.10964912280701754</v>
      </c>
      <c r="V580" s="25">
        <f t="shared" si="186"/>
        <v>999</v>
      </c>
      <c r="W580" s="35">
        <f t="shared" si="198"/>
        <v>25</v>
      </c>
      <c r="X580" s="33">
        <f t="shared" si="187"/>
        <v>25</v>
      </c>
      <c r="Y580" s="32">
        <f t="shared" si="188"/>
        <v>-1</v>
      </c>
      <c r="Z580" s="32"/>
      <c r="AA580" s="30">
        <f t="shared" si="189"/>
        <v>15.641692918778249</v>
      </c>
      <c r="AB580" s="28">
        <f t="shared" si="190"/>
        <v>0.57193672790951011</v>
      </c>
      <c r="AC580" s="28">
        <f t="shared" si="191"/>
        <v>0.10964912280701754</v>
      </c>
      <c r="AD580" s="29">
        <f t="shared" si="192"/>
        <v>541.74573055028463</v>
      </c>
      <c r="AE580" s="28">
        <f t="shared" si="193"/>
        <v>0.10964912280701754</v>
      </c>
      <c r="AF580" s="28">
        <f t="shared" si="194"/>
        <v>0.46228760510249256</v>
      </c>
      <c r="AG580" s="28">
        <f t="shared" si="195"/>
        <v>0</v>
      </c>
      <c r="AI580" s="31">
        <f t="shared" si="196"/>
        <v>1.6611538968172195</v>
      </c>
      <c r="AJ580" s="25"/>
      <c r="AK580" s="31"/>
      <c r="AM580" s="27"/>
    </row>
    <row r="581" spans="4:39" x14ac:dyDescent="0.25">
      <c r="D581" s="25">
        <f>E581*'Profit per cycles Model'!$I$113</f>
        <v>5720</v>
      </c>
      <c r="E581" s="25">
        <v>15.669086426516914</v>
      </c>
      <c r="F581" s="28">
        <f t="shared" si="177"/>
        <v>0.17482517482517482</v>
      </c>
      <c r="G581" s="28">
        <f>'Battery Pricing Model'!$C$17/D581</f>
        <v>0.17482517482517482</v>
      </c>
      <c r="H581" s="28">
        <f t="shared" si="178"/>
        <v>999</v>
      </c>
      <c r="I581" s="28"/>
      <c r="J581" s="34">
        <f>INDEX('Profit per cycles Model'!$I$149:$I$179, MATCH(TRUNC(E581, 0), 'Profit per cycles Model'!$H$149:$H$179, 0))</f>
        <v>0.57193672790951011</v>
      </c>
      <c r="K581" s="27">
        <f>AVERAGE($AB$10:AB581)</f>
        <v>0.46623658463222284</v>
      </c>
      <c r="L581" s="28">
        <f t="shared" si="179"/>
        <v>0.29141140980704805</v>
      </c>
      <c r="M581" s="28">
        <f t="shared" si="180"/>
        <v>0.29141140980704805</v>
      </c>
      <c r="N581" s="28">
        <f t="shared" si="181"/>
        <v>999</v>
      </c>
      <c r="O581" s="28"/>
      <c r="P581" s="29">
        <f t="shared" si="197"/>
        <v>0.5720000000000004</v>
      </c>
      <c r="Q581" s="33">
        <f t="shared" si="182"/>
        <v>6.7114093959731544</v>
      </c>
      <c r="R581" s="33">
        <f t="shared" si="183"/>
        <v>6.7114093959731544</v>
      </c>
      <c r="S581" s="33">
        <f t="shared" si="184"/>
        <v>-1</v>
      </c>
      <c r="T581" s="27"/>
      <c r="U581" s="28">
        <f t="shared" si="185"/>
        <v>0.10964912280701754</v>
      </c>
      <c r="V581" s="25">
        <f t="shared" si="186"/>
        <v>999</v>
      </c>
      <c r="W581" s="35">
        <f t="shared" si="198"/>
        <v>25</v>
      </c>
      <c r="X581" s="33">
        <f t="shared" si="187"/>
        <v>25</v>
      </c>
      <c r="Y581" s="32">
        <f t="shared" si="188"/>
        <v>-1</v>
      </c>
      <c r="Z581" s="32"/>
      <c r="AA581" s="30">
        <f t="shared" si="189"/>
        <v>15.669086426516914</v>
      </c>
      <c r="AB581" s="28">
        <f t="shared" si="190"/>
        <v>0.57193672790951011</v>
      </c>
      <c r="AC581" s="28">
        <f t="shared" si="191"/>
        <v>0.10964912280701754</v>
      </c>
      <c r="AD581" s="29">
        <f t="shared" si="192"/>
        <v>542.69449715370024</v>
      </c>
      <c r="AE581" s="28">
        <f t="shared" si="193"/>
        <v>0.10964912280701754</v>
      </c>
      <c r="AF581" s="28">
        <f t="shared" si="194"/>
        <v>0.46228760510249256</v>
      </c>
      <c r="AG581" s="28">
        <f t="shared" si="195"/>
        <v>0</v>
      </c>
      <c r="AI581" s="31">
        <f t="shared" si="196"/>
        <v>1.6668732640963149</v>
      </c>
      <c r="AJ581" s="25"/>
      <c r="AK581" s="31"/>
      <c r="AM581" s="27"/>
    </row>
    <row r="582" spans="4:39" x14ac:dyDescent="0.25">
      <c r="D582" s="25">
        <f>E582*'Profit per cycles Model'!$I$113</f>
        <v>5730</v>
      </c>
      <c r="E582" s="25">
        <v>15.696479934255581</v>
      </c>
      <c r="F582" s="28">
        <f t="shared" si="177"/>
        <v>0.17452006980802792</v>
      </c>
      <c r="G582" s="28">
        <f>'Battery Pricing Model'!$C$17/D582</f>
        <v>0.17452006980802792</v>
      </c>
      <c r="H582" s="28">
        <f t="shared" si="178"/>
        <v>999</v>
      </c>
      <c r="I582" s="28"/>
      <c r="J582" s="34">
        <f>INDEX('Profit per cycles Model'!$I$149:$I$179, MATCH(TRUNC(E582, 0), 'Profit per cycles Model'!$H$149:$H$179, 0))</f>
        <v>0.57193672790951011</v>
      </c>
      <c r="K582" s="27">
        <f>AVERAGE($AB$10:AB582)</f>
        <v>0.46642105259605754</v>
      </c>
      <c r="L582" s="28">
        <f t="shared" si="179"/>
        <v>0.29190098278802962</v>
      </c>
      <c r="M582" s="28">
        <f t="shared" si="180"/>
        <v>0.29190098278802962</v>
      </c>
      <c r="N582" s="28">
        <f t="shared" si="181"/>
        <v>999</v>
      </c>
      <c r="O582" s="28"/>
      <c r="P582" s="29">
        <f t="shared" si="197"/>
        <v>0.5730000000000004</v>
      </c>
      <c r="Q582" s="33">
        <f t="shared" si="182"/>
        <v>6.7114093959731544</v>
      </c>
      <c r="R582" s="33">
        <f t="shared" si="183"/>
        <v>6.7114093959731544</v>
      </c>
      <c r="S582" s="33">
        <f t="shared" si="184"/>
        <v>-1</v>
      </c>
      <c r="T582" s="27"/>
      <c r="U582" s="28">
        <f t="shared" si="185"/>
        <v>0.10964912280701754</v>
      </c>
      <c r="V582" s="25">
        <f t="shared" si="186"/>
        <v>999</v>
      </c>
      <c r="W582" s="35">
        <f t="shared" si="198"/>
        <v>25</v>
      </c>
      <c r="X582" s="33">
        <f t="shared" si="187"/>
        <v>25</v>
      </c>
      <c r="Y582" s="32">
        <f t="shared" si="188"/>
        <v>-1</v>
      </c>
      <c r="Z582" s="32"/>
      <c r="AA582" s="30">
        <f t="shared" si="189"/>
        <v>15.696479934255581</v>
      </c>
      <c r="AB582" s="28">
        <f t="shared" si="190"/>
        <v>0.57193672790951011</v>
      </c>
      <c r="AC582" s="28">
        <f t="shared" si="191"/>
        <v>0.10964912280701754</v>
      </c>
      <c r="AD582" s="29">
        <f t="shared" si="192"/>
        <v>543.64326375711573</v>
      </c>
      <c r="AE582" s="28">
        <f t="shared" si="193"/>
        <v>0.10964912280701754</v>
      </c>
      <c r="AF582" s="28">
        <f t="shared" si="194"/>
        <v>0.46228760510249256</v>
      </c>
      <c r="AG582" s="28">
        <f t="shared" si="195"/>
        <v>0</v>
      </c>
      <c r="AI582" s="31">
        <f t="shared" si="196"/>
        <v>1.6725926313754098</v>
      </c>
      <c r="AJ582" s="25"/>
      <c r="AK582" s="31"/>
      <c r="AM582" s="27"/>
    </row>
    <row r="583" spans="4:39" x14ac:dyDescent="0.25">
      <c r="D583" s="25">
        <f>E583*'Profit per cycles Model'!$I$113</f>
        <v>5740</v>
      </c>
      <c r="E583" s="25">
        <v>15.723873441994247</v>
      </c>
      <c r="F583" s="28">
        <f t="shared" si="177"/>
        <v>0.17421602787456447</v>
      </c>
      <c r="G583" s="28">
        <f>'Battery Pricing Model'!$C$17/D583</f>
        <v>0.17421602787456447</v>
      </c>
      <c r="H583" s="28">
        <f t="shared" si="178"/>
        <v>999</v>
      </c>
      <c r="I583" s="28"/>
      <c r="J583" s="34">
        <f>INDEX('Profit per cycles Model'!$I$149:$I$179, MATCH(TRUNC(E583, 0), 'Profit per cycles Model'!$H$149:$H$179, 0))</f>
        <v>0.57193672790951011</v>
      </c>
      <c r="K583" s="27">
        <f>AVERAGE($AB$10:AB583)</f>
        <v>0.46660487781437371</v>
      </c>
      <c r="L583" s="28">
        <f t="shared" si="179"/>
        <v>0.29238884993980924</v>
      </c>
      <c r="M583" s="28">
        <f t="shared" si="180"/>
        <v>0.29238884993980924</v>
      </c>
      <c r="N583" s="28">
        <f t="shared" si="181"/>
        <v>999</v>
      </c>
      <c r="O583" s="28"/>
      <c r="P583" s="29">
        <f t="shared" si="197"/>
        <v>0.5740000000000004</v>
      </c>
      <c r="Q583" s="33">
        <f t="shared" si="182"/>
        <v>6.7114093959731544</v>
      </c>
      <c r="R583" s="33">
        <f t="shared" si="183"/>
        <v>6.7114093959731544</v>
      </c>
      <c r="S583" s="33">
        <f t="shared" si="184"/>
        <v>-1</v>
      </c>
      <c r="T583" s="27"/>
      <c r="U583" s="28">
        <f t="shared" si="185"/>
        <v>0.10964912280701754</v>
      </c>
      <c r="V583" s="25">
        <f t="shared" si="186"/>
        <v>999</v>
      </c>
      <c r="W583" s="35">
        <f t="shared" si="198"/>
        <v>25</v>
      </c>
      <c r="X583" s="33">
        <f t="shared" si="187"/>
        <v>25</v>
      </c>
      <c r="Y583" s="32">
        <f t="shared" si="188"/>
        <v>-1</v>
      </c>
      <c r="Z583" s="32"/>
      <c r="AA583" s="30">
        <f t="shared" si="189"/>
        <v>15.723873441994247</v>
      </c>
      <c r="AB583" s="28">
        <f t="shared" si="190"/>
        <v>0.57193672790951011</v>
      </c>
      <c r="AC583" s="28">
        <f t="shared" si="191"/>
        <v>0.10964912280701754</v>
      </c>
      <c r="AD583" s="29">
        <f t="shared" si="192"/>
        <v>544.59203036053134</v>
      </c>
      <c r="AE583" s="28">
        <f t="shared" si="193"/>
        <v>0.10964912280701754</v>
      </c>
      <c r="AF583" s="28">
        <f t="shared" si="194"/>
        <v>0.46228760510249256</v>
      </c>
      <c r="AG583" s="28">
        <f t="shared" si="195"/>
        <v>0</v>
      </c>
      <c r="AI583" s="31">
        <f t="shared" si="196"/>
        <v>1.678311998654505</v>
      </c>
      <c r="AJ583" s="25"/>
      <c r="AK583" s="31"/>
      <c r="AM583" s="27"/>
    </row>
    <row r="584" spans="4:39" x14ac:dyDescent="0.25">
      <c r="D584" s="25">
        <f>E584*'Profit per cycles Model'!$I$113</f>
        <v>5750</v>
      </c>
      <c r="E584" s="25">
        <v>15.751266949732912</v>
      </c>
      <c r="F584" s="28">
        <f t="shared" si="177"/>
        <v>0.17391304347826086</v>
      </c>
      <c r="G584" s="28">
        <f>'Battery Pricing Model'!$C$17/D584</f>
        <v>0.17391304347826086</v>
      </c>
      <c r="H584" s="28">
        <f t="shared" si="178"/>
        <v>999</v>
      </c>
      <c r="I584" s="28"/>
      <c r="J584" s="34">
        <f>INDEX('Profit per cycles Model'!$I$149:$I$179, MATCH(TRUNC(E584, 0), 'Profit per cycles Model'!$H$149:$H$179, 0))</f>
        <v>0.57193672790951011</v>
      </c>
      <c r="K584" s="27">
        <f>AVERAGE($AB$10:AB584)</f>
        <v>0.46678806364062614</v>
      </c>
      <c r="L584" s="28">
        <f t="shared" si="179"/>
        <v>0.29287502016236527</v>
      </c>
      <c r="M584" s="28">
        <f t="shared" si="180"/>
        <v>0.29287502016236527</v>
      </c>
      <c r="N584" s="28">
        <f t="shared" si="181"/>
        <v>999</v>
      </c>
      <c r="O584" s="28"/>
      <c r="P584" s="29">
        <f t="shared" si="197"/>
        <v>0.5750000000000004</v>
      </c>
      <c r="Q584" s="33">
        <f t="shared" si="182"/>
        <v>6.7114093959731544</v>
      </c>
      <c r="R584" s="33">
        <f t="shared" si="183"/>
        <v>6.7114093959731544</v>
      </c>
      <c r="S584" s="33">
        <f t="shared" si="184"/>
        <v>-1</v>
      </c>
      <c r="T584" s="27"/>
      <c r="U584" s="28">
        <f t="shared" si="185"/>
        <v>0.10964912280701754</v>
      </c>
      <c r="V584" s="25">
        <f t="shared" si="186"/>
        <v>999</v>
      </c>
      <c r="W584" s="35">
        <f t="shared" si="198"/>
        <v>25</v>
      </c>
      <c r="X584" s="33">
        <f t="shared" si="187"/>
        <v>25</v>
      </c>
      <c r="Y584" s="32">
        <f t="shared" si="188"/>
        <v>-1</v>
      </c>
      <c r="Z584" s="32"/>
      <c r="AA584" s="30">
        <f t="shared" si="189"/>
        <v>15.751266949732912</v>
      </c>
      <c r="AB584" s="28">
        <f t="shared" si="190"/>
        <v>0.57193672790951011</v>
      </c>
      <c r="AC584" s="28">
        <f t="shared" si="191"/>
        <v>0.10964912280701754</v>
      </c>
      <c r="AD584" s="29">
        <f t="shared" si="192"/>
        <v>545.54079696394683</v>
      </c>
      <c r="AE584" s="28">
        <f t="shared" si="193"/>
        <v>0.10964912280701754</v>
      </c>
      <c r="AF584" s="28">
        <f t="shared" si="194"/>
        <v>0.46228760510249256</v>
      </c>
      <c r="AG584" s="28">
        <f t="shared" si="195"/>
        <v>0</v>
      </c>
      <c r="AI584" s="31">
        <f t="shared" si="196"/>
        <v>1.6840313659336004</v>
      </c>
      <c r="AJ584" s="25"/>
      <c r="AK584" s="31"/>
      <c r="AM584" s="27"/>
    </row>
    <row r="585" spans="4:39" x14ac:dyDescent="0.25">
      <c r="D585" s="25">
        <f>E585*'Profit per cycles Model'!$I$113</f>
        <v>5760</v>
      </c>
      <c r="E585" s="25">
        <v>15.778660457471579</v>
      </c>
      <c r="F585" s="28">
        <f t="shared" si="177"/>
        <v>0.1736111111111111</v>
      </c>
      <c r="G585" s="28">
        <f>'Battery Pricing Model'!$C$17/D585</f>
        <v>0.1736111111111111</v>
      </c>
      <c r="H585" s="28">
        <f t="shared" si="178"/>
        <v>999</v>
      </c>
      <c r="I585" s="28"/>
      <c r="J585" s="34">
        <f>INDEX('Profit per cycles Model'!$I$149:$I$179, MATCH(TRUNC(E585, 0), 'Profit per cycles Model'!$H$149:$H$179, 0))</f>
        <v>0.57193672790951011</v>
      </c>
      <c r="K585" s="27">
        <f>AVERAGE($AB$10:AB585)</f>
        <v>0.46697061340498192</v>
      </c>
      <c r="L585" s="28">
        <f t="shared" si="179"/>
        <v>0.29335950229387081</v>
      </c>
      <c r="M585" s="28">
        <f t="shared" si="180"/>
        <v>0.29335950229387081</v>
      </c>
      <c r="N585" s="28">
        <f t="shared" si="181"/>
        <v>999</v>
      </c>
      <c r="O585" s="28"/>
      <c r="P585" s="29">
        <f t="shared" si="197"/>
        <v>0.5760000000000004</v>
      </c>
      <c r="Q585" s="33">
        <f t="shared" si="182"/>
        <v>6.7114093959731544</v>
      </c>
      <c r="R585" s="33">
        <f t="shared" si="183"/>
        <v>6.7114093959731544</v>
      </c>
      <c r="S585" s="33">
        <f t="shared" si="184"/>
        <v>-1</v>
      </c>
      <c r="T585" s="27"/>
      <c r="U585" s="28">
        <f t="shared" si="185"/>
        <v>0.10964912280701754</v>
      </c>
      <c r="V585" s="25">
        <f t="shared" si="186"/>
        <v>999</v>
      </c>
      <c r="W585" s="35">
        <f t="shared" si="198"/>
        <v>25</v>
      </c>
      <c r="X585" s="33">
        <f t="shared" si="187"/>
        <v>25</v>
      </c>
      <c r="Y585" s="32">
        <f t="shared" si="188"/>
        <v>-1</v>
      </c>
      <c r="Z585" s="32"/>
      <c r="AA585" s="30">
        <f t="shared" si="189"/>
        <v>15.778660457471579</v>
      </c>
      <c r="AB585" s="28">
        <f t="shared" si="190"/>
        <v>0.57193672790951011</v>
      </c>
      <c r="AC585" s="28">
        <f t="shared" si="191"/>
        <v>0.10964912280701754</v>
      </c>
      <c r="AD585" s="29">
        <f t="shared" si="192"/>
        <v>546.48956356736244</v>
      </c>
      <c r="AE585" s="28">
        <f t="shared" si="193"/>
        <v>0.10964912280701754</v>
      </c>
      <c r="AF585" s="28">
        <f t="shared" si="194"/>
        <v>0.46228760510249256</v>
      </c>
      <c r="AG585" s="28">
        <f t="shared" si="195"/>
        <v>0</v>
      </c>
      <c r="AI585" s="31">
        <f t="shared" si="196"/>
        <v>1.689750733212696</v>
      </c>
      <c r="AJ585" s="25"/>
      <c r="AK585" s="31"/>
      <c r="AM585" s="27"/>
    </row>
    <row r="586" spans="4:39" x14ac:dyDescent="0.25">
      <c r="D586" s="25">
        <f>E586*'Profit per cycles Model'!$I$113</f>
        <v>5770</v>
      </c>
      <c r="E586" s="25">
        <v>15.806053965210245</v>
      </c>
      <c r="F586" s="28">
        <f t="shared" ref="F586:F649" si="199">IF(OR($H$6="None", $H$6=0), G586, H586)</f>
        <v>0.1733102253032929</v>
      </c>
      <c r="G586" s="28">
        <f>'Battery Pricing Model'!$C$17/D586</f>
        <v>0.1733102253032929</v>
      </c>
      <c r="H586" s="28">
        <f t="shared" ref="H586:H649" si="200">IF(OR($H$6="None", $H$6=0), 999, $G586*(H$6))</f>
        <v>999</v>
      </c>
      <c r="I586" s="28"/>
      <c r="J586" s="34">
        <f>INDEX('Profit per cycles Model'!$I$149:$I$179, MATCH(TRUNC(E586, 0), 'Profit per cycles Model'!$H$149:$H$179, 0))</f>
        <v>0.57193672790951011</v>
      </c>
      <c r="K586" s="27">
        <f>AVERAGE($AB$10:AB586)</f>
        <v>0.46715253041452187</v>
      </c>
      <c r="L586" s="28">
        <f t="shared" ref="L586:L649" si="201">IF(K586-F586&lt;0, 999, K586-F586)</f>
        <v>0.293842305111229</v>
      </c>
      <c r="M586" s="28">
        <f t="shared" ref="M586:M649" si="202">IF(K586-F586&lt;0, 999, K586-F586)</f>
        <v>0.293842305111229</v>
      </c>
      <c r="N586" s="28">
        <f t="shared" ref="N586:N649" si="203">IF(K586-H586&lt;0, 999, K586-H586)</f>
        <v>999</v>
      </c>
      <c r="O586" s="28"/>
      <c r="P586" s="29">
        <f t="shared" si="197"/>
        <v>0.5770000000000004</v>
      </c>
      <c r="Q586" s="33">
        <f t="shared" ref="Q586:Q649" si="204">$L$5</f>
        <v>6.7114093959731544</v>
      </c>
      <c r="R586" s="33">
        <f t="shared" ref="R586:R649" si="205">$M$5</f>
        <v>6.7114093959731544</v>
      </c>
      <c r="S586" s="33">
        <f t="shared" ref="S586:S649" si="206">$N$5</f>
        <v>-1</v>
      </c>
      <c r="T586" s="27"/>
      <c r="U586" s="28">
        <f t="shared" ref="U586:U649" si="207">IF(ISNA(INDEX($F$10:$F$1063,MATCH(W586,$E$10:$E$1063,1))),-1,INDEX($F$10:$F$1063,MATCH(W586,$E$10:$E$1063,1)))</f>
        <v>0.10964912280701754</v>
      </c>
      <c r="V586" s="25">
        <f t="shared" ref="V586:V649" si="208">IF(ISNA(INDEX($H$10:$H$1063, MATCH(X586, $E$10:$E$1063,1))),-1,  INDEX($H$10:$H$1063, MATCH(X586, $E$10:$E$1063,1)))</f>
        <v>999</v>
      </c>
      <c r="W586" s="35">
        <f t="shared" si="198"/>
        <v>25</v>
      </c>
      <c r="X586" s="33">
        <f t="shared" ref="X586:X649" si="209">IF(PaybackCustom&gt;0, IF(PaybackCustom&lt;&gt;"Default", PaybackCustom, IF(PaybackStatus&lt;&gt;"",INDEX($Y$2:$Y$6,MATCH(PaybackStatus,$X$2:$X$6,FALSE)),-1)))</f>
        <v>25</v>
      </c>
      <c r="Y586" s="32">
        <f t="shared" ref="Y586:Y649" si="210">IF(PaybackStatus&lt;&gt;"",IF(PaybackStatus=$X$4,IF(X586&lt;=$Y$4,$Y$4,-1), -1), -1)</f>
        <v>-1</v>
      </c>
      <c r="Z586" s="32"/>
      <c r="AA586" s="30">
        <f t="shared" ref="AA586:AA649" si="211">E586</f>
        <v>15.806053965210245</v>
      </c>
      <c r="AB586" s="28">
        <f t="shared" ref="AB586:AB649" si="212">J586</f>
        <v>0.57193672790951011</v>
      </c>
      <c r="AC586" s="28">
        <f t="shared" ref="AC586:AC649" si="213">U586</f>
        <v>0.10964912280701754</v>
      </c>
      <c r="AD586" s="29">
        <f t="shared" ref="AD586:AD649" si="214">$AC$2*(AA586-$AC$3)/($AC$4-$AC$3)</f>
        <v>547.43833017077804</v>
      </c>
      <c r="AE586" s="28">
        <f t="shared" ref="AE586:AE649" si="215">MIN(AC586, AB586)</f>
        <v>0.10964912280701754</v>
      </c>
      <c r="AF586" s="28">
        <f t="shared" ref="AF586:AF649" si="216">IF(AND(AA586&lt;X586, AB586&gt;AC586), AB586-AC586, 0)</f>
        <v>0.46228760510249256</v>
      </c>
      <c r="AG586" s="28">
        <f t="shared" ref="AG586:AG649" si="217">IF(AND(AA586&lt;X586, AC586&gt;AB586), AC586-AB586, 0)</f>
        <v>0</v>
      </c>
      <c r="AI586" s="31">
        <f t="shared" ref="AI586:AI649" si="218">(K586-F586)/F586</f>
        <v>1.6954701004917911</v>
      </c>
      <c r="AJ586" s="25"/>
      <c r="AK586" s="31"/>
      <c r="AM586" s="27"/>
    </row>
    <row r="587" spans="4:39" x14ac:dyDescent="0.25">
      <c r="D587" s="25">
        <f>E587*'Profit per cycles Model'!$I$113</f>
        <v>5780</v>
      </c>
      <c r="E587" s="25">
        <v>15.83344747294891</v>
      </c>
      <c r="F587" s="28">
        <f t="shared" si="199"/>
        <v>0.17301038062283736</v>
      </c>
      <c r="G587" s="28">
        <f>'Battery Pricing Model'!$C$17/D587</f>
        <v>0.17301038062283736</v>
      </c>
      <c r="H587" s="28">
        <f t="shared" si="200"/>
        <v>999</v>
      </c>
      <c r="I587" s="28"/>
      <c r="J587" s="34">
        <f>INDEX('Profit per cycles Model'!$I$149:$I$179, MATCH(TRUNC(E587, 0), 'Profit per cycles Model'!$H$149:$H$179, 0))</f>
        <v>0.57193672790951011</v>
      </c>
      <c r="K587" s="27">
        <f>AVERAGE($AB$10:AB587)</f>
        <v>0.46733381795344053</v>
      </c>
      <c r="L587" s="28">
        <f t="shared" si="201"/>
        <v>0.29432343733060318</v>
      </c>
      <c r="M587" s="28">
        <f t="shared" si="202"/>
        <v>0.29432343733060318</v>
      </c>
      <c r="N587" s="28">
        <f t="shared" si="203"/>
        <v>999</v>
      </c>
      <c r="O587" s="28"/>
      <c r="P587" s="29">
        <f t="shared" ref="P587:P650" si="219">P586+0.001</f>
        <v>0.5780000000000004</v>
      </c>
      <c r="Q587" s="33">
        <f t="shared" si="204"/>
        <v>6.7114093959731544</v>
      </c>
      <c r="R587" s="33">
        <f t="shared" si="205"/>
        <v>6.7114093959731544</v>
      </c>
      <c r="S587" s="33">
        <f t="shared" si="206"/>
        <v>-1</v>
      </c>
      <c r="T587" s="27"/>
      <c r="U587" s="28">
        <f t="shared" si="207"/>
        <v>0.10964912280701754</v>
      </c>
      <c r="V587" s="25">
        <f t="shared" si="208"/>
        <v>999</v>
      </c>
      <c r="W587" s="35">
        <f t="shared" ref="W587:W650" si="220">IF( AND(X587&gt;0, Y587&gt;0), IF(X587&lt;Y587, X587, Y587),  IF(X587&gt;0, X587, IF(Y587&gt;0, Y587, -1)) )</f>
        <v>25</v>
      </c>
      <c r="X587" s="33">
        <f t="shared" si="209"/>
        <v>25</v>
      </c>
      <c r="Y587" s="32">
        <f t="shared" si="210"/>
        <v>-1</v>
      </c>
      <c r="Z587" s="32"/>
      <c r="AA587" s="30">
        <f t="shared" si="211"/>
        <v>15.83344747294891</v>
      </c>
      <c r="AB587" s="28">
        <f t="shared" si="212"/>
        <v>0.57193672790951011</v>
      </c>
      <c r="AC587" s="28">
        <f t="shared" si="213"/>
        <v>0.10964912280701754</v>
      </c>
      <c r="AD587" s="29">
        <f t="shared" si="214"/>
        <v>548.38709677419354</v>
      </c>
      <c r="AE587" s="28">
        <f t="shared" si="215"/>
        <v>0.10964912280701754</v>
      </c>
      <c r="AF587" s="28">
        <f t="shared" si="216"/>
        <v>0.46228760510249256</v>
      </c>
      <c r="AG587" s="28">
        <f t="shared" si="217"/>
        <v>0</v>
      </c>
      <c r="AI587" s="31">
        <f t="shared" si="218"/>
        <v>1.7011894677708865</v>
      </c>
      <c r="AJ587" s="25"/>
      <c r="AK587" s="31"/>
      <c r="AM587" s="27"/>
    </row>
    <row r="588" spans="4:39" x14ac:dyDescent="0.25">
      <c r="D588" s="25">
        <f>E588*'Profit per cycles Model'!$I$113</f>
        <v>5790</v>
      </c>
      <c r="E588" s="25">
        <v>15.860840980687577</v>
      </c>
      <c r="F588" s="28">
        <f t="shared" si="199"/>
        <v>0.17271157167530224</v>
      </c>
      <c r="G588" s="28">
        <f>'Battery Pricing Model'!$C$17/D588</f>
        <v>0.17271157167530224</v>
      </c>
      <c r="H588" s="28">
        <f t="shared" si="200"/>
        <v>999</v>
      </c>
      <c r="I588" s="28"/>
      <c r="J588" s="34">
        <f>INDEX('Profit per cycles Model'!$I$149:$I$179, MATCH(TRUNC(E588, 0), 'Profit per cycles Model'!$H$149:$H$179, 0))</f>
        <v>0.57193672790951011</v>
      </c>
      <c r="K588" s="27">
        <f>AVERAGE($AB$10:AB588)</f>
        <v>0.4675144792832438</v>
      </c>
      <c r="L588" s="28">
        <f t="shared" si="201"/>
        <v>0.29480290760794159</v>
      </c>
      <c r="M588" s="28">
        <f t="shared" si="202"/>
        <v>0.29480290760794159</v>
      </c>
      <c r="N588" s="28">
        <f t="shared" si="203"/>
        <v>999</v>
      </c>
      <c r="O588" s="28"/>
      <c r="P588" s="29">
        <f t="shared" si="219"/>
        <v>0.5790000000000004</v>
      </c>
      <c r="Q588" s="33">
        <f t="shared" si="204"/>
        <v>6.7114093959731544</v>
      </c>
      <c r="R588" s="33">
        <f t="shared" si="205"/>
        <v>6.7114093959731544</v>
      </c>
      <c r="S588" s="33">
        <f t="shared" si="206"/>
        <v>-1</v>
      </c>
      <c r="T588" s="27"/>
      <c r="U588" s="28">
        <f t="shared" si="207"/>
        <v>0.10964912280701754</v>
      </c>
      <c r="V588" s="25">
        <f t="shared" si="208"/>
        <v>999</v>
      </c>
      <c r="W588" s="35">
        <f t="shared" si="220"/>
        <v>25</v>
      </c>
      <c r="X588" s="33">
        <f t="shared" si="209"/>
        <v>25</v>
      </c>
      <c r="Y588" s="32">
        <f t="shared" si="210"/>
        <v>-1</v>
      </c>
      <c r="Z588" s="32"/>
      <c r="AA588" s="30">
        <f t="shared" si="211"/>
        <v>15.860840980687577</v>
      </c>
      <c r="AB588" s="28">
        <f t="shared" si="212"/>
        <v>0.57193672790951011</v>
      </c>
      <c r="AC588" s="28">
        <f t="shared" si="213"/>
        <v>0.10964912280701754</v>
      </c>
      <c r="AD588" s="29">
        <f t="shared" si="214"/>
        <v>549.33586337760914</v>
      </c>
      <c r="AE588" s="28">
        <f t="shared" si="215"/>
        <v>0.10964912280701754</v>
      </c>
      <c r="AF588" s="28">
        <f t="shared" si="216"/>
        <v>0.46228760510249256</v>
      </c>
      <c r="AG588" s="28">
        <f t="shared" si="217"/>
        <v>0</v>
      </c>
      <c r="AI588" s="31">
        <f t="shared" si="218"/>
        <v>1.7069088350499819</v>
      </c>
      <c r="AJ588" s="25"/>
      <c r="AK588" s="31"/>
      <c r="AM588" s="27"/>
    </row>
    <row r="589" spans="4:39" x14ac:dyDescent="0.25">
      <c r="D589" s="25">
        <f>E589*'Profit per cycles Model'!$I$113</f>
        <v>5800</v>
      </c>
      <c r="E589" s="25">
        <v>15.888234488426242</v>
      </c>
      <c r="F589" s="28">
        <f t="shared" si="199"/>
        <v>0.17241379310344829</v>
      </c>
      <c r="G589" s="28">
        <f>'Battery Pricing Model'!$C$17/D589</f>
        <v>0.17241379310344829</v>
      </c>
      <c r="H589" s="28">
        <f t="shared" si="200"/>
        <v>999</v>
      </c>
      <c r="I589" s="28"/>
      <c r="J589" s="34">
        <f>INDEX('Profit per cycles Model'!$I$149:$I$179, MATCH(TRUNC(E589, 0), 'Profit per cycles Model'!$H$149:$H$179, 0))</f>
        <v>0.57193672790951011</v>
      </c>
      <c r="K589" s="27">
        <f>AVERAGE($AB$10:AB589)</f>
        <v>0.46769451764294429</v>
      </c>
      <c r="L589" s="28">
        <f t="shared" si="201"/>
        <v>0.295280724539496</v>
      </c>
      <c r="M589" s="28">
        <f t="shared" si="202"/>
        <v>0.295280724539496</v>
      </c>
      <c r="N589" s="28">
        <f t="shared" si="203"/>
        <v>999</v>
      </c>
      <c r="O589" s="28"/>
      <c r="P589" s="29">
        <f t="shared" si="219"/>
        <v>0.5800000000000004</v>
      </c>
      <c r="Q589" s="33">
        <f t="shared" si="204"/>
        <v>6.7114093959731544</v>
      </c>
      <c r="R589" s="33">
        <f t="shared" si="205"/>
        <v>6.7114093959731544</v>
      </c>
      <c r="S589" s="33">
        <f t="shared" si="206"/>
        <v>-1</v>
      </c>
      <c r="T589" s="27"/>
      <c r="U589" s="28">
        <f t="shared" si="207"/>
        <v>0.10964912280701754</v>
      </c>
      <c r="V589" s="25">
        <f t="shared" si="208"/>
        <v>999</v>
      </c>
      <c r="W589" s="35">
        <f t="shared" si="220"/>
        <v>25</v>
      </c>
      <c r="X589" s="33">
        <f t="shared" si="209"/>
        <v>25</v>
      </c>
      <c r="Y589" s="32">
        <f t="shared" si="210"/>
        <v>-1</v>
      </c>
      <c r="Z589" s="32"/>
      <c r="AA589" s="30">
        <f t="shared" si="211"/>
        <v>15.888234488426242</v>
      </c>
      <c r="AB589" s="28">
        <f t="shared" si="212"/>
        <v>0.57193672790951011</v>
      </c>
      <c r="AC589" s="28">
        <f t="shared" si="213"/>
        <v>0.10964912280701754</v>
      </c>
      <c r="AD589" s="29">
        <f t="shared" si="214"/>
        <v>550.28462998102464</v>
      </c>
      <c r="AE589" s="28">
        <f t="shared" si="215"/>
        <v>0.10964912280701754</v>
      </c>
      <c r="AF589" s="28">
        <f t="shared" si="216"/>
        <v>0.46228760510249256</v>
      </c>
      <c r="AG589" s="28">
        <f t="shared" si="217"/>
        <v>0</v>
      </c>
      <c r="AI589" s="31">
        <f t="shared" si="218"/>
        <v>1.7126282023290766</v>
      </c>
      <c r="AJ589" s="25"/>
      <c r="AK589" s="31"/>
      <c r="AM589" s="27"/>
    </row>
    <row r="590" spans="4:39" x14ac:dyDescent="0.25">
      <c r="D590" s="25">
        <f>E590*'Profit per cycles Model'!$I$113</f>
        <v>5810</v>
      </c>
      <c r="E590" s="25">
        <v>15.915627996164908</v>
      </c>
      <c r="F590" s="28">
        <f t="shared" si="199"/>
        <v>0.1721170395869191</v>
      </c>
      <c r="G590" s="28">
        <f>'Battery Pricing Model'!$C$17/D590</f>
        <v>0.1721170395869191</v>
      </c>
      <c r="H590" s="28">
        <f t="shared" si="200"/>
        <v>999</v>
      </c>
      <c r="I590" s="28"/>
      <c r="J590" s="34">
        <f>INDEX('Profit per cycles Model'!$I$149:$I$179, MATCH(TRUNC(E590, 0), 'Profit per cycles Model'!$H$149:$H$179, 0))</f>
        <v>0.57193672790951011</v>
      </c>
      <c r="K590" s="27">
        <f>AVERAGE($AB$10:AB590)</f>
        <v>0.46787393624925511</v>
      </c>
      <c r="L590" s="28">
        <f t="shared" si="201"/>
        <v>0.29575689666233601</v>
      </c>
      <c r="M590" s="28">
        <f t="shared" si="202"/>
        <v>0.29575689666233601</v>
      </c>
      <c r="N590" s="28">
        <f t="shared" si="203"/>
        <v>999</v>
      </c>
      <c r="O590" s="28"/>
      <c r="P590" s="29">
        <f t="shared" si="219"/>
        <v>0.58100000000000041</v>
      </c>
      <c r="Q590" s="33">
        <f t="shared" si="204"/>
        <v>6.7114093959731544</v>
      </c>
      <c r="R590" s="33">
        <f t="shared" si="205"/>
        <v>6.7114093959731544</v>
      </c>
      <c r="S590" s="33">
        <f t="shared" si="206"/>
        <v>-1</v>
      </c>
      <c r="T590" s="27"/>
      <c r="U590" s="28">
        <f t="shared" si="207"/>
        <v>0.10964912280701754</v>
      </c>
      <c r="V590" s="25">
        <f t="shared" si="208"/>
        <v>999</v>
      </c>
      <c r="W590" s="35">
        <f t="shared" si="220"/>
        <v>25</v>
      </c>
      <c r="X590" s="33">
        <f t="shared" si="209"/>
        <v>25</v>
      </c>
      <c r="Y590" s="32">
        <f t="shared" si="210"/>
        <v>-1</v>
      </c>
      <c r="Z590" s="32"/>
      <c r="AA590" s="30">
        <f t="shared" si="211"/>
        <v>15.915627996164908</v>
      </c>
      <c r="AB590" s="28">
        <f t="shared" si="212"/>
        <v>0.57193672790951011</v>
      </c>
      <c r="AC590" s="28">
        <f t="shared" si="213"/>
        <v>0.10964912280701754</v>
      </c>
      <c r="AD590" s="29">
        <f t="shared" si="214"/>
        <v>551.23339658444024</v>
      </c>
      <c r="AE590" s="28">
        <f t="shared" si="215"/>
        <v>0.10964912280701754</v>
      </c>
      <c r="AF590" s="28">
        <f t="shared" si="216"/>
        <v>0.46228760510249256</v>
      </c>
      <c r="AG590" s="28">
        <f t="shared" si="217"/>
        <v>0</v>
      </c>
      <c r="AI590" s="31">
        <f t="shared" si="218"/>
        <v>1.7183475696081723</v>
      </c>
      <c r="AJ590" s="25"/>
      <c r="AK590" s="31"/>
      <c r="AM590" s="27"/>
    </row>
    <row r="591" spans="4:39" x14ac:dyDescent="0.25">
      <c r="D591" s="25">
        <f>E591*'Profit per cycles Model'!$I$113</f>
        <v>5820</v>
      </c>
      <c r="E591" s="25">
        <v>15.943021503903575</v>
      </c>
      <c r="F591" s="28">
        <f t="shared" si="199"/>
        <v>0.1718213058419244</v>
      </c>
      <c r="G591" s="28">
        <f>'Battery Pricing Model'!$C$17/D591</f>
        <v>0.1718213058419244</v>
      </c>
      <c r="H591" s="28">
        <f t="shared" si="200"/>
        <v>999</v>
      </c>
      <c r="I591" s="28"/>
      <c r="J591" s="34">
        <f>INDEX('Profit per cycles Model'!$I$149:$I$179, MATCH(TRUNC(E591, 0), 'Profit per cycles Model'!$H$149:$H$179, 0))</f>
        <v>0.57193672790951011</v>
      </c>
      <c r="K591" s="27">
        <f>AVERAGE($AB$10:AB591)</f>
        <v>0.4680527382967814</v>
      </c>
      <c r="L591" s="28">
        <f t="shared" si="201"/>
        <v>0.296231432454857</v>
      </c>
      <c r="M591" s="28">
        <f t="shared" si="202"/>
        <v>0.296231432454857</v>
      </c>
      <c r="N591" s="28">
        <f t="shared" si="203"/>
        <v>999</v>
      </c>
      <c r="O591" s="28"/>
      <c r="P591" s="29">
        <f t="shared" si="219"/>
        <v>0.58200000000000041</v>
      </c>
      <c r="Q591" s="33">
        <f t="shared" si="204"/>
        <v>6.7114093959731544</v>
      </c>
      <c r="R591" s="33">
        <f t="shared" si="205"/>
        <v>6.7114093959731544</v>
      </c>
      <c r="S591" s="33">
        <f t="shared" si="206"/>
        <v>-1</v>
      </c>
      <c r="T591" s="27"/>
      <c r="U591" s="28">
        <f t="shared" si="207"/>
        <v>0.10964912280701754</v>
      </c>
      <c r="V591" s="25">
        <f t="shared" si="208"/>
        <v>999</v>
      </c>
      <c r="W591" s="35">
        <f t="shared" si="220"/>
        <v>25</v>
      </c>
      <c r="X591" s="33">
        <f t="shared" si="209"/>
        <v>25</v>
      </c>
      <c r="Y591" s="32">
        <f t="shared" si="210"/>
        <v>-1</v>
      </c>
      <c r="Z591" s="32"/>
      <c r="AA591" s="30">
        <f t="shared" si="211"/>
        <v>15.943021503903575</v>
      </c>
      <c r="AB591" s="28">
        <f t="shared" si="212"/>
        <v>0.57193672790951011</v>
      </c>
      <c r="AC591" s="28">
        <f t="shared" si="213"/>
        <v>0.10964912280701754</v>
      </c>
      <c r="AD591" s="29">
        <f t="shared" si="214"/>
        <v>552.18216318785585</v>
      </c>
      <c r="AE591" s="28">
        <f t="shared" si="215"/>
        <v>0.10964912280701754</v>
      </c>
      <c r="AF591" s="28">
        <f t="shared" si="216"/>
        <v>0.46228760510249256</v>
      </c>
      <c r="AG591" s="28">
        <f t="shared" si="217"/>
        <v>0</v>
      </c>
      <c r="AI591" s="31">
        <f t="shared" si="218"/>
        <v>1.7240669368872676</v>
      </c>
      <c r="AJ591" s="25"/>
      <c r="AK591" s="31"/>
      <c r="AM591" s="27"/>
    </row>
    <row r="592" spans="4:39" x14ac:dyDescent="0.25">
      <c r="D592" s="25">
        <f>E592*'Profit per cycles Model'!$I$113</f>
        <v>5830</v>
      </c>
      <c r="E592" s="25">
        <v>15.97041501164224</v>
      </c>
      <c r="F592" s="28">
        <f t="shared" si="199"/>
        <v>0.17152658662092624</v>
      </c>
      <c r="G592" s="28">
        <f>'Battery Pricing Model'!$C$17/D592</f>
        <v>0.17152658662092624</v>
      </c>
      <c r="H592" s="28">
        <f t="shared" si="200"/>
        <v>999</v>
      </c>
      <c r="I592" s="28"/>
      <c r="J592" s="34">
        <f>INDEX('Profit per cycles Model'!$I$149:$I$179, MATCH(TRUNC(E592, 0), 'Profit per cycles Model'!$H$149:$H$179, 0))</f>
        <v>0.57193672790951011</v>
      </c>
      <c r="K592" s="27">
        <f>AVERAGE($J$10:J1592)</f>
        <v>0.56883042089778579</v>
      </c>
      <c r="L592" s="28">
        <f t="shared" si="201"/>
        <v>0.39730383427685956</v>
      </c>
      <c r="M592" s="28">
        <f t="shared" si="202"/>
        <v>0.39730383427685956</v>
      </c>
      <c r="N592" s="28">
        <f t="shared" si="203"/>
        <v>999</v>
      </c>
      <c r="O592" s="28"/>
      <c r="P592" s="29">
        <f t="shared" si="219"/>
        <v>0.58300000000000041</v>
      </c>
      <c r="Q592" s="33">
        <f t="shared" si="204"/>
        <v>6.7114093959731544</v>
      </c>
      <c r="R592" s="33">
        <f t="shared" si="205"/>
        <v>6.7114093959731544</v>
      </c>
      <c r="S592" s="33">
        <f t="shared" si="206"/>
        <v>-1</v>
      </c>
      <c r="T592" s="27"/>
      <c r="U592" s="28">
        <f t="shared" si="207"/>
        <v>0.10964912280701754</v>
      </c>
      <c r="V592" s="25">
        <f t="shared" si="208"/>
        <v>999</v>
      </c>
      <c r="W592" s="35">
        <f t="shared" si="220"/>
        <v>25</v>
      </c>
      <c r="X592" s="33">
        <f t="shared" si="209"/>
        <v>25</v>
      </c>
      <c r="Y592" s="32">
        <f t="shared" si="210"/>
        <v>-1</v>
      </c>
      <c r="Z592" s="32"/>
      <c r="AA592" s="30">
        <f t="shared" si="211"/>
        <v>15.97041501164224</v>
      </c>
      <c r="AB592" s="28">
        <f t="shared" si="212"/>
        <v>0.57193672790951011</v>
      </c>
      <c r="AC592" s="28">
        <f t="shared" si="213"/>
        <v>0.10964912280701754</v>
      </c>
      <c r="AD592" s="29">
        <f t="shared" si="214"/>
        <v>553.13092979127134</v>
      </c>
      <c r="AE592" s="28">
        <f t="shared" si="215"/>
        <v>0.10964912280701754</v>
      </c>
      <c r="AF592" s="28">
        <f t="shared" si="216"/>
        <v>0.46228760510249256</v>
      </c>
      <c r="AG592" s="28">
        <f t="shared" si="217"/>
        <v>0</v>
      </c>
      <c r="AI592" s="31">
        <f t="shared" si="218"/>
        <v>2.3162813538340914</v>
      </c>
      <c r="AJ592" s="25"/>
      <c r="AK592" s="31"/>
      <c r="AM592" s="27"/>
    </row>
    <row r="593" spans="4:39" x14ac:dyDescent="0.25">
      <c r="D593" s="25">
        <f>E593*'Profit per cycles Model'!$I$113</f>
        <v>5840</v>
      </c>
      <c r="E593" s="25">
        <v>15.997808519380905</v>
      </c>
      <c r="F593" s="28">
        <f t="shared" si="199"/>
        <v>0.17123287671232876</v>
      </c>
      <c r="G593" s="28">
        <f>'Battery Pricing Model'!$C$17/D593</f>
        <v>0.17123287671232876</v>
      </c>
      <c r="H593" s="28">
        <f t="shared" si="200"/>
        <v>999</v>
      </c>
      <c r="I593" s="28"/>
      <c r="J593" s="34">
        <f>INDEX('Profit per cycles Model'!$I$149:$I$179, MATCH(TRUNC(E593, 0), 'Profit per cycles Model'!$H$149:$H$179, 0))</f>
        <v>0.57193672790951011</v>
      </c>
      <c r="K593" s="27">
        <f>AVERAGE($J$10:J1593)</f>
        <v>0.56883042089778579</v>
      </c>
      <c r="L593" s="28">
        <f t="shared" si="201"/>
        <v>0.39759754418545701</v>
      </c>
      <c r="M593" s="28">
        <f t="shared" si="202"/>
        <v>0.39759754418545701</v>
      </c>
      <c r="N593" s="28">
        <f t="shared" si="203"/>
        <v>999</v>
      </c>
      <c r="O593" s="28"/>
      <c r="P593" s="29">
        <f t="shared" si="219"/>
        <v>0.58400000000000041</v>
      </c>
      <c r="Q593" s="33">
        <f t="shared" si="204"/>
        <v>6.7114093959731544</v>
      </c>
      <c r="R593" s="33">
        <f t="shared" si="205"/>
        <v>6.7114093959731544</v>
      </c>
      <c r="S593" s="33">
        <f t="shared" si="206"/>
        <v>-1</v>
      </c>
      <c r="T593" s="27"/>
      <c r="U593" s="28">
        <f t="shared" si="207"/>
        <v>0.10964912280701754</v>
      </c>
      <c r="V593" s="25">
        <f t="shared" si="208"/>
        <v>999</v>
      </c>
      <c r="W593" s="35">
        <f t="shared" si="220"/>
        <v>25</v>
      </c>
      <c r="X593" s="33">
        <f t="shared" si="209"/>
        <v>25</v>
      </c>
      <c r="Y593" s="32">
        <f t="shared" si="210"/>
        <v>-1</v>
      </c>
      <c r="Z593" s="32"/>
      <c r="AA593" s="30">
        <f t="shared" si="211"/>
        <v>15.997808519380905</v>
      </c>
      <c r="AB593" s="28">
        <f t="shared" si="212"/>
        <v>0.57193672790951011</v>
      </c>
      <c r="AC593" s="28">
        <f t="shared" si="213"/>
        <v>0.10964912280701754</v>
      </c>
      <c r="AD593" s="29">
        <f t="shared" si="214"/>
        <v>554.07969639468695</v>
      </c>
      <c r="AE593" s="28">
        <f t="shared" si="215"/>
        <v>0.10964912280701754</v>
      </c>
      <c r="AF593" s="28">
        <f t="shared" si="216"/>
        <v>0.46228760510249256</v>
      </c>
      <c r="AG593" s="28">
        <f t="shared" si="217"/>
        <v>0</v>
      </c>
      <c r="AI593" s="31">
        <f t="shared" si="218"/>
        <v>2.3219696580430691</v>
      </c>
      <c r="AJ593" s="25"/>
      <c r="AK593" s="31"/>
      <c r="AM593" s="27"/>
    </row>
    <row r="594" spans="4:39" x14ac:dyDescent="0.25">
      <c r="D594" s="25">
        <f>E594*'Profit per cycles Model'!$I$113</f>
        <v>5850</v>
      </c>
      <c r="E594" s="25">
        <v>16.025202027119573</v>
      </c>
      <c r="F594" s="28">
        <f t="shared" si="199"/>
        <v>0.17094017094017094</v>
      </c>
      <c r="G594" s="28">
        <f>'Battery Pricing Model'!$C$17/D594</f>
        <v>0.17094017094017094</v>
      </c>
      <c r="H594" s="28">
        <f t="shared" si="200"/>
        <v>999</v>
      </c>
      <c r="I594" s="28"/>
      <c r="J594" s="34">
        <f>INDEX('Profit per cycles Model'!$I$149:$I$179, MATCH(TRUNC(E594, 0), 'Profit per cycles Model'!$H$149:$H$179, 0))</f>
        <v>0.58776455787195381</v>
      </c>
      <c r="K594" s="27">
        <f>AVERAGE($J$10:J1594)</f>
        <v>0.56883042089778579</v>
      </c>
      <c r="L594" s="28">
        <f t="shared" si="201"/>
        <v>0.39789024995761485</v>
      </c>
      <c r="M594" s="28">
        <f t="shared" si="202"/>
        <v>0.39789024995761485</v>
      </c>
      <c r="N594" s="28">
        <f t="shared" si="203"/>
        <v>999</v>
      </c>
      <c r="O594" s="28"/>
      <c r="P594" s="29">
        <f t="shared" si="219"/>
        <v>0.58500000000000041</v>
      </c>
      <c r="Q594" s="33">
        <f t="shared" si="204"/>
        <v>6.7114093959731544</v>
      </c>
      <c r="R594" s="33">
        <f t="shared" si="205"/>
        <v>6.7114093959731544</v>
      </c>
      <c r="S594" s="33">
        <f t="shared" si="206"/>
        <v>-1</v>
      </c>
      <c r="T594" s="27"/>
      <c r="U594" s="28">
        <f t="shared" si="207"/>
        <v>0.10964912280701754</v>
      </c>
      <c r="V594" s="25">
        <f t="shared" si="208"/>
        <v>999</v>
      </c>
      <c r="W594" s="35">
        <f t="shared" si="220"/>
        <v>25</v>
      </c>
      <c r="X594" s="33">
        <f t="shared" si="209"/>
        <v>25</v>
      </c>
      <c r="Y594" s="32">
        <f t="shared" si="210"/>
        <v>-1</v>
      </c>
      <c r="Z594" s="32"/>
      <c r="AA594" s="30">
        <f t="shared" si="211"/>
        <v>16.025202027119573</v>
      </c>
      <c r="AB594" s="28">
        <f t="shared" si="212"/>
        <v>0.58776455787195381</v>
      </c>
      <c r="AC594" s="28">
        <f t="shared" si="213"/>
        <v>0.10964912280701754</v>
      </c>
      <c r="AD594" s="29">
        <f t="shared" si="214"/>
        <v>555.02846299810244</v>
      </c>
      <c r="AE594" s="28">
        <f t="shared" si="215"/>
        <v>0.10964912280701754</v>
      </c>
      <c r="AF594" s="28">
        <f t="shared" si="216"/>
        <v>0.47811543506493626</v>
      </c>
      <c r="AG594" s="28">
        <f t="shared" si="217"/>
        <v>0</v>
      </c>
      <c r="AI594" s="31">
        <f t="shared" si="218"/>
        <v>2.3276579622520468</v>
      </c>
      <c r="AJ594" s="25"/>
      <c r="AK594" s="31"/>
      <c r="AM594" s="27"/>
    </row>
    <row r="595" spans="4:39" x14ac:dyDescent="0.25">
      <c r="D595" s="25">
        <f>E595*'Profit per cycles Model'!$I$113</f>
        <v>5860</v>
      </c>
      <c r="E595" s="25">
        <v>16.052595534858238</v>
      </c>
      <c r="F595" s="28">
        <f t="shared" si="199"/>
        <v>0.17064846416382254</v>
      </c>
      <c r="G595" s="28">
        <f>'Battery Pricing Model'!$C$17/D595</f>
        <v>0.17064846416382254</v>
      </c>
      <c r="H595" s="28">
        <f t="shared" si="200"/>
        <v>999</v>
      </c>
      <c r="I595" s="28"/>
      <c r="J595" s="34">
        <f>INDEX('Profit per cycles Model'!$I$149:$I$179, MATCH(TRUNC(E595, 0), 'Profit per cycles Model'!$H$149:$H$179, 0))</f>
        <v>0.58776455787195381</v>
      </c>
      <c r="K595" s="27">
        <f>AVERAGE($J$10:J1595)</f>
        <v>0.56883042089778579</v>
      </c>
      <c r="L595" s="28">
        <f t="shared" si="201"/>
        <v>0.39818195673396328</v>
      </c>
      <c r="M595" s="28">
        <f t="shared" si="202"/>
        <v>0.39818195673396328</v>
      </c>
      <c r="N595" s="28">
        <f t="shared" si="203"/>
        <v>999</v>
      </c>
      <c r="O595" s="28"/>
      <c r="P595" s="29">
        <f t="shared" si="219"/>
        <v>0.58600000000000041</v>
      </c>
      <c r="Q595" s="33">
        <f t="shared" si="204"/>
        <v>6.7114093959731544</v>
      </c>
      <c r="R595" s="33">
        <f t="shared" si="205"/>
        <v>6.7114093959731544</v>
      </c>
      <c r="S595" s="33">
        <f t="shared" si="206"/>
        <v>-1</v>
      </c>
      <c r="T595" s="27"/>
      <c r="U595" s="28">
        <f t="shared" si="207"/>
        <v>0.10964912280701754</v>
      </c>
      <c r="V595" s="25">
        <f t="shared" si="208"/>
        <v>999</v>
      </c>
      <c r="W595" s="35">
        <f t="shared" si="220"/>
        <v>25</v>
      </c>
      <c r="X595" s="33">
        <f t="shared" si="209"/>
        <v>25</v>
      </c>
      <c r="Y595" s="32">
        <f t="shared" si="210"/>
        <v>-1</v>
      </c>
      <c r="Z595" s="32"/>
      <c r="AA595" s="30">
        <f t="shared" si="211"/>
        <v>16.052595534858238</v>
      </c>
      <c r="AB595" s="28">
        <f t="shared" si="212"/>
        <v>0.58776455787195381</v>
      </c>
      <c r="AC595" s="28">
        <f t="shared" si="213"/>
        <v>0.10964912280701754</v>
      </c>
      <c r="AD595" s="29">
        <f t="shared" si="214"/>
        <v>555.97722960151805</v>
      </c>
      <c r="AE595" s="28">
        <f t="shared" si="215"/>
        <v>0.10964912280701754</v>
      </c>
      <c r="AF595" s="28">
        <f t="shared" si="216"/>
        <v>0.47811543506493626</v>
      </c>
      <c r="AG595" s="28">
        <f t="shared" si="217"/>
        <v>0</v>
      </c>
      <c r="AI595" s="31">
        <f t="shared" si="218"/>
        <v>2.3333462664610245</v>
      </c>
      <c r="AJ595" s="25"/>
      <c r="AK595" s="31"/>
      <c r="AM595" s="27"/>
    </row>
    <row r="596" spans="4:39" x14ac:dyDescent="0.25">
      <c r="D596" s="25">
        <f>E596*'Profit per cycles Model'!$I$113</f>
        <v>5870</v>
      </c>
      <c r="E596" s="25">
        <v>16.079989042596903</v>
      </c>
      <c r="F596" s="28">
        <f t="shared" si="199"/>
        <v>0.17035775127768313</v>
      </c>
      <c r="G596" s="28">
        <f>'Battery Pricing Model'!$C$17/D596</f>
        <v>0.17035775127768313</v>
      </c>
      <c r="H596" s="28">
        <f t="shared" si="200"/>
        <v>999</v>
      </c>
      <c r="I596" s="28"/>
      <c r="J596" s="34">
        <f>INDEX('Profit per cycles Model'!$I$149:$I$179, MATCH(TRUNC(E596, 0), 'Profit per cycles Model'!$H$149:$H$179, 0))</f>
        <v>0.58776455787195381</v>
      </c>
      <c r="K596" s="27">
        <f>AVERAGE($J$10:J1596)</f>
        <v>0.56883042089778579</v>
      </c>
      <c r="L596" s="28">
        <f t="shared" si="201"/>
        <v>0.39847266962010264</v>
      </c>
      <c r="M596" s="28">
        <f t="shared" si="202"/>
        <v>0.39847266962010264</v>
      </c>
      <c r="N596" s="28">
        <f t="shared" si="203"/>
        <v>999</v>
      </c>
      <c r="O596" s="28"/>
      <c r="P596" s="29">
        <f t="shared" si="219"/>
        <v>0.58700000000000041</v>
      </c>
      <c r="Q596" s="33">
        <f t="shared" si="204"/>
        <v>6.7114093959731544</v>
      </c>
      <c r="R596" s="33">
        <f t="shared" si="205"/>
        <v>6.7114093959731544</v>
      </c>
      <c r="S596" s="33">
        <f t="shared" si="206"/>
        <v>-1</v>
      </c>
      <c r="T596" s="27"/>
      <c r="U596" s="28">
        <f t="shared" si="207"/>
        <v>0.10964912280701754</v>
      </c>
      <c r="V596" s="25">
        <f t="shared" si="208"/>
        <v>999</v>
      </c>
      <c r="W596" s="35">
        <f t="shared" si="220"/>
        <v>25</v>
      </c>
      <c r="X596" s="33">
        <f t="shared" si="209"/>
        <v>25</v>
      </c>
      <c r="Y596" s="32">
        <f t="shared" si="210"/>
        <v>-1</v>
      </c>
      <c r="Z596" s="32"/>
      <c r="AA596" s="30">
        <f t="shared" si="211"/>
        <v>16.079989042596903</v>
      </c>
      <c r="AB596" s="28">
        <f t="shared" si="212"/>
        <v>0.58776455787195381</v>
      </c>
      <c r="AC596" s="28">
        <f t="shared" si="213"/>
        <v>0.10964912280701754</v>
      </c>
      <c r="AD596" s="29">
        <f t="shared" si="214"/>
        <v>556.92599620493354</v>
      </c>
      <c r="AE596" s="28">
        <f t="shared" si="215"/>
        <v>0.10964912280701754</v>
      </c>
      <c r="AF596" s="28">
        <f t="shared" si="216"/>
        <v>0.47811543506493626</v>
      </c>
      <c r="AG596" s="28">
        <f t="shared" si="217"/>
        <v>0</v>
      </c>
      <c r="AI596" s="31">
        <f t="shared" si="218"/>
        <v>2.3390345706700026</v>
      </c>
      <c r="AJ596" s="25"/>
      <c r="AK596" s="31"/>
      <c r="AM596" s="27"/>
    </row>
    <row r="597" spans="4:39" x14ac:dyDescent="0.25">
      <c r="D597" s="25">
        <f>E597*'Profit per cycles Model'!$I$113</f>
        <v>5879.9999999999991</v>
      </c>
      <c r="E597" s="25">
        <v>16.107382550335569</v>
      </c>
      <c r="F597" s="28">
        <f t="shared" si="199"/>
        <v>0.17006802721088438</v>
      </c>
      <c r="G597" s="28">
        <f>'Battery Pricing Model'!$C$17/D597</f>
        <v>0.17006802721088438</v>
      </c>
      <c r="H597" s="28">
        <f t="shared" si="200"/>
        <v>999</v>
      </c>
      <c r="I597" s="28"/>
      <c r="J597" s="34">
        <f>INDEX('Profit per cycles Model'!$I$149:$I$179, MATCH(TRUNC(E597, 0), 'Profit per cycles Model'!$H$149:$H$179, 0))</f>
        <v>0.58776455787195381</v>
      </c>
      <c r="K597" s="27">
        <f>AVERAGE($J$10:J1597)</f>
        <v>0.56883042089778579</v>
      </c>
      <c r="L597" s="28">
        <f t="shared" si="201"/>
        <v>0.39876239368690142</v>
      </c>
      <c r="M597" s="28">
        <f t="shared" si="202"/>
        <v>0.39876239368690142</v>
      </c>
      <c r="N597" s="28">
        <f t="shared" si="203"/>
        <v>999</v>
      </c>
      <c r="O597" s="28"/>
      <c r="P597" s="29">
        <f t="shared" si="219"/>
        <v>0.58800000000000041</v>
      </c>
      <c r="Q597" s="33">
        <f t="shared" si="204"/>
        <v>6.7114093959731544</v>
      </c>
      <c r="R597" s="33">
        <f t="shared" si="205"/>
        <v>6.7114093959731544</v>
      </c>
      <c r="S597" s="33">
        <f t="shared" si="206"/>
        <v>-1</v>
      </c>
      <c r="T597" s="27"/>
      <c r="U597" s="28">
        <f t="shared" si="207"/>
        <v>0.10964912280701754</v>
      </c>
      <c r="V597" s="25">
        <f t="shared" si="208"/>
        <v>999</v>
      </c>
      <c r="W597" s="35">
        <f t="shared" si="220"/>
        <v>25</v>
      </c>
      <c r="X597" s="33">
        <f t="shared" si="209"/>
        <v>25</v>
      </c>
      <c r="Y597" s="32">
        <f t="shared" si="210"/>
        <v>-1</v>
      </c>
      <c r="Z597" s="32"/>
      <c r="AA597" s="30">
        <f t="shared" si="211"/>
        <v>16.107382550335569</v>
      </c>
      <c r="AB597" s="28">
        <f t="shared" si="212"/>
        <v>0.58776455787195381</v>
      </c>
      <c r="AC597" s="28">
        <f t="shared" si="213"/>
        <v>0.10964912280701754</v>
      </c>
      <c r="AD597" s="29">
        <f t="shared" si="214"/>
        <v>557.87476280834915</v>
      </c>
      <c r="AE597" s="28">
        <f t="shared" si="215"/>
        <v>0.10964912280701754</v>
      </c>
      <c r="AF597" s="28">
        <f t="shared" si="216"/>
        <v>0.47811543506493626</v>
      </c>
      <c r="AG597" s="28">
        <f t="shared" si="217"/>
        <v>0</v>
      </c>
      <c r="AI597" s="31">
        <f t="shared" si="218"/>
        <v>2.3447228748789799</v>
      </c>
      <c r="AJ597" s="25"/>
      <c r="AK597" s="31"/>
      <c r="AM597" s="27"/>
    </row>
    <row r="598" spans="4:39" x14ac:dyDescent="0.25">
      <c r="D598" s="25">
        <f>E598*'Profit per cycles Model'!$I$113</f>
        <v>5890.0000000000009</v>
      </c>
      <c r="E598" s="25">
        <v>16.134776058074237</v>
      </c>
      <c r="F598" s="28">
        <f t="shared" si="199"/>
        <v>0.16977928692699487</v>
      </c>
      <c r="G598" s="28">
        <f>'Battery Pricing Model'!$C$17/D598</f>
        <v>0.16977928692699487</v>
      </c>
      <c r="H598" s="28">
        <f t="shared" si="200"/>
        <v>999</v>
      </c>
      <c r="I598" s="28"/>
      <c r="J598" s="34">
        <f>INDEX('Profit per cycles Model'!$I$149:$I$179, MATCH(TRUNC(E598, 0), 'Profit per cycles Model'!$H$149:$H$179, 0))</f>
        <v>0.58776455787195381</v>
      </c>
      <c r="K598" s="27">
        <f>AVERAGE($J$10:J1598)</f>
        <v>0.56883042089778579</v>
      </c>
      <c r="L598" s="28">
        <f t="shared" si="201"/>
        <v>0.39905113397079095</v>
      </c>
      <c r="M598" s="28">
        <f t="shared" si="202"/>
        <v>0.39905113397079095</v>
      </c>
      <c r="N598" s="28">
        <f t="shared" si="203"/>
        <v>999</v>
      </c>
      <c r="O598" s="28"/>
      <c r="P598" s="29">
        <f t="shared" si="219"/>
        <v>0.58900000000000041</v>
      </c>
      <c r="Q598" s="33">
        <f t="shared" si="204"/>
        <v>6.7114093959731544</v>
      </c>
      <c r="R598" s="33">
        <f t="shared" si="205"/>
        <v>6.7114093959731544</v>
      </c>
      <c r="S598" s="33">
        <f t="shared" si="206"/>
        <v>-1</v>
      </c>
      <c r="T598" s="27"/>
      <c r="U598" s="28">
        <f t="shared" si="207"/>
        <v>0.10964912280701754</v>
      </c>
      <c r="V598" s="25">
        <f t="shared" si="208"/>
        <v>999</v>
      </c>
      <c r="W598" s="35">
        <f t="shared" si="220"/>
        <v>25</v>
      </c>
      <c r="X598" s="33">
        <f t="shared" si="209"/>
        <v>25</v>
      </c>
      <c r="Y598" s="32">
        <f t="shared" si="210"/>
        <v>-1</v>
      </c>
      <c r="Z598" s="32"/>
      <c r="AA598" s="30">
        <f t="shared" si="211"/>
        <v>16.134776058074237</v>
      </c>
      <c r="AB598" s="28">
        <f t="shared" si="212"/>
        <v>0.58776455787195381</v>
      </c>
      <c r="AC598" s="28">
        <f t="shared" si="213"/>
        <v>0.10964912280701754</v>
      </c>
      <c r="AD598" s="29">
        <f t="shared" si="214"/>
        <v>558.82352941176475</v>
      </c>
      <c r="AE598" s="28">
        <f t="shared" si="215"/>
        <v>0.10964912280701754</v>
      </c>
      <c r="AF598" s="28">
        <f t="shared" si="216"/>
        <v>0.47811543506493626</v>
      </c>
      <c r="AG598" s="28">
        <f t="shared" si="217"/>
        <v>0</v>
      </c>
      <c r="AI598" s="31">
        <f t="shared" si="218"/>
        <v>2.3504111790879594</v>
      </c>
      <c r="AJ598" s="25"/>
      <c r="AK598" s="31"/>
      <c r="AM598" s="27"/>
    </row>
    <row r="599" spans="4:39" x14ac:dyDescent="0.25">
      <c r="D599" s="25">
        <f>E599*'Profit per cycles Model'!$I$113</f>
        <v>5900</v>
      </c>
      <c r="E599" s="25">
        <v>16.162169565812903</v>
      </c>
      <c r="F599" s="28">
        <f t="shared" si="199"/>
        <v>0.16949152542372881</v>
      </c>
      <c r="G599" s="28">
        <f>'Battery Pricing Model'!$C$17/D599</f>
        <v>0.16949152542372881</v>
      </c>
      <c r="H599" s="28">
        <f t="shared" si="200"/>
        <v>999</v>
      </c>
      <c r="I599" s="28"/>
      <c r="J599" s="34">
        <f>INDEX('Profit per cycles Model'!$I$149:$I$179, MATCH(TRUNC(E599, 0), 'Profit per cycles Model'!$H$149:$H$179, 0))</f>
        <v>0.58776455787195381</v>
      </c>
      <c r="K599" s="27">
        <f>AVERAGE($J$10:J1599)</f>
        <v>0.56883042089778579</v>
      </c>
      <c r="L599" s="28">
        <f t="shared" si="201"/>
        <v>0.39933889547405699</v>
      </c>
      <c r="M599" s="28">
        <f t="shared" si="202"/>
        <v>0.39933889547405699</v>
      </c>
      <c r="N599" s="28">
        <f t="shared" si="203"/>
        <v>999</v>
      </c>
      <c r="O599" s="28"/>
      <c r="P599" s="29">
        <f t="shared" si="219"/>
        <v>0.59000000000000041</v>
      </c>
      <c r="Q599" s="33">
        <f t="shared" si="204"/>
        <v>6.7114093959731544</v>
      </c>
      <c r="R599" s="33">
        <f t="shared" si="205"/>
        <v>6.7114093959731544</v>
      </c>
      <c r="S599" s="33">
        <f t="shared" si="206"/>
        <v>-1</v>
      </c>
      <c r="T599" s="27"/>
      <c r="U599" s="28">
        <f t="shared" si="207"/>
        <v>0.10964912280701754</v>
      </c>
      <c r="V599" s="25">
        <f t="shared" si="208"/>
        <v>999</v>
      </c>
      <c r="W599" s="35">
        <f t="shared" si="220"/>
        <v>25</v>
      </c>
      <c r="X599" s="33">
        <f t="shared" si="209"/>
        <v>25</v>
      </c>
      <c r="Y599" s="32">
        <f t="shared" si="210"/>
        <v>-1</v>
      </c>
      <c r="Z599" s="32"/>
      <c r="AA599" s="30">
        <f t="shared" si="211"/>
        <v>16.162169565812903</v>
      </c>
      <c r="AB599" s="28">
        <f t="shared" si="212"/>
        <v>0.58776455787195381</v>
      </c>
      <c r="AC599" s="28">
        <f t="shared" si="213"/>
        <v>0.10964912280701754</v>
      </c>
      <c r="AD599" s="29">
        <f t="shared" si="214"/>
        <v>559.77229601518036</v>
      </c>
      <c r="AE599" s="28">
        <f t="shared" si="215"/>
        <v>0.10964912280701754</v>
      </c>
      <c r="AF599" s="28">
        <f t="shared" si="216"/>
        <v>0.47811543506493626</v>
      </c>
      <c r="AG599" s="28">
        <f t="shared" si="217"/>
        <v>0</v>
      </c>
      <c r="AI599" s="31">
        <f t="shared" si="218"/>
        <v>2.3560994832969362</v>
      </c>
      <c r="AJ599" s="25"/>
      <c r="AK599" s="31"/>
      <c r="AM599" s="27"/>
    </row>
    <row r="600" spans="4:39" x14ac:dyDescent="0.25">
      <c r="D600" s="25">
        <f>E600*'Profit per cycles Model'!$I$113</f>
        <v>5910</v>
      </c>
      <c r="E600" s="25">
        <v>16.189563073551568</v>
      </c>
      <c r="F600" s="28">
        <f t="shared" si="199"/>
        <v>0.16920473773265651</v>
      </c>
      <c r="G600" s="28">
        <f>'Battery Pricing Model'!$C$17/D600</f>
        <v>0.16920473773265651</v>
      </c>
      <c r="H600" s="28">
        <f t="shared" si="200"/>
        <v>999</v>
      </c>
      <c r="I600" s="28"/>
      <c r="J600" s="34">
        <f>INDEX('Profit per cycles Model'!$I$149:$I$179, MATCH(TRUNC(E600, 0), 'Profit per cycles Model'!$H$149:$H$179, 0))</f>
        <v>0.58776455787195381</v>
      </c>
      <c r="K600" s="27">
        <f>AVERAGE($J$10:J1600)</f>
        <v>0.56883042089778579</v>
      </c>
      <c r="L600" s="28">
        <f t="shared" si="201"/>
        <v>0.39962568316512925</v>
      </c>
      <c r="M600" s="28">
        <f t="shared" si="202"/>
        <v>0.39962568316512925</v>
      </c>
      <c r="N600" s="28">
        <f t="shared" si="203"/>
        <v>999</v>
      </c>
      <c r="O600" s="28"/>
      <c r="P600" s="29">
        <f t="shared" si="219"/>
        <v>0.59100000000000041</v>
      </c>
      <c r="Q600" s="33">
        <f t="shared" si="204"/>
        <v>6.7114093959731544</v>
      </c>
      <c r="R600" s="33">
        <f t="shared" si="205"/>
        <v>6.7114093959731544</v>
      </c>
      <c r="S600" s="33">
        <f t="shared" si="206"/>
        <v>-1</v>
      </c>
      <c r="T600" s="27"/>
      <c r="U600" s="28">
        <f t="shared" si="207"/>
        <v>0.10964912280701754</v>
      </c>
      <c r="V600" s="25">
        <f t="shared" si="208"/>
        <v>999</v>
      </c>
      <c r="W600" s="35">
        <f t="shared" si="220"/>
        <v>25</v>
      </c>
      <c r="X600" s="33">
        <f t="shared" si="209"/>
        <v>25</v>
      </c>
      <c r="Y600" s="32">
        <f t="shared" si="210"/>
        <v>-1</v>
      </c>
      <c r="Z600" s="32"/>
      <c r="AA600" s="30">
        <f t="shared" si="211"/>
        <v>16.189563073551568</v>
      </c>
      <c r="AB600" s="28">
        <f t="shared" si="212"/>
        <v>0.58776455787195381</v>
      </c>
      <c r="AC600" s="28">
        <f t="shared" si="213"/>
        <v>0.10964912280701754</v>
      </c>
      <c r="AD600" s="29">
        <f t="shared" si="214"/>
        <v>560.72106261859585</v>
      </c>
      <c r="AE600" s="28">
        <f t="shared" si="215"/>
        <v>0.10964912280701754</v>
      </c>
      <c r="AF600" s="28">
        <f t="shared" si="216"/>
        <v>0.47811543506493626</v>
      </c>
      <c r="AG600" s="28">
        <f t="shared" si="217"/>
        <v>0</v>
      </c>
      <c r="AI600" s="31">
        <f t="shared" si="218"/>
        <v>2.3617877875059139</v>
      </c>
      <c r="AJ600" s="25"/>
      <c r="AK600" s="31"/>
      <c r="AM600" s="27"/>
    </row>
    <row r="601" spans="4:39" x14ac:dyDescent="0.25">
      <c r="D601" s="25">
        <f>E601*'Profit per cycles Model'!$I$113</f>
        <v>5920</v>
      </c>
      <c r="E601" s="25">
        <v>16.216956581290233</v>
      </c>
      <c r="F601" s="28">
        <f t="shared" si="199"/>
        <v>0.16891891891891891</v>
      </c>
      <c r="G601" s="28">
        <f>'Battery Pricing Model'!$C$17/D601</f>
        <v>0.16891891891891891</v>
      </c>
      <c r="H601" s="28">
        <f t="shared" si="200"/>
        <v>999</v>
      </c>
      <c r="I601" s="28"/>
      <c r="J601" s="34">
        <f>INDEX('Profit per cycles Model'!$I$149:$I$179, MATCH(TRUNC(E601, 0), 'Profit per cycles Model'!$H$149:$H$179, 0))</f>
        <v>0.58776455787195381</v>
      </c>
      <c r="K601" s="27">
        <f>AVERAGE($J$10:J1601)</f>
        <v>0.56883042089778579</v>
      </c>
      <c r="L601" s="28">
        <f t="shared" si="201"/>
        <v>0.39991150197886688</v>
      </c>
      <c r="M601" s="28">
        <f t="shared" si="202"/>
        <v>0.39991150197886688</v>
      </c>
      <c r="N601" s="28">
        <f t="shared" si="203"/>
        <v>999</v>
      </c>
      <c r="O601" s="28"/>
      <c r="P601" s="29">
        <f t="shared" si="219"/>
        <v>0.59200000000000041</v>
      </c>
      <c r="Q601" s="33">
        <f t="shared" si="204"/>
        <v>6.7114093959731544</v>
      </c>
      <c r="R601" s="33">
        <f t="shared" si="205"/>
        <v>6.7114093959731544</v>
      </c>
      <c r="S601" s="33">
        <f t="shared" si="206"/>
        <v>-1</v>
      </c>
      <c r="T601" s="27"/>
      <c r="U601" s="28">
        <f t="shared" si="207"/>
        <v>0.10964912280701754</v>
      </c>
      <c r="V601" s="25">
        <f t="shared" si="208"/>
        <v>999</v>
      </c>
      <c r="W601" s="35">
        <f t="shared" si="220"/>
        <v>25</v>
      </c>
      <c r="X601" s="33">
        <f t="shared" si="209"/>
        <v>25</v>
      </c>
      <c r="Y601" s="32">
        <f t="shared" si="210"/>
        <v>-1</v>
      </c>
      <c r="Z601" s="32"/>
      <c r="AA601" s="30">
        <f t="shared" si="211"/>
        <v>16.216956581290233</v>
      </c>
      <c r="AB601" s="28">
        <f t="shared" si="212"/>
        <v>0.58776455787195381</v>
      </c>
      <c r="AC601" s="28">
        <f t="shared" si="213"/>
        <v>0.10964912280701754</v>
      </c>
      <c r="AD601" s="29">
        <f t="shared" si="214"/>
        <v>561.66982922201134</v>
      </c>
      <c r="AE601" s="28">
        <f t="shared" si="215"/>
        <v>0.10964912280701754</v>
      </c>
      <c r="AF601" s="28">
        <f t="shared" si="216"/>
        <v>0.47811543506493626</v>
      </c>
      <c r="AG601" s="28">
        <f t="shared" si="217"/>
        <v>0</v>
      </c>
      <c r="AI601" s="31">
        <f t="shared" si="218"/>
        <v>2.367476091714892</v>
      </c>
      <c r="AJ601" s="25"/>
      <c r="AK601" s="31"/>
      <c r="AM601" s="27"/>
    </row>
    <row r="602" spans="4:39" x14ac:dyDescent="0.25">
      <c r="D602" s="25">
        <f>E602*'Profit per cycles Model'!$I$113</f>
        <v>5930</v>
      </c>
      <c r="E602" s="25">
        <v>16.244350089028899</v>
      </c>
      <c r="F602" s="28">
        <f t="shared" si="199"/>
        <v>0.16863406408094436</v>
      </c>
      <c r="G602" s="28">
        <f>'Battery Pricing Model'!$C$17/D602</f>
        <v>0.16863406408094436</v>
      </c>
      <c r="H602" s="28">
        <f t="shared" si="200"/>
        <v>999</v>
      </c>
      <c r="I602" s="28"/>
      <c r="J602" s="34">
        <f>INDEX('Profit per cycles Model'!$I$149:$I$179, MATCH(TRUNC(E602, 0), 'Profit per cycles Model'!$H$149:$H$179, 0))</f>
        <v>0.58776455787195381</v>
      </c>
      <c r="K602" s="27">
        <f>AVERAGE($J$10:J1602)</f>
        <v>0.56883042089778579</v>
      </c>
      <c r="L602" s="28">
        <f t="shared" si="201"/>
        <v>0.4001963568168414</v>
      </c>
      <c r="M602" s="28">
        <f t="shared" si="202"/>
        <v>0.4001963568168414</v>
      </c>
      <c r="N602" s="28">
        <f t="shared" si="203"/>
        <v>999</v>
      </c>
      <c r="O602" s="28"/>
      <c r="P602" s="29">
        <f t="shared" si="219"/>
        <v>0.59300000000000042</v>
      </c>
      <c r="Q602" s="33">
        <f t="shared" si="204"/>
        <v>6.7114093959731544</v>
      </c>
      <c r="R602" s="33">
        <f t="shared" si="205"/>
        <v>6.7114093959731544</v>
      </c>
      <c r="S602" s="33">
        <f t="shared" si="206"/>
        <v>-1</v>
      </c>
      <c r="T602" s="27"/>
      <c r="U602" s="28">
        <f t="shared" si="207"/>
        <v>0.10964912280701754</v>
      </c>
      <c r="V602" s="25">
        <f t="shared" si="208"/>
        <v>999</v>
      </c>
      <c r="W602" s="35">
        <f t="shared" si="220"/>
        <v>25</v>
      </c>
      <c r="X602" s="33">
        <f t="shared" si="209"/>
        <v>25</v>
      </c>
      <c r="Y602" s="32">
        <f t="shared" si="210"/>
        <v>-1</v>
      </c>
      <c r="Z602" s="32"/>
      <c r="AA602" s="30">
        <f t="shared" si="211"/>
        <v>16.244350089028899</v>
      </c>
      <c r="AB602" s="28">
        <f t="shared" si="212"/>
        <v>0.58776455787195381</v>
      </c>
      <c r="AC602" s="28">
        <f t="shared" si="213"/>
        <v>0.10964912280701754</v>
      </c>
      <c r="AD602" s="29">
        <f t="shared" si="214"/>
        <v>562.61859582542695</v>
      </c>
      <c r="AE602" s="28">
        <f t="shared" si="215"/>
        <v>0.10964912280701754</v>
      </c>
      <c r="AF602" s="28">
        <f t="shared" si="216"/>
        <v>0.47811543506493626</v>
      </c>
      <c r="AG602" s="28">
        <f t="shared" si="217"/>
        <v>0</v>
      </c>
      <c r="AI602" s="31">
        <f t="shared" si="218"/>
        <v>2.3731643959238693</v>
      </c>
      <c r="AJ602" s="25"/>
      <c r="AK602" s="31"/>
      <c r="AM602" s="27"/>
    </row>
    <row r="603" spans="4:39" x14ac:dyDescent="0.25">
      <c r="D603" s="25">
        <f>E603*'Profit per cycles Model'!$I$113</f>
        <v>5939.9999999999991</v>
      </c>
      <c r="E603" s="25">
        <v>16.271743596767564</v>
      </c>
      <c r="F603" s="28">
        <f t="shared" si="199"/>
        <v>0.16835016835016839</v>
      </c>
      <c r="G603" s="28">
        <f>'Battery Pricing Model'!$C$17/D603</f>
        <v>0.16835016835016839</v>
      </c>
      <c r="H603" s="28">
        <f t="shared" si="200"/>
        <v>999</v>
      </c>
      <c r="I603" s="28"/>
      <c r="J603" s="34">
        <f>INDEX('Profit per cycles Model'!$I$149:$I$179, MATCH(TRUNC(E603, 0), 'Profit per cycles Model'!$H$149:$H$179, 0))</f>
        <v>0.58776455787195381</v>
      </c>
      <c r="K603" s="27">
        <f>AVERAGE($J$10:J1603)</f>
        <v>0.56883042089778579</v>
      </c>
      <c r="L603" s="28">
        <f t="shared" si="201"/>
        <v>0.40048025254761743</v>
      </c>
      <c r="M603" s="28">
        <f t="shared" si="202"/>
        <v>0.40048025254761743</v>
      </c>
      <c r="N603" s="28">
        <f t="shared" si="203"/>
        <v>999</v>
      </c>
      <c r="O603" s="28"/>
      <c r="P603" s="29">
        <f t="shared" si="219"/>
        <v>0.59400000000000042</v>
      </c>
      <c r="Q603" s="33">
        <f t="shared" si="204"/>
        <v>6.7114093959731544</v>
      </c>
      <c r="R603" s="33">
        <f t="shared" si="205"/>
        <v>6.7114093959731544</v>
      </c>
      <c r="S603" s="33">
        <f t="shared" si="206"/>
        <v>-1</v>
      </c>
      <c r="T603" s="27"/>
      <c r="U603" s="28">
        <f t="shared" si="207"/>
        <v>0.10964912280701754</v>
      </c>
      <c r="V603" s="25">
        <f t="shared" si="208"/>
        <v>999</v>
      </c>
      <c r="W603" s="35">
        <f t="shared" si="220"/>
        <v>25</v>
      </c>
      <c r="X603" s="33">
        <f t="shared" si="209"/>
        <v>25</v>
      </c>
      <c r="Y603" s="32">
        <f t="shared" si="210"/>
        <v>-1</v>
      </c>
      <c r="Z603" s="32"/>
      <c r="AA603" s="30">
        <f t="shared" si="211"/>
        <v>16.271743596767564</v>
      </c>
      <c r="AB603" s="28">
        <f t="shared" si="212"/>
        <v>0.58776455787195381</v>
      </c>
      <c r="AC603" s="28">
        <f t="shared" si="213"/>
        <v>0.10964912280701754</v>
      </c>
      <c r="AD603" s="29">
        <f t="shared" si="214"/>
        <v>563.56736242884244</v>
      </c>
      <c r="AE603" s="28">
        <f t="shared" si="215"/>
        <v>0.10964912280701754</v>
      </c>
      <c r="AF603" s="28">
        <f t="shared" si="216"/>
        <v>0.47811543506493626</v>
      </c>
      <c r="AG603" s="28">
        <f t="shared" si="217"/>
        <v>0</v>
      </c>
      <c r="AI603" s="31">
        <f t="shared" si="218"/>
        <v>2.378852700132847</v>
      </c>
      <c r="AJ603" s="25"/>
      <c r="AK603" s="31"/>
      <c r="AM603" s="27"/>
    </row>
    <row r="604" spans="4:39" x14ac:dyDescent="0.25">
      <c r="D604" s="25">
        <f>E604*'Profit per cycles Model'!$I$113</f>
        <v>5950.0000000000009</v>
      </c>
      <c r="E604" s="25">
        <v>16.299137104506233</v>
      </c>
      <c r="F604" s="28">
        <f t="shared" si="199"/>
        <v>0.16806722689075629</v>
      </c>
      <c r="G604" s="28">
        <f>'Battery Pricing Model'!$C$17/D604</f>
        <v>0.16806722689075629</v>
      </c>
      <c r="H604" s="28">
        <f t="shared" si="200"/>
        <v>999</v>
      </c>
      <c r="I604" s="28"/>
      <c r="J604" s="34">
        <f>INDEX('Profit per cycles Model'!$I$149:$I$179, MATCH(TRUNC(E604, 0), 'Profit per cycles Model'!$H$149:$H$179, 0))</f>
        <v>0.58776455787195381</v>
      </c>
      <c r="K604" s="27">
        <f>AVERAGE($J$10:J1604)</f>
        <v>0.56883042089778579</v>
      </c>
      <c r="L604" s="28">
        <f t="shared" si="201"/>
        <v>0.40076319400702953</v>
      </c>
      <c r="M604" s="28">
        <f t="shared" si="202"/>
        <v>0.40076319400702953</v>
      </c>
      <c r="N604" s="28">
        <f t="shared" si="203"/>
        <v>999</v>
      </c>
      <c r="O604" s="28"/>
      <c r="P604" s="29">
        <f t="shared" si="219"/>
        <v>0.59500000000000042</v>
      </c>
      <c r="Q604" s="33">
        <f t="shared" si="204"/>
        <v>6.7114093959731544</v>
      </c>
      <c r="R604" s="33">
        <f t="shared" si="205"/>
        <v>6.7114093959731544</v>
      </c>
      <c r="S604" s="33">
        <f t="shared" si="206"/>
        <v>-1</v>
      </c>
      <c r="T604" s="27"/>
      <c r="U604" s="28">
        <f t="shared" si="207"/>
        <v>0.10964912280701754</v>
      </c>
      <c r="V604" s="25">
        <f t="shared" si="208"/>
        <v>999</v>
      </c>
      <c r="W604" s="35">
        <f t="shared" si="220"/>
        <v>25</v>
      </c>
      <c r="X604" s="33">
        <f t="shared" si="209"/>
        <v>25</v>
      </c>
      <c r="Y604" s="32">
        <f t="shared" si="210"/>
        <v>-1</v>
      </c>
      <c r="Z604" s="32"/>
      <c r="AA604" s="30">
        <f t="shared" si="211"/>
        <v>16.299137104506233</v>
      </c>
      <c r="AB604" s="28">
        <f t="shared" si="212"/>
        <v>0.58776455787195381</v>
      </c>
      <c r="AC604" s="28">
        <f t="shared" si="213"/>
        <v>0.10964912280701754</v>
      </c>
      <c r="AD604" s="29">
        <f t="shared" si="214"/>
        <v>564.51612903225816</v>
      </c>
      <c r="AE604" s="28">
        <f t="shared" si="215"/>
        <v>0.10964912280701754</v>
      </c>
      <c r="AF604" s="28">
        <f t="shared" si="216"/>
        <v>0.47811543506493626</v>
      </c>
      <c r="AG604" s="28">
        <f t="shared" si="217"/>
        <v>0</v>
      </c>
      <c r="AI604" s="31">
        <f t="shared" si="218"/>
        <v>2.384541004341826</v>
      </c>
      <c r="AJ604" s="25"/>
      <c r="AK604" s="31"/>
      <c r="AM604" s="27"/>
    </row>
    <row r="605" spans="4:39" x14ac:dyDescent="0.25">
      <c r="D605" s="25">
        <f>E605*'Profit per cycles Model'!$I$113</f>
        <v>5960</v>
      </c>
      <c r="E605" s="25">
        <v>16.326530612244898</v>
      </c>
      <c r="F605" s="28">
        <f t="shared" si="199"/>
        <v>0.16778523489932887</v>
      </c>
      <c r="G605" s="28">
        <f>'Battery Pricing Model'!$C$17/D605</f>
        <v>0.16778523489932887</v>
      </c>
      <c r="H605" s="28">
        <f t="shared" si="200"/>
        <v>999</v>
      </c>
      <c r="I605" s="28"/>
      <c r="J605" s="34">
        <f>INDEX('Profit per cycles Model'!$I$149:$I$179, MATCH(TRUNC(E605, 0), 'Profit per cycles Model'!$H$149:$H$179, 0))</f>
        <v>0.58776455787195381</v>
      </c>
      <c r="K605" s="27">
        <f>AVERAGE($J$10:J1605)</f>
        <v>0.56883042089778579</v>
      </c>
      <c r="L605" s="28">
        <f t="shared" si="201"/>
        <v>0.40104518599845695</v>
      </c>
      <c r="M605" s="28">
        <f t="shared" si="202"/>
        <v>0.40104518599845695</v>
      </c>
      <c r="N605" s="28">
        <f t="shared" si="203"/>
        <v>999</v>
      </c>
      <c r="O605" s="28"/>
      <c r="P605" s="29">
        <f t="shared" si="219"/>
        <v>0.59600000000000042</v>
      </c>
      <c r="Q605" s="33">
        <f t="shared" si="204"/>
        <v>6.7114093959731544</v>
      </c>
      <c r="R605" s="33">
        <f t="shared" si="205"/>
        <v>6.7114093959731544</v>
      </c>
      <c r="S605" s="33">
        <f t="shared" si="206"/>
        <v>-1</v>
      </c>
      <c r="T605" s="27"/>
      <c r="U605" s="28">
        <f t="shared" si="207"/>
        <v>0.10964912280701754</v>
      </c>
      <c r="V605" s="25">
        <f t="shared" si="208"/>
        <v>999</v>
      </c>
      <c r="W605" s="35">
        <f t="shared" si="220"/>
        <v>25</v>
      </c>
      <c r="X605" s="33">
        <f t="shared" si="209"/>
        <v>25</v>
      </c>
      <c r="Y605" s="32">
        <f t="shared" si="210"/>
        <v>-1</v>
      </c>
      <c r="Z605" s="32"/>
      <c r="AA605" s="30">
        <f t="shared" si="211"/>
        <v>16.326530612244898</v>
      </c>
      <c r="AB605" s="28">
        <f t="shared" si="212"/>
        <v>0.58776455787195381</v>
      </c>
      <c r="AC605" s="28">
        <f t="shared" si="213"/>
        <v>0.10964912280701754</v>
      </c>
      <c r="AD605" s="29">
        <f t="shared" si="214"/>
        <v>565.46489563567366</v>
      </c>
      <c r="AE605" s="28">
        <f t="shared" si="215"/>
        <v>0.10964912280701754</v>
      </c>
      <c r="AF605" s="28">
        <f t="shared" si="216"/>
        <v>0.47811543506493626</v>
      </c>
      <c r="AG605" s="28">
        <f t="shared" si="217"/>
        <v>0</v>
      </c>
      <c r="AI605" s="31">
        <f t="shared" si="218"/>
        <v>2.3902293085508033</v>
      </c>
      <c r="AJ605" s="25"/>
      <c r="AK605" s="31"/>
      <c r="AM605" s="27"/>
    </row>
    <row r="606" spans="4:39" x14ac:dyDescent="0.25">
      <c r="D606" s="25">
        <f>E606*'Profit per cycles Model'!$I$113</f>
        <v>5970</v>
      </c>
      <c r="E606" s="25">
        <v>16.353924119983564</v>
      </c>
      <c r="F606" s="28">
        <f t="shared" si="199"/>
        <v>0.16750418760469013</v>
      </c>
      <c r="G606" s="28">
        <f>'Battery Pricing Model'!$C$17/D606</f>
        <v>0.16750418760469013</v>
      </c>
      <c r="H606" s="28">
        <f t="shared" si="200"/>
        <v>999</v>
      </c>
      <c r="I606" s="28"/>
      <c r="J606" s="34">
        <f>INDEX('Profit per cycles Model'!$I$149:$I$179, MATCH(TRUNC(E606, 0), 'Profit per cycles Model'!$H$149:$H$179, 0))</f>
        <v>0.58776455787195381</v>
      </c>
      <c r="K606" s="27">
        <f>AVERAGE($J$10:J1606)</f>
        <v>0.56883042089778579</v>
      </c>
      <c r="L606" s="28">
        <f t="shared" si="201"/>
        <v>0.40132623329309569</v>
      </c>
      <c r="M606" s="28">
        <f t="shared" si="202"/>
        <v>0.40132623329309569</v>
      </c>
      <c r="N606" s="28">
        <f t="shared" si="203"/>
        <v>999</v>
      </c>
      <c r="O606" s="28"/>
      <c r="P606" s="29">
        <f t="shared" si="219"/>
        <v>0.59700000000000042</v>
      </c>
      <c r="Q606" s="33">
        <f t="shared" si="204"/>
        <v>6.7114093959731544</v>
      </c>
      <c r="R606" s="33">
        <f t="shared" si="205"/>
        <v>6.7114093959731544</v>
      </c>
      <c r="S606" s="33">
        <f t="shared" si="206"/>
        <v>-1</v>
      </c>
      <c r="T606" s="27"/>
      <c r="U606" s="28">
        <f t="shared" si="207"/>
        <v>0.10964912280701754</v>
      </c>
      <c r="V606" s="25">
        <f t="shared" si="208"/>
        <v>999</v>
      </c>
      <c r="W606" s="35">
        <f t="shared" si="220"/>
        <v>25</v>
      </c>
      <c r="X606" s="33">
        <f t="shared" si="209"/>
        <v>25</v>
      </c>
      <c r="Y606" s="32">
        <f t="shared" si="210"/>
        <v>-1</v>
      </c>
      <c r="Z606" s="32"/>
      <c r="AA606" s="30">
        <f t="shared" si="211"/>
        <v>16.353924119983564</v>
      </c>
      <c r="AB606" s="28">
        <f t="shared" si="212"/>
        <v>0.58776455787195381</v>
      </c>
      <c r="AC606" s="28">
        <f t="shared" si="213"/>
        <v>0.10964912280701754</v>
      </c>
      <c r="AD606" s="29">
        <f t="shared" si="214"/>
        <v>566.41366223908915</v>
      </c>
      <c r="AE606" s="28">
        <f t="shared" si="215"/>
        <v>0.10964912280701754</v>
      </c>
      <c r="AF606" s="28">
        <f t="shared" si="216"/>
        <v>0.47811543506493626</v>
      </c>
      <c r="AG606" s="28">
        <f t="shared" si="217"/>
        <v>0</v>
      </c>
      <c r="AI606" s="31">
        <f t="shared" si="218"/>
        <v>2.395917612759781</v>
      </c>
      <c r="AJ606" s="25"/>
      <c r="AK606" s="31"/>
      <c r="AM606" s="27"/>
    </row>
    <row r="607" spans="4:39" x14ac:dyDescent="0.25">
      <c r="D607" s="25">
        <f>E607*'Profit per cycles Model'!$I$113</f>
        <v>5980</v>
      </c>
      <c r="E607" s="25">
        <v>16.381317627722229</v>
      </c>
      <c r="F607" s="28">
        <f t="shared" si="199"/>
        <v>0.16722408026755853</v>
      </c>
      <c r="G607" s="28">
        <f>'Battery Pricing Model'!$C$17/D607</f>
        <v>0.16722408026755853</v>
      </c>
      <c r="H607" s="28">
        <f t="shared" si="200"/>
        <v>999</v>
      </c>
      <c r="I607" s="28"/>
      <c r="J607" s="34">
        <f>INDEX('Profit per cycles Model'!$I$149:$I$179, MATCH(TRUNC(E607, 0), 'Profit per cycles Model'!$H$149:$H$179, 0))</f>
        <v>0.58776455787195381</v>
      </c>
      <c r="K607" s="27">
        <f>AVERAGE($J$10:J1607)</f>
        <v>0.56883042089778579</v>
      </c>
      <c r="L607" s="28">
        <f t="shared" si="201"/>
        <v>0.40160634063022727</v>
      </c>
      <c r="M607" s="28">
        <f t="shared" si="202"/>
        <v>0.40160634063022727</v>
      </c>
      <c r="N607" s="28">
        <f t="shared" si="203"/>
        <v>999</v>
      </c>
      <c r="O607" s="28"/>
      <c r="P607" s="29">
        <f t="shared" si="219"/>
        <v>0.59800000000000042</v>
      </c>
      <c r="Q607" s="33">
        <f t="shared" si="204"/>
        <v>6.7114093959731544</v>
      </c>
      <c r="R607" s="33">
        <f t="shared" si="205"/>
        <v>6.7114093959731544</v>
      </c>
      <c r="S607" s="33">
        <f t="shared" si="206"/>
        <v>-1</v>
      </c>
      <c r="T607" s="27"/>
      <c r="U607" s="28">
        <f t="shared" si="207"/>
        <v>0.10964912280701754</v>
      </c>
      <c r="V607" s="25">
        <f t="shared" si="208"/>
        <v>999</v>
      </c>
      <c r="W607" s="35">
        <f t="shared" si="220"/>
        <v>25</v>
      </c>
      <c r="X607" s="33">
        <f t="shared" si="209"/>
        <v>25</v>
      </c>
      <c r="Y607" s="32">
        <f t="shared" si="210"/>
        <v>-1</v>
      </c>
      <c r="Z607" s="32"/>
      <c r="AA607" s="30">
        <f t="shared" si="211"/>
        <v>16.381317627722229</v>
      </c>
      <c r="AB607" s="28">
        <f t="shared" si="212"/>
        <v>0.58776455787195381</v>
      </c>
      <c r="AC607" s="28">
        <f t="shared" si="213"/>
        <v>0.10964912280701754</v>
      </c>
      <c r="AD607" s="29">
        <f t="shared" si="214"/>
        <v>567.36242884250476</v>
      </c>
      <c r="AE607" s="28">
        <f t="shared" si="215"/>
        <v>0.10964912280701754</v>
      </c>
      <c r="AF607" s="28">
        <f t="shared" si="216"/>
        <v>0.47811543506493626</v>
      </c>
      <c r="AG607" s="28">
        <f t="shared" si="217"/>
        <v>0</v>
      </c>
      <c r="AI607" s="31">
        <f t="shared" si="218"/>
        <v>2.4016059169687591</v>
      </c>
      <c r="AJ607" s="25"/>
      <c r="AK607" s="31"/>
      <c r="AM607" s="27"/>
    </row>
    <row r="608" spans="4:39" x14ac:dyDescent="0.25">
      <c r="D608" s="25">
        <f>E608*'Profit per cycles Model'!$I$113</f>
        <v>5990</v>
      </c>
      <c r="E608" s="25">
        <v>16.408711135460894</v>
      </c>
      <c r="F608" s="28">
        <f t="shared" si="199"/>
        <v>0.1669449081803005</v>
      </c>
      <c r="G608" s="28">
        <f>'Battery Pricing Model'!$C$17/D608</f>
        <v>0.1669449081803005</v>
      </c>
      <c r="H608" s="28">
        <f t="shared" si="200"/>
        <v>999</v>
      </c>
      <c r="I608" s="28"/>
      <c r="J608" s="34">
        <f>INDEX('Profit per cycles Model'!$I$149:$I$179, MATCH(TRUNC(E608, 0), 'Profit per cycles Model'!$H$149:$H$179, 0))</f>
        <v>0.58776455787195381</v>
      </c>
      <c r="K608" s="27">
        <f>AVERAGE($J$10:J1608)</f>
        <v>0.56883042089778579</v>
      </c>
      <c r="L608" s="28">
        <f t="shared" si="201"/>
        <v>0.40188551271748529</v>
      </c>
      <c r="M608" s="28">
        <f t="shared" si="202"/>
        <v>0.40188551271748529</v>
      </c>
      <c r="N608" s="28">
        <f t="shared" si="203"/>
        <v>999</v>
      </c>
      <c r="O608" s="28"/>
      <c r="P608" s="29">
        <f t="shared" si="219"/>
        <v>0.59900000000000042</v>
      </c>
      <c r="Q608" s="33">
        <f t="shared" si="204"/>
        <v>6.7114093959731544</v>
      </c>
      <c r="R608" s="33">
        <f t="shared" si="205"/>
        <v>6.7114093959731544</v>
      </c>
      <c r="S608" s="33">
        <f t="shared" si="206"/>
        <v>-1</v>
      </c>
      <c r="T608" s="27"/>
      <c r="U608" s="28">
        <f t="shared" si="207"/>
        <v>0.10964912280701754</v>
      </c>
      <c r="V608" s="25">
        <f t="shared" si="208"/>
        <v>999</v>
      </c>
      <c r="W608" s="35">
        <f t="shared" si="220"/>
        <v>25</v>
      </c>
      <c r="X608" s="33">
        <f t="shared" si="209"/>
        <v>25</v>
      </c>
      <c r="Y608" s="32">
        <f t="shared" si="210"/>
        <v>-1</v>
      </c>
      <c r="Z608" s="32"/>
      <c r="AA608" s="30">
        <f t="shared" si="211"/>
        <v>16.408711135460894</v>
      </c>
      <c r="AB608" s="28">
        <f t="shared" si="212"/>
        <v>0.58776455787195381</v>
      </c>
      <c r="AC608" s="28">
        <f t="shared" si="213"/>
        <v>0.10964912280701754</v>
      </c>
      <c r="AD608" s="29">
        <f t="shared" si="214"/>
        <v>568.31119544592025</v>
      </c>
      <c r="AE608" s="28">
        <f t="shared" si="215"/>
        <v>0.10964912280701754</v>
      </c>
      <c r="AF608" s="28">
        <f t="shared" si="216"/>
        <v>0.47811543506493626</v>
      </c>
      <c r="AG608" s="28">
        <f t="shared" si="217"/>
        <v>0</v>
      </c>
      <c r="AI608" s="31">
        <f t="shared" si="218"/>
        <v>2.4072942211777368</v>
      </c>
      <c r="AJ608" s="25"/>
      <c r="AK608" s="31"/>
      <c r="AM608" s="27"/>
    </row>
    <row r="609" spans="4:39" x14ac:dyDescent="0.25">
      <c r="D609" s="25">
        <f>E609*'Profit per cycles Model'!$I$113</f>
        <v>5999.9999999999991</v>
      </c>
      <c r="E609" s="25">
        <v>16.43610464319956</v>
      </c>
      <c r="F609" s="28">
        <f t="shared" si="199"/>
        <v>0.16666666666666669</v>
      </c>
      <c r="G609" s="28">
        <f>'Battery Pricing Model'!$C$17/D609</f>
        <v>0.16666666666666669</v>
      </c>
      <c r="H609" s="28">
        <f t="shared" si="200"/>
        <v>999</v>
      </c>
      <c r="I609" s="28"/>
      <c r="J609" s="34">
        <f>INDEX('Profit per cycles Model'!$I$149:$I$179, MATCH(TRUNC(E609, 0), 'Profit per cycles Model'!$H$149:$H$179, 0))</f>
        <v>0.58776455787195381</v>
      </c>
      <c r="K609" s="27">
        <f>AVERAGE($J$10:J1609)</f>
        <v>0.56883042089778579</v>
      </c>
      <c r="L609" s="28">
        <f t="shared" si="201"/>
        <v>0.40216375423111911</v>
      </c>
      <c r="M609" s="28">
        <f t="shared" si="202"/>
        <v>0.40216375423111911</v>
      </c>
      <c r="N609" s="28">
        <f t="shared" si="203"/>
        <v>999</v>
      </c>
      <c r="O609" s="28"/>
      <c r="P609" s="29">
        <f t="shared" si="219"/>
        <v>0.60000000000000042</v>
      </c>
      <c r="Q609" s="33">
        <f t="shared" si="204"/>
        <v>6.7114093959731544</v>
      </c>
      <c r="R609" s="33">
        <f t="shared" si="205"/>
        <v>6.7114093959731544</v>
      </c>
      <c r="S609" s="33">
        <f t="shared" si="206"/>
        <v>-1</v>
      </c>
      <c r="T609" s="27"/>
      <c r="U609" s="28">
        <f t="shared" si="207"/>
        <v>0.10964912280701754</v>
      </c>
      <c r="V609" s="25">
        <f t="shared" si="208"/>
        <v>999</v>
      </c>
      <c r="W609" s="35">
        <f t="shared" si="220"/>
        <v>25</v>
      </c>
      <c r="X609" s="33">
        <f t="shared" si="209"/>
        <v>25</v>
      </c>
      <c r="Y609" s="32">
        <f t="shared" si="210"/>
        <v>-1</v>
      </c>
      <c r="Z609" s="32"/>
      <c r="AA609" s="30">
        <f t="shared" si="211"/>
        <v>16.43610464319956</v>
      </c>
      <c r="AB609" s="28">
        <f t="shared" si="212"/>
        <v>0.58776455787195381</v>
      </c>
      <c r="AC609" s="28">
        <f t="shared" si="213"/>
        <v>0.10964912280701754</v>
      </c>
      <c r="AD609" s="29">
        <f t="shared" si="214"/>
        <v>569.25996204933585</v>
      </c>
      <c r="AE609" s="28">
        <f t="shared" si="215"/>
        <v>0.10964912280701754</v>
      </c>
      <c r="AF609" s="28">
        <f t="shared" si="216"/>
        <v>0.47811543506493626</v>
      </c>
      <c r="AG609" s="28">
        <f t="shared" si="217"/>
        <v>0</v>
      </c>
      <c r="AI609" s="31">
        <f t="shared" si="218"/>
        <v>2.4129825253867145</v>
      </c>
      <c r="AJ609" s="25"/>
      <c r="AK609" s="31"/>
      <c r="AM609" s="27"/>
    </row>
    <row r="610" spans="4:39" x14ac:dyDescent="0.25">
      <c r="D610" s="25">
        <f>E610*'Profit per cycles Model'!$I$113</f>
        <v>6010.0000000000009</v>
      </c>
      <c r="E610" s="25">
        <v>16.463498150938229</v>
      </c>
      <c r="F610" s="28">
        <f t="shared" si="199"/>
        <v>0.16638935108153075</v>
      </c>
      <c r="G610" s="28">
        <f>'Battery Pricing Model'!$C$17/D610</f>
        <v>0.16638935108153075</v>
      </c>
      <c r="H610" s="28">
        <f t="shared" si="200"/>
        <v>999</v>
      </c>
      <c r="I610" s="28"/>
      <c r="J610" s="34">
        <f>INDEX('Profit per cycles Model'!$I$149:$I$179, MATCH(TRUNC(E610, 0), 'Profit per cycles Model'!$H$149:$H$179, 0))</f>
        <v>0.58776455787195381</v>
      </c>
      <c r="K610" s="27">
        <f>AVERAGE($J$10:J1610)</f>
        <v>0.56883042089778579</v>
      </c>
      <c r="L610" s="28">
        <f t="shared" si="201"/>
        <v>0.40244106981625505</v>
      </c>
      <c r="M610" s="28">
        <f t="shared" si="202"/>
        <v>0.40244106981625505</v>
      </c>
      <c r="N610" s="28">
        <f t="shared" si="203"/>
        <v>999</v>
      </c>
      <c r="O610" s="28"/>
      <c r="P610" s="29">
        <f t="shared" si="219"/>
        <v>0.60100000000000042</v>
      </c>
      <c r="Q610" s="33">
        <f t="shared" si="204"/>
        <v>6.7114093959731544</v>
      </c>
      <c r="R610" s="33">
        <f t="shared" si="205"/>
        <v>6.7114093959731544</v>
      </c>
      <c r="S610" s="33">
        <f t="shared" si="206"/>
        <v>-1</v>
      </c>
      <c r="T610" s="27"/>
      <c r="U610" s="28">
        <f t="shared" si="207"/>
        <v>0.10964912280701754</v>
      </c>
      <c r="V610" s="25">
        <f t="shared" si="208"/>
        <v>999</v>
      </c>
      <c r="W610" s="35">
        <f t="shared" si="220"/>
        <v>25</v>
      </c>
      <c r="X610" s="33">
        <f t="shared" si="209"/>
        <v>25</v>
      </c>
      <c r="Y610" s="32">
        <f t="shared" si="210"/>
        <v>-1</v>
      </c>
      <c r="Z610" s="32"/>
      <c r="AA610" s="30">
        <f t="shared" si="211"/>
        <v>16.463498150938229</v>
      </c>
      <c r="AB610" s="28">
        <f t="shared" si="212"/>
        <v>0.58776455787195381</v>
      </c>
      <c r="AC610" s="28">
        <f t="shared" si="213"/>
        <v>0.10964912280701754</v>
      </c>
      <c r="AD610" s="29">
        <f t="shared" si="214"/>
        <v>570.20872865275146</v>
      </c>
      <c r="AE610" s="28">
        <f t="shared" si="215"/>
        <v>0.10964912280701754</v>
      </c>
      <c r="AF610" s="28">
        <f t="shared" si="216"/>
        <v>0.47811543506493626</v>
      </c>
      <c r="AG610" s="28">
        <f t="shared" si="217"/>
        <v>0</v>
      </c>
      <c r="AI610" s="31">
        <f t="shared" si="218"/>
        <v>2.4186708295956936</v>
      </c>
      <c r="AJ610" s="25"/>
      <c r="AK610" s="31"/>
      <c r="AM610" s="27"/>
    </row>
    <row r="611" spans="4:39" x14ac:dyDescent="0.25">
      <c r="D611" s="25">
        <f>E611*'Profit per cycles Model'!$I$113</f>
        <v>6020</v>
      </c>
      <c r="E611" s="25">
        <v>16.490891658676894</v>
      </c>
      <c r="F611" s="28">
        <f t="shared" si="199"/>
        <v>0.16611295681063123</v>
      </c>
      <c r="G611" s="28">
        <f>'Battery Pricing Model'!$C$17/D611</f>
        <v>0.16611295681063123</v>
      </c>
      <c r="H611" s="28">
        <f t="shared" si="200"/>
        <v>999</v>
      </c>
      <c r="I611" s="28"/>
      <c r="J611" s="34">
        <f>INDEX('Profit per cycles Model'!$I$149:$I$179, MATCH(TRUNC(E611, 0), 'Profit per cycles Model'!$H$149:$H$179, 0))</f>
        <v>0.58776455787195381</v>
      </c>
      <c r="K611" s="27">
        <f>AVERAGE($J$10:J1611)</f>
        <v>0.56883042089778579</v>
      </c>
      <c r="L611" s="28">
        <f t="shared" si="201"/>
        <v>0.40271746408715459</v>
      </c>
      <c r="M611" s="28">
        <f t="shared" si="202"/>
        <v>0.40271746408715459</v>
      </c>
      <c r="N611" s="28">
        <f t="shared" si="203"/>
        <v>999</v>
      </c>
      <c r="O611" s="28"/>
      <c r="P611" s="29">
        <f t="shared" si="219"/>
        <v>0.60200000000000042</v>
      </c>
      <c r="Q611" s="33">
        <f t="shared" si="204"/>
        <v>6.7114093959731544</v>
      </c>
      <c r="R611" s="33">
        <f t="shared" si="205"/>
        <v>6.7114093959731544</v>
      </c>
      <c r="S611" s="33">
        <f t="shared" si="206"/>
        <v>-1</v>
      </c>
      <c r="T611" s="27"/>
      <c r="U611" s="28">
        <f t="shared" si="207"/>
        <v>0.10964912280701754</v>
      </c>
      <c r="V611" s="25">
        <f t="shared" si="208"/>
        <v>999</v>
      </c>
      <c r="W611" s="35">
        <f t="shared" si="220"/>
        <v>25</v>
      </c>
      <c r="X611" s="33">
        <f t="shared" si="209"/>
        <v>25</v>
      </c>
      <c r="Y611" s="32">
        <f t="shared" si="210"/>
        <v>-1</v>
      </c>
      <c r="Z611" s="32"/>
      <c r="AA611" s="30">
        <f t="shared" si="211"/>
        <v>16.490891658676894</v>
      </c>
      <c r="AB611" s="28">
        <f t="shared" si="212"/>
        <v>0.58776455787195381</v>
      </c>
      <c r="AC611" s="28">
        <f t="shared" si="213"/>
        <v>0.10964912280701754</v>
      </c>
      <c r="AD611" s="29">
        <f t="shared" si="214"/>
        <v>571.15749525616707</v>
      </c>
      <c r="AE611" s="28">
        <f t="shared" si="215"/>
        <v>0.10964912280701754</v>
      </c>
      <c r="AF611" s="28">
        <f t="shared" si="216"/>
        <v>0.47811543506493626</v>
      </c>
      <c r="AG611" s="28">
        <f t="shared" si="217"/>
        <v>0</v>
      </c>
      <c r="AI611" s="31">
        <f t="shared" si="218"/>
        <v>2.4243591338046704</v>
      </c>
      <c r="AJ611" s="25"/>
      <c r="AK611" s="31"/>
      <c r="AM611" s="27"/>
    </row>
    <row r="612" spans="4:39" x14ac:dyDescent="0.25">
      <c r="D612" s="25">
        <f>E612*'Profit per cycles Model'!$I$113</f>
        <v>6030</v>
      </c>
      <c r="E612" s="25">
        <v>16.518285166415559</v>
      </c>
      <c r="F612" s="28">
        <f t="shared" si="199"/>
        <v>0.16583747927031509</v>
      </c>
      <c r="G612" s="28">
        <f>'Battery Pricing Model'!$C$17/D612</f>
        <v>0.16583747927031509</v>
      </c>
      <c r="H612" s="28">
        <f t="shared" si="200"/>
        <v>999</v>
      </c>
      <c r="I612" s="28"/>
      <c r="J612" s="34">
        <f>INDEX('Profit per cycles Model'!$I$149:$I$179, MATCH(TRUNC(E612, 0), 'Profit per cycles Model'!$H$149:$H$179, 0))</f>
        <v>0.58776455787195381</v>
      </c>
      <c r="K612" s="27">
        <f>AVERAGE($J$10:J1612)</f>
        <v>0.56883042089778579</v>
      </c>
      <c r="L612" s="28">
        <f t="shared" si="201"/>
        <v>0.40299294162747068</v>
      </c>
      <c r="M612" s="28">
        <f t="shared" si="202"/>
        <v>0.40299294162747068</v>
      </c>
      <c r="N612" s="28">
        <f t="shared" si="203"/>
        <v>999</v>
      </c>
      <c r="O612" s="28"/>
      <c r="P612" s="29">
        <f t="shared" si="219"/>
        <v>0.60300000000000042</v>
      </c>
      <c r="Q612" s="33">
        <f t="shared" si="204"/>
        <v>6.7114093959731544</v>
      </c>
      <c r="R612" s="33">
        <f t="shared" si="205"/>
        <v>6.7114093959731544</v>
      </c>
      <c r="S612" s="33">
        <f t="shared" si="206"/>
        <v>-1</v>
      </c>
      <c r="T612" s="27"/>
      <c r="U612" s="28">
        <f t="shared" si="207"/>
        <v>0.10964912280701754</v>
      </c>
      <c r="V612" s="25">
        <f t="shared" si="208"/>
        <v>999</v>
      </c>
      <c r="W612" s="35">
        <f t="shared" si="220"/>
        <v>25</v>
      </c>
      <c r="X612" s="33">
        <f t="shared" si="209"/>
        <v>25</v>
      </c>
      <c r="Y612" s="32">
        <f t="shared" si="210"/>
        <v>-1</v>
      </c>
      <c r="Z612" s="32"/>
      <c r="AA612" s="30">
        <f t="shared" si="211"/>
        <v>16.518285166415559</v>
      </c>
      <c r="AB612" s="28">
        <f t="shared" si="212"/>
        <v>0.58776455787195381</v>
      </c>
      <c r="AC612" s="28">
        <f t="shared" si="213"/>
        <v>0.10964912280701754</v>
      </c>
      <c r="AD612" s="29">
        <f t="shared" si="214"/>
        <v>572.10626185958256</v>
      </c>
      <c r="AE612" s="28">
        <f t="shared" si="215"/>
        <v>0.10964912280701754</v>
      </c>
      <c r="AF612" s="28">
        <f t="shared" si="216"/>
        <v>0.47811543506493626</v>
      </c>
      <c r="AG612" s="28">
        <f t="shared" si="217"/>
        <v>0</v>
      </c>
      <c r="AI612" s="31">
        <f t="shared" si="218"/>
        <v>2.4300474380136481</v>
      </c>
      <c r="AJ612" s="25"/>
      <c r="AK612" s="31"/>
      <c r="AM612" s="27"/>
    </row>
    <row r="613" spans="4:39" x14ac:dyDescent="0.25">
      <c r="D613" s="25">
        <f>E613*'Profit per cycles Model'!$I$113</f>
        <v>6040</v>
      </c>
      <c r="E613" s="25">
        <v>16.545678674154225</v>
      </c>
      <c r="F613" s="28">
        <f t="shared" si="199"/>
        <v>0.16556291390728478</v>
      </c>
      <c r="G613" s="28">
        <f>'Battery Pricing Model'!$C$17/D613</f>
        <v>0.16556291390728478</v>
      </c>
      <c r="H613" s="28">
        <f t="shared" si="200"/>
        <v>999</v>
      </c>
      <c r="I613" s="28"/>
      <c r="J613" s="34">
        <f>INDEX('Profit per cycles Model'!$I$149:$I$179, MATCH(TRUNC(E613, 0), 'Profit per cycles Model'!$H$149:$H$179, 0))</f>
        <v>0.58776455787195381</v>
      </c>
      <c r="K613" s="27">
        <f>AVERAGE($J$10:J1613)</f>
        <v>0.56883042089778579</v>
      </c>
      <c r="L613" s="28">
        <f t="shared" si="201"/>
        <v>0.40326750699050101</v>
      </c>
      <c r="M613" s="28">
        <f t="shared" si="202"/>
        <v>0.40326750699050101</v>
      </c>
      <c r="N613" s="28">
        <f t="shared" si="203"/>
        <v>999</v>
      </c>
      <c r="O613" s="28"/>
      <c r="P613" s="29">
        <f t="shared" si="219"/>
        <v>0.60400000000000043</v>
      </c>
      <c r="Q613" s="33">
        <f t="shared" si="204"/>
        <v>6.7114093959731544</v>
      </c>
      <c r="R613" s="33">
        <f t="shared" si="205"/>
        <v>6.7114093959731544</v>
      </c>
      <c r="S613" s="33">
        <f t="shared" si="206"/>
        <v>-1</v>
      </c>
      <c r="T613" s="27"/>
      <c r="U613" s="28">
        <f t="shared" si="207"/>
        <v>0.10964912280701754</v>
      </c>
      <c r="V613" s="25">
        <f t="shared" si="208"/>
        <v>999</v>
      </c>
      <c r="W613" s="35">
        <f t="shared" si="220"/>
        <v>25</v>
      </c>
      <c r="X613" s="33">
        <f t="shared" si="209"/>
        <v>25</v>
      </c>
      <c r="Y613" s="32">
        <f t="shared" si="210"/>
        <v>-1</v>
      </c>
      <c r="Z613" s="32"/>
      <c r="AA613" s="30">
        <f t="shared" si="211"/>
        <v>16.545678674154225</v>
      </c>
      <c r="AB613" s="28">
        <f t="shared" si="212"/>
        <v>0.58776455787195381</v>
      </c>
      <c r="AC613" s="28">
        <f t="shared" si="213"/>
        <v>0.10964912280701754</v>
      </c>
      <c r="AD613" s="29">
        <f t="shared" si="214"/>
        <v>573.05502846299805</v>
      </c>
      <c r="AE613" s="28">
        <f t="shared" si="215"/>
        <v>0.10964912280701754</v>
      </c>
      <c r="AF613" s="28">
        <f t="shared" si="216"/>
        <v>0.47811543506493626</v>
      </c>
      <c r="AG613" s="28">
        <f t="shared" si="217"/>
        <v>0</v>
      </c>
      <c r="AI613" s="31">
        <f t="shared" si="218"/>
        <v>2.4357357422226258</v>
      </c>
      <c r="AJ613" s="25"/>
      <c r="AK613" s="31"/>
      <c r="AM613" s="27"/>
    </row>
    <row r="614" spans="4:39" x14ac:dyDescent="0.25">
      <c r="D614" s="25">
        <f>E614*'Profit per cycles Model'!$I$113</f>
        <v>6050</v>
      </c>
      <c r="E614" s="25">
        <v>16.57307218189289</v>
      </c>
      <c r="F614" s="28">
        <f t="shared" si="199"/>
        <v>0.16528925619834711</v>
      </c>
      <c r="G614" s="28">
        <f>'Battery Pricing Model'!$C$17/D614</f>
        <v>0.16528925619834711</v>
      </c>
      <c r="H614" s="28">
        <f t="shared" si="200"/>
        <v>999</v>
      </c>
      <c r="I614" s="28"/>
      <c r="J614" s="34">
        <f>INDEX('Profit per cycles Model'!$I$149:$I$179, MATCH(TRUNC(E614, 0), 'Profit per cycles Model'!$H$149:$H$179, 0))</f>
        <v>0.58776455787195381</v>
      </c>
      <c r="K614" s="27">
        <f>AVERAGE($J$10:J1614)</f>
        <v>0.56883042089778579</v>
      </c>
      <c r="L614" s="28">
        <f t="shared" si="201"/>
        <v>0.40354116469943868</v>
      </c>
      <c r="M614" s="28">
        <f t="shared" si="202"/>
        <v>0.40354116469943868</v>
      </c>
      <c r="N614" s="28">
        <f t="shared" si="203"/>
        <v>999</v>
      </c>
      <c r="O614" s="28"/>
      <c r="P614" s="29">
        <f t="shared" si="219"/>
        <v>0.60500000000000043</v>
      </c>
      <c r="Q614" s="33">
        <f t="shared" si="204"/>
        <v>6.7114093959731544</v>
      </c>
      <c r="R614" s="33">
        <f t="shared" si="205"/>
        <v>6.7114093959731544</v>
      </c>
      <c r="S614" s="33">
        <f t="shared" si="206"/>
        <v>-1</v>
      </c>
      <c r="T614" s="27"/>
      <c r="U614" s="28">
        <f t="shared" si="207"/>
        <v>0.10964912280701754</v>
      </c>
      <c r="V614" s="25">
        <f t="shared" si="208"/>
        <v>999</v>
      </c>
      <c r="W614" s="35">
        <f t="shared" si="220"/>
        <v>25</v>
      </c>
      <c r="X614" s="33">
        <f t="shared" si="209"/>
        <v>25</v>
      </c>
      <c r="Y614" s="32">
        <f t="shared" si="210"/>
        <v>-1</v>
      </c>
      <c r="Z614" s="32"/>
      <c r="AA614" s="30">
        <f t="shared" si="211"/>
        <v>16.57307218189289</v>
      </c>
      <c r="AB614" s="28">
        <f t="shared" si="212"/>
        <v>0.58776455787195381</v>
      </c>
      <c r="AC614" s="28">
        <f t="shared" si="213"/>
        <v>0.10964912280701754</v>
      </c>
      <c r="AD614" s="29">
        <f t="shared" si="214"/>
        <v>574.00379506641366</v>
      </c>
      <c r="AE614" s="28">
        <f t="shared" si="215"/>
        <v>0.10964912280701754</v>
      </c>
      <c r="AF614" s="28">
        <f t="shared" si="216"/>
        <v>0.47811543506493626</v>
      </c>
      <c r="AG614" s="28">
        <f t="shared" si="217"/>
        <v>0</v>
      </c>
      <c r="AI614" s="31">
        <f t="shared" si="218"/>
        <v>2.4414240464316039</v>
      </c>
      <c r="AJ614" s="25"/>
      <c r="AK614" s="31"/>
      <c r="AM614" s="27"/>
    </row>
    <row r="615" spans="4:39" x14ac:dyDescent="0.25">
      <c r="D615" s="25">
        <f>E615*'Profit per cycles Model'!$I$113</f>
        <v>6059.9999999999991</v>
      </c>
      <c r="E615" s="25">
        <v>16.600465689631555</v>
      </c>
      <c r="F615" s="28">
        <f t="shared" si="199"/>
        <v>0.16501650165016504</v>
      </c>
      <c r="G615" s="28">
        <f>'Battery Pricing Model'!$C$17/D615</f>
        <v>0.16501650165016504</v>
      </c>
      <c r="H615" s="28">
        <f t="shared" si="200"/>
        <v>999</v>
      </c>
      <c r="I615" s="28"/>
      <c r="J615" s="34">
        <f>INDEX('Profit per cycles Model'!$I$149:$I$179, MATCH(TRUNC(E615, 0), 'Profit per cycles Model'!$H$149:$H$179, 0))</f>
        <v>0.58776455787195381</v>
      </c>
      <c r="K615" s="27">
        <f>AVERAGE($J$10:J1615)</f>
        <v>0.56883042089778579</v>
      </c>
      <c r="L615" s="28">
        <f t="shared" si="201"/>
        <v>0.40381391924762078</v>
      </c>
      <c r="M615" s="28">
        <f t="shared" si="202"/>
        <v>0.40381391924762078</v>
      </c>
      <c r="N615" s="28">
        <f t="shared" si="203"/>
        <v>999</v>
      </c>
      <c r="O615" s="28"/>
      <c r="P615" s="29">
        <f t="shared" si="219"/>
        <v>0.60600000000000043</v>
      </c>
      <c r="Q615" s="33">
        <f t="shared" si="204"/>
        <v>6.7114093959731544</v>
      </c>
      <c r="R615" s="33">
        <f t="shared" si="205"/>
        <v>6.7114093959731544</v>
      </c>
      <c r="S615" s="33">
        <f t="shared" si="206"/>
        <v>-1</v>
      </c>
      <c r="T615" s="27"/>
      <c r="U615" s="28">
        <f t="shared" si="207"/>
        <v>0.10964912280701754</v>
      </c>
      <c r="V615" s="25">
        <f t="shared" si="208"/>
        <v>999</v>
      </c>
      <c r="W615" s="35">
        <f t="shared" si="220"/>
        <v>25</v>
      </c>
      <c r="X615" s="33">
        <f t="shared" si="209"/>
        <v>25</v>
      </c>
      <c r="Y615" s="32">
        <f t="shared" si="210"/>
        <v>-1</v>
      </c>
      <c r="Z615" s="32"/>
      <c r="AA615" s="30">
        <f t="shared" si="211"/>
        <v>16.600465689631555</v>
      </c>
      <c r="AB615" s="28">
        <f t="shared" si="212"/>
        <v>0.58776455787195381</v>
      </c>
      <c r="AC615" s="28">
        <f t="shared" si="213"/>
        <v>0.10964912280701754</v>
      </c>
      <c r="AD615" s="29">
        <f t="shared" si="214"/>
        <v>574.95256166982915</v>
      </c>
      <c r="AE615" s="28">
        <f t="shared" si="215"/>
        <v>0.10964912280701754</v>
      </c>
      <c r="AF615" s="28">
        <f t="shared" si="216"/>
        <v>0.47811543506493626</v>
      </c>
      <c r="AG615" s="28">
        <f t="shared" si="217"/>
        <v>0</v>
      </c>
      <c r="AI615" s="31">
        <f t="shared" si="218"/>
        <v>2.4471123506405816</v>
      </c>
      <c r="AJ615" s="25"/>
      <c r="AK615" s="31"/>
      <c r="AM615" s="27"/>
    </row>
    <row r="616" spans="4:39" x14ac:dyDescent="0.25">
      <c r="D616" s="25">
        <f>E616*'Profit per cycles Model'!$I$113</f>
        <v>6070.0000000000009</v>
      </c>
      <c r="E616" s="25">
        <v>16.627859197370224</v>
      </c>
      <c r="F616" s="28">
        <f t="shared" si="199"/>
        <v>0.16474464579901152</v>
      </c>
      <c r="G616" s="28">
        <f>'Battery Pricing Model'!$C$17/D616</f>
        <v>0.16474464579901152</v>
      </c>
      <c r="H616" s="28">
        <f t="shared" si="200"/>
        <v>999</v>
      </c>
      <c r="I616" s="28"/>
      <c r="J616" s="34">
        <f>INDEX('Profit per cycles Model'!$I$149:$I$179, MATCH(TRUNC(E616, 0), 'Profit per cycles Model'!$H$149:$H$179, 0))</f>
        <v>0.58776455787195381</v>
      </c>
      <c r="K616" s="27">
        <f>AVERAGE($J$10:J1616)</f>
        <v>0.56883042089778579</v>
      </c>
      <c r="L616" s="28">
        <f t="shared" si="201"/>
        <v>0.4040857750987743</v>
      </c>
      <c r="M616" s="28">
        <f t="shared" si="202"/>
        <v>0.4040857750987743</v>
      </c>
      <c r="N616" s="28">
        <f t="shared" si="203"/>
        <v>999</v>
      </c>
      <c r="O616" s="28"/>
      <c r="P616" s="29">
        <f t="shared" si="219"/>
        <v>0.60700000000000043</v>
      </c>
      <c r="Q616" s="33">
        <f t="shared" si="204"/>
        <v>6.7114093959731544</v>
      </c>
      <c r="R616" s="33">
        <f t="shared" si="205"/>
        <v>6.7114093959731544</v>
      </c>
      <c r="S616" s="33">
        <f t="shared" si="206"/>
        <v>-1</v>
      </c>
      <c r="T616" s="27"/>
      <c r="U616" s="28">
        <f t="shared" si="207"/>
        <v>0.10964912280701754</v>
      </c>
      <c r="V616" s="25">
        <f t="shared" si="208"/>
        <v>999</v>
      </c>
      <c r="W616" s="35">
        <f t="shared" si="220"/>
        <v>25</v>
      </c>
      <c r="X616" s="33">
        <f t="shared" si="209"/>
        <v>25</v>
      </c>
      <c r="Y616" s="32">
        <f t="shared" si="210"/>
        <v>-1</v>
      </c>
      <c r="Z616" s="32"/>
      <c r="AA616" s="30">
        <f t="shared" si="211"/>
        <v>16.627859197370224</v>
      </c>
      <c r="AB616" s="28">
        <f t="shared" si="212"/>
        <v>0.58776455787195381</v>
      </c>
      <c r="AC616" s="28">
        <f t="shared" si="213"/>
        <v>0.10964912280701754</v>
      </c>
      <c r="AD616" s="29">
        <f t="shared" si="214"/>
        <v>575.90132827324487</v>
      </c>
      <c r="AE616" s="28">
        <f t="shared" si="215"/>
        <v>0.10964912280701754</v>
      </c>
      <c r="AF616" s="28">
        <f t="shared" si="216"/>
        <v>0.47811543506493626</v>
      </c>
      <c r="AG616" s="28">
        <f t="shared" si="217"/>
        <v>0</v>
      </c>
      <c r="AI616" s="31">
        <f t="shared" si="218"/>
        <v>2.4528006548495602</v>
      </c>
      <c r="AJ616" s="25"/>
      <c r="AK616" s="31"/>
      <c r="AM616" s="27"/>
    </row>
    <row r="617" spans="4:39" x14ac:dyDescent="0.25">
      <c r="D617" s="25">
        <f>E617*'Profit per cycles Model'!$I$113</f>
        <v>6080</v>
      </c>
      <c r="E617" s="25">
        <v>16.655252705108889</v>
      </c>
      <c r="F617" s="28">
        <f t="shared" si="199"/>
        <v>0.16447368421052633</v>
      </c>
      <c r="G617" s="28">
        <f>'Battery Pricing Model'!$C$17/D617</f>
        <v>0.16447368421052633</v>
      </c>
      <c r="H617" s="28">
        <f t="shared" si="200"/>
        <v>999</v>
      </c>
      <c r="I617" s="28"/>
      <c r="J617" s="34">
        <f>INDEX('Profit per cycles Model'!$I$149:$I$179, MATCH(TRUNC(E617, 0), 'Profit per cycles Model'!$H$149:$H$179, 0))</f>
        <v>0.58776455787195381</v>
      </c>
      <c r="K617" s="27">
        <f>AVERAGE($J$10:J1617)</f>
        <v>0.56883042089778579</v>
      </c>
      <c r="L617" s="28">
        <f t="shared" si="201"/>
        <v>0.40435673668725947</v>
      </c>
      <c r="M617" s="28">
        <f t="shared" si="202"/>
        <v>0.40435673668725947</v>
      </c>
      <c r="N617" s="28">
        <f t="shared" si="203"/>
        <v>999</v>
      </c>
      <c r="O617" s="28"/>
      <c r="P617" s="29">
        <f t="shared" si="219"/>
        <v>0.60800000000000043</v>
      </c>
      <c r="Q617" s="33">
        <f t="shared" si="204"/>
        <v>6.7114093959731544</v>
      </c>
      <c r="R617" s="33">
        <f t="shared" si="205"/>
        <v>6.7114093959731544</v>
      </c>
      <c r="S617" s="33">
        <f t="shared" si="206"/>
        <v>-1</v>
      </c>
      <c r="T617" s="27"/>
      <c r="U617" s="28">
        <f t="shared" si="207"/>
        <v>0.10964912280701754</v>
      </c>
      <c r="V617" s="25">
        <f t="shared" si="208"/>
        <v>999</v>
      </c>
      <c r="W617" s="35">
        <f t="shared" si="220"/>
        <v>25</v>
      </c>
      <c r="X617" s="33">
        <f t="shared" si="209"/>
        <v>25</v>
      </c>
      <c r="Y617" s="32">
        <f t="shared" si="210"/>
        <v>-1</v>
      </c>
      <c r="Z617" s="32"/>
      <c r="AA617" s="30">
        <f t="shared" si="211"/>
        <v>16.655252705108889</v>
      </c>
      <c r="AB617" s="28">
        <f t="shared" si="212"/>
        <v>0.58776455787195381</v>
      </c>
      <c r="AC617" s="28">
        <f t="shared" si="213"/>
        <v>0.10964912280701754</v>
      </c>
      <c r="AD617" s="29">
        <f t="shared" si="214"/>
        <v>576.85009487666048</v>
      </c>
      <c r="AE617" s="28">
        <f t="shared" si="215"/>
        <v>0.10964912280701754</v>
      </c>
      <c r="AF617" s="28">
        <f t="shared" si="216"/>
        <v>0.47811543506493626</v>
      </c>
      <c r="AG617" s="28">
        <f t="shared" si="217"/>
        <v>0</v>
      </c>
      <c r="AI617" s="31">
        <f t="shared" si="218"/>
        <v>2.4584889590585375</v>
      </c>
      <c r="AJ617" s="25"/>
      <c r="AK617" s="31"/>
      <c r="AM617" s="27"/>
    </row>
    <row r="618" spans="4:39" x14ac:dyDescent="0.25">
      <c r="D618" s="25">
        <f>E618*'Profit per cycles Model'!$I$113</f>
        <v>6090</v>
      </c>
      <c r="E618" s="25">
        <v>16.682646212847555</v>
      </c>
      <c r="F618" s="28">
        <f t="shared" si="199"/>
        <v>0.16420361247947454</v>
      </c>
      <c r="G618" s="28">
        <f>'Battery Pricing Model'!$C$17/D618</f>
        <v>0.16420361247947454</v>
      </c>
      <c r="H618" s="28">
        <f t="shared" si="200"/>
        <v>999</v>
      </c>
      <c r="I618" s="28"/>
      <c r="J618" s="34">
        <f>INDEX('Profit per cycles Model'!$I$149:$I$179, MATCH(TRUNC(E618, 0), 'Profit per cycles Model'!$H$149:$H$179, 0))</f>
        <v>0.58776455787195381</v>
      </c>
      <c r="K618" s="27">
        <f>AVERAGE($J$10:J1618)</f>
        <v>0.56883042089778579</v>
      </c>
      <c r="L618" s="28">
        <f t="shared" si="201"/>
        <v>0.40462680841831122</v>
      </c>
      <c r="M618" s="28">
        <f t="shared" si="202"/>
        <v>0.40462680841831122</v>
      </c>
      <c r="N618" s="28">
        <f t="shared" si="203"/>
        <v>999</v>
      </c>
      <c r="O618" s="28"/>
      <c r="P618" s="29">
        <f t="shared" si="219"/>
        <v>0.60900000000000043</v>
      </c>
      <c r="Q618" s="33">
        <f t="shared" si="204"/>
        <v>6.7114093959731544</v>
      </c>
      <c r="R618" s="33">
        <f t="shared" si="205"/>
        <v>6.7114093959731544</v>
      </c>
      <c r="S618" s="33">
        <f t="shared" si="206"/>
        <v>-1</v>
      </c>
      <c r="T618" s="27"/>
      <c r="U618" s="28">
        <f t="shared" si="207"/>
        <v>0.10964912280701754</v>
      </c>
      <c r="V618" s="25">
        <f t="shared" si="208"/>
        <v>999</v>
      </c>
      <c r="W618" s="35">
        <f t="shared" si="220"/>
        <v>25</v>
      </c>
      <c r="X618" s="33">
        <f t="shared" si="209"/>
        <v>25</v>
      </c>
      <c r="Y618" s="32">
        <f t="shared" si="210"/>
        <v>-1</v>
      </c>
      <c r="Z618" s="32"/>
      <c r="AA618" s="30">
        <f t="shared" si="211"/>
        <v>16.682646212847555</v>
      </c>
      <c r="AB618" s="28">
        <f t="shared" si="212"/>
        <v>0.58776455787195381</v>
      </c>
      <c r="AC618" s="28">
        <f t="shared" si="213"/>
        <v>0.10964912280701754</v>
      </c>
      <c r="AD618" s="29">
        <f t="shared" si="214"/>
        <v>577.79886148007586</v>
      </c>
      <c r="AE618" s="28">
        <f t="shared" si="215"/>
        <v>0.10964912280701754</v>
      </c>
      <c r="AF618" s="28">
        <f t="shared" si="216"/>
        <v>0.47811543506493626</v>
      </c>
      <c r="AG618" s="28">
        <f t="shared" si="217"/>
        <v>0</v>
      </c>
      <c r="AI618" s="31">
        <f t="shared" si="218"/>
        <v>2.4641772632675156</v>
      </c>
      <c r="AJ618" s="25"/>
      <c r="AK618" s="31"/>
      <c r="AM618" s="27"/>
    </row>
    <row r="619" spans="4:39" x14ac:dyDescent="0.25">
      <c r="D619" s="25">
        <f>E619*'Profit per cycles Model'!$I$113</f>
        <v>6100</v>
      </c>
      <c r="E619" s="25">
        <v>16.71003972058622</v>
      </c>
      <c r="F619" s="28">
        <f t="shared" si="199"/>
        <v>0.16393442622950818</v>
      </c>
      <c r="G619" s="28">
        <f>'Battery Pricing Model'!$C$17/D619</f>
        <v>0.16393442622950818</v>
      </c>
      <c r="H619" s="28">
        <f t="shared" si="200"/>
        <v>999</v>
      </c>
      <c r="I619" s="28"/>
      <c r="J619" s="34">
        <f>INDEX('Profit per cycles Model'!$I$149:$I$179, MATCH(TRUNC(E619, 0), 'Profit per cycles Model'!$H$149:$H$179, 0))</f>
        <v>0.58776455787195381</v>
      </c>
      <c r="K619" s="27">
        <f>AVERAGE($J$10:J1619)</f>
        <v>0.56883042089778579</v>
      </c>
      <c r="L619" s="28">
        <f t="shared" si="201"/>
        <v>0.40489599466827764</v>
      </c>
      <c r="M619" s="28">
        <f t="shared" si="202"/>
        <v>0.40489599466827764</v>
      </c>
      <c r="N619" s="28">
        <f t="shared" si="203"/>
        <v>999</v>
      </c>
      <c r="O619" s="28"/>
      <c r="P619" s="29">
        <f t="shared" si="219"/>
        <v>0.61000000000000043</v>
      </c>
      <c r="Q619" s="33">
        <f t="shared" si="204"/>
        <v>6.7114093959731544</v>
      </c>
      <c r="R619" s="33">
        <f t="shared" si="205"/>
        <v>6.7114093959731544</v>
      </c>
      <c r="S619" s="33">
        <f t="shared" si="206"/>
        <v>-1</v>
      </c>
      <c r="T619" s="27"/>
      <c r="U619" s="28">
        <f t="shared" si="207"/>
        <v>0.10964912280701754</v>
      </c>
      <c r="V619" s="25">
        <f t="shared" si="208"/>
        <v>999</v>
      </c>
      <c r="W619" s="35">
        <f t="shared" si="220"/>
        <v>25</v>
      </c>
      <c r="X619" s="33">
        <f t="shared" si="209"/>
        <v>25</v>
      </c>
      <c r="Y619" s="32">
        <f t="shared" si="210"/>
        <v>-1</v>
      </c>
      <c r="Z619" s="32"/>
      <c r="AA619" s="30">
        <f t="shared" si="211"/>
        <v>16.71003972058622</v>
      </c>
      <c r="AB619" s="28">
        <f t="shared" si="212"/>
        <v>0.58776455787195381</v>
      </c>
      <c r="AC619" s="28">
        <f t="shared" si="213"/>
        <v>0.10964912280701754</v>
      </c>
      <c r="AD619" s="29">
        <f t="shared" si="214"/>
        <v>578.74762808349146</v>
      </c>
      <c r="AE619" s="28">
        <f t="shared" si="215"/>
        <v>0.10964912280701754</v>
      </c>
      <c r="AF619" s="28">
        <f t="shared" si="216"/>
        <v>0.47811543506493626</v>
      </c>
      <c r="AG619" s="28">
        <f t="shared" si="217"/>
        <v>0</v>
      </c>
      <c r="AI619" s="31">
        <f t="shared" si="218"/>
        <v>2.4698655674764938</v>
      </c>
      <c r="AJ619" s="25"/>
      <c r="AK619" s="31"/>
      <c r="AM619" s="27"/>
    </row>
    <row r="620" spans="4:39" x14ac:dyDescent="0.25">
      <c r="D620" s="25">
        <f>E620*'Profit per cycles Model'!$I$113</f>
        <v>6110</v>
      </c>
      <c r="E620" s="25">
        <v>16.737433228324885</v>
      </c>
      <c r="F620" s="28">
        <f t="shared" si="199"/>
        <v>0.16366612111292964</v>
      </c>
      <c r="G620" s="28">
        <f>'Battery Pricing Model'!$C$17/D620</f>
        <v>0.16366612111292964</v>
      </c>
      <c r="H620" s="28">
        <f t="shared" si="200"/>
        <v>999</v>
      </c>
      <c r="I620" s="28"/>
      <c r="J620" s="34">
        <f>INDEX('Profit per cycles Model'!$I$149:$I$179, MATCH(TRUNC(E620, 0), 'Profit per cycles Model'!$H$149:$H$179, 0))</f>
        <v>0.58776455787195381</v>
      </c>
      <c r="K620" s="27">
        <f>AVERAGE($J$10:J1620)</f>
        <v>0.56883042089778579</v>
      </c>
      <c r="L620" s="28">
        <f t="shared" si="201"/>
        <v>0.40516429978485613</v>
      </c>
      <c r="M620" s="28">
        <f t="shared" si="202"/>
        <v>0.40516429978485613</v>
      </c>
      <c r="N620" s="28">
        <f t="shared" si="203"/>
        <v>999</v>
      </c>
      <c r="O620" s="28"/>
      <c r="P620" s="29">
        <f t="shared" si="219"/>
        <v>0.61100000000000043</v>
      </c>
      <c r="Q620" s="33">
        <f t="shared" si="204"/>
        <v>6.7114093959731544</v>
      </c>
      <c r="R620" s="33">
        <f t="shared" si="205"/>
        <v>6.7114093959731544</v>
      </c>
      <c r="S620" s="33">
        <f t="shared" si="206"/>
        <v>-1</v>
      </c>
      <c r="T620" s="27"/>
      <c r="U620" s="28">
        <f t="shared" si="207"/>
        <v>0.10964912280701754</v>
      </c>
      <c r="V620" s="25">
        <f t="shared" si="208"/>
        <v>999</v>
      </c>
      <c r="W620" s="35">
        <f t="shared" si="220"/>
        <v>25</v>
      </c>
      <c r="X620" s="33">
        <f t="shared" si="209"/>
        <v>25</v>
      </c>
      <c r="Y620" s="32">
        <f t="shared" si="210"/>
        <v>-1</v>
      </c>
      <c r="Z620" s="32"/>
      <c r="AA620" s="30">
        <f t="shared" si="211"/>
        <v>16.737433228324885</v>
      </c>
      <c r="AB620" s="28">
        <f t="shared" si="212"/>
        <v>0.58776455787195381</v>
      </c>
      <c r="AC620" s="28">
        <f t="shared" si="213"/>
        <v>0.10964912280701754</v>
      </c>
      <c r="AD620" s="29">
        <f t="shared" si="214"/>
        <v>579.69639468690696</v>
      </c>
      <c r="AE620" s="28">
        <f t="shared" si="215"/>
        <v>0.10964912280701754</v>
      </c>
      <c r="AF620" s="28">
        <f t="shared" si="216"/>
        <v>0.47811543506493626</v>
      </c>
      <c r="AG620" s="28">
        <f t="shared" si="217"/>
        <v>0</v>
      </c>
      <c r="AI620" s="31">
        <f t="shared" si="218"/>
        <v>2.4755538716854706</v>
      </c>
      <c r="AJ620" s="25"/>
      <c r="AK620" s="31"/>
      <c r="AM620" s="27"/>
    </row>
    <row r="621" spans="4:39" x14ac:dyDescent="0.25">
      <c r="D621" s="25">
        <f>E621*'Profit per cycles Model'!$I$113</f>
        <v>6119.9999999999991</v>
      </c>
      <c r="E621" s="25">
        <v>16.764826736063551</v>
      </c>
      <c r="F621" s="28">
        <f t="shared" si="199"/>
        <v>0.16339869281045755</v>
      </c>
      <c r="G621" s="28">
        <f>'Battery Pricing Model'!$C$17/D621</f>
        <v>0.16339869281045755</v>
      </c>
      <c r="H621" s="28">
        <f t="shared" si="200"/>
        <v>999</v>
      </c>
      <c r="I621" s="28"/>
      <c r="J621" s="34">
        <f>INDEX('Profit per cycles Model'!$I$149:$I$179, MATCH(TRUNC(E621, 0), 'Profit per cycles Model'!$H$149:$H$179, 0))</f>
        <v>0.58776455787195381</v>
      </c>
      <c r="K621" s="27">
        <f>AVERAGE($J$10:J1621)</f>
        <v>0.56883042089778579</v>
      </c>
      <c r="L621" s="28">
        <f t="shared" si="201"/>
        <v>0.40543172808732825</v>
      </c>
      <c r="M621" s="28">
        <f t="shared" si="202"/>
        <v>0.40543172808732825</v>
      </c>
      <c r="N621" s="28">
        <f t="shared" si="203"/>
        <v>999</v>
      </c>
      <c r="O621" s="28"/>
      <c r="P621" s="29">
        <f t="shared" si="219"/>
        <v>0.61200000000000043</v>
      </c>
      <c r="Q621" s="33">
        <f t="shared" si="204"/>
        <v>6.7114093959731544</v>
      </c>
      <c r="R621" s="33">
        <f t="shared" si="205"/>
        <v>6.7114093959731544</v>
      </c>
      <c r="S621" s="33">
        <f t="shared" si="206"/>
        <v>-1</v>
      </c>
      <c r="T621" s="27"/>
      <c r="U621" s="28">
        <f t="shared" si="207"/>
        <v>0.10964912280701754</v>
      </c>
      <c r="V621" s="25">
        <f t="shared" si="208"/>
        <v>999</v>
      </c>
      <c r="W621" s="35">
        <f t="shared" si="220"/>
        <v>25</v>
      </c>
      <c r="X621" s="33">
        <f t="shared" si="209"/>
        <v>25</v>
      </c>
      <c r="Y621" s="32">
        <f t="shared" si="210"/>
        <v>-1</v>
      </c>
      <c r="Z621" s="32"/>
      <c r="AA621" s="30">
        <f t="shared" si="211"/>
        <v>16.764826736063551</v>
      </c>
      <c r="AB621" s="28">
        <f t="shared" si="212"/>
        <v>0.58776455787195381</v>
      </c>
      <c r="AC621" s="28">
        <f t="shared" si="213"/>
        <v>0.10964912280701754</v>
      </c>
      <c r="AD621" s="29">
        <f t="shared" si="214"/>
        <v>580.64516129032256</v>
      </c>
      <c r="AE621" s="28">
        <f t="shared" si="215"/>
        <v>0.10964912280701754</v>
      </c>
      <c r="AF621" s="28">
        <f t="shared" si="216"/>
        <v>0.47811543506493626</v>
      </c>
      <c r="AG621" s="28">
        <f t="shared" si="217"/>
        <v>0</v>
      </c>
      <c r="AI621" s="31">
        <f t="shared" si="218"/>
        <v>2.4812421758944483</v>
      </c>
      <c r="AJ621" s="25"/>
      <c r="AK621" s="31"/>
      <c r="AM621" s="27"/>
    </row>
    <row r="622" spans="4:39" x14ac:dyDescent="0.25">
      <c r="D622" s="25">
        <f>E622*'Profit per cycles Model'!$I$113</f>
        <v>6130.0000000000009</v>
      </c>
      <c r="E622" s="25">
        <v>16.79222024380222</v>
      </c>
      <c r="F622" s="28">
        <f t="shared" si="199"/>
        <v>0.16313213703099508</v>
      </c>
      <c r="G622" s="28">
        <f>'Battery Pricing Model'!$C$17/D622</f>
        <v>0.16313213703099508</v>
      </c>
      <c r="H622" s="28">
        <f t="shared" si="200"/>
        <v>999</v>
      </c>
      <c r="I622" s="28"/>
      <c r="J622" s="34">
        <f>INDEX('Profit per cycles Model'!$I$149:$I$179, MATCH(TRUNC(E622, 0), 'Profit per cycles Model'!$H$149:$H$179, 0))</f>
        <v>0.58776455787195381</v>
      </c>
      <c r="K622" s="27">
        <f>AVERAGE($J$10:J1622)</f>
        <v>0.56883042089778579</v>
      </c>
      <c r="L622" s="28">
        <f t="shared" si="201"/>
        <v>0.40569828386679074</v>
      </c>
      <c r="M622" s="28">
        <f t="shared" si="202"/>
        <v>0.40569828386679074</v>
      </c>
      <c r="N622" s="28">
        <f t="shared" si="203"/>
        <v>999</v>
      </c>
      <c r="O622" s="28"/>
      <c r="P622" s="29">
        <f t="shared" si="219"/>
        <v>0.61300000000000043</v>
      </c>
      <c r="Q622" s="33">
        <f t="shared" si="204"/>
        <v>6.7114093959731544</v>
      </c>
      <c r="R622" s="33">
        <f t="shared" si="205"/>
        <v>6.7114093959731544</v>
      </c>
      <c r="S622" s="33">
        <f t="shared" si="206"/>
        <v>-1</v>
      </c>
      <c r="T622" s="27"/>
      <c r="U622" s="28">
        <f t="shared" si="207"/>
        <v>0.10964912280701754</v>
      </c>
      <c r="V622" s="25">
        <f t="shared" si="208"/>
        <v>999</v>
      </c>
      <c r="W622" s="35">
        <f t="shared" si="220"/>
        <v>25</v>
      </c>
      <c r="X622" s="33">
        <f t="shared" si="209"/>
        <v>25</v>
      </c>
      <c r="Y622" s="32">
        <f t="shared" si="210"/>
        <v>-1</v>
      </c>
      <c r="Z622" s="32"/>
      <c r="AA622" s="30">
        <f t="shared" si="211"/>
        <v>16.79222024380222</v>
      </c>
      <c r="AB622" s="28">
        <f t="shared" si="212"/>
        <v>0.58776455787195381</v>
      </c>
      <c r="AC622" s="28">
        <f t="shared" si="213"/>
        <v>0.10964912280701754</v>
      </c>
      <c r="AD622" s="29">
        <f t="shared" si="214"/>
        <v>581.59392789373828</v>
      </c>
      <c r="AE622" s="28">
        <f t="shared" si="215"/>
        <v>0.10964912280701754</v>
      </c>
      <c r="AF622" s="28">
        <f t="shared" si="216"/>
        <v>0.47811543506493626</v>
      </c>
      <c r="AG622" s="28">
        <f t="shared" si="217"/>
        <v>0</v>
      </c>
      <c r="AI622" s="31">
        <f t="shared" si="218"/>
        <v>2.4869304801034278</v>
      </c>
      <c r="AJ622" s="25"/>
      <c r="AK622" s="31"/>
      <c r="AM622" s="27"/>
    </row>
    <row r="623" spans="4:39" x14ac:dyDescent="0.25">
      <c r="D623" s="25">
        <f>E623*'Profit per cycles Model'!$I$113</f>
        <v>6140</v>
      </c>
      <c r="E623" s="25">
        <v>16.819613751540885</v>
      </c>
      <c r="F623" s="28">
        <f t="shared" si="199"/>
        <v>0.16286644951140064</v>
      </c>
      <c r="G623" s="28">
        <f>'Battery Pricing Model'!$C$17/D623</f>
        <v>0.16286644951140064</v>
      </c>
      <c r="H623" s="28">
        <f t="shared" si="200"/>
        <v>999</v>
      </c>
      <c r="I623" s="28"/>
      <c r="J623" s="34">
        <f>INDEX('Profit per cycles Model'!$I$149:$I$179, MATCH(TRUNC(E623, 0), 'Profit per cycles Model'!$H$149:$H$179, 0))</f>
        <v>0.58776455787195381</v>
      </c>
      <c r="K623" s="27">
        <f>AVERAGE($J$10:J1623)</f>
        <v>0.56883042089778579</v>
      </c>
      <c r="L623" s="28">
        <f t="shared" si="201"/>
        <v>0.40596397138638518</v>
      </c>
      <c r="M623" s="28">
        <f t="shared" si="202"/>
        <v>0.40596397138638518</v>
      </c>
      <c r="N623" s="28">
        <f t="shared" si="203"/>
        <v>999</v>
      </c>
      <c r="O623" s="28"/>
      <c r="P623" s="29">
        <f t="shared" si="219"/>
        <v>0.61400000000000043</v>
      </c>
      <c r="Q623" s="33">
        <f t="shared" si="204"/>
        <v>6.7114093959731544</v>
      </c>
      <c r="R623" s="33">
        <f t="shared" si="205"/>
        <v>6.7114093959731544</v>
      </c>
      <c r="S623" s="33">
        <f t="shared" si="206"/>
        <v>-1</v>
      </c>
      <c r="T623" s="27"/>
      <c r="U623" s="28">
        <f t="shared" si="207"/>
        <v>0.10964912280701754</v>
      </c>
      <c r="V623" s="25">
        <f t="shared" si="208"/>
        <v>999</v>
      </c>
      <c r="W623" s="35">
        <f t="shared" si="220"/>
        <v>25</v>
      </c>
      <c r="X623" s="33">
        <f t="shared" si="209"/>
        <v>25</v>
      </c>
      <c r="Y623" s="32">
        <f t="shared" si="210"/>
        <v>-1</v>
      </c>
      <c r="Z623" s="32"/>
      <c r="AA623" s="30">
        <f t="shared" si="211"/>
        <v>16.819613751540885</v>
      </c>
      <c r="AB623" s="28">
        <f t="shared" si="212"/>
        <v>0.58776455787195381</v>
      </c>
      <c r="AC623" s="28">
        <f t="shared" si="213"/>
        <v>0.10964912280701754</v>
      </c>
      <c r="AD623" s="29">
        <f t="shared" si="214"/>
        <v>582.54269449715378</v>
      </c>
      <c r="AE623" s="28">
        <f t="shared" si="215"/>
        <v>0.10964912280701754</v>
      </c>
      <c r="AF623" s="28">
        <f t="shared" si="216"/>
        <v>0.47811543506493626</v>
      </c>
      <c r="AG623" s="28">
        <f t="shared" si="217"/>
        <v>0</v>
      </c>
      <c r="AI623" s="31">
        <f t="shared" si="218"/>
        <v>2.492618784312405</v>
      </c>
      <c r="AJ623" s="25"/>
      <c r="AK623" s="31"/>
      <c r="AM623" s="27"/>
    </row>
    <row r="624" spans="4:39" x14ac:dyDescent="0.25">
      <c r="D624" s="25">
        <f>E624*'Profit per cycles Model'!$I$113</f>
        <v>6150</v>
      </c>
      <c r="E624" s="25">
        <v>16.84700725927955</v>
      </c>
      <c r="F624" s="28">
        <f t="shared" si="199"/>
        <v>0.16260162601626016</v>
      </c>
      <c r="G624" s="28">
        <f>'Battery Pricing Model'!$C$17/D624</f>
        <v>0.16260162601626016</v>
      </c>
      <c r="H624" s="28">
        <f t="shared" si="200"/>
        <v>999</v>
      </c>
      <c r="I624" s="28"/>
      <c r="J624" s="34">
        <f>INDEX('Profit per cycles Model'!$I$149:$I$179, MATCH(TRUNC(E624, 0), 'Profit per cycles Model'!$H$149:$H$179, 0))</f>
        <v>0.58776455787195381</v>
      </c>
      <c r="K624" s="27">
        <f>AVERAGE($J$10:J1624)</f>
        <v>0.56883042089778579</v>
      </c>
      <c r="L624" s="28">
        <f t="shared" si="201"/>
        <v>0.40622879488152563</v>
      </c>
      <c r="M624" s="28">
        <f t="shared" si="202"/>
        <v>0.40622879488152563</v>
      </c>
      <c r="N624" s="28">
        <f t="shared" si="203"/>
        <v>999</v>
      </c>
      <c r="O624" s="28"/>
      <c r="P624" s="29">
        <f t="shared" si="219"/>
        <v>0.61500000000000044</v>
      </c>
      <c r="Q624" s="33">
        <f t="shared" si="204"/>
        <v>6.7114093959731544</v>
      </c>
      <c r="R624" s="33">
        <f t="shared" si="205"/>
        <v>6.7114093959731544</v>
      </c>
      <c r="S624" s="33">
        <f t="shared" si="206"/>
        <v>-1</v>
      </c>
      <c r="T624" s="27"/>
      <c r="U624" s="28">
        <f t="shared" si="207"/>
        <v>0.10964912280701754</v>
      </c>
      <c r="V624" s="25">
        <f t="shared" si="208"/>
        <v>999</v>
      </c>
      <c r="W624" s="35">
        <f t="shared" si="220"/>
        <v>25</v>
      </c>
      <c r="X624" s="33">
        <f t="shared" si="209"/>
        <v>25</v>
      </c>
      <c r="Y624" s="32">
        <f t="shared" si="210"/>
        <v>-1</v>
      </c>
      <c r="Z624" s="32"/>
      <c r="AA624" s="30">
        <f t="shared" si="211"/>
        <v>16.84700725927955</v>
      </c>
      <c r="AB624" s="28">
        <f t="shared" si="212"/>
        <v>0.58776455787195381</v>
      </c>
      <c r="AC624" s="28">
        <f t="shared" si="213"/>
        <v>0.10964912280701754</v>
      </c>
      <c r="AD624" s="29">
        <f t="shared" si="214"/>
        <v>583.49146110056927</v>
      </c>
      <c r="AE624" s="28">
        <f t="shared" si="215"/>
        <v>0.10964912280701754</v>
      </c>
      <c r="AF624" s="28">
        <f t="shared" si="216"/>
        <v>0.47811543506493626</v>
      </c>
      <c r="AG624" s="28">
        <f t="shared" si="217"/>
        <v>0</v>
      </c>
      <c r="AI624" s="31">
        <f t="shared" si="218"/>
        <v>2.4983070885213827</v>
      </c>
      <c r="AJ624" s="25"/>
      <c r="AK624" s="31"/>
      <c r="AM624" s="27"/>
    </row>
    <row r="625" spans="4:39" x14ac:dyDescent="0.25">
      <c r="D625" s="25">
        <f>E625*'Profit per cycles Model'!$I$113</f>
        <v>6160</v>
      </c>
      <c r="E625" s="25">
        <v>16.874400767018216</v>
      </c>
      <c r="F625" s="28">
        <f t="shared" si="199"/>
        <v>0.16233766233766234</v>
      </c>
      <c r="G625" s="28">
        <f>'Battery Pricing Model'!$C$17/D625</f>
        <v>0.16233766233766234</v>
      </c>
      <c r="H625" s="28">
        <f t="shared" si="200"/>
        <v>999</v>
      </c>
      <c r="I625" s="28"/>
      <c r="J625" s="34">
        <f>INDEX('Profit per cycles Model'!$I$149:$I$179, MATCH(TRUNC(E625, 0), 'Profit per cycles Model'!$H$149:$H$179, 0))</f>
        <v>0.58776455787195381</v>
      </c>
      <c r="K625" s="27">
        <f>AVERAGE($J$10:J1625)</f>
        <v>0.56883042089778579</v>
      </c>
      <c r="L625" s="28">
        <f t="shared" si="201"/>
        <v>0.40649275856012346</v>
      </c>
      <c r="M625" s="28">
        <f t="shared" si="202"/>
        <v>0.40649275856012346</v>
      </c>
      <c r="N625" s="28">
        <f t="shared" si="203"/>
        <v>999</v>
      </c>
      <c r="O625" s="28"/>
      <c r="P625" s="29">
        <f t="shared" si="219"/>
        <v>0.61600000000000044</v>
      </c>
      <c r="Q625" s="33">
        <f t="shared" si="204"/>
        <v>6.7114093959731544</v>
      </c>
      <c r="R625" s="33">
        <f t="shared" si="205"/>
        <v>6.7114093959731544</v>
      </c>
      <c r="S625" s="33">
        <f t="shared" si="206"/>
        <v>-1</v>
      </c>
      <c r="T625" s="27"/>
      <c r="U625" s="28">
        <f t="shared" si="207"/>
        <v>0.10964912280701754</v>
      </c>
      <c r="V625" s="25">
        <f t="shared" si="208"/>
        <v>999</v>
      </c>
      <c r="W625" s="35">
        <f t="shared" si="220"/>
        <v>25</v>
      </c>
      <c r="X625" s="33">
        <f t="shared" si="209"/>
        <v>25</v>
      </c>
      <c r="Y625" s="32">
        <f t="shared" si="210"/>
        <v>-1</v>
      </c>
      <c r="Z625" s="32"/>
      <c r="AA625" s="30">
        <f t="shared" si="211"/>
        <v>16.874400767018216</v>
      </c>
      <c r="AB625" s="28">
        <f t="shared" si="212"/>
        <v>0.58776455787195381</v>
      </c>
      <c r="AC625" s="28">
        <f t="shared" si="213"/>
        <v>0.10964912280701754</v>
      </c>
      <c r="AD625" s="29">
        <f t="shared" si="214"/>
        <v>584.44022770398476</v>
      </c>
      <c r="AE625" s="28">
        <f t="shared" si="215"/>
        <v>0.10964912280701754</v>
      </c>
      <c r="AF625" s="28">
        <f t="shared" si="216"/>
        <v>0.47811543506493626</v>
      </c>
      <c r="AG625" s="28">
        <f t="shared" si="217"/>
        <v>0</v>
      </c>
      <c r="AI625" s="31">
        <f t="shared" si="218"/>
        <v>2.5039953927303604</v>
      </c>
      <c r="AJ625" s="25"/>
      <c r="AK625" s="31"/>
      <c r="AM625" s="27"/>
    </row>
    <row r="626" spans="4:39" x14ac:dyDescent="0.25">
      <c r="D626" s="25">
        <f>E626*'Profit per cycles Model'!$I$113</f>
        <v>6170</v>
      </c>
      <c r="E626" s="25">
        <v>16.901794274756881</v>
      </c>
      <c r="F626" s="28">
        <f t="shared" si="199"/>
        <v>0.16207455429497569</v>
      </c>
      <c r="G626" s="28">
        <f>'Battery Pricing Model'!$C$17/D626</f>
        <v>0.16207455429497569</v>
      </c>
      <c r="H626" s="28">
        <f t="shared" si="200"/>
        <v>999</v>
      </c>
      <c r="I626" s="28"/>
      <c r="J626" s="34">
        <f>INDEX('Profit per cycles Model'!$I$149:$I$179, MATCH(TRUNC(E626, 0), 'Profit per cycles Model'!$H$149:$H$179, 0))</f>
        <v>0.58776455787195381</v>
      </c>
      <c r="K626" s="27">
        <f>AVERAGE($J$10:J1626)</f>
        <v>0.56883042089778579</v>
      </c>
      <c r="L626" s="28">
        <f t="shared" si="201"/>
        <v>0.4067558666028101</v>
      </c>
      <c r="M626" s="28">
        <f t="shared" si="202"/>
        <v>0.4067558666028101</v>
      </c>
      <c r="N626" s="28">
        <f t="shared" si="203"/>
        <v>999</v>
      </c>
      <c r="O626" s="28"/>
      <c r="P626" s="29">
        <f t="shared" si="219"/>
        <v>0.61700000000000044</v>
      </c>
      <c r="Q626" s="33">
        <f t="shared" si="204"/>
        <v>6.7114093959731544</v>
      </c>
      <c r="R626" s="33">
        <f t="shared" si="205"/>
        <v>6.7114093959731544</v>
      </c>
      <c r="S626" s="33">
        <f t="shared" si="206"/>
        <v>-1</v>
      </c>
      <c r="T626" s="27"/>
      <c r="U626" s="28">
        <f t="shared" si="207"/>
        <v>0.10964912280701754</v>
      </c>
      <c r="V626" s="25">
        <f t="shared" si="208"/>
        <v>999</v>
      </c>
      <c r="W626" s="35">
        <f t="shared" si="220"/>
        <v>25</v>
      </c>
      <c r="X626" s="33">
        <f t="shared" si="209"/>
        <v>25</v>
      </c>
      <c r="Y626" s="32">
        <f t="shared" si="210"/>
        <v>-1</v>
      </c>
      <c r="Z626" s="32"/>
      <c r="AA626" s="30">
        <f t="shared" si="211"/>
        <v>16.901794274756881</v>
      </c>
      <c r="AB626" s="28">
        <f t="shared" si="212"/>
        <v>0.58776455787195381</v>
      </c>
      <c r="AC626" s="28">
        <f t="shared" si="213"/>
        <v>0.10964912280701754</v>
      </c>
      <c r="AD626" s="29">
        <f t="shared" si="214"/>
        <v>585.38899430740037</v>
      </c>
      <c r="AE626" s="28">
        <f t="shared" si="215"/>
        <v>0.10964912280701754</v>
      </c>
      <c r="AF626" s="28">
        <f t="shared" si="216"/>
        <v>0.47811543506493626</v>
      </c>
      <c r="AG626" s="28">
        <f t="shared" si="217"/>
        <v>0</v>
      </c>
      <c r="AI626" s="31">
        <f t="shared" si="218"/>
        <v>2.5096836969393381</v>
      </c>
      <c r="AJ626" s="25"/>
      <c r="AK626" s="31"/>
      <c r="AM626" s="27"/>
    </row>
    <row r="627" spans="4:39" x14ac:dyDescent="0.25">
      <c r="D627" s="25">
        <f>E627*'Profit per cycles Model'!$I$113</f>
        <v>6179.9999999999991</v>
      </c>
      <c r="E627" s="25">
        <v>16.929187782495546</v>
      </c>
      <c r="F627" s="28">
        <f t="shared" si="199"/>
        <v>0.16181229773462785</v>
      </c>
      <c r="G627" s="28">
        <f>'Battery Pricing Model'!$C$17/D627</f>
        <v>0.16181229773462785</v>
      </c>
      <c r="H627" s="28">
        <f t="shared" si="200"/>
        <v>999</v>
      </c>
      <c r="I627" s="28"/>
      <c r="J627" s="34">
        <f>INDEX('Profit per cycles Model'!$I$149:$I$179, MATCH(TRUNC(E627, 0), 'Profit per cycles Model'!$H$149:$H$179, 0))</f>
        <v>0.58776455787195381</v>
      </c>
      <c r="K627" s="27">
        <f>AVERAGE($J$10:J1627)</f>
        <v>0.56883042089778579</v>
      </c>
      <c r="L627" s="28">
        <f t="shared" si="201"/>
        <v>0.40701812316315794</v>
      </c>
      <c r="M627" s="28">
        <f t="shared" si="202"/>
        <v>0.40701812316315794</v>
      </c>
      <c r="N627" s="28">
        <f t="shared" si="203"/>
        <v>999</v>
      </c>
      <c r="O627" s="28"/>
      <c r="P627" s="29">
        <f t="shared" si="219"/>
        <v>0.61800000000000044</v>
      </c>
      <c r="Q627" s="33">
        <f t="shared" si="204"/>
        <v>6.7114093959731544</v>
      </c>
      <c r="R627" s="33">
        <f t="shared" si="205"/>
        <v>6.7114093959731544</v>
      </c>
      <c r="S627" s="33">
        <f t="shared" si="206"/>
        <v>-1</v>
      </c>
      <c r="T627" s="27"/>
      <c r="U627" s="28">
        <f t="shared" si="207"/>
        <v>0.10964912280701754</v>
      </c>
      <c r="V627" s="25">
        <f t="shared" si="208"/>
        <v>999</v>
      </c>
      <c r="W627" s="35">
        <f t="shared" si="220"/>
        <v>25</v>
      </c>
      <c r="X627" s="33">
        <f t="shared" si="209"/>
        <v>25</v>
      </c>
      <c r="Y627" s="32">
        <f t="shared" si="210"/>
        <v>-1</v>
      </c>
      <c r="Z627" s="32"/>
      <c r="AA627" s="30">
        <f t="shared" si="211"/>
        <v>16.929187782495546</v>
      </c>
      <c r="AB627" s="28">
        <f t="shared" si="212"/>
        <v>0.58776455787195381</v>
      </c>
      <c r="AC627" s="28">
        <f t="shared" si="213"/>
        <v>0.10964912280701754</v>
      </c>
      <c r="AD627" s="29">
        <f t="shared" si="214"/>
        <v>586.33776091081586</v>
      </c>
      <c r="AE627" s="28">
        <f t="shared" si="215"/>
        <v>0.10964912280701754</v>
      </c>
      <c r="AF627" s="28">
        <f t="shared" si="216"/>
        <v>0.47811543506493626</v>
      </c>
      <c r="AG627" s="28">
        <f t="shared" si="217"/>
        <v>0</v>
      </c>
      <c r="AI627" s="31">
        <f t="shared" si="218"/>
        <v>2.5153720011483158</v>
      </c>
      <c r="AJ627" s="25"/>
      <c r="AK627" s="31"/>
      <c r="AM627" s="27"/>
    </row>
    <row r="628" spans="4:39" x14ac:dyDescent="0.25">
      <c r="D628" s="25">
        <f>E628*'Profit per cycles Model'!$I$113</f>
        <v>6190.0000000000009</v>
      </c>
      <c r="E628" s="25">
        <v>16.956581290234215</v>
      </c>
      <c r="F628" s="28">
        <f t="shared" si="199"/>
        <v>0.16155088852988689</v>
      </c>
      <c r="G628" s="28">
        <f>'Battery Pricing Model'!$C$17/D628</f>
        <v>0.16155088852988689</v>
      </c>
      <c r="H628" s="28">
        <f t="shared" si="200"/>
        <v>999</v>
      </c>
      <c r="I628" s="28"/>
      <c r="J628" s="34">
        <f>INDEX('Profit per cycles Model'!$I$149:$I$179, MATCH(TRUNC(E628, 0), 'Profit per cycles Model'!$H$149:$H$179, 0))</f>
        <v>0.58776455787195381</v>
      </c>
      <c r="K628" s="27">
        <f>AVERAGE($J$10:J1628)</f>
        <v>0.56883042089778579</v>
      </c>
      <c r="L628" s="28">
        <f t="shared" si="201"/>
        <v>0.40727953236789893</v>
      </c>
      <c r="M628" s="28">
        <f t="shared" si="202"/>
        <v>0.40727953236789893</v>
      </c>
      <c r="N628" s="28">
        <f t="shared" si="203"/>
        <v>999</v>
      </c>
      <c r="O628" s="28"/>
      <c r="P628" s="29">
        <f t="shared" si="219"/>
        <v>0.61900000000000044</v>
      </c>
      <c r="Q628" s="33">
        <f t="shared" si="204"/>
        <v>6.7114093959731544</v>
      </c>
      <c r="R628" s="33">
        <f t="shared" si="205"/>
        <v>6.7114093959731544</v>
      </c>
      <c r="S628" s="33">
        <f t="shared" si="206"/>
        <v>-1</v>
      </c>
      <c r="T628" s="27"/>
      <c r="U628" s="28">
        <f t="shared" si="207"/>
        <v>0.10964912280701754</v>
      </c>
      <c r="V628" s="25">
        <f t="shared" si="208"/>
        <v>999</v>
      </c>
      <c r="W628" s="35">
        <f t="shared" si="220"/>
        <v>25</v>
      </c>
      <c r="X628" s="33">
        <f t="shared" si="209"/>
        <v>25</v>
      </c>
      <c r="Y628" s="32">
        <f t="shared" si="210"/>
        <v>-1</v>
      </c>
      <c r="Z628" s="32"/>
      <c r="AA628" s="30">
        <f t="shared" si="211"/>
        <v>16.956581290234215</v>
      </c>
      <c r="AB628" s="28">
        <f t="shared" si="212"/>
        <v>0.58776455787195381</v>
      </c>
      <c r="AC628" s="28">
        <f t="shared" si="213"/>
        <v>0.10964912280701754</v>
      </c>
      <c r="AD628" s="29">
        <f t="shared" si="214"/>
        <v>587.28652751423158</v>
      </c>
      <c r="AE628" s="28">
        <f t="shared" si="215"/>
        <v>0.10964912280701754</v>
      </c>
      <c r="AF628" s="28">
        <f t="shared" si="216"/>
        <v>0.47811543506493626</v>
      </c>
      <c r="AG628" s="28">
        <f t="shared" si="217"/>
        <v>0</v>
      </c>
      <c r="AI628" s="31">
        <f t="shared" si="218"/>
        <v>2.5210603053572949</v>
      </c>
      <c r="AJ628" s="25"/>
      <c r="AK628" s="31"/>
      <c r="AM628" s="27"/>
    </row>
    <row r="629" spans="4:39" x14ac:dyDescent="0.25">
      <c r="D629" s="25">
        <f>E629*'Profit per cycles Model'!$I$113</f>
        <v>6200</v>
      </c>
      <c r="E629" s="25">
        <v>16.983974797972881</v>
      </c>
      <c r="F629" s="28">
        <f t="shared" si="199"/>
        <v>0.16129032258064516</v>
      </c>
      <c r="G629" s="28">
        <f>'Battery Pricing Model'!$C$17/D629</f>
        <v>0.16129032258064516</v>
      </c>
      <c r="H629" s="28">
        <f t="shared" si="200"/>
        <v>999</v>
      </c>
      <c r="I629" s="28"/>
      <c r="J629" s="34">
        <f>INDEX('Profit per cycles Model'!$I$149:$I$179, MATCH(TRUNC(E629, 0), 'Profit per cycles Model'!$H$149:$H$179, 0))</f>
        <v>0.58776455787195381</v>
      </c>
      <c r="K629" s="27">
        <f>AVERAGE($J$10:J1629)</f>
        <v>0.56883042089778579</v>
      </c>
      <c r="L629" s="28">
        <f t="shared" si="201"/>
        <v>0.40754009831714066</v>
      </c>
      <c r="M629" s="28">
        <f t="shared" si="202"/>
        <v>0.40754009831714066</v>
      </c>
      <c r="N629" s="28">
        <f t="shared" si="203"/>
        <v>999</v>
      </c>
      <c r="O629" s="28"/>
      <c r="P629" s="29">
        <f t="shared" si="219"/>
        <v>0.62000000000000044</v>
      </c>
      <c r="Q629" s="33">
        <f t="shared" si="204"/>
        <v>6.7114093959731544</v>
      </c>
      <c r="R629" s="33">
        <f t="shared" si="205"/>
        <v>6.7114093959731544</v>
      </c>
      <c r="S629" s="33">
        <f t="shared" si="206"/>
        <v>-1</v>
      </c>
      <c r="T629" s="27"/>
      <c r="U629" s="28">
        <f t="shared" si="207"/>
        <v>0.10964912280701754</v>
      </c>
      <c r="V629" s="25">
        <f t="shared" si="208"/>
        <v>999</v>
      </c>
      <c r="W629" s="35">
        <f t="shared" si="220"/>
        <v>25</v>
      </c>
      <c r="X629" s="33">
        <f t="shared" si="209"/>
        <v>25</v>
      </c>
      <c r="Y629" s="32">
        <f t="shared" si="210"/>
        <v>-1</v>
      </c>
      <c r="Z629" s="32"/>
      <c r="AA629" s="30">
        <f t="shared" si="211"/>
        <v>16.983974797972881</v>
      </c>
      <c r="AB629" s="28">
        <f t="shared" si="212"/>
        <v>0.58776455787195381</v>
      </c>
      <c r="AC629" s="28">
        <f t="shared" si="213"/>
        <v>0.10964912280701754</v>
      </c>
      <c r="AD629" s="29">
        <f t="shared" si="214"/>
        <v>588.23529411764719</v>
      </c>
      <c r="AE629" s="28">
        <f t="shared" si="215"/>
        <v>0.10964912280701754</v>
      </c>
      <c r="AF629" s="28">
        <f t="shared" si="216"/>
        <v>0.47811543506493626</v>
      </c>
      <c r="AG629" s="28">
        <f t="shared" si="217"/>
        <v>0</v>
      </c>
      <c r="AI629" s="31">
        <f t="shared" si="218"/>
        <v>2.5267486095662721</v>
      </c>
      <c r="AJ629" s="25"/>
      <c r="AK629" s="31"/>
      <c r="AM629" s="27"/>
    </row>
    <row r="630" spans="4:39" x14ac:dyDescent="0.25">
      <c r="D630" s="25">
        <f>E630*'Profit per cycles Model'!$I$113</f>
        <v>6210</v>
      </c>
      <c r="E630" s="25">
        <v>17.011368305711546</v>
      </c>
      <c r="F630" s="28">
        <f t="shared" si="199"/>
        <v>0.1610305958132045</v>
      </c>
      <c r="G630" s="28">
        <f>'Battery Pricing Model'!$C$17/D630</f>
        <v>0.1610305958132045</v>
      </c>
      <c r="H630" s="28">
        <f t="shared" si="200"/>
        <v>999</v>
      </c>
      <c r="I630" s="28"/>
      <c r="J630" s="34">
        <f>INDEX('Profit per cycles Model'!$I$149:$I$179, MATCH(TRUNC(E630, 0), 'Profit per cycles Model'!$H$149:$H$179, 0))</f>
        <v>0.60398808358345835</v>
      </c>
      <c r="K630" s="27">
        <f>AVERAGE($J$10:J1630)</f>
        <v>0.56883042089778579</v>
      </c>
      <c r="L630" s="28">
        <f t="shared" si="201"/>
        <v>0.40779982508458129</v>
      </c>
      <c r="M630" s="28">
        <f t="shared" si="202"/>
        <v>0.40779982508458129</v>
      </c>
      <c r="N630" s="28">
        <f t="shared" si="203"/>
        <v>999</v>
      </c>
      <c r="O630" s="28"/>
      <c r="P630" s="29">
        <f t="shared" si="219"/>
        <v>0.62100000000000044</v>
      </c>
      <c r="Q630" s="33">
        <f t="shared" si="204"/>
        <v>6.7114093959731544</v>
      </c>
      <c r="R630" s="33">
        <f t="shared" si="205"/>
        <v>6.7114093959731544</v>
      </c>
      <c r="S630" s="33">
        <f t="shared" si="206"/>
        <v>-1</v>
      </c>
      <c r="T630" s="27"/>
      <c r="U630" s="28">
        <f t="shared" si="207"/>
        <v>0.10964912280701754</v>
      </c>
      <c r="V630" s="25">
        <f t="shared" si="208"/>
        <v>999</v>
      </c>
      <c r="W630" s="35">
        <f t="shared" si="220"/>
        <v>25</v>
      </c>
      <c r="X630" s="33">
        <f t="shared" si="209"/>
        <v>25</v>
      </c>
      <c r="Y630" s="32">
        <f t="shared" si="210"/>
        <v>-1</v>
      </c>
      <c r="Z630" s="32"/>
      <c r="AA630" s="30">
        <f t="shared" si="211"/>
        <v>17.011368305711546</v>
      </c>
      <c r="AB630" s="28">
        <f t="shared" si="212"/>
        <v>0.60398808358345835</v>
      </c>
      <c r="AC630" s="28">
        <f t="shared" si="213"/>
        <v>0.10964912280701754</v>
      </c>
      <c r="AD630" s="29">
        <f t="shared" si="214"/>
        <v>589.18406072106256</v>
      </c>
      <c r="AE630" s="28">
        <f t="shared" si="215"/>
        <v>0.10964912280701754</v>
      </c>
      <c r="AF630" s="28">
        <f t="shared" si="216"/>
        <v>0.49433896077644079</v>
      </c>
      <c r="AG630" s="28">
        <f t="shared" si="217"/>
        <v>0</v>
      </c>
      <c r="AI630" s="31">
        <f t="shared" si="218"/>
        <v>2.5324369137752498</v>
      </c>
      <c r="AJ630" s="25"/>
      <c r="AK630" s="31"/>
      <c r="AM630" s="27"/>
    </row>
    <row r="631" spans="4:39" x14ac:dyDescent="0.25">
      <c r="D631" s="25">
        <f>E631*'Profit per cycles Model'!$I$113</f>
        <v>6220</v>
      </c>
      <c r="E631" s="25">
        <v>17.038761813450211</v>
      </c>
      <c r="F631" s="28">
        <f t="shared" si="199"/>
        <v>0.16077170418006431</v>
      </c>
      <c r="G631" s="28">
        <f>'Battery Pricing Model'!$C$17/D631</f>
        <v>0.16077170418006431</v>
      </c>
      <c r="H631" s="28">
        <f t="shared" si="200"/>
        <v>999</v>
      </c>
      <c r="I631" s="28"/>
      <c r="J631" s="34">
        <f>INDEX('Profit per cycles Model'!$I$149:$I$179, MATCH(TRUNC(E631, 0), 'Profit per cycles Model'!$H$149:$H$179, 0))</f>
        <v>0.60398808358345835</v>
      </c>
      <c r="K631" s="27">
        <f>AVERAGE($J$10:J1631)</f>
        <v>0.56883042089778579</v>
      </c>
      <c r="L631" s="28">
        <f t="shared" si="201"/>
        <v>0.40805871671772148</v>
      </c>
      <c r="M631" s="28">
        <f t="shared" si="202"/>
        <v>0.40805871671772148</v>
      </c>
      <c r="N631" s="28">
        <f t="shared" si="203"/>
        <v>999</v>
      </c>
      <c r="O631" s="28"/>
      <c r="P631" s="29">
        <f t="shared" si="219"/>
        <v>0.62200000000000044</v>
      </c>
      <c r="Q631" s="33">
        <f t="shared" si="204"/>
        <v>6.7114093959731544</v>
      </c>
      <c r="R631" s="33">
        <f t="shared" si="205"/>
        <v>6.7114093959731544</v>
      </c>
      <c r="S631" s="33">
        <f t="shared" si="206"/>
        <v>-1</v>
      </c>
      <c r="T631" s="27"/>
      <c r="U631" s="28">
        <f t="shared" si="207"/>
        <v>0.10964912280701754</v>
      </c>
      <c r="V631" s="25">
        <f t="shared" si="208"/>
        <v>999</v>
      </c>
      <c r="W631" s="35">
        <f t="shared" si="220"/>
        <v>25</v>
      </c>
      <c r="X631" s="33">
        <f t="shared" si="209"/>
        <v>25</v>
      </c>
      <c r="Y631" s="32">
        <f t="shared" si="210"/>
        <v>-1</v>
      </c>
      <c r="Z631" s="32"/>
      <c r="AA631" s="30">
        <f t="shared" si="211"/>
        <v>17.038761813450211</v>
      </c>
      <c r="AB631" s="28">
        <f t="shared" si="212"/>
        <v>0.60398808358345835</v>
      </c>
      <c r="AC631" s="28">
        <f t="shared" si="213"/>
        <v>0.10964912280701754</v>
      </c>
      <c r="AD631" s="29">
        <f t="shared" si="214"/>
        <v>590.13282732447817</v>
      </c>
      <c r="AE631" s="28">
        <f t="shared" si="215"/>
        <v>0.10964912280701754</v>
      </c>
      <c r="AF631" s="28">
        <f t="shared" si="216"/>
        <v>0.49433896077644079</v>
      </c>
      <c r="AG631" s="28">
        <f t="shared" si="217"/>
        <v>0</v>
      </c>
      <c r="AI631" s="31">
        <f t="shared" si="218"/>
        <v>2.5381252179842275</v>
      </c>
      <c r="AJ631" s="25"/>
      <c r="AK631" s="31"/>
      <c r="AM631" s="27"/>
    </row>
    <row r="632" spans="4:39" x14ac:dyDescent="0.25">
      <c r="D632" s="25">
        <f>E632*'Profit per cycles Model'!$I$113</f>
        <v>6230</v>
      </c>
      <c r="E632" s="25">
        <v>17.066155321188877</v>
      </c>
      <c r="F632" s="28">
        <f t="shared" si="199"/>
        <v>0.16051364365971107</v>
      </c>
      <c r="G632" s="28">
        <f>'Battery Pricing Model'!$C$17/D632</f>
        <v>0.16051364365971107</v>
      </c>
      <c r="H632" s="28">
        <f t="shared" si="200"/>
        <v>999</v>
      </c>
      <c r="I632" s="28"/>
      <c r="J632" s="34">
        <f>INDEX('Profit per cycles Model'!$I$149:$I$179, MATCH(TRUNC(E632, 0), 'Profit per cycles Model'!$H$149:$H$179, 0))</f>
        <v>0.60398808358345835</v>
      </c>
      <c r="K632" s="27">
        <f>AVERAGE($J$10:J1632)</f>
        <v>0.56883042089778579</v>
      </c>
      <c r="L632" s="28">
        <f t="shared" si="201"/>
        <v>0.40831677723807469</v>
      </c>
      <c r="M632" s="28">
        <f t="shared" si="202"/>
        <v>0.40831677723807469</v>
      </c>
      <c r="N632" s="28">
        <f t="shared" si="203"/>
        <v>999</v>
      </c>
      <c r="O632" s="28"/>
      <c r="P632" s="29">
        <f t="shared" si="219"/>
        <v>0.62300000000000044</v>
      </c>
      <c r="Q632" s="33">
        <f t="shared" si="204"/>
        <v>6.7114093959731544</v>
      </c>
      <c r="R632" s="33">
        <f t="shared" si="205"/>
        <v>6.7114093959731544</v>
      </c>
      <c r="S632" s="33">
        <f t="shared" si="206"/>
        <v>-1</v>
      </c>
      <c r="T632" s="27"/>
      <c r="U632" s="28">
        <f t="shared" si="207"/>
        <v>0.10964912280701754</v>
      </c>
      <c r="V632" s="25">
        <f t="shared" si="208"/>
        <v>999</v>
      </c>
      <c r="W632" s="35">
        <f t="shared" si="220"/>
        <v>25</v>
      </c>
      <c r="X632" s="33">
        <f t="shared" si="209"/>
        <v>25</v>
      </c>
      <c r="Y632" s="32">
        <f t="shared" si="210"/>
        <v>-1</v>
      </c>
      <c r="Z632" s="32"/>
      <c r="AA632" s="30">
        <f t="shared" si="211"/>
        <v>17.066155321188877</v>
      </c>
      <c r="AB632" s="28">
        <f t="shared" si="212"/>
        <v>0.60398808358345835</v>
      </c>
      <c r="AC632" s="28">
        <f t="shared" si="213"/>
        <v>0.10964912280701754</v>
      </c>
      <c r="AD632" s="29">
        <f t="shared" si="214"/>
        <v>591.08159392789366</v>
      </c>
      <c r="AE632" s="28">
        <f t="shared" si="215"/>
        <v>0.10964912280701754</v>
      </c>
      <c r="AF632" s="28">
        <f t="shared" si="216"/>
        <v>0.49433896077644079</v>
      </c>
      <c r="AG632" s="28">
        <f t="shared" si="217"/>
        <v>0</v>
      </c>
      <c r="AI632" s="31">
        <f t="shared" si="218"/>
        <v>2.5438135221932052</v>
      </c>
      <c r="AJ632" s="25"/>
      <c r="AK632" s="31"/>
      <c r="AM632" s="27"/>
    </row>
    <row r="633" spans="4:39" x14ac:dyDescent="0.25">
      <c r="D633" s="25">
        <f>E633*'Profit per cycles Model'!$I$113</f>
        <v>6239.9999999999991</v>
      </c>
      <c r="E633" s="25">
        <v>17.093548828927542</v>
      </c>
      <c r="F633" s="28">
        <f t="shared" si="199"/>
        <v>0.16025641025641027</v>
      </c>
      <c r="G633" s="28">
        <f>'Battery Pricing Model'!$C$17/D633</f>
        <v>0.16025641025641027</v>
      </c>
      <c r="H633" s="28">
        <f t="shared" si="200"/>
        <v>999</v>
      </c>
      <c r="I633" s="28"/>
      <c r="J633" s="34">
        <f>INDEX('Profit per cycles Model'!$I$149:$I$179, MATCH(TRUNC(E633, 0), 'Profit per cycles Model'!$H$149:$H$179, 0))</f>
        <v>0.60398808358345835</v>
      </c>
      <c r="K633" s="27">
        <f>AVERAGE($J$10:J1633)</f>
        <v>0.56883042089778579</v>
      </c>
      <c r="L633" s="28">
        <f t="shared" si="201"/>
        <v>0.40857401064137555</v>
      </c>
      <c r="M633" s="28">
        <f t="shared" si="202"/>
        <v>0.40857401064137555</v>
      </c>
      <c r="N633" s="28">
        <f t="shared" si="203"/>
        <v>999</v>
      </c>
      <c r="O633" s="28"/>
      <c r="P633" s="29">
        <f t="shared" si="219"/>
        <v>0.62400000000000044</v>
      </c>
      <c r="Q633" s="33">
        <f t="shared" si="204"/>
        <v>6.7114093959731544</v>
      </c>
      <c r="R633" s="33">
        <f t="shared" si="205"/>
        <v>6.7114093959731544</v>
      </c>
      <c r="S633" s="33">
        <f t="shared" si="206"/>
        <v>-1</v>
      </c>
      <c r="T633" s="27"/>
      <c r="U633" s="28">
        <f t="shared" si="207"/>
        <v>0.10964912280701754</v>
      </c>
      <c r="V633" s="25">
        <f t="shared" si="208"/>
        <v>999</v>
      </c>
      <c r="W633" s="35">
        <f t="shared" si="220"/>
        <v>25</v>
      </c>
      <c r="X633" s="33">
        <f t="shared" si="209"/>
        <v>25</v>
      </c>
      <c r="Y633" s="32">
        <f t="shared" si="210"/>
        <v>-1</v>
      </c>
      <c r="Z633" s="32"/>
      <c r="AA633" s="30">
        <f t="shared" si="211"/>
        <v>17.093548828927542</v>
      </c>
      <c r="AB633" s="28">
        <f t="shared" si="212"/>
        <v>0.60398808358345835</v>
      </c>
      <c r="AC633" s="28">
        <f t="shared" si="213"/>
        <v>0.10964912280701754</v>
      </c>
      <c r="AD633" s="29">
        <f t="shared" si="214"/>
        <v>592.03036053130927</v>
      </c>
      <c r="AE633" s="28">
        <f t="shared" si="215"/>
        <v>0.10964912280701754</v>
      </c>
      <c r="AF633" s="28">
        <f t="shared" si="216"/>
        <v>0.49433896077644079</v>
      </c>
      <c r="AG633" s="28">
        <f t="shared" si="217"/>
        <v>0</v>
      </c>
      <c r="AI633" s="31">
        <f t="shared" si="218"/>
        <v>2.5495018264021834</v>
      </c>
      <c r="AJ633" s="25"/>
      <c r="AK633" s="31"/>
      <c r="AM633" s="27"/>
    </row>
    <row r="634" spans="4:39" x14ac:dyDescent="0.25">
      <c r="D634" s="25">
        <f>E634*'Profit per cycles Model'!$I$113</f>
        <v>6250</v>
      </c>
      <c r="E634" s="25">
        <v>17.120942336666211</v>
      </c>
      <c r="F634" s="28">
        <f t="shared" si="199"/>
        <v>0.16</v>
      </c>
      <c r="G634" s="28">
        <f>'Battery Pricing Model'!$C$17/D634</f>
        <v>0.16</v>
      </c>
      <c r="H634" s="28">
        <f t="shared" si="200"/>
        <v>999</v>
      </c>
      <c r="I634" s="28"/>
      <c r="J634" s="34">
        <f>INDEX('Profit per cycles Model'!$I$149:$I$179, MATCH(TRUNC(E634, 0), 'Profit per cycles Model'!$H$149:$H$179, 0))</f>
        <v>0.60398808358345835</v>
      </c>
      <c r="K634" s="27">
        <f>AVERAGE($J$10:J1634)</f>
        <v>0.56883042089778579</v>
      </c>
      <c r="L634" s="28">
        <f t="shared" si="201"/>
        <v>0.40883042089778576</v>
      </c>
      <c r="M634" s="28">
        <f t="shared" si="202"/>
        <v>0.40883042089778576</v>
      </c>
      <c r="N634" s="28">
        <f t="shared" si="203"/>
        <v>999</v>
      </c>
      <c r="O634" s="28"/>
      <c r="P634" s="29">
        <f t="shared" si="219"/>
        <v>0.62500000000000044</v>
      </c>
      <c r="Q634" s="33">
        <f t="shared" si="204"/>
        <v>6.7114093959731544</v>
      </c>
      <c r="R634" s="33">
        <f t="shared" si="205"/>
        <v>6.7114093959731544</v>
      </c>
      <c r="S634" s="33">
        <f t="shared" si="206"/>
        <v>-1</v>
      </c>
      <c r="T634" s="27"/>
      <c r="U634" s="28">
        <f t="shared" si="207"/>
        <v>0.10964912280701754</v>
      </c>
      <c r="V634" s="25">
        <f t="shared" si="208"/>
        <v>999</v>
      </c>
      <c r="W634" s="35">
        <f t="shared" si="220"/>
        <v>25</v>
      </c>
      <c r="X634" s="33">
        <f t="shared" si="209"/>
        <v>25</v>
      </c>
      <c r="Y634" s="32">
        <f t="shared" si="210"/>
        <v>-1</v>
      </c>
      <c r="Z634" s="32"/>
      <c r="AA634" s="30">
        <f t="shared" si="211"/>
        <v>17.120942336666211</v>
      </c>
      <c r="AB634" s="28">
        <f t="shared" si="212"/>
        <v>0.60398808358345835</v>
      </c>
      <c r="AC634" s="28">
        <f t="shared" si="213"/>
        <v>0.10964912280701754</v>
      </c>
      <c r="AD634" s="29">
        <f t="shared" si="214"/>
        <v>592.97912713472499</v>
      </c>
      <c r="AE634" s="28">
        <f t="shared" si="215"/>
        <v>0.10964912280701754</v>
      </c>
      <c r="AF634" s="28">
        <f t="shared" si="216"/>
        <v>0.49433896077644079</v>
      </c>
      <c r="AG634" s="28">
        <f t="shared" si="217"/>
        <v>0</v>
      </c>
      <c r="AI634" s="31">
        <f t="shared" si="218"/>
        <v>2.5551901306111611</v>
      </c>
      <c r="AJ634" s="25"/>
      <c r="AK634" s="31"/>
      <c r="AM634" s="27"/>
    </row>
    <row r="635" spans="4:39" x14ac:dyDescent="0.25">
      <c r="D635" s="25">
        <f>E635*'Profit per cycles Model'!$I$113</f>
        <v>6260</v>
      </c>
      <c r="E635" s="25">
        <v>17.148335844404876</v>
      </c>
      <c r="F635" s="28">
        <f t="shared" si="199"/>
        <v>0.15974440894568689</v>
      </c>
      <c r="G635" s="28">
        <f>'Battery Pricing Model'!$C$17/D635</f>
        <v>0.15974440894568689</v>
      </c>
      <c r="H635" s="28">
        <f t="shared" si="200"/>
        <v>999</v>
      </c>
      <c r="I635" s="28"/>
      <c r="J635" s="34">
        <f>INDEX('Profit per cycles Model'!$I$149:$I$179, MATCH(TRUNC(E635, 0), 'Profit per cycles Model'!$H$149:$H$179, 0))</f>
        <v>0.60398808358345835</v>
      </c>
      <c r="K635" s="27">
        <f>AVERAGE($J$10:J1635)</f>
        <v>0.56883042089778579</v>
      </c>
      <c r="L635" s="28">
        <f t="shared" si="201"/>
        <v>0.40908601195209893</v>
      </c>
      <c r="M635" s="28">
        <f t="shared" si="202"/>
        <v>0.40908601195209893</v>
      </c>
      <c r="N635" s="28">
        <f t="shared" si="203"/>
        <v>999</v>
      </c>
      <c r="O635" s="28"/>
      <c r="P635" s="29">
        <f t="shared" si="219"/>
        <v>0.62600000000000044</v>
      </c>
      <c r="Q635" s="33">
        <f t="shared" si="204"/>
        <v>6.7114093959731544</v>
      </c>
      <c r="R635" s="33">
        <f t="shared" si="205"/>
        <v>6.7114093959731544</v>
      </c>
      <c r="S635" s="33">
        <f t="shared" si="206"/>
        <v>-1</v>
      </c>
      <c r="T635" s="27"/>
      <c r="U635" s="28">
        <f t="shared" si="207"/>
        <v>0.10964912280701754</v>
      </c>
      <c r="V635" s="25">
        <f t="shared" si="208"/>
        <v>999</v>
      </c>
      <c r="W635" s="35">
        <f t="shared" si="220"/>
        <v>25</v>
      </c>
      <c r="X635" s="33">
        <f t="shared" si="209"/>
        <v>25</v>
      </c>
      <c r="Y635" s="32">
        <f t="shared" si="210"/>
        <v>-1</v>
      </c>
      <c r="Z635" s="32"/>
      <c r="AA635" s="30">
        <f t="shared" si="211"/>
        <v>17.148335844404876</v>
      </c>
      <c r="AB635" s="28">
        <f t="shared" si="212"/>
        <v>0.60398808358345835</v>
      </c>
      <c r="AC635" s="28">
        <f t="shared" si="213"/>
        <v>0.10964912280701754</v>
      </c>
      <c r="AD635" s="29">
        <f t="shared" si="214"/>
        <v>593.92789373814048</v>
      </c>
      <c r="AE635" s="28">
        <f t="shared" si="215"/>
        <v>0.10964912280701754</v>
      </c>
      <c r="AF635" s="28">
        <f t="shared" si="216"/>
        <v>0.49433896077644079</v>
      </c>
      <c r="AG635" s="28">
        <f t="shared" si="217"/>
        <v>0</v>
      </c>
      <c r="AI635" s="31">
        <f t="shared" si="218"/>
        <v>2.5608784348201392</v>
      </c>
      <c r="AJ635" s="25"/>
      <c r="AK635" s="31"/>
      <c r="AM635" s="27"/>
    </row>
    <row r="636" spans="4:39" x14ac:dyDescent="0.25">
      <c r="D636" s="25">
        <f>E636*'Profit per cycles Model'!$I$113</f>
        <v>6270</v>
      </c>
      <c r="E636" s="25">
        <v>17.175729352143541</v>
      </c>
      <c r="F636" s="28">
        <f t="shared" si="199"/>
        <v>0.15948963317384371</v>
      </c>
      <c r="G636" s="28">
        <f>'Battery Pricing Model'!$C$17/D636</f>
        <v>0.15948963317384371</v>
      </c>
      <c r="H636" s="28">
        <f t="shared" si="200"/>
        <v>999</v>
      </c>
      <c r="I636" s="28"/>
      <c r="J636" s="34">
        <f>INDEX('Profit per cycles Model'!$I$149:$I$179, MATCH(TRUNC(E636, 0), 'Profit per cycles Model'!$H$149:$H$179, 0))</f>
        <v>0.60398808358345835</v>
      </c>
      <c r="K636" s="27">
        <f>AVERAGE($J$10:J1636)</f>
        <v>0.56883042089778579</v>
      </c>
      <c r="L636" s="28">
        <f t="shared" si="201"/>
        <v>0.40934078772394211</v>
      </c>
      <c r="M636" s="28">
        <f t="shared" si="202"/>
        <v>0.40934078772394211</v>
      </c>
      <c r="N636" s="28">
        <f t="shared" si="203"/>
        <v>999</v>
      </c>
      <c r="O636" s="28"/>
      <c r="P636" s="29">
        <f t="shared" si="219"/>
        <v>0.62700000000000045</v>
      </c>
      <c r="Q636" s="33">
        <f t="shared" si="204"/>
        <v>6.7114093959731544</v>
      </c>
      <c r="R636" s="33">
        <f t="shared" si="205"/>
        <v>6.7114093959731544</v>
      </c>
      <c r="S636" s="33">
        <f t="shared" si="206"/>
        <v>-1</v>
      </c>
      <c r="T636" s="27"/>
      <c r="U636" s="28">
        <f t="shared" si="207"/>
        <v>0.10964912280701754</v>
      </c>
      <c r="V636" s="25">
        <f t="shared" si="208"/>
        <v>999</v>
      </c>
      <c r="W636" s="35">
        <f t="shared" si="220"/>
        <v>25</v>
      </c>
      <c r="X636" s="33">
        <f t="shared" si="209"/>
        <v>25</v>
      </c>
      <c r="Y636" s="32">
        <f t="shared" si="210"/>
        <v>-1</v>
      </c>
      <c r="Z636" s="32"/>
      <c r="AA636" s="30">
        <f t="shared" si="211"/>
        <v>17.175729352143541</v>
      </c>
      <c r="AB636" s="28">
        <f t="shared" si="212"/>
        <v>0.60398808358345835</v>
      </c>
      <c r="AC636" s="28">
        <f t="shared" si="213"/>
        <v>0.10964912280701754</v>
      </c>
      <c r="AD636" s="29">
        <f t="shared" si="214"/>
        <v>594.87666034155598</v>
      </c>
      <c r="AE636" s="28">
        <f t="shared" si="215"/>
        <v>0.10964912280701754</v>
      </c>
      <c r="AF636" s="28">
        <f t="shared" si="216"/>
        <v>0.49433896077644079</v>
      </c>
      <c r="AG636" s="28">
        <f t="shared" si="217"/>
        <v>0</v>
      </c>
      <c r="AI636" s="31">
        <f t="shared" si="218"/>
        <v>2.5665667390291169</v>
      </c>
      <c r="AJ636" s="25"/>
      <c r="AK636" s="31"/>
      <c r="AM636" s="27"/>
    </row>
    <row r="637" spans="4:39" x14ac:dyDescent="0.25">
      <c r="D637" s="25">
        <f>E637*'Profit per cycles Model'!$I$113</f>
        <v>6280</v>
      </c>
      <c r="E637" s="25">
        <v>17.203122859882207</v>
      </c>
      <c r="F637" s="28">
        <f t="shared" si="199"/>
        <v>0.15923566878980891</v>
      </c>
      <c r="G637" s="28">
        <f>'Battery Pricing Model'!$C$17/D637</f>
        <v>0.15923566878980891</v>
      </c>
      <c r="H637" s="28">
        <f t="shared" si="200"/>
        <v>999</v>
      </c>
      <c r="I637" s="28"/>
      <c r="J637" s="34">
        <f>INDEX('Profit per cycles Model'!$I$149:$I$179, MATCH(TRUNC(E637, 0), 'Profit per cycles Model'!$H$149:$H$179, 0))</f>
        <v>0.60398808358345835</v>
      </c>
      <c r="K637" s="27">
        <f>AVERAGE($J$10:J1637)</f>
        <v>0.56883042089778579</v>
      </c>
      <c r="L637" s="28">
        <f t="shared" si="201"/>
        <v>0.40959475210797691</v>
      </c>
      <c r="M637" s="28">
        <f t="shared" si="202"/>
        <v>0.40959475210797691</v>
      </c>
      <c r="N637" s="28">
        <f t="shared" si="203"/>
        <v>999</v>
      </c>
      <c r="O637" s="28"/>
      <c r="P637" s="29">
        <f t="shared" si="219"/>
        <v>0.62800000000000045</v>
      </c>
      <c r="Q637" s="33">
        <f t="shared" si="204"/>
        <v>6.7114093959731544</v>
      </c>
      <c r="R637" s="33">
        <f t="shared" si="205"/>
        <v>6.7114093959731544</v>
      </c>
      <c r="S637" s="33">
        <f t="shared" si="206"/>
        <v>-1</v>
      </c>
      <c r="T637" s="27"/>
      <c r="U637" s="28">
        <f t="shared" si="207"/>
        <v>0.10964912280701754</v>
      </c>
      <c r="V637" s="25">
        <f t="shared" si="208"/>
        <v>999</v>
      </c>
      <c r="W637" s="35">
        <f t="shared" si="220"/>
        <v>25</v>
      </c>
      <c r="X637" s="33">
        <f t="shared" si="209"/>
        <v>25</v>
      </c>
      <c r="Y637" s="32">
        <f t="shared" si="210"/>
        <v>-1</v>
      </c>
      <c r="Z637" s="32"/>
      <c r="AA637" s="30">
        <f t="shared" si="211"/>
        <v>17.203122859882207</v>
      </c>
      <c r="AB637" s="28">
        <f t="shared" si="212"/>
        <v>0.60398808358345835</v>
      </c>
      <c r="AC637" s="28">
        <f t="shared" si="213"/>
        <v>0.10964912280701754</v>
      </c>
      <c r="AD637" s="29">
        <f t="shared" si="214"/>
        <v>595.82542694497147</v>
      </c>
      <c r="AE637" s="28">
        <f t="shared" si="215"/>
        <v>0.10964912280701754</v>
      </c>
      <c r="AF637" s="28">
        <f t="shared" si="216"/>
        <v>0.49433896077644079</v>
      </c>
      <c r="AG637" s="28">
        <f t="shared" si="217"/>
        <v>0</v>
      </c>
      <c r="AI637" s="31">
        <f t="shared" si="218"/>
        <v>2.5722550432380951</v>
      </c>
      <c r="AJ637" s="25"/>
      <c r="AK637" s="31"/>
      <c r="AM637" s="27"/>
    </row>
    <row r="638" spans="4:39" x14ac:dyDescent="0.25">
      <c r="D638" s="25">
        <f>E638*'Profit per cycles Model'!$I$113</f>
        <v>6290</v>
      </c>
      <c r="E638" s="25">
        <v>17.230516367620872</v>
      </c>
      <c r="F638" s="28">
        <f t="shared" si="199"/>
        <v>0.1589825119236884</v>
      </c>
      <c r="G638" s="28">
        <f>'Battery Pricing Model'!$C$17/D638</f>
        <v>0.1589825119236884</v>
      </c>
      <c r="H638" s="28">
        <f t="shared" si="200"/>
        <v>999</v>
      </c>
      <c r="I638" s="28"/>
      <c r="J638" s="34">
        <f>INDEX('Profit per cycles Model'!$I$149:$I$179, MATCH(TRUNC(E638, 0), 'Profit per cycles Model'!$H$149:$H$179, 0))</f>
        <v>0.60398808358345835</v>
      </c>
      <c r="K638" s="27">
        <f>AVERAGE($J$10:J1638)</f>
        <v>0.56883042089778579</v>
      </c>
      <c r="L638" s="28">
        <f t="shared" si="201"/>
        <v>0.4098479089740974</v>
      </c>
      <c r="M638" s="28">
        <f t="shared" si="202"/>
        <v>0.4098479089740974</v>
      </c>
      <c r="N638" s="28">
        <f t="shared" si="203"/>
        <v>999</v>
      </c>
      <c r="O638" s="28"/>
      <c r="P638" s="29">
        <f t="shared" si="219"/>
        <v>0.62900000000000045</v>
      </c>
      <c r="Q638" s="33">
        <f t="shared" si="204"/>
        <v>6.7114093959731544</v>
      </c>
      <c r="R638" s="33">
        <f t="shared" si="205"/>
        <v>6.7114093959731544</v>
      </c>
      <c r="S638" s="33">
        <f t="shared" si="206"/>
        <v>-1</v>
      </c>
      <c r="T638" s="27"/>
      <c r="U638" s="28">
        <f t="shared" si="207"/>
        <v>0.10964912280701754</v>
      </c>
      <c r="V638" s="25">
        <f t="shared" si="208"/>
        <v>999</v>
      </c>
      <c r="W638" s="35">
        <f t="shared" si="220"/>
        <v>25</v>
      </c>
      <c r="X638" s="33">
        <f t="shared" si="209"/>
        <v>25</v>
      </c>
      <c r="Y638" s="32">
        <f t="shared" si="210"/>
        <v>-1</v>
      </c>
      <c r="Z638" s="32"/>
      <c r="AA638" s="30">
        <f t="shared" si="211"/>
        <v>17.230516367620872</v>
      </c>
      <c r="AB638" s="28">
        <f t="shared" si="212"/>
        <v>0.60398808358345835</v>
      </c>
      <c r="AC638" s="28">
        <f t="shared" si="213"/>
        <v>0.10964912280701754</v>
      </c>
      <c r="AD638" s="29">
        <f t="shared" si="214"/>
        <v>596.77419354838707</v>
      </c>
      <c r="AE638" s="28">
        <f t="shared" si="215"/>
        <v>0.10964912280701754</v>
      </c>
      <c r="AF638" s="28">
        <f t="shared" si="216"/>
        <v>0.49433896077644079</v>
      </c>
      <c r="AG638" s="28">
        <f t="shared" si="217"/>
        <v>0</v>
      </c>
      <c r="AI638" s="31">
        <f t="shared" si="218"/>
        <v>2.5779433474470728</v>
      </c>
      <c r="AJ638" s="25"/>
      <c r="AK638" s="31"/>
      <c r="AM638" s="27"/>
    </row>
    <row r="639" spans="4:39" x14ac:dyDescent="0.25">
      <c r="D639" s="25">
        <f>E639*'Profit per cycles Model'!$I$113</f>
        <v>6300.0000000000009</v>
      </c>
      <c r="E639" s="25">
        <v>17.257909875359541</v>
      </c>
      <c r="F639" s="28">
        <f t="shared" si="199"/>
        <v>0.15873015873015869</v>
      </c>
      <c r="G639" s="28">
        <f>'Battery Pricing Model'!$C$17/D639</f>
        <v>0.15873015873015869</v>
      </c>
      <c r="H639" s="28">
        <f t="shared" si="200"/>
        <v>999</v>
      </c>
      <c r="I639" s="28"/>
      <c r="J639" s="34">
        <f>INDEX('Profit per cycles Model'!$I$149:$I$179, MATCH(TRUNC(E639, 0), 'Profit per cycles Model'!$H$149:$H$179, 0))</f>
        <v>0.60398808358345835</v>
      </c>
      <c r="K639" s="27">
        <f>AVERAGE($J$10:J1639)</f>
        <v>0.56883042089778579</v>
      </c>
      <c r="L639" s="28">
        <f t="shared" si="201"/>
        <v>0.41010026216762707</v>
      </c>
      <c r="M639" s="28">
        <f t="shared" si="202"/>
        <v>0.41010026216762707</v>
      </c>
      <c r="N639" s="28">
        <f t="shared" si="203"/>
        <v>999</v>
      </c>
      <c r="O639" s="28"/>
      <c r="P639" s="29">
        <f t="shared" si="219"/>
        <v>0.63000000000000045</v>
      </c>
      <c r="Q639" s="33">
        <f t="shared" si="204"/>
        <v>6.7114093959731544</v>
      </c>
      <c r="R639" s="33">
        <f t="shared" si="205"/>
        <v>6.7114093959731544</v>
      </c>
      <c r="S639" s="33">
        <f t="shared" si="206"/>
        <v>-1</v>
      </c>
      <c r="T639" s="27"/>
      <c r="U639" s="28">
        <f t="shared" si="207"/>
        <v>0.10964912280701754</v>
      </c>
      <c r="V639" s="25">
        <f t="shared" si="208"/>
        <v>999</v>
      </c>
      <c r="W639" s="35">
        <f t="shared" si="220"/>
        <v>25</v>
      </c>
      <c r="X639" s="33">
        <f t="shared" si="209"/>
        <v>25</v>
      </c>
      <c r="Y639" s="32">
        <f t="shared" si="210"/>
        <v>-1</v>
      </c>
      <c r="Z639" s="32"/>
      <c r="AA639" s="30">
        <f t="shared" si="211"/>
        <v>17.257909875359541</v>
      </c>
      <c r="AB639" s="28">
        <f t="shared" si="212"/>
        <v>0.60398808358345835</v>
      </c>
      <c r="AC639" s="28">
        <f t="shared" si="213"/>
        <v>0.10964912280701754</v>
      </c>
      <c r="AD639" s="29">
        <f t="shared" si="214"/>
        <v>597.72296015180279</v>
      </c>
      <c r="AE639" s="28">
        <f t="shared" si="215"/>
        <v>0.10964912280701754</v>
      </c>
      <c r="AF639" s="28">
        <f t="shared" si="216"/>
        <v>0.49433896077644079</v>
      </c>
      <c r="AG639" s="28">
        <f t="shared" si="217"/>
        <v>0</v>
      </c>
      <c r="AI639" s="31">
        <f t="shared" si="218"/>
        <v>2.5836316516560514</v>
      </c>
      <c r="AJ639" s="25"/>
      <c r="AK639" s="31"/>
      <c r="AM639" s="27"/>
    </row>
    <row r="640" spans="4:39" x14ac:dyDescent="0.25">
      <c r="D640" s="25">
        <f>E640*'Profit per cycles Model'!$I$113</f>
        <v>6310</v>
      </c>
      <c r="E640" s="25">
        <v>17.285303383098206</v>
      </c>
      <c r="F640" s="28">
        <f t="shared" si="199"/>
        <v>0.15847860538827258</v>
      </c>
      <c r="G640" s="28">
        <f>'Battery Pricing Model'!$C$17/D640</f>
        <v>0.15847860538827258</v>
      </c>
      <c r="H640" s="28">
        <f t="shared" si="200"/>
        <v>999</v>
      </c>
      <c r="I640" s="28"/>
      <c r="J640" s="34">
        <f>INDEX('Profit per cycles Model'!$I$149:$I$179, MATCH(TRUNC(E640, 0), 'Profit per cycles Model'!$H$149:$H$179, 0))</f>
        <v>0.60398808358345835</v>
      </c>
      <c r="K640" s="27">
        <f>AVERAGE($J$10:J1640)</f>
        <v>0.56883042089778579</v>
      </c>
      <c r="L640" s="28">
        <f t="shared" si="201"/>
        <v>0.41035181550951322</v>
      </c>
      <c r="M640" s="28">
        <f t="shared" si="202"/>
        <v>0.41035181550951322</v>
      </c>
      <c r="N640" s="28">
        <f t="shared" si="203"/>
        <v>999</v>
      </c>
      <c r="O640" s="28"/>
      <c r="P640" s="29">
        <f t="shared" si="219"/>
        <v>0.63100000000000045</v>
      </c>
      <c r="Q640" s="33">
        <f t="shared" si="204"/>
        <v>6.7114093959731544</v>
      </c>
      <c r="R640" s="33">
        <f t="shared" si="205"/>
        <v>6.7114093959731544</v>
      </c>
      <c r="S640" s="33">
        <f t="shared" si="206"/>
        <v>-1</v>
      </c>
      <c r="T640" s="27"/>
      <c r="U640" s="28">
        <f t="shared" si="207"/>
        <v>0.10964912280701754</v>
      </c>
      <c r="V640" s="25">
        <f t="shared" si="208"/>
        <v>999</v>
      </c>
      <c r="W640" s="35">
        <f t="shared" si="220"/>
        <v>25</v>
      </c>
      <c r="X640" s="33">
        <f t="shared" si="209"/>
        <v>25</v>
      </c>
      <c r="Y640" s="32">
        <f t="shared" si="210"/>
        <v>-1</v>
      </c>
      <c r="Z640" s="32"/>
      <c r="AA640" s="30">
        <f t="shared" si="211"/>
        <v>17.285303383098206</v>
      </c>
      <c r="AB640" s="28">
        <f t="shared" si="212"/>
        <v>0.60398808358345835</v>
      </c>
      <c r="AC640" s="28">
        <f t="shared" si="213"/>
        <v>0.10964912280701754</v>
      </c>
      <c r="AD640" s="29">
        <f t="shared" si="214"/>
        <v>598.67172675521829</v>
      </c>
      <c r="AE640" s="28">
        <f t="shared" si="215"/>
        <v>0.10964912280701754</v>
      </c>
      <c r="AF640" s="28">
        <f t="shared" si="216"/>
        <v>0.49433896077644079</v>
      </c>
      <c r="AG640" s="28">
        <f t="shared" si="217"/>
        <v>0</v>
      </c>
      <c r="AI640" s="31">
        <f t="shared" si="218"/>
        <v>2.5893199558650286</v>
      </c>
      <c r="AJ640" s="25"/>
      <c r="AK640" s="31"/>
      <c r="AM640" s="27"/>
    </row>
    <row r="641" spans="4:39" x14ac:dyDescent="0.25">
      <c r="D641" s="25">
        <f>E641*'Profit per cycles Model'!$I$113</f>
        <v>6320</v>
      </c>
      <c r="E641" s="25">
        <v>17.312696890836872</v>
      </c>
      <c r="F641" s="28">
        <f t="shared" si="199"/>
        <v>0.15822784810126583</v>
      </c>
      <c r="G641" s="28">
        <f>'Battery Pricing Model'!$C$17/D641</f>
        <v>0.15822784810126583</v>
      </c>
      <c r="H641" s="28">
        <f t="shared" si="200"/>
        <v>999</v>
      </c>
      <c r="I641" s="28"/>
      <c r="J641" s="34">
        <f>INDEX('Profit per cycles Model'!$I$149:$I$179, MATCH(TRUNC(E641, 0), 'Profit per cycles Model'!$H$149:$H$179, 0))</f>
        <v>0.60398808358345835</v>
      </c>
      <c r="K641" s="27">
        <f>AVERAGE($J$10:J1641)</f>
        <v>0.56883042089778579</v>
      </c>
      <c r="L641" s="28">
        <f t="shared" si="201"/>
        <v>0.41060257279651996</v>
      </c>
      <c r="M641" s="28">
        <f t="shared" si="202"/>
        <v>0.41060257279651996</v>
      </c>
      <c r="N641" s="28">
        <f t="shared" si="203"/>
        <v>999</v>
      </c>
      <c r="O641" s="28"/>
      <c r="P641" s="29">
        <f t="shared" si="219"/>
        <v>0.63200000000000045</v>
      </c>
      <c r="Q641" s="33">
        <f t="shared" si="204"/>
        <v>6.7114093959731544</v>
      </c>
      <c r="R641" s="33">
        <f t="shared" si="205"/>
        <v>6.7114093959731544</v>
      </c>
      <c r="S641" s="33">
        <f t="shared" si="206"/>
        <v>-1</v>
      </c>
      <c r="T641" s="27"/>
      <c r="U641" s="28">
        <f t="shared" si="207"/>
        <v>0.10964912280701754</v>
      </c>
      <c r="V641" s="25">
        <f t="shared" si="208"/>
        <v>999</v>
      </c>
      <c r="W641" s="35">
        <f t="shared" si="220"/>
        <v>25</v>
      </c>
      <c r="X641" s="33">
        <f t="shared" si="209"/>
        <v>25</v>
      </c>
      <c r="Y641" s="32">
        <f t="shared" si="210"/>
        <v>-1</v>
      </c>
      <c r="Z641" s="32"/>
      <c r="AA641" s="30">
        <f t="shared" si="211"/>
        <v>17.312696890836872</v>
      </c>
      <c r="AB641" s="28">
        <f t="shared" si="212"/>
        <v>0.60398808358345835</v>
      </c>
      <c r="AC641" s="28">
        <f t="shared" si="213"/>
        <v>0.10964912280701754</v>
      </c>
      <c r="AD641" s="29">
        <f t="shared" si="214"/>
        <v>599.62049335863389</v>
      </c>
      <c r="AE641" s="28">
        <f t="shared" si="215"/>
        <v>0.10964912280701754</v>
      </c>
      <c r="AF641" s="28">
        <f t="shared" si="216"/>
        <v>0.49433896077644079</v>
      </c>
      <c r="AG641" s="28">
        <f t="shared" si="217"/>
        <v>0</v>
      </c>
      <c r="AI641" s="31">
        <f t="shared" si="218"/>
        <v>2.5950082600740059</v>
      </c>
      <c r="AJ641" s="25"/>
      <c r="AK641" s="31"/>
      <c r="AM641" s="27"/>
    </row>
    <row r="642" spans="4:39" x14ac:dyDescent="0.25">
      <c r="D642" s="25">
        <f>E642*'Profit per cycles Model'!$I$113</f>
        <v>6330</v>
      </c>
      <c r="E642" s="25">
        <v>17.340090398575537</v>
      </c>
      <c r="F642" s="28">
        <f t="shared" si="199"/>
        <v>0.15797788309636651</v>
      </c>
      <c r="G642" s="28">
        <f>'Battery Pricing Model'!$C$17/D642</f>
        <v>0.15797788309636651</v>
      </c>
      <c r="H642" s="28">
        <f t="shared" si="200"/>
        <v>999</v>
      </c>
      <c r="I642" s="28"/>
      <c r="J642" s="34">
        <f>INDEX('Profit per cycles Model'!$I$149:$I$179, MATCH(TRUNC(E642, 0), 'Profit per cycles Model'!$H$149:$H$179, 0))</f>
        <v>0.60398808358345835</v>
      </c>
      <c r="K642" s="27">
        <f>AVERAGE($J$10:J1642)</f>
        <v>0.56883042089778579</v>
      </c>
      <c r="L642" s="28">
        <f t="shared" si="201"/>
        <v>0.41085253780141928</v>
      </c>
      <c r="M642" s="28">
        <f t="shared" si="202"/>
        <v>0.41085253780141928</v>
      </c>
      <c r="N642" s="28">
        <f t="shared" si="203"/>
        <v>999</v>
      </c>
      <c r="O642" s="28"/>
      <c r="P642" s="29">
        <f t="shared" si="219"/>
        <v>0.63300000000000045</v>
      </c>
      <c r="Q642" s="33">
        <f t="shared" si="204"/>
        <v>6.7114093959731544</v>
      </c>
      <c r="R642" s="33">
        <f t="shared" si="205"/>
        <v>6.7114093959731544</v>
      </c>
      <c r="S642" s="33">
        <f t="shared" si="206"/>
        <v>-1</v>
      </c>
      <c r="T642" s="27"/>
      <c r="U642" s="28">
        <f t="shared" si="207"/>
        <v>0.10964912280701754</v>
      </c>
      <c r="V642" s="25">
        <f t="shared" si="208"/>
        <v>999</v>
      </c>
      <c r="W642" s="35">
        <f t="shared" si="220"/>
        <v>25</v>
      </c>
      <c r="X642" s="33">
        <f t="shared" si="209"/>
        <v>25</v>
      </c>
      <c r="Y642" s="32">
        <f t="shared" si="210"/>
        <v>-1</v>
      </c>
      <c r="Z642" s="32"/>
      <c r="AA642" s="30">
        <f t="shared" si="211"/>
        <v>17.340090398575537</v>
      </c>
      <c r="AB642" s="28">
        <f t="shared" si="212"/>
        <v>0.60398808358345835</v>
      </c>
      <c r="AC642" s="28">
        <f t="shared" si="213"/>
        <v>0.10964912280701754</v>
      </c>
      <c r="AD642" s="29">
        <f t="shared" si="214"/>
        <v>600.56925996204927</v>
      </c>
      <c r="AE642" s="28">
        <f t="shared" si="215"/>
        <v>0.10964912280701754</v>
      </c>
      <c r="AF642" s="28">
        <f t="shared" si="216"/>
        <v>0.49433896077644079</v>
      </c>
      <c r="AG642" s="28">
        <f t="shared" si="217"/>
        <v>0</v>
      </c>
      <c r="AI642" s="31">
        <f t="shared" si="218"/>
        <v>2.600696564282984</v>
      </c>
      <c r="AJ642" s="25"/>
      <c r="AK642" s="31"/>
      <c r="AM642" s="27"/>
    </row>
    <row r="643" spans="4:39" x14ac:dyDescent="0.25">
      <c r="D643" s="25">
        <f>E643*'Profit per cycles Model'!$I$113</f>
        <v>6340</v>
      </c>
      <c r="E643" s="25">
        <v>17.367483906314202</v>
      </c>
      <c r="F643" s="28">
        <f t="shared" si="199"/>
        <v>0.15772870662460567</v>
      </c>
      <c r="G643" s="28">
        <f>'Battery Pricing Model'!$C$17/D643</f>
        <v>0.15772870662460567</v>
      </c>
      <c r="H643" s="28">
        <f t="shared" si="200"/>
        <v>999</v>
      </c>
      <c r="I643" s="28"/>
      <c r="J643" s="34">
        <f>INDEX('Profit per cycles Model'!$I$149:$I$179, MATCH(TRUNC(E643, 0), 'Profit per cycles Model'!$H$149:$H$179, 0))</f>
        <v>0.60398808358345835</v>
      </c>
      <c r="K643" s="27">
        <f>AVERAGE($J$10:J1643)</f>
        <v>0.56883042089778579</v>
      </c>
      <c r="L643" s="28">
        <f t="shared" si="201"/>
        <v>0.4111017142731801</v>
      </c>
      <c r="M643" s="28">
        <f t="shared" si="202"/>
        <v>0.4111017142731801</v>
      </c>
      <c r="N643" s="28">
        <f t="shared" si="203"/>
        <v>999</v>
      </c>
      <c r="O643" s="28"/>
      <c r="P643" s="29">
        <f t="shared" si="219"/>
        <v>0.63400000000000045</v>
      </c>
      <c r="Q643" s="33">
        <f t="shared" si="204"/>
        <v>6.7114093959731544</v>
      </c>
      <c r="R643" s="33">
        <f t="shared" si="205"/>
        <v>6.7114093959731544</v>
      </c>
      <c r="S643" s="33">
        <f t="shared" si="206"/>
        <v>-1</v>
      </c>
      <c r="T643" s="27"/>
      <c r="U643" s="28">
        <f t="shared" si="207"/>
        <v>0.10964912280701754</v>
      </c>
      <c r="V643" s="25">
        <f t="shared" si="208"/>
        <v>999</v>
      </c>
      <c r="W643" s="35">
        <f t="shared" si="220"/>
        <v>25</v>
      </c>
      <c r="X643" s="33">
        <f t="shared" si="209"/>
        <v>25</v>
      </c>
      <c r="Y643" s="32">
        <f t="shared" si="210"/>
        <v>-1</v>
      </c>
      <c r="Z643" s="32"/>
      <c r="AA643" s="30">
        <f t="shared" si="211"/>
        <v>17.367483906314202</v>
      </c>
      <c r="AB643" s="28">
        <f t="shared" si="212"/>
        <v>0.60398808358345835</v>
      </c>
      <c r="AC643" s="28">
        <f t="shared" si="213"/>
        <v>0.10964912280701754</v>
      </c>
      <c r="AD643" s="29">
        <f t="shared" si="214"/>
        <v>601.51802656546488</v>
      </c>
      <c r="AE643" s="28">
        <f t="shared" si="215"/>
        <v>0.10964912280701754</v>
      </c>
      <c r="AF643" s="28">
        <f t="shared" si="216"/>
        <v>0.49433896077644079</v>
      </c>
      <c r="AG643" s="28">
        <f t="shared" si="217"/>
        <v>0</v>
      </c>
      <c r="AI643" s="31">
        <f t="shared" si="218"/>
        <v>2.6063848684919622</v>
      </c>
      <c r="AJ643" s="25"/>
      <c r="AK643" s="31"/>
      <c r="AM643" s="27"/>
    </row>
    <row r="644" spans="4:39" x14ac:dyDescent="0.25">
      <c r="D644" s="25">
        <f>E644*'Profit per cycles Model'!$I$113</f>
        <v>6350</v>
      </c>
      <c r="E644" s="25">
        <v>17.394877414052868</v>
      </c>
      <c r="F644" s="28">
        <f t="shared" si="199"/>
        <v>0.15748031496062992</v>
      </c>
      <c r="G644" s="28">
        <f>'Battery Pricing Model'!$C$17/D644</f>
        <v>0.15748031496062992</v>
      </c>
      <c r="H644" s="28">
        <f t="shared" si="200"/>
        <v>999</v>
      </c>
      <c r="I644" s="28"/>
      <c r="J644" s="34">
        <f>INDEX('Profit per cycles Model'!$I$149:$I$179, MATCH(TRUNC(E644, 0), 'Profit per cycles Model'!$H$149:$H$179, 0))</f>
        <v>0.60398808358345835</v>
      </c>
      <c r="K644" s="27">
        <f>AVERAGE($J$10:J1644)</f>
        <v>0.56883042089778579</v>
      </c>
      <c r="L644" s="28">
        <f t="shared" si="201"/>
        <v>0.41135010593715587</v>
      </c>
      <c r="M644" s="28">
        <f t="shared" si="202"/>
        <v>0.41135010593715587</v>
      </c>
      <c r="N644" s="28">
        <f t="shared" si="203"/>
        <v>999</v>
      </c>
      <c r="O644" s="28"/>
      <c r="P644" s="29">
        <f t="shared" si="219"/>
        <v>0.63500000000000045</v>
      </c>
      <c r="Q644" s="33">
        <f t="shared" si="204"/>
        <v>6.7114093959731544</v>
      </c>
      <c r="R644" s="33">
        <f t="shared" si="205"/>
        <v>6.7114093959731544</v>
      </c>
      <c r="S644" s="33">
        <f t="shared" si="206"/>
        <v>-1</v>
      </c>
      <c r="T644" s="27"/>
      <c r="U644" s="28">
        <f t="shared" si="207"/>
        <v>0.10964912280701754</v>
      </c>
      <c r="V644" s="25">
        <f t="shared" si="208"/>
        <v>999</v>
      </c>
      <c r="W644" s="35">
        <f t="shared" si="220"/>
        <v>25</v>
      </c>
      <c r="X644" s="33">
        <f t="shared" si="209"/>
        <v>25</v>
      </c>
      <c r="Y644" s="32">
        <f t="shared" si="210"/>
        <v>-1</v>
      </c>
      <c r="Z644" s="32"/>
      <c r="AA644" s="30">
        <f t="shared" si="211"/>
        <v>17.394877414052868</v>
      </c>
      <c r="AB644" s="28">
        <f t="shared" si="212"/>
        <v>0.60398808358345835</v>
      </c>
      <c r="AC644" s="28">
        <f t="shared" si="213"/>
        <v>0.10964912280701754</v>
      </c>
      <c r="AD644" s="29">
        <f t="shared" si="214"/>
        <v>602.46679316888049</v>
      </c>
      <c r="AE644" s="28">
        <f t="shared" si="215"/>
        <v>0.10964912280701754</v>
      </c>
      <c r="AF644" s="28">
        <f t="shared" si="216"/>
        <v>0.49433896077644079</v>
      </c>
      <c r="AG644" s="28">
        <f t="shared" si="217"/>
        <v>0</v>
      </c>
      <c r="AI644" s="31">
        <f t="shared" si="218"/>
        <v>2.6120731727009399</v>
      </c>
      <c r="AJ644" s="25"/>
      <c r="AK644" s="31"/>
      <c r="AM644" s="27"/>
    </row>
    <row r="645" spans="4:39" x14ac:dyDescent="0.25">
      <c r="D645" s="25">
        <f>E645*'Profit per cycles Model'!$I$113</f>
        <v>6360.0000000000009</v>
      </c>
      <c r="E645" s="25">
        <v>17.422270921791537</v>
      </c>
      <c r="F645" s="28">
        <f t="shared" si="199"/>
        <v>0.15723270440251569</v>
      </c>
      <c r="G645" s="28">
        <f>'Battery Pricing Model'!$C$17/D645</f>
        <v>0.15723270440251569</v>
      </c>
      <c r="H645" s="28">
        <f t="shared" si="200"/>
        <v>999</v>
      </c>
      <c r="I645" s="28"/>
      <c r="J645" s="34">
        <f>INDEX('Profit per cycles Model'!$I$149:$I$179, MATCH(TRUNC(E645, 0), 'Profit per cycles Model'!$H$149:$H$179, 0))</f>
        <v>0.60398808358345835</v>
      </c>
      <c r="K645" s="27">
        <f>AVERAGE($J$10:J1645)</f>
        <v>0.56883042089778579</v>
      </c>
      <c r="L645" s="28">
        <f t="shared" si="201"/>
        <v>0.41159771649527011</v>
      </c>
      <c r="M645" s="28">
        <f t="shared" si="202"/>
        <v>0.41159771649527011</v>
      </c>
      <c r="N645" s="28">
        <f t="shared" si="203"/>
        <v>999</v>
      </c>
      <c r="O645" s="28"/>
      <c r="P645" s="29">
        <f t="shared" si="219"/>
        <v>0.63600000000000045</v>
      </c>
      <c r="Q645" s="33">
        <f t="shared" si="204"/>
        <v>6.7114093959731544</v>
      </c>
      <c r="R645" s="33">
        <f t="shared" si="205"/>
        <v>6.7114093959731544</v>
      </c>
      <c r="S645" s="33">
        <f t="shared" si="206"/>
        <v>-1</v>
      </c>
      <c r="T645" s="27"/>
      <c r="U645" s="28">
        <f t="shared" si="207"/>
        <v>0.10964912280701754</v>
      </c>
      <c r="V645" s="25">
        <f t="shared" si="208"/>
        <v>999</v>
      </c>
      <c r="W645" s="35">
        <f t="shared" si="220"/>
        <v>25</v>
      </c>
      <c r="X645" s="33">
        <f t="shared" si="209"/>
        <v>25</v>
      </c>
      <c r="Y645" s="32">
        <f t="shared" si="210"/>
        <v>-1</v>
      </c>
      <c r="Z645" s="32"/>
      <c r="AA645" s="30">
        <f t="shared" si="211"/>
        <v>17.422270921791537</v>
      </c>
      <c r="AB645" s="28">
        <f t="shared" si="212"/>
        <v>0.60398808358345835</v>
      </c>
      <c r="AC645" s="28">
        <f t="shared" si="213"/>
        <v>0.10964912280701754</v>
      </c>
      <c r="AD645" s="29">
        <f t="shared" si="214"/>
        <v>603.41555977229609</v>
      </c>
      <c r="AE645" s="28">
        <f t="shared" si="215"/>
        <v>0.10964912280701754</v>
      </c>
      <c r="AF645" s="28">
        <f t="shared" si="216"/>
        <v>0.49433896077644079</v>
      </c>
      <c r="AG645" s="28">
        <f t="shared" si="217"/>
        <v>0</v>
      </c>
      <c r="AI645" s="31">
        <f t="shared" si="218"/>
        <v>2.6177614769099184</v>
      </c>
      <c r="AJ645" s="25"/>
      <c r="AK645" s="31"/>
      <c r="AM645" s="27"/>
    </row>
    <row r="646" spans="4:39" x14ac:dyDescent="0.25">
      <c r="D646" s="25">
        <f>E646*'Profit per cycles Model'!$I$113</f>
        <v>6370</v>
      </c>
      <c r="E646" s="25">
        <v>17.449664429530202</v>
      </c>
      <c r="F646" s="28">
        <f t="shared" si="199"/>
        <v>0.15698587127158556</v>
      </c>
      <c r="G646" s="28">
        <f>'Battery Pricing Model'!$C$17/D646</f>
        <v>0.15698587127158556</v>
      </c>
      <c r="H646" s="28">
        <f t="shared" si="200"/>
        <v>999</v>
      </c>
      <c r="I646" s="28"/>
      <c r="J646" s="34">
        <f>INDEX('Profit per cycles Model'!$I$149:$I$179, MATCH(TRUNC(E646, 0), 'Profit per cycles Model'!$H$149:$H$179, 0))</f>
        <v>0.60398808358345835</v>
      </c>
      <c r="K646" s="27">
        <f>AVERAGE($J$10:J1646)</f>
        <v>0.56883042089778579</v>
      </c>
      <c r="L646" s="28">
        <f t="shared" si="201"/>
        <v>0.41184454962620021</v>
      </c>
      <c r="M646" s="28">
        <f t="shared" si="202"/>
        <v>0.41184454962620021</v>
      </c>
      <c r="N646" s="28">
        <f t="shared" si="203"/>
        <v>999</v>
      </c>
      <c r="O646" s="28"/>
      <c r="P646" s="29">
        <f t="shared" si="219"/>
        <v>0.63700000000000045</v>
      </c>
      <c r="Q646" s="33">
        <f t="shared" si="204"/>
        <v>6.7114093959731544</v>
      </c>
      <c r="R646" s="33">
        <f t="shared" si="205"/>
        <v>6.7114093959731544</v>
      </c>
      <c r="S646" s="33">
        <f t="shared" si="206"/>
        <v>-1</v>
      </c>
      <c r="T646" s="27"/>
      <c r="U646" s="28">
        <f t="shared" si="207"/>
        <v>0.10964912280701754</v>
      </c>
      <c r="V646" s="25">
        <f t="shared" si="208"/>
        <v>999</v>
      </c>
      <c r="W646" s="35">
        <f t="shared" si="220"/>
        <v>25</v>
      </c>
      <c r="X646" s="33">
        <f t="shared" si="209"/>
        <v>25</v>
      </c>
      <c r="Y646" s="32">
        <f t="shared" si="210"/>
        <v>-1</v>
      </c>
      <c r="Z646" s="32"/>
      <c r="AA646" s="30">
        <f t="shared" si="211"/>
        <v>17.449664429530202</v>
      </c>
      <c r="AB646" s="28">
        <f t="shared" si="212"/>
        <v>0.60398808358345835</v>
      </c>
      <c r="AC646" s="28">
        <f t="shared" si="213"/>
        <v>0.10964912280701754</v>
      </c>
      <c r="AD646" s="29">
        <f t="shared" si="214"/>
        <v>604.3643263757117</v>
      </c>
      <c r="AE646" s="28">
        <f t="shared" si="215"/>
        <v>0.10964912280701754</v>
      </c>
      <c r="AF646" s="28">
        <f t="shared" si="216"/>
        <v>0.49433896077644079</v>
      </c>
      <c r="AG646" s="28">
        <f t="shared" si="217"/>
        <v>0</v>
      </c>
      <c r="AI646" s="31">
        <f t="shared" si="218"/>
        <v>2.6234497811188953</v>
      </c>
      <c r="AJ646" s="25"/>
      <c r="AK646" s="31"/>
      <c r="AM646" s="27"/>
    </row>
    <row r="647" spans="4:39" x14ac:dyDescent="0.25">
      <c r="D647" s="25">
        <f>E647*'Profit per cycles Model'!$I$113</f>
        <v>6380</v>
      </c>
      <c r="E647" s="25">
        <v>17.477057937268867</v>
      </c>
      <c r="F647" s="28">
        <f t="shared" si="199"/>
        <v>0.15673981191222572</v>
      </c>
      <c r="G647" s="28">
        <f>'Battery Pricing Model'!$C$17/D647</f>
        <v>0.15673981191222572</v>
      </c>
      <c r="H647" s="28">
        <f t="shared" si="200"/>
        <v>999</v>
      </c>
      <c r="I647" s="28"/>
      <c r="J647" s="34">
        <f>INDEX('Profit per cycles Model'!$I$149:$I$179, MATCH(TRUNC(E647, 0), 'Profit per cycles Model'!$H$149:$H$179, 0))</f>
        <v>0.60398808358345835</v>
      </c>
      <c r="K647" s="27">
        <f>AVERAGE($J$10:J1647)</f>
        <v>0.56883042089778579</v>
      </c>
      <c r="L647" s="28">
        <f t="shared" si="201"/>
        <v>0.41209060898556005</v>
      </c>
      <c r="M647" s="28">
        <f t="shared" si="202"/>
        <v>0.41209060898556005</v>
      </c>
      <c r="N647" s="28">
        <f t="shared" si="203"/>
        <v>999</v>
      </c>
      <c r="O647" s="28"/>
      <c r="P647" s="29">
        <f t="shared" si="219"/>
        <v>0.63800000000000046</v>
      </c>
      <c r="Q647" s="33">
        <f t="shared" si="204"/>
        <v>6.7114093959731544</v>
      </c>
      <c r="R647" s="33">
        <f t="shared" si="205"/>
        <v>6.7114093959731544</v>
      </c>
      <c r="S647" s="33">
        <f t="shared" si="206"/>
        <v>-1</v>
      </c>
      <c r="T647" s="27"/>
      <c r="U647" s="28">
        <f t="shared" si="207"/>
        <v>0.10964912280701754</v>
      </c>
      <c r="V647" s="25">
        <f t="shared" si="208"/>
        <v>999</v>
      </c>
      <c r="W647" s="35">
        <f t="shared" si="220"/>
        <v>25</v>
      </c>
      <c r="X647" s="33">
        <f t="shared" si="209"/>
        <v>25</v>
      </c>
      <c r="Y647" s="32">
        <f t="shared" si="210"/>
        <v>-1</v>
      </c>
      <c r="Z647" s="32"/>
      <c r="AA647" s="30">
        <f t="shared" si="211"/>
        <v>17.477057937268867</v>
      </c>
      <c r="AB647" s="28">
        <f t="shared" si="212"/>
        <v>0.60398808358345835</v>
      </c>
      <c r="AC647" s="28">
        <f t="shared" si="213"/>
        <v>0.10964912280701754</v>
      </c>
      <c r="AD647" s="29">
        <f t="shared" si="214"/>
        <v>605.31309297912708</v>
      </c>
      <c r="AE647" s="28">
        <f t="shared" si="215"/>
        <v>0.10964912280701754</v>
      </c>
      <c r="AF647" s="28">
        <f t="shared" si="216"/>
        <v>0.49433896077644079</v>
      </c>
      <c r="AG647" s="28">
        <f t="shared" si="217"/>
        <v>0</v>
      </c>
      <c r="AI647" s="31">
        <f t="shared" si="218"/>
        <v>2.629138085327873</v>
      </c>
      <c r="AJ647" s="25"/>
      <c r="AK647" s="31"/>
      <c r="AM647" s="27"/>
    </row>
    <row r="648" spans="4:39" x14ac:dyDescent="0.25">
      <c r="D648" s="25">
        <f>E648*'Profit per cycles Model'!$I$113</f>
        <v>6390</v>
      </c>
      <c r="E648" s="25">
        <v>17.504451445007533</v>
      </c>
      <c r="F648" s="28">
        <f t="shared" si="199"/>
        <v>0.1564945226917058</v>
      </c>
      <c r="G648" s="28">
        <f>'Battery Pricing Model'!$C$17/D648</f>
        <v>0.1564945226917058</v>
      </c>
      <c r="H648" s="28">
        <f t="shared" si="200"/>
        <v>999</v>
      </c>
      <c r="I648" s="28"/>
      <c r="J648" s="34">
        <f>INDEX('Profit per cycles Model'!$I$149:$I$179, MATCH(TRUNC(E648, 0), 'Profit per cycles Model'!$H$149:$H$179, 0))</f>
        <v>0.60398808358345835</v>
      </c>
      <c r="K648" s="27">
        <f>AVERAGE($J$10:J1648)</f>
        <v>0.56883042089778579</v>
      </c>
      <c r="L648" s="28">
        <f t="shared" si="201"/>
        <v>0.41233589820607996</v>
      </c>
      <c r="M648" s="28">
        <f t="shared" si="202"/>
        <v>0.41233589820607996</v>
      </c>
      <c r="N648" s="28">
        <f t="shared" si="203"/>
        <v>999</v>
      </c>
      <c r="O648" s="28"/>
      <c r="P648" s="29">
        <f t="shared" si="219"/>
        <v>0.63900000000000046</v>
      </c>
      <c r="Q648" s="33">
        <f t="shared" si="204"/>
        <v>6.7114093959731544</v>
      </c>
      <c r="R648" s="33">
        <f t="shared" si="205"/>
        <v>6.7114093959731544</v>
      </c>
      <c r="S648" s="33">
        <f t="shared" si="206"/>
        <v>-1</v>
      </c>
      <c r="T648" s="27"/>
      <c r="U648" s="28">
        <f t="shared" si="207"/>
        <v>0.10964912280701754</v>
      </c>
      <c r="V648" s="25">
        <f t="shared" si="208"/>
        <v>999</v>
      </c>
      <c r="W648" s="35">
        <f t="shared" si="220"/>
        <v>25</v>
      </c>
      <c r="X648" s="33">
        <f t="shared" si="209"/>
        <v>25</v>
      </c>
      <c r="Y648" s="32">
        <f t="shared" si="210"/>
        <v>-1</v>
      </c>
      <c r="Z648" s="32"/>
      <c r="AA648" s="30">
        <f t="shared" si="211"/>
        <v>17.504451445007533</v>
      </c>
      <c r="AB648" s="28">
        <f t="shared" si="212"/>
        <v>0.60398808358345835</v>
      </c>
      <c r="AC648" s="28">
        <f t="shared" si="213"/>
        <v>0.10964912280701754</v>
      </c>
      <c r="AD648" s="29">
        <f t="shared" si="214"/>
        <v>606.26185958254268</v>
      </c>
      <c r="AE648" s="28">
        <f t="shared" si="215"/>
        <v>0.10964912280701754</v>
      </c>
      <c r="AF648" s="28">
        <f t="shared" si="216"/>
        <v>0.49433896077644079</v>
      </c>
      <c r="AG648" s="28">
        <f t="shared" si="217"/>
        <v>0</v>
      </c>
      <c r="AI648" s="31">
        <f t="shared" si="218"/>
        <v>2.6348263895368507</v>
      </c>
      <c r="AJ648" s="25"/>
      <c r="AK648" s="31"/>
      <c r="AM648" s="27"/>
    </row>
    <row r="649" spans="4:39" x14ac:dyDescent="0.25">
      <c r="D649" s="25">
        <f>E649*'Profit per cycles Model'!$I$113</f>
        <v>6400</v>
      </c>
      <c r="E649" s="25">
        <v>17.531844952746198</v>
      </c>
      <c r="F649" s="28">
        <f t="shared" si="199"/>
        <v>0.15625</v>
      </c>
      <c r="G649" s="28">
        <f>'Battery Pricing Model'!$C$17/D649</f>
        <v>0.15625</v>
      </c>
      <c r="H649" s="28">
        <f t="shared" si="200"/>
        <v>999</v>
      </c>
      <c r="I649" s="28"/>
      <c r="J649" s="34">
        <f>INDEX('Profit per cycles Model'!$I$149:$I$179, MATCH(TRUNC(E649, 0), 'Profit per cycles Model'!$H$149:$H$179, 0))</f>
        <v>0.60398808358345835</v>
      </c>
      <c r="K649" s="27">
        <f>AVERAGE($J$10:J1649)</f>
        <v>0.56883042089778579</v>
      </c>
      <c r="L649" s="28">
        <f t="shared" si="201"/>
        <v>0.41258042089778579</v>
      </c>
      <c r="M649" s="28">
        <f t="shared" si="202"/>
        <v>0.41258042089778579</v>
      </c>
      <c r="N649" s="28">
        <f t="shared" si="203"/>
        <v>999</v>
      </c>
      <c r="O649" s="28"/>
      <c r="P649" s="29">
        <f t="shared" si="219"/>
        <v>0.64000000000000046</v>
      </c>
      <c r="Q649" s="33">
        <f t="shared" si="204"/>
        <v>6.7114093959731544</v>
      </c>
      <c r="R649" s="33">
        <f t="shared" si="205"/>
        <v>6.7114093959731544</v>
      </c>
      <c r="S649" s="33">
        <f t="shared" si="206"/>
        <v>-1</v>
      </c>
      <c r="T649" s="27"/>
      <c r="U649" s="28">
        <f t="shared" si="207"/>
        <v>0.10964912280701754</v>
      </c>
      <c r="V649" s="25">
        <f t="shared" si="208"/>
        <v>999</v>
      </c>
      <c r="W649" s="35">
        <f t="shared" si="220"/>
        <v>25</v>
      </c>
      <c r="X649" s="33">
        <f t="shared" si="209"/>
        <v>25</v>
      </c>
      <c r="Y649" s="32">
        <f t="shared" si="210"/>
        <v>-1</v>
      </c>
      <c r="Z649" s="32"/>
      <c r="AA649" s="30">
        <f t="shared" si="211"/>
        <v>17.531844952746198</v>
      </c>
      <c r="AB649" s="28">
        <f t="shared" si="212"/>
        <v>0.60398808358345835</v>
      </c>
      <c r="AC649" s="28">
        <f t="shared" si="213"/>
        <v>0.10964912280701754</v>
      </c>
      <c r="AD649" s="29">
        <f t="shared" si="214"/>
        <v>607.21062618595818</v>
      </c>
      <c r="AE649" s="28">
        <f t="shared" si="215"/>
        <v>0.10964912280701754</v>
      </c>
      <c r="AF649" s="28">
        <f t="shared" si="216"/>
        <v>0.49433896077644079</v>
      </c>
      <c r="AG649" s="28">
        <f t="shared" si="217"/>
        <v>0</v>
      </c>
      <c r="AI649" s="31">
        <f t="shared" si="218"/>
        <v>2.6405146937458293</v>
      </c>
      <c r="AJ649" s="25"/>
      <c r="AK649" s="31"/>
      <c r="AM649" s="27"/>
    </row>
    <row r="650" spans="4:39" x14ac:dyDescent="0.25">
      <c r="D650" s="25">
        <f>E650*'Profit per cycles Model'!$I$113</f>
        <v>6409.9999999999991</v>
      </c>
      <c r="E650" s="25">
        <v>17.559238460484863</v>
      </c>
      <c r="F650" s="28">
        <f t="shared" ref="F650:F713" si="221">IF(OR($H$6="None", $H$6=0), G650, H650)</f>
        <v>0.15600624024961002</v>
      </c>
      <c r="G650" s="28">
        <f>'Battery Pricing Model'!$C$17/D650</f>
        <v>0.15600624024961002</v>
      </c>
      <c r="H650" s="28">
        <f t="shared" ref="H650:H713" si="222">IF(OR($H$6="None", $H$6=0), 999, $G650*(H$6))</f>
        <v>999</v>
      </c>
      <c r="I650" s="28"/>
      <c r="J650" s="34">
        <f>INDEX('Profit per cycles Model'!$I$149:$I$179, MATCH(TRUNC(E650, 0), 'Profit per cycles Model'!$H$149:$H$179, 0))</f>
        <v>0.60398808358345835</v>
      </c>
      <c r="K650" s="27">
        <f>AVERAGE($J$10:J1650)</f>
        <v>0.56883042089778579</v>
      </c>
      <c r="L650" s="28">
        <f t="shared" ref="L650:L713" si="223">IF(K650-F650&lt;0, 999, K650-F650)</f>
        <v>0.41282418064817578</v>
      </c>
      <c r="M650" s="28">
        <f t="shared" ref="M650:M713" si="224">IF(K650-F650&lt;0, 999, K650-F650)</f>
        <v>0.41282418064817578</v>
      </c>
      <c r="N650" s="28">
        <f t="shared" ref="N650:N713" si="225">IF(K650-H650&lt;0, 999, K650-H650)</f>
        <v>999</v>
      </c>
      <c r="O650" s="28"/>
      <c r="P650" s="29">
        <f t="shared" si="219"/>
        <v>0.64100000000000046</v>
      </c>
      <c r="Q650" s="33">
        <f t="shared" ref="Q650:Q713" si="226">$L$5</f>
        <v>6.7114093959731544</v>
      </c>
      <c r="R650" s="33">
        <f t="shared" ref="R650:R713" si="227">$M$5</f>
        <v>6.7114093959731544</v>
      </c>
      <c r="S650" s="33">
        <f t="shared" ref="S650:S713" si="228">$N$5</f>
        <v>-1</v>
      </c>
      <c r="T650" s="27"/>
      <c r="U650" s="28">
        <f t="shared" ref="U650:U713" si="229">IF(ISNA(INDEX($F$10:$F$1063,MATCH(W650,$E$10:$E$1063,1))),-1,INDEX($F$10:$F$1063,MATCH(W650,$E$10:$E$1063,1)))</f>
        <v>0.10964912280701754</v>
      </c>
      <c r="V650" s="25">
        <f t="shared" ref="V650:V713" si="230">IF(ISNA(INDEX($H$10:$H$1063, MATCH(X650, $E$10:$E$1063,1))),-1,  INDEX($H$10:$H$1063, MATCH(X650, $E$10:$E$1063,1)))</f>
        <v>999</v>
      </c>
      <c r="W650" s="35">
        <f t="shared" si="220"/>
        <v>25</v>
      </c>
      <c r="X650" s="33">
        <f t="shared" ref="X650:X713" si="231">IF(PaybackCustom&gt;0, IF(PaybackCustom&lt;&gt;"Default", PaybackCustom, IF(PaybackStatus&lt;&gt;"",INDEX($Y$2:$Y$6,MATCH(PaybackStatus,$X$2:$X$6,FALSE)),-1)))</f>
        <v>25</v>
      </c>
      <c r="Y650" s="32">
        <f t="shared" ref="Y650:Y713" si="232">IF(PaybackStatus&lt;&gt;"",IF(PaybackStatus=$X$4,IF(X650&lt;=$Y$4,$Y$4,-1), -1), -1)</f>
        <v>-1</v>
      </c>
      <c r="Z650" s="32"/>
      <c r="AA650" s="30">
        <f t="shared" ref="AA650:AA713" si="233">E650</f>
        <v>17.559238460484863</v>
      </c>
      <c r="AB650" s="28">
        <f t="shared" ref="AB650:AB713" si="234">J650</f>
        <v>0.60398808358345835</v>
      </c>
      <c r="AC650" s="28">
        <f t="shared" ref="AC650:AC713" si="235">U650</f>
        <v>0.10964912280701754</v>
      </c>
      <c r="AD650" s="29">
        <f t="shared" ref="AD650:AD713" si="236">$AC$2*(AA650-$AC$3)/($AC$4-$AC$3)</f>
        <v>608.15939278937378</v>
      </c>
      <c r="AE650" s="28">
        <f t="shared" ref="AE650:AE713" si="237">MIN(AC650, AB650)</f>
        <v>0.10964912280701754</v>
      </c>
      <c r="AF650" s="28">
        <f t="shared" ref="AF650:AF713" si="238">IF(AND(AA650&lt;X650, AB650&gt;AC650), AB650-AC650, 0)</f>
        <v>0.49433896077644079</v>
      </c>
      <c r="AG650" s="28">
        <f t="shared" ref="AG650:AG713" si="239">IF(AND(AA650&lt;X650, AC650&gt;AB650), AC650-AB650, 0)</f>
        <v>0</v>
      </c>
      <c r="AI650" s="31">
        <f t="shared" ref="AI650:AI713" si="240">(K650-F650)/F650</f>
        <v>2.6462029979548061</v>
      </c>
      <c r="AJ650" s="25"/>
      <c r="AK650" s="31"/>
      <c r="AM650" s="27"/>
    </row>
    <row r="651" spans="4:39" x14ac:dyDescent="0.25">
      <c r="D651" s="25">
        <f>E651*'Profit per cycles Model'!$I$113</f>
        <v>6420.0000000000009</v>
      </c>
      <c r="E651" s="25">
        <v>17.586631968223532</v>
      </c>
      <c r="F651" s="28">
        <f t="shared" si="221"/>
        <v>0.1557632398753894</v>
      </c>
      <c r="G651" s="28">
        <f>'Battery Pricing Model'!$C$17/D651</f>
        <v>0.1557632398753894</v>
      </c>
      <c r="H651" s="28">
        <f t="shared" si="222"/>
        <v>999</v>
      </c>
      <c r="I651" s="28"/>
      <c r="J651" s="34">
        <f>INDEX('Profit per cycles Model'!$I$149:$I$179, MATCH(TRUNC(E651, 0), 'Profit per cycles Model'!$H$149:$H$179, 0))</f>
        <v>0.60398808358345835</v>
      </c>
      <c r="K651" s="27">
        <f>AVERAGE($J$10:J1651)</f>
        <v>0.56883042089778579</v>
      </c>
      <c r="L651" s="28">
        <f t="shared" si="223"/>
        <v>0.41306718102239637</v>
      </c>
      <c r="M651" s="28">
        <f t="shared" si="224"/>
        <v>0.41306718102239637</v>
      </c>
      <c r="N651" s="28">
        <f t="shared" si="225"/>
        <v>999</v>
      </c>
      <c r="O651" s="28"/>
      <c r="P651" s="29">
        <f t="shared" ref="P651:P714" si="241">P650+0.001</f>
        <v>0.64200000000000046</v>
      </c>
      <c r="Q651" s="33">
        <f t="shared" si="226"/>
        <v>6.7114093959731544</v>
      </c>
      <c r="R651" s="33">
        <f t="shared" si="227"/>
        <v>6.7114093959731544</v>
      </c>
      <c r="S651" s="33">
        <f t="shared" si="228"/>
        <v>-1</v>
      </c>
      <c r="T651" s="27"/>
      <c r="U651" s="28">
        <f t="shared" si="229"/>
        <v>0.10964912280701754</v>
      </c>
      <c r="V651" s="25">
        <f t="shared" si="230"/>
        <v>999</v>
      </c>
      <c r="W651" s="35">
        <f t="shared" ref="W651:W714" si="242">IF( AND(X651&gt;0, Y651&gt;0), IF(X651&lt;Y651, X651, Y651),  IF(X651&gt;0, X651, IF(Y651&gt;0, Y651, -1)) )</f>
        <v>25</v>
      </c>
      <c r="X651" s="33">
        <f t="shared" si="231"/>
        <v>25</v>
      </c>
      <c r="Y651" s="32">
        <f t="shared" si="232"/>
        <v>-1</v>
      </c>
      <c r="Z651" s="32"/>
      <c r="AA651" s="30">
        <f t="shared" si="233"/>
        <v>17.586631968223532</v>
      </c>
      <c r="AB651" s="28">
        <f t="shared" si="234"/>
        <v>0.60398808358345835</v>
      </c>
      <c r="AC651" s="28">
        <f t="shared" si="235"/>
        <v>0.10964912280701754</v>
      </c>
      <c r="AD651" s="29">
        <f t="shared" si="236"/>
        <v>609.1081593927895</v>
      </c>
      <c r="AE651" s="28">
        <f t="shared" si="237"/>
        <v>0.10964912280701754</v>
      </c>
      <c r="AF651" s="28">
        <f t="shared" si="238"/>
        <v>0.49433896077644079</v>
      </c>
      <c r="AG651" s="28">
        <f t="shared" si="239"/>
        <v>0</v>
      </c>
      <c r="AI651" s="31">
        <f t="shared" si="240"/>
        <v>2.6518913021637847</v>
      </c>
      <c r="AJ651" s="25"/>
      <c r="AK651" s="31"/>
      <c r="AM651" s="27"/>
    </row>
    <row r="652" spans="4:39" x14ac:dyDescent="0.25">
      <c r="D652" s="25">
        <f>E652*'Profit per cycles Model'!$I$113</f>
        <v>6430</v>
      </c>
      <c r="E652" s="25">
        <v>17.614025475962197</v>
      </c>
      <c r="F652" s="28">
        <f t="shared" si="221"/>
        <v>0.15552099533437014</v>
      </c>
      <c r="G652" s="28">
        <f>'Battery Pricing Model'!$C$17/D652</f>
        <v>0.15552099533437014</v>
      </c>
      <c r="H652" s="28">
        <f t="shared" si="222"/>
        <v>999</v>
      </c>
      <c r="I652" s="28"/>
      <c r="J652" s="34">
        <f>INDEX('Profit per cycles Model'!$I$149:$I$179, MATCH(TRUNC(E652, 0), 'Profit per cycles Model'!$H$149:$H$179, 0))</f>
        <v>0.60398808358345835</v>
      </c>
      <c r="K652" s="27">
        <f>AVERAGE($J$10:J1652)</f>
        <v>0.56883042089778579</v>
      </c>
      <c r="L652" s="28">
        <f t="shared" si="223"/>
        <v>0.41330942556341566</v>
      </c>
      <c r="M652" s="28">
        <f t="shared" si="224"/>
        <v>0.41330942556341566</v>
      </c>
      <c r="N652" s="28">
        <f t="shared" si="225"/>
        <v>999</v>
      </c>
      <c r="O652" s="28"/>
      <c r="P652" s="29">
        <f t="shared" si="241"/>
        <v>0.64300000000000046</v>
      </c>
      <c r="Q652" s="33">
        <f t="shared" si="226"/>
        <v>6.7114093959731544</v>
      </c>
      <c r="R652" s="33">
        <f t="shared" si="227"/>
        <v>6.7114093959731544</v>
      </c>
      <c r="S652" s="33">
        <f t="shared" si="228"/>
        <v>-1</v>
      </c>
      <c r="T652" s="27"/>
      <c r="U652" s="28">
        <f t="shared" si="229"/>
        <v>0.10964912280701754</v>
      </c>
      <c r="V652" s="25">
        <f t="shared" si="230"/>
        <v>999</v>
      </c>
      <c r="W652" s="35">
        <f t="shared" si="242"/>
        <v>25</v>
      </c>
      <c r="X652" s="33">
        <f t="shared" si="231"/>
        <v>25</v>
      </c>
      <c r="Y652" s="32">
        <f t="shared" si="232"/>
        <v>-1</v>
      </c>
      <c r="Z652" s="32"/>
      <c r="AA652" s="30">
        <f t="shared" si="233"/>
        <v>17.614025475962197</v>
      </c>
      <c r="AB652" s="28">
        <f t="shared" si="234"/>
        <v>0.60398808358345835</v>
      </c>
      <c r="AC652" s="28">
        <f t="shared" si="235"/>
        <v>0.10964912280701754</v>
      </c>
      <c r="AD652" s="29">
        <f t="shared" si="236"/>
        <v>610.056925996205</v>
      </c>
      <c r="AE652" s="28">
        <f t="shared" si="237"/>
        <v>0.10964912280701754</v>
      </c>
      <c r="AF652" s="28">
        <f t="shared" si="238"/>
        <v>0.49433896077644079</v>
      </c>
      <c r="AG652" s="28">
        <f t="shared" si="239"/>
        <v>0</v>
      </c>
      <c r="AI652" s="31">
        <f t="shared" si="240"/>
        <v>2.6575796063727628</v>
      </c>
      <c r="AJ652" s="25"/>
      <c r="AK652" s="31"/>
      <c r="AM652" s="27"/>
    </row>
    <row r="653" spans="4:39" x14ac:dyDescent="0.25">
      <c r="D653" s="25">
        <f>E653*'Profit per cycles Model'!$I$113</f>
        <v>6440</v>
      </c>
      <c r="E653" s="25">
        <v>17.641418983700863</v>
      </c>
      <c r="F653" s="28">
        <f t="shared" si="221"/>
        <v>0.15527950310559005</v>
      </c>
      <c r="G653" s="28">
        <f>'Battery Pricing Model'!$C$17/D653</f>
        <v>0.15527950310559005</v>
      </c>
      <c r="H653" s="28">
        <f t="shared" si="222"/>
        <v>999</v>
      </c>
      <c r="I653" s="28"/>
      <c r="J653" s="34">
        <f>INDEX('Profit per cycles Model'!$I$149:$I$179, MATCH(TRUNC(E653, 0), 'Profit per cycles Model'!$H$149:$H$179, 0))</f>
        <v>0.60398808358345835</v>
      </c>
      <c r="K653" s="27">
        <f>AVERAGE($J$10:J1653)</f>
        <v>0.56883042089778579</v>
      </c>
      <c r="L653" s="28">
        <f t="shared" si="223"/>
        <v>0.41355091779219577</v>
      </c>
      <c r="M653" s="28">
        <f t="shared" si="224"/>
        <v>0.41355091779219577</v>
      </c>
      <c r="N653" s="28">
        <f t="shared" si="225"/>
        <v>999</v>
      </c>
      <c r="O653" s="28"/>
      <c r="P653" s="29">
        <f t="shared" si="241"/>
        <v>0.64400000000000046</v>
      </c>
      <c r="Q653" s="33">
        <f t="shared" si="226"/>
        <v>6.7114093959731544</v>
      </c>
      <c r="R653" s="33">
        <f t="shared" si="227"/>
        <v>6.7114093959731544</v>
      </c>
      <c r="S653" s="33">
        <f t="shared" si="228"/>
        <v>-1</v>
      </c>
      <c r="T653" s="27"/>
      <c r="U653" s="28">
        <f t="shared" si="229"/>
        <v>0.10964912280701754</v>
      </c>
      <c r="V653" s="25">
        <f t="shared" si="230"/>
        <v>999</v>
      </c>
      <c r="W653" s="35">
        <f t="shared" si="242"/>
        <v>25</v>
      </c>
      <c r="X653" s="33">
        <f t="shared" si="231"/>
        <v>25</v>
      </c>
      <c r="Y653" s="32">
        <f t="shared" si="232"/>
        <v>-1</v>
      </c>
      <c r="Z653" s="32"/>
      <c r="AA653" s="30">
        <f t="shared" si="233"/>
        <v>17.641418983700863</v>
      </c>
      <c r="AB653" s="28">
        <f t="shared" si="234"/>
        <v>0.60398808358345835</v>
      </c>
      <c r="AC653" s="28">
        <f t="shared" si="235"/>
        <v>0.10964912280701754</v>
      </c>
      <c r="AD653" s="29">
        <f t="shared" si="236"/>
        <v>611.0056925996206</v>
      </c>
      <c r="AE653" s="28">
        <f t="shared" si="237"/>
        <v>0.10964912280701754</v>
      </c>
      <c r="AF653" s="28">
        <f t="shared" si="238"/>
        <v>0.49433896077644079</v>
      </c>
      <c r="AG653" s="28">
        <f t="shared" si="239"/>
        <v>0</v>
      </c>
      <c r="AI653" s="31">
        <f t="shared" si="240"/>
        <v>2.6632679105817409</v>
      </c>
      <c r="AJ653" s="25"/>
      <c r="AK653" s="31"/>
      <c r="AM653" s="27"/>
    </row>
    <row r="654" spans="4:39" x14ac:dyDescent="0.25">
      <c r="D654" s="25">
        <f>E654*'Profit per cycles Model'!$I$113</f>
        <v>6450</v>
      </c>
      <c r="E654" s="25">
        <v>17.668812491439528</v>
      </c>
      <c r="F654" s="28">
        <f t="shared" si="221"/>
        <v>0.15503875968992248</v>
      </c>
      <c r="G654" s="28">
        <f>'Battery Pricing Model'!$C$17/D654</f>
        <v>0.15503875968992248</v>
      </c>
      <c r="H654" s="28">
        <f t="shared" si="222"/>
        <v>999</v>
      </c>
      <c r="I654" s="28"/>
      <c r="J654" s="34">
        <f>INDEX('Profit per cycles Model'!$I$149:$I$179, MATCH(TRUNC(E654, 0), 'Profit per cycles Model'!$H$149:$H$179, 0))</f>
        <v>0.60398808358345835</v>
      </c>
      <c r="K654" s="27">
        <f>AVERAGE($J$10:J1654)</f>
        <v>0.56883042089778579</v>
      </c>
      <c r="L654" s="28">
        <f t="shared" si="223"/>
        <v>0.41379166120786331</v>
      </c>
      <c r="M654" s="28">
        <f t="shared" si="224"/>
        <v>0.41379166120786331</v>
      </c>
      <c r="N654" s="28">
        <f t="shared" si="225"/>
        <v>999</v>
      </c>
      <c r="O654" s="28"/>
      <c r="P654" s="29">
        <f t="shared" si="241"/>
        <v>0.64500000000000046</v>
      </c>
      <c r="Q654" s="33">
        <f t="shared" si="226"/>
        <v>6.7114093959731544</v>
      </c>
      <c r="R654" s="33">
        <f t="shared" si="227"/>
        <v>6.7114093959731544</v>
      </c>
      <c r="S654" s="33">
        <f t="shared" si="228"/>
        <v>-1</v>
      </c>
      <c r="T654" s="27"/>
      <c r="U654" s="28">
        <f t="shared" si="229"/>
        <v>0.10964912280701754</v>
      </c>
      <c r="V654" s="25">
        <f t="shared" si="230"/>
        <v>999</v>
      </c>
      <c r="W654" s="35">
        <f t="shared" si="242"/>
        <v>25</v>
      </c>
      <c r="X654" s="33">
        <f t="shared" si="231"/>
        <v>25</v>
      </c>
      <c r="Y654" s="32">
        <f t="shared" si="232"/>
        <v>-1</v>
      </c>
      <c r="Z654" s="32"/>
      <c r="AA654" s="30">
        <f t="shared" si="233"/>
        <v>17.668812491439528</v>
      </c>
      <c r="AB654" s="28">
        <f t="shared" si="234"/>
        <v>0.60398808358345835</v>
      </c>
      <c r="AC654" s="28">
        <f t="shared" si="235"/>
        <v>0.10964912280701754</v>
      </c>
      <c r="AD654" s="29">
        <f t="shared" si="236"/>
        <v>611.95445920303598</v>
      </c>
      <c r="AE654" s="28">
        <f t="shared" si="237"/>
        <v>0.10964912280701754</v>
      </c>
      <c r="AF654" s="28">
        <f t="shared" si="238"/>
        <v>0.49433896077644079</v>
      </c>
      <c r="AG654" s="28">
        <f t="shared" si="239"/>
        <v>0</v>
      </c>
      <c r="AI654" s="31">
        <f t="shared" si="240"/>
        <v>2.6689562147907182</v>
      </c>
      <c r="AJ654" s="25"/>
      <c r="AK654" s="31"/>
      <c r="AM654" s="27"/>
    </row>
    <row r="655" spans="4:39" x14ac:dyDescent="0.25">
      <c r="D655" s="25">
        <f>E655*'Profit per cycles Model'!$I$113</f>
        <v>6460</v>
      </c>
      <c r="E655" s="25">
        <v>17.696205999178193</v>
      </c>
      <c r="F655" s="28">
        <f t="shared" si="221"/>
        <v>0.15479876160990713</v>
      </c>
      <c r="G655" s="28">
        <f>'Battery Pricing Model'!$C$17/D655</f>
        <v>0.15479876160990713</v>
      </c>
      <c r="H655" s="28">
        <f t="shared" si="222"/>
        <v>999</v>
      </c>
      <c r="I655" s="28"/>
      <c r="J655" s="34">
        <f>INDEX('Profit per cycles Model'!$I$149:$I$179, MATCH(TRUNC(E655, 0), 'Profit per cycles Model'!$H$149:$H$179, 0))</f>
        <v>0.60398808358345835</v>
      </c>
      <c r="K655" s="27">
        <f>AVERAGE($J$10:J1655)</f>
        <v>0.56883042089778579</v>
      </c>
      <c r="L655" s="28">
        <f t="shared" si="223"/>
        <v>0.41403165928787866</v>
      </c>
      <c r="M655" s="28">
        <f t="shared" si="224"/>
        <v>0.41403165928787866</v>
      </c>
      <c r="N655" s="28">
        <f t="shared" si="225"/>
        <v>999</v>
      </c>
      <c r="O655" s="28"/>
      <c r="P655" s="29">
        <f t="shared" si="241"/>
        <v>0.64600000000000046</v>
      </c>
      <c r="Q655" s="33">
        <f t="shared" si="226"/>
        <v>6.7114093959731544</v>
      </c>
      <c r="R655" s="33">
        <f t="shared" si="227"/>
        <v>6.7114093959731544</v>
      </c>
      <c r="S655" s="33">
        <f t="shared" si="228"/>
        <v>-1</v>
      </c>
      <c r="T655" s="27"/>
      <c r="U655" s="28">
        <f t="shared" si="229"/>
        <v>0.10964912280701754</v>
      </c>
      <c r="V655" s="25">
        <f t="shared" si="230"/>
        <v>999</v>
      </c>
      <c r="W655" s="35">
        <f t="shared" si="242"/>
        <v>25</v>
      </c>
      <c r="X655" s="33">
        <f t="shared" si="231"/>
        <v>25</v>
      </c>
      <c r="Y655" s="32">
        <f t="shared" si="232"/>
        <v>-1</v>
      </c>
      <c r="Z655" s="32"/>
      <c r="AA655" s="30">
        <f t="shared" si="233"/>
        <v>17.696205999178193</v>
      </c>
      <c r="AB655" s="28">
        <f t="shared" si="234"/>
        <v>0.60398808358345835</v>
      </c>
      <c r="AC655" s="28">
        <f t="shared" si="235"/>
        <v>0.10964912280701754</v>
      </c>
      <c r="AD655" s="29">
        <f t="shared" si="236"/>
        <v>612.90322580645159</v>
      </c>
      <c r="AE655" s="28">
        <f t="shared" si="237"/>
        <v>0.10964912280701754</v>
      </c>
      <c r="AF655" s="28">
        <f t="shared" si="238"/>
        <v>0.49433896077644079</v>
      </c>
      <c r="AG655" s="28">
        <f t="shared" si="239"/>
        <v>0</v>
      </c>
      <c r="AI655" s="31">
        <f t="shared" si="240"/>
        <v>2.6746445189996959</v>
      </c>
      <c r="AJ655" s="25"/>
      <c r="AK655" s="31"/>
      <c r="AM655" s="27"/>
    </row>
    <row r="656" spans="4:39" x14ac:dyDescent="0.25">
      <c r="D656" s="25">
        <f>E656*'Profit per cycles Model'!$I$113</f>
        <v>6469.9999999999991</v>
      </c>
      <c r="E656" s="25">
        <v>17.723599506916859</v>
      </c>
      <c r="F656" s="28">
        <f t="shared" si="221"/>
        <v>0.15455950540958271</v>
      </c>
      <c r="G656" s="28">
        <f>'Battery Pricing Model'!$C$17/D656</f>
        <v>0.15455950540958271</v>
      </c>
      <c r="H656" s="28">
        <f t="shared" si="222"/>
        <v>999</v>
      </c>
      <c r="I656" s="28"/>
      <c r="J656" s="34">
        <f>INDEX('Profit per cycles Model'!$I$149:$I$179, MATCH(TRUNC(E656, 0), 'Profit per cycles Model'!$H$149:$H$179, 0))</f>
        <v>0.60398808358345835</v>
      </c>
      <c r="K656" s="27">
        <f>AVERAGE($J$10:J1656)</f>
        <v>0.56883042089778579</v>
      </c>
      <c r="L656" s="28">
        <f t="shared" si="223"/>
        <v>0.41427091548820305</v>
      </c>
      <c r="M656" s="28">
        <f t="shared" si="224"/>
        <v>0.41427091548820305</v>
      </c>
      <c r="N656" s="28">
        <f t="shared" si="225"/>
        <v>999</v>
      </c>
      <c r="O656" s="28"/>
      <c r="P656" s="29">
        <f t="shared" si="241"/>
        <v>0.64700000000000046</v>
      </c>
      <c r="Q656" s="33">
        <f t="shared" si="226"/>
        <v>6.7114093959731544</v>
      </c>
      <c r="R656" s="33">
        <f t="shared" si="227"/>
        <v>6.7114093959731544</v>
      </c>
      <c r="S656" s="33">
        <f t="shared" si="228"/>
        <v>-1</v>
      </c>
      <c r="T656" s="27"/>
      <c r="U656" s="28">
        <f t="shared" si="229"/>
        <v>0.10964912280701754</v>
      </c>
      <c r="V656" s="25">
        <f t="shared" si="230"/>
        <v>999</v>
      </c>
      <c r="W656" s="35">
        <f t="shared" si="242"/>
        <v>25</v>
      </c>
      <c r="X656" s="33">
        <f t="shared" si="231"/>
        <v>25</v>
      </c>
      <c r="Y656" s="32">
        <f t="shared" si="232"/>
        <v>-1</v>
      </c>
      <c r="Z656" s="32"/>
      <c r="AA656" s="30">
        <f t="shared" si="233"/>
        <v>17.723599506916859</v>
      </c>
      <c r="AB656" s="28">
        <f t="shared" si="234"/>
        <v>0.60398808358345835</v>
      </c>
      <c r="AC656" s="28">
        <f t="shared" si="235"/>
        <v>0.10964912280701754</v>
      </c>
      <c r="AD656" s="29">
        <f t="shared" si="236"/>
        <v>613.85199240986719</v>
      </c>
      <c r="AE656" s="28">
        <f t="shared" si="237"/>
        <v>0.10964912280701754</v>
      </c>
      <c r="AF656" s="28">
        <f t="shared" si="238"/>
        <v>0.49433896077644079</v>
      </c>
      <c r="AG656" s="28">
        <f t="shared" si="239"/>
        <v>0</v>
      </c>
      <c r="AI656" s="31">
        <f t="shared" si="240"/>
        <v>2.6803328232086732</v>
      </c>
      <c r="AJ656" s="25"/>
      <c r="AK656" s="31"/>
      <c r="AM656" s="27"/>
    </row>
    <row r="657" spans="4:39" x14ac:dyDescent="0.25">
      <c r="D657" s="25">
        <f>E657*'Profit per cycles Model'!$I$113</f>
        <v>6480.0000000000009</v>
      </c>
      <c r="E657" s="25">
        <v>17.750993014655528</v>
      </c>
      <c r="F657" s="28">
        <f t="shared" si="221"/>
        <v>0.15432098765432098</v>
      </c>
      <c r="G657" s="28">
        <f>'Battery Pricing Model'!$C$17/D657</f>
        <v>0.15432098765432098</v>
      </c>
      <c r="H657" s="28">
        <f t="shared" si="222"/>
        <v>999</v>
      </c>
      <c r="I657" s="28"/>
      <c r="J657" s="34">
        <f>INDEX('Profit per cycles Model'!$I$149:$I$179, MATCH(TRUNC(E657, 0), 'Profit per cycles Model'!$H$149:$H$179, 0))</f>
        <v>0.60398808358345835</v>
      </c>
      <c r="K657" s="27">
        <f>AVERAGE($J$10:J1657)</f>
        <v>0.56883042089778579</v>
      </c>
      <c r="L657" s="28">
        <f t="shared" si="223"/>
        <v>0.41450943324346479</v>
      </c>
      <c r="M657" s="28">
        <f t="shared" si="224"/>
        <v>0.41450943324346479</v>
      </c>
      <c r="N657" s="28">
        <f t="shared" si="225"/>
        <v>999</v>
      </c>
      <c r="O657" s="28"/>
      <c r="P657" s="29">
        <f t="shared" si="241"/>
        <v>0.64800000000000046</v>
      </c>
      <c r="Q657" s="33">
        <f t="shared" si="226"/>
        <v>6.7114093959731544</v>
      </c>
      <c r="R657" s="33">
        <f t="shared" si="227"/>
        <v>6.7114093959731544</v>
      </c>
      <c r="S657" s="33">
        <f t="shared" si="228"/>
        <v>-1</v>
      </c>
      <c r="T657" s="27"/>
      <c r="U657" s="28">
        <f t="shared" si="229"/>
        <v>0.10964912280701754</v>
      </c>
      <c r="V657" s="25">
        <f t="shared" si="230"/>
        <v>999</v>
      </c>
      <c r="W657" s="35">
        <f t="shared" si="242"/>
        <v>25</v>
      </c>
      <c r="X657" s="33">
        <f t="shared" si="231"/>
        <v>25</v>
      </c>
      <c r="Y657" s="32">
        <f t="shared" si="232"/>
        <v>-1</v>
      </c>
      <c r="Z657" s="32"/>
      <c r="AA657" s="30">
        <f t="shared" si="233"/>
        <v>17.750993014655528</v>
      </c>
      <c r="AB657" s="28">
        <f t="shared" si="234"/>
        <v>0.60398808358345835</v>
      </c>
      <c r="AC657" s="28">
        <f t="shared" si="235"/>
        <v>0.10964912280701754</v>
      </c>
      <c r="AD657" s="29">
        <f t="shared" si="236"/>
        <v>614.8007590132828</v>
      </c>
      <c r="AE657" s="28">
        <f t="shared" si="237"/>
        <v>0.10964912280701754</v>
      </c>
      <c r="AF657" s="28">
        <f t="shared" si="238"/>
        <v>0.49433896077644079</v>
      </c>
      <c r="AG657" s="28">
        <f t="shared" si="239"/>
        <v>0</v>
      </c>
      <c r="AI657" s="31">
        <f t="shared" si="240"/>
        <v>2.6860211274176518</v>
      </c>
      <c r="AJ657" s="25"/>
      <c r="AK657" s="31"/>
      <c r="AM657" s="27"/>
    </row>
    <row r="658" spans="4:39" x14ac:dyDescent="0.25">
      <c r="D658" s="25">
        <f>E658*'Profit per cycles Model'!$I$113</f>
        <v>6490</v>
      </c>
      <c r="E658" s="25">
        <v>17.778386522394193</v>
      </c>
      <c r="F658" s="28">
        <f t="shared" si="221"/>
        <v>0.15408320493066255</v>
      </c>
      <c r="G658" s="28">
        <f>'Battery Pricing Model'!$C$17/D658</f>
        <v>0.15408320493066255</v>
      </c>
      <c r="H658" s="28">
        <f t="shared" si="222"/>
        <v>999</v>
      </c>
      <c r="I658" s="28"/>
      <c r="J658" s="34">
        <f>INDEX('Profit per cycles Model'!$I$149:$I$179, MATCH(TRUNC(E658, 0), 'Profit per cycles Model'!$H$149:$H$179, 0))</f>
        <v>0.60398808358345835</v>
      </c>
      <c r="K658" s="27">
        <f>AVERAGE($J$10:J1658)</f>
        <v>0.56883042089778579</v>
      </c>
      <c r="L658" s="28">
        <f t="shared" si="223"/>
        <v>0.41474721596712327</v>
      </c>
      <c r="M658" s="28">
        <f t="shared" si="224"/>
        <v>0.41474721596712327</v>
      </c>
      <c r="N658" s="28">
        <f t="shared" si="225"/>
        <v>999</v>
      </c>
      <c r="O658" s="28"/>
      <c r="P658" s="29">
        <f t="shared" si="241"/>
        <v>0.64900000000000047</v>
      </c>
      <c r="Q658" s="33">
        <f t="shared" si="226"/>
        <v>6.7114093959731544</v>
      </c>
      <c r="R658" s="33">
        <f t="shared" si="227"/>
        <v>6.7114093959731544</v>
      </c>
      <c r="S658" s="33">
        <f t="shared" si="228"/>
        <v>-1</v>
      </c>
      <c r="T658" s="27"/>
      <c r="U658" s="28">
        <f t="shared" si="229"/>
        <v>0.10964912280701754</v>
      </c>
      <c r="V658" s="25">
        <f t="shared" si="230"/>
        <v>999</v>
      </c>
      <c r="W658" s="35">
        <f t="shared" si="242"/>
        <v>25</v>
      </c>
      <c r="X658" s="33">
        <f t="shared" si="231"/>
        <v>25</v>
      </c>
      <c r="Y658" s="32">
        <f t="shared" si="232"/>
        <v>-1</v>
      </c>
      <c r="Z658" s="32"/>
      <c r="AA658" s="30">
        <f t="shared" si="233"/>
        <v>17.778386522394193</v>
      </c>
      <c r="AB658" s="28">
        <f t="shared" si="234"/>
        <v>0.60398808358345835</v>
      </c>
      <c r="AC658" s="28">
        <f t="shared" si="235"/>
        <v>0.10964912280701754</v>
      </c>
      <c r="AD658" s="29">
        <f t="shared" si="236"/>
        <v>615.74952561669841</v>
      </c>
      <c r="AE658" s="28">
        <f t="shared" si="237"/>
        <v>0.10964912280701754</v>
      </c>
      <c r="AF658" s="28">
        <f t="shared" si="238"/>
        <v>0.49433896077644079</v>
      </c>
      <c r="AG658" s="28">
        <f t="shared" si="239"/>
        <v>0</v>
      </c>
      <c r="AI658" s="31">
        <f t="shared" si="240"/>
        <v>2.6917094316266303</v>
      </c>
      <c r="AJ658" s="25"/>
      <c r="AK658" s="31"/>
      <c r="AM658" s="27"/>
    </row>
    <row r="659" spans="4:39" x14ac:dyDescent="0.25">
      <c r="D659" s="25">
        <f>E659*'Profit per cycles Model'!$I$113</f>
        <v>6500</v>
      </c>
      <c r="E659" s="25">
        <v>17.805780030132858</v>
      </c>
      <c r="F659" s="28">
        <f t="shared" si="221"/>
        <v>0.15384615384615385</v>
      </c>
      <c r="G659" s="28">
        <f>'Battery Pricing Model'!$C$17/D659</f>
        <v>0.15384615384615385</v>
      </c>
      <c r="H659" s="28">
        <f t="shared" si="222"/>
        <v>999</v>
      </c>
      <c r="I659" s="28"/>
      <c r="J659" s="34">
        <f>INDEX('Profit per cycles Model'!$I$149:$I$179, MATCH(TRUNC(E659, 0), 'Profit per cycles Model'!$H$149:$H$179, 0))</f>
        <v>0.60398808358345835</v>
      </c>
      <c r="K659" s="27">
        <f>AVERAGE($J$10:J1659)</f>
        <v>0.56883042089778579</v>
      </c>
      <c r="L659" s="28">
        <f t="shared" si="223"/>
        <v>0.41498426705163194</v>
      </c>
      <c r="M659" s="28">
        <f t="shared" si="224"/>
        <v>0.41498426705163194</v>
      </c>
      <c r="N659" s="28">
        <f t="shared" si="225"/>
        <v>999</v>
      </c>
      <c r="O659" s="28"/>
      <c r="P659" s="29">
        <f t="shared" si="241"/>
        <v>0.65000000000000047</v>
      </c>
      <c r="Q659" s="33">
        <f t="shared" si="226"/>
        <v>6.7114093959731544</v>
      </c>
      <c r="R659" s="33">
        <f t="shared" si="227"/>
        <v>6.7114093959731544</v>
      </c>
      <c r="S659" s="33">
        <f t="shared" si="228"/>
        <v>-1</v>
      </c>
      <c r="T659" s="27"/>
      <c r="U659" s="28">
        <f t="shared" si="229"/>
        <v>0.10964912280701754</v>
      </c>
      <c r="V659" s="25">
        <f t="shared" si="230"/>
        <v>999</v>
      </c>
      <c r="W659" s="35">
        <f t="shared" si="242"/>
        <v>25</v>
      </c>
      <c r="X659" s="33">
        <f t="shared" si="231"/>
        <v>25</v>
      </c>
      <c r="Y659" s="32">
        <f t="shared" si="232"/>
        <v>-1</v>
      </c>
      <c r="Z659" s="32"/>
      <c r="AA659" s="30">
        <f t="shared" si="233"/>
        <v>17.805780030132858</v>
      </c>
      <c r="AB659" s="28">
        <f t="shared" si="234"/>
        <v>0.60398808358345835</v>
      </c>
      <c r="AC659" s="28">
        <f t="shared" si="235"/>
        <v>0.10964912280701754</v>
      </c>
      <c r="AD659" s="29">
        <f t="shared" si="236"/>
        <v>616.69829222011379</v>
      </c>
      <c r="AE659" s="28">
        <f t="shared" si="237"/>
        <v>0.10964912280701754</v>
      </c>
      <c r="AF659" s="28">
        <f t="shared" si="238"/>
        <v>0.49433896077644079</v>
      </c>
      <c r="AG659" s="28">
        <f t="shared" si="239"/>
        <v>0</v>
      </c>
      <c r="AI659" s="31">
        <f t="shared" si="240"/>
        <v>2.6973977358356076</v>
      </c>
      <c r="AJ659" s="25"/>
      <c r="AK659" s="31"/>
      <c r="AM659" s="27"/>
    </row>
    <row r="660" spans="4:39" x14ac:dyDescent="0.25">
      <c r="D660" s="25">
        <f>E660*'Profit per cycles Model'!$I$113</f>
        <v>6510</v>
      </c>
      <c r="E660" s="25">
        <v>17.833173537871524</v>
      </c>
      <c r="F660" s="28">
        <f t="shared" si="221"/>
        <v>0.15360983102918588</v>
      </c>
      <c r="G660" s="28">
        <f>'Battery Pricing Model'!$C$17/D660</f>
        <v>0.15360983102918588</v>
      </c>
      <c r="H660" s="28">
        <f t="shared" si="222"/>
        <v>999</v>
      </c>
      <c r="I660" s="28"/>
      <c r="J660" s="34">
        <f>INDEX('Profit per cycles Model'!$I$149:$I$179, MATCH(TRUNC(E660, 0), 'Profit per cycles Model'!$H$149:$H$179, 0))</f>
        <v>0.60398808358345835</v>
      </c>
      <c r="K660" s="27">
        <f>AVERAGE($J$10:J1660)</f>
        <v>0.56883042089778579</v>
      </c>
      <c r="L660" s="28">
        <f t="shared" si="223"/>
        <v>0.41522058986859989</v>
      </c>
      <c r="M660" s="28">
        <f t="shared" si="224"/>
        <v>0.41522058986859989</v>
      </c>
      <c r="N660" s="28">
        <f t="shared" si="225"/>
        <v>999</v>
      </c>
      <c r="O660" s="28"/>
      <c r="P660" s="29">
        <f t="shared" si="241"/>
        <v>0.65100000000000047</v>
      </c>
      <c r="Q660" s="33">
        <f t="shared" si="226"/>
        <v>6.7114093959731544</v>
      </c>
      <c r="R660" s="33">
        <f t="shared" si="227"/>
        <v>6.7114093959731544</v>
      </c>
      <c r="S660" s="33">
        <f t="shared" si="228"/>
        <v>-1</v>
      </c>
      <c r="T660" s="27"/>
      <c r="U660" s="28">
        <f t="shared" si="229"/>
        <v>0.10964912280701754</v>
      </c>
      <c r="V660" s="25">
        <f t="shared" si="230"/>
        <v>999</v>
      </c>
      <c r="W660" s="35">
        <f t="shared" si="242"/>
        <v>25</v>
      </c>
      <c r="X660" s="33">
        <f t="shared" si="231"/>
        <v>25</v>
      </c>
      <c r="Y660" s="32">
        <f t="shared" si="232"/>
        <v>-1</v>
      </c>
      <c r="Z660" s="32"/>
      <c r="AA660" s="30">
        <f t="shared" si="233"/>
        <v>17.833173537871524</v>
      </c>
      <c r="AB660" s="28">
        <f t="shared" si="234"/>
        <v>0.60398808358345835</v>
      </c>
      <c r="AC660" s="28">
        <f t="shared" si="235"/>
        <v>0.10964912280701754</v>
      </c>
      <c r="AD660" s="29">
        <f t="shared" si="236"/>
        <v>617.64705882352939</v>
      </c>
      <c r="AE660" s="28">
        <f t="shared" si="237"/>
        <v>0.10964912280701754</v>
      </c>
      <c r="AF660" s="28">
        <f t="shared" si="238"/>
        <v>0.49433896077644079</v>
      </c>
      <c r="AG660" s="28">
        <f t="shared" si="239"/>
        <v>0</v>
      </c>
      <c r="AI660" s="31">
        <f t="shared" si="240"/>
        <v>2.7030860400445853</v>
      </c>
      <c r="AJ660" s="25"/>
      <c r="AK660" s="31"/>
      <c r="AM660" s="27"/>
    </row>
    <row r="661" spans="4:39" x14ac:dyDescent="0.25">
      <c r="D661" s="25">
        <f>E661*'Profit per cycles Model'!$I$113</f>
        <v>6520</v>
      </c>
      <c r="E661" s="25">
        <v>17.860567045610189</v>
      </c>
      <c r="F661" s="28">
        <f t="shared" si="221"/>
        <v>0.15337423312883436</v>
      </c>
      <c r="G661" s="28">
        <f>'Battery Pricing Model'!$C$17/D661</f>
        <v>0.15337423312883436</v>
      </c>
      <c r="H661" s="28">
        <f t="shared" si="222"/>
        <v>999</v>
      </c>
      <c r="I661" s="28"/>
      <c r="J661" s="34">
        <f>INDEX('Profit per cycles Model'!$I$149:$I$179, MATCH(TRUNC(E661, 0), 'Profit per cycles Model'!$H$149:$H$179, 0))</f>
        <v>0.60398808358345835</v>
      </c>
      <c r="K661" s="27">
        <f>AVERAGE($J$10:J1661)</f>
        <v>0.56883042089778579</v>
      </c>
      <c r="L661" s="28">
        <f t="shared" si="223"/>
        <v>0.41545618776895143</v>
      </c>
      <c r="M661" s="28">
        <f t="shared" si="224"/>
        <v>0.41545618776895143</v>
      </c>
      <c r="N661" s="28">
        <f t="shared" si="225"/>
        <v>999</v>
      </c>
      <c r="O661" s="28"/>
      <c r="P661" s="29">
        <f t="shared" si="241"/>
        <v>0.65200000000000047</v>
      </c>
      <c r="Q661" s="33">
        <f t="shared" si="226"/>
        <v>6.7114093959731544</v>
      </c>
      <c r="R661" s="33">
        <f t="shared" si="227"/>
        <v>6.7114093959731544</v>
      </c>
      <c r="S661" s="33">
        <f t="shared" si="228"/>
        <v>-1</v>
      </c>
      <c r="T661" s="27"/>
      <c r="U661" s="28">
        <f t="shared" si="229"/>
        <v>0.10964912280701754</v>
      </c>
      <c r="V661" s="25">
        <f t="shared" si="230"/>
        <v>999</v>
      </c>
      <c r="W661" s="35">
        <f t="shared" si="242"/>
        <v>25</v>
      </c>
      <c r="X661" s="33">
        <f t="shared" si="231"/>
        <v>25</v>
      </c>
      <c r="Y661" s="32">
        <f t="shared" si="232"/>
        <v>-1</v>
      </c>
      <c r="Z661" s="32"/>
      <c r="AA661" s="30">
        <f t="shared" si="233"/>
        <v>17.860567045610189</v>
      </c>
      <c r="AB661" s="28">
        <f t="shared" si="234"/>
        <v>0.60398808358345835</v>
      </c>
      <c r="AC661" s="28">
        <f t="shared" si="235"/>
        <v>0.10964912280701754</v>
      </c>
      <c r="AD661" s="29">
        <f t="shared" si="236"/>
        <v>618.595825426945</v>
      </c>
      <c r="AE661" s="28">
        <f t="shared" si="237"/>
        <v>0.10964912280701754</v>
      </c>
      <c r="AF661" s="28">
        <f t="shared" si="238"/>
        <v>0.49433896077644079</v>
      </c>
      <c r="AG661" s="28">
        <f t="shared" si="239"/>
        <v>0</v>
      </c>
      <c r="AI661" s="31">
        <f t="shared" si="240"/>
        <v>2.7087743442535634</v>
      </c>
      <c r="AJ661" s="25"/>
      <c r="AK661" s="31"/>
      <c r="AM661" s="27"/>
    </row>
    <row r="662" spans="4:39" x14ac:dyDescent="0.25">
      <c r="D662" s="25">
        <f>E662*'Profit per cycles Model'!$I$113</f>
        <v>6529.9999999999991</v>
      </c>
      <c r="E662" s="25">
        <v>17.887960553348854</v>
      </c>
      <c r="F662" s="28">
        <f t="shared" si="221"/>
        <v>0.15313935681470139</v>
      </c>
      <c r="G662" s="28">
        <f>'Battery Pricing Model'!$C$17/D662</f>
        <v>0.15313935681470139</v>
      </c>
      <c r="H662" s="28">
        <f t="shared" si="222"/>
        <v>999</v>
      </c>
      <c r="I662" s="28"/>
      <c r="J662" s="34">
        <f>INDEX('Profit per cycles Model'!$I$149:$I$179, MATCH(TRUNC(E662, 0), 'Profit per cycles Model'!$H$149:$H$179, 0))</f>
        <v>0.60398808358345835</v>
      </c>
      <c r="K662" s="27">
        <f>AVERAGE($J$10:J1662)</f>
        <v>0.56883042089778579</v>
      </c>
      <c r="L662" s="28">
        <f t="shared" si="223"/>
        <v>0.41569106408308443</v>
      </c>
      <c r="M662" s="28">
        <f t="shared" si="224"/>
        <v>0.41569106408308443</v>
      </c>
      <c r="N662" s="28">
        <f t="shared" si="225"/>
        <v>999</v>
      </c>
      <c r="O662" s="28"/>
      <c r="P662" s="29">
        <f t="shared" si="241"/>
        <v>0.65300000000000047</v>
      </c>
      <c r="Q662" s="33">
        <f t="shared" si="226"/>
        <v>6.7114093959731544</v>
      </c>
      <c r="R662" s="33">
        <f t="shared" si="227"/>
        <v>6.7114093959731544</v>
      </c>
      <c r="S662" s="33">
        <f t="shared" si="228"/>
        <v>-1</v>
      </c>
      <c r="T662" s="27"/>
      <c r="U662" s="28">
        <f t="shared" si="229"/>
        <v>0.10964912280701754</v>
      </c>
      <c r="V662" s="25">
        <f t="shared" si="230"/>
        <v>999</v>
      </c>
      <c r="W662" s="35">
        <f t="shared" si="242"/>
        <v>25</v>
      </c>
      <c r="X662" s="33">
        <f t="shared" si="231"/>
        <v>25</v>
      </c>
      <c r="Y662" s="32">
        <f t="shared" si="232"/>
        <v>-1</v>
      </c>
      <c r="Z662" s="32"/>
      <c r="AA662" s="30">
        <f t="shared" si="233"/>
        <v>17.887960553348854</v>
      </c>
      <c r="AB662" s="28">
        <f t="shared" si="234"/>
        <v>0.60398808358345835</v>
      </c>
      <c r="AC662" s="28">
        <f t="shared" si="235"/>
        <v>0.10964912280701754</v>
      </c>
      <c r="AD662" s="29">
        <f t="shared" si="236"/>
        <v>619.54459203036049</v>
      </c>
      <c r="AE662" s="28">
        <f t="shared" si="237"/>
        <v>0.10964912280701754</v>
      </c>
      <c r="AF662" s="28">
        <f t="shared" si="238"/>
        <v>0.49433896077644079</v>
      </c>
      <c r="AG662" s="28">
        <f t="shared" si="239"/>
        <v>0</v>
      </c>
      <c r="AI662" s="31">
        <f t="shared" si="240"/>
        <v>2.7144626484625411</v>
      </c>
      <c r="AJ662" s="25"/>
      <c r="AK662" s="31"/>
      <c r="AM662" s="27"/>
    </row>
    <row r="663" spans="4:39" x14ac:dyDescent="0.25">
      <c r="D663" s="25">
        <f>E663*'Profit per cycles Model'!$I$113</f>
        <v>6540.0000000000009</v>
      </c>
      <c r="E663" s="25">
        <v>17.915354061087523</v>
      </c>
      <c r="F663" s="28">
        <f t="shared" si="221"/>
        <v>0.1529051987767584</v>
      </c>
      <c r="G663" s="28">
        <f>'Battery Pricing Model'!$C$17/D663</f>
        <v>0.1529051987767584</v>
      </c>
      <c r="H663" s="28">
        <f t="shared" si="222"/>
        <v>999</v>
      </c>
      <c r="I663" s="28"/>
      <c r="J663" s="34">
        <f>INDEX('Profit per cycles Model'!$I$149:$I$179, MATCH(TRUNC(E663, 0), 'Profit per cycles Model'!$H$149:$H$179, 0))</f>
        <v>0.60398808358345835</v>
      </c>
      <c r="K663" s="27">
        <f>AVERAGE($J$10:J1663)</f>
        <v>0.56883042089778579</v>
      </c>
      <c r="L663" s="28">
        <f t="shared" si="223"/>
        <v>0.41592522212102739</v>
      </c>
      <c r="M663" s="28">
        <f t="shared" si="224"/>
        <v>0.41592522212102739</v>
      </c>
      <c r="N663" s="28">
        <f t="shared" si="225"/>
        <v>999</v>
      </c>
      <c r="O663" s="28"/>
      <c r="P663" s="29">
        <f t="shared" si="241"/>
        <v>0.65400000000000047</v>
      </c>
      <c r="Q663" s="33">
        <f t="shared" si="226"/>
        <v>6.7114093959731544</v>
      </c>
      <c r="R663" s="33">
        <f t="shared" si="227"/>
        <v>6.7114093959731544</v>
      </c>
      <c r="S663" s="33">
        <f t="shared" si="228"/>
        <v>-1</v>
      </c>
      <c r="T663" s="27"/>
      <c r="U663" s="28">
        <f t="shared" si="229"/>
        <v>0.10964912280701754</v>
      </c>
      <c r="V663" s="25">
        <f t="shared" si="230"/>
        <v>999</v>
      </c>
      <c r="W663" s="35">
        <f t="shared" si="242"/>
        <v>25</v>
      </c>
      <c r="X663" s="33">
        <f t="shared" si="231"/>
        <v>25</v>
      </c>
      <c r="Y663" s="32">
        <f t="shared" si="232"/>
        <v>-1</v>
      </c>
      <c r="Z663" s="32"/>
      <c r="AA663" s="30">
        <f t="shared" si="233"/>
        <v>17.915354061087523</v>
      </c>
      <c r="AB663" s="28">
        <f t="shared" si="234"/>
        <v>0.60398808358345835</v>
      </c>
      <c r="AC663" s="28">
        <f t="shared" si="235"/>
        <v>0.10964912280701754</v>
      </c>
      <c r="AD663" s="29">
        <f t="shared" si="236"/>
        <v>620.49335863377621</v>
      </c>
      <c r="AE663" s="28">
        <f t="shared" si="237"/>
        <v>0.10964912280701754</v>
      </c>
      <c r="AF663" s="28">
        <f t="shared" si="238"/>
        <v>0.49433896077644079</v>
      </c>
      <c r="AG663" s="28">
        <f t="shared" si="239"/>
        <v>0</v>
      </c>
      <c r="AI663" s="31">
        <f t="shared" si="240"/>
        <v>2.7201509526715193</v>
      </c>
      <c r="AJ663" s="25"/>
      <c r="AK663" s="31"/>
      <c r="AM663" s="27"/>
    </row>
    <row r="664" spans="4:39" x14ac:dyDescent="0.25">
      <c r="D664" s="25">
        <f>E664*'Profit per cycles Model'!$I$113</f>
        <v>6550</v>
      </c>
      <c r="E664" s="25">
        <v>17.942747568826189</v>
      </c>
      <c r="F664" s="28">
        <f t="shared" si="221"/>
        <v>0.15267175572519084</v>
      </c>
      <c r="G664" s="28">
        <f>'Battery Pricing Model'!$C$17/D664</f>
        <v>0.15267175572519084</v>
      </c>
      <c r="H664" s="28">
        <f t="shared" si="222"/>
        <v>999</v>
      </c>
      <c r="I664" s="28"/>
      <c r="J664" s="34">
        <f>INDEX('Profit per cycles Model'!$I$149:$I$179, MATCH(TRUNC(E664, 0), 'Profit per cycles Model'!$H$149:$H$179, 0))</f>
        <v>0.60398808358345835</v>
      </c>
      <c r="K664" s="27">
        <f>AVERAGE($J$10:J1664)</f>
        <v>0.56883042089778579</v>
      </c>
      <c r="L664" s="28">
        <f t="shared" si="223"/>
        <v>0.41615866517259492</v>
      </c>
      <c r="M664" s="28">
        <f t="shared" si="224"/>
        <v>0.41615866517259492</v>
      </c>
      <c r="N664" s="28">
        <f t="shared" si="225"/>
        <v>999</v>
      </c>
      <c r="O664" s="28"/>
      <c r="P664" s="29">
        <f t="shared" si="241"/>
        <v>0.65500000000000047</v>
      </c>
      <c r="Q664" s="33">
        <f t="shared" si="226"/>
        <v>6.7114093959731544</v>
      </c>
      <c r="R664" s="33">
        <f t="shared" si="227"/>
        <v>6.7114093959731544</v>
      </c>
      <c r="S664" s="33">
        <f t="shared" si="228"/>
        <v>-1</v>
      </c>
      <c r="T664" s="27"/>
      <c r="U664" s="28">
        <f t="shared" si="229"/>
        <v>0.10964912280701754</v>
      </c>
      <c r="V664" s="25">
        <f t="shared" si="230"/>
        <v>999</v>
      </c>
      <c r="W664" s="35">
        <f t="shared" si="242"/>
        <v>25</v>
      </c>
      <c r="X664" s="33">
        <f t="shared" si="231"/>
        <v>25</v>
      </c>
      <c r="Y664" s="32">
        <f t="shared" si="232"/>
        <v>-1</v>
      </c>
      <c r="Z664" s="32"/>
      <c r="AA664" s="30">
        <f t="shared" si="233"/>
        <v>17.942747568826189</v>
      </c>
      <c r="AB664" s="28">
        <f t="shared" si="234"/>
        <v>0.60398808358345835</v>
      </c>
      <c r="AC664" s="28">
        <f t="shared" si="235"/>
        <v>0.10964912280701754</v>
      </c>
      <c r="AD664" s="29">
        <f t="shared" si="236"/>
        <v>621.4421252371917</v>
      </c>
      <c r="AE664" s="28">
        <f t="shared" si="237"/>
        <v>0.10964912280701754</v>
      </c>
      <c r="AF664" s="28">
        <f t="shared" si="238"/>
        <v>0.49433896077644079</v>
      </c>
      <c r="AG664" s="28">
        <f t="shared" si="239"/>
        <v>0</v>
      </c>
      <c r="AI664" s="31">
        <f t="shared" si="240"/>
        <v>2.7258392568804966</v>
      </c>
      <c r="AJ664" s="25"/>
      <c r="AK664" s="31"/>
      <c r="AM664" s="27"/>
    </row>
    <row r="665" spans="4:39" x14ac:dyDescent="0.25">
      <c r="D665" s="25">
        <f>E665*'Profit per cycles Model'!$I$113</f>
        <v>6560</v>
      </c>
      <c r="E665" s="25">
        <v>17.970141076564854</v>
      </c>
      <c r="F665" s="28">
        <f t="shared" si="221"/>
        <v>0.1524390243902439</v>
      </c>
      <c r="G665" s="28">
        <f>'Battery Pricing Model'!$C$17/D665</f>
        <v>0.1524390243902439</v>
      </c>
      <c r="H665" s="28">
        <f t="shared" si="222"/>
        <v>999</v>
      </c>
      <c r="I665" s="28"/>
      <c r="J665" s="34">
        <f>INDEX('Profit per cycles Model'!$I$149:$I$179, MATCH(TRUNC(E665, 0), 'Profit per cycles Model'!$H$149:$H$179, 0))</f>
        <v>0.60398808358345835</v>
      </c>
      <c r="K665" s="27">
        <f>AVERAGE($J$10:J1665)</f>
        <v>0.56883042089778579</v>
      </c>
      <c r="L665" s="28">
        <f t="shared" si="223"/>
        <v>0.41639139650754187</v>
      </c>
      <c r="M665" s="28">
        <f t="shared" si="224"/>
        <v>0.41639139650754187</v>
      </c>
      <c r="N665" s="28">
        <f t="shared" si="225"/>
        <v>999</v>
      </c>
      <c r="O665" s="28"/>
      <c r="P665" s="29">
        <f t="shared" si="241"/>
        <v>0.65600000000000047</v>
      </c>
      <c r="Q665" s="33">
        <f t="shared" si="226"/>
        <v>6.7114093959731544</v>
      </c>
      <c r="R665" s="33">
        <f t="shared" si="227"/>
        <v>6.7114093959731544</v>
      </c>
      <c r="S665" s="33">
        <f t="shared" si="228"/>
        <v>-1</v>
      </c>
      <c r="T665" s="27"/>
      <c r="U665" s="28">
        <f t="shared" si="229"/>
        <v>0.10964912280701754</v>
      </c>
      <c r="V665" s="25">
        <f t="shared" si="230"/>
        <v>999</v>
      </c>
      <c r="W665" s="35">
        <f t="shared" si="242"/>
        <v>25</v>
      </c>
      <c r="X665" s="33">
        <f t="shared" si="231"/>
        <v>25</v>
      </c>
      <c r="Y665" s="32">
        <f t="shared" si="232"/>
        <v>-1</v>
      </c>
      <c r="Z665" s="32"/>
      <c r="AA665" s="30">
        <f t="shared" si="233"/>
        <v>17.970141076564854</v>
      </c>
      <c r="AB665" s="28">
        <f t="shared" si="234"/>
        <v>0.60398808358345835</v>
      </c>
      <c r="AC665" s="28">
        <f t="shared" si="235"/>
        <v>0.10964912280701754</v>
      </c>
      <c r="AD665" s="29">
        <f t="shared" si="236"/>
        <v>622.3908918406072</v>
      </c>
      <c r="AE665" s="28">
        <f t="shared" si="237"/>
        <v>0.10964912280701754</v>
      </c>
      <c r="AF665" s="28">
        <f t="shared" si="238"/>
        <v>0.49433896077644079</v>
      </c>
      <c r="AG665" s="28">
        <f t="shared" si="239"/>
        <v>0</v>
      </c>
      <c r="AI665" s="31">
        <f t="shared" si="240"/>
        <v>2.7315275610894747</v>
      </c>
      <c r="AJ665" s="25"/>
      <c r="AK665" s="31"/>
      <c r="AM665" s="27"/>
    </row>
    <row r="666" spans="4:39" x14ac:dyDescent="0.25">
      <c r="D666" s="25">
        <f>E666*'Profit per cycles Model'!$I$113</f>
        <v>6570</v>
      </c>
      <c r="E666" s="25">
        <v>17.997534584303519</v>
      </c>
      <c r="F666" s="28">
        <f t="shared" si="221"/>
        <v>0.15220700152207001</v>
      </c>
      <c r="G666" s="28">
        <f>'Battery Pricing Model'!$C$17/D666</f>
        <v>0.15220700152207001</v>
      </c>
      <c r="H666" s="28">
        <f t="shared" si="222"/>
        <v>999</v>
      </c>
      <c r="I666" s="28"/>
      <c r="J666" s="34">
        <f>INDEX('Profit per cycles Model'!$I$149:$I$179, MATCH(TRUNC(E666, 0), 'Profit per cycles Model'!$H$149:$H$179, 0))</f>
        <v>0.60398808358345835</v>
      </c>
      <c r="K666" s="27">
        <f>AVERAGE($J$10:J1666)</f>
        <v>0.56883042089778579</v>
      </c>
      <c r="L666" s="28">
        <f t="shared" si="223"/>
        <v>0.41662341937571579</v>
      </c>
      <c r="M666" s="28">
        <f t="shared" si="224"/>
        <v>0.41662341937571579</v>
      </c>
      <c r="N666" s="28">
        <f t="shared" si="225"/>
        <v>999</v>
      </c>
      <c r="O666" s="28"/>
      <c r="P666" s="29">
        <f t="shared" si="241"/>
        <v>0.65700000000000047</v>
      </c>
      <c r="Q666" s="33">
        <f t="shared" si="226"/>
        <v>6.7114093959731544</v>
      </c>
      <c r="R666" s="33">
        <f t="shared" si="227"/>
        <v>6.7114093959731544</v>
      </c>
      <c r="S666" s="33">
        <f t="shared" si="228"/>
        <v>-1</v>
      </c>
      <c r="T666" s="27"/>
      <c r="U666" s="28">
        <f t="shared" si="229"/>
        <v>0.10964912280701754</v>
      </c>
      <c r="V666" s="25">
        <f t="shared" si="230"/>
        <v>999</v>
      </c>
      <c r="W666" s="35">
        <f t="shared" si="242"/>
        <v>25</v>
      </c>
      <c r="X666" s="33">
        <f t="shared" si="231"/>
        <v>25</v>
      </c>
      <c r="Y666" s="32">
        <f t="shared" si="232"/>
        <v>-1</v>
      </c>
      <c r="Z666" s="32"/>
      <c r="AA666" s="30">
        <f t="shared" si="233"/>
        <v>17.997534584303519</v>
      </c>
      <c r="AB666" s="28">
        <f t="shared" si="234"/>
        <v>0.60398808358345835</v>
      </c>
      <c r="AC666" s="28">
        <f t="shared" si="235"/>
        <v>0.10964912280701754</v>
      </c>
      <c r="AD666" s="29">
        <f t="shared" si="236"/>
        <v>623.33965844402269</v>
      </c>
      <c r="AE666" s="28">
        <f t="shared" si="237"/>
        <v>0.10964912280701754</v>
      </c>
      <c r="AF666" s="28">
        <f t="shared" si="238"/>
        <v>0.49433896077644079</v>
      </c>
      <c r="AG666" s="28">
        <f t="shared" si="239"/>
        <v>0</v>
      </c>
      <c r="AI666" s="31">
        <f t="shared" si="240"/>
        <v>2.7372158652984528</v>
      </c>
      <c r="AJ666" s="25"/>
      <c r="AK666" s="31"/>
      <c r="AM666" s="27"/>
    </row>
    <row r="667" spans="4:39" x14ac:dyDescent="0.25">
      <c r="D667" s="25">
        <f>E667*'Profit per cycles Model'!$I$113</f>
        <v>6580</v>
      </c>
      <c r="E667" s="25">
        <v>18.024928092042185</v>
      </c>
      <c r="F667" s="28">
        <f t="shared" si="221"/>
        <v>0.1519756838905775</v>
      </c>
      <c r="G667" s="28">
        <f>'Battery Pricing Model'!$C$17/D667</f>
        <v>0.1519756838905775</v>
      </c>
      <c r="H667" s="28">
        <f t="shared" si="222"/>
        <v>999</v>
      </c>
      <c r="I667" s="28"/>
      <c r="J667" s="34">
        <f>INDEX('Profit per cycles Model'!$I$149:$I$179, MATCH(TRUNC(E667, 0), 'Profit per cycles Model'!$H$149:$H$179, 0))</f>
        <v>0.62061719743775079</v>
      </c>
      <c r="K667" s="27">
        <f>AVERAGE($J$10:J1667)</f>
        <v>0.56883042089778579</v>
      </c>
      <c r="L667" s="28">
        <f t="shared" si="223"/>
        <v>0.41685473700720832</v>
      </c>
      <c r="M667" s="28">
        <f t="shared" si="224"/>
        <v>0.41685473700720832</v>
      </c>
      <c r="N667" s="28">
        <f t="shared" si="225"/>
        <v>999</v>
      </c>
      <c r="O667" s="28"/>
      <c r="P667" s="29">
        <f t="shared" si="241"/>
        <v>0.65800000000000047</v>
      </c>
      <c r="Q667" s="33">
        <f t="shared" si="226"/>
        <v>6.7114093959731544</v>
      </c>
      <c r="R667" s="33">
        <f t="shared" si="227"/>
        <v>6.7114093959731544</v>
      </c>
      <c r="S667" s="33">
        <f t="shared" si="228"/>
        <v>-1</v>
      </c>
      <c r="T667" s="27"/>
      <c r="U667" s="28">
        <f t="shared" si="229"/>
        <v>0.10964912280701754</v>
      </c>
      <c r="V667" s="25">
        <f t="shared" si="230"/>
        <v>999</v>
      </c>
      <c r="W667" s="35">
        <f t="shared" si="242"/>
        <v>25</v>
      </c>
      <c r="X667" s="33">
        <f t="shared" si="231"/>
        <v>25</v>
      </c>
      <c r="Y667" s="32">
        <f t="shared" si="232"/>
        <v>-1</v>
      </c>
      <c r="Z667" s="32"/>
      <c r="AA667" s="30">
        <f t="shared" si="233"/>
        <v>18.024928092042185</v>
      </c>
      <c r="AB667" s="28">
        <f t="shared" si="234"/>
        <v>0.62061719743775079</v>
      </c>
      <c r="AC667" s="28">
        <f t="shared" si="235"/>
        <v>0.10964912280701754</v>
      </c>
      <c r="AD667" s="29">
        <f t="shared" si="236"/>
        <v>624.2884250474383</v>
      </c>
      <c r="AE667" s="28">
        <f t="shared" si="237"/>
        <v>0.10964912280701754</v>
      </c>
      <c r="AF667" s="28">
        <f t="shared" si="238"/>
        <v>0.51096807463073324</v>
      </c>
      <c r="AG667" s="28">
        <f t="shared" si="239"/>
        <v>0</v>
      </c>
      <c r="AI667" s="31">
        <f t="shared" si="240"/>
        <v>2.742904169507431</v>
      </c>
      <c r="AJ667" s="25"/>
      <c r="AK667" s="31"/>
      <c r="AM667" s="27"/>
    </row>
    <row r="668" spans="4:39" x14ac:dyDescent="0.25">
      <c r="D668" s="25">
        <f>E668*'Profit per cycles Model'!$I$113</f>
        <v>6589.9999999999991</v>
      </c>
      <c r="E668" s="25">
        <v>18.05232159978085</v>
      </c>
      <c r="F668" s="28">
        <f t="shared" si="221"/>
        <v>0.15174506828528075</v>
      </c>
      <c r="G668" s="28">
        <f>'Battery Pricing Model'!$C$17/D668</f>
        <v>0.15174506828528075</v>
      </c>
      <c r="H668" s="28">
        <f t="shared" si="222"/>
        <v>999</v>
      </c>
      <c r="I668" s="28"/>
      <c r="J668" s="34">
        <f>INDEX('Profit per cycles Model'!$I$149:$I$179, MATCH(TRUNC(E668, 0), 'Profit per cycles Model'!$H$149:$H$179, 0))</f>
        <v>0.62061719743775079</v>
      </c>
      <c r="K668" s="27">
        <f>AVERAGE($J$10:J1668)</f>
        <v>0.56883042089778579</v>
      </c>
      <c r="L668" s="28">
        <f t="shared" si="223"/>
        <v>0.41708535261250501</v>
      </c>
      <c r="M668" s="28">
        <f t="shared" si="224"/>
        <v>0.41708535261250501</v>
      </c>
      <c r="N668" s="28">
        <f t="shared" si="225"/>
        <v>999</v>
      </c>
      <c r="O668" s="28"/>
      <c r="P668" s="29">
        <f t="shared" si="241"/>
        <v>0.65900000000000047</v>
      </c>
      <c r="Q668" s="33">
        <f t="shared" si="226"/>
        <v>6.7114093959731544</v>
      </c>
      <c r="R668" s="33">
        <f t="shared" si="227"/>
        <v>6.7114093959731544</v>
      </c>
      <c r="S668" s="33">
        <f t="shared" si="228"/>
        <v>-1</v>
      </c>
      <c r="T668" s="27"/>
      <c r="U668" s="28">
        <f t="shared" si="229"/>
        <v>0.10964912280701754</v>
      </c>
      <c r="V668" s="25">
        <f t="shared" si="230"/>
        <v>999</v>
      </c>
      <c r="W668" s="35">
        <f t="shared" si="242"/>
        <v>25</v>
      </c>
      <c r="X668" s="33">
        <f t="shared" si="231"/>
        <v>25</v>
      </c>
      <c r="Y668" s="32">
        <f t="shared" si="232"/>
        <v>-1</v>
      </c>
      <c r="Z668" s="32"/>
      <c r="AA668" s="30">
        <f t="shared" si="233"/>
        <v>18.05232159978085</v>
      </c>
      <c r="AB668" s="28">
        <f t="shared" si="234"/>
        <v>0.62061719743775079</v>
      </c>
      <c r="AC668" s="28">
        <f t="shared" si="235"/>
        <v>0.10964912280701754</v>
      </c>
      <c r="AD668" s="29">
        <f t="shared" si="236"/>
        <v>625.2371916508539</v>
      </c>
      <c r="AE668" s="28">
        <f t="shared" si="237"/>
        <v>0.10964912280701754</v>
      </c>
      <c r="AF668" s="28">
        <f t="shared" si="238"/>
        <v>0.51096807463073324</v>
      </c>
      <c r="AG668" s="28">
        <f t="shared" si="239"/>
        <v>0</v>
      </c>
      <c r="AI668" s="31">
        <f t="shared" si="240"/>
        <v>2.7485924737164074</v>
      </c>
      <c r="AJ668" s="25"/>
      <c r="AK668" s="31"/>
      <c r="AM668" s="27"/>
    </row>
    <row r="669" spans="4:39" x14ac:dyDescent="0.25">
      <c r="D669" s="25">
        <f>E669*'Profit per cycles Model'!$I$113</f>
        <v>6600.0000000000009</v>
      </c>
      <c r="E669" s="25">
        <v>18.079715107519519</v>
      </c>
      <c r="F669" s="28">
        <f t="shared" si="221"/>
        <v>0.15151515151515149</v>
      </c>
      <c r="G669" s="28">
        <f>'Battery Pricing Model'!$C$17/D669</f>
        <v>0.15151515151515149</v>
      </c>
      <c r="H669" s="28">
        <f t="shared" si="222"/>
        <v>999</v>
      </c>
      <c r="I669" s="28"/>
      <c r="J669" s="34">
        <f>INDEX('Profit per cycles Model'!$I$149:$I$179, MATCH(TRUNC(E669, 0), 'Profit per cycles Model'!$H$149:$H$179, 0))</f>
        <v>0.62061719743775079</v>
      </c>
      <c r="K669" s="27">
        <f>AVERAGE($J$10:J1669)</f>
        <v>0.56883042089778579</v>
      </c>
      <c r="L669" s="28">
        <f t="shared" si="223"/>
        <v>0.4173152693826343</v>
      </c>
      <c r="M669" s="28">
        <f t="shared" si="224"/>
        <v>0.4173152693826343</v>
      </c>
      <c r="N669" s="28">
        <f t="shared" si="225"/>
        <v>999</v>
      </c>
      <c r="O669" s="28"/>
      <c r="P669" s="29">
        <f t="shared" si="241"/>
        <v>0.66000000000000048</v>
      </c>
      <c r="Q669" s="33">
        <f t="shared" si="226"/>
        <v>6.7114093959731544</v>
      </c>
      <c r="R669" s="33">
        <f t="shared" si="227"/>
        <v>6.7114093959731544</v>
      </c>
      <c r="S669" s="33">
        <f t="shared" si="228"/>
        <v>-1</v>
      </c>
      <c r="T669" s="27"/>
      <c r="U669" s="28">
        <f t="shared" si="229"/>
        <v>0.10964912280701754</v>
      </c>
      <c r="V669" s="25">
        <f t="shared" si="230"/>
        <v>999</v>
      </c>
      <c r="W669" s="35">
        <f t="shared" si="242"/>
        <v>25</v>
      </c>
      <c r="X669" s="33">
        <f t="shared" si="231"/>
        <v>25</v>
      </c>
      <c r="Y669" s="32">
        <f t="shared" si="232"/>
        <v>-1</v>
      </c>
      <c r="Z669" s="32"/>
      <c r="AA669" s="30">
        <f t="shared" si="233"/>
        <v>18.079715107519519</v>
      </c>
      <c r="AB669" s="28">
        <f t="shared" si="234"/>
        <v>0.62061719743775079</v>
      </c>
      <c r="AC669" s="28">
        <f t="shared" si="235"/>
        <v>0.10964912280701754</v>
      </c>
      <c r="AD669" s="29">
        <f t="shared" si="236"/>
        <v>626.18595825426951</v>
      </c>
      <c r="AE669" s="28">
        <f t="shared" si="237"/>
        <v>0.10964912280701754</v>
      </c>
      <c r="AF669" s="28">
        <f t="shared" si="238"/>
        <v>0.51096807463073324</v>
      </c>
      <c r="AG669" s="28">
        <f t="shared" si="239"/>
        <v>0</v>
      </c>
      <c r="AI669" s="31">
        <f t="shared" si="240"/>
        <v>2.7542807779253868</v>
      </c>
      <c r="AJ669" s="25"/>
      <c r="AK669" s="31"/>
      <c r="AM669" s="27"/>
    </row>
    <row r="670" spans="4:39" x14ac:dyDescent="0.25">
      <c r="D670" s="25">
        <f>E670*'Profit per cycles Model'!$I$113</f>
        <v>6610</v>
      </c>
      <c r="E670" s="25">
        <v>18.107108615258184</v>
      </c>
      <c r="F670" s="28">
        <f t="shared" si="221"/>
        <v>0.15128593040847202</v>
      </c>
      <c r="G670" s="28">
        <f>'Battery Pricing Model'!$C$17/D670</f>
        <v>0.15128593040847202</v>
      </c>
      <c r="H670" s="28">
        <f t="shared" si="222"/>
        <v>999</v>
      </c>
      <c r="I670" s="28"/>
      <c r="J670" s="34">
        <f>INDEX('Profit per cycles Model'!$I$149:$I$179, MATCH(TRUNC(E670, 0), 'Profit per cycles Model'!$H$149:$H$179, 0))</f>
        <v>0.62061719743775079</v>
      </c>
      <c r="K670" s="27">
        <f>AVERAGE($J$10:J1670)</f>
        <v>0.56883042089778579</v>
      </c>
      <c r="L670" s="28">
        <f t="shared" si="223"/>
        <v>0.41754449048931375</v>
      </c>
      <c r="M670" s="28">
        <f t="shared" si="224"/>
        <v>0.41754449048931375</v>
      </c>
      <c r="N670" s="28">
        <f t="shared" si="225"/>
        <v>999</v>
      </c>
      <c r="O670" s="28"/>
      <c r="P670" s="29">
        <f t="shared" si="241"/>
        <v>0.66100000000000048</v>
      </c>
      <c r="Q670" s="33">
        <f t="shared" si="226"/>
        <v>6.7114093959731544</v>
      </c>
      <c r="R670" s="33">
        <f t="shared" si="227"/>
        <v>6.7114093959731544</v>
      </c>
      <c r="S670" s="33">
        <f t="shared" si="228"/>
        <v>-1</v>
      </c>
      <c r="T670" s="27"/>
      <c r="U670" s="28">
        <f t="shared" si="229"/>
        <v>0.10964912280701754</v>
      </c>
      <c r="V670" s="25">
        <f t="shared" si="230"/>
        <v>999</v>
      </c>
      <c r="W670" s="35">
        <f t="shared" si="242"/>
        <v>25</v>
      </c>
      <c r="X670" s="33">
        <f t="shared" si="231"/>
        <v>25</v>
      </c>
      <c r="Y670" s="32">
        <f t="shared" si="232"/>
        <v>-1</v>
      </c>
      <c r="Z670" s="32"/>
      <c r="AA670" s="30">
        <f t="shared" si="233"/>
        <v>18.107108615258184</v>
      </c>
      <c r="AB670" s="28">
        <f t="shared" si="234"/>
        <v>0.62061719743775079</v>
      </c>
      <c r="AC670" s="28">
        <f t="shared" si="235"/>
        <v>0.10964912280701754</v>
      </c>
      <c r="AD670" s="29">
        <f t="shared" si="236"/>
        <v>627.13472485768511</v>
      </c>
      <c r="AE670" s="28">
        <f t="shared" si="237"/>
        <v>0.10964912280701754</v>
      </c>
      <c r="AF670" s="28">
        <f t="shared" si="238"/>
        <v>0.51096807463073324</v>
      </c>
      <c r="AG670" s="28">
        <f t="shared" si="239"/>
        <v>0</v>
      </c>
      <c r="AI670" s="31">
        <f t="shared" si="240"/>
        <v>2.7599690821343636</v>
      </c>
      <c r="AJ670" s="25"/>
      <c r="AK670" s="31"/>
      <c r="AM670" s="27"/>
    </row>
    <row r="671" spans="4:39" x14ac:dyDescent="0.25">
      <c r="D671" s="25">
        <f>E671*'Profit per cycles Model'!$I$113</f>
        <v>6620</v>
      </c>
      <c r="E671" s="25">
        <v>18.134502122996849</v>
      </c>
      <c r="F671" s="28">
        <f t="shared" si="221"/>
        <v>0.15105740181268881</v>
      </c>
      <c r="G671" s="28">
        <f>'Battery Pricing Model'!$C$17/D671</f>
        <v>0.15105740181268881</v>
      </c>
      <c r="H671" s="28">
        <f t="shared" si="222"/>
        <v>999</v>
      </c>
      <c r="I671" s="28"/>
      <c r="J671" s="34">
        <f>INDEX('Profit per cycles Model'!$I$149:$I$179, MATCH(TRUNC(E671, 0), 'Profit per cycles Model'!$H$149:$H$179, 0))</f>
        <v>0.62061719743775079</v>
      </c>
      <c r="K671" s="27">
        <f>AVERAGE($J$10:J1671)</f>
        <v>0.56883042089778579</v>
      </c>
      <c r="L671" s="28">
        <f t="shared" si="223"/>
        <v>0.41777301908509701</v>
      </c>
      <c r="M671" s="28">
        <f t="shared" si="224"/>
        <v>0.41777301908509701</v>
      </c>
      <c r="N671" s="28">
        <f t="shared" si="225"/>
        <v>999</v>
      </c>
      <c r="O671" s="28"/>
      <c r="P671" s="29">
        <f t="shared" si="241"/>
        <v>0.66200000000000048</v>
      </c>
      <c r="Q671" s="33">
        <f t="shared" si="226"/>
        <v>6.7114093959731544</v>
      </c>
      <c r="R671" s="33">
        <f t="shared" si="227"/>
        <v>6.7114093959731544</v>
      </c>
      <c r="S671" s="33">
        <f t="shared" si="228"/>
        <v>-1</v>
      </c>
      <c r="T671" s="27"/>
      <c r="U671" s="28">
        <f t="shared" si="229"/>
        <v>0.10964912280701754</v>
      </c>
      <c r="V671" s="25">
        <f t="shared" si="230"/>
        <v>999</v>
      </c>
      <c r="W671" s="35">
        <f t="shared" si="242"/>
        <v>25</v>
      </c>
      <c r="X671" s="33">
        <f t="shared" si="231"/>
        <v>25</v>
      </c>
      <c r="Y671" s="32">
        <f t="shared" si="232"/>
        <v>-1</v>
      </c>
      <c r="Z671" s="32"/>
      <c r="AA671" s="30">
        <f t="shared" si="233"/>
        <v>18.134502122996849</v>
      </c>
      <c r="AB671" s="28">
        <f t="shared" si="234"/>
        <v>0.62061719743775079</v>
      </c>
      <c r="AC671" s="28">
        <f t="shared" si="235"/>
        <v>0.10964912280701754</v>
      </c>
      <c r="AD671" s="29">
        <f t="shared" si="236"/>
        <v>628.08349146110049</v>
      </c>
      <c r="AE671" s="28">
        <f t="shared" si="237"/>
        <v>0.10964912280701754</v>
      </c>
      <c r="AF671" s="28">
        <f t="shared" si="238"/>
        <v>0.51096807463073324</v>
      </c>
      <c r="AG671" s="28">
        <f t="shared" si="239"/>
        <v>0</v>
      </c>
      <c r="AI671" s="31">
        <f t="shared" si="240"/>
        <v>2.7656573863433422</v>
      </c>
      <c r="AJ671" s="25"/>
      <c r="AK671" s="31"/>
      <c r="AM671" s="27"/>
    </row>
    <row r="672" spans="4:39" x14ac:dyDescent="0.25">
      <c r="D672" s="25">
        <f>E672*'Profit per cycles Model'!$I$113</f>
        <v>6630</v>
      </c>
      <c r="E672" s="25">
        <v>18.161895630735515</v>
      </c>
      <c r="F672" s="28">
        <f t="shared" si="221"/>
        <v>0.15082956259426847</v>
      </c>
      <c r="G672" s="28">
        <f>'Battery Pricing Model'!$C$17/D672</f>
        <v>0.15082956259426847</v>
      </c>
      <c r="H672" s="28">
        <f t="shared" si="222"/>
        <v>999</v>
      </c>
      <c r="I672" s="28"/>
      <c r="J672" s="34">
        <f>INDEX('Profit per cycles Model'!$I$149:$I$179, MATCH(TRUNC(E672, 0), 'Profit per cycles Model'!$H$149:$H$179, 0))</f>
        <v>0.62061719743775079</v>
      </c>
      <c r="K672" s="27">
        <f>AVERAGE($J$10:J1672)</f>
        <v>0.56883042089778579</v>
      </c>
      <c r="L672" s="28">
        <f t="shared" si="223"/>
        <v>0.4180008583035173</v>
      </c>
      <c r="M672" s="28">
        <f t="shared" si="224"/>
        <v>0.4180008583035173</v>
      </c>
      <c r="N672" s="28">
        <f t="shared" si="225"/>
        <v>999</v>
      </c>
      <c r="O672" s="28"/>
      <c r="P672" s="29">
        <f t="shared" si="241"/>
        <v>0.66300000000000048</v>
      </c>
      <c r="Q672" s="33">
        <f t="shared" si="226"/>
        <v>6.7114093959731544</v>
      </c>
      <c r="R672" s="33">
        <f t="shared" si="227"/>
        <v>6.7114093959731544</v>
      </c>
      <c r="S672" s="33">
        <f t="shared" si="228"/>
        <v>-1</v>
      </c>
      <c r="T672" s="27"/>
      <c r="U672" s="28">
        <f t="shared" si="229"/>
        <v>0.10964912280701754</v>
      </c>
      <c r="V672" s="25">
        <f t="shared" si="230"/>
        <v>999</v>
      </c>
      <c r="W672" s="35">
        <f t="shared" si="242"/>
        <v>25</v>
      </c>
      <c r="X672" s="33">
        <f t="shared" si="231"/>
        <v>25</v>
      </c>
      <c r="Y672" s="32">
        <f t="shared" si="232"/>
        <v>-1</v>
      </c>
      <c r="Z672" s="32"/>
      <c r="AA672" s="30">
        <f t="shared" si="233"/>
        <v>18.161895630735515</v>
      </c>
      <c r="AB672" s="28">
        <f t="shared" si="234"/>
        <v>0.62061719743775079</v>
      </c>
      <c r="AC672" s="28">
        <f t="shared" si="235"/>
        <v>0.10964912280701754</v>
      </c>
      <c r="AD672" s="29">
        <f t="shared" si="236"/>
        <v>629.0322580645161</v>
      </c>
      <c r="AE672" s="28">
        <f t="shared" si="237"/>
        <v>0.10964912280701754</v>
      </c>
      <c r="AF672" s="28">
        <f t="shared" si="238"/>
        <v>0.51096807463073324</v>
      </c>
      <c r="AG672" s="28">
        <f t="shared" si="239"/>
        <v>0</v>
      </c>
      <c r="AI672" s="31">
        <f t="shared" si="240"/>
        <v>2.7713456905523199</v>
      </c>
      <c r="AJ672" s="25"/>
      <c r="AK672" s="31"/>
      <c r="AM672" s="27"/>
    </row>
    <row r="673" spans="4:39" x14ac:dyDescent="0.25">
      <c r="D673" s="25">
        <f>E673*'Profit per cycles Model'!$I$113</f>
        <v>6640</v>
      </c>
      <c r="E673" s="25">
        <v>18.18928913847418</v>
      </c>
      <c r="F673" s="28">
        <f t="shared" si="221"/>
        <v>0.15060240963855423</v>
      </c>
      <c r="G673" s="28">
        <f>'Battery Pricing Model'!$C$17/D673</f>
        <v>0.15060240963855423</v>
      </c>
      <c r="H673" s="28">
        <f t="shared" si="222"/>
        <v>999</v>
      </c>
      <c r="I673" s="28"/>
      <c r="J673" s="34">
        <f>INDEX('Profit per cycles Model'!$I$149:$I$179, MATCH(TRUNC(E673, 0), 'Profit per cycles Model'!$H$149:$H$179, 0))</f>
        <v>0.62061719743775079</v>
      </c>
      <c r="K673" s="27">
        <f>AVERAGE($J$10:J1673)</f>
        <v>0.56883042089778579</v>
      </c>
      <c r="L673" s="28">
        <f t="shared" si="223"/>
        <v>0.41822801125923159</v>
      </c>
      <c r="M673" s="28">
        <f t="shared" si="224"/>
        <v>0.41822801125923159</v>
      </c>
      <c r="N673" s="28">
        <f t="shared" si="225"/>
        <v>999</v>
      </c>
      <c r="O673" s="28"/>
      <c r="P673" s="29">
        <f t="shared" si="241"/>
        <v>0.66400000000000048</v>
      </c>
      <c r="Q673" s="33">
        <f t="shared" si="226"/>
        <v>6.7114093959731544</v>
      </c>
      <c r="R673" s="33">
        <f t="shared" si="227"/>
        <v>6.7114093959731544</v>
      </c>
      <c r="S673" s="33">
        <f t="shared" si="228"/>
        <v>-1</v>
      </c>
      <c r="T673" s="27"/>
      <c r="U673" s="28">
        <f t="shared" si="229"/>
        <v>0.10964912280701754</v>
      </c>
      <c r="V673" s="25">
        <f t="shared" si="230"/>
        <v>999</v>
      </c>
      <c r="W673" s="35">
        <f t="shared" si="242"/>
        <v>25</v>
      </c>
      <c r="X673" s="33">
        <f t="shared" si="231"/>
        <v>25</v>
      </c>
      <c r="Y673" s="32">
        <f t="shared" si="232"/>
        <v>-1</v>
      </c>
      <c r="Z673" s="32"/>
      <c r="AA673" s="30">
        <f t="shared" si="233"/>
        <v>18.18928913847418</v>
      </c>
      <c r="AB673" s="28">
        <f t="shared" si="234"/>
        <v>0.62061719743775079</v>
      </c>
      <c r="AC673" s="28">
        <f t="shared" si="235"/>
        <v>0.10964912280701754</v>
      </c>
      <c r="AD673" s="29">
        <f t="shared" si="236"/>
        <v>629.98102466793171</v>
      </c>
      <c r="AE673" s="28">
        <f t="shared" si="237"/>
        <v>0.10964912280701754</v>
      </c>
      <c r="AF673" s="28">
        <f t="shared" si="238"/>
        <v>0.51096807463073324</v>
      </c>
      <c r="AG673" s="28">
        <f t="shared" si="239"/>
        <v>0</v>
      </c>
      <c r="AI673" s="31">
        <f t="shared" si="240"/>
        <v>2.7770339947612976</v>
      </c>
      <c r="AJ673" s="25"/>
      <c r="AK673" s="31"/>
      <c r="AM673" s="27"/>
    </row>
    <row r="674" spans="4:39" x14ac:dyDescent="0.25">
      <c r="D674" s="25">
        <f>E674*'Profit per cycles Model'!$I$113</f>
        <v>6649.9999999999991</v>
      </c>
      <c r="E674" s="25">
        <v>18.216682646212845</v>
      </c>
      <c r="F674" s="28">
        <f t="shared" si="221"/>
        <v>0.15037593984962408</v>
      </c>
      <c r="G674" s="28">
        <f>'Battery Pricing Model'!$C$17/D674</f>
        <v>0.15037593984962408</v>
      </c>
      <c r="H674" s="28">
        <f t="shared" si="222"/>
        <v>999</v>
      </c>
      <c r="I674" s="28"/>
      <c r="J674" s="34">
        <f>INDEX('Profit per cycles Model'!$I$149:$I$179, MATCH(TRUNC(E674, 0), 'Profit per cycles Model'!$H$149:$H$179, 0))</f>
        <v>0.62061719743775079</v>
      </c>
      <c r="K674" s="27">
        <f>AVERAGE($J$10:J1674)</f>
        <v>0.56883042089778579</v>
      </c>
      <c r="L674" s="28">
        <f t="shared" si="223"/>
        <v>0.41845448104816174</v>
      </c>
      <c r="M674" s="28">
        <f t="shared" si="224"/>
        <v>0.41845448104816174</v>
      </c>
      <c r="N674" s="28">
        <f t="shared" si="225"/>
        <v>999</v>
      </c>
      <c r="O674" s="28"/>
      <c r="P674" s="29">
        <f t="shared" si="241"/>
        <v>0.66500000000000048</v>
      </c>
      <c r="Q674" s="33">
        <f t="shared" si="226"/>
        <v>6.7114093959731544</v>
      </c>
      <c r="R674" s="33">
        <f t="shared" si="227"/>
        <v>6.7114093959731544</v>
      </c>
      <c r="S674" s="33">
        <f t="shared" si="228"/>
        <v>-1</v>
      </c>
      <c r="T674" s="27"/>
      <c r="U674" s="28">
        <f t="shared" si="229"/>
        <v>0.10964912280701754</v>
      </c>
      <c r="V674" s="25">
        <f t="shared" si="230"/>
        <v>999</v>
      </c>
      <c r="W674" s="35">
        <f t="shared" si="242"/>
        <v>25</v>
      </c>
      <c r="X674" s="33">
        <f t="shared" si="231"/>
        <v>25</v>
      </c>
      <c r="Y674" s="32">
        <f t="shared" si="232"/>
        <v>-1</v>
      </c>
      <c r="Z674" s="32"/>
      <c r="AA674" s="30">
        <f t="shared" si="233"/>
        <v>18.216682646212845</v>
      </c>
      <c r="AB674" s="28">
        <f t="shared" si="234"/>
        <v>0.62061719743775079</v>
      </c>
      <c r="AC674" s="28">
        <f t="shared" si="235"/>
        <v>0.10964912280701754</v>
      </c>
      <c r="AD674" s="29">
        <f t="shared" si="236"/>
        <v>630.9297912713472</v>
      </c>
      <c r="AE674" s="28">
        <f t="shared" si="237"/>
        <v>0.10964912280701754</v>
      </c>
      <c r="AF674" s="28">
        <f t="shared" si="238"/>
        <v>0.51096807463073324</v>
      </c>
      <c r="AG674" s="28">
        <f t="shared" si="239"/>
        <v>0</v>
      </c>
      <c r="AI674" s="31">
        <f t="shared" si="240"/>
        <v>2.7827222989702753</v>
      </c>
      <c r="AJ674" s="25"/>
      <c r="AK674" s="31"/>
      <c r="AM674" s="27"/>
    </row>
    <row r="675" spans="4:39" x14ac:dyDescent="0.25">
      <c r="D675" s="25">
        <f>E675*'Profit per cycles Model'!$I$113</f>
        <v>6660.0000000000009</v>
      </c>
      <c r="E675" s="25">
        <v>18.244076153951514</v>
      </c>
      <c r="F675" s="28">
        <f t="shared" si="221"/>
        <v>0.15015015015015012</v>
      </c>
      <c r="G675" s="28">
        <f>'Battery Pricing Model'!$C$17/D675</f>
        <v>0.15015015015015012</v>
      </c>
      <c r="H675" s="28">
        <f t="shared" si="222"/>
        <v>999</v>
      </c>
      <c r="I675" s="28"/>
      <c r="J675" s="34">
        <f>INDEX('Profit per cycles Model'!$I$149:$I$179, MATCH(TRUNC(E675, 0), 'Profit per cycles Model'!$H$149:$H$179, 0))</f>
        <v>0.62061719743775079</v>
      </c>
      <c r="K675" s="27">
        <f>AVERAGE($J$10:J1675)</f>
        <v>0.56883042089778579</v>
      </c>
      <c r="L675" s="28">
        <f t="shared" si="223"/>
        <v>0.4186802707476357</v>
      </c>
      <c r="M675" s="28">
        <f t="shared" si="224"/>
        <v>0.4186802707476357</v>
      </c>
      <c r="N675" s="28">
        <f t="shared" si="225"/>
        <v>999</v>
      </c>
      <c r="O675" s="28"/>
      <c r="P675" s="29">
        <f t="shared" si="241"/>
        <v>0.66600000000000048</v>
      </c>
      <c r="Q675" s="33">
        <f t="shared" si="226"/>
        <v>6.7114093959731544</v>
      </c>
      <c r="R675" s="33">
        <f t="shared" si="227"/>
        <v>6.7114093959731544</v>
      </c>
      <c r="S675" s="33">
        <f t="shared" si="228"/>
        <v>-1</v>
      </c>
      <c r="T675" s="27"/>
      <c r="U675" s="28">
        <f t="shared" si="229"/>
        <v>0.10964912280701754</v>
      </c>
      <c r="V675" s="25">
        <f t="shared" si="230"/>
        <v>999</v>
      </c>
      <c r="W675" s="35">
        <f t="shared" si="242"/>
        <v>25</v>
      </c>
      <c r="X675" s="33">
        <f t="shared" si="231"/>
        <v>25</v>
      </c>
      <c r="Y675" s="32">
        <f t="shared" si="232"/>
        <v>-1</v>
      </c>
      <c r="Z675" s="32"/>
      <c r="AA675" s="30">
        <f t="shared" si="233"/>
        <v>18.244076153951514</v>
      </c>
      <c r="AB675" s="28">
        <f t="shared" si="234"/>
        <v>0.62061719743775079</v>
      </c>
      <c r="AC675" s="28">
        <f t="shared" si="235"/>
        <v>0.10964912280701754</v>
      </c>
      <c r="AD675" s="29">
        <f t="shared" si="236"/>
        <v>631.87855787476292</v>
      </c>
      <c r="AE675" s="28">
        <f t="shared" si="237"/>
        <v>0.10964912280701754</v>
      </c>
      <c r="AF675" s="28">
        <f t="shared" si="238"/>
        <v>0.51096807463073324</v>
      </c>
      <c r="AG675" s="28">
        <f t="shared" si="239"/>
        <v>0</v>
      </c>
      <c r="AI675" s="31">
        <f t="shared" si="240"/>
        <v>2.7884106031792544</v>
      </c>
      <c r="AJ675" s="25"/>
      <c r="AK675" s="31"/>
      <c r="AM675" s="27"/>
    </row>
    <row r="676" spans="4:39" x14ac:dyDescent="0.25">
      <c r="D676" s="25">
        <f>E676*'Profit per cycles Model'!$I$113</f>
        <v>6670</v>
      </c>
      <c r="E676" s="25">
        <v>18.27146966169018</v>
      </c>
      <c r="F676" s="28">
        <f t="shared" si="221"/>
        <v>0.14992503748125938</v>
      </c>
      <c r="G676" s="28">
        <f>'Battery Pricing Model'!$C$17/D676</f>
        <v>0.14992503748125938</v>
      </c>
      <c r="H676" s="28">
        <f t="shared" si="222"/>
        <v>999</v>
      </c>
      <c r="I676" s="28"/>
      <c r="J676" s="34">
        <f>INDEX('Profit per cycles Model'!$I$149:$I$179, MATCH(TRUNC(E676, 0), 'Profit per cycles Model'!$H$149:$H$179, 0))</f>
        <v>0.62061719743775079</v>
      </c>
      <c r="K676" s="27">
        <f>AVERAGE($J$10:J1676)</f>
        <v>0.56883042089778579</v>
      </c>
      <c r="L676" s="28">
        <f t="shared" si="223"/>
        <v>0.41890538341652639</v>
      </c>
      <c r="M676" s="28">
        <f t="shared" si="224"/>
        <v>0.41890538341652639</v>
      </c>
      <c r="N676" s="28">
        <f t="shared" si="225"/>
        <v>999</v>
      </c>
      <c r="O676" s="28"/>
      <c r="P676" s="29">
        <f t="shared" si="241"/>
        <v>0.66700000000000048</v>
      </c>
      <c r="Q676" s="33">
        <f t="shared" si="226"/>
        <v>6.7114093959731544</v>
      </c>
      <c r="R676" s="33">
        <f t="shared" si="227"/>
        <v>6.7114093959731544</v>
      </c>
      <c r="S676" s="33">
        <f t="shared" si="228"/>
        <v>-1</v>
      </c>
      <c r="T676" s="27"/>
      <c r="U676" s="28">
        <f t="shared" si="229"/>
        <v>0.10964912280701754</v>
      </c>
      <c r="V676" s="25">
        <f t="shared" si="230"/>
        <v>999</v>
      </c>
      <c r="W676" s="35">
        <f t="shared" si="242"/>
        <v>25</v>
      </c>
      <c r="X676" s="33">
        <f t="shared" si="231"/>
        <v>25</v>
      </c>
      <c r="Y676" s="32">
        <f t="shared" si="232"/>
        <v>-1</v>
      </c>
      <c r="Z676" s="32"/>
      <c r="AA676" s="30">
        <f t="shared" si="233"/>
        <v>18.27146966169018</v>
      </c>
      <c r="AB676" s="28">
        <f t="shared" si="234"/>
        <v>0.62061719743775079</v>
      </c>
      <c r="AC676" s="28">
        <f t="shared" si="235"/>
        <v>0.10964912280701754</v>
      </c>
      <c r="AD676" s="29">
        <f t="shared" si="236"/>
        <v>632.82732447817841</v>
      </c>
      <c r="AE676" s="28">
        <f t="shared" si="237"/>
        <v>0.10964912280701754</v>
      </c>
      <c r="AF676" s="28">
        <f t="shared" si="238"/>
        <v>0.51096807463073324</v>
      </c>
      <c r="AG676" s="28">
        <f t="shared" si="239"/>
        <v>0</v>
      </c>
      <c r="AI676" s="31">
        <f t="shared" si="240"/>
        <v>2.7940989073882307</v>
      </c>
      <c r="AJ676" s="25"/>
      <c r="AK676" s="31"/>
      <c r="AM676" s="27"/>
    </row>
    <row r="677" spans="4:39" x14ac:dyDescent="0.25">
      <c r="D677" s="25">
        <f>E677*'Profit per cycles Model'!$I$113</f>
        <v>6680</v>
      </c>
      <c r="E677" s="25">
        <v>18.298863169428845</v>
      </c>
      <c r="F677" s="28">
        <f t="shared" si="221"/>
        <v>0.1497005988023952</v>
      </c>
      <c r="G677" s="28">
        <f>'Battery Pricing Model'!$C$17/D677</f>
        <v>0.1497005988023952</v>
      </c>
      <c r="H677" s="28">
        <f t="shared" si="222"/>
        <v>999</v>
      </c>
      <c r="I677" s="28"/>
      <c r="J677" s="34">
        <f>INDEX('Profit per cycles Model'!$I$149:$I$179, MATCH(TRUNC(E677, 0), 'Profit per cycles Model'!$H$149:$H$179, 0))</f>
        <v>0.62061719743775079</v>
      </c>
      <c r="K677" s="27">
        <f>AVERAGE($J$10:J1677)</f>
        <v>0.56883042089778579</v>
      </c>
      <c r="L677" s="28">
        <f t="shared" si="223"/>
        <v>0.41912982209539063</v>
      </c>
      <c r="M677" s="28">
        <f t="shared" si="224"/>
        <v>0.41912982209539063</v>
      </c>
      <c r="N677" s="28">
        <f t="shared" si="225"/>
        <v>999</v>
      </c>
      <c r="O677" s="28"/>
      <c r="P677" s="29">
        <f t="shared" si="241"/>
        <v>0.66800000000000048</v>
      </c>
      <c r="Q677" s="33">
        <f t="shared" si="226"/>
        <v>6.7114093959731544</v>
      </c>
      <c r="R677" s="33">
        <f t="shared" si="227"/>
        <v>6.7114093959731544</v>
      </c>
      <c r="S677" s="33">
        <f t="shared" si="228"/>
        <v>-1</v>
      </c>
      <c r="T677" s="27"/>
      <c r="U677" s="28">
        <f t="shared" si="229"/>
        <v>0.10964912280701754</v>
      </c>
      <c r="V677" s="25">
        <f t="shared" si="230"/>
        <v>999</v>
      </c>
      <c r="W677" s="35">
        <f t="shared" si="242"/>
        <v>25</v>
      </c>
      <c r="X677" s="33">
        <f t="shared" si="231"/>
        <v>25</v>
      </c>
      <c r="Y677" s="32">
        <f t="shared" si="232"/>
        <v>-1</v>
      </c>
      <c r="Z677" s="32"/>
      <c r="AA677" s="30">
        <f t="shared" si="233"/>
        <v>18.298863169428845</v>
      </c>
      <c r="AB677" s="28">
        <f t="shared" si="234"/>
        <v>0.62061719743775079</v>
      </c>
      <c r="AC677" s="28">
        <f t="shared" si="235"/>
        <v>0.10964912280701754</v>
      </c>
      <c r="AD677" s="29">
        <f t="shared" si="236"/>
        <v>633.7760910815939</v>
      </c>
      <c r="AE677" s="28">
        <f t="shared" si="237"/>
        <v>0.10964912280701754</v>
      </c>
      <c r="AF677" s="28">
        <f t="shared" si="238"/>
        <v>0.51096807463073324</v>
      </c>
      <c r="AG677" s="28">
        <f t="shared" si="239"/>
        <v>0</v>
      </c>
      <c r="AI677" s="31">
        <f t="shared" si="240"/>
        <v>2.7997872115972098</v>
      </c>
      <c r="AJ677" s="25"/>
      <c r="AK677" s="31"/>
      <c r="AM677" s="27"/>
    </row>
    <row r="678" spans="4:39" x14ac:dyDescent="0.25">
      <c r="D678" s="25">
        <f>E678*'Profit per cycles Model'!$I$113</f>
        <v>6690</v>
      </c>
      <c r="E678" s="25">
        <v>18.32625667716751</v>
      </c>
      <c r="F678" s="28">
        <f t="shared" si="221"/>
        <v>0.14947683109118087</v>
      </c>
      <c r="G678" s="28">
        <f>'Battery Pricing Model'!$C$17/D678</f>
        <v>0.14947683109118087</v>
      </c>
      <c r="H678" s="28">
        <f t="shared" si="222"/>
        <v>999</v>
      </c>
      <c r="I678" s="28"/>
      <c r="J678" s="34">
        <f>INDEX('Profit per cycles Model'!$I$149:$I$179, MATCH(TRUNC(E678, 0), 'Profit per cycles Model'!$H$149:$H$179, 0))</f>
        <v>0.62061719743775079</v>
      </c>
      <c r="K678" s="27">
        <f>AVERAGE($J$10:J1678)</f>
        <v>0.56883042089778579</v>
      </c>
      <c r="L678" s="28">
        <f t="shared" si="223"/>
        <v>0.41935358980660492</v>
      </c>
      <c r="M678" s="28">
        <f t="shared" si="224"/>
        <v>0.41935358980660492</v>
      </c>
      <c r="N678" s="28">
        <f t="shared" si="225"/>
        <v>999</v>
      </c>
      <c r="O678" s="28"/>
      <c r="P678" s="29">
        <f t="shared" si="241"/>
        <v>0.66900000000000048</v>
      </c>
      <c r="Q678" s="33">
        <f t="shared" si="226"/>
        <v>6.7114093959731544</v>
      </c>
      <c r="R678" s="33">
        <f t="shared" si="227"/>
        <v>6.7114093959731544</v>
      </c>
      <c r="S678" s="33">
        <f t="shared" si="228"/>
        <v>-1</v>
      </c>
      <c r="T678" s="27"/>
      <c r="U678" s="28">
        <f t="shared" si="229"/>
        <v>0.10964912280701754</v>
      </c>
      <c r="V678" s="25">
        <f t="shared" si="230"/>
        <v>999</v>
      </c>
      <c r="W678" s="35">
        <f t="shared" si="242"/>
        <v>25</v>
      </c>
      <c r="X678" s="33">
        <f t="shared" si="231"/>
        <v>25</v>
      </c>
      <c r="Y678" s="32">
        <f t="shared" si="232"/>
        <v>-1</v>
      </c>
      <c r="Z678" s="32"/>
      <c r="AA678" s="30">
        <f t="shared" si="233"/>
        <v>18.32625667716751</v>
      </c>
      <c r="AB678" s="28">
        <f t="shared" si="234"/>
        <v>0.62061719743775079</v>
      </c>
      <c r="AC678" s="28">
        <f t="shared" si="235"/>
        <v>0.10964912280701754</v>
      </c>
      <c r="AD678" s="29">
        <f t="shared" si="236"/>
        <v>634.72485768500951</v>
      </c>
      <c r="AE678" s="28">
        <f t="shared" si="237"/>
        <v>0.10964912280701754</v>
      </c>
      <c r="AF678" s="28">
        <f t="shared" si="238"/>
        <v>0.51096807463073324</v>
      </c>
      <c r="AG678" s="28">
        <f t="shared" si="239"/>
        <v>0</v>
      </c>
      <c r="AI678" s="31">
        <f t="shared" si="240"/>
        <v>2.8054755158061866</v>
      </c>
      <c r="AJ678" s="25"/>
      <c r="AK678" s="31"/>
      <c r="AM678" s="27"/>
    </row>
    <row r="679" spans="4:39" x14ac:dyDescent="0.25">
      <c r="D679" s="25">
        <f>E679*'Profit per cycles Model'!$I$113</f>
        <v>6700</v>
      </c>
      <c r="E679" s="25">
        <v>18.353650184906176</v>
      </c>
      <c r="F679" s="28">
        <f t="shared" si="221"/>
        <v>0.14925373134328357</v>
      </c>
      <c r="G679" s="28">
        <f>'Battery Pricing Model'!$C$17/D679</f>
        <v>0.14925373134328357</v>
      </c>
      <c r="H679" s="28">
        <f t="shared" si="222"/>
        <v>999</v>
      </c>
      <c r="I679" s="28"/>
      <c r="J679" s="34">
        <f>INDEX('Profit per cycles Model'!$I$149:$I$179, MATCH(TRUNC(E679, 0), 'Profit per cycles Model'!$H$149:$H$179, 0))</f>
        <v>0.62061719743775079</v>
      </c>
      <c r="K679" s="27">
        <f>AVERAGE($J$10:J1679)</f>
        <v>0.56883042089778579</v>
      </c>
      <c r="L679" s="28">
        <f t="shared" si="223"/>
        <v>0.41957668955450222</v>
      </c>
      <c r="M679" s="28">
        <f t="shared" si="224"/>
        <v>0.41957668955450222</v>
      </c>
      <c r="N679" s="28">
        <f t="shared" si="225"/>
        <v>999</v>
      </c>
      <c r="O679" s="28"/>
      <c r="P679" s="29">
        <f t="shared" si="241"/>
        <v>0.67000000000000048</v>
      </c>
      <c r="Q679" s="33">
        <f t="shared" si="226"/>
        <v>6.7114093959731544</v>
      </c>
      <c r="R679" s="33">
        <f t="shared" si="227"/>
        <v>6.7114093959731544</v>
      </c>
      <c r="S679" s="33">
        <f t="shared" si="228"/>
        <v>-1</v>
      </c>
      <c r="T679" s="27"/>
      <c r="U679" s="28">
        <f t="shared" si="229"/>
        <v>0.10964912280701754</v>
      </c>
      <c r="V679" s="25">
        <f t="shared" si="230"/>
        <v>999</v>
      </c>
      <c r="W679" s="35">
        <f t="shared" si="242"/>
        <v>25</v>
      </c>
      <c r="X679" s="33">
        <f t="shared" si="231"/>
        <v>25</v>
      </c>
      <c r="Y679" s="32">
        <f t="shared" si="232"/>
        <v>-1</v>
      </c>
      <c r="Z679" s="32"/>
      <c r="AA679" s="30">
        <f t="shared" si="233"/>
        <v>18.353650184906176</v>
      </c>
      <c r="AB679" s="28">
        <f t="shared" si="234"/>
        <v>0.62061719743775079</v>
      </c>
      <c r="AC679" s="28">
        <f t="shared" si="235"/>
        <v>0.10964912280701754</v>
      </c>
      <c r="AD679" s="29">
        <f t="shared" si="236"/>
        <v>635.673624288425</v>
      </c>
      <c r="AE679" s="28">
        <f t="shared" si="237"/>
        <v>0.10964912280701754</v>
      </c>
      <c r="AF679" s="28">
        <f t="shared" si="238"/>
        <v>0.51096807463073324</v>
      </c>
      <c r="AG679" s="28">
        <f t="shared" si="239"/>
        <v>0</v>
      </c>
      <c r="AI679" s="31">
        <f t="shared" si="240"/>
        <v>2.8111638200151652</v>
      </c>
      <c r="AJ679" s="25"/>
      <c r="AK679" s="31"/>
      <c r="AM679" s="27"/>
    </row>
    <row r="680" spans="4:39" x14ac:dyDescent="0.25">
      <c r="D680" s="25">
        <f>E680*'Profit per cycles Model'!$I$113</f>
        <v>6709.9999999999991</v>
      </c>
      <c r="E680" s="25">
        <v>18.381043692644841</v>
      </c>
      <c r="F680" s="28">
        <f t="shared" si="221"/>
        <v>0.1490312965722802</v>
      </c>
      <c r="G680" s="28">
        <f>'Battery Pricing Model'!$C$17/D680</f>
        <v>0.1490312965722802</v>
      </c>
      <c r="H680" s="28">
        <f t="shared" si="222"/>
        <v>999</v>
      </c>
      <c r="I680" s="28"/>
      <c r="J680" s="34">
        <f>INDEX('Profit per cycles Model'!$I$149:$I$179, MATCH(TRUNC(E680, 0), 'Profit per cycles Model'!$H$149:$H$179, 0))</f>
        <v>0.62061719743775079</v>
      </c>
      <c r="K680" s="27">
        <f>AVERAGE($J$10:J1680)</f>
        <v>0.56883042089778579</v>
      </c>
      <c r="L680" s="28">
        <f t="shared" si="223"/>
        <v>0.41979912432550559</v>
      </c>
      <c r="M680" s="28">
        <f t="shared" si="224"/>
        <v>0.41979912432550559</v>
      </c>
      <c r="N680" s="28">
        <f t="shared" si="225"/>
        <v>999</v>
      </c>
      <c r="O680" s="28"/>
      <c r="P680" s="29">
        <f t="shared" si="241"/>
        <v>0.67100000000000048</v>
      </c>
      <c r="Q680" s="33">
        <f t="shared" si="226"/>
        <v>6.7114093959731544</v>
      </c>
      <c r="R680" s="33">
        <f t="shared" si="227"/>
        <v>6.7114093959731544</v>
      </c>
      <c r="S680" s="33">
        <f t="shared" si="228"/>
        <v>-1</v>
      </c>
      <c r="T680" s="27"/>
      <c r="U680" s="28">
        <f t="shared" si="229"/>
        <v>0.10964912280701754</v>
      </c>
      <c r="V680" s="25">
        <f t="shared" si="230"/>
        <v>999</v>
      </c>
      <c r="W680" s="35">
        <f t="shared" si="242"/>
        <v>25</v>
      </c>
      <c r="X680" s="33">
        <f t="shared" si="231"/>
        <v>25</v>
      </c>
      <c r="Y680" s="32">
        <f t="shared" si="232"/>
        <v>-1</v>
      </c>
      <c r="Z680" s="32"/>
      <c r="AA680" s="30">
        <f t="shared" si="233"/>
        <v>18.381043692644841</v>
      </c>
      <c r="AB680" s="28">
        <f t="shared" si="234"/>
        <v>0.62061719743775079</v>
      </c>
      <c r="AC680" s="28">
        <f t="shared" si="235"/>
        <v>0.10964912280701754</v>
      </c>
      <c r="AD680" s="29">
        <f t="shared" si="236"/>
        <v>636.62239089184061</v>
      </c>
      <c r="AE680" s="28">
        <f t="shared" si="237"/>
        <v>0.10964912280701754</v>
      </c>
      <c r="AF680" s="28">
        <f t="shared" si="238"/>
        <v>0.51096807463073324</v>
      </c>
      <c r="AG680" s="28">
        <f t="shared" si="239"/>
        <v>0</v>
      </c>
      <c r="AI680" s="31">
        <f t="shared" si="240"/>
        <v>2.816852124224142</v>
      </c>
      <c r="AJ680" s="25"/>
      <c r="AK680" s="31"/>
      <c r="AM680" s="27"/>
    </row>
    <row r="681" spans="4:39" x14ac:dyDescent="0.25">
      <c r="D681" s="25">
        <f>E681*'Profit per cycles Model'!$I$113</f>
        <v>6720.0000000000009</v>
      </c>
      <c r="E681" s="25">
        <v>18.40843720038351</v>
      </c>
      <c r="F681" s="28">
        <f t="shared" si="221"/>
        <v>0.14880952380952378</v>
      </c>
      <c r="G681" s="28">
        <f>'Battery Pricing Model'!$C$17/D681</f>
        <v>0.14880952380952378</v>
      </c>
      <c r="H681" s="28">
        <f t="shared" si="222"/>
        <v>999</v>
      </c>
      <c r="I681" s="28"/>
      <c r="J681" s="34">
        <f>INDEX('Profit per cycles Model'!$I$149:$I$179, MATCH(TRUNC(E681, 0), 'Profit per cycles Model'!$H$149:$H$179, 0))</f>
        <v>0.62061719743775079</v>
      </c>
      <c r="K681" s="27">
        <f>AVERAGE($J$10:J1681)</f>
        <v>0.56883042089778579</v>
      </c>
      <c r="L681" s="28">
        <f t="shared" si="223"/>
        <v>0.42002089708826201</v>
      </c>
      <c r="M681" s="28">
        <f t="shared" si="224"/>
        <v>0.42002089708826201</v>
      </c>
      <c r="N681" s="28">
        <f t="shared" si="225"/>
        <v>999</v>
      </c>
      <c r="O681" s="28"/>
      <c r="P681" s="29">
        <f t="shared" si="241"/>
        <v>0.67200000000000049</v>
      </c>
      <c r="Q681" s="33">
        <f t="shared" si="226"/>
        <v>6.7114093959731544</v>
      </c>
      <c r="R681" s="33">
        <f t="shared" si="227"/>
        <v>6.7114093959731544</v>
      </c>
      <c r="S681" s="33">
        <f t="shared" si="228"/>
        <v>-1</v>
      </c>
      <c r="T681" s="27"/>
      <c r="U681" s="28">
        <f t="shared" si="229"/>
        <v>0.10964912280701754</v>
      </c>
      <c r="V681" s="25">
        <f t="shared" si="230"/>
        <v>999</v>
      </c>
      <c r="W681" s="35">
        <f t="shared" si="242"/>
        <v>25</v>
      </c>
      <c r="X681" s="33">
        <f t="shared" si="231"/>
        <v>25</v>
      </c>
      <c r="Y681" s="32">
        <f t="shared" si="232"/>
        <v>-1</v>
      </c>
      <c r="Z681" s="32"/>
      <c r="AA681" s="30">
        <f t="shared" si="233"/>
        <v>18.40843720038351</v>
      </c>
      <c r="AB681" s="28">
        <f t="shared" si="234"/>
        <v>0.62061719743775079</v>
      </c>
      <c r="AC681" s="28">
        <f t="shared" si="235"/>
        <v>0.10964912280701754</v>
      </c>
      <c r="AD681" s="29">
        <f t="shared" si="236"/>
        <v>637.57115749525622</v>
      </c>
      <c r="AE681" s="28">
        <f t="shared" si="237"/>
        <v>0.10964912280701754</v>
      </c>
      <c r="AF681" s="28">
        <f t="shared" si="238"/>
        <v>0.51096807463073324</v>
      </c>
      <c r="AG681" s="28">
        <f t="shared" si="239"/>
        <v>0</v>
      </c>
      <c r="AI681" s="31">
        <f t="shared" si="240"/>
        <v>2.8225404284331215</v>
      </c>
      <c r="AJ681" s="25"/>
      <c r="AK681" s="31"/>
      <c r="AM681" s="27"/>
    </row>
    <row r="682" spans="4:39" x14ac:dyDescent="0.25">
      <c r="D682" s="25">
        <f>E682*'Profit per cycles Model'!$I$113</f>
        <v>6730</v>
      </c>
      <c r="E682" s="25">
        <v>18.435830708122175</v>
      </c>
      <c r="F682" s="28">
        <f t="shared" si="221"/>
        <v>0.14858841010401189</v>
      </c>
      <c r="G682" s="28">
        <f>'Battery Pricing Model'!$C$17/D682</f>
        <v>0.14858841010401189</v>
      </c>
      <c r="H682" s="28">
        <f t="shared" si="222"/>
        <v>999</v>
      </c>
      <c r="I682" s="28"/>
      <c r="J682" s="34">
        <f>INDEX('Profit per cycles Model'!$I$149:$I$179, MATCH(TRUNC(E682, 0), 'Profit per cycles Model'!$H$149:$H$179, 0))</f>
        <v>0.62061719743775079</v>
      </c>
      <c r="K682" s="27">
        <f>AVERAGE($J$10:J1682)</f>
        <v>0.56883042089778579</v>
      </c>
      <c r="L682" s="28">
        <f t="shared" si="223"/>
        <v>0.42024201079377388</v>
      </c>
      <c r="M682" s="28">
        <f t="shared" si="224"/>
        <v>0.42024201079377388</v>
      </c>
      <c r="N682" s="28">
        <f t="shared" si="225"/>
        <v>999</v>
      </c>
      <c r="O682" s="28"/>
      <c r="P682" s="29">
        <f t="shared" si="241"/>
        <v>0.67300000000000049</v>
      </c>
      <c r="Q682" s="33">
        <f t="shared" si="226"/>
        <v>6.7114093959731544</v>
      </c>
      <c r="R682" s="33">
        <f t="shared" si="227"/>
        <v>6.7114093959731544</v>
      </c>
      <c r="S682" s="33">
        <f t="shared" si="228"/>
        <v>-1</v>
      </c>
      <c r="T682" s="27"/>
      <c r="U682" s="28">
        <f t="shared" si="229"/>
        <v>0.10964912280701754</v>
      </c>
      <c r="V682" s="25">
        <f t="shared" si="230"/>
        <v>999</v>
      </c>
      <c r="W682" s="35">
        <f t="shared" si="242"/>
        <v>25</v>
      </c>
      <c r="X682" s="33">
        <f t="shared" si="231"/>
        <v>25</v>
      </c>
      <c r="Y682" s="32">
        <f t="shared" si="232"/>
        <v>-1</v>
      </c>
      <c r="Z682" s="32"/>
      <c r="AA682" s="30">
        <f t="shared" si="233"/>
        <v>18.435830708122175</v>
      </c>
      <c r="AB682" s="28">
        <f t="shared" si="234"/>
        <v>0.62061719743775079</v>
      </c>
      <c r="AC682" s="28">
        <f t="shared" si="235"/>
        <v>0.10964912280701754</v>
      </c>
      <c r="AD682" s="29">
        <f t="shared" si="236"/>
        <v>638.51992409867182</v>
      </c>
      <c r="AE682" s="28">
        <f t="shared" si="237"/>
        <v>0.10964912280701754</v>
      </c>
      <c r="AF682" s="28">
        <f t="shared" si="238"/>
        <v>0.51096807463073324</v>
      </c>
      <c r="AG682" s="28">
        <f t="shared" si="239"/>
        <v>0</v>
      </c>
      <c r="AI682" s="31">
        <f t="shared" si="240"/>
        <v>2.8282287326420983</v>
      </c>
      <c r="AJ682" s="25"/>
      <c r="AK682" s="31"/>
      <c r="AM682" s="27"/>
    </row>
    <row r="683" spans="4:39" x14ac:dyDescent="0.25">
      <c r="D683" s="25">
        <f>E683*'Profit per cycles Model'!$I$113</f>
        <v>6740</v>
      </c>
      <c r="E683" s="25">
        <v>18.463224215860841</v>
      </c>
      <c r="F683" s="28">
        <f t="shared" si="221"/>
        <v>0.14836795252225518</v>
      </c>
      <c r="G683" s="28">
        <f>'Battery Pricing Model'!$C$17/D683</f>
        <v>0.14836795252225518</v>
      </c>
      <c r="H683" s="28">
        <f t="shared" si="222"/>
        <v>999</v>
      </c>
      <c r="I683" s="28"/>
      <c r="J683" s="34">
        <f>INDEX('Profit per cycles Model'!$I$149:$I$179, MATCH(TRUNC(E683, 0), 'Profit per cycles Model'!$H$149:$H$179, 0))</f>
        <v>0.62061719743775079</v>
      </c>
      <c r="K683" s="27">
        <f>AVERAGE($J$10:J1683)</f>
        <v>0.56883042089778579</v>
      </c>
      <c r="L683" s="28">
        <f t="shared" si="223"/>
        <v>0.42046246837553058</v>
      </c>
      <c r="M683" s="28">
        <f t="shared" si="224"/>
        <v>0.42046246837553058</v>
      </c>
      <c r="N683" s="28">
        <f t="shared" si="225"/>
        <v>999</v>
      </c>
      <c r="O683" s="28"/>
      <c r="P683" s="29">
        <f t="shared" si="241"/>
        <v>0.67400000000000049</v>
      </c>
      <c r="Q683" s="33">
        <f t="shared" si="226"/>
        <v>6.7114093959731544</v>
      </c>
      <c r="R683" s="33">
        <f t="shared" si="227"/>
        <v>6.7114093959731544</v>
      </c>
      <c r="S683" s="33">
        <f t="shared" si="228"/>
        <v>-1</v>
      </c>
      <c r="T683" s="27"/>
      <c r="U683" s="28">
        <f t="shared" si="229"/>
        <v>0.10964912280701754</v>
      </c>
      <c r="V683" s="25">
        <f t="shared" si="230"/>
        <v>999</v>
      </c>
      <c r="W683" s="35">
        <f t="shared" si="242"/>
        <v>25</v>
      </c>
      <c r="X683" s="33">
        <f t="shared" si="231"/>
        <v>25</v>
      </c>
      <c r="Y683" s="32">
        <f t="shared" si="232"/>
        <v>-1</v>
      </c>
      <c r="Z683" s="32"/>
      <c r="AA683" s="30">
        <f t="shared" si="233"/>
        <v>18.463224215860841</v>
      </c>
      <c r="AB683" s="28">
        <f t="shared" si="234"/>
        <v>0.62061719743775079</v>
      </c>
      <c r="AC683" s="28">
        <f t="shared" si="235"/>
        <v>0.10964912280701754</v>
      </c>
      <c r="AD683" s="29">
        <f t="shared" si="236"/>
        <v>639.46869070208732</v>
      </c>
      <c r="AE683" s="28">
        <f t="shared" si="237"/>
        <v>0.10964912280701754</v>
      </c>
      <c r="AF683" s="28">
        <f t="shared" si="238"/>
        <v>0.51096807463073324</v>
      </c>
      <c r="AG683" s="28">
        <f t="shared" si="239"/>
        <v>0</v>
      </c>
      <c r="AI683" s="31">
        <f t="shared" si="240"/>
        <v>2.8339170368510764</v>
      </c>
      <c r="AJ683" s="25"/>
      <c r="AK683" s="31"/>
      <c r="AM683" s="27"/>
    </row>
    <row r="684" spans="4:39" x14ac:dyDescent="0.25">
      <c r="D684" s="25">
        <f>E684*'Profit per cycles Model'!$I$113</f>
        <v>6750</v>
      </c>
      <c r="E684" s="25">
        <v>18.490617723599506</v>
      </c>
      <c r="F684" s="28">
        <f t="shared" si="221"/>
        <v>0.14814814814814814</v>
      </c>
      <c r="G684" s="28">
        <f>'Battery Pricing Model'!$C$17/D684</f>
        <v>0.14814814814814814</v>
      </c>
      <c r="H684" s="28">
        <f t="shared" si="222"/>
        <v>999</v>
      </c>
      <c r="I684" s="28"/>
      <c r="J684" s="34">
        <f>INDEX('Profit per cycles Model'!$I$149:$I$179, MATCH(TRUNC(E684, 0), 'Profit per cycles Model'!$H$149:$H$179, 0))</f>
        <v>0.62061719743775079</v>
      </c>
      <c r="K684" s="27">
        <f>AVERAGE($J$10:J1684)</f>
        <v>0.56883042089778579</v>
      </c>
      <c r="L684" s="28">
        <f t="shared" si="223"/>
        <v>0.42068227274963765</v>
      </c>
      <c r="M684" s="28">
        <f t="shared" si="224"/>
        <v>0.42068227274963765</v>
      </c>
      <c r="N684" s="28">
        <f t="shared" si="225"/>
        <v>999</v>
      </c>
      <c r="O684" s="28"/>
      <c r="P684" s="29">
        <f t="shared" si="241"/>
        <v>0.67500000000000049</v>
      </c>
      <c r="Q684" s="33">
        <f t="shared" si="226"/>
        <v>6.7114093959731544</v>
      </c>
      <c r="R684" s="33">
        <f t="shared" si="227"/>
        <v>6.7114093959731544</v>
      </c>
      <c r="S684" s="33">
        <f t="shared" si="228"/>
        <v>-1</v>
      </c>
      <c r="T684" s="27"/>
      <c r="U684" s="28">
        <f t="shared" si="229"/>
        <v>0.10964912280701754</v>
      </c>
      <c r="V684" s="25">
        <f t="shared" si="230"/>
        <v>999</v>
      </c>
      <c r="W684" s="35">
        <f t="shared" si="242"/>
        <v>25</v>
      </c>
      <c r="X684" s="33">
        <f t="shared" si="231"/>
        <v>25</v>
      </c>
      <c r="Y684" s="32">
        <f t="shared" si="232"/>
        <v>-1</v>
      </c>
      <c r="Z684" s="32"/>
      <c r="AA684" s="30">
        <f t="shared" si="233"/>
        <v>18.490617723599506</v>
      </c>
      <c r="AB684" s="28">
        <f t="shared" si="234"/>
        <v>0.62061719743775079</v>
      </c>
      <c r="AC684" s="28">
        <f t="shared" si="235"/>
        <v>0.10964912280701754</v>
      </c>
      <c r="AD684" s="29">
        <f t="shared" si="236"/>
        <v>640.41745730550281</v>
      </c>
      <c r="AE684" s="28">
        <f t="shared" si="237"/>
        <v>0.10964912280701754</v>
      </c>
      <c r="AF684" s="28">
        <f t="shared" si="238"/>
        <v>0.51096807463073324</v>
      </c>
      <c r="AG684" s="28">
        <f t="shared" si="239"/>
        <v>0</v>
      </c>
      <c r="AI684" s="31">
        <f t="shared" si="240"/>
        <v>2.8396053410600541</v>
      </c>
      <c r="AJ684" s="25"/>
      <c r="AK684" s="31"/>
      <c r="AM684" s="27"/>
    </row>
    <row r="685" spans="4:39" x14ac:dyDescent="0.25">
      <c r="D685" s="25">
        <f>E685*'Profit per cycles Model'!$I$113</f>
        <v>6760</v>
      </c>
      <c r="E685" s="25">
        <v>18.518011231338171</v>
      </c>
      <c r="F685" s="28">
        <f t="shared" si="221"/>
        <v>0.14792899408284024</v>
      </c>
      <c r="G685" s="28">
        <f>'Battery Pricing Model'!$C$17/D685</f>
        <v>0.14792899408284024</v>
      </c>
      <c r="H685" s="28">
        <f t="shared" si="222"/>
        <v>999</v>
      </c>
      <c r="I685" s="28"/>
      <c r="J685" s="34">
        <f>INDEX('Profit per cycles Model'!$I$149:$I$179, MATCH(TRUNC(E685, 0), 'Profit per cycles Model'!$H$149:$H$179, 0))</f>
        <v>0.62061719743775079</v>
      </c>
      <c r="K685" s="27">
        <f>AVERAGE($J$10:J1685)</f>
        <v>0.56883042089778579</v>
      </c>
      <c r="L685" s="28">
        <f t="shared" si="223"/>
        <v>0.42090142681494558</v>
      </c>
      <c r="M685" s="28">
        <f t="shared" si="224"/>
        <v>0.42090142681494558</v>
      </c>
      <c r="N685" s="28">
        <f t="shared" si="225"/>
        <v>999</v>
      </c>
      <c r="O685" s="28"/>
      <c r="P685" s="29">
        <f t="shared" si="241"/>
        <v>0.67600000000000049</v>
      </c>
      <c r="Q685" s="33">
        <f t="shared" si="226"/>
        <v>6.7114093959731544</v>
      </c>
      <c r="R685" s="33">
        <f t="shared" si="227"/>
        <v>6.7114093959731544</v>
      </c>
      <c r="S685" s="33">
        <f t="shared" si="228"/>
        <v>-1</v>
      </c>
      <c r="T685" s="27"/>
      <c r="U685" s="28">
        <f t="shared" si="229"/>
        <v>0.10964912280701754</v>
      </c>
      <c r="V685" s="25">
        <f t="shared" si="230"/>
        <v>999</v>
      </c>
      <c r="W685" s="35">
        <f t="shared" si="242"/>
        <v>25</v>
      </c>
      <c r="X685" s="33">
        <f t="shared" si="231"/>
        <v>25</v>
      </c>
      <c r="Y685" s="32">
        <f t="shared" si="232"/>
        <v>-1</v>
      </c>
      <c r="Z685" s="32"/>
      <c r="AA685" s="30">
        <f t="shared" si="233"/>
        <v>18.518011231338171</v>
      </c>
      <c r="AB685" s="28">
        <f t="shared" si="234"/>
        <v>0.62061719743775079</v>
      </c>
      <c r="AC685" s="28">
        <f t="shared" si="235"/>
        <v>0.10964912280701754</v>
      </c>
      <c r="AD685" s="29">
        <f t="shared" si="236"/>
        <v>641.36622390891841</v>
      </c>
      <c r="AE685" s="28">
        <f t="shared" si="237"/>
        <v>0.10964912280701754</v>
      </c>
      <c r="AF685" s="28">
        <f t="shared" si="238"/>
        <v>0.51096807463073324</v>
      </c>
      <c r="AG685" s="28">
        <f t="shared" si="239"/>
        <v>0</v>
      </c>
      <c r="AI685" s="31">
        <f t="shared" si="240"/>
        <v>2.8452936452690318</v>
      </c>
      <c r="AJ685" s="25"/>
      <c r="AK685" s="31"/>
      <c r="AM685" s="27"/>
    </row>
    <row r="686" spans="4:39" x14ac:dyDescent="0.25">
      <c r="D686" s="25">
        <f>E686*'Profit per cycles Model'!$I$113</f>
        <v>6769.9999999999991</v>
      </c>
      <c r="E686" s="25">
        <v>18.545404739076837</v>
      </c>
      <c r="F686" s="28">
        <f t="shared" si="221"/>
        <v>0.14771048744460857</v>
      </c>
      <c r="G686" s="28">
        <f>'Battery Pricing Model'!$C$17/D686</f>
        <v>0.14771048744460857</v>
      </c>
      <c r="H686" s="28">
        <f t="shared" si="222"/>
        <v>999</v>
      </c>
      <c r="I686" s="28"/>
      <c r="J686" s="34">
        <f>INDEX('Profit per cycles Model'!$I$149:$I$179, MATCH(TRUNC(E686, 0), 'Profit per cycles Model'!$H$149:$H$179, 0))</f>
        <v>0.62061719743775079</v>
      </c>
      <c r="K686" s="27">
        <f>AVERAGE($J$10:J1686)</f>
        <v>0.56883042089778579</v>
      </c>
      <c r="L686" s="28">
        <f t="shared" si="223"/>
        <v>0.42111993345317722</v>
      </c>
      <c r="M686" s="28">
        <f t="shared" si="224"/>
        <v>0.42111993345317722</v>
      </c>
      <c r="N686" s="28">
        <f t="shared" si="225"/>
        <v>999</v>
      </c>
      <c r="O686" s="28"/>
      <c r="P686" s="29">
        <f t="shared" si="241"/>
        <v>0.67700000000000049</v>
      </c>
      <c r="Q686" s="33">
        <f t="shared" si="226"/>
        <v>6.7114093959731544</v>
      </c>
      <c r="R686" s="33">
        <f t="shared" si="227"/>
        <v>6.7114093959731544</v>
      </c>
      <c r="S686" s="33">
        <f t="shared" si="228"/>
        <v>-1</v>
      </c>
      <c r="T686" s="27"/>
      <c r="U686" s="28">
        <f t="shared" si="229"/>
        <v>0.10964912280701754</v>
      </c>
      <c r="V686" s="25">
        <f t="shared" si="230"/>
        <v>999</v>
      </c>
      <c r="W686" s="35">
        <f t="shared" si="242"/>
        <v>25</v>
      </c>
      <c r="X686" s="33">
        <f t="shared" si="231"/>
        <v>25</v>
      </c>
      <c r="Y686" s="32">
        <f t="shared" si="232"/>
        <v>-1</v>
      </c>
      <c r="Z686" s="32"/>
      <c r="AA686" s="30">
        <f t="shared" si="233"/>
        <v>18.545404739076837</v>
      </c>
      <c r="AB686" s="28">
        <f t="shared" si="234"/>
        <v>0.62061719743775079</v>
      </c>
      <c r="AC686" s="28">
        <f t="shared" si="235"/>
        <v>0.10964912280701754</v>
      </c>
      <c r="AD686" s="29">
        <f t="shared" si="236"/>
        <v>642.31499051233391</v>
      </c>
      <c r="AE686" s="28">
        <f t="shared" si="237"/>
        <v>0.10964912280701754</v>
      </c>
      <c r="AF686" s="28">
        <f t="shared" si="238"/>
        <v>0.51096807463073324</v>
      </c>
      <c r="AG686" s="28">
        <f t="shared" si="239"/>
        <v>0</v>
      </c>
      <c r="AI686" s="31">
        <f t="shared" si="240"/>
        <v>2.8509819494780095</v>
      </c>
      <c r="AJ686" s="25"/>
      <c r="AK686" s="31"/>
      <c r="AM686" s="27"/>
    </row>
    <row r="687" spans="4:39" x14ac:dyDescent="0.25">
      <c r="D687" s="25">
        <f>E687*'Profit per cycles Model'!$I$113</f>
        <v>6780.0000000000009</v>
      </c>
      <c r="E687" s="25">
        <v>18.572798246815506</v>
      </c>
      <c r="F687" s="28">
        <f t="shared" si="221"/>
        <v>0.14749262536873153</v>
      </c>
      <c r="G687" s="28">
        <f>'Battery Pricing Model'!$C$17/D687</f>
        <v>0.14749262536873153</v>
      </c>
      <c r="H687" s="28">
        <f t="shared" si="222"/>
        <v>999</v>
      </c>
      <c r="I687" s="28"/>
      <c r="J687" s="34">
        <f>INDEX('Profit per cycles Model'!$I$149:$I$179, MATCH(TRUNC(E687, 0), 'Profit per cycles Model'!$H$149:$H$179, 0))</f>
        <v>0.62061719743775079</v>
      </c>
      <c r="K687" s="27">
        <f>AVERAGE($J$10:J1687)</f>
        <v>0.56883042089778579</v>
      </c>
      <c r="L687" s="28">
        <f t="shared" si="223"/>
        <v>0.42133779552905426</v>
      </c>
      <c r="M687" s="28">
        <f t="shared" si="224"/>
        <v>0.42133779552905426</v>
      </c>
      <c r="N687" s="28">
        <f t="shared" si="225"/>
        <v>999</v>
      </c>
      <c r="O687" s="28"/>
      <c r="P687" s="29">
        <f t="shared" si="241"/>
        <v>0.67800000000000049</v>
      </c>
      <c r="Q687" s="33">
        <f t="shared" si="226"/>
        <v>6.7114093959731544</v>
      </c>
      <c r="R687" s="33">
        <f t="shared" si="227"/>
        <v>6.7114093959731544</v>
      </c>
      <c r="S687" s="33">
        <f t="shared" si="228"/>
        <v>-1</v>
      </c>
      <c r="T687" s="27"/>
      <c r="U687" s="28">
        <f t="shared" si="229"/>
        <v>0.10964912280701754</v>
      </c>
      <c r="V687" s="25">
        <f t="shared" si="230"/>
        <v>999</v>
      </c>
      <c r="W687" s="35">
        <f t="shared" si="242"/>
        <v>25</v>
      </c>
      <c r="X687" s="33">
        <f t="shared" si="231"/>
        <v>25</v>
      </c>
      <c r="Y687" s="32">
        <f t="shared" si="232"/>
        <v>-1</v>
      </c>
      <c r="Z687" s="32"/>
      <c r="AA687" s="30">
        <f t="shared" si="233"/>
        <v>18.572798246815506</v>
      </c>
      <c r="AB687" s="28">
        <f t="shared" si="234"/>
        <v>0.62061719743775079</v>
      </c>
      <c r="AC687" s="28">
        <f t="shared" si="235"/>
        <v>0.10964912280701754</v>
      </c>
      <c r="AD687" s="29">
        <f t="shared" si="236"/>
        <v>643.26375711574963</v>
      </c>
      <c r="AE687" s="28">
        <f t="shared" si="237"/>
        <v>0.10964912280701754</v>
      </c>
      <c r="AF687" s="28">
        <f t="shared" si="238"/>
        <v>0.51096807463073324</v>
      </c>
      <c r="AG687" s="28">
        <f t="shared" si="239"/>
        <v>0</v>
      </c>
      <c r="AI687" s="31">
        <f t="shared" si="240"/>
        <v>2.8566702536869886</v>
      </c>
      <c r="AJ687" s="25"/>
      <c r="AK687" s="31"/>
      <c r="AM687" s="27"/>
    </row>
    <row r="688" spans="4:39" x14ac:dyDescent="0.25">
      <c r="D688" s="25">
        <f>E688*'Profit per cycles Model'!$I$113</f>
        <v>6790</v>
      </c>
      <c r="E688" s="25">
        <v>18.600191754554171</v>
      </c>
      <c r="F688" s="28">
        <f t="shared" si="221"/>
        <v>0.14727540500736377</v>
      </c>
      <c r="G688" s="28">
        <f>'Battery Pricing Model'!$C$17/D688</f>
        <v>0.14727540500736377</v>
      </c>
      <c r="H688" s="28">
        <f t="shared" si="222"/>
        <v>999</v>
      </c>
      <c r="I688" s="28"/>
      <c r="J688" s="34">
        <f>INDEX('Profit per cycles Model'!$I$149:$I$179, MATCH(TRUNC(E688, 0), 'Profit per cycles Model'!$H$149:$H$179, 0))</f>
        <v>0.62061719743775079</v>
      </c>
      <c r="K688" s="27">
        <f>AVERAGE($J$10:J1688)</f>
        <v>0.56883042089778579</v>
      </c>
      <c r="L688" s="28">
        <f t="shared" si="223"/>
        <v>0.42155501589042199</v>
      </c>
      <c r="M688" s="28">
        <f t="shared" si="224"/>
        <v>0.42155501589042199</v>
      </c>
      <c r="N688" s="28">
        <f t="shared" si="225"/>
        <v>999</v>
      </c>
      <c r="O688" s="28"/>
      <c r="P688" s="29">
        <f t="shared" si="241"/>
        <v>0.67900000000000049</v>
      </c>
      <c r="Q688" s="33">
        <f t="shared" si="226"/>
        <v>6.7114093959731544</v>
      </c>
      <c r="R688" s="33">
        <f t="shared" si="227"/>
        <v>6.7114093959731544</v>
      </c>
      <c r="S688" s="33">
        <f t="shared" si="228"/>
        <v>-1</v>
      </c>
      <c r="T688" s="27"/>
      <c r="U688" s="28">
        <f t="shared" si="229"/>
        <v>0.10964912280701754</v>
      </c>
      <c r="V688" s="25">
        <f t="shared" si="230"/>
        <v>999</v>
      </c>
      <c r="W688" s="35">
        <f t="shared" si="242"/>
        <v>25</v>
      </c>
      <c r="X688" s="33">
        <f t="shared" si="231"/>
        <v>25</v>
      </c>
      <c r="Y688" s="32">
        <f t="shared" si="232"/>
        <v>-1</v>
      </c>
      <c r="Z688" s="32"/>
      <c r="AA688" s="30">
        <f t="shared" si="233"/>
        <v>18.600191754554171</v>
      </c>
      <c r="AB688" s="28">
        <f t="shared" si="234"/>
        <v>0.62061719743775079</v>
      </c>
      <c r="AC688" s="28">
        <f t="shared" si="235"/>
        <v>0.10964912280701754</v>
      </c>
      <c r="AD688" s="29">
        <f t="shared" si="236"/>
        <v>644.21252371916512</v>
      </c>
      <c r="AE688" s="28">
        <f t="shared" si="237"/>
        <v>0.10964912280701754</v>
      </c>
      <c r="AF688" s="28">
        <f t="shared" si="238"/>
        <v>0.51096807463073324</v>
      </c>
      <c r="AG688" s="28">
        <f t="shared" si="239"/>
        <v>0</v>
      </c>
      <c r="AI688" s="31">
        <f t="shared" si="240"/>
        <v>2.8623585578959654</v>
      </c>
      <c r="AJ688" s="25"/>
      <c r="AK688" s="31"/>
      <c r="AM688" s="27"/>
    </row>
    <row r="689" spans="4:39" x14ac:dyDescent="0.25">
      <c r="D689" s="25">
        <f>E689*'Profit per cycles Model'!$I$113</f>
        <v>6800</v>
      </c>
      <c r="E689" s="25">
        <v>18.627585262292836</v>
      </c>
      <c r="F689" s="28">
        <f t="shared" si="221"/>
        <v>0.14705882352941177</v>
      </c>
      <c r="G689" s="28">
        <f>'Battery Pricing Model'!$C$17/D689</f>
        <v>0.14705882352941177</v>
      </c>
      <c r="H689" s="28">
        <f t="shared" si="222"/>
        <v>999</v>
      </c>
      <c r="I689" s="28"/>
      <c r="J689" s="34">
        <f>INDEX('Profit per cycles Model'!$I$149:$I$179, MATCH(TRUNC(E689, 0), 'Profit per cycles Model'!$H$149:$H$179, 0))</f>
        <v>0.62061719743775079</v>
      </c>
      <c r="K689" s="27">
        <f>AVERAGE($J$10:J1689)</f>
        <v>0.56883042089778579</v>
      </c>
      <c r="L689" s="28">
        <f t="shared" si="223"/>
        <v>0.421771597368374</v>
      </c>
      <c r="M689" s="28">
        <f t="shared" si="224"/>
        <v>0.421771597368374</v>
      </c>
      <c r="N689" s="28">
        <f t="shared" si="225"/>
        <v>999</v>
      </c>
      <c r="O689" s="28"/>
      <c r="P689" s="29">
        <f t="shared" si="241"/>
        <v>0.68000000000000049</v>
      </c>
      <c r="Q689" s="33">
        <f t="shared" si="226"/>
        <v>6.7114093959731544</v>
      </c>
      <c r="R689" s="33">
        <f t="shared" si="227"/>
        <v>6.7114093959731544</v>
      </c>
      <c r="S689" s="33">
        <f t="shared" si="228"/>
        <v>-1</v>
      </c>
      <c r="T689" s="27"/>
      <c r="U689" s="28">
        <f t="shared" si="229"/>
        <v>0.10964912280701754</v>
      </c>
      <c r="V689" s="25">
        <f t="shared" si="230"/>
        <v>999</v>
      </c>
      <c r="W689" s="35">
        <f t="shared" si="242"/>
        <v>25</v>
      </c>
      <c r="X689" s="33">
        <f t="shared" si="231"/>
        <v>25</v>
      </c>
      <c r="Y689" s="32">
        <f t="shared" si="232"/>
        <v>-1</v>
      </c>
      <c r="Z689" s="32"/>
      <c r="AA689" s="30">
        <f t="shared" si="233"/>
        <v>18.627585262292836</v>
      </c>
      <c r="AB689" s="28">
        <f t="shared" si="234"/>
        <v>0.62061719743775079</v>
      </c>
      <c r="AC689" s="28">
        <f t="shared" si="235"/>
        <v>0.10964912280701754</v>
      </c>
      <c r="AD689" s="29">
        <f t="shared" si="236"/>
        <v>645.16129032258061</v>
      </c>
      <c r="AE689" s="28">
        <f t="shared" si="237"/>
        <v>0.10964912280701754</v>
      </c>
      <c r="AF689" s="28">
        <f t="shared" si="238"/>
        <v>0.51096807463073324</v>
      </c>
      <c r="AG689" s="28">
        <f t="shared" si="239"/>
        <v>0</v>
      </c>
      <c r="AI689" s="31">
        <f t="shared" si="240"/>
        <v>2.8680468621049431</v>
      </c>
      <c r="AJ689" s="25"/>
      <c r="AK689" s="31"/>
      <c r="AM689" s="27"/>
    </row>
    <row r="690" spans="4:39" x14ac:dyDescent="0.25">
      <c r="D690" s="25">
        <f>E690*'Profit per cycles Model'!$I$113</f>
        <v>6810</v>
      </c>
      <c r="E690" s="25">
        <v>18.654978770031502</v>
      </c>
      <c r="F690" s="28">
        <f t="shared" si="221"/>
        <v>0.14684287812041116</v>
      </c>
      <c r="G690" s="28">
        <f>'Battery Pricing Model'!$C$17/D690</f>
        <v>0.14684287812041116</v>
      </c>
      <c r="H690" s="28">
        <f t="shared" si="222"/>
        <v>999</v>
      </c>
      <c r="I690" s="28"/>
      <c r="J690" s="34">
        <f>INDEX('Profit per cycles Model'!$I$149:$I$179, MATCH(TRUNC(E690, 0), 'Profit per cycles Model'!$H$149:$H$179, 0))</f>
        <v>0.62061719743775079</v>
      </c>
      <c r="K690" s="27">
        <f>AVERAGE($J$10:J1690)</f>
        <v>0.56883042089778579</v>
      </c>
      <c r="L690" s="28">
        <f t="shared" si="223"/>
        <v>0.4219875427773746</v>
      </c>
      <c r="M690" s="28">
        <f t="shared" si="224"/>
        <v>0.4219875427773746</v>
      </c>
      <c r="N690" s="28">
        <f t="shared" si="225"/>
        <v>999</v>
      </c>
      <c r="O690" s="28"/>
      <c r="P690" s="29">
        <f t="shared" si="241"/>
        <v>0.68100000000000049</v>
      </c>
      <c r="Q690" s="33">
        <f t="shared" si="226"/>
        <v>6.7114093959731544</v>
      </c>
      <c r="R690" s="33">
        <f t="shared" si="227"/>
        <v>6.7114093959731544</v>
      </c>
      <c r="S690" s="33">
        <f t="shared" si="228"/>
        <v>-1</v>
      </c>
      <c r="T690" s="27"/>
      <c r="U690" s="28">
        <f t="shared" si="229"/>
        <v>0.10964912280701754</v>
      </c>
      <c r="V690" s="25">
        <f t="shared" si="230"/>
        <v>999</v>
      </c>
      <c r="W690" s="35">
        <f t="shared" si="242"/>
        <v>25</v>
      </c>
      <c r="X690" s="33">
        <f t="shared" si="231"/>
        <v>25</v>
      </c>
      <c r="Y690" s="32">
        <f t="shared" si="232"/>
        <v>-1</v>
      </c>
      <c r="Z690" s="32"/>
      <c r="AA690" s="30">
        <f t="shared" si="233"/>
        <v>18.654978770031502</v>
      </c>
      <c r="AB690" s="28">
        <f t="shared" si="234"/>
        <v>0.62061719743775079</v>
      </c>
      <c r="AC690" s="28">
        <f t="shared" si="235"/>
        <v>0.10964912280701754</v>
      </c>
      <c r="AD690" s="29">
        <f t="shared" si="236"/>
        <v>646.11005692599622</v>
      </c>
      <c r="AE690" s="28">
        <f t="shared" si="237"/>
        <v>0.10964912280701754</v>
      </c>
      <c r="AF690" s="28">
        <f t="shared" si="238"/>
        <v>0.51096807463073324</v>
      </c>
      <c r="AG690" s="28">
        <f t="shared" si="239"/>
        <v>0</v>
      </c>
      <c r="AI690" s="31">
        <f t="shared" si="240"/>
        <v>2.8737351663139208</v>
      </c>
      <c r="AJ690" s="25"/>
      <c r="AK690" s="31"/>
      <c r="AM690" s="27"/>
    </row>
    <row r="691" spans="4:39" x14ac:dyDescent="0.25">
      <c r="D691" s="25">
        <f>E691*'Profit per cycles Model'!$I$113</f>
        <v>6820</v>
      </c>
      <c r="E691" s="25">
        <v>18.682372277770167</v>
      </c>
      <c r="F691" s="28">
        <f t="shared" si="221"/>
        <v>0.1466275659824047</v>
      </c>
      <c r="G691" s="28">
        <f>'Battery Pricing Model'!$C$17/D691</f>
        <v>0.1466275659824047</v>
      </c>
      <c r="H691" s="28">
        <f t="shared" si="222"/>
        <v>999</v>
      </c>
      <c r="I691" s="28"/>
      <c r="J691" s="34">
        <f>INDEX('Profit per cycles Model'!$I$149:$I$179, MATCH(TRUNC(E691, 0), 'Profit per cycles Model'!$H$149:$H$179, 0))</f>
        <v>0.62061719743775079</v>
      </c>
      <c r="K691" s="27">
        <f>AVERAGE($J$10:J1691)</f>
        <v>0.56883042089778579</v>
      </c>
      <c r="L691" s="28">
        <f t="shared" si="223"/>
        <v>0.42220285491538112</v>
      </c>
      <c r="M691" s="28">
        <f t="shared" si="224"/>
        <v>0.42220285491538112</v>
      </c>
      <c r="N691" s="28">
        <f t="shared" si="225"/>
        <v>999</v>
      </c>
      <c r="O691" s="28"/>
      <c r="P691" s="29">
        <f t="shared" si="241"/>
        <v>0.68200000000000049</v>
      </c>
      <c r="Q691" s="33">
        <f t="shared" si="226"/>
        <v>6.7114093959731544</v>
      </c>
      <c r="R691" s="33">
        <f t="shared" si="227"/>
        <v>6.7114093959731544</v>
      </c>
      <c r="S691" s="33">
        <f t="shared" si="228"/>
        <v>-1</v>
      </c>
      <c r="T691" s="27"/>
      <c r="U691" s="28">
        <f t="shared" si="229"/>
        <v>0.10964912280701754</v>
      </c>
      <c r="V691" s="25">
        <f t="shared" si="230"/>
        <v>999</v>
      </c>
      <c r="W691" s="35">
        <f t="shared" si="242"/>
        <v>25</v>
      </c>
      <c r="X691" s="33">
        <f t="shared" si="231"/>
        <v>25</v>
      </c>
      <c r="Y691" s="32">
        <f t="shared" si="232"/>
        <v>-1</v>
      </c>
      <c r="Z691" s="32"/>
      <c r="AA691" s="30">
        <f t="shared" si="233"/>
        <v>18.682372277770167</v>
      </c>
      <c r="AB691" s="28">
        <f t="shared" si="234"/>
        <v>0.62061719743775079</v>
      </c>
      <c r="AC691" s="28">
        <f t="shared" si="235"/>
        <v>0.10964912280701754</v>
      </c>
      <c r="AD691" s="29">
        <f t="shared" si="236"/>
        <v>647.05882352941171</v>
      </c>
      <c r="AE691" s="28">
        <f t="shared" si="237"/>
        <v>0.10964912280701754</v>
      </c>
      <c r="AF691" s="28">
        <f t="shared" si="238"/>
        <v>0.51096807463073324</v>
      </c>
      <c r="AG691" s="28">
        <f t="shared" si="239"/>
        <v>0</v>
      </c>
      <c r="AI691" s="31">
        <f t="shared" si="240"/>
        <v>2.8794234705228989</v>
      </c>
      <c r="AJ691" s="25"/>
      <c r="AK691" s="31"/>
      <c r="AM691" s="27"/>
    </row>
    <row r="692" spans="4:39" x14ac:dyDescent="0.25">
      <c r="D692" s="25">
        <f>E692*'Profit per cycles Model'!$I$113</f>
        <v>6829.9999999999991</v>
      </c>
      <c r="E692" s="25">
        <v>18.709765785508832</v>
      </c>
      <c r="F692" s="28">
        <f t="shared" si="221"/>
        <v>0.14641288433382141</v>
      </c>
      <c r="G692" s="28">
        <f>'Battery Pricing Model'!$C$17/D692</f>
        <v>0.14641288433382141</v>
      </c>
      <c r="H692" s="28">
        <f t="shared" si="222"/>
        <v>999</v>
      </c>
      <c r="I692" s="28"/>
      <c r="J692" s="34">
        <f>INDEX('Profit per cycles Model'!$I$149:$I$179, MATCH(TRUNC(E692, 0), 'Profit per cycles Model'!$H$149:$H$179, 0))</f>
        <v>0.62061719743775079</v>
      </c>
      <c r="K692" s="27">
        <f>AVERAGE($J$10:J1692)</f>
        <v>0.56883042089778579</v>
      </c>
      <c r="L692" s="28">
        <f t="shared" si="223"/>
        <v>0.42241753656396441</v>
      </c>
      <c r="M692" s="28">
        <f t="shared" si="224"/>
        <v>0.42241753656396441</v>
      </c>
      <c r="N692" s="28">
        <f t="shared" si="225"/>
        <v>999</v>
      </c>
      <c r="O692" s="28"/>
      <c r="P692" s="29">
        <f t="shared" si="241"/>
        <v>0.6830000000000005</v>
      </c>
      <c r="Q692" s="33">
        <f t="shared" si="226"/>
        <v>6.7114093959731544</v>
      </c>
      <c r="R692" s="33">
        <f t="shared" si="227"/>
        <v>6.7114093959731544</v>
      </c>
      <c r="S692" s="33">
        <f t="shared" si="228"/>
        <v>-1</v>
      </c>
      <c r="T692" s="27"/>
      <c r="U692" s="28">
        <f t="shared" si="229"/>
        <v>0.10964912280701754</v>
      </c>
      <c r="V692" s="25">
        <f t="shared" si="230"/>
        <v>999</v>
      </c>
      <c r="W692" s="35">
        <f t="shared" si="242"/>
        <v>25</v>
      </c>
      <c r="X692" s="33">
        <f t="shared" si="231"/>
        <v>25</v>
      </c>
      <c r="Y692" s="32">
        <f t="shared" si="232"/>
        <v>-1</v>
      </c>
      <c r="Z692" s="32"/>
      <c r="AA692" s="30">
        <f t="shared" si="233"/>
        <v>18.709765785508832</v>
      </c>
      <c r="AB692" s="28">
        <f t="shared" si="234"/>
        <v>0.62061719743775079</v>
      </c>
      <c r="AC692" s="28">
        <f t="shared" si="235"/>
        <v>0.10964912280701754</v>
      </c>
      <c r="AD692" s="29">
        <f t="shared" si="236"/>
        <v>648.00759013282732</v>
      </c>
      <c r="AE692" s="28">
        <f t="shared" si="237"/>
        <v>0.10964912280701754</v>
      </c>
      <c r="AF692" s="28">
        <f t="shared" si="238"/>
        <v>0.51096807463073324</v>
      </c>
      <c r="AG692" s="28">
        <f t="shared" si="239"/>
        <v>0</v>
      </c>
      <c r="AI692" s="31">
        <f t="shared" si="240"/>
        <v>2.8851117747318762</v>
      </c>
      <c r="AJ692" s="25"/>
      <c r="AK692" s="31"/>
      <c r="AM692" s="27"/>
    </row>
    <row r="693" spans="4:39" x14ac:dyDescent="0.25">
      <c r="D693" s="25">
        <f>E693*'Profit per cycles Model'!$I$113</f>
        <v>6840.0000000000009</v>
      </c>
      <c r="E693" s="25">
        <v>18.737159293247501</v>
      </c>
      <c r="F693" s="28">
        <f t="shared" si="221"/>
        <v>0.14619883040935672</v>
      </c>
      <c r="G693" s="28">
        <f>'Battery Pricing Model'!$C$17/D693</f>
        <v>0.14619883040935672</v>
      </c>
      <c r="H693" s="28">
        <f t="shared" si="222"/>
        <v>999</v>
      </c>
      <c r="I693" s="28"/>
      <c r="J693" s="34">
        <f>INDEX('Profit per cycles Model'!$I$149:$I$179, MATCH(TRUNC(E693, 0), 'Profit per cycles Model'!$H$149:$H$179, 0))</f>
        <v>0.62061719743775079</v>
      </c>
      <c r="K693" s="27">
        <f>AVERAGE($J$10:J1693)</f>
        <v>0.56883042089778579</v>
      </c>
      <c r="L693" s="28">
        <f t="shared" si="223"/>
        <v>0.42263159048842908</v>
      </c>
      <c r="M693" s="28">
        <f t="shared" si="224"/>
        <v>0.42263159048842908</v>
      </c>
      <c r="N693" s="28">
        <f t="shared" si="225"/>
        <v>999</v>
      </c>
      <c r="O693" s="28"/>
      <c r="P693" s="29">
        <f t="shared" si="241"/>
        <v>0.6840000000000005</v>
      </c>
      <c r="Q693" s="33">
        <f t="shared" si="226"/>
        <v>6.7114093959731544</v>
      </c>
      <c r="R693" s="33">
        <f t="shared" si="227"/>
        <v>6.7114093959731544</v>
      </c>
      <c r="S693" s="33">
        <f t="shared" si="228"/>
        <v>-1</v>
      </c>
      <c r="T693" s="27"/>
      <c r="U693" s="28">
        <f t="shared" si="229"/>
        <v>0.10964912280701754</v>
      </c>
      <c r="V693" s="25">
        <f t="shared" si="230"/>
        <v>999</v>
      </c>
      <c r="W693" s="35">
        <f t="shared" si="242"/>
        <v>25</v>
      </c>
      <c r="X693" s="33">
        <f t="shared" si="231"/>
        <v>25</v>
      </c>
      <c r="Y693" s="32">
        <f t="shared" si="232"/>
        <v>-1</v>
      </c>
      <c r="Z693" s="32"/>
      <c r="AA693" s="30">
        <f t="shared" si="233"/>
        <v>18.737159293247501</v>
      </c>
      <c r="AB693" s="28">
        <f t="shared" si="234"/>
        <v>0.62061719743775079</v>
      </c>
      <c r="AC693" s="28">
        <f t="shared" si="235"/>
        <v>0.10964912280701754</v>
      </c>
      <c r="AD693" s="29">
        <f t="shared" si="236"/>
        <v>648.95635673624292</v>
      </c>
      <c r="AE693" s="28">
        <f t="shared" si="237"/>
        <v>0.10964912280701754</v>
      </c>
      <c r="AF693" s="28">
        <f t="shared" si="238"/>
        <v>0.51096807463073324</v>
      </c>
      <c r="AG693" s="28">
        <f t="shared" si="239"/>
        <v>0</v>
      </c>
      <c r="AI693" s="31">
        <f t="shared" si="240"/>
        <v>2.8908000789408552</v>
      </c>
      <c r="AJ693" s="25"/>
      <c r="AK693" s="31"/>
      <c r="AM693" s="27"/>
    </row>
    <row r="694" spans="4:39" x14ac:dyDescent="0.25">
      <c r="D694" s="25">
        <f>E694*'Profit per cycles Model'!$I$113</f>
        <v>6850</v>
      </c>
      <c r="E694" s="25">
        <v>18.764552800986166</v>
      </c>
      <c r="F694" s="28">
        <f t="shared" si="221"/>
        <v>0.145985401459854</v>
      </c>
      <c r="G694" s="28">
        <f>'Battery Pricing Model'!$C$17/D694</f>
        <v>0.145985401459854</v>
      </c>
      <c r="H694" s="28">
        <f t="shared" si="222"/>
        <v>999</v>
      </c>
      <c r="I694" s="28"/>
      <c r="J694" s="34">
        <f>INDEX('Profit per cycles Model'!$I$149:$I$179, MATCH(TRUNC(E694, 0), 'Profit per cycles Model'!$H$149:$H$179, 0))</f>
        <v>0.62061719743775079</v>
      </c>
      <c r="K694" s="27">
        <f>AVERAGE($J$10:J1694)</f>
        <v>0.56883042089778579</v>
      </c>
      <c r="L694" s="28">
        <f t="shared" si="223"/>
        <v>0.42284501943793179</v>
      </c>
      <c r="M694" s="28">
        <f t="shared" si="224"/>
        <v>0.42284501943793179</v>
      </c>
      <c r="N694" s="28">
        <f t="shared" si="225"/>
        <v>999</v>
      </c>
      <c r="O694" s="28"/>
      <c r="P694" s="29">
        <f t="shared" si="241"/>
        <v>0.6850000000000005</v>
      </c>
      <c r="Q694" s="33">
        <f t="shared" si="226"/>
        <v>6.7114093959731544</v>
      </c>
      <c r="R694" s="33">
        <f t="shared" si="227"/>
        <v>6.7114093959731544</v>
      </c>
      <c r="S694" s="33">
        <f t="shared" si="228"/>
        <v>-1</v>
      </c>
      <c r="T694" s="27"/>
      <c r="U694" s="28">
        <f t="shared" si="229"/>
        <v>0.10964912280701754</v>
      </c>
      <c r="V694" s="25">
        <f t="shared" si="230"/>
        <v>999</v>
      </c>
      <c r="W694" s="35">
        <f t="shared" si="242"/>
        <v>25</v>
      </c>
      <c r="X694" s="33">
        <f t="shared" si="231"/>
        <v>25</v>
      </c>
      <c r="Y694" s="32">
        <f t="shared" si="232"/>
        <v>-1</v>
      </c>
      <c r="Z694" s="32"/>
      <c r="AA694" s="30">
        <f t="shared" si="233"/>
        <v>18.764552800986166</v>
      </c>
      <c r="AB694" s="28">
        <f t="shared" si="234"/>
        <v>0.62061719743775079</v>
      </c>
      <c r="AC694" s="28">
        <f t="shared" si="235"/>
        <v>0.10964912280701754</v>
      </c>
      <c r="AD694" s="29">
        <f t="shared" si="236"/>
        <v>649.90512333965853</v>
      </c>
      <c r="AE694" s="28">
        <f t="shared" si="237"/>
        <v>0.10964912280701754</v>
      </c>
      <c r="AF694" s="28">
        <f t="shared" si="238"/>
        <v>0.51096807463073324</v>
      </c>
      <c r="AG694" s="28">
        <f t="shared" si="239"/>
        <v>0</v>
      </c>
      <c r="AI694" s="31">
        <f t="shared" si="240"/>
        <v>2.8964883831498329</v>
      </c>
      <c r="AJ694" s="25"/>
      <c r="AK694" s="31"/>
      <c r="AM694" s="27"/>
    </row>
    <row r="695" spans="4:39" x14ac:dyDescent="0.25">
      <c r="D695" s="25">
        <f>E695*'Profit per cycles Model'!$I$113</f>
        <v>6860</v>
      </c>
      <c r="E695" s="25">
        <v>18.791946308724832</v>
      </c>
      <c r="F695" s="28">
        <f t="shared" si="221"/>
        <v>0.1457725947521866</v>
      </c>
      <c r="G695" s="28">
        <f>'Battery Pricing Model'!$C$17/D695</f>
        <v>0.1457725947521866</v>
      </c>
      <c r="H695" s="28">
        <f t="shared" si="222"/>
        <v>999</v>
      </c>
      <c r="I695" s="28"/>
      <c r="J695" s="34">
        <f>INDEX('Profit per cycles Model'!$I$149:$I$179, MATCH(TRUNC(E695, 0), 'Profit per cycles Model'!$H$149:$H$179, 0))</f>
        <v>0.62061719743775079</v>
      </c>
      <c r="K695" s="27">
        <f>AVERAGE($J$10:J1695)</f>
        <v>0.56883042089778579</v>
      </c>
      <c r="L695" s="28">
        <f t="shared" si="223"/>
        <v>0.42305782614559917</v>
      </c>
      <c r="M695" s="28">
        <f t="shared" si="224"/>
        <v>0.42305782614559917</v>
      </c>
      <c r="N695" s="28">
        <f t="shared" si="225"/>
        <v>999</v>
      </c>
      <c r="O695" s="28"/>
      <c r="P695" s="29">
        <f t="shared" si="241"/>
        <v>0.6860000000000005</v>
      </c>
      <c r="Q695" s="33">
        <f t="shared" si="226"/>
        <v>6.7114093959731544</v>
      </c>
      <c r="R695" s="33">
        <f t="shared" si="227"/>
        <v>6.7114093959731544</v>
      </c>
      <c r="S695" s="33">
        <f t="shared" si="228"/>
        <v>-1</v>
      </c>
      <c r="T695" s="27"/>
      <c r="U695" s="28">
        <f t="shared" si="229"/>
        <v>0.10964912280701754</v>
      </c>
      <c r="V695" s="25">
        <f t="shared" si="230"/>
        <v>999</v>
      </c>
      <c r="W695" s="35">
        <f t="shared" si="242"/>
        <v>25</v>
      </c>
      <c r="X695" s="33">
        <f t="shared" si="231"/>
        <v>25</v>
      </c>
      <c r="Y695" s="32">
        <f t="shared" si="232"/>
        <v>-1</v>
      </c>
      <c r="Z695" s="32"/>
      <c r="AA695" s="30">
        <f t="shared" si="233"/>
        <v>18.791946308724832</v>
      </c>
      <c r="AB695" s="28">
        <f t="shared" si="234"/>
        <v>0.62061719743775079</v>
      </c>
      <c r="AC695" s="28">
        <f t="shared" si="235"/>
        <v>0.10964912280701754</v>
      </c>
      <c r="AD695" s="29">
        <f t="shared" si="236"/>
        <v>650.85388994307402</v>
      </c>
      <c r="AE695" s="28">
        <f t="shared" si="237"/>
        <v>0.10964912280701754</v>
      </c>
      <c r="AF695" s="28">
        <f t="shared" si="238"/>
        <v>0.51096807463073324</v>
      </c>
      <c r="AG695" s="28">
        <f t="shared" si="239"/>
        <v>0</v>
      </c>
      <c r="AI695" s="31">
        <f t="shared" si="240"/>
        <v>2.9021766873588102</v>
      </c>
      <c r="AJ695" s="25"/>
      <c r="AK695" s="31"/>
      <c r="AM695" s="27"/>
    </row>
    <row r="696" spans="4:39" x14ac:dyDescent="0.25">
      <c r="D696" s="25">
        <f>E696*'Profit per cycles Model'!$I$113</f>
        <v>6870</v>
      </c>
      <c r="E696" s="25">
        <v>18.819339816463497</v>
      </c>
      <c r="F696" s="28">
        <f t="shared" si="221"/>
        <v>0.14556040756914118</v>
      </c>
      <c r="G696" s="28">
        <f>'Battery Pricing Model'!$C$17/D696</f>
        <v>0.14556040756914118</v>
      </c>
      <c r="H696" s="28">
        <f t="shared" si="222"/>
        <v>999</v>
      </c>
      <c r="I696" s="28"/>
      <c r="J696" s="34">
        <f>INDEX('Profit per cycles Model'!$I$149:$I$179, MATCH(TRUNC(E696, 0), 'Profit per cycles Model'!$H$149:$H$179, 0))</f>
        <v>0.62061719743775079</v>
      </c>
      <c r="K696" s="27">
        <f>AVERAGE($J$10:J1696)</f>
        <v>0.56883042089778579</v>
      </c>
      <c r="L696" s="28">
        <f t="shared" si="223"/>
        <v>0.42327001332864461</v>
      </c>
      <c r="M696" s="28">
        <f t="shared" si="224"/>
        <v>0.42327001332864461</v>
      </c>
      <c r="N696" s="28">
        <f t="shared" si="225"/>
        <v>999</v>
      </c>
      <c r="O696" s="28"/>
      <c r="P696" s="29">
        <f t="shared" si="241"/>
        <v>0.6870000000000005</v>
      </c>
      <c r="Q696" s="33">
        <f t="shared" si="226"/>
        <v>6.7114093959731544</v>
      </c>
      <c r="R696" s="33">
        <f t="shared" si="227"/>
        <v>6.7114093959731544</v>
      </c>
      <c r="S696" s="33">
        <f t="shared" si="228"/>
        <v>-1</v>
      </c>
      <c r="T696" s="27"/>
      <c r="U696" s="28">
        <f t="shared" si="229"/>
        <v>0.10964912280701754</v>
      </c>
      <c r="V696" s="25">
        <f t="shared" si="230"/>
        <v>999</v>
      </c>
      <c r="W696" s="35">
        <f t="shared" si="242"/>
        <v>25</v>
      </c>
      <c r="X696" s="33">
        <f t="shared" si="231"/>
        <v>25</v>
      </c>
      <c r="Y696" s="32">
        <f t="shared" si="232"/>
        <v>-1</v>
      </c>
      <c r="Z696" s="32"/>
      <c r="AA696" s="30">
        <f t="shared" si="233"/>
        <v>18.819339816463497</v>
      </c>
      <c r="AB696" s="28">
        <f t="shared" si="234"/>
        <v>0.62061719743775079</v>
      </c>
      <c r="AC696" s="28">
        <f t="shared" si="235"/>
        <v>0.10964912280701754</v>
      </c>
      <c r="AD696" s="29">
        <f t="shared" si="236"/>
        <v>651.80265654648952</v>
      </c>
      <c r="AE696" s="28">
        <f t="shared" si="237"/>
        <v>0.10964912280701754</v>
      </c>
      <c r="AF696" s="28">
        <f t="shared" si="238"/>
        <v>0.51096807463073324</v>
      </c>
      <c r="AG696" s="28">
        <f t="shared" si="239"/>
        <v>0</v>
      </c>
      <c r="AI696" s="31">
        <f t="shared" si="240"/>
        <v>2.9078649915677888</v>
      </c>
      <c r="AJ696" s="25"/>
      <c r="AK696" s="31"/>
      <c r="AM696" s="27"/>
    </row>
    <row r="697" spans="4:39" x14ac:dyDescent="0.25">
      <c r="D697" s="25">
        <f>E697*'Profit per cycles Model'!$I$113</f>
        <v>6880</v>
      </c>
      <c r="E697" s="25">
        <v>18.846733324202162</v>
      </c>
      <c r="F697" s="28">
        <f t="shared" si="221"/>
        <v>0.14534883720930233</v>
      </c>
      <c r="G697" s="28">
        <f>'Battery Pricing Model'!$C$17/D697</f>
        <v>0.14534883720930233</v>
      </c>
      <c r="H697" s="28">
        <f t="shared" si="222"/>
        <v>999</v>
      </c>
      <c r="I697" s="28"/>
      <c r="J697" s="34">
        <f>INDEX('Profit per cycles Model'!$I$149:$I$179, MATCH(TRUNC(E697, 0), 'Profit per cycles Model'!$H$149:$H$179, 0))</f>
        <v>0.62061719743775079</v>
      </c>
      <c r="K697" s="27">
        <f>AVERAGE($J$10:J1697)</f>
        <v>0.56883042089778579</v>
      </c>
      <c r="L697" s="28">
        <f t="shared" si="223"/>
        <v>0.42348158368848343</v>
      </c>
      <c r="M697" s="28">
        <f t="shared" si="224"/>
        <v>0.42348158368848343</v>
      </c>
      <c r="N697" s="28">
        <f t="shared" si="225"/>
        <v>999</v>
      </c>
      <c r="O697" s="28"/>
      <c r="P697" s="29">
        <f t="shared" si="241"/>
        <v>0.6880000000000005</v>
      </c>
      <c r="Q697" s="33">
        <f t="shared" si="226"/>
        <v>6.7114093959731544</v>
      </c>
      <c r="R697" s="33">
        <f t="shared" si="227"/>
        <v>6.7114093959731544</v>
      </c>
      <c r="S697" s="33">
        <f t="shared" si="228"/>
        <v>-1</v>
      </c>
      <c r="T697" s="27"/>
      <c r="U697" s="28">
        <f t="shared" si="229"/>
        <v>0.10964912280701754</v>
      </c>
      <c r="V697" s="25">
        <f t="shared" si="230"/>
        <v>999</v>
      </c>
      <c r="W697" s="35">
        <f t="shared" si="242"/>
        <v>25</v>
      </c>
      <c r="X697" s="33">
        <f t="shared" si="231"/>
        <v>25</v>
      </c>
      <c r="Y697" s="32">
        <f t="shared" si="232"/>
        <v>-1</v>
      </c>
      <c r="Z697" s="32"/>
      <c r="AA697" s="30">
        <f t="shared" si="233"/>
        <v>18.846733324202162</v>
      </c>
      <c r="AB697" s="28">
        <f t="shared" si="234"/>
        <v>0.62061719743775079</v>
      </c>
      <c r="AC697" s="28">
        <f t="shared" si="235"/>
        <v>0.10964912280701754</v>
      </c>
      <c r="AD697" s="29">
        <f t="shared" si="236"/>
        <v>652.75142314990512</v>
      </c>
      <c r="AE697" s="28">
        <f t="shared" si="237"/>
        <v>0.10964912280701754</v>
      </c>
      <c r="AF697" s="28">
        <f t="shared" si="238"/>
        <v>0.51096807463073324</v>
      </c>
      <c r="AG697" s="28">
        <f t="shared" si="239"/>
        <v>0</v>
      </c>
      <c r="AI697" s="31">
        <f t="shared" si="240"/>
        <v>2.913553295776766</v>
      </c>
      <c r="AJ697" s="25"/>
      <c r="AK697" s="31"/>
      <c r="AM697" s="27"/>
    </row>
    <row r="698" spans="4:39" x14ac:dyDescent="0.25">
      <c r="D698" s="25">
        <f>E698*'Profit per cycles Model'!$I$113</f>
        <v>6889.9999999999991</v>
      </c>
      <c r="E698" s="25">
        <v>18.874126831940828</v>
      </c>
      <c r="F698" s="28">
        <f t="shared" si="221"/>
        <v>0.14513788098693761</v>
      </c>
      <c r="G698" s="28">
        <f>'Battery Pricing Model'!$C$17/D698</f>
        <v>0.14513788098693761</v>
      </c>
      <c r="H698" s="28">
        <f t="shared" si="222"/>
        <v>999</v>
      </c>
      <c r="I698" s="28"/>
      <c r="J698" s="34">
        <f>INDEX('Profit per cycles Model'!$I$149:$I$179, MATCH(TRUNC(E698, 0), 'Profit per cycles Model'!$H$149:$H$179, 0))</f>
        <v>0.62061719743775079</v>
      </c>
      <c r="K698" s="27">
        <f>AVERAGE($J$10:J1698)</f>
        <v>0.56883042089778579</v>
      </c>
      <c r="L698" s="28">
        <f t="shared" si="223"/>
        <v>0.42369253991084821</v>
      </c>
      <c r="M698" s="28">
        <f t="shared" si="224"/>
        <v>0.42369253991084821</v>
      </c>
      <c r="N698" s="28">
        <f t="shared" si="225"/>
        <v>999</v>
      </c>
      <c r="O698" s="28"/>
      <c r="P698" s="29">
        <f t="shared" si="241"/>
        <v>0.6890000000000005</v>
      </c>
      <c r="Q698" s="33">
        <f t="shared" si="226"/>
        <v>6.7114093959731544</v>
      </c>
      <c r="R698" s="33">
        <f t="shared" si="227"/>
        <v>6.7114093959731544</v>
      </c>
      <c r="S698" s="33">
        <f t="shared" si="228"/>
        <v>-1</v>
      </c>
      <c r="T698" s="27"/>
      <c r="U698" s="28">
        <f t="shared" si="229"/>
        <v>0.10964912280701754</v>
      </c>
      <c r="V698" s="25">
        <f t="shared" si="230"/>
        <v>999</v>
      </c>
      <c r="W698" s="35">
        <f t="shared" si="242"/>
        <v>25</v>
      </c>
      <c r="X698" s="33">
        <f t="shared" si="231"/>
        <v>25</v>
      </c>
      <c r="Y698" s="32">
        <f t="shared" si="232"/>
        <v>-1</v>
      </c>
      <c r="Z698" s="32"/>
      <c r="AA698" s="30">
        <f t="shared" si="233"/>
        <v>18.874126831940828</v>
      </c>
      <c r="AB698" s="28">
        <f t="shared" si="234"/>
        <v>0.62061719743775079</v>
      </c>
      <c r="AC698" s="28">
        <f t="shared" si="235"/>
        <v>0.10964912280701754</v>
      </c>
      <c r="AD698" s="29">
        <f t="shared" si="236"/>
        <v>653.70018975332061</v>
      </c>
      <c r="AE698" s="28">
        <f t="shared" si="237"/>
        <v>0.10964912280701754</v>
      </c>
      <c r="AF698" s="28">
        <f t="shared" si="238"/>
        <v>0.51096807463073324</v>
      </c>
      <c r="AG698" s="28">
        <f t="shared" si="239"/>
        <v>0</v>
      </c>
      <c r="AI698" s="31">
        <f t="shared" si="240"/>
        <v>2.9192415999857437</v>
      </c>
      <c r="AJ698" s="25"/>
      <c r="AK698" s="31"/>
      <c r="AM698" s="27"/>
    </row>
    <row r="699" spans="4:39" x14ac:dyDescent="0.25">
      <c r="D699" s="25">
        <f>E699*'Profit per cycles Model'!$I$113</f>
        <v>6900.0000000000009</v>
      </c>
      <c r="E699" s="25">
        <v>18.901520339679497</v>
      </c>
      <c r="F699" s="28">
        <f t="shared" si="221"/>
        <v>0.14492753623188404</v>
      </c>
      <c r="G699" s="28">
        <f>'Battery Pricing Model'!$C$17/D699</f>
        <v>0.14492753623188404</v>
      </c>
      <c r="H699" s="28">
        <f t="shared" si="222"/>
        <v>999</v>
      </c>
      <c r="I699" s="28"/>
      <c r="J699" s="34">
        <f>INDEX('Profit per cycles Model'!$I$149:$I$179, MATCH(TRUNC(E699, 0), 'Profit per cycles Model'!$H$149:$H$179, 0))</f>
        <v>0.62061719743775079</v>
      </c>
      <c r="K699" s="27">
        <f>AVERAGE($J$10:J1699)</f>
        <v>0.56883042089778579</v>
      </c>
      <c r="L699" s="28">
        <f t="shared" si="223"/>
        <v>0.42390288466590176</v>
      </c>
      <c r="M699" s="28">
        <f t="shared" si="224"/>
        <v>0.42390288466590176</v>
      </c>
      <c r="N699" s="28">
        <f t="shared" si="225"/>
        <v>999</v>
      </c>
      <c r="O699" s="28"/>
      <c r="P699" s="29">
        <f t="shared" si="241"/>
        <v>0.6900000000000005</v>
      </c>
      <c r="Q699" s="33">
        <f t="shared" si="226"/>
        <v>6.7114093959731544</v>
      </c>
      <c r="R699" s="33">
        <f t="shared" si="227"/>
        <v>6.7114093959731544</v>
      </c>
      <c r="S699" s="33">
        <f t="shared" si="228"/>
        <v>-1</v>
      </c>
      <c r="T699" s="27"/>
      <c r="U699" s="28">
        <f t="shared" si="229"/>
        <v>0.10964912280701754</v>
      </c>
      <c r="V699" s="25">
        <f t="shared" si="230"/>
        <v>999</v>
      </c>
      <c r="W699" s="35">
        <f t="shared" si="242"/>
        <v>25</v>
      </c>
      <c r="X699" s="33">
        <f t="shared" si="231"/>
        <v>25</v>
      </c>
      <c r="Y699" s="32">
        <f t="shared" si="232"/>
        <v>-1</v>
      </c>
      <c r="Z699" s="32"/>
      <c r="AA699" s="30">
        <f t="shared" si="233"/>
        <v>18.901520339679497</v>
      </c>
      <c r="AB699" s="28">
        <f t="shared" si="234"/>
        <v>0.62061719743775079</v>
      </c>
      <c r="AC699" s="28">
        <f t="shared" si="235"/>
        <v>0.10964912280701754</v>
      </c>
      <c r="AD699" s="29">
        <f t="shared" si="236"/>
        <v>654.64895635673633</v>
      </c>
      <c r="AE699" s="28">
        <f t="shared" si="237"/>
        <v>0.10964912280701754</v>
      </c>
      <c r="AF699" s="28">
        <f t="shared" si="238"/>
        <v>0.51096807463073324</v>
      </c>
      <c r="AG699" s="28">
        <f t="shared" si="239"/>
        <v>0</v>
      </c>
      <c r="AI699" s="31">
        <f t="shared" si="240"/>
        <v>2.9249299041947228</v>
      </c>
      <c r="AJ699" s="25"/>
      <c r="AK699" s="31"/>
      <c r="AM699" s="27"/>
    </row>
    <row r="700" spans="4:39" x14ac:dyDescent="0.25">
      <c r="D700" s="25">
        <f>E700*'Profit per cycles Model'!$I$113</f>
        <v>6910</v>
      </c>
      <c r="E700" s="25">
        <v>18.928913847418162</v>
      </c>
      <c r="F700" s="28">
        <f t="shared" si="221"/>
        <v>0.14471780028943559</v>
      </c>
      <c r="G700" s="28">
        <f>'Battery Pricing Model'!$C$17/D700</f>
        <v>0.14471780028943559</v>
      </c>
      <c r="H700" s="28">
        <f t="shared" si="222"/>
        <v>999</v>
      </c>
      <c r="I700" s="28"/>
      <c r="J700" s="34">
        <f>INDEX('Profit per cycles Model'!$I$149:$I$179, MATCH(TRUNC(E700, 0), 'Profit per cycles Model'!$H$149:$H$179, 0))</f>
        <v>0.62061719743775079</v>
      </c>
      <c r="K700" s="27">
        <f>AVERAGE($J$10:J1700)</f>
        <v>0.56883042089778579</v>
      </c>
      <c r="L700" s="28">
        <f t="shared" si="223"/>
        <v>0.4241126206083502</v>
      </c>
      <c r="M700" s="28">
        <f t="shared" si="224"/>
        <v>0.4241126206083502</v>
      </c>
      <c r="N700" s="28">
        <f t="shared" si="225"/>
        <v>999</v>
      </c>
      <c r="O700" s="28"/>
      <c r="P700" s="29">
        <f t="shared" si="241"/>
        <v>0.6910000000000005</v>
      </c>
      <c r="Q700" s="33">
        <f t="shared" si="226"/>
        <v>6.7114093959731544</v>
      </c>
      <c r="R700" s="33">
        <f t="shared" si="227"/>
        <v>6.7114093959731544</v>
      </c>
      <c r="S700" s="33">
        <f t="shared" si="228"/>
        <v>-1</v>
      </c>
      <c r="T700" s="27"/>
      <c r="U700" s="28">
        <f t="shared" si="229"/>
        <v>0.10964912280701754</v>
      </c>
      <c r="V700" s="25">
        <f t="shared" si="230"/>
        <v>999</v>
      </c>
      <c r="W700" s="35">
        <f t="shared" si="242"/>
        <v>25</v>
      </c>
      <c r="X700" s="33">
        <f t="shared" si="231"/>
        <v>25</v>
      </c>
      <c r="Y700" s="32">
        <f t="shared" si="232"/>
        <v>-1</v>
      </c>
      <c r="Z700" s="32"/>
      <c r="AA700" s="30">
        <f t="shared" si="233"/>
        <v>18.928913847418162</v>
      </c>
      <c r="AB700" s="28">
        <f t="shared" si="234"/>
        <v>0.62061719743775079</v>
      </c>
      <c r="AC700" s="28">
        <f t="shared" si="235"/>
        <v>0.10964912280701754</v>
      </c>
      <c r="AD700" s="29">
        <f t="shared" si="236"/>
        <v>655.59772296015194</v>
      </c>
      <c r="AE700" s="28">
        <f t="shared" si="237"/>
        <v>0.10964912280701754</v>
      </c>
      <c r="AF700" s="28">
        <f t="shared" si="238"/>
        <v>0.51096807463073324</v>
      </c>
      <c r="AG700" s="28">
        <f t="shared" si="239"/>
        <v>0</v>
      </c>
      <c r="AI700" s="31">
        <f t="shared" si="240"/>
        <v>2.9306182084037</v>
      </c>
      <c r="AJ700" s="25"/>
      <c r="AK700" s="31"/>
      <c r="AM700" s="27"/>
    </row>
    <row r="701" spans="4:39" x14ac:dyDescent="0.25">
      <c r="D701" s="25">
        <f>E701*'Profit per cycles Model'!$I$113</f>
        <v>6920</v>
      </c>
      <c r="E701" s="25">
        <v>18.956307355156827</v>
      </c>
      <c r="F701" s="28">
        <f t="shared" si="221"/>
        <v>0.14450867052023122</v>
      </c>
      <c r="G701" s="28">
        <f>'Battery Pricing Model'!$C$17/D701</f>
        <v>0.14450867052023122</v>
      </c>
      <c r="H701" s="28">
        <f t="shared" si="222"/>
        <v>999</v>
      </c>
      <c r="I701" s="28"/>
      <c r="J701" s="34">
        <f>INDEX('Profit per cycles Model'!$I$149:$I$179, MATCH(TRUNC(E701, 0), 'Profit per cycles Model'!$H$149:$H$179, 0))</f>
        <v>0.62061719743775079</v>
      </c>
      <c r="K701" s="27">
        <f>AVERAGE($J$10:J1701)</f>
        <v>0.56883042089778579</v>
      </c>
      <c r="L701" s="28">
        <f t="shared" si="223"/>
        <v>0.4243217503775546</v>
      </c>
      <c r="M701" s="28">
        <f t="shared" si="224"/>
        <v>0.4243217503775546</v>
      </c>
      <c r="N701" s="28">
        <f t="shared" si="225"/>
        <v>999</v>
      </c>
      <c r="O701" s="28"/>
      <c r="P701" s="29">
        <f t="shared" si="241"/>
        <v>0.6920000000000005</v>
      </c>
      <c r="Q701" s="33">
        <f t="shared" si="226"/>
        <v>6.7114093959731544</v>
      </c>
      <c r="R701" s="33">
        <f t="shared" si="227"/>
        <v>6.7114093959731544</v>
      </c>
      <c r="S701" s="33">
        <f t="shared" si="228"/>
        <v>-1</v>
      </c>
      <c r="T701" s="27"/>
      <c r="U701" s="28">
        <f t="shared" si="229"/>
        <v>0.10964912280701754</v>
      </c>
      <c r="V701" s="25">
        <f t="shared" si="230"/>
        <v>999</v>
      </c>
      <c r="W701" s="35">
        <f t="shared" si="242"/>
        <v>25</v>
      </c>
      <c r="X701" s="33">
        <f t="shared" si="231"/>
        <v>25</v>
      </c>
      <c r="Y701" s="32">
        <f t="shared" si="232"/>
        <v>-1</v>
      </c>
      <c r="Z701" s="32"/>
      <c r="AA701" s="30">
        <f t="shared" si="233"/>
        <v>18.956307355156827</v>
      </c>
      <c r="AB701" s="28">
        <f t="shared" si="234"/>
        <v>0.62061719743775079</v>
      </c>
      <c r="AC701" s="28">
        <f t="shared" si="235"/>
        <v>0.10964912280701754</v>
      </c>
      <c r="AD701" s="29">
        <f t="shared" si="236"/>
        <v>656.54648956356732</v>
      </c>
      <c r="AE701" s="28">
        <f t="shared" si="237"/>
        <v>0.10964912280701754</v>
      </c>
      <c r="AF701" s="28">
        <f t="shared" si="238"/>
        <v>0.51096807463073324</v>
      </c>
      <c r="AG701" s="28">
        <f t="shared" si="239"/>
        <v>0</v>
      </c>
      <c r="AI701" s="31">
        <f t="shared" si="240"/>
        <v>2.9363065126126777</v>
      </c>
      <c r="AJ701" s="25"/>
      <c r="AK701" s="31"/>
      <c r="AM701" s="27"/>
    </row>
    <row r="702" spans="4:39" x14ac:dyDescent="0.25">
      <c r="D702" s="25">
        <f>E702*'Profit per cycles Model'!$I$113</f>
        <v>6930</v>
      </c>
      <c r="E702" s="25">
        <v>18.983700862895493</v>
      </c>
      <c r="F702" s="28">
        <f t="shared" si="221"/>
        <v>0.14430014430014429</v>
      </c>
      <c r="G702" s="28">
        <f>'Battery Pricing Model'!$C$17/D702</f>
        <v>0.14430014430014429</v>
      </c>
      <c r="H702" s="28">
        <f t="shared" si="222"/>
        <v>999</v>
      </c>
      <c r="I702" s="28"/>
      <c r="J702" s="34">
        <f>INDEX('Profit per cycles Model'!$I$149:$I$179, MATCH(TRUNC(E702, 0), 'Profit per cycles Model'!$H$149:$H$179, 0))</f>
        <v>0.62061719743775079</v>
      </c>
      <c r="K702" s="27">
        <f>AVERAGE($J$10:J1702)</f>
        <v>0.56883042089778579</v>
      </c>
      <c r="L702" s="28">
        <f t="shared" si="223"/>
        <v>0.42453027659764153</v>
      </c>
      <c r="M702" s="28">
        <f t="shared" si="224"/>
        <v>0.42453027659764153</v>
      </c>
      <c r="N702" s="28">
        <f t="shared" si="225"/>
        <v>999</v>
      </c>
      <c r="O702" s="28"/>
      <c r="P702" s="29">
        <f t="shared" si="241"/>
        <v>0.6930000000000005</v>
      </c>
      <c r="Q702" s="33">
        <f t="shared" si="226"/>
        <v>6.7114093959731544</v>
      </c>
      <c r="R702" s="33">
        <f t="shared" si="227"/>
        <v>6.7114093959731544</v>
      </c>
      <c r="S702" s="33">
        <f t="shared" si="228"/>
        <v>-1</v>
      </c>
      <c r="T702" s="27"/>
      <c r="U702" s="28">
        <f t="shared" si="229"/>
        <v>0.10964912280701754</v>
      </c>
      <c r="V702" s="25">
        <f t="shared" si="230"/>
        <v>999</v>
      </c>
      <c r="W702" s="35">
        <f t="shared" si="242"/>
        <v>25</v>
      </c>
      <c r="X702" s="33">
        <f t="shared" si="231"/>
        <v>25</v>
      </c>
      <c r="Y702" s="32">
        <f t="shared" si="232"/>
        <v>-1</v>
      </c>
      <c r="Z702" s="32"/>
      <c r="AA702" s="30">
        <f t="shared" si="233"/>
        <v>18.983700862895493</v>
      </c>
      <c r="AB702" s="28">
        <f t="shared" si="234"/>
        <v>0.62061719743775079</v>
      </c>
      <c r="AC702" s="28">
        <f t="shared" si="235"/>
        <v>0.10964912280701754</v>
      </c>
      <c r="AD702" s="29">
        <f t="shared" si="236"/>
        <v>657.49525616698293</v>
      </c>
      <c r="AE702" s="28">
        <f t="shared" si="237"/>
        <v>0.10964912280701754</v>
      </c>
      <c r="AF702" s="28">
        <f t="shared" si="238"/>
        <v>0.51096807463073324</v>
      </c>
      <c r="AG702" s="28">
        <f t="shared" si="239"/>
        <v>0</v>
      </c>
      <c r="AI702" s="31">
        <f t="shared" si="240"/>
        <v>2.9419948168216559</v>
      </c>
      <c r="AJ702" s="25"/>
      <c r="AK702" s="31"/>
      <c r="AM702" s="27"/>
    </row>
    <row r="703" spans="4:39" x14ac:dyDescent="0.25">
      <c r="D703" s="25">
        <f>E703*'Profit per cycles Model'!$I$113</f>
        <v>6940</v>
      </c>
      <c r="E703" s="25">
        <v>19.011094370634158</v>
      </c>
      <c r="F703" s="28">
        <f t="shared" si="221"/>
        <v>0.14409221902017291</v>
      </c>
      <c r="G703" s="28">
        <f>'Battery Pricing Model'!$C$17/D703</f>
        <v>0.14409221902017291</v>
      </c>
      <c r="H703" s="28">
        <f t="shared" si="222"/>
        <v>999</v>
      </c>
      <c r="I703" s="28"/>
      <c r="J703" s="34">
        <f>INDEX('Profit per cycles Model'!$I$149:$I$179, MATCH(TRUNC(E703, 0), 'Profit per cycles Model'!$H$149:$H$179, 0))</f>
        <v>0.63766203913840036</v>
      </c>
      <c r="K703" s="27">
        <f>AVERAGE($J$10:J1703)</f>
        <v>0.56883042089778579</v>
      </c>
      <c r="L703" s="28">
        <f t="shared" si="223"/>
        <v>0.42473820187761291</v>
      </c>
      <c r="M703" s="28">
        <f t="shared" si="224"/>
        <v>0.42473820187761291</v>
      </c>
      <c r="N703" s="28">
        <f t="shared" si="225"/>
        <v>999</v>
      </c>
      <c r="O703" s="28"/>
      <c r="P703" s="29">
        <f t="shared" si="241"/>
        <v>0.69400000000000051</v>
      </c>
      <c r="Q703" s="33">
        <f t="shared" si="226"/>
        <v>6.7114093959731544</v>
      </c>
      <c r="R703" s="33">
        <f t="shared" si="227"/>
        <v>6.7114093959731544</v>
      </c>
      <c r="S703" s="33">
        <f t="shared" si="228"/>
        <v>-1</v>
      </c>
      <c r="T703" s="27"/>
      <c r="U703" s="28">
        <f t="shared" si="229"/>
        <v>0.10964912280701754</v>
      </c>
      <c r="V703" s="25">
        <f t="shared" si="230"/>
        <v>999</v>
      </c>
      <c r="W703" s="35">
        <f t="shared" si="242"/>
        <v>25</v>
      </c>
      <c r="X703" s="33">
        <f t="shared" si="231"/>
        <v>25</v>
      </c>
      <c r="Y703" s="32">
        <f t="shared" si="232"/>
        <v>-1</v>
      </c>
      <c r="Z703" s="32"/>
      <c r="AA703" s="30">
        <f t="shared" si="233"/>
        <v>19.011094370634158</v>
      </c>
      <c r="AB703" s="28">
        <f t="shared" si="234"/>
        <v>0.63766203913840036</v>
      </c>
      <c r="AC703" s="28">
        <f t="shared" si="235"/>
        <v>0.10964912280701754</v>
      </c>
      <c r="AD703" s="29">
        <f t="shared" si="236"/>
        <v>658.44402277039842</v>
      </c>
      <c r="AE703" s="28">
        <f t="shared" si="237"/>
        <v>0.10964912280701754</v>
      </c>
      <c r="AF703" s="28">
        <f t="shared" si="238"/>
        <v>0.52801291633138281</v>
      </c>
      <c r="AG703" s="28">
        <f t="shared" si="239"/>
        <v>0</v>
      </c>
      <c r="AI703" s="31">
        <f t="shared" si="240"/>
        <v>2.9476831210306336</v>
      </c>
      <c r="AJ703" s="25"/>
      <c r="AK703" s="31"/>
      <c r="AM703" s="27"/>
    </row>
    <row r="704" spans="4:39" x14ac:dyDescent="0.25">
      <c r="D704" s="25">
        <f>E704*'Profit per cycles Model'!$I$113</f>
        <v>6949.9999999999991</v>
      </c>
      <c r="E704" s="25">
        <v>19.038487878372823</v>
      </c>
      <c r="F704" s="28">
        <f t="shared" si="221"/>
        <v>0.14388489208633096</v>
      </c>
      <c r="G704" s="28">
        <f>'Battery Pricing Model'!$C$17/D704</f>
        <v>0.14388489208633096</v>
      </c>
      <c r="H704" s="28">
        <f t="shared" si="222"/>
        <v>999</v>
      </c>
      <c r="I704" s="28"/>
      <c r="J704" s="34">
        <f>INDEX('Profit per cycles Model'!$I$149:$I$179, MATCH(TRUNC(E704, 0), 'Profit per cycles Model'!$H$149:$H$179, 0))</f>
        <v>0.63766203913840036</v>
      </c>
      <c r="K704" s="27">
        <f>AVERAGE($J$10:J1704)</f>
        <v>0.56883042089778579</v>
      </c>
      <c r="L704" s="28">
        <f t="shared" si="223"/>
        <v>0.42494552881145486</v>
      </c>
      <c r="M704" s="28">
        <f t="shared" si="224"/>
        <v>0.42494552881145486</v>
      </c>
      <c r="N704" s="28">
        <f t="shared" si="225"/>
        <v>999</v>
      </c>
      <c r="O704" s="28"/>
      <c r="P704" s="29">
        <f t="shared" si="241"/>
        <v>0.69500000000000051</v>
      </c>
      <c r="Q704" s="33">
        <f t="shared" si="226"/>
        <v>6.7114093959731544</v>
      </c>
      <c r="R704" s="33">
        <f t="shared" si="227"/>
        <v>6.7114093959731544</v>
      </c>
      <c r="S704" s="33">
        <f t="shared" si="228"/>
        <v>-1</v>
      </c>
      <c r="T704" s="27"/>
      <c r="U704" s="28">
        <f t="shared" si="229"/>
        <v>0.10964912280701754</v>
      </c>
      <c r="V704" s="25">
        <f t="shared" si="230"/>
        <v>999</v>
      </c>
      <c r="W704" s="35">
        <f t="shared" si="242"/>
        <v>25</v>
      </c>
      <c r="X704" s="33">
        <f t="shared" si="231"/>
        <v>25</v>
      </c>
      <c r="Y704" s="32">
        <f t="shared" si="232"/>
        <v>-1</v>
      </c>
      <c r="Z704" s="32"/>
      <c r="AA704" s="30">
        <f t="shared" si="233"/>
        <v>19.038487878372823</v>
      </c>
      <c r="AB704" s="28">
        <f t="shared" si="234"/>
        <v>0.63766203913840036</v>
      </c>
      <c r="AC704" s="28">
        <f t="shared" si="235"/>
        <v>0.10964912280701754</v>
      </c>
      <c r="AD704" s="29">
        <f t="shared" si="236"/>
        <v>659.39278937381403</v>
      </c>
      <c r="AE704" s="28">
        <f t="shared" si="237"/>
        <v>0.10964912280701754</v>
      </c>
      <c r="AF704" s="28">
        <f t="shared" si="238"/>
        <v>0.52801291633138281</v>
      </c>
      <c r="AG704" s="28">
        <f t="shared" si="239"/>
        <v>0</v>
      </c>
      <c r="AI704" s="31">
        <f t="shared" si="240"/>
        <v>2.9533714252396108</v>
      </c>
      <c r="AJ704" s="25"/>
      <c r="AK704" s="31"/>
      <c r="AM704" s="27"/>
    </row>
    <row r="705" spans="4:39" x14ac:dyDescent="0.25">
      <c r="D705" s="25">
        <f>E705*'Profit per cycles Model'!$I$113</f>
        <v>6960</v>
      </c>
      <c r="E705" s="25">
        <v>19.065881386111492</v>
      </c>
      <c r="F705" s="28">
        <f t="shared" si="221"/>
        <v>0.14367816091954022</v>
      </c>
      <c r="G705" s="28">
        <f>'Battery Pricing Model'!$C$17/D705</f>
        <v>0.14367816091954022</v>
      </c>
      <c r="H705" s="28">
        <f t="shared" si="222"/>
        <v>999</v>
      </c>
      <c r="I705" s="28"/>
      <c r="J705" s="34">
        <f>INDEX('Profit per cycles Model'!$I$149:$I$179, MATCH(TRUNC(E705, 0), 'Profit per cycles Model'!$H$149:$H$179, 0))</f>
        <v>0.63766203913840036</v>
      </c>
      <c r="K705" s="27">
        <f>AVERAGE($J$10:J1705)</f>
        <v>0.56883042089778579</v>
      </c>
      <c r="L705" s="28">
        <f t="shared" si="223"/>
        <v>0.42515225997824557</v>
      </c>
      <c r="M705" s="28">
        <f t="shared" si="224"/>
        <v>0.42515225997824557</v>
      </c>
      <c r="N705" s="28">
        <f t="shared" si="225"/>
        <v>999</v>
      </c>
      <c r="O705" s="28"/>
      <c r="P705" s="29">
        <f t="shared" si="241"/>
        <v>0.69600000000000051</v>
      </c>
      <c r="Q705" s="33">
        <f t="shared" si="226"/>
        <v>6.7114093959731544</v>
      </c>
      <c r="R705" s="33">
        <f t="shared" si="227"/>
        <v>6.7114093959731544</v>
      </c>
      <c r="S705" s="33">
        <f t="shared" si="228"/>
        <v>-1</v>
      </c>
      <c r="T705" s="27"/>
      <c r="U705" s="28">
        <f t="shared" si="229"/>
        <v>0.10964912280701754</v>
      </c>
      <c r="V705" s="25">
        <f t="shared" si="230"/>
        <v>999</v>
      </c>
      <c r="W705" s="35">
        <f t="shared" si="242"/>
        <v>25</v>
      </c>
      <c r="X705" s="33">
        <f t="shared" si="231"/>
        <v>25</v>
      </c>
      <c r="Y705" s="32">
        <f t="shared" si="232"/>
        <v>-1</v>
      </c>
      <c r="Z705" s="32"/>
      <c r="AA705" s="30">
        <f t="shared" si="233"/>
        <v>19.065881386111492</v>
      </c>
      <c r="AB705" s="28">
        <f t="shared" si="234"/>
        <v>0.63766203913840036</v>
      </c>
      <c r="AC705" s="28">
        <f t="shared" si="235"/>
        <v>0.10964912280701754</v>
      </c>
      <c r="AD705" s="29">
        <f t="shared" si="236"/>
        <v>660.34155597722963</v>
      </c>
      <c r="AE705" s="28">
        <f t="shared" si="237"/>
        <v>0.10964912280701754</v>
      </c>
      <c r="AF705" s="28">
        <f t="shared" si="238"/>
        <v>0.52801291633138281</v>
      </c>
      <c r="AG705" s="28">
        <f t="shared" si="239"/>
        <v>0</v>
      </c>
      <c r="AI705" s="31">
        <f t="shared" si="240"/>
        <v>2.9590597294485894</v>
      </c>
      <c r="AJ705" s="25"/>
      <c r="AK705" s="31"/>
      <c r="AM705" s="27"/>
    </row>
    <row r="706" spans="4:39" x14ac:dyDescent="0.25">
      <c r="D706" s="25">
        <f>E706*'Profit per cycles Model'!$I$113</f>
        <v>6970</v>
      </c>
      <c r="E706" s="25">
        <v>19.093274893850158</v>
      </c>
      <c r="F706" s="28">
        <f t="shared" si="221"/>
        <v>0.14347202295552366</v>
      </c>
      <c r="G706" s="28">
        <f>'Battery Pricing Model'!$C$17/D706</f>
        <v>0.14347202295552366</v>
      </c>
      <c r="H706" s="28">
        <f t="shared" si="222"/>
        <v>999</v>
      </c>
      <c r="I706" s="28"/>
      <c r="J706" s="34">
        <f>INDEX('Profit per cycles Model'!$I$149:$I$179, MATCH(TRUNC(E706, 0), 'Profit per cycles Model'!$H$149:$H$179, 0))</f>
        <v>0.63766203913840036</v>
      </c>
      <c r="K706" s="27">
        <f>AVERAGE($J$10:J1706)</f>
        <v>0.56883042089778579</v>
      </c>
      <c r="L706" s="28">
        <f t="shared" si="223"/>
        <v>0.42535839794226216</v>
      </c>
      <c r="M706" s="28">
        <f t="shared" si="224"/>
        <v>0.42535839794226216</v>
      </c>
      <c r="N706" s="28">
        <f t="shared" si="225"/>
        <v>999</v>
      </c>
      <c r="O706" s="28"/>
      <c r="P706" s="29">
        <f t="shared" si="241"/>
        <v>0.69700000000000051</v>
      </c>
      <c r="Q706" s="33">
        <f t="shared" si="226"/>
        <v>6.7114093959731544</v>
      </c>
      <c r="R706" s="33">
        <f t="shared" si="227"/>
        <v>6.7114093959731544</v>
      </c>
      <c r="S706" s="33">
        <f t="shared" si="228"/>
        <v>-1</v>
      </c>
      <c r="T706" s="27"/>
      <c r="U706" s="28">
        <f t="shared" si="229"/>
        <v>0.10964912280701754</v>
      </c>
      <c r="V706" s="25">
        <f t="shared" si="230"/>
        <v>999</v>
      </c>
      <c r="W706" s="35">
        <f t="shared" si="242"/>
        <v>25</v>
      </c>
      <c r="X706" s="33">
        <f t="shared" si="231"/>
        <v>25</v>
      </c>
      <c r="Y706" s="32">
        <f t="shared" si="232"/>
        <v>-1</v>
      </c>
      <c r="Z706" s="32"/>
      <c r="AA706" s="30">
        <f t="shared" si="233"/>
        <v>19.093274893850158</v>
      </c>
      <c r="AB706" s="28">
        <f t="shared" si="234"/>
        <v>0.63766203913840036</v>
      </c>
      <c r="AC706" s="28">
        <f t="shared" si="235"/>
        <v>0.10964912280701754</v>
      </c>
      <c r="AD706" s="29">
        <f t="shared" si="236"/>
        <v>661.29032258064524</v>
      </c>
      <c r="AE706" s="28">
        <f t="shared" si="237"/>
        <v>0.10964912280701754</v>
      </c>
      <c r="AF706" s="28">
        <f t="shared" si="238"/>
        <v>0.52801291633138281</v>
      </c>
      <c r="AG706" s="28">
        <f t="shared" si="239"/>
        <v>0</v>
      </c>
      <c r="AI706" s="31">
        <f t="shared" si="240"/>
        <v>2.9647480336575676</v>
      </c>
      <c r="AJ706" s="25"/>
      <c r="AK706" s="31"/>
      <c r="AM706" s="27"/>
    </row>
    <row r="707" spans="4:39" x14ac:dyDescent="0.25">
      <c r="D707" s="25">
        <f>E707*'Profit per cycles Model'!$I$113</f>
        <v>6980</v>
      </c>
      <c r="E707" s="25">
        <v>19.120668401588823</v>
      </c>
      <c r="F707" s="28">
        <f t="shared" si="221"/>
        <v>0.14326647564469913</v>
      </c>
      <c r="G707" s="28">
        <f>'Battery Pricing Model'!$C$17/D707</f>
        <v>0.14326647564469913</v>
      </c>
      <c r="H707" s="28">
        <f t="shared" si="222"/>
        <v>999</v>
      </c>
      <c r="I707" s="28"/>
      <c r="J707" s="34">
        <f>INDEX('Profit per cycles Model'!$I$149:$I$179, MATCH(TRUNC(E707, 0), 'Profit per cycles Model'!$H$149:$H$179, 0))</f>
        <v>0.63766203913840036</v>
      </c>
      <c r="K707" s="27">
        <f>AVERAGE($J$10:J1707)</f>
        <v>0.56883042089778579</v>
      </c>
      <c r="L707" s="28">
        <f t="shared" si="223"/>
        <v>0.42556394525308666</v>
      </c>
      <c r="M707" s="28">
        <f t="shared" si="224"/>
        <v>0.42556394525308666</v>
      </c>
      <c r="N707" s="28">
        <f t="shared" si="225"/>
        <v>999</v>
      </c>
      <c r="O707" s="28"/>
      <c r="P707" s="29">
        <f t="shared" si="241"/>
        <v>0.69800000000000051</v>
      </c>
      <c r="Q707" s="33">
        <f t="shared" si="226"/>
        <v>6.7114093959731544</v>
      </c>
      <c r="R707" s="33">
        <f t="shared" si="227"/>
        <v>6.7114093959731544</v>
      </c>
      <c r="S707" s="33">
        <f t="shared" si="228"/>
        <v>-1</v>
      </c>
      <c r="T707" s="27"/>
      <c r="U707" s="28">
        <f t="shared" si="229"/>
        <v>0.10964912280701754</v>
      </c>
      <c r="V707" s="25">
        <f t="shared" si="230"/>
        <v>999</v>
      </c>
      <c r="W707" s="35">
        <f t="shared" si="242"/>
        <v>25</v>
      </c>
      <c r="X707" s="33">
        <f t="shared" si="231"/>
        <v>25</v>
      </c>
      <c r="Y707" s="32">
        <f t="shared" si="232"/>
        <v>-1</v>
      </c>
      <c r="Z707" s="32"/>
      <c r="AA707" s="30">
        <f t="shared" si="233"/>
        <v>19.120668401588823</v>
      </c>
      <c r="AB707" s="28">
        <f t="shared" si="234"/>
        <v>0.63766203913840036</v>
      </c>
      <c r="AC707" s="28">
        <f t="shared" si="235"/>
        <v>0.10964912280701754</v>
      </c>
      <c r="AD707" s="29">
        <f t="shared" si="236"/>
        <v>662.23908918406073</v>
      </c>
      <c r="AE707" s="28">
        <f t="shared" si="237"/>
        <v>0.10964912280701754</v>
      </c>
      <c r="AF707" s="28">
        <f t="shared" si="238"/>
        <v>0.52801291633138281</v>
      </c>
      <c r="AG707" s="28">
        <f t="shared" si="239"/>
        <v>0</v>
      </c>
      <c r="AI707" s="31">
        <f t="shared" si="240"/>
        <v>2.9704363378665453</v>
      </c>
      <c r="AJ707" s="25"/>
      <c r="AK707" s="31"/>
      <c r="AM707" s="27"/>
    </row>
    <row r="708" spans="4:39" x14ac:dyDescent="0.25">
      <c r="D708" s="25">
        <f>E708*'Profit per cycles Model'!$I$113</f>
        <v>6990</v>
      </c>
      <c r="E708" s="25">
        <v>19.148061909327488</v>
      </c>
      <c r="F708" s="28">
        <f t="shared" si="221"/>
        <v>0.14306151645207441</v>
      </c>
      <c r="G708" s="28">
        <f>'Battery Pricing Model'!$C$17/D708</f>
        <v>0.14306151645207441</v>
      </c>
      <c r="H708" s="28">
        <f t="shared" si="222"/>
        <v>999</v>
      </c>
      <c r="I708" s="28"/>
      <c r="J708" s="34">
        <f>INDEX('Profit per cycles Model'!$I$149:$I$179, MATCH(TRUNC(E708, 0), 'Profit per cycles Model'!$H$149:$H$179, 0))</f>
        <v>0.63766203913840036</v>
      </c>
      <c r="K708" s="27">
        <f>AVERAGE($J$10:J1708)</f>
        <v>0.56883042089778579</v>
      </c>
      <c r="L708" s="28">
        <f t="shared" si="223"/>
        <v>0.42576890444571136</v>
      </c>
      <c r="M708" s="28">
        <f t="shared" si="224"/>
        <v>0.42576890444571136</v>
      </c>
      <c r="N708" s="28">
        <f t="shared" si="225"/>
        <v>999</v>
      </c>
      <c r="O708" s="28"/>
      <c r="P708" s="29">
        <f t="shared" si="241"/>
        <v>0.69900000000000051</v>
      </c>
      <c r="Q708" s="33">
        <f t="shared" si="226"/>
        <v>6.7114093959731544</v>
      </c>
      <c r="R708" s="33">
        <f t="shared" si="227"/>
        <v>6.7114093959731544</v>
      </c>
      <c r="S708" s="33">
        <f t="shared" si="228"/>
        <v>-1</v>
      </c>
      <c r="T708" s="27"/>
      <c r="U708" s="28">
        <f t="shared" si="229"/>
        <v>0.10964912280701754</v>
      </c>
      <c r="V708" s="25">
        <f t="shared" si="230"/>
        <v>999</v>
      </c>
      <c r="W708" s="35">
        <f t="shared" si="242"/>
        <v>25</v>
      </c>
      <c r="X708" s="33">
        <f t="shared" si="231"/>
        <v>25</v>
      </c>
      <c r="Y708" s="32">
        <f t="shared" si="232"/>
        <v>-1</v>
      </c>
      <c r="Z708" s="32"/>
      <c r="AA708" s="30">
        <f t="shared" si="233"/>
        <v>19.148061909327488</v>
      </c>
      <c r="AB708" s="28">
        <f t="shared" si="234"/>
        <v>0.63766203913840036</v>
      </c>
      <c r="AC708" s="28">
        <f t="shared" si="235"/>
        <v>0.10964912280701754</v>
      </c>
      <c r="AD708" s="29">
        <f t="shared" si="236"/>
        <v>663.18785578747622</v>
      </c>
      <c r="AE708" s="28">
        <f t="shared" si="237"/>
        <v>0.10964912280701754</v>
      </c>
      <c r="AF708" s="28">
        <f t="shared" si="238"/>
        <v>0.52801291633138281</v>
      </c>
      <c r="AG708" s="28">
        <f t="shared" si="239"/>
        <v>0</v>
      </c>
      <c r="AI708" s="31">
        <f t="shared" si="240"/>
        <v>2.9761246420755221</v>
      </c>
      <c r="AJ708" s="25"/>
      <c r="AK708" s="31"/>
      <c r="AM708" s="27"/>
    </row>
    <row r="709" spans="4:39" x14ac:dyDescent="0.25">
      <c r="D709" s="25">
        <f>E709*'Profit per cycles Model'!$I$113</f>
        <v>7000</v>
      </c>
      <c r="E709" s="25">
        <v>19.175455417066154</v>
      </c>
      <c r="F709" s="28">
        <f t="shared" si="221"/>
        <v>0.14285714285714285</v>
      </c>
      <c r="G709" s="28">
        <f>'Battery Pricing Model'!$C$17/D709</f>
        <v>0.14285714285714285</v>
      </c>
      <c r="H709" s="28">
        <f t="shared" si="222"/>
        <v>999</v>
      </c>
      <c r="I709" s="28"/>
      <c r="J709" s="34">
        <f>INDEX('Profit per cycles Model'!$I$149:$I$179, MATCH(TRUNC(E709, 0), 'Profit per cycles Model'!$H$149:$H$179, 0))</f>
        <v>0.63766203913840036</v>
      </c>
      <c r="K709" s="27">
        <f>AVERAGE($J$10:J1709)</f>
        <v>0.56883042089778579</v>
      </c>
      <c r="L709" s="28">
        <f t="shared" si="223"/>
        <v>0.42597327804064294</v>
      </c>
      <c r="M709" s="28">
        <f t="shared" si="224"/>
        <v>0.42597327804064294</v>
      </c>
      <c r="N709" s="28">
        <f t="shared" si="225"/>
        <v>999</v>
      </c>
      <c r="O709" s="28"/>
      <c r="P709" s="29">
        <f t="shared" si="241"/>
        <v>0.70000000000000051</v>
      </c>
      <c r="Q709" s="33">
        <f t="shared" si="226"/>
        <v>6.7114093959731544</v>
      </c>
      <c r="R709" s="33">
        <f t="shared" si="227"/>
        <v>6.7114093959731544</v>
      </c>
      <c r="S709" s="33">
        <f t="shared" si="228"/>
        <v>-1</v>
      </c>
      <c r="T709" s="27"/>
      <c r="U709" s="28">
        <f t="shared" si="229"/>
        <v>0.10964912280701754</v>
      </c>
      <c r="V709" s="25">
        <f t="shared" si="230"/>
        <v>999</v>
      </c>
      <c r="W709" s="35">
        <f t="shared" si="242"/>
        <v>25</v>
      </c>
      <c r="X709" s="33">
        <f t="shared" si="231"/>
        <v>25</v>
      </c>
      <c r="Y709" s="32">
        <f t="shared" si="232"/>
        <v>-1</v>
      </c>
      <c r="Z709" s="32"/>
      <c r="AA709" s="30">
        <f t="shared" si="233"/>
        <v>19.175455417066154</v>
      </c>
      <c r="AB709" s="28">
        <f t="shared" si="234"/>
        <v>0.63766203913840036</v>
      </c>
      <c r="AC709" s="28">
        <f t="shared" si="235"/>
        <v>0.10964912280701754</v>
      </c>
      <c r="AD709" s="29">
        <f t="shared" si="236"/>
        <v>664.13662239089183</v>
      </c>
      <c r="AE709" s="28">
        <f t="shared" si="237"/>
        <v>0.10964912280701754</v>
      </c>
      <c r="AF709" s="28">
        <f t="shared" si="238"/>
        <v>0.52801291633138281</v>
      </c>
      <c r="AG709" s="28">
        <f t="shared" si="239"/>
        <v>0</v>
      </c>
      <c r="AI709" s="31">
        <f t="shared" si="240"/>
        <v>2.9818129462845007</v>
      </c>
      <c r="AJ709" s="25"/>
      <c r="AK709" s="31"/>
      <c r="AM709" s="27"/>
    </row>
    <row r="710" spans="4:39" x14ac:dyDescent="0.25">
      <c r="D710" s="25">
        <f>E710*'Profit per cycles Model'!$I$113</f>
        <v>7010.0000000000009</v>
      </c>
      <c r="E710" s="25">
        <v>19.202848924804822</v>
      </c>
      <c r="F710" s="28">
        <f t="shared" si="221"/>
        <v>0.14265335235378029</v>
      </c>
      <c r="G710" s="28">
        <f>'Battery Pricing Model'!$C$17/D710</f>
        <v>0.14265335235378029</v>
      </c>
      <c r="H710" s="28">
        <f t="shared" si="222"/>
        <v>999</v>
      </c>
      <c r="I710" s="28"/>
      <c r="J710" s="34">
        <f>INDEX('Profit per cycles Model'!$I$149:$I$179, MATCH(TRUNC(E710, 0), 'Profit per cycles Model'!$H$149:$H$179, 0))</f>
        <v>0.63766203913840036</v>
      </c>
      <c r="K710" s="27">
        <f>AVERAGE($J$10:J1710)</f>
        <v>0.56883042089778579</v>
      </c>
      <c r="L710" s="28">
        <f t="shared" si="223"/>
        <v>0.4261770685440055</v>
      </c>
      <c r="M710" s="28">
        <f t="shared" si="224"/>
        <v>0.4261770685440055</v>
      </c>
      <c r="N710" s="28">
        <f t="shared" si="225"/>
        <v>999</v>
      </c>
      <c r="O710" s="28"/>
      <c r="P710" s="29">
        <f t="shared" si="241"/>
        <v>0.70100000000000051</v>
      </c>
      <c r="Q710" s="33">
        <f t="shared" si="226"/>
        <v>6.7114093959731544</v>
      </c>
      <c r="R710" s="33">
        <f t="shared" si="227"/>
        <v>6.7114093959731544</v>
      </c>
      <c r="S710" s="33">
        <f t="shared" si="228"/>
        <v>-1</v>
      </c>
      <c r="T710" s="27"/>
      <c r="U710" s="28">
        <f t="shared" si="229"/>
        <v>0.10964912280701754</v>
      </c>
      <c r="V710" s="25">
        <f t="shared" si="230"/>
        <v>999</v>
      </c>
      <c r="W710" s="35">
        <f t="shared" si="242"/>
        <v>25</v>
      </c>
      <c r="X710" s="33">
        <f t="shared" si="231"/>
        <v>25</v>
      </c>
      <c r="Y710" s="32">
        <f t="shared" si="232"/>
        <v>-1</v>
      </c>
      <c r="Z710" s="32"/>
      <c r="AA710" s="30">
        <f t="shared" si="233"/>
        <v>19.202848924804822</v>
      </c>
      <c r="AB710" s="28">
        <f t="shared" si="234"/>
        <v>0.63766203913840036</v>
      </c>
      <c r="AC710" s="28">
        <f t="shared" si="235"/>
        <v>0.10964912280701754</v>
      </c>
      <c r="AD710" s="29">
        <f t="shared" si="236"/>
        <v>665.08538899430744</v>
      </c>
      <c r="AE710" s="28">
        <f t="shared" si="237"/>
        <v>0.10964912280701754</v>
      </c>
      <c r="AF710" s="28">
        <f t="shared" si="238"/>
        <v>0.52801291633138281</v>
      </c>
      <c r="AG710" s="28">
        <f t="shared" si="239"/>
        <v>0</v>
      </c>
      <c r="AI710" s="31">
        <f t="shared" si="240"/>
        <v>2.9875012504934788</v>
      </c>
      <c r="AJ710" s="25"/>
      <c r="AK710" s="31"/>
      <c r="AM710" s="27"/>
    </row>
    <row r="711" spans="4:39" x14ac:dyDescent="0.25">
      <c r="D711" s="25">
        <f>E711*'Profit per cycles Model'!$I$113</f>
        <v>7020</v>
      </c>
      <c r="E711" s="25">
        <v>19.230242432543488</v>
      </c>
      <c r="F711" s="28">
        <f t="shared" si="221"/>
        <v>0.14245014245014245</v>
      </c>
      <c r="G711" s="28">
        <f>'Battery Pricing Model'!$C$17/D711</f>
        <v>0.14245014245014245</v>
      </c>
      <c r="H711" s="28">
        <f t="shared" si="222"/>
        <v>999</v>
      </c>
      <c r="I711" s="28"/>
      <c r="J711" s="34">
        <f>INDEX('Profit per cycles Model'!$I$149:$I$179, MATCH(TRUNC(E711, 0), 'Profit per cycles Model'!$H$149:$H$179, 0))</f>
        <v>0.63766203913840036</v>
      </c>
      <c r="K711" s="27">
        <f>AVERAGE($J$10:J1711)</f>
        <v>0.56883042089778579</v>
      </c>
      <c r="L711" s="28">
        <f t="shared" si="223"/>
        <v>0.42638027844764337</v>
      </c>
      <c r="M711" s="28">
        <f t="shared" si="224"/>
        <v>0.42638027844764337</v>
      </c>
      <c r="N711" s="28">
        <f t="shared" si="225"/>
        <v>999</v>
      </c>
      <c r="O711" s="28"/>
      <c r="P711" s="29">
        <f t="shared" si="241"/>
        <v>0.70200000000000051</v>
      </c>
      <c r="Q711" s="33">
        <f t="shared" si="226"/>
        <v>6.7114093959731544</v>
      </c>
      <c r="R711" s="33">
        <f t="shared" si="227"/>
        <v>6.7114093959731544</v>
      </c>
      <c r="S711" s="33">
        <f t="shared" si="228"/>
        <v>-1</v>
      </c>
      <c r="T711" s="27"/>
      <c r="U711" s="28">
        <f t="shared" si="229"/>
        <v>0.10964912280701754</v>
      </c>
      <c r="V711" s="25">
        <f t="shared" si="230"/>
        <v>999</v>
      </c>
      <c r="W711" s="35">
        <f t="shared" si="242"/>
        <v>25</v>
      </c>
      <c r="X711" s="33">
        <f t="shared" si="231"/>
        <v>25</v>
      </c>
      <c r="Y711" s="32">
        <f t="shared" si="232"/>
        <v>-1</v>
      </c>
      <c r="Z711" s="32"/>
      <c r="AA711" s="30">
        <f t="shared" si="233"/>
        <v>19.230242432543488</v>
      </c>
      <c r="AB711" s="28">
        <f t="shared" si="234"/>
        <v>0.63766203913840036</v>
      </c>
      <c r="AC711" s="28">
        <f t="shared" si="235"/>
        <v>0.10964912280701754</v>
      </c>
      <c r="AD711" s="29">
        <f t="shared" si="236"/>
        <v>666.03415559772304</v>
      </c>
      <c r="AE711" s="28">
        <f t="shared" si="237"/>
        <v>0.10964912280701754</v>
      </c>
      <c r="AF711" s="28">
        <f t="shared" si="238"/>
        <v>0.52801291633138281</v>
      </c>
      <c r="AG711" s="28">
        <f t="shared" si="239"/>
        <v>0</v>
      </c>
      <c r="AI711" s="31">
        <f t="shared" si="240"/>
        <v>2.9931895547024565</v>
      </c>
      <c r="AJ711" s="25"/>
      <c r="AK711" s="31"/>
      <c r="AM711" s="27"/>
    </row>
    <row r="712" spans="4:39" x14ac:dyDescent="0.25">
      <c r="D712" s="25">
        <f>E712*'Profit per cycles Model'!$I$113</f>
        <v>7030</v>
      </c>
      <c r="E712" s="25">
        <v>19.257635940282153</v>
      </c>
      <c r="F712" s="28">
        <f t="shared" si="221"/>
        <v>0.14224751066856331</v>
      </c>
      <c r="G712" s="28">
        <f>'Battery Pricing Model'!$C$17/D712</f>
        <v>0.14224751066856331</v>
      </c>
      <c r="H712" s="28">
        <f t="shared" si="222"/>
        <v>999</v>
      </c>
      <c r="I712" s="28"/>
      <c r="J712" s="34">
        <f>INDEX('Profit per cycles Model'!$I$149:$I$179, MATCH(TRUNC(E712, 0), 'Profit per cycles Model'!$H$149:$H$179, 0))</f>
        <v>0.63766203913840036</v>
      </c>
      <c r="K712" s="27">
        <f>AVERAGE($J$10:J1712)</f>
        <v>0.56883042089778579</v>
      </c>
      <c r="L712" s="28">
        <f t="shared" si="223"/>
        <v>0.42658291022922246</v>
      </c>
      <c r="M712" s="28">
        <f t="shared" si="224"/>
        <v>0.42658291022922246</v>
      </c>
      <c r="N712" s="28">
        <f t="shared" si="225"/>
        <v>999</v>
      </c>
      <c r="O712" s="28"/>
      <c r="P712" s="29">
        <f t="shared" si="241"/>
        <v>0.70300000000000051</v>
      </c>
      <c r="Q712" s="33">
        <f t="shared" si="226"/>
        <v>6.7114093959731544</v>
      </c>
      <c r="R712" s="33">
        <f t="shared" si="227"/>
        <v>6.7114093959731544</v>
      </c>
      <c r="S712" s="33">
        <f t="shared" si="228"/>
        <v>-1</v>
      </c>
      <c r="T712" s="27"/>
      <c r="U712" s="28">
        <f t="shared" si="229"/>
        <v>0.10964912280701754</v>
      </c>
      <c r="V712" s="25">
        <f t="shared" si="230"/>
        <v>999</v>
      </c>
      <c r="W712" s="35">
        <f t="shared" si="242"/>
        <v>25</v>
      </c>
      <c r="X712" s="33">
        <f t="shared" si="231"/>
        <v>25</v>
      </c>
      <c r="Y712" s="32">
        <f t="shared" si="232"/>
        <v>-1</v>
      </c>
      <c r="Z712" s="32"/>
      <c r="AA712" s="30">
        <f t="shared" si="233"/>
        <v>19.257635940282153</v>
      </c>
      <c r="AB712" s="28">
        <f t="shared" si="234"/>
        <v>0.63766203913840036</v>
      </c>
      <c r="AC712" s="28">
        <f t="shared" si="235"/>
        <v>0.10964912280701754</v>
      </c>
      <c r="AD712" s="29">
        <f t="shared" si="236"/>
        <v>666.98292220113865</v>
      </c>
      <c r="AE712" s="28">
        <f t="shared" si="237"/>
        <v>0.10964912280701754</v>
      </c>
      <c r="AF712" s="28">
        <f t="shared" si="238"/>
        <v>0.52801291633138281</v>
      </c>
      <c r="AG712" s="28">
        <f t="shared" si="239"/>
        <v>0</v>
      </c>
      <c r="AI712" s="31">
        <f t="shared" si="240"/>
        <v>2.9988778589114338</v>
      </c>
      <c r="AJ712" s="25"/>
      <c r="AK712" s="31"/>
      <c r="AM712" s="27"/>
    </row>
    <row r="713" spans="4:39" x14ac:dyDescent="0.25">
      <c r="D713" s="25">
        <f>E713*'Profit per cycles Model'!$I$113</f>
        <v>7040</v>
      </c>
      <c r="E713" s="25">
        <v>19.285029448020818</v>
      </c>
      <c r="F713" s="28">
        <f t="shared" si="221"/>
        <v>0.14204545454545456</v>
      </c>
      <c r="G713" s="28">
        <f>'Battery Pricing Model'!$C$17/D713</f>
        <v>0.14204545454545456</v>
      </c>
      <c r="H713" s="28">
        <f t="shared" si="222"/>
        <v>999</v>
      </c>
      <c r="I713" s="28"/>
      <c r="J713" s="34">
        <f>INDEX('Profit per cycles Model'!$I$149:$I$179, MATCH(TRUNC(E713, 0), 'Profit per cycles Model'!$H$149:$H$179, 0))</f>
        <v>0.63766203913840036</v>
      </c>
      <c r="K713" s="27">
        <f>AVERAGE($J$10:J1713)</f>
        <v>0.56883042089778579</v>
      </c>
      <c r="L713" s="28">
        <f t="shared" si="223"/>
        <v>0.42678496635233121</v>
      </c>
      <c r="M713" s="28">
        <f t="shared" si="224"/>
        <v>0.42678496635233121</v>
      </c>
      <c r="N713" s="28">
        <f t="shared" si="225"/>
        <v>999</v>
      </c>
      <c r="O713" s="28"/>
      <c r="P713" s="29">
        <f t="shared" si="241"/>
        <v>0.70400000000000051</v>
      </c>
      <c r="Q713" s="33">
        <f t="shared" si="226"/>
        <v>6.7114093959731544</v>
      </c>
      <c r="R713" s="33">
        <f t="shared" si="227"/>
        <v>6.7114093959731544</v>
      </c>
      <c r="S713" s="33">
        <f t="shared" si="228"/>
        <v>-1</v>
      </c>
      <c r="T713" s="27"/>
      <c r="U713" s="28">
        <f t="shared" si="229"/>
        <v>0.10964912280701754</v>
      </c>
      <c r="V713" s="25">
        <f t="shared" si="230"/>
        <v>999</v>
      </c>
      <c r="W713" s="35">
        <f t="shared" si="242"/>
        <v>25</v>
      </c>
      <c r="X713" s="33">
        <f t="shared" si="231"/>
        <v>25</v>
      </c>
      <c r="Y713" s="32">
        <f t="shared" si="232"/>
        <v>-1</v>
      </c>
      <c r="Z713" s="32"/>
      <c r="AA713" s="30">
        <f t="shared" si="233"/>
        <v>19.285029448020818</v>
      </c>
      <c r="AB713" s="28">
        <f t="shared" si="234"/>
        <v>0.63766203913840036</v>
      </c>
      <c r="AC713" s="28">
        <f t="shared" si="235"/>
        <v>0.10964912280701754</v>
      </c>
      <c r="AD713" s="29">
        <f t="shared" si="236"/>
        <v>667.93168880455403</v>
      </c>
      <c r="AE713" s="28">
        <f t="shared" si="237"/>
        <v>0.10964912280701754</v>
      </c>
      <c r="AF713" s="28">
        <f t="shared" si="238"/>
        <v>0.52801291633138281</v>
      </c>
      <c r="AG713" s="28">
        <f t="shared" si="239"/>
        <v>0</v>
      </c>
      <c r="AI713" s="31">
        <f t="shared" si="240"/>
        <v>3.0045661631204115</v>
      </c>
      <c r="AJ713" s="25"/>
      <c r="AK713" s="31"/>
      <c r="AM713" s="27"/>
    </row>
    <row r="714" spans="4:39" x14ac:dyDescent="0.25">
      <c r="D714" s="25">
        <f>E714*'Profit per cycles Model'!$I$113</f>
        <v>7050</v>
      </c>
      <c r="E714" s="25">
        <v>19.312422955759484</v>
      </c>
      <c r="F714" s="28">
        <f t="shared" ref="F714:F777" si="243">IF(OR($H$6="None", $H$6=0), G714, H714)</f>
        <v>0.14184397163120568</v>
      </c>
      <c r="G714" s="28">
        <f>'Battery Pricing Model'!$C$17/D714</f>
        <v>0.14184397163120568</v>
      </c>
      <c r="H714" s="28">
        <f t="shared" ref="H714:H777" si="244">IF(OR($H$6="None", $H$6=0), 999, $G714*(H$6))</f>
        <v>999</v>
      </c>
      <c r="I714" s="28"/>
      <c r="J714" s="34">
        <f>INDEX('Profit per cycles Model'!$I$149:$I$179, MATCH(TRUNC(E714, 0), 'Profit per cycles Model'!$H$149:$H$179, 0))</f>
        <v>0.63766203913840036</v>
      </c>
      <c r="K714" s="27">
        <f>AVERAGE($J$10:J1714)</f>
        <v>0.56883042089778579</v>
      </c>
      <c r="L714" s="28">
        <f t="shared" ref="L714:L777" si="245">IF(K714-F714&lt;0, 999, K714-F714)</f>
        <v>0.42698644926658014</v>
      </c>
      <c r="M714" s="28">
        <f t="shared" ref="M714:M777" si="246">IF(K714-F714&lt;0, 999, K714-F714)</f>
        <v>0.42698644926658014</v>
      </c>
      <c r="N714" s="28">
        <f t="shared" ref="N714:N777" si="247">IF(K714-H714&lt;0, 999, K714-H714)</f>
        <v>999</v>
      </c>
      <c r="O714" s="28"/>
      <c r="P714" s="29">
        <f t="shared" si="241"/>
        <v>0.70500000000000052</v>
      </c>
      <c r="Q714" s="33">
        <f t="shared" ref="Q714:Q777" si="248">$L$5</f>
        <v>6.7114093959731544</v>
      </c>
      <c r="R714" s="33">
        <f t="shared" ref="R714:R777" si="249">$M$5</f>
        <v>6.7114093959731544</v>
      </c>
      <c r="S714" s="33">
        <f t="shared" ref="S714:S777" si="250">$N$5</f>
        <v>-1</v>
      </c>
      <c r="T714" s="27"/>
      <c r="U714" s="28">
        <f t="shared" ref="U714:U777" si="251">IF(ISNA(INDEX($F$10:$F$1063,MATCH(W714,$E$10:$E$1063,1))),-1,INDEX($F$10:$F$1063,MATCH(W714,$E$10:$E$1063,1)))</f>
        <v>0.10964912280701754</v>
      </c>
      <c r="V714" s="25">
        <f t="shared" ref="V714:V777" si="252">IF(ISNA(INDEX($H$10:$H$1063, MATCH(X714, $E$10:$E$1063,1))),-1,  INDEX($H$10:$H$1063, MATCH(X714, $E$10:$E$1063,1)))</f>
        <v>999</v>
      </c>
      <c r="W714" s="35">
        <f t="shared" si="242"/>
        <v>25</v>
      </c>
      <c r="X714" s="33">
        <f t="shared" ref="X714:X777" si="253">IF(PaybackCustom&gt;0, IF(PaybackCustom&lt;&gt;"Default", PaybackCustom, IF(PaybackStatus&lt;&gt;"",INDEX($Y$2:$Y$6,MATCH(PaybackStatus,$X$2:$X$6,FALSE)),-1)))</f>
        <v>25</v>
      </c>
      <c r="Y714" s="32">
        <f t="shared" ref="Y714:Y777" si="254">IF(PaybackStatus&lt;&gt;"",IF(PaybackStatus=$X$4,IF(X714&lt;=$Y$4,$Y$4,-1), -1), -1)</f>
        <v>-1</v>
      </c>
      <c r="Z714" s="32"/>
      <c r="AA714" s="30">
        <f t="shared" ref="AA714:AA777" si="255">E714</f>
        <v>19.312422955759484</v>
      </c>
      <c r="AB714" s="28">
        <f t="shared" ref="AB714:AB777" si="256">J714</f>
        <v>0.63766203913840036</v>
      </c>
      <c r="AC714" s="28">
        <f t="shared" ref="AC714:AC777" si="257">U714</f>
        <v>0.10964912280701754</v>
      </c>
      <c r="AD714" s="29">
        <f t="shared" ref="AD714:AD777" si="258">$AC$2*(AA714-$AC$3)/($AC$4-$AC$3)</f>
        <v>668.88045540796963</v>
      </c>
      <c r="AE714" s="28">
        <f t="shared" ref="AE714:AE777" si="259">MIN(AC714, AB714)</f>
        <v>0.10964912280701754</v>
      </c>
      <c r="AF714" s="28">
        <f t="shared" ref="AF714:AF777" si="260">IF(AND(AA714&lt;X714, AB714&gt;AC714), AB714-AC714, 0)</f>
        <v>0.52801291633138281</v>
      </c>
      <c r="AG714" s="28">
        <f t="shared" ref="AG714:AG777" si="261">IF(AND(AA714&lt;X714, AC714&gt;AB714), AC714-AB714, 0)</f>
        <v>0</v>
      </c>
      <c r="AI714" s="31">
        <f t="shared" ref="AI714:AI777" si="262">(K714-F714)/F714</f>
        <v>3.0102544673293896</v>
      </c>
      <c r="AJ714" s="25"/>
      <c r="AK714" s="31"/>
      <c r="AM714" s="27"/>
    </row>
    <row r="715" spans="4:39" x14ac:dyDescent="0.25">
      <c r="D715" s="25">
        <f>E715*'Profit per cycles Model'!$I$113</f>
        <v>7060</v>
      </c>
      <c r="E715" s="25">
        <v>19.339816463498149</v>
      </c>
      <c r="F715" s="28">
        <f t="shared" si="243"/>
        <v>0.14164305949008499</v>
      </c>
      <c r="G715" s="28">
        <f>'Battery Pricing Model'!$C$17/D715</f>
        <v>0.14164305949008499</v>
      </c>
      <c r="H715" s="28">
        <f t="shared" si="244"/>
        <v>999</v>
      </c>
      <c r="I715" s="28"/>
      <c r="J715" s="34">
        <f>INDEX('Profit per cycles Model'!$I$149:$I$179, MATCH(TRUNC(E715, 0), 'Profit per cycles Model'!$H$149:$H$179, 0))</f>
        <v>0.63766203913840036</v>
      </c>
      <c r="K715" s="27">
        <f>AVERAGE($J$10:J1715)</f>
        <v>0.56883042089778579</v>
      </c>
      <c r="L715" s="28">
        <f t="shared" si="245"/>
        <v>0.42718736140770081</v>
      </c>
      <c r="M715" s="28">
        <f t="shared" si="246"/>
        <v>0.42718736140770081</v>
      </c>
      <c r="N715" s="28">
        <f t="shared" si="247"/>
        <v>999</v>
      </c>
      <c r="O715" s="28"/>
      <c r="P715" s="29">
        <f t="shared" ref="P715:P778" si="263">P714+0.001</f>
        <v>0.70600000000000052</v>
      </c>
      <c r="Q715" s="33">
        <f t="shared" si="248"/>
        <v>6.7114093959731544</v>
      </c>
      <c r="R715" s="33">
        <f t="shared" si="249"/>
        <v>6.7114093959731544</v>
      </c>
      <c r="S715" s="33">
        <f t="shared" si="250"/>
        <v>-1</v>
      </c>
      <c r="T715" s="27"/>
      <c r="U715" s="28">
        <f t="shared" si="251"/>
        <v>0.10964912280701754</v>
      </c>
      <c r="V715" s="25">
        <f t="shared" si="252"/>
        <v>999</v>
      </c>
      <c r="W715" s="35">
        <f t="shared" ref="W715:W778" si="264">IF( AND(X715&gt;0, Y715&gt;0), IF(X715&lt;Y715, X715, Y715),  IF(X715&gt;0, X715, IF(Y715&gt;0, Y715, -1)) )</f>
        <v>25</v>
      </c>
      <c r="X715" s="33">
        <f t="shared" si="253"/>
        <v>25</v>
      </c>
      <c r="Y715" s="32">
        <f t="shared" si="254"/>
        <v>-1</v>
      </c>
      <c r="Z715" s="32"/>
      <c r="AA715" s="30">
        <f t="shared" si="255"/>
        <v>19.339816463498149</v>
      </c>
      <c r="AB715" s="28">
        <f t="shared" si="256"/>
        <v>0.63766203913840036</v>
      </c>
      <c r="AC715" s="28">
        <f t="shared" si="257"/>
        <v>0.10964912280701754</v>
      </c>
      <c r="AD715" s="29">
        <f t="shared" si="258"/>
        <v>669.82922201138513</v>
      </c>
      <c r="AE715" s="28">
        <f t="shared" si="259"/>
        <v>0.10964912280701754</v>
      </c>
      <c r="AF715" s="28">
        <f t="shared" si="260"/>
        <v>0.52801291633138281</v>
      </c>
      <c r="AG715" s="28">
        <f t="shared" si="261"/>
        <v>0</v>
      </c>
      <c r="AI715" s="31">
        <f t="shared" si="262"/>
        <v>3.0159427715383678</v>
      </c>
      <c r="AJ715" s="25"/>
      <c r="AK715" s="31"/>
      <c r="AM715" s="27"/>
    </row>
    <row r="716" spans="4:39" x14ac:dyDescent="0.25">
      <c r="D716" s="25">
        <f>E716*'Profit per cycles Model'!$I$113</f>
        <v>7070.0000000000009</v>
      </c>
      <c r="E716" s="25">
        <v>19.367209971236818</v>
      </c>
      <c r="F716" s="28">
        <f t="shared" si="243"/>
        <v>0.14144271570014141</v>
      </c>
      <c r="G716" s="28">
        <f>'Battery Pricing Model'!$C$17/D716</f>
        <v>0.14144271570014141</v>
      </c>
      <c r="H716" s="28">
        <f t="shared" si="244"/>
        <v>999</v>
      </c>
      <c r="I716" s="28"/>
      <c r="J716" s="34">
        <f>INDEX('Profit per cycles Model'!$I$149:$I$179, MATCH(TRUNC(E716, 0), 'Profit per cycles Model'!$H$149:$H$179, 0))</f>
        <v>0.63766203913840036</v>
      </c>
      <c r="K716" s="27">
        <f>AVERAGE($J$10:J1716)</f>
        <v>0.56883042089778579</v>
      </c>
      <c r="L716" s="28">
        <f t="shared" si="245"/>
        <v>0.42738770519764435</v>
      </c>
      <c r="M716" s="28">
        <f t="shared" si="246"/>
        <v>0.42738770519764435</v>
      </c>
      <c r="N716" s="28">
        <f t="shared" si="247"/>
        <v>999</v>
      </c>
      <c r="O716" s="28"/>
      <c r="P716" s="29">
        <f t="shared" si="263"/>
        <v>0.70700000000000052</v>
      </c>
      <c r="Q716" s="33">
        <f t="shared" si="248"/>
        <v>6.7114093959731544</v>
      </c>
      <c r="R716" s="33">
        <f t="shared" si="249"/>
        <v>6.7114093959731544</v>
      </c>
      <c r="S716" s="33">
        <f t="shared" si="250"/>
        <v>-1</v>
      </c>
      <c r="T716" s="27"/>
      <c r="U716" s="28">
        <f t="shared" si="251"/>
        <v>0.10964912280701754</v>
      </c>
      <c r="V716" s="25">
        <f t="shared" si="252"/>
        <v>999</v>
      </c>
      <c r="W716" s="35">
        <f t="shared" si="264"/>
        <v>25</v>
      </c>
      <c r="X716" s="33">
        <f t="shared" si="253"/>
        <v>25</v>
      </c>
      <c r="Y716" s="32">
        <f t="shared" si="254"/>
        <v>-1</v>
      </c>
      <c r="Z716" s="32"/>
      <c r="AA716" s="30">
        <f t="shared" si="255"/>
        <v>19.367209971236818</v>
      </c>
      <c r="AB716" s="28">
        <f t="shared" si="256"/>
        <v>0.63766203913840036</v>
      </c>
      <c r="AC716" s="28">
        <f t="shared" si="257"/>
        <v>0.10964912280701754</v>
      </c>
      <c r="AD716" s="29">
        <f t="shared" si="258"/>
        <v>670.77798861480085</v>
      </c>
      <c r="AE716" s="28">
        <f t="shared" si="259"/>
        <v>0.10964912280701754</v>
      </c>
      <c r="AF716" s="28">
        <f t="shared" si="260"/>
        <v>0.52801291633138281</v>
      </c>
      <c r="AG716" s="28">
        <f t="shared" si="261"/>
        <v>0</v>
      </c>
      <c r="AI716" s="31">
        <f t="shared" si="262"/>
        <v>3.0216310757473464</v>
      </c>
      <c r="AJ716" s="25"/>
      <c r="AK716" s="31"/>
      <c r="AM716" s="27"/>
    </row>
    <row r="717" spans="4:39" x14ac:dyDescent="0.25">
      <c r="D717" s="25">
        <f>E717*'Profit per cycles Model'!$I$113</f>
        <v>7080</v>
      </c>
      <c r="E717" s="25">
        <v>19.394603478975483</v>
      </c>
      <c r="F717" s="28">
        <f t="shared" si="243"/>
        <v>0.14124293785310735</v>
      </c>
      <c r="G717" s="28">
        <f>'Battery Pricing Model'!$C$17/D717</f>
        <v>0.14124293785310735</v>
      </c>
      <c r="H717" s="28">
        <f t="shared" si="244"/>
        <v>999</v>
      </c>
      <c r="I717" s="28"/>
      <c r="J717" s="34">
        <f>INDEX('Profit per cycles Model'!$I$149:$I$179, MATCH(TRUNC(E717, 0), 'Profit per cycles Model'!$H$149:$H$179, 0))</f>
        <v>0.63766203913840036</v>
      </c>
      <c r="K717" s="27">
        <f>AVERAGE($J$10:J1717)</f>
        <v>0.56883042089778579</v>
      </c>
      <c r="L717" s="28">
        <f t="shared" si="245"/>
        <v>0.42758748304467842</v>
      </c>
      <c r="M717" s="28">
        <f t="shared" si="246"/>
        <v>0.42758748304467842</v>
      </c>
      <c r="N717" s="28">
        <f t="shared" si="247"/>
        <v>999</v>
      </c>
      <c r="O717" s="28"/>
      <c r="P717" s="29">
        <f t="shared" si="263"/>
        <v>0.70800000000000052</v>
      </c>
      <c r="Q717" s="33">
        <f t="shared" si="248"/>
        <v>6.7114093959731544</v>
      </c>
      <c r="R717" s="33">
        <f t="shared" si="249"/>
        <v>6.7114093959731544</v>
      </c>
      <c r="S717" s="33">
        <f t="shared" si="250"/>
        <v>-1</v>
      </c>
      <c r="T717" s="27"/>
      <c r="U717" s="28">
        <f t="shared" si="251"/>
        <v>0.10964912280701754</v>
      </c>
      <c r="V717" s="25">
        <f t="shared" si="252"/>
        <v>999</v>
      </c>
      <c r="W717" s="35">
        <f t="shared" si="264"/>
        <v>25</v>
      </c>
      <c r="X717" s="33">
        <f t="shared" si="253"/>
        <v>25</v>
      </c>
      <c r="Y717" s="32">
        <f t="shared" si="254"/>
        <v>-1</v>
      </c>
      <c r="Z717" s="32"/>
      <c r="AA717" s="30">
        <f t="shared" si="255"/>
        <v>19.394603478975483</v>
      </c>
      <c r="AB717" s="28">
        <f t="shared" si="256"/>
        <v>0.63766203913840036</v>
      </c>
      <c r="AC717" s="28">
        <f t="shared" si="257"/>
        <v>0.10964912280701754</v>
      </c>
      <c r="AD717" s="29">
        <f t="shared" si="258"/>
        <v>671.72675521821645</v>
      </c>
      <c r="AE717" s="28">
        <f t="shared" si="259"/>
        <v>0.10964912280701754</v>
      </c>
      <c r="AF717" s="28">
        <f t="shared" si="260"/>
        <v>0.52801291633138281</v>
      </c>
      <c r="AG717" s="28">
        <f t="shared" si="261"/>
        <v>0</v>
      </c>
      <c r="AI717" s="31">
        <f t="shared" si="262"/>
        <v>3.0273193799563232</v>
      </c>
      <c r="AJ717" s="25"/>
      <c r="AK717" s="31"/>
      <c r="AM717" s="27"/>
    </row>
    <row r="718" spans="4:39" x14ac:dyDescent="0.25">
      <c r="D718" s="25">
        <f>E718*'Profit per cycles Model'!$I$113</f>
        <v>7090</v>
      </c>
      <c r="E718" s="25">
        <v>19.421996986714149</v>
      </c>
      <c r="F718" s="28">
        <f t="shared" si="243"/>
        <v>0.14104372355430184</v>
      </c>
      <c r="G718" s="28">
        <f>'Battery Pricing Model'!$C$17/D718</f>
        <v>0.14104372355430184</v>
      </c>
      <c r="H718" s="28">
        <f t="shared" si="244"/>
        <v>999</v>
      </c>
      <c r="I718" s="28"/>
      <c r="J718" s="34">
        <f>INDEX('Profit per cycles Model'!$I$149:$I$179, MATCH(TRUNC(E718, 0), 'Profit per cycles Model'!$H$149:$H$179, 0))</f>
        <v>0.63766203913840036</v>
      </c>
      <c r="K718" s="27">
        <f>AVERAGE($J$10:J1718)</f>
        <v>0.56883042089778579</v>
      </c>
      <c r="L718" s="28">
        <f t="shared" si="245"/>
        <v>0.42778669734348396</v>
      </c>
      <c r="M718" s="28">
        <f t="shared" si="246"/>
        <v>0.42778669734348396</v>
      </c>
      <c r="N718" s="28">
        <f t="shared" si="247"/>
        <v>999</v>
      </c>
      <c r="O718" s="28"/>
      <c r="P718" s="29">
        <f t="shared" si="263"/>
        <v>0.70900000000000052</v>
      </c>
      <c r="Q718" s="33">
        <f t="shared" si="248"/>
        <v>6.7114093959731544</v>
      </c>
      <c r="R718" s="33">
        <f t="shared" si="249"/>
        <v>6.7114093959731544</v>
      </c>
      <c r="S718" s="33">
        <f t="shared" si="250"/>
        <v>-1</v>
      </c>
      <c r="T718" s="27"/>
      <c r="U718" s="28">
        <f t="shared" si="251"/>
        <v>0.10964912280701754</v>
      </c>
      <c r="V718" s="25">
        <f t="shared" si="252"/>
        <v>999</v>
      </c>
      <c r="W718" s="35">
        <f t="shared" si="264"/>
        <v>25</v>
      </c>
      <c r="X718" s="33">
        <f t="shared" si="253"/>
        <v>25</v>
      </c>
      <c r="Y718" s="32">
        <f t="shared" si="254"/>
        <v>-1</v>
      </c>
      <c r="Z718" s="32"/>
      <c r="AA718" s="30">
        <f t="shared" si="255"/>
        <v>19.421996986714149</v>
      </c>
      <c r="AB718" s="28">
        <f t="shared" si="256"/>
        <v>0.63766203913840036</v>
      </c>
      <c r="AC718" s="28">
        <f t="shared" si="257"/>
        <v>0.10964912280701754</v>
      </c>
      <c r="AD718" s="29">
        <f t="shared" si="258"/>
        <v>672.67552182163195</v>
      </c>
      <c r="AE718" s="28">
        <f t="shared" si="259"/>
        <v>0.10964912280701754</v>
      </c>
      <c r="AF718" s="28">
        <f t="shared" si="260"/>
        <v>0.52801291633138281</v>
      </c>
      <c r="AG718" s="28">
        <f t="shared" si="261"/>
        <v>0</v>
      </c>
      <c r="AI718" s="31">
        <f t="shared" si="262"/>
        <v>3.0330076841653013</v>
      </c>
      <c r="AJ718" s="25"/>
      <c r="AK718" s="31"/>
      <c r="AM718" s="27"/>
    </row>
    <row r="719" spans="4:39" x14ac:dyDescent="0.25">
      <c r="D719" s="25">
        <f>E719*'Profit per cycles Model'!$I$113</f>
        <v>7100</v>
      </c>
      <c r="E719" s="25">
        <v>19.449390494452814</v>
      </c>
      <c r="F719" s="28">
        <f t="shared" si="243"/>
        <v>0.14084507042253522</v>
      </c>
      <c r="G719" s="28">
        <f>'Battery Pricing Model'!$C$17/D719</f>
        <v>0.14084507042253522</v>
      </c>
      <c r="H719" s="28">
        <f t="shared" si="244"/>
        <v>999</v>
      </c>
      <c r="I719" s="28"/>
      <c r="J719" s="34">
        <f>INDEX('Profit per cycles Model'!$I$149:$I$179, MATCH(TRUNC(E719, 0), 'Profit per cycles Model'!$H$149:$H$179, 0))</f>
        <v>0.63766203913840036</v>
      </c>
      <c r="K719" s="27">
        <f>AVERAGE($J$10:J1719)</f>
        <v>0.56883042089778579</v>
      </c>
      <c r="L719" s="28">
        <f t="shared" si="245"/>
        <v>0.42798535047525055</v>
      </c>
      <c r="M719" s="28">
        <f t="shared" si="246"/>
        <v>0.42798535047525055</v>
      </c>
      <c r="N719" s="28">
        <f t="shared" si="247"/>
        <v>999</v>
      </c>
      <c r="O719" s="28"/>
      <c r="P719" s="29">
        <f t="shared" si="263"/>
        <v>0.71000000000000052</v>
      </c>
      <c r="Q719" s="33">
        <f t="shared" si="248"/>
        <v>6.7114093959731544</v>
      </c>
      <c r="R719" s="33">
        <f t="shared" si="249"/>
        <v>6.7114093959731544</v>
      </c>
      <c r="S719" s="33">
        <f t="shared" si="250"/>
        <v>-1</v>
      </c>
      <c r="T719" s="27"/>
      <c r="U719" s="28">
        <f t="shared" si="251"/>
        <v>0.10964912280701754</v>
      </c>
      <c r="V719" s="25">
        <f t="shared" si="252"/>
        <v>999</v>
      </c>
      <c r="W719" s="35">
        <f t="shared" si="264"/>
        <v>25</v>
      </c>
      <c r="X719" s="33">
        <f t="shared" si="253"/>
        <v>25</v>
      </c>
      <c r="Y719" s="32">
        <f t="shared" si="254"/>
        <v>-1</v>
      </c>
      <c r="Z719" s="32"/>
      <c r="AA719" s="30">
        <f t="shared" si="255"/>
        <v>19.449390494452814</v>
      </c>
      <c r="AB719" s="28">
        <f t="shared" si="256"/>
        <v>0.63766203913840036</v>
      </c>
      <c r="AC719" s="28">
        <f t="shared" si="257"/>
        <v>0.10964912280701754</v>
      </c>
      <c r="AD719" s="29">
        <f t="shared" si="258"/>
        <v>673.62428842504744</v>
      </c>
      <c r="AE719" s="28">
        <f t="shared" si="259"/>
        <v>0.10964912280701754</v>
      </c>
      <c r="AF719" s="28">
        <f t="shared" si="260"/>
        <v>0.52801291633138281</v>
      </c>
      <c r="AG719" s="28">
        <f t="shared" si="261"/>
        <v>0</v>
      </c>
      <c r="AI719" s="31">
        <f t="shared" si="262"/>
        <v>3.0386959883742786</v>
      </c>
      <c r="AJ719" s="25"/>
      <c r="AK719" s="31"/>
      <c r="AM719" s="27"/>
    </row>
    <row r="720" spans="4:39" x14ac:dyDescent="0.25">
      <c r="D720" s="25">
        <f>E720*'Profit per cycles Model'!$I$113</f>
        <v>7110</v>
      </c>
      <c r="E720" s="25">
        <v>19.476784002191479</v>
      </c>
      <c r="F720" s="28">
        <f t="shared" si="243"/>
        <v>0.14064697609001406</v>
      </c>
      <c r="G720" s="28">
        <f>'Battery Pricing Model'!$C$17/D720</f>
        <v>0.14064697609001406</v>
      </c>
      <c r="H720" s="28">
        <f t="shared" si="244"/>
        <v>999</v>
      </c>
      <c r="I720" s="28"/>
      <c r="J720" s="34">
        <f>INDEX('Profit per cycles Model'!$I$149:$I$179, MATCH(TRUNC(E720, 0), 'Profit per cycles Model'!$H$149:$H$179, 0))</f>
        <v>0.63766203913840036</v>
      </c>
      <c r="K720" s="27">
        <f>AVERAGE($J$10:J1720)</f>
        <v>0.56883042089778579</v>
      </c>
      <c r="L720" s="28">
        <f t="shared" si="245"/>
        <v>0.42818344480777171</v>
      </c>
      <c r="M720" s="28">
        <f t="shared" si="246"/>
        <v>0.42818344480777171</v>
      </c>
      <c r="N720" s="28">
        <f t="shared" si="247"/>
        <v>999</v>
      </c>
      <c r="O720" s="28"/>
      <c r="P720" s="29">
        <f t="shared" si="263"/>
        <v>0.71100000000000052</v>
      </c>
      <c r="Q720" s="33">
        <f t="shared" si="248"/>
        <v>6.7114093959731544</v>
      </c>
      <c r="R720" s="33">
        <f t="shared" si="249"/>
        <v>6.7114093959731544</v>
      </c>
      <c r="S720" s="33">
        <f t="shared" si="250"/>
        <v>-1</v>
      </c>
      <c r="T720" s="27"/>
      <c r="U720" s="28">
        <f t="shared" si="251"/>
        <v>0.10964912280701754</v>
      </c>
      <c r="V720" s="25">
        <f t="shared" si="252"/>
        <v>999</v>
      </c>
      <c r="W720" s="35">
        <f t="shared" si="264"/>
        <v>25</v>
      </c>
      <c r="X720" s="33">
        <f t="shared" si="253"/>
        <v>25</v>
      </c>
      <c r="Y720" s="32">
        <f t="shared" si="254"/>
        <v>-1</v>
      </c>
      <c r="Z720" s="32"/>
      <c r="AA720" s="30">
        <f t="shared" si="255"/>
        <v>19.476784002191479</v>
      </c>
      <c r="AB720" s="28">
        <f t="shared" si="256"/>
        <v>0.63766203913840036</v>
      </c>
      <c r="AC720" s="28">
        <f t="shared" si="257"/>
        <v>0.10964912280701754</v>
      </c>
      <c r="AD720" s="29">
        <f t="shared" si="258"/>
        <v>674.57305502846293</v>
      </c>
      <c r="AE720" s="28">
        <f t="shared" si="259"/>
        <v>0.10964912280701754</v>
      </c>
      <c r="AF720" s="28">
        <f t="shared" si="260"/>
        <v>0.52801291633138281</v>
      </c>
      <c r="AG720" s="28">
        <f t="shared" si="261"/>
        <v>0</v>
      </c>
      <c r="AI720" s="31">
        <f t="shared" si="262"/>
        <v>3.0443842925832572</v>
      </c>
      <c r="AJ720" s="25"/>
      <c r="AK720" s="31"/>
      <c r="AM720" s="27"/>
    </row>
    <row r="721" spans="4:39" x14ac:dyDescent="0.25">
      <c r="D721" s="25">
        <f>E721*'Profit per cycles Model'!$I$113</f>
        <v>7119.9999999999991</v>
      </c>
      <c r="E721" s="25">
        <v>19.504177509930145</v>
      </c>
      <c r="F721" s="28">
        <f t="shared" si="243"/>
        <v>0.1404494382022472</v>
      </c>
      <c r="G721" s="28">
        <f>'Battery Pricing Model'!$C$17/D721</f>
        <v>0.1404494382022472</v>
      </c>
      <c r="H721" s="28">
        <f t="shared" si="244"/>
        <v>999</v>
      </c>
      <c r="I721" s="28"/>
      <c r="J721" s="34">
        <f>INDEX('Profit per cycles Model'!$I$149:$I$179, MATCH(TRUNC(E721, 0), 'Profit per cycles Model'!$H$149:$H$179, 0))</f>
        <v>0.63766203913840036</v>
      </c>
      <c r="K721" s="27">
        <f>AVERAGE($J$10:J1721)</f>
        <v>0.56883042089778579</v>
      </c>
      <c r="L721" s="28">
        <f t="shared" si="245"/>
        <v>0.42838098269553859</v>
      </c>
      <c r="M721" s="28">
        <f t="shared" si="246"/>
        <v>0.42838098269553859</v>
      </c>
      <c r="N721" s="28">
        <f t="shared" si="247"/>
        <v>999</v>
      </c>
      <c r="O721" s="28"/>
      <c r="P721" s="29">
        <f t="shared" si="263"/>
        <v>0.71200000000000052</v>
      </c>
      <c r="Q721" s="33">
        <f t="shared" si="248"/>
        <v>6.7114093959731544</v>
      </c>
      <c r="R721" s="33">
        <f t="shared" si="249"/>
        <v>6.7114093959731544</v>
      </c>
      <c r="S721" s="33">
        <f t="shared" si="250"/>
        <v>-1</v>
      </c>
      <c r="T721" s="27"/>
      <c r="U721" s="28">
        <f t="shared" si="251"/>
        <v>0.10964912280701754</v>
      </c>
      <c r="V721" s="25">
        <f t="shared" si="252"/>
        <v>999</v>
      </c>
      <c r="W721" s="35">
        <f t="shared" si="264"/>
        <v>25</v>
      </c>
      <c r="X721" s="33">
        <f t="shared" si="253"/>
        <v>25</v>
      </c>
      <c r="Y721" s="32">
        <f t="shared" si="254"/>
        <v>-1</v>
      </c>
      <c r="Z721" s="32"/>
      <c r="AA721" s="30">
        <f t="shared" si="255"/>
        <v>19.504177509930145</v>
      </c>
      <c r="AB721" s="28">
        <f t="shared" si="256"/>
        <v>0.63766203913840036</v>
      </c>
      <c r="AC721" s="28">
        <f t="shared" si="257"/>
        <v>0.10964912280701754</v>
      </c>
      <c r="AD721" s="29">
        <f t="shared" si="258"/>
        <v>675.52182163187854</v>
      </c>
      <c r="AE721" s="28">
        <f t="shared" si="259"/>
        <v>0.10964912280701754</v>
      </c>
      <c r="AF721" s="28">
        <f t="shared" si="260"/>
        <v>0.52801291633138281</v>
      </c>
      <c r="AG721" s="28">
        <f t="shared" si="261"/>
        <v>0</v>
      </c>
      <c r="AI721" s="31">
        <f t="shared" si="262"/>
        <v>3.0500725967922344</v>
      </c>
      <c r="AJ721" s="25"/>
      <c r="AK721" s="31"/>
      <c r="AM721" s="27"/>
    </row>
    <row r="722" spans="4:39" x14ac:dyDescent="0.25">
      <c r="D722" s="25">
        <f>E722*'Profit per cycles Model'!$I$113</f>
        <v>7130.0000000000009</v>
      </c>
      <c r="E722" s="25">
        <v>19.531571017668814</v>
      </c>
      <c r="F722" s="28">
        <f t="shared" si="243"/>
        <v>0.14025245441795228</v>
      </c>
      <c r="G722" s="28">
        <f>'Battery Pricing Model'!$C$17/D722</f>
        <v>0.14025245441795228</v>
      </c>
      <c r="H722" s="28">
        <f t="shared" si="244"/>
        <v>999</v>
      </c>
      <c r="I722" s="28"/>
      <c r="J722" s="34">
        <f>INDEX('Profit per cycles Model'!$I$149:$I$179, MATCH(TRUNC(E722, 0), 'Profit per cycles Model'!$H$149:$H$179, 0))</f>
        <v>0.63766203913840036</v>
      </c>
      <c r="K722" s="27">
        <f>AVERAGE($J$10:J1722)</f>
        <v>0.56883042089778579</v>
      </c>
      <c r="L722" s="28">
        <f t="shared" si="245"/>
        <v>0.42857796647983348</v>
      </c>
      <c r="M722" s="28">
        <f t="shared" si="246"/>
        <v>0.42857796647983348</v>
      </c>
      <c r="N722" s="28">
        <f t="shared" si="247"/>
        <v>999</v>
      </c>
      <c r="O722" s="28"/>
      <c r="P722" s="29">
        <f t="shared" si="263"/>
        <v>0.71300000000000052</v>
      </c>
      <c r="Q722" s="33">
        <f t="shared" si="248"/>
        <v>6.7114093959731544</v>
      </c>
      <c r="R722" s="33">
        <f t="shared" si="249"/>
        <v>6.7114093959731544</v>
      </c>
      <c r="S722" s="33">
        <f t="shared" si="250"/>
        <v>-1</v>
      </c>
      <c r="T722" s="27"/>
      <c r="U722" s="28">
        <f t="shared" si="251"/>
        <v>0.10964912280701754</v>
      </c>
      <c r="V722" s="25">
        <f t="shared" si="252"/>
        <v>999</v>
      </c>
      <c r="W722" s="35">
        <f t="shared" si="264"/>
        <v>25</v>
      </c>
      <c r="X722" s="33">
        <f t="shared" si="253"/>
        <v>25</v>
      </c>
      <c r="Y722" s="32">
        <f t="shared" si="254"/>
        <v>-1</v>
      </c>
      <c r="Z722" s="32"/>
      <c r="AA722" s="30">
        <f t="shared" si="255"/>
        <v>19.531571017668814</v>
      </c>
      <c r="AB722" s="28">
        <f t="shared" si="256"/>
        <v>0.63766203913840036</v>
      </c>
      <c r="AC722" s="28">
        <f t="shared" si="257"/>
        <v>0.10964912280701754</v>
      </c>
      <c r="AD722" s="29">
        <f t="shared" si="258"/>
        <v>676.47058823529426</v>
      </c>
      <c r="AE722" s="28">
        <f t="shared" si="259"/>
        <v>0.10964912280701754</v>
      </c>
      <c r="AF722" s="28">
        <f t="shared" si="260"/>
        <v>0.52801291633138281</v>
      </c>
      <c r="AG722" s="28">
        <f t="shared" si="261"/>
        <v>0</v>
      </c>
      <c r="AI722" s="31">
        <f t="shared" si="262"/>
        <v>3.0557609010012134</v>
      </c>
      <c r="AJ722" s="25"/>
      <c r="AK722" s="31"/>
      <c r="AM722" s="27"/>
    </row>
    <row r="723" spans="4:39" x14ac:dyDescent="0.25">
      <c r="D723" s="25">
        <f>E723*'Profit per cycles Model'!$I$113</f>
        <v>7140</v>
      </c>
      <c r="E723" s="25">
        <v>19.558964525407479</v>
      </c>
      <c r="F723" s="28">
        <f t="shared" si="243"/>
        <v>0.14005602240896359</v>
      </c>
      <c r="G723" s="28">
        <f>'Battery Pricing Model'!$C$17/D723</f>
        <v>0.14005602240896359</v>
      </c>
      <c r="H723" s="28">
        <f t="shared" si="244"/>
        <v>999</v>
      </c>
      <c r="I723" s="28"/>
      <c r="J723" s="34">
        <f>INDEX('Profit per cycles Model'!$I$149:$I$179, MATCH(TRUNC(E723, 0), 'Profit per cycles Model'!$H$149:$H$179, 0))</f>
        <v>0.63766203913840036</v>
      </c>
      <c r="K723" s="27">
        <f>AVERAGE($J$10:J1723)</f>
        <v>0.56883042089778579</v>
      </c>
      <c r="L723" s="28">
        <f t="shared" si="245"/>
        <v>0.42877439848882221</v>
      </c>
      <c r="M723" s="28">
        <f t="shared" si="246"/>
        <v>0.42877439848882221</v>
      </c>
      <c r="N723" s="28">
        <f t="shared" si="247"/>
        <v>999</v>
      </c>
      <c r="O723" s="28"/>
      <c r="P723" s="29">
        <f t="shared" si="263"/>
        <v>0.71400000000000052</v>
      </c>
      <c r="Q723" s="33">
        <f t="shared" si="248"/>
        <v>6.7114093959731544</v>
      </c>
      <c r="R723" s="33">
        <f t="shared" si="249"/>
        <v>6.7114093959731544</v>
      </c>
      <c r="S723" s="33">
        <f t="shared" si="250"/>
        <v>-1</v>
      </c>
      <c r="T723" s="27"/>
      <c r="U723" s="28">
        <f t="shared" si="251"/>
        <v>0.10964912280701754</v>
      </c>
      <c r="V723" s="25">
        <f t="shared" si="252"/>
        <v>999</v>
      </c>
      <c r="W723" s="35">
        <f t="shared" si="264"/>
        <v>25</v>
      </c>
      <c r="X723" s="33">
        <f t="shared" si="253"/>
        <v>25</v>
      </c>
      <c r="Y723" s="32">
        <f t="shared" si="254"/>
        <v>-1</v>
      </c>
      <c r="Z723" s="32"/>
      <c r="AA723" s="30">
        <f t="shared" si="255"/>
        <v>19.558964525407479</v>
      </c>
      <c r="AB723" s="28">
        <f t="shared" si="256"/>
        <v>0.63766203913840036</v>
      </c>
      <c r="AC723" s="28">
        <f t="shared" si="257"/>
        <v>0.10964912280701754</v>
      </c>
      <c r="AD723" s="29">
        <f t="shared" si="258"/>
        <v>677.41935483870975</v>
      </c>
      <c r="AE723" s="28">
        <f t="shared" si="259"/>
        <v>0.10964912280701754</v>
      </c>
      <c r="AF723" s="28">
        <f t="shared" si="260"/>
        <v>0.52801291633138281</v>
      </c>
      <c r="AG723" s="28">
        <f t="shared" si="261"/>
        <v>0</v>
      </c>
      <c r="AI723" s="31">
        <f t="shared" si="262"/>
        <v>3.0614492052101907</v>
      </c>
      <c r="AJ723" s="25"/>
      <c r="AK723" s="31"/>
      <c r="AM723" s="27"/>
    </row>
    <row r="724" spans="4:39" x14ac:dyDescent="0.25">
      <c r="D724" s="25">
        <f>E724*'Profit per cycles Model'!$I$113</f>
        <v>7150</v>
      </c>
      <c r="E724" s="25">
        <v>19.586358033146144</v>
      </c>
      <c r="F724" s="28">
        <f t="shared" si="243"/>
        <v>0.13986013986013987</v>
      </c>
      <c r="G724" s="28">
        <f>'Battery Pricing Model'!$C$17/D724</f>
        <v>0.13986013986013987</v>
      </c>
      <c r="H724" s="28">
        <f t="shared" si="244"/>
        <v>999</v>
      </c>
      <c r="I724" s="28"/>
      <c r="J724" s="34">
        <f>INDEX('Profit per cycles Model'!$I$149:$I$179, MATCH(TRUNC(E724, 0), 'Profit per cycles Model'!$H$149:$H$179, 0))</f>
        <v>0.63766203913840036</v>
      </c>
      <c r="K724" s="27">
        <f>AVERAGE($J$10:J1724)</f>
        <v>0.56883042089778579</v>
      </c>
      <c r="L724" s="28">
        <f t="shared" si="245"/>
        <v>0.4289702810376459</v>
      </c>
      <c r="M724" s="28">
        <f t="shared" si="246"/>
        <v>0.4289702810376459</v>
      </c>
      <c r="N724" s="28">
        <f t="shared" si="247"/>
        <v>999</v>
      </c>
      <c r="O724" s="28"/>
      <c r="P724" s="29">
        <f t="shared" si="263"/>
        <v>0.71500000000000052</v>
      </c>
      <c r="Q724" s="33">
        <f t="shared" si="248"/>
        <v>6.7114093959731544</v>
      </c>
      <c r="R724" s="33">
        <f t="shared" si="249"/>
        <v>6.7114093959731544</v>
      </c>
      <c r="S724" s="33">
        <f t="shared" si="250"/>
        <v>-1</v>
      </c>
      <c r="T724" s="27"/>
      <c r="U724" s="28">
        <f t="shared" si="251"/>
        <v>0.10964912280701754</v>
      </c>
      <c r="V724" s="25">
        <f t="shared" si="252"/>
        <v>999</v>
      </c>
      <c r="W724" s="35">
        <f t="shared" si="264"/>
        <v>25</v>
      </c>
      <c r="X724" s="33">
        <f t="shared" si="253"/>
        <v>25</v>
      </c>
      <c r="Y724" s="32">
        <f t="shared" si="254"/>
        <v>-1</v>
      </c>
      <c r="Z724" s="32"/>
      <c r="AA724" s="30">
        <f t="shared" si="255"/>
        <v>19.586358033146144</v>
      </c>
      <c r="AB724" s="28">
        <f t="shared" si="256"/>
        <v>0.63766203913840036</v>
      </c>
      <c r="AC724" s="28">
        <f t="shared" si="257"/>
        <v>0.10964912280701754</v>
      </c>
      <c r="AD724" s="29">
        <f t="shared" si="258"/>
        <v>678.36812144212536</v>
      </c>
      <c r="AE724" s="28">
        <f t="shared" si="259"/>
        <v>0.10964912280701754</v>
      </c>
      <c r="AF724" s="28">
        <f t="shared" si="260"/>
        <v>0.52801291633138281</v>
      </c>
      <c r="AG724" s="28">
        <f t="shared" si="261"/>
        <v>0</v>
      </c>
      <c r="AI724" s="31">
        <f t="shared" si="262"/>
        <v>3.067137509419168</v>
      </c>
      <c r="AJ724" s="25"/>
      <c r="AK724" s="31"/>
      <c r="AM724" s="27"/>
    </row>
    <row r="725" spans="4:39" x14ac:dyDescent="0.25">
      <c r="D725" s="25">
        <f>E725*'Profit per cycles Model'!$I$113</f>
        <v>7160</v>
      </c>
      <c r="E725" s="25">
        <v>19.61375154088481</v>
      </c>
      <c r="F725" s="28">
        <f t="shared" si="243"/>
        <v>0.13966480446927373</v>
      </c>
      <c r="G725" s="28">
        <f>'Battery Pricing Model'!$C$17/D725</f>
        <v>0.13966480446927373</v>
      </c>
      <c r="H725" s="28">
        <f t="shared" si="244"/>
        <v>999</v>
      </c>
      <c r="I725" s="28"/>
      <c r="J725" s="34">
        <f>INDEX('Profit per cycles Model'!$I$149:$I$179, MATCH(TRUNC(E725, 0), 'Profit per cycles Model'!$H$149:$H$179, 0))</f>
        <v>0.63766203913840036</v>
      </c>
      <c r="K725" s="27">
        <f>AVERAGE($J$10:J1725)</f>
        <v>0.56883042089778579</v>
      </c>
      <c r="L725" s="28">
        <f t="shared" si="245"/>
        <v>0.42916561642851203</v>
      </c>
      <c r="M725" s="28">
        <f t="shared" si="246"/>
        <v>0.42916561642851203</v>
      </c>
      <c r="N725" s="28">
        <f t="shared" si="247"/>
        <v>999</v>
      </c>
      <c r="O725" s="28"/>
      <c r="P725" s="29">
        <f t="shared" si="263"/>
        <v>0.71600000000000052</v>
      </c>
      <c r="Q725" s="33">
        <f t="shared" si="248"/>
        <v>6.7114093959731544</v>
      </c>
      <c r="R725" s="33">
        <f t="shared" si="249"/>
        <v>6.7114093959731544</v>
      </c>
      <c r="S725" s="33">
        <f t="shared" si="250"/>
        <v>-1</v>
      </c>
      <c r="T725" s="27"/>
      <c r="U725" s="28">
        <f t="shared" si="251"/>
        <v>0.10964912280701754</v>
      </c>
      <c r="V725" s="25">
        <f t="shared" si="252"/>
        <v>999</v>
      </c>
      <c r="W725" s="35">
        <f t="shared" si="264"/>
        <v>25</v>
      </c>
      <c r="X725" s="33">
        <f t="shared" si="253"/>
        <v>25</v>
      </c>
      <c r="Y725" s="32">
        <f t="shared" si="254"/>
        <v>-1</v>
      </c>
      <c r="Z725" s="32"/>
      <c r="AA725" s="30">
        <f t="shared" si="255"/>
        <v>19.61375154088481</v>
      </c>
      <c r="AB725" s="28">
        <f t="shared" si="256"/>
        <v>0.63766203913840036</v>
      </c>
      <c r="AC725" s="28">
        <f t="shared" si="257"/>
        <v>0.10964912280701754</v>
      </c>
      <c r="AD725" s="29">
        <f t="shared" si="258"/>
        <v>679.31688804554074</v>
      </c>
      <c r="AE725" s="28">
        <f t="shared" si="259"/>
        <v>0.10964912280701754</v>
      </c>
      <c r="AF725" s="28">
        <f t="shared" si="260"/>
        <v>0.52801291633138281</v>
      </c>
      <c r="AG725" s="28">
        <f t="shared" si="261"/>
        <v>0</v>
      </c>
      <c r="AI725" s="31">
        <f t="shared" si="262"/>
        <v>3.0728258136281466</v>
      </c>
      <c r="AJ725" s="25"/>
      <c r="AK725" s="31"/>
      <c r="AM725" s="27"/>
    </row>
    <row r="726" spans="4:39" x14ac:dyDescent="0.25">
      <c r="D726" s="25">
        <f>E726*'Profit per cycles Model'!$I$113</f>
        <v>7170</v>
      </c>
      <c r="E726" s="25">
        <v>19.641145048623475</v>
      </c>
      <c r="F726" s="28">
        <f t="shared" si="243"/>
        <v>0.1394700139470014</v>
      </c>
      <c r="G726" s="28">
        <f>'Battery Pricing Model'!$C$17/D726</f>
        <v>0.1394700139470014</v>
      </c>
      <c r="H726" s="28">
        <f t="shared" si="244"/>
        <v>999</v>
      </c>
      <c r="I726" s="28"/>
      <c r="J726" s="34">
        <f>INDEX('Profit per cycles Model'!$I$149:$I$179, MATCH(TRUNC(E726, 0), 'Profit per cycles Model'!$H$149:$H$179, 0))</f>
        <v>0.63766203913840036</v>
      </c>
      <c r="K726" s="27">
        <f>AVERAGE($J$10:J1726)</f>
        <v>0.56883042089778579</v>
      </c>
      <c r="L726" s="28">
        <f t="shared" si="245"/>
        <v>0.42936040695078437</v>
      </c>
      <c r="M726" s="28">
        <f t="shared" si="246"/>
        <v>0.42936040695078437</v>
      </c>
      <c r="N726" s="28">
        <f t="shared" si="247"/>
        <v>999</v>
      </c>
      <c r="O726" s="28"/>
      <c r="P726" s="29">
        <f t="shared" si="263"/>
        <v>0.71700000000000053</v>
      </c>
      <c r="Q726" s="33">
        <f t="shared" si="248"/>
        <v>6.7114093959731544</v>
      </c>
      <c r="R726" s="33">
        <f t="shared" si="249"/>
        <v>6.7114093959731544</v>
      </c>
      <c r="S726" s="33">
        <f t="shared" si="250"/>
        <v>-1</v>
      </c>
      <c r="T726" s="27"/>
      <c r="U726" s="28">
        <f t="shared" si="251"/>
        <v>0.10964912280701754</v>
      </c>
      <c r="V726" s="25">
        <f t="shared" si="252"/>
        <v>999</v>
      </c>
      <c r="W726" s="35">
        <f t="shared" si="264"/>
        <v>25</v>
      </c>
      <c r="X726" s="33">
        <f t="shared" si="253"/>
        <v>25</v>
      </c>
      <c r="Y726" s="32">
        <f t="shared" si="254"/>
        <v>-1</v>
      </c>
      <c r="Z726" s="32"/>
      <c r="AA726" s="30">
        <f t="shared" si="255"/>
        <v>19.641145048623475</v>
      </c>
      <c r="AB726" s="28">
        <f t="shared" si="256"/>
        <v>0.63766203913840036</v>
      </c>
      <c r="AC726" s="28">
        <f t="shared" si="257"/>
        <v>0.10964912280701754</v>
      </c>
      <c r="AD726" s="29">
        <f t="shared" si="258"/>
        <v>680.26565464895634</v>
      </c>
      <c r="AE726" s="28">
        <f t="shared" si="259"/>
        <v>0.10964912280701754</v>
      </c>
      <c r="AF726" s="28">
        <f t="shared" si="260"/>
        <v>0.52801291633138281</v>
      </c>
      <c r="AG726" s="28">
        <f t="shared" si="261"/>
        <v>0</v>
      </c>
      <c r="AI726" s="31">
        <f t="shared" si="262"/>
        <v>3.0785141178371238</v>
      </c>
      <c r="AJ726" s="25"/>
      <c r="AK726" s="31"/>
      <c r="AM726" s="27"/>
    </row>
    <row r="727" spans="4:39" x14ac:dyDescent="0.25">
      <c r="D727" s="25">
        <f>E727*'Profit per cycles Model'!$I$113</f>
        <v>7179.9999999999991</v>
      </c>
      <c r="E727" s="25">
        <v>19.66853855636214</v>
      </c>
      <c r="F727" s="28">
        <f t="shared" si="243"/>
        <v>0.1392757660167131</v>
      </c>
      <c r="G727" s="28">
        <f>'Battery Pricing Model'!$C$17/D727</f>
        <v>0.1392757660167131</v>
      </c>
      <c r="H727" s="28">
        <f t="shared" si="244"/>
        <v>999</v>
      </c>
      <c r="I727" s="28"/>
      <c r="J727" s="34">
        <f>INDEX('Profit per cycles Model'!$I$149:$I$179, MATCH(TRUNC(E727, 0), 'Profit per cycles Model'!$H$149:$H$179, 0))</f>
        <v>0.63766203913840036</v>
      </c>
      <c r="K727" s="27">
        <f>AVERAGE($J$10:J1727)</f>
        <v>0.56883042089778579</v>
      </c>
      <c r="L727" s="28">
        <f t="shared" si="245"/>
        <v>0.4295546548810727</v>
      </c>
      <c r="M727" s="28">
        <f t="shared" si="246"/>
        <v>0.4295546548810727</v>
      </c>
      <c r="N727" s="28">
        <f t="shared" si="247"/>
        <v>999</v>
      </c>
      <c r="O727" s="28"/>
      <c r="P727" s="29">
        <f t="shared" si="263"/>
        <v>0.71800000000000053</v>
      </c>
      <c r="Q727" s="33">
        <f t="shared" si="248"/>
        <v>6.7114093959731544</v>
      </c>
      <c r="R727" s="33">
        <f t="shared" si="249"/>
        <v>6.7114093959731544</v>
      </c>
      <c r="S727" s="33">
        <f t="shared" si="250"/>
        <v>-1</v>
      </c>
      <c r="T727" s="27"/>
      <c r="U727" s="28">
        <f t="shared" si="251"/>
        <v>0.10964912280701754</v>
      </c>
      <c r="V727" s="25">
        <f t="shared" si="252"/>
        <v>999</v>
      </c>
      <c r="W727" s="35">
        <f t="shared" si="264"/>
        <v>25</v>
      </c>
      <c r="X727" s="33">
        <f t="shared" si="253"/>
        <v>25</v>
      </c>
      <c r="Y727" s="32">
        <f t="shared" si="254"/>
        <v>-1</v>
      </c>
      <c r="Z727" s="32"/>
      <c r="AA727" s="30">
        <f t="shared" si="255"/>
        <v>19.66853855636214</v>
      </c>
      <c r="AB727" s="28">
        <f t="shared" si="256"/>
        <v>0.63766203913840036</v>
      </c>
      <c r="AC727" s="28">
        <f t="shared" si="257"/>
        <v>0.10964912280701754</v>
      </c>
      <c r="AD727" s="29">
        <f t="shared" si="258"/>
        <v>681.21442125237184</v>
      </c>
      <c r="AE727" s="28">
        <f t="shared" si="259"/>
        <v>0.10964912280701754</v>
      </c>
      <c r="AF727" s="28">
        <f t="shared" si="260"/>
        <v>0.52801291633138281</v>
      </c>
      <c r="AG727" s="28">
        <f t="shared" si="261"/>
        <v>0</v>
      </c>
      <c r="AI727" s="31">
        <f t="shared" si="262"/>
        <v>3.084202422046102</v>
      </c>
      <c r="AJ727" s="25"/>
      <c r="AK727" s="31"/>
      <c r="AM727" s="27"/>
    </row>
    <row r="728" spans="4:39" x14ac:dyDescent="0.25">
      <c r="D728" s="25">
        <f>E728*'Profit per cycles Model'!$I$113</f>
        <v>7190.0000000000009</v>
      </c>
      <c r="E728" s="25">
        <v>19.695932064100809</v>
      </c>
      <c r="F728" s="28">
        <f t="shared" si="243"/>
        <v>0.13908205841446453</v>
      </c>
      <c r="G728" s="28">
        <f>'Battery Pricing Model'!$C$17/D728</f>
        <v>0.13908205841446453</v>
      </c>
      <c r="H728" s="28">
        <f t="shared" si="244"/>
        <v>999</v>
      </c>
      <c r="I728" s="28"/>
      <c r="J728" s="34">
        <f>INDEX('Profit per cycles Model'!$I$149:$I$179, MATCH(TRUNC(E728, 0), 'Profit per cycles Model'!$H$149:$H$179, 0))</f>
        <v>0.63766203913840036</v>
      </c>
      <c r="K728" s="27">
        <f>AVERAGE($J$10:J1728)</f>
        <v>0.56883042089778579</v>
      </c>
      <c r="L728" s="28">
        <f t="shared" si="245"/>
        <v>0.42974836248332127</v>
      </c>
      <c r="M728" s="28">
        <f t="shared" si="246"/>
        <v>0.42974836248332127</v>
      </c>
      <c r="N728" s="28">
        <f t="shared" si="247"/>
        <v>999</v>
      </c>
      <c r="O728" s="28"/>
      <c r="P728" s="29">
        <f t="shared" si="263"/>
        <v>0.71900000000000053</v>
      </c>
      <c r="Q728" s="33">
        <f t="shared" si="248"/>
        <v>6.7114093959731544</v>
      </c>
      <c r="R728" s="33">
        <f t="shared" si="249"/>
        <v>6.7114093959731544</v>
      </c>
      <c r="S728" s="33">
        <f t="shared" si="250"/>
        <v>-1</v>
      </c>
      <c r="T728" s="27"/>
      <c r="U728" s="28">
        <f t="shared" si="251"/>
        <v>0.10964912280701754</v>
      </c>
      <c r="V728" s="25">
        <f t="shared" si="252"/>
        <v>999</v>
      </c>
      <c r="W728" s="35">
        <f t="shared" si="264"/>
        <v>25</v>
      </c>
      <c r="X728" s="33">
        <f t="shared" si="253"/>
        <v>25</v>
      </c>
      <c r="Y728" s="32">
        <f t="shared" si="254"/>
        <v>-1</v>
      </c>
      <c r="Z728" s="32"/>
      <c r="AA728" s="30">
        <f t="shared" si="255"/>
        <v>19.695932064100809</v>
      </c>
      <c r="AB728" s="28">
        <f t="shared" si="256"/>
        <v>0.63766203913840036</v>
      </c>
      <c r="AC728" s="28">
        <f t="shared" si="257"/>
        <v>0.10964912280701754</v>
      </c>
      <c r="AD728" s="29">
        <f t="shared" si="258"/>
        <v>682.16318785578756</v>
      </c>
      <c r="AE728" s="28">
        <f t="shared" si="259"/>
        <v>0.10964912280701754</v>
      </c>
      <c r="AF728" s="28">
        <f t="shared" si="260"/>
        <v>0.52801291633138281</v>
      </c>
      <c r="AG728" s="28">
        <f t="shared" si="261"/>
        <v>0</v>
      </c>
      <c r="AI728" s="31">
        <f t="shared" si="262"/>
        <v>3.0898907262550801</v>
      </c>
      <c r="AJ728" s="25"/>
      <c r="AK728" s="31"/>
      <c r="AM728" s="27"/>
    </row>
    <row r="729" spans="4:39" x14ac:dyDescent="0.25">
      <c r="D729" s="25">
        <f>E729*'Profit per cycles Model'!$I$113</f>
        <v>7200</v>
      </c>
      <c r="E729" s="25">
        <v>19.723325571839474</v>
      </c>
      <c r="F729" s="28">
        <f t="shared" si="243"/>
        <v>0.1388888888888889</v>
      </c>
      <c r="G729" s="28">
        <f>'Battery Pricing Model'!$C$17/D729</f>
        <v>0.1388888888888889</v>
      </c>
      <c r="H729" s="28">
        <f t="shared" si="244"/>
        <v>999</v>
      </c>
      <c r="I729" s="28"/>
      <c r="J729" s="34">
        <f>INDEX('Profit per cycles Model'!$I$149:$I$179, MATCH(TRUNC(E729, 0), 'Profit per cycles Model'!$H$149:$H$179, 0))</f>
        <v>0.63766203913840036</v>
      </c>
      <c r="K729" s="27">
        <f>AVERAGE($J$10:J1729)</f>
        <v>0.56883042089778579</v>
      </c>
      <c r="L729" s="28">
        <f t="shared" si="245"/>
        <v>0.4299415320088969</v>
      </c>
      <c r="M729" s="28">
        <f t="shared" si="246"/>
        <v>0.4299415320088969</v>
      </c>
      <c r="N729" s="28">
        <f t="shared" si="247"/>
        <v>999</v>
      </c>
      <c r="O729" s="28"/>
      <c r="P729" s="29">
        <f t="shared" si="263"/>
        <v>0.72000000000000053</v>
      </c>
      <c r="Q729" s="33">
        <f t="shared" si="248"/>
        <v>6.7114093959731544</v>
      </c>
      <c r="R729" s="33">
        <f t="shared" si="249"/>
        <v>6.7114093959731544</v>
      </c>
      <c r="S729" s="33">
        <f t="shared" si="250"/>
        <v>-1</v>
      </c>
      <c r="T729" s="27"/>
      <c r="U729" s="28">
        <f t="shared" si="251"/>
        <v>0.10964912280701754</v>
      </c>
      <c r="V729" s="25">
        <f t="shared" si="252"/>
        <v>999</v>
      </c>
      <c r="W729" s="35">
        <f t="shared" si="264"/>
        <v>25</v>
      </c>
      <c r="X729" s="33">
        <f t="shared" si="253"/>
        <v>25</v>
      </c>
      <c r="Y729" s="32">
        <f t="shared" si="254"/>
        <v>-1</v>
      </c>
      <c r="Z729" s="32"/>
      <c r="AA729" s="30">
        <f t="shared" si="255"/>
        <v>19.723325571839474</v>
      </c>
      <c r="AB729" s="28">
        <f t="shared" si="256"/>
        <v>0.63766203913840036</v>
      </c>
      <c r="AC729" s="28">
        <f t="shared" si="257"/>
        <v>0.10964912280701754</v>
      </c>
      <c r="AD729" s="29">
        <f t="shared" si="258"/>
        <v>683.11195445920316</v>
      </c>
      <c r="AE729" s="28">
        <f t="shared" si="259"/>
        <v>0.10964912280701754</v>
      </c>
      <c r="AF729" s="28">
        <f t="shared" si="260"/>
        <v>0.52801291633138281</v>
      </c>
      <c r="AG729" s="28">
        <f t="shared" si="261"/>
        <v>0</v>
      </c>
      <c r="AI729" s="31">
        <f t="shared" si="262"/>
        <v>3.0955790304640574</v>
      </c>
      <c r="AJ729" s="25"/>
      <c r="AK729" s="31"/>
      <c r="AM729" s="27"/>
    </row>
    <row r="730" spans="4:39" x14ac:dyDescent="0.25">
      <c r="D730" s="25">
        <f>E730*'Profit per cycles Model'!$I$113</f>
        <v>7210</v>
      </c>
      <c r="E730" s="25">
        <v>19.75071907957814</v>
      </c>
      <c r="F730" s="28">
        <f t="shared" si="243"/>
        <v>0.13869625520110956</v>
      </c>
      <c r="G730" s="28">
        <f>'Battery Pricing Model'!$C$17/D730</f>
        <v>0.13869625520110956</v>
      </c>
      <c r="H730" s="28">
        <f t="shared" si="244"/>
        <v>999</v>
      </c>
      <c r="I730" s="28"/>
      <c r="J730" s="34">
        <f>INDEX('Profit per cycles Model'!$I$149:$I$179, MATCH(TRUNC(E730, 0), 'Profit per cycles Model'!$H$149:$H$179, 0))</f>
        <v>0.63766203913840036</v>
      </c>
      <c r="K730" s="27">
        <f>AVERAGE($J$10:J1730)</f>
        <v>0.56883042089778579</v>
      </c>
      <c r="L730" s="28">
        <f t="shared" si="245"/>
        <v>0.43013416569667623</v>
      </c>
      <c r="M730" s="28">
        <f t="shared" si="246"/>
        <v>0.43013416569667623</v>
      </c>
      <c r="N730" s="28">
        <f t="shared" si="247"/>
        <v>999</v>
      </c>
      <c r="O730" s="28"/>
      <c r="P730" s="29">
        <f t="shared" si="263"/>
        <v>0.72100000000000053</v>
      </c>
      <c r="Q730" s="33">
        <f t="shared" si="248"/>
        <v>6.7114093959731544</v>
      </c>
      <c r="R730" s="33">
        <f t="shared" si="249"/>
        <v>6.7114093959731544</v>
      </c>
      <c r="S730" s="33">
        <f t="shared" si="250"/>
        <v>-1</v>
      </c>
      <c r="T730" s="27"/>
      <c r="U730" s="28">
        <f t="shared" si="251"/>
        <v>0.10964912280701754</v>
      </c>
      <c r="V730" s="25">
        <f t="shared" si="252"/>
        <v>999</v>
      </c>
      <c r="W730" s="35">
        <f t="shared" si="264"/>
        <v>25</v>
      </c>
      <c r="X730" s="33">
        <f t="shared" si="253"/>
        <v>25</v>
      </c>
      <c r="Y730" s="32">
        <f t="shared" si="254"/>
        <v>-1</v>
      </c>
      <c r="Z730" s="32"/>
      <c r="AA730" s="30">
        <f t="shared" si="255"/>
        <v>19.75071907957814</v>
      </c>
      <c r="AB730" s="28">
        <f t="shared" si="256"/>
        <v>0.63766203913840036</v>
      </c>
      <c r="AC730" s="28">
        <f t="shared" si="257"/>
        <v>0.10964912280701754</v>
      </c>
      <c r="AD730" s="29">
        <f t="shared" si="258"/>
        <v>684.06072106261854</v>
      </c>
      <c r="AE730" s="28">
        <f t="shared" si="259"/>
        <v>0.10964912280701754</v>
      </c>
      <c r="AF730" s="28">
        <f t="shared" si="260"/>
        <v>0.52801291633138281</v>
      </c>
      <c r="AG730" s="28">
        <f t="shared" si="261"/>
        <v>0</v>
      </c>
      <c r="AI730" s="31">
        <f t="shared" si="262"/>
        <v>3.1012673346730359</v>
      </c>
      <c r="AJ730" s="25"/>
      <c r="AK730" s="31"/>
      <c r="AM730" s="27"/>
    </row>
    <row r="731" spans="4:39" x14ac:dyDescent="0.25">
      <c r="D731" s="25">
        <f>E731*'Profit per cycles Model'!$I$113</f>
        <v>7220</v>
      </c>
      <c r="E731" s="25">
        <v>19.778112587316805</v>
      </c>
      <c r="F731" s="28">
        <f t="shared" si="243"/>
        <v>0.13850415512465375</v>
      </c>
      <c r="G731" s="28">
        <f>'Battery Pricing Model'!$C$17/D731</f>
        <v>0.13850415512465375</v>
      </c>
      <c r="H731" s="28">
        <f t="shared" si="244"/>
        <v>999</v>
      </c>
      <c r="I731" s="28"/>
      <c r="J731" s="34">
        <f>INDEX('Profit per cycles Model'!$I$149:$I$179, MATCH(TRUNC(E731, 0), 'Profit per cycles Model'!$H$149:$H$179, 0))</f>
        <v>0.63766203913840036</v>
      </c>
      <c r="K731" s="27">
        <f>AVERAGE($J$10:J1731)</f>
        <v>0.56883042089778579</v>
      </c>
      <c r="L731" s="28">
        <f t="shared" si="245"/>
        <v>0.43032626577313204</v>
      </c>
      <c r="M731" s="28">
        <f t="shared" si="246"/>
        <v>0.43032626577313204</v>
      </c>
      <c r="N731" s="28">
        <f t="shared" si="247"/>
        <v>999</v>
      </c>
      <c r="O731" s="28"/>
      <c r="P731" s="29">
        <f t="shared" si="263"/>
        <v>0.72200000000000053</v>
      </c>
      <c r="Q731" s="33">
        <f t="shared" si="248"/>
        <v>6.7114093959731544</v>
      </c>
      <c r="R731" s="33">
        <f t="shared" si="249"/>
        <v>6.7114093959731544</v>
      </c>
      <c r="S731" s="33">
        <f t="shared" si="250"/>
        <v>-1</v>
      </c>
      <c r="T731" s="27"/>
      <c r="U731" s="28">
        <f t="shared" si="251"/>
        <v>0.10964912280701754</v>
      </c>
      <c r="V731" s="25">
        <f t="shared" si="252"/>
        <v>999</v>
      </c>
      <c r="W731" s="35">
        <f t="shared" si="264"/>
        <v>25</v>
      </c>
      <c r="X731" s="33">
        <f t="shared" si="253"/>
        <v>25</v>
      </c>
      <c r="Y731" s="32">
        <f t="shared" si="254"/>
        <v>-1</v>
      </c>
      <c r="Z731" s="32"/>
      <c r="AA731" s="30">
        <f t="shared" si="255"/>
        <v>19.778112587316805</v>
      </c>
      <c r="AB731" s="28">
        <f t="shared" si="256"/>
        <v>0.63766203913840036</v>
      </c>
      <c r="AC731" s="28">
        <f t="shared" si="257"/>
        <v>0.10964912280701754</v>
      </c>
      <c r="AD731" s="29">
        <f t="shared" si="258"/>
        <v>685.00948766603415</v>
      </c>
      <c r="AE731" s="28">
        <f t="shared" si="259"/>
        <v>0.10964912280701754</v>
      </c>
      <c r="AF731" s="28">
        <f t="shared" si="260"/>
        <v>0.52801291633138281</v>
      </c>
      <c r="AG731" s="28">
        <f t="shared" si="261"/>
        <v>0</v>
      </c>
      <c r="AI731" s="31">
        <f t="shared" si="262"/>
        <v>3.1069556388820132</v>
      </c>
      <c r="AJ731" s="25"/>
      <c r="AK731" s="31"/>
      <c r="AM731" s="27"/>
    </row>
    <row r="732" spans="4:39" x14ac:dyDescent="0.25">
      <c r="D732" s="25">
        <f>E732*'Profit per cycles Model'!$I$113</f>
        <v>7230</v>
      </c>
      <c r="E732" s="25">
        <v>19.80550609505547</v>
      </c>
      <c r="F732" s="28">
        <f t="shared" si="243"/>
        <v>0.13831258644536654</v>
      </c>
      <c r="G732" s="28">
        <f>'Battery Pricing Model'!$C$17/D732</f>
        <v>0.13831258644536654</v>
      </c>
      <c r="H732" s="28">
        <f t="shared" si="244"/>
        <v>999</v>
      </c>
      <c r="I732" s="28"/>
      <c r="J732" s="34">
        <f>INDEX('Profit per cycles Model'!$I$149:$I$179, MATCH(TRUNC(E732, 0), 'Profit per cycles Model'!$H$149:$H$179, 0))</f>
        <v>0.63766203913840036</v>
      </c>
      <c r="K732" s="27">
        <f>AVERAGE($J$10:J1732)</f>
        <v>0.56883042089778579</v>
      </c>
      <c r="L732" s="28">
        <f t="shared" si="245"/>
        <v>0.43051783445241926</v>
      </c>
      <c r="M732" s="28">
        <f t="shared" si="246"/>
        <v>0.43051783445241926</v>
      </c>
      <c r="N732" s="28">
        <f t="shared" si="247"/>
        <v>999</v>
      </c>
      <c r="O732" s="28"/>
      <c r="P732" s="29">
        <f t="shared" si="263"/>
        <v>0.72300000000000053</v>
      </c>
      <c r="Q732" s="33">
        <f t="shared" si="248"/>
        <v>6.7114093959731544</v>
      </c>
      <c r="R732" s="33">
        <f t="shared" si="249"/>
        <v>6.7114093959731544</v>
      </c>
      <c r="S732" s="33">
        <f t="shared" si="250"/>
        <v>-1</v>
      </c>
      <c r="T732" s="27"/>
      <c r="U732" s="28">
        <f t="shared" si="251"/>
        <v>0.10964912280701754</v>
      </c>
      <c r="V732" s="25">
        <f t="shared" si="252"/>
        <v>999</v>
      </c>
      <c r="W732" s="35">
        <f t="shared" si="264"/>
        <v>25</v>
      </c>
      <c r="X732" s="33">
        <f t="shared" si="253"/>
        <v>25</v>
      </c>
      <c r="Y732" s="32">
        <f t="shared" si="254"/>
        <v>-1</v>
      </c>
      <c r="Z732" s="32"/>
      <c r="AA732" s="30">
        <f t="shared" si="255"/>
        <v>19.80550609505547</v>
      </c>
      <c r="AB732" s="28">
        <f t="shared" si="256"/>
        <v>0.63766203913840036</v>
      </c>
      <c r="AC732" s="28">
        <f t="shared" si="257"/>
        <v>0.10964912280701754</v>
      </c>
      <c r="AD732" s="29">
        <f t="shared" si="258"/>
        <v>685.95825426944964</v>
      </c>
      <c r="AE732" s="28">
        <f t="shared" si="259"/>
        <v>0.10964912280701754</v>
      </c>
      <c r="AF732" s="28">
        <f t="shared" si="260"/>
        <v>0.52801291633138281</v>
      </c>
      <c r="AG732" s="28">
        <f t="shared" si="261"/>
        <v>0</v>
      </c>
      <c r="AI732" s="31">
        <f t="shared" si="262"/>
        <v>3.1126439430909909</v>
      </c>
      <c r="AJ732" s="25"/>
      <c r="AK732" s="31"/>
      <c r="AM732" s="27"/>
    </row>
    <row r="733" spans="4:39" x14ac:dyDescent="0.25">
      <c r="D733" s="25">
        <f>E733*'Profit per cycles Model'!$I$113</f>
        <v>7239.9999999999991</v>
      </c>
      <c r="E733" s="25">
        <v>19.832899602794136</v>
      </c>
      <c r="F733" s="28">
        <f t="shared" si="243"/>
        <v>0.13812154696132597</v>
      </c>
      <c r="G733" s="28">
        <f>'Battery Pricing Model'!$C$17/D733</f>
        <v>0.13812154696132597</v>
      </c>
      <c r="H733" s="28">
        <f t="shared" si="244"/>
        <v>999</v>
      </c>
      <c r="I733" s="28"/>
      <c r="J733" s="34">
        <f>INDEX('Profit per cycles Model'!$I$149:$I$179, MATCH(TRUNC(E733, 0), 'Profit per cycles Model'!$H$149:$H$179, 0))</f>
        <v>0.63766203913840036</v>
      </c>
      <c r="K733" s="27">
        <f>AVERAGE($J$10:J1733)</f>
        <v>0.56883042089778579</v>
      </c>
      <c r="L733" s="28">
        <f t="shared" si="245"/>
        <v>0.43070887393645985</v>
      </c>
      <c r="M733" s="28">
        <f t="shared" si="246"/>
        <v>0.43070887393645985</v>
      </c>
      <c r="N733" s="28">
        <f t="shared" si="247"/>
        <v>999</v>
      </c>
      <c r="O733" s="28"/>
      <c r="P733" s="29">
        <f t="shared" si="263"/>
        <v>0.72400000000000053</v>
      </c>
      <c r="Q733" s="33">
        <f t="shared" si="248"/>
        <v>6.7114093959731544</v>
      </c>
      <c r="R733" s="33">
        <f t="shared" si="249"/>
        <v>6.7114093959731544</v>
      </c>
      <c r="S733" s="33">
        <f t="shared" si="250"/>
        <v>-1</v>
      </c>
      <c r="T733" s="27"/>
      <c r="U733" s="28">
        <f t="shared" si="251"/>
        <v>0.10964912280701754</v>
      </c>
      <c r="V733" s="25">
        <f t="shared" si="252"/>
        <v>999</v>
      </c>
      <c r="W733" s="35">
        <f t="shared" si="264"/>
        <v>25</v>
      </c>
      <c r="X733" s="33">
        <f t="shared" si="253"/>
        <v>25</v>
      </c>
      <c r="Y733" s="32">
        <f t="shared" si="254"/>
        <v>-1</v>
      </c>
      <c r="Z733" s="32"/>
      <c r="AA733" s="30">
        <f t="shared" si="255"/>
        <v>19.832899602794136</v>
      </c>
      <c r="AB733" s="28">
        <f t="shared" si="256"/>
        <v>0.63766203913840036</v>
      </c>
      <c r="AC733" s="28">
        <f t="shared" si="257"/>
        <v>0.10964912280701754</v>
      </c>
      <c r="AD733" s="29">
        <f t="shared" si="258"/>
        <v>686.90702087286525</v>
      </c>
      <c r="AE733" s="28">
        <f t="shared" si="259"/>
        <v>0.10964912280701754</v>
      </c>
      <c r="AF733" s="28">
        <f t="shared" si="260"/>
        <v>0.52801291633138281</v>
      </c>
      <c r="AG733" s="28">
        <f t="shared" si="261"/>
        <v>0</v>
      </c>
      <c r="AI733" s="31">
        <f t="shared" si="262"/>
        <v>3.1183322472999691</v>
      </c>
      <c r="AJ733" s="25"/>
      <c r="AK733" s="31"/>
      <c r="AM733" s="27"/>
    </row>
    <row r="734" spans="4:39" x14ac:dyDescent="0.25">
      <c r="D734" s="25">
        <f>E734*'Profit per cycles Model'!$I$113</f>
        <v>7250.0000000000009</v>
      </c>
      <c r="E734" s="25">
        <v>19.860293110532805</v>
      </c>
      <c r="F734" s="28">
        <f t="shared" si="243"/>
        <v>0.13793103448275859</v>
      </c>
      <c r="G734" s="28">
        <f>'Battery Pricing Model'!$C$17/D734</f>
        <v>0.13793103448275859</v>
      </c>
      <c r="H734" s="28">
        <f t="shared" si="244"/>
        <v>999</v>
      </c>
      <c r="I734" s="28"/>
      <c r="J734" s="34">
        <f>INDEX('Profit per cycles Model'!$I$149:$I$179, MATCH(TRUNC(E734, 0), 'Profit per cycles Model'!$H$149:$H$179, 0))</f>
        <v>0.63766203913840036</v>
      </c>
      <c r="K734" s="27">
        <f>AVERAGE($J$10:J1734)</f>
        <v>0.56883042089778579</v>
      </c>
      <c r="L734" s="28">
        <f t="shared" si="245"/>
        <v>0.43089938641502723</v>
      </c>
      <c r="M734" s="28">
        <f t="shared" si="246"/>
        <v>0.43089938641502723</v>
      </c>
      <c r="N734" s="28">
        <f t="shared" si="247"/>
        <v>999</v>
      </c>
      <c r="O734" s="28"/>
      <c r="P734" s="29">
        <f t="shared" si="263"/>
        <v>0.72500000000000053</v>
      </c>
      <c r="Q734" s="33">
        <f t="shared" si="248"/>
        <v>6.7114093959731544</v>
      </c>
      <c r="R734" s="33">
        <f t="shared" si="249"/>
        <v>6.7114093959731544</v>
      </c>
      <c r="S734" s="33">
        <f t="shared" si="250"/>
        <v>-1</v>
      </c>
      <c r="T734" s="27"/>
      <c r="U734" s="28">
        <f t="shared" si="251"/>
        <v>0.10964912280701754</v>
      </c>
      <c r="V734" s="25">
        <f t="shared" si="252"/>
        <v>999</v>
      </c>
      <c r="W734" s="35">
        <f t="shared" si="264"/>
        <v>25</v>
      </c>
      <c r="X734" s="33">
        <f t="shared" si="253"/>
        <v>25</v>
      </c>
      <c r="Y734" s="32">
        <f t="shared" si="254"/>
        <v>-1</v>
      </c>
      <c r="Z734" s="32"/>
      <c r="AA734" s="30">
        <f t="shared" si="255"/>
        <v>19.860293110532805</v>
      </c>
      <c r="AB734" s="28">
        <f t="shared" si="256"/>
        <v>0.63766203913840036</v>
      </c>
      <c r="AC734" s="28">
        <f t="shared" si="257"/>
        <v>0.10964912280701754</v>
      </c>
      <c r="AD734" s="29">
        <f t="shared" si="258"/>
        <v>687.85578747628097</v>
      </c>
      <c r="AE734" s="28">
        <f t="shared" si="259"/>
        <v>0.10964912280701754</v>
      </c>
      <c r="AF734" s="28">
        <f t="shared" si="260"/>
        <v>0.52801291633138281</v>
      </c>
      <c r="AG734" s="28">
        <f t="shared" si="261"/>
        <v>0</v>
      </c>
      <c r="AI734" s="31">
        <f t="shared" si="262"/>
        <v>3.1240205515089481</v>
      </c>
      <c r="AJ734" s="25"/>
      <c r="AK734" s="31"/>
      <c r="AM734" s="27"/>
    </row>
    <row r="735" spans="4:39" x14ac:dyDescent="0.25">
      <c r="D735" s="25">
        <f>E735*'Profit per cycles Model'!$I$113</f>
        <v>7260</v>
      </c>
      <c r="E735" s="25">
        <v>19.88768661827147</v>
      </c>
      <c r="F735" s="28">
        <f t="shared" si="243"/>
        <v>0.13774104683195593</v>
      </c>
      <c r="G735" s="28">
        <f>'Battery Pricing Model'!$C$17/D735</f>
        <v>0.13774104683195593</v>
      </c>
      <c r="H735" s="28">
        <f t="shared" si="244"/>
        <v>999</v>
      </c>
      <c r="I735" s="28"/>
      <c r="J735" s="34">
        <f>INDEX('Profit per cycles Model'!$I$149:$I$179, MATCH(TRUNC(E735, 0), 'Profit per cycles Model'!$H$149:$H$179, 0))</f>
        <v>0.63766203913840036</v>
      </c>
      <c r="K735" s="27">
        <f>AVERAGE($J$10:J1735)</f>
        <v>0.56883042089778579</v>
      </c>
      <c r="L735" s="28">
        <f t="shared" si="245"/>
        <v>0.43108937406582987</v>
      </c>
      <c r="M735" s="28">
        <f t="shared" si="246"/>
        <v>0.43108937406582987</v>
      </c>
      <c r="N735" s="28">
        <f t="shared" si="247"/>
        <v>999</v>
      </c>
      <c r="O735" s="28"/>
      <c r="P735" s="29">
        <f t="shared" si="263"/>
        <v>0.72600000000000053</v>
      </c>
      <c r="Q735" s="33">
        <f t="shared" si="248"/>
        <v>6.7114093959731544</v>
      </c>
      <c r="R735" s="33">
        <f t="shared" si="249"/>
        <v>6.7114093959731544</v>
      </c>
      <c r="S735" s="33">
        <f t="shared" si="250"/>
        <v>-1</v>
      </c>
      <c r="T735" s="27"/>
      <c r="U735" s="28">
        <f t="shared" si="251"/>
        <v>0.10964912280701754</v>
      </c>
      <c r="V735" s="25">
        <f t="shared" si="252"/>
        <v>999</v>
      </c>
      <c r="W735" s="35">
        <f t="shared" si="264"/>
        <v>25</v>
      </c>
      <c r="X735" s="33">
        <f t="shared" si="253"/>
        <v>25</v>
      </c>
      <c r="Y735" s="32">
        <f t="shared" si="254"/>
        <v>-1</v>
      </c>
      <c r="Z735" s="32"/>
      <c r="AA735" s="30">
        <f t="shared" si="255"/>
        <v>19.88768661827147</v>
      </c>
      <c r="AB735" s="28">
        <f t="shared" si="256"/>
        <v>0.63766203913840036</v>
      </c>
      <c r="AC735" s="28">
        <f t="shared" si="257"/>
        <v>0.10964912280701754</v>
      </c>
      <c r="AD735" s="29">
        <f t="shared" si="258"/>
        <v>688.80455407969646</v>
      </c>
      <c r="AE735" s="28">
        <f t="shared" si="259"/>
        <v>0.10964912280701754</v>
      </c>
      <c r="AF735" s="28">
        <f t="shared" si="260"/>
        <v>0.52801291633138281</v>
      </c>
      <c r="AG735" s="28">
        <f t="shared" si="261"/>
        <v>0</v>
      </c>
      <c r="AI735" s="31">
        <f t="shared" si="262"/>
        <v>3.1297088557179249</v>
      </c>
      <c r="AJ735" s="25"/>
      <c r="AK735" s="31"/>
      <c r="AM735" s="27"/>
    </row>
    <row r="736" spans="4:39" x14ac:dyDescent="0.25">
      <c r="D736" s="25">
        <f>E736*'Profit per cycles Model'!$I$113</f>
        <v>7270</v>
      </c>
      <c r="E736" s="25">
        <v>19.915080126010135</v>
      </c>
      <c r="F736" s="28">
        <f t="shared" si="243"/>
        <v>0.13755158184319119</v>
      </c>
      <c r="G736" s="28">
        <f>'Battery Pricing Model'!$C$17/D736</f>
        <v>0.13755158184319119</v>
      </c>
      <c r="H736" s="28">
        <f t="shared" si="244"/>
        <v>999</v>
      </c>
      <c r="I736" s="28"/>
      <c r="J736" s="34">
        <f>INDEX('Profit per cycles Model'!$I$149:$I$179, MATCH(TRUNC(E736, 0), 'Profit per cycles Model'!$H$149:$H$179, 0))</f>
        <v>0.63766203913840036</v>
      </c>
      <c r="K736" s="27">
        <f>AVERAGE($J$10:J1736)</f>
        <v>0.56883042089778579</v>
      </c>
      <c r="L736" s="28">
        <f t="shared" si="245"/>
        <v>0.43127883905459463</v>
      </c>
      <c r="M736" s="28">
        <f t="shared" si="246"/>
        <v>0.43127883905459463</v>
      </c>
      <c r="N736" s="28">
        <f t="shared" si="247"/>
        <v>999</v>
      </c>
      <c r="O736" s="28"/>
      <c r="P736" s="29">
        <f t="shared" si="263"/>
        <v>0.72700000000000053</v>
      </c>
      <c r="Q736" s="33">
        <f t="shared" si="248"/>
        <v>6.7114093959731544</v>
      </c>
      <c r="R736" s="33">
        <f t="shared" si="249"/>
        <v>6.7114093959731544</v>
      </c>
      <c r="S736" s="33">
        <f t="shared" si="250"/>
        <v>-1</v>
      </c>
      <c r="T736" s="27"/>
      <c r="U736" s="28">
        <f t="shared" si="251"/>
        <v>0.10964912280701754</v>
      </c>
      <c r="V736" s="25">
        <f t="shared" si="252"/>
        <v>999</v>
      </c>
      <c r="W736" s="35">
        <f t="shared" si="264"/>
        <v>25</v>
      </c>
      <c r="X736" s="33">
        <f t="shared" si="253"/>
        <v>25</v>
      </c>
      <c r="Y736" s="32">
        <f t="shared" si="254"/>
        <v>-1</v>
      </c>
      <c r="Z736" s="32"/>
      <c r="AA736" s="30">
        <f t="shared" si="255"/>
        <v>19.915080126010135</v>
      </c>
      <c r="AB736" s="28">
        <f t="shared" si="256"/>
        <v>0.63766203913840036</v>
      </c>
      <c r="AC736" s="28">
        <f t="shared" si="257"/>
        <v>0.10964912280701754</v>
      </c>
      <c r="AD736" s="29">
        <f t="shared" si="258"/>
        <v>689.75332068311207</v>
      </c>
      <c r="AE736" s="28">
        <f t="shared" si="259"/>
        <v>0.10964912280701754</v>
      </c>
      <c r="AF736" s="28">
        <f t="shared" si="260"/>
        <v>0.52801291633138281</v>
      </c>
      <c r="AG736" s="28">
        <f t="shared" si="261"/>
        <v>0</v>
      </c>
      <c r="AI736" s="31">
        <f t="shared" si="262"/>
        <v>3.135397159926903</v>
      </c>
      <c r="AJ736" s="25"/>
      <c r="AK736" s="31"/>
      <c r="AM736" s="27"/>
    </row>
    <row r="737" spans="4:39" x14ac:dyDescent="0.25">
      <c r="D737" s="25">
        <f>E737*'Profit per cycles Model'!$I$113</f>
        <v>7280</v>
      </c>
      <c r="E737" s="25">
        <v>19.942473633748801</v>
      </c>
      <c r="F737" s="28">
        <f t="shared" si="243"/>
        <v>0.13736263736263737</v>
      </c>
      <c r="G737" s="28">
        <f>'Battery Pricing Model'!$C$17/D737</f>
        <v>0.13736263736263737</v>
      </c>
      <c r="H737" s="28">
        <f t="shared" si="244"/>
        <v>999</v>
      </c>
      <c r="I737" s="28"/>
      <c r="J737" s="34">
        <f>INDEX('Profit per cycles Model'!$I$149:$I$179, MATCH(TRUNC(E737, 0), 'Profit per cycles Model'!$H$149:$H$179, 0))</f>
        <v>0.63766203913840036</v>
      </c>
      <c r="K737" s="27">
        <f>AVERAGE($J$10:J1737)</f>
        <v>0.56883042089778579</v>
      </c>
      <c r="L737" s="28">
        <f t="shared" si="245"/>
        <v>0.43146778353514842</v>
      </c>
      <c r="M737" s="28">
        <f t="shared" si="246"/>
        <v>0.43146778353514842</v>
      </c>
      <c r="N737" s="28">
        <f t="shared" si="247"/>
        <v>999</v>
      </c>
      <c r="O737" s="28"/>
      <c r="P737" s="29">
        <f t="shared" si="263"/>
        <v>0.72800000000000054</v>
      </c>
      <c r="Q737" s="33">
        <f t="shared" si="248"/>
        <v>6.7114093959731544</v>
      </c>
      <c r="R737" s="33">
        <f t="shared" si="249"/>
        <v>6.7114093959731544</v>
      </c>
      <c r="S737" s="33">
        <f t="shared" si="250"/>
        <v>-1</v>
      </c>
      <c r="T737" s="27"/>
      <c r="U737" s="28">
        <f t="shared" si="251"/>
        <v>0.10964912280701754</v>
      </c>
      <c r="V737" s="25">
        <f t="shared" si="252"/>
        <v>999</v>
      </c>
      <c r="W737" s="35">
        <f t="shared" si="264"/>
        <v>25</v>
      </c>
      <c r="X737" s="33">
        <f t="shared" si="253"/>
        <v>25</v>
      </c>
      <c r="Y737" s="32">
        <f t="shared" si="254"/>
        <v>-1</v>
      </c>
      <c r="Z737" s="32"/>
      <c r="AA737" s="30">
        <f t="shared" si="255"/>
        <v>19.942473633748801</v>
      </c>
      <c r="AB737" s="28">
        <f t="shared" si="256"/>
        <v>0.63766203913840036</v>
      </c>
      <c r="AC737" s="28">
        <f t="shared" si="257"/>
        <v>0.10964912280701754</v>
      </c>
      <c r="AD737" s="29">
        <f t="shared" si="258"/>
        <v>690.70208728652744</v>
      </c>
      <c r="AE737" s="28">
        <f t="shared" si="259"/>
        <v>0.10964912280701754</v>
      </c>
      <c r="AF737" s="28">
        <f t="shared" si="260"/>
        <v>0.52801291633138281</v>
      </c>
      <c r="AG737" s="28">
        <f t="shared" si="261"/>
        <v>0</v>
      </c>
      <c r="AI737" s="31">
        <f t="shared" si="262"/>
        <v>3.1410854641358803</v>
      </c>
      <c r="AJ737" s="25"/>
      <c r="AK737" s="31"/>
      <c r="AM737" s="27"/>
    </row>
    <row r="738" spans="4:39" x14ac:dyDescent="0.25">
      <c r="D738" s="25">
        <f>E738*'Profit per cycles Model'!$I$113</f>
        <v>7290</v>
      </c>
      <c r="E738" s="25">
        <v>19.969867141487466</v>
      </c>
      <c r="F738" s="28">
        <f t="shared" si="243"/>
        <v>0.13717421124828533</v>
      </c>
      <c r="G738" s="28">
        <f>'Battery Pricing Model'!$C$17/D738</f>
        <v>0.13717421124828533</v>
      </c>
      <c r="H738" s="28">
        <f t="shared" si="244"/>
        <v>999</v>
      </c>
      <c r="I738" s="28"/>
      <c r="J738" s="34">
        <f>INDEX('Profit per cycles Model'!$I$149:$I$179, MATCH(TRUNC(E738, 0), 'Profit per cycles Model'!$H$149:$H$179, 0))</f>
        <v>0.63766203913840036</v>
      </c>
      <c r="K738" s="27">
        <f>AVERAGE($J$10:J1738)</f>
        <v>0.56883042089778579</v>
      </c>
      <c r="L738" s="28">
        <f t="shared" si="245"/>
        <v>0.43165620964950047</v>
      </c>
      <c r="M738" s="28">
        <f t="shared" si="246"/>
        <v>0.43165620964950047</v>
      </c>
      <c r="N738" s="28">
        <f t="shared" si="247"/>
        <v>999</v>
      </c>
      <c r="O738" s="28"/>
      <c r="P738" s="29">
        <f t="shared" si="263"/>
        <v>0.72900000000000054</v>
      </c>
      <c r="Q738" s="33">
        <f t="shared" si="248"/>
        <v>6.7114093959731544</v>
      </c>
      <c r="R738" s="33">
        <f t="shared" si="249"/>
        <v>6.7114093959731544</v>
      </c>
      <c r="S738" s="33">
        <f t="shared" si="250"/>
        <v>-1</v>
      </c>
      <c r="T738" s="27"/>
      <c r="U738" s="28">
        <f t="shared" si="251"/>
        <v>0.10964912280701754</v>
      </c>
      <c r="V738" s="25">
        <f t="shared" si="252"/>
        <v>999</v>
      </c>
      <c r="W738" s="35">
        <f t="shared" si="264"/>
        <v>25</v>
      </c>
      <c r="X738" s="33">
        <f t="shared" si="253"/>
        <v>25</v>
      </c>
      <c r="Y738" s="32">
        <f t="shared" si="254"/>
        <v>-1</v>
      </c>
      <c r="Z738" s="32"/>
      <c r="AA738" s="30">
        <f t="shared" si="255"/>
        <v>19.969867141487466</v>
      </c>
      <c r="AB738" s="28">
        <f t="shared" si="256"/>
        <v>0.63766203913840036</v>
      </c>
      <c r="AC738" s="28">
        <f t="shared" si="257"/>
        <v>0.10964912280701754</v>
      </c>
      <c r="AD738" s="29">
        <f t="shared" si="258"/>
        <v>691.65085388994305</v>
      </c>
      <c r="AE738" s="28">
        <f t="shared" si="259"/>
        <v>0.10964912280701754</v>
      </c>
      <c r="AF738" s="28">
        <f t="shared" si="260"/>
        <v>0.52801291633138281</v>
      </c>
      <c r="AG738" s="28">
        <f t="shared" si="261"/>
        <v>0</v>
      </c>
      <c r="AI738" s="31">
        <f t="shared" si="262"/>
        <v>3.1467737683448584</v>
      </c>
      <c r="AJ738" s="25"/>
      <c r="AK738" s="31"/>
      <c r="AM738" s="27"/>
    </row>
    <row r="739" spans="4:39" x14ac:dyDescent="0.25">
      <c r="D739" s="25">
        <f>E739*'Profit per cycles Model'!$I$113</f>
        <v>7299.9999999999991</v>
      </c>
      <c r="E739" s="25">
        <v>19.997260649226131</v>
      </c>
      <c r="F739" s="28">
        <f t="shared" si="243"/>
        <v>0.13698630136986303</v>
      </c>
      <c r="G739" s="28">
        <f>'Battery Pricing Model'!$C$17/D739</f>
        <v>0.13698630136986303</v>
      </c>
      <c r="H739" s="28">
        <f t="shared" si="244"/>
        <v>999</v>
      </c>
      <c r="I739" s="28"/>
      <c r="J739" s="34">
        <f>INDEX('Profit per cycles Model'!$I$149:$I$179, MATCH(TRUNC(E739, 0), 'Profit per cycles Model'!$H$149:$H$179, 0))</f>
        <v>0.63766203913840036</v>
      </c>
      <c r="K739" s="27">
        <f>AVERAGE($J$10:J1739)</f>
        <v>0.56883042089778579</v>
      </c>
      <c r="L739" s="28">
        <f t="shared" si="245"/>
        <v>0.43184411952792279</v>
      </c>
      <c r="M739" s="28">
        <f t="shared" si="246"/>
        <v>0.43184411952792279</v>
      </c>
      <c r="N739" s="28">
        <f t="shared" si="247"/>
        <v>999</v>
      </c>
      <c r="O739" s="28"/>
      <c r="P739" s="29">
        <f t="shared" si="263"/>
        <v>0.73000000000000054</v>
      </c>
      <c r="Q739" s="33">
        <f t="shared" si="248"/>
        <v>6.7114093959731544</v>
      </c>
      <c r="R739" s="33">
        <f t="shared" si="249"/>
        <v>6.7114093959731544</v>
      </c>
      <c r="S739" s="33">
        <f t="shared" si="250"/>
        <v>-1</v>
      </c>
      <c r="T739" s="27"/>
      <c r="U739" s="28">
        <f t="shared" si="251"/>
        <v>0.10964912280701754</v>
      </c>
      <c r="V739" s="25">
        <f t="shared" si="252"/>
        <v>999</v>
      </c>
      <c r="W739" s="35">
        <f t="shared" si="264"/>
        <v>25</v>
      </c>
      <c r="X739" s="33">
        <f t="shared" si="253"/>
        <v>25</v>
      </c>
      <c r="Y739" s="32">
        <f t="shared" si="254"/>
        <v>-1</v>
      </c>
      <c r="Z739" s="32"/>
      <c r="AA739" s="30">
        <f t="shared" si="255"/>
        <v>19.997260649226131</v>
      </c>
      <c r="AB739" s="28">
        <f t="shared" si="256"/>
        <v>0.63766203913840036</v>
      </c>
      <c r="AC739" s="28">
        <f t="shared" si="257"/>
        <v>0.10964912280701754</v>
      </c>
      <c r="AD739" s="29">
        <f t="shared" si="258"/>
        <v>692.59962049335866</v>
      </c>
      <c r="AE739" s="28">
        <f t="shared" si="259"/>
        <v>0.10964912280701754</v>
      </c>
      <c r="AF739" s="28">
        <f t="shared" si="260"/>
        <v>0.52801291633138281</v>
      </c>
      <c r="AG739" s="28">
        <f t="shared" si="261"/>
        <v>0</v>
      </c>
      <c r="AI739" s="31">
        <f t="shared" si="262"/>
        <v>3.1524620725538357</v>
      </c>
      <c r="AJ739" s="25"/>
      <c r="AK739" s="31"/>
      <c r="AM739" s="27"/>
    </row>
    <row r="740" spans="4:39" x14ac:dyDescent="0.25">
      <c r="D740" s="25">
        <f>E740*'Profit per cycles Model'!$I$113</f>
        <v>7310.0000000000009</v>
      </c>
      <c r="E740" s="25">
        <v>20.0246541569648</v>
      </c>
      <c r="F740" s="28">
        <f t="shared" si="243"/>
        <v>0.1367989056087551</v>
      </c>
      <c r="G740" s="28">
        <f>'Battery Pricing Model'!$C$17/D740</f>
        <v>0.1367989056087551</v>
      </c>
      <c r="H740" s="28">
        <f t="shared" si="244"/>
        <v>999</v>
      </c>
      <c r="I740" s="28"/>
      <c r="J740" s="34">
        <f>INDEX('Profit per cycles Model'!$I$149:$I$179, MATCH(TRUNC(E740, 0), 'Profit per cycles Model'!$H$149:$H$179, 0))</f>
        <v>0.6551330018815662</v>
      </c>
      <c r="K740" s="27">
        <f>AVERAGE($J$10:J1740)</f>
        <v>0.56883042089778579</v>
      </c>
      <c r="L740" s="28">
        <f t="shared" si="245"/>
        <v>0.43203151528903072</v>
      </c>
      <c r="M740" s="28">
        <f t="shared" si="246"/>
        <v>0.43203151528903072</v>
      </c>
      <c r="N740" s="28">
        <f t="shared" si="247"/>
        <v>999</v>
      </c>
      <c r="O740" s="28"/>
      <c r="P740" s="29">
        <f t="shared" si="263"/>
        <v>0.73100000000000054</v>
      </c>
      <c r="Q740" s="33">
        <f t="shared" si="248"/>
        <v>6.7114093959731544</v>
      </c>
      <c r="R740" s="33">
        <f t="shared" si="249"/>
        <v>6.7114093959731544</v>
      </c>
      <c r="S740" s="33">
        <f t="shared" si="250"/>
        <v>-1</v>
      </c>
      <c r="T740" s="27"/>
      <c r="U740" s="28">
        <f t="shared" si="251"/>
        <v>0.10964912280701754</v>
      </c>
      <c r="V740" s="25">
        <f t="shared" si="252"/>
        <v>999</v>
      </c>
      <c r="W740" s="35">
        <f t="shared" si="264"/>
        <v>25</v>
      </c>
      <c r="X740" s="33">
        <f t="shared" si="253"/>
        <v>25</v>
      </c>
      <c r="Y740" s="32">
        <f t="shared" si="254"/>
        <v>-1</v>
      </c>
      <c r="Z740" s="32"/>
      <c r="AA740" s="30">
        <f t="shared" si="255"/>
        <v>20.0246541569648</v>
      </c>
      <c r="AB740" s="28">
        <f t="shared" si="256"/>
        <v>0.6551330018815662</v>
      </c>
      <c r="AC740" s="28">
        <f t="shared" si="257"/>
        <v>0.10964912280701754</v>
      </c>
      <c r="AD740" s="29">
        <f t="shared" si="258"/>
        <v>693.54838709677426</v>
      </c>
      <c r="AE740" s="28">
        <f t="shared" si="259"/>
        <v>0.10964912280701754</v>
      </c>
      <c r="AF740" s="28">
        <f t="shared" si="260"/>
        <v>0.54548387907454865</v>
      </c>
      <c r="AG740" s="28">
        <f t="shared" si="261"/>
        <v>0</v>
      </c>
      <c r="AI740" s="31">
        <f t="shared" si="262"/>
        <v>3.1581503767628152</v>
      </c>
      <c r="AJ740" s="25"/>
      <c r="AK740" s="31"/>
      <c r="AM740" s="27"/>
    </row>
    <row r="741" spans="4:39" x14ac:dyDescent="0.25">
      <c r="D741" s="25">
        <f>E741*'Profit per cycles Model'!$I$113</f>
        <v>7320</v>
      </c>
      <c r="E741" s="25">
        <v>20.052047664703466</v>
      </c>
      <c r="F741" s="28">
        <f t="shared" si="243"/>
        <v>0.13661202185792351</v>
      </c>
      <c r="G741" s="28">
        <f>'Battery Pricing Model'!$C$17/D741</f>
        <v>0.13661202185792351</v>
      </c>
      <c r="H741" s="28">
        <f t="shared" si="244"/>
        <v>999</v>
      </c>
      <c r="I741" s="28"/>
      <c r="J741" s="34">
        <f>INDEX('Profit per cycles Model'!$I$149:$I$179, MATCH(TRUNC(E741, 0), 'Profit per cycles Model'!$H$149:$H$179, 0))</f>
        <v>0.6551330018815662</v>
      </c>
      <c r="K741" s="27">
        <f>AVERAGE($J$10:J1741)</f>
        <v>0.56883042089778579</v>
      </c>
      <c r="L741" s="28">
        <f t="shared" si="245"/>
        <v>0.43221839903986226</v>
      </c>
      <c r="M741" s="28">
        <f t="shared" si="246"/>
        <v>0.43221839903986226</v>
      </c>
      <c r="N741" s="28">
        <f t="shared" si="247"/>
        <v>999</v>
      </c>
      <c r="O741" s="28"/>
      <c r="P741" s="29">
        <f t="shared" si="263"/>
        <v>0.73200000000000054</v>
      </c>
      <c r="Q741" s="33">
        <f t="shared" si="248"/>
        <v>6.7114093959731544</v>
      </c>
      <c r="R741" s="33">
        <f t="shared" si="249"/>
        <v>6.7114093959731544</v>
      </c>
      <c r="S741" s="33">
        <f t="shared" si="250"/>
        <v>-1</v>
      </c>
      <c r="T741" s="27"/>
      <c r="U741" s="28">
        <f t="shared" si="251"/>
        <v>0.10964912280701754</v>
      </c>
      <c r="V741" s="25">
        <f t="shared" si="252"/>
        <v>999</v>
      </c>
      <c r="W741" s="35">
        <f t="shared" si="264"/>
        <v>25</v>
      </c>
      <c r="X741" s="33">
        <f t="shared" si="253"/>
        <v>25</v>
      </c>
      <c r="Y741" s="32">
        <f t="shared" si="254"/>
        <v>-1</v>
      </c>
      <c r="Z741" s="32"/>
      <c r="AA741" s="30">
        <f t="shared" si="255"/>
        <v>20.052047664703466</v>
      </c>
      <c r="AB741" s="28">
        <f t="shared" si="256"/>
        <v>0.6551330018815662</v>
      </c>
      <c r="AC741" s="28">
        <f t="shared" si="257"/>
        <v>0.10964912280701754</v>
      </c>
      <c r="AD741" s="29">
        <f t="shared" si="258"/>
        <v>694.49715370018987</v>
      </c>
      <c r="AE741" s="28">
        <f t="shared" si="259"/>
        <v>0.10964912280701754</v>
      </c>
      <c r="AF741" s="28">
        <f t="shared" si="260"/>
        <v>0.54548387907454865</v>
      </c>
      <c r="AG741" s="28">
        <f t="shared" si="261"/>
        <v>0</v>
      </c>
      <c r="AI741" s="31">
        <f t="shared" si="262"/>
        <v>3.1638386809717916</v>
      </c>
      <c r="AJ741" s="25"/>
      <c r="AK741" s="31"/>
      <c r="AM741" s="27"/>
    </row>
    <row r="742" spans="4:39" x14ac:dyDescent="0.25">
      <c r="D742" s="25">
        <f>E742*'Profit per cycles Model'!$I$113</f>
        <v>7330</v>
      </c>
      <c r="E742" s="25">
        <v>20.079441172442131</v>
      </c>
      <c r="F742" s="28">
        <f t="shared" si="243"/>
        <v>0.13642564802182811</v>
      </c>
      <c r="G742" s="28">
        <f>'Battery Pricing Model'!$C$17/D742</f>
        <v>0.13642564802182811</v>
      </c>
      <c r="H742" s="28">
        <f t="shared" si="244"/>
        <v>999</v>
      </c>
      <c r="I742" s="28"/>
      <c r="J742" s="34">
        <f>INDEX('Profit per cycles Model'!$I$149:$I$179, MATCH(TRUNC(E742, 0), 'Profit per cycles Model'!$H$149:$H$179, 0))</f>
        <v>0.6551330018815662</v>
      </c>
      <c r="K742" s="27">
        <f>AVERAGE($J$10:J1742)</f>
        <v>0.56883042089778579</v>
      </c>
      <c r="L742" s="28">
        <f t="shared" si="245"/>
        <v>0.43240477287595769</v>
      </c>
      <c r="M742" s="28">
        <f t="shared" si="246"/>
        <v>0.43240477287595769</v>
      </c>
      <c r="N742" s="28">
        <f t="shared" si="247"/>
        <v>999</v>
      </c>
      <c r="O742" s="28"/>
      <c r="P742" s="29">
        <f t="shared" si="263"/>
        <v>0.73300000000000054</v>
      </c>
      <c r="Q742" s="33">
        <f t="shared" si="248"/>
        <v>6.7114093959731544</v>
      </c>
      <c r="R742" s="33">
        <f t="shared" si="249"/>
        <v>6.7114093959731544</v>
      </c>
      <c r="S742" s="33">
        <f t="shared" si="250"/>
        <v>-1</v>
      </c>
      <c r="T742" s="27"/>
      <c r="U742" s="28">
        <f t="shared" si="251"/>
        <v>0.10964912280701754</v>
      </c>
      <c r="V742" s="25">
        <f t="shared" si="252"/>
        <v>999</v>
      </c>
      <c r="W742" s="35">
        <f t="shared" si="264"/>
        <v>25</v>
      </c>
      <c r="X742" s="33">
        <f t="shared" si="253"/>
        <v>25</v>
      </c>
      <c r="Y742" s="32">
        <f t="shared" si="254"/>
        <v>-1</v>
      </c>
      <c r="Z742" s="32"/>
      <c r="AA742" s="30">
        <f t="shared" si="255"/>
        <v>20.079441172442131</v>
      </c>
      <c r="AB742" s="28">
        <f t="shared" si="256"/>
        <v>0.6551330018815662</v>
      </c>
      <c r="AC742" s="28">
        <f t="shared" si="257"/>
        <v>0.10964912280701754</v>
      </c>
      <c r="AD742" s="29">
        <f t="shared" si="258"/>
        <v>695.44592030360525</v>
      </c>
      <c r="AE742" s="28">
        <f t="shared" si="259"/>
        <v>0.10964912280701754</v>
      </c>
      <c r="AF742" s="28">
        <f t="shared" si="260"/>
        <v>0.54548387907454865</v>
      </c>
      <c r="AG742" s="28">
        <f t="shared" si="261"/>
        <v>0</v>
      </c>
      <c r="AI742" s="31">
        <f t="shared" si="262"/>
        <v>3.1695269851807697</v>
      </c>
      <c r="AJ742" s="25"/>
      <c r="AK742" s="31"/>
      <c r="AM742" s="27"/>
    </row>
    <row r="743" spans="4:39" x14ac:dyDescent="0.25">
      <c r="D743" s="25">
        <f>E743*'Profit per cycles Model'!$I$113</f>
        <v>7340</v>
      </c>
      <c r="E743" s="25">
        <v>20.106834680180796</v>
      </c>
      <c r="F743" s="28">
        <f t="shared" si="243"/>
        <v>0.13623978201634879</v>
      </c>
      <c r="G743" s="28">
        <f>'Battery Pricing Model'!$C$17/D743</f>
        <v>0.13623978201634879</v>
      </c>
      <c r="H743" s="28">
        <f t="shared" si="244"/>
        <v>999</v>
      </c>
      <c r="I743" s="28"/>
      <c r="J743" s="34">
        <f>INDEX('Profit per cycles Model'!$I$149:$I$179, MATCH(TRUNC(E743, 0), 'Profit per cycles Model'!$H$149:$H$179, 0))</f>
        <v>0.6551330018815662</v>
      </c>
      <c r="K743" s="27">
        <f>AVERAGE($J$10:J1743)</f>
        <v>0.56883042089778579</v>
      </c>
      <c r="L743" s="28">
        <f t="shared" si="245"/>
        <v>0.43259063888143701</v>
      </c>
      <c r="M743" s="28">
        <f t="shared" si="246"/>
        <v>0.43259063888143701</v>
      </c>
      <c r="N743" s="28">
        <f t="shared" si="247"/>
        <v>999</v>
      </c>
      <c r="O743" s="28"/>
      <c r="P743" s="29">
        <f t="shared" si="263"/>
        <v>0.73400000000000054</v>
      </c>
      <c r="Q743" s="33">
        <f t="shared" si="248"/>
        <v>6.7114093959731544</v>
      </c>
      <c r="R743" s="33">
        <f t="shared" si="249"/>
        <v>6.7114093959731544</v>
      </c>
      <c r="S743" s="33">
        <f t="shared" si="250"/>
        <v>-1</v>
      </c>
      <c r="T743" s="27"/>
      <c r="U743" s="28">
        <f t="shared" si="251"/>
        <v>0.10964912280701754</v>
      </c>
      <c r="V743" s="25">
        <f t="shared" si="252"/>
        <v>999</v>
      </c>
      <c r="W743" s="35">
        <f t="shared" si="264"/>
        <v>25</v>
      </c>
      <c r="X743" s="33">
        <f t="shared" si="253"/>
        <v>25</v>
      </c>
      <c r="Y743" s="32">
        <f t="shared" si="254"/>
        <v>-1</v>
      </c>
      <c r="Z743" s="32"/>
      <c r="AA743" s="30">
        <f t="shared" si="255"/>
        <v>20.106834680180796</v>
      </c>
      <c r="AB743" s="28">
        <f t="shared" si="256"/>
        <v>0.6551330018815662</v>
      </c>
      <c r="AC743" s="28">
        <f t="shared" si="257"/>
        <v>0.10964912280701754</v>
      </c>
      <c r="AD743" s="29">
        <f t="shared" si="258"/>
        <v>696.39468690702085</v>
      </c>
      <c r="AE743" s="28">
        <f t="shared" si="259"/>
        <v>0.10964912280701754</v>
      </c>
      <c r="AF743" s="28">
        <f t="shared" si="260"/>
        <v>0.54548387907454865</v>
      </c>
      <c r="AG743" s="28">
        <f t="shared" si="261"/>
        <v>0</v>
      </c>
      <c r="AI743" s="31">
        <f t="shared" si="262"/>
        <v>3.1752152893897474</v>
      </c>
      <c r="AJ743" s="25"/>
      <c r="AK743" s="31"/>
      <c r="AM743" s="27"/>
    </row>
    <row r="744" spans="4:39" x14ac:dyDescent="0.25">
      <c r="D744" s="25">
        <f>E744*'Profit per cycles Model'!$I$113</f>
        <v>7350</v>
      </c>
      <c r="E744" s="25">
        <v>20.134228187919462</v>
      </c>
      <c r="F744" s="28">
        <f t="shared" si="243"/>
        <v>0.1360544217687075</v>
      </c>
      <c r="G744" s="28">
        <f>'Battery Pricing Model'!$C$17/D744</f>
        <v>0.1360544217687075</v>
      </c>
      <c r="H744" s="28">
        <f t="shared" si="244"/>
        <v>999</v>
      </c>
      <c r="I744" s="28"/>
      <c r="J744" s="34">
        <f>INDEX('Profit per cycles Model'!$I$149:$I$179, MATCH(TRUNC(E744, 0), 'Profit per cycles Model'!$H$149:$H$179, 0))</f>
        <v>0.6551330018815662</v>
      </c>
      <c r="K744" s="27">
        <f>AVERAGE($J$10:J1744)</f>
        <v>0.56883042089778579</v>
      </c>
      <c r="L744" s="28">
        <f t="shared" si="245"/>
        <v>0.43277599912907827</v>
      </c>
      <c r="M744" s="28">
        <f t="shared" si="246"/>
        <v>0.43277599912907827</v>
      </c>
      <c r="N744" s="28">
        <f t="shared" si="247"/>
        <v>999</v>
      </c>
      <c r="O744" s="28"/>
      <c r="P744" s="29">
        <f t="shared" si="263"/>
        <v>0.73500000000000054</v>
      </c>
      <c r="Q744" s="33">
        <f t="shared" si="248"/>
        <v>6.7114093959731544</v>
      </c>
      <c r="R744" s="33">
        <f t="shared" si="249"/>
        <v>6.7114093959731544</v>
      </c>
      <c r="S744" s="33">
        <f t="shared" si="250"/>
        <v>-1</v>
      </c>
      <c r="T744" s="27"/>
      <c r="U744" s="28">
        <f t="shared" si="251"/>
        <v>0.10964912280701754</v>
      </c>
      <c r="V744" s="25">
        <f t="shared" si="252"/>
        <v>999</v>
      </c>
      <c r="W744" s="35">
        <f t="shared" si="264"/>
        <v>25</v>
      </c>
      <c r="X744" s="33">
        <f t="shared" si="253"/>
        <v>25</v>
      </c>
      <c r="Y744" s="32">
        <f t="shared" si="254"/>
        <v>-1</v>
      </c>
      <c r="Z744" s="32"/>
      <c r="AA744" s="30">
        <f t="shared" si="255"/>
        <v>20.134228187919462</v>
      </c>
      <c r="AB744" s="28">
        <f t="shared" si="256"/>
        <v>0.6551330018815662</v>
      </c>
      <c r="AC744" s="28">
        <f t="shared" si="257"/>
        <v>0.10964912280701754</v>
      </c>
      <c r="AD744" s="29">
        <f t="shared" si="258"/>
        <v>697.34345351043646</v>
      </c>
      <c r="AE744" s="28">
        <f t="shared" si="259"/>
        <v>0.10964912280701754</v>
      </c>
      <c r="AF744" s="28">
        <f t="shared" si="260"/>
        <v>0.54548387907454865</v>
      </c>
      <c r="AG744" s="28">
        <f t="shared" si="261"/>
        <v>0</v>
      </c>
      <c r="AI744" s="31">
        <f t="shared" si="262"/>
        <v>3.1809035935987251</v>
      </c>
      <c r="AJ744" s="25"/>
      <c r="AK744" s="31"/>
      <c r="AM744" s="27"/>
    </row>
    <row r="745" spans="4:39" x14ac:dyDescent="0.25">
      <c r="D745" s="25">
        <f>E745*'Profit per cycles Model'!$I$113</f>
        <v>7359.9999999999991</v>
      </c>
      <c r="E745" s="25">
        <v>20.161621695658127</v>
      </c>
      <c r="F745" s="28">
        <f t="shared" si="243"/>
        <v>0.13586956521739132</v>
      </c>
      <c r="G745" s="28">
        <f>'Battery Pricing Model'!$C$17/D745</f>
        <v>0.13586956521739132</v>
      </c>
      <c r="H745" s="28">
        <f t="shared" si="244"/>
        <v>999</v>
      </c>
      <c r="I745" s="28"/>
      <c r="J745" s="34">
        <f>INDEX('Profit per cycles Model'!$I$149:$I$179, MATCH(TRUNC(E745, 0), 'Profit per cycles Model'!$H$149:$H$179, 0))</f>
        <v>0.6551330018815662</v>
      </c>
      <c r="K745" s="27">
        <f>AVERAGE($J$10:J1745)</f>
        <v>0.56883042089778579</v>
      </c>
      <c r="L745" s="28">
        <f t="shared" si="245"/>
        <v>0.43296085568039444</v>
      </c>
      <c r="M745" s="28">
        <f t="shared" si="246"/>
        <v>0.43296085568039444</v>
      </c>
      <c r="N745" s="28">
        <f t="shared" si="247"/>
        <v>999</v>
      </c>
      <c r="O745" s="28"/>
      <c r="P745" s="29">
        <f t="shared" si="263"/>
        <v>0.73600000000000054</v>
      </c>
      <c r="Q745" s="33">
        <f t="shared" si="248"/>
        <v>6.7114093959731544</v>
      </c>
      <c r="R745" s="33">
        <f t="shared" si="249"/>
        <v>6.7114093959731544</v>
      </c>
      <c r="S745" s="33">
        <f t="shared" si="250"/>
        <v>-1</v>
      </c>
      <c r="T745" s="27"/>
      <c r="U745" s="28">
        <f t="shared" si="251"/>
        <v>0.10964912280701754</v>
      </c>
      <c r="V745" s="25">
        <f t="shared" si="252"/>
        <v>999</v>
      </c>
      <c r="W745" s="35">
        <f t="shared" si="264"/>
        <v>25</v>
      </c>
      <c r="X745" s="33">
        <f t="shared" si="253"/>
        <v>25</v>
      </c>
      <c r="Y745" s="32">
        <f t="shared" si="254"/>
        <v>-1</v>
      </c>
      <c r="Z745" s="32"/>
      <c r="AA745" s="30">
        <f t="shared" si="255"/>
        <v>20.161621695658127</v>
      </c>
      <c r="AB745" s="28">
        <f t="shared" si="256"/>
        <v>0.6551330018815662</v>
      </c>
      <c r="AC745" s="28">
        <f t="shared" si="257"/>
        <v>0.10964912280701754</v>
      </c>
      <c r="AD745" s="29">
        <f t="shared" si="258"/>
        <v>698.29222011385195</v>
      </c>
      <c r="AE745" s="28">
        <f t="shared" si="259"/>
        <v>0.10964912280701754</v>
      </c>
      <c r="AF745" s="28">
        <f t="shared" si="260"/>
        <v>0.54548387907454865</v>
      </c>
      <c r="AG745" s="28">
        <f t="shared" si="261"/>
        <v>0</v>
      </c>
      <c r="AI745" s="31">
        <f t="shared" si="262"/>
        <v>3.1865918978077028</v>
      </c>
      <c r="AJ745" s="25"/>
      <c r="AK745" s="31"/>
      <c r="AM745" s="27"/>
    </row>
    <row r="746" spans="4:39" x14ac:dyDescent="0.25">
      <c r="D746" s="25">
        <f>E746*'Profit per cycles Model'!$I$113</f>
        <v>7370.0000000000009</v>
      </c>
      <c r="E746" s="25">
        <v>20.189015203396796</v>
      </c>
      <c r="F746" s="28">
        <f t="shared" si="243"/>
        <v>0.13568521031207598</v>
      </c>
      <c r="G746" s="28">
        <f>'Battery Pricing Model'!$C$17/D746</f>
        <v>0.13568521031207598</v>
      </c>
      <c r="H746" s="28">
        <f t="shared" si="244"/>
        <v>999</v>
      </c>
      <c r="I746" s="28"/>
      <c r="J746" s="34">
        <f>INDEX('Profit per cycles Model'!$I$149:$I$179, MATCH(TRUNC(E746, 0), 'Profit per cycles Model'!$H$149:$H$179, 0))</f>
        <v>0.6551330018815662</v>
      </c>
      <c r="K746" s="27">
        <f>AVERAGE($J$10:J1746)</f>
        <v>0.56883042089778579</v>
      </c>
      <c r="L746" s="28">
        <f t="shared" si="245"/>
        <v>0.43314521058570982</v>
      </c>
      <c r="M746" s="28">
        <f t="shared" si="246"/>
        <v>0.43314521058570982</v>
      </c>
      <c r="N746" s="28">
        <f t="shared" si="247"/>
        <v>999</v>
      </c>
      <c r="O746" s="28"/>
      <c r="P746" s="29">
        <f t="shared" si="263"/>
        <v>0.73700000000000054</v>
      </c>
      <c r="Q746" s="33">
        <f t="shared" si="248"/>
        <v>6.7114093959731544</v>
      </c>
      <c r="R746" s="33">
        <f t="shared" si="249"/>
        <v>6.7114093959731544</v>
      </c>
      <c r="S746" s="33">
        <f t="shared" si="250"/>
        <v>-1</v>
      </c>
      <c r="T746" s="27"/>
      <c r="U746" s="28">
        <f t="shared" si="251"/>
        <v>0.10964912280701754</v>
      </c>
      <c r="V746" s="25">
        <f t="shared" si="252"/>
        <v>999</v>
      </c>
      <c r="W746" s="35">
        <f t="shared" si="264"/>
        <v>25</v>
      </c>
      <c r="X746" s="33">
        <f t="shared" si="253"/>
        <v>25</v>
      </c>
      <c r="Y746" s="32">
        <f t="shared" si="254"/>
        <v>-1</v>
      </c>
      <c r="Z746" s="32"/>
      <c r="AA746" s="30">
        <f t="shared" si="255"/>
        <v>20.189015203396796</v>
      </c>
      <c r="AB746" s="28">
        <f t="shared" si="256"/>
        <v>0.6551330018815662</v>
      </c>
      <c r="AC746" s="28">
        <f t="shared" si="257"/>
        <v>0.10964912280701754</v>
      </c>
      <c r="AD746" s="29">
        <f t="shared" si="258"/>
        <v>699.24098671726767</v>
      </c>
      <c r="AE746" s="28">
        <f t="shared" si="259"/>
        <v>0.10964912280701754</v>
      </c>
      <c r="AF746" s="28">
        <f t="shared" si="260"/>
        <v>0.54548387907454865</v>
      </c>
      <c r="AG746" s="28">
        <f t="shared" si="261"/>
        <v>0</v>
      </c>
      <c r="AI746" s="31">
        <f t="shared" si="262"/>
        <v>3.1922802020166814</v>
      </c>
      <c r="AJ746" s="25"/>
      <c r="AK746" s="31"/>
      <c r="AM746" s="27"/>
    </row>
    <row r="747" spans="4:39" x14ac:dyDescent="0.25">
      <c r="D747" s="25">
        <f>E747*'Profit per cycles Model'!$I$113</f>
        <v>7380</v>
      </c>
      <c r="E747" s="25">
        <v>20.216408711135461</v>
      </c>
      <c r="F747" s="28">
        <f t="shared" si="243"/>
        <v>0.13550135501355012</v>
      </c>
      <c r="G747" s="28">
        <f>'Battery Pricing Model'!$C$17/D747</f>
        <v>0.13550135501355012</v>
      </c>
      <c r="H747" s="28">
        <f t="shared" si="244"/>
        <v>999</v>
      </c>
      <c r="I747" s="28"/>
      <c r="J747" s="34">
        <f>INDEX('Profit per cycles Model'!$I$149:$I$179, MATCH(TRUNC(E747, 0), 'Profit per cycles Model'!$H$149:$H$179, 0))</f>
        <v>0.6551330018815662</v>
      </c>
      <c r="K747" s="27">
        <f>AVERAGE($J$10:J1747)</f>
        <v>0.56883042089778579</v>
      </c>
      <c r="L747" s="28">
        <f t="shared" si="245"/>
        <v>0.4333290658842357</v>
      </c>
      <c r="M747" s="28">
        <f t="shared" si="246"/>
        <v>0.4333290658842357</v>
      </c>
      <c r="N747" s="28">
        <f t="shared" si="247"/>
        <v>999</v>
      </c>
      <c r="O747" s="28"/>
      <c r="P747" s="29">
        <f t="shared" si="263"/>
        <v>0.73800000000000054</v>
      </c>
      <c r="Q747" s="33">
        <f t="shared" si="248"/>
        <v>6.7114093959731544</v>
      </c>
      <c r="R747" s="33">
        <f t="shared" si="249"/>
        <v>6.7114093959731544</v>
      </c>
      <c r="S747" s="33">
        <f t="shared" si="250"/>
        <v>-1</v>
      </c>
      <c r="T747" s="27"/>
      <c r="U747" s="28">
        <f t="shared" si="251"/>
        <v>0.10964912280701754</v>
      </c>
      <c r="V747" s="25">
        <f t="shared" si="252"/>
        <v>999</v>
      </c>
      <c r="W747" s="35">
        <f t="shared" si="264"/>
        <v>25</v>
      </c>
      <c r="X747" s="33">
        <f t="shared" si="253"/>
        <v>25</v>
      </c>
      <c r="Y747" s="32">
        <f t="shared" si="254"/>
        <v>-1</v>
      </c>
      <c r="Z747" s="32"/>
      <c r="AA747" s="30">
        <f t="shared" si="255"/>
        <v>20.216408711135461</v>
      </c>
      <c r="AB747" s="28">
        <f t="shared" si="256"/>
        <v>0.6551330018815662</v>
      </c>
      <c r="AC747" s="28">
        <f t="shared" si="257"/>
        <v>0.10964912280701754</v>
      </c>
      <c r="AD747" s="29">
        <f t="shared" si="258"/>
        <v>700.18975332068317</v>
      </c>
      <c r="AE747" s="28">
        <f t="shared" si="259"/>
        <v>0.10964912280701754</v>
      </c>
      <c r="AF747" s="28">
        <f t="shared" si="260"/>
        <v>0.54548387907454865</v>
      </c>
      <c r="AG747" s="28">
        <f t="shared" si="261"/>
        <v>0</v>
      </c>
      <c r="AI747" s="31">
        <f t="shared" si="262"/>
        <v>3.1979685062256595</v>
      </c>
      <c r="AJ747" s="25"/>
      <c r="AK747" s="31"/>
      <c r="AM747" s="27"/>
    </row>
    <row r="748" spans="4:39" x14ac:dyDescent="0.25">
      <c r="D748" s="25">
        <f>E748*'Profit per cycles Model'!$I$113</f>
        <v>7390</v>
      </c>
      <c r="E748" s="25">
        <v>20.243802218874126</v>
      </c>
      <c r="F748" s="28">
        <f t="shared" si="243"/>
        <v>0.13531799729364005</v>
      </c>
      <c r="G748" s="28">
        <f>'Battery Pricing Model'!$C$17/D748</f>
        <v>0.13531799729364005</v>
      </c>
      <c r="H748" s="28">
        <f t="shared" si="244"/>
        <v>999</v>
      </c>
      <c r="I748" s="28"/>
      <c r="J748" s="34">
        <f>INDEX('Profit per cycles Model'!$I$149:$I$179, MATCH(TRUNC(E748, 0), 'Profit per cycles Model'!$H$149:$H$179, 0))</f>
        <v>0.6551330018815662</v>
      </c>
      <c r="K748" s="27">
        <f>AVERAGE($J$10:J1748)</f>
        <v>0.56883042089778579</v>
      </c>
      <c r="L748" s="28">
        <f t="shared" si="245"/>
        <v>0.43351242360414577</v>
      </c>
      <c r="M748" s="28">
        <f t="shared" si="246"/>
        <v>0.43351242360414577</v>
      </c>
      <c r="N748" s="28">
        <f t="shared" si="247"/>
        <v>999</v>
      </c>
      <c r="O748" s="28"/>
      <c r="P748" s="29">
        <f t="shared" si="263"/>
        <v>0.73900000000000055</v>
      </c>
      <c r="Q748" s="33">
        <f t="shared" si="248"/>
        <v>6.7114093959731544</v>
      </c>
      <c r="R748" s="33">
        <f t="shared" si="249"/>
        <v>6.7114093959731544</v>
      </c>
      <c r="S748" s="33">
        <f t="shared" si="250"/>
        <v>-1</v>
      </c>
      <c r="T748" s="27"/>
      <c r="U748" s="28">
        <f t="shared" si="251"/>
        <v>0.10964912280701754</v>
      </c>
      <c r="V748" s="25">
        <f t="shared" si="252"/>
        <v>999</v>
      </c>
      <c r="W748" s="35">
        <f t="shared" si="264"/>
        <v>25</v>
      </c>
      <c r="X748" s="33">
        <f t="shared" si="253"/>
        <v>25</v>
      </c>
      <c r="Y748" s="32">
        <f t="shared" si="254"/>
        <v>-1</v>
      </c>
      <c r="Z748" s="32"/>
      <c r="AA748" s="30">
        <f t="shared" si="255"/>
        <v>20.243802218874126</v>
      </c>
      <c r="AB748" s="28">
        <f t="shared" si="256"/>
        <v>0.6551330018815662</v>
      </c>
      <c r="AC748" s="28">
        <f t="shared" si="257"/>
        <v>0.10964912280701754</v>
      </c>
      <c r="AD748" s="29">
        <f t="shared" si="258"/>
        <v>701.13851992409866</v>
      </c>
      <c r="AE748" s="28">
        <f t="shared" si="259"/>
        <v>0.10964912280701754</v>
      </c>
      <c r="AF748" s="28">
        <f t="shared" si="260"/>
        <v>0.54548387907454865</v>
      </c>
      <c r="AG748" s="28">
        <f t="shared" si="261"/>
        <v>0</v>
      </c>
      <c r="AI748" s="31">
        <f t="shared" si="262"/>
        <v>3.2036568104346372</v>
      </c>
      <c r="AJ748" s="25"/>
      <c r="AK748" s="31"/>
      <c r="AM748" s="27"/>
    </row>
    <row r="749" spans="4:39" x14ac:dyDescent="0.25">
      <c r="D749" s="25">
        <f>E749*'Profit per cycles Model'!$I$113</f>
        <v>7400</v>
      </c>
      <c r="E749" s="25">
        <v>20.271195726612792</v>
      </c>
      <c r="F749" s="28">
        <f t="shared" si="243"/>
        <v>0.13513513513513514</v>
      </c>
      <c r="G749" s="28">
        <f>'Battery Pricing Model'!$C$17/D749</f>
        <v>0.13513513513513514</v>
      </c>
      <c r="H749" s="28">
        <f t="shared" si="244"/>
        <v>999</v>
      </c>
      <c r="I749" s="28"/>
      <c r="J749" s="34">
        <f>INDEX('Profit per cycles Model'!$I$149:$I$179, MATCH(TRUNC(E749, 0), 'Profit per cycles Model'!$H$149:$H$179, 0))</f>
        <v>0.6551330018815662</v>
      </c>
      <c r="K749" s="27">
        <f>AVERAGE($J$10:J1749)</f>
        <v>0.56883042089778579</v>
      </c>
      <c r="L749" s="28">
        <f t="shared" si="245"/>
        <v>0.43369528576265065</v>
      </c>
      <c r="M749" s="28">
        <f t="shared" si="246"/>
        <v>0.43369528576265065</v>
      </c>
      <c r="N749" s="28">
        <f t="shared" si="247"/>
        <v>999</v>
      </c>
      <c r="O749" s="28"/>
      <c r="P749" s="29">
        <f t="shared" si="263"/>
        <v>0.74000000000000055</v>
      </c>
      <c r="Q749" s="33">
        <f t="shared" si="248"/>
        <v>6.7114093959731544</v>
      </c>
      <c r="R749" s="33">
        <f t="shared" si="249"/>
        <v>6.7114093959731544</v>
      </c>
      <c r="S749" s="33">
        <f t="shared" si="250"/>
        <v>-1</v>
      </c>
      <c r="T749" s="27"/>
      <c r="U749" s="28">
        <f t="shared" si="251"/>
        <v>0.10964912280701754</v>
      </c>
      <c r="V749" s="25">
        <f t="shared" si="252"/>
        <v>999</v>
      </c>
      <c r="W749" s="35">
        <f t="shared" si="264"/>
        <v>25</v>
      </c>
      <c r="X749" s="33">
        <f t="shared" si="253"/>
        <v>25</v>
      </c>
      <c r="Y749" s="32">
        <f t="shared" si="254"/>
        <v>-1</v>
      </c>
      <c r="Z749" s="32"/>
      <c r="AA749" s="30">
        <f t="shared" si="255"/>
        <v>20.271195726612792</v>
      </c>
      <c r="AB749" s="28">
        <f t="shared" si="256"/>
        <v>0.6551330018815662</v>
      </c>
      <c r="AC749" s="28">
        <f t="shared" si="257"/>
        <v>0.10964912280701754</v>
      </c>
      <c r="AD749" s="29">
        <f t="shared" si="258"/>
        <v>702.08728652751415</v>
      </c>
      <c r="AE749" s="28">
        <f t="shared" si="259"/>
        <v>0.10964912280701754</v>
      </c>
      <c r="AF749" s="28">
        <f t="shared" si="260"/>
        <v>0.54548387907454865</v>
      </c>
      <c r="AG749" s="28">
        <f t="shared" si="261"/>
        <v>0</v>
      </c>
      <c r="AI749" s="31">
        <f t="shared" si="262"/>
        <v>3.2093451146436145</v>
      </c>
      <c r="AJ749" s="25"/>
      <c r="AK749" s="31"/>
      <c r="AM749" s="27"/>
    </row>
    <row r="750" spans="4:39" x14ac:dyDescent="0.25">
      <c r="D750" s="25">
        <f>E750*'Profit per cycles Model'!$I$113</f>
        <v>7410</v>
      </c>
      <c r="E750" s="25">
        <v>20.298589234351457</v>
      </c>
      <c r="F750" s="28">
        <f t="shared" si="243"/>
        <v>0.1349527665317139</v>
      </c>
      <c r="G750" s="28">
        <f>'Battery Pricing Model'!$C$17/D750</f>
        <v>0.1349527665317139</v>
      </c>
      <c r="H750" s="28">
        <f t="shared" si="244"/>
        <v>999</v>
      </c>
      <c r="I750" s="28"/>
      <c r="J750" s="34">
        <f>INDEX('Profit per cycles Model'!$I$149:$I$179, MATCH(TRUNC(E750, 0), 'Profit per cycles Model'!$H$149:$H$179, 0))</f>
        <v>0.6551330018815662</v>
      </c>
      <c r="K750" s="27">
        <f>AVERAGE($J$10:J1750)</f>
        <v>0.56883042089778579</v>
      </c>
      <c r="L750" s="28">
        <f t="shared" si="245"/>
        <v>0.4338776543660719</v>
      </c>
      <c r="M750" s="28">
        <f t="shared" si="246"/>
        <v>0.4338776543660719</v>
      </c>
      <c r="N750" s="28">
        <f t="shared" si="247"/>
        <v>999</v>
      </c>
      <c r="O750" s="28"/>
      <c r="P750" s="29">
        <f t="shared" si="263"/>
        <v>0.74100000000000055</v>
      </c>
      <c r="Q750" s="33">
        <f t="shared" si="248"/>
        <v>6.7114093959731544</v>
      </c>
      <c r="R750" s="33">
        <f t="shared" si="249"/>
        <v>6.7114093959731544</v>
      </c>
      <c r="S750" s="33">
        <f t="shared" si="250"/>
        <v>-1</v>
      </c>
      <c r="T750" s="27"/>
      <c r="U750" s="28">
        <f t="shared" si="251"/>
        <v>0.10964912280701754</v>
      </c>
      <c r="V750" s="25">
        <f t="shared" si="252"/>
        <v>999</v>
      </c>
      <c r="W750" s="35">
        <f t="shared" si="264"/>
        <v>25</v>
      </c>
      <c r="X750" s="33">
        <f t="shared" si="253"/>
        <v>25</v>
      </c>
      <c r="Y750" s="32">
        <f t="shared" si="254"/>
        <v>-1</v>
      </c>
      <c r="Z750" s="32"/>
      <c r="AA750" s="30">
        <f t="shared" si="255"/>
        <v>20.298589234351457</v>
      </c>
      <c r="AB750" s="28">
        <f t="shared" si="256"/>
        <v>0.6551330018815662</v>
      </c>
      <c r="AC750" s="28">
        <f t="shared" si="257"/>
        <v>0.10964912280701754</v>
      </c>
      <c r="AD750" s="29">
        <f t="shared" si="258"/>
        <v>703.03605313092976</v>
      </c>
      <c r="AE750" s="28">
        <f t="shared" si="259"/>
        <v>0.10964912280701754</v>
      </c>
      <c r="AF750" s="28">
        <f t="shared" si="260"/>
        <v>0.54548387907454865</v>
      </c>
      <c r="AG750" s="28">
        <f t="shared" si="261"/>
        <v>0</v>
      </c>
      <c r="AI750" s="31">
        <f t="shared" si="262"/>
        <v>3.2150334188525926</v>
      </c>
      <c r="AJ750" s="25"/>
      <c r="AK750" s="31"/>
      <c r="AM750" s="27"/>
    </row>
    <row r="751" spans="4:39" x14ac:dyDescent="0.25">
      <c r="D751" s="25">
        <f>E751*'Profit per cycles Model'!$I$113</f>
        <v>7419.9999999999991</v>
      </c>
      <c r="E751" s="25">
        <v>20.325982742090122</v>
      </c>
      <c r="F751" s="28">
        <f t="shared" si="243"/>
        <v>0.13477088948787064</v>
      </c>
      <c r="G751" s="28">
        <f>'Battery Pricing Model'!$C$17/D751</f>
        <v>0.13477088948787064</v>
      </c>
      <c r="H751" s="28">
        <f t="shared" si="244"/>
        <v>999</v>
      </c>
      <c r="I751" s="28"/>
      <c r="J751" s="34">
        <f>INDEX('Profit per cycles Model'!$I$149:$I$179, MATCH(TRUNC(E751, 0), 'Profit per cycles Model'!$H$149:$H$179, 0))</f>
        <v>0.6551330018815662</v>
      </c>
      <c r="K751" s="27">
        <f>AVERAGE($J$10:J1751)</f>
        <v>0.56883042089778579</v>
      </c>
      <c r="L751" s="28">
        <f t="shared" si="245"/>
        <v>0.43405953140991516</v>
      </c>
      <c r="M751" s="28">
        <f t="shared" si="246"/>
        <v>0.43405953140991516</v>
      </c>
      <c r="N751" s="28">
        <f t="shared" si="247"/>
        <v>999</v>
      </c>
      <c r="O751" s="28"/>
      <c r="P751" s="29">
        <f t="shared" si="263"/>
        <v>0.74200000000000055</v>
      </c>
      <c r="Q751" s="33">
        <f t="shared" si="248"/>
        <v>6.7114093959731544</v>
      </c>
      <c r="R751" s="33">
        <f t="shared" si="249"/>
        <v>6.7114093959731544</v>
      </c>
      <c r="S751" s="33">
        <f t="shared" si="250"/>
        <v>-1</v>
      </c>
      <c r="T751" s="27"/>
      <c r="U751" s="28">
        <f t="shared" si="251"/>
        <v>0.10964912280701754</v>
      </c>
      <c r="V751" s="25">
        <f t="shared" si="252"/>
        <v>999</v>
      </c>
      <c r="W751" s="35">
        <f t="shared" si="264"/>
        <v>25</v>
      </c>
      <c r="X751" s="33">
        <f t="shared" si="253"/>
        <v>25</v>
      </c>
      <c r="Y751" s="32">
        <f t="shared" si="254"/>
        <v>-1</v>
      </c>
      <c r="Z751" s="32"/>
      <c r="AA751" s="30">
        <f t="shared" si="255"/>
        <v>20.325982742090122</v>
      </c>
      <c r="AB751" s="28">
        <f t="shared" si="256"/>
        <v>0.6551330018815662</v>
      </c>
      <c r="AC751" s="28">
        <f t="shared" si="257"/>
        <v>0.10964912280701754</v>
      </c>
      <c r="AD751" s="29">
        <f t="shared" si="258"/>
        <v>703.98481973434536</v>
      </c>
      <c r="AE751" s="28">
        <f t="shared" si="259"/>
        <v>0.10964912280701754</v>
      </c>
      <c r="AF751" s="28">
        <f t="shared" si="260"/>
        <v>0.54548387907454865</v>
      </c>
      <c r="AG751" s="28">
        <f t="shared" si="261"/>
        <v>0</v>
      </c>
      <c r="AI751" s="31">
        <f t="shared" si="262"/>
        <v>3.2207217230615699</v>
      </c>
      <c r="AJ751" s="25"/>
      <c r="AK751" s="31"/>
      <c r="AM751" s="27"/>
    </row>
    <row r="752" spans="4:39" x14ac:dyDescent="0.25">
      <c r="D752" s="25">
        <f>E752*'Profit per cycles Model'!$I$113</f>
        <v>7430.0000000000009</v>
      </c>
      <c r="E752" s="25">
        <v>20.353376249828791</v>
      </c>
      <c r="F752" s="28">
        <f t="shared" si="243"/>
        <v>0.13458950201884251</v>
      </c>
      <c r="G752" s="28">
        <f>'Battery Pricing Model'!$C$17/D752</f>
        <v>0.13458950201884251</v>
      </c>
      <c r="H752" s="28">
        <f t="shared" si="244"/>
        <v>999</v>
      </c>
      <c r="I752" s="28"/>
      <c r="J752" s="34">
        <f>INDEX('Profit per cycles Model'!$I$149:$I$179, MATCH(TRUNC(E752, 0), 'Profit per cycles Model'!$H$149:$H$179, 0))</f>
        <v>0.6551330018815662</v>
      </c>
      <c r="K752" s="27">
        <f>AVERAGE($J$10:J1752)</f>
        <v>0.56883042089778579</v>
      </c>
      <c r="L752" s="28">
        <f t="shared" si="245"/>
        <v>0.43424091887894328</v>
      </c>
      <c r="M752" s="28">
        <f t="shared" si="246"/>
        <v>0.43424091887894328</v>
      </c>
      <c r="N752" s="28">
        <f t="shared" si="247"/>
        <v>999</v>
      </c>
      <c r="O752" s="28"/>
      <c r="P752" s="29">
        <f t="shared" si="263"/>
        <v>0.74300000000000055</v>
      </c>
      <c r="Q752" s="33">
        <f t="shared" si="248"/>
        <v>6.7114093959731544</v>
      </c>
      <c r="R752" s="33">
        <f t="shared" si="249"/>
        <v>6.7114093959731544</v>
      </c>
      <c r="S752" s="33">
        <f t="shared" si="250"/>
        <v>-1</v>
      </c>
      <c r="T752" s="27"/>
      <c r="U752" s="28">
        <f t="shared" si="251"/>
        <v>0.10964912280701754</v>
      </c>
      <c r="V752" s="25">
        <f t="shared" si="252"/>
        <v>999</v>
      </c>
      <c r="W752" s="35">
        <f t="shared" si="264"/>
        <v>25</v>
      </c>
      <c r="X752" s="33">
        <f t="shared" si="253"/>
        <v>25</v>
      </c>
      <c r="Y752" s="32">
        <f t="shared" si="254"/>
        <v>-1</v>
      </c>
      <c r="Z752" s="32"/>
      <c r="AA752" s="30">
        <f t="shared" si="255"/>
        <v>20.353376249828791</v>
      </c>
      <c r="AB752" s="28">
        <f t="shared" si="256"/>
        <v>0.6551330018815662</v>
      </c>
      <c r="AC752" s="28">
        <f t="shared" si="257"/>
        <v>0.10964912280701754</v>
      </c>
      <c r="AD752" s="29">
        <f t="shared" si="258"/>
        <v>704.93358633776097</v>
      </c>
      <c r="AE752" s="28">
        <f t="shared" si="259"/>
        <v>0.10964912280701754</v>
      </c>
      <c r="AF752" s="28">
        <f t="shared" si="260"/>
        <v>0.54548387907454865</v>
      </c>
      <c r="AG752" s="28">
        <f t="shared" si="261"/>
        <v>0</v>
      </c>
      <c r="AI752" s="31">
        <f t="shared" si="262"/>
        <v>3.2264100272705489</v>
      </c>
      <c r="AJ752" s="25"/>
      <c r="AK752" s="31"/>
      <c r="AM752" s="27"/>
    </row>
    <row r="753" spans="4:39" x14ac:dyDescent="0.25">
      <c r="D753" s="25">
        <f>E753*'Profit per cycles Model'!$I$113</f>
        <v>7440</v>
      </c>
      <c r="E753" s="25">
        <v>20.380769757567457</v>
      </c>
      <c r="F753" s="28">
        <f t="shared" si="243"/>
        <v>0.13440860215053763</v>
      </c>
      <c r="G753" s="28">
        <f>'Battery Pricing Model'!$C$17/D753</f>
        <v>0.13440860215053763</v>
      </c>
      <c r="H753" s="28">
        <f t="shared" si="244"/>
        <v>999</v>
      </c>
      <c r="I753" s="28"/>
      <c r="J753" s="34">
        <f>INDEX('Profit per cycles Model'!$I$149:$I$179, MATCH(TRUNC(E753, 0), 'Profit per cycles Model'!$H$149:$H$179, 0))</f>
        <v>0.6551330018815662</v>
      </c>
      <c r="K753" s="27">
        <f>AVERAGE($J$10:J1753)</f>
        <v>0.56883042089778579</v>
      </c>
      <c r="L753" s="28">
        <f t="shared" si="245"/>
        <v>0.43442181874724817</v>
      </c>
      <c r="M753" s="28">
        <f t="shared" si="246"/>
        <v>0.43442181874724817</v>
      </c>
      <c r="N753" s="28">
        <f t="shared" si="247"/>
        <v>999</v>
      </c>
      <c r="O753" s="28"/>
      <c r="P753" s="29">
        <f t="shared" si="263"/>
        <v>0.74400000000000055</v>
      </c>
      <c r="Q753" s="33">
        <f t="shared" si="248"/>
        <v>6.7114093959731544</v>
      </c>
      <c r="R753" s="33">
        <f t="shared" si="249"/>
        <v>6.7114093959731544</v>
      </c>
      <c r="S753" s="33">
        <f t="shared" si="250"/>
        <v>-1</v>
      </c>
      <c r="T753" s="27"/>
      <c r="U753" s="28">
        <f t="shared" si="251"/>
        <v>0.10964912280701754</v>
      </c>
      <c r="V753" s="25">
        <f t="shared" si="252"/>
        <v>999</v>
      </c>
      <c r="W753" s="35">
        <f t="shared" si="264"/>
        <v>25</v>
      </c>
      <c r="X753" s="33">
        <f t="shared" si="253"/>
        <v>25</v>
      </c>
      <c r="Y753" s="32">
        <f t="shared" si="254"/>
        <v>-1</v>
      </c>
      <c r="Z753" s="32"/>
      <c r="AA753" s="30">
        <f t="shared" si="255"/>
        <v>20.380769757567457</v>
      </c>
      <c r="AB753" s="28">
        <f t="shared" si="256"/>
        <v>0.6551330018815662</v>
      </c>
      <c r="AC753" s="28">
        <f t="shared" si="257"/>
        <v>0.10964912280701754</v>
      </c>
      <c r="AD753" s="29">
        <f t="shared" si="258"/>
        <v>705.88235294117658</v>
      </c>
      <c r="AE753" s="28">
        <f t="shared" si="259"/>
        <v>0.10964912280701754</v>
      </c>
      <c r="AF753" s="28">
        <f t="shared" si="260"/>
        <v>0.54548387907454865</v>
      </c>
      <c r="AG753" s="28">
        <f t="shared" si="261"/>
        <v>0</v>
      </c>
      <c r="AI753" s="31">
        <f t="shared" si="262"/>
        <v>3.2320983314795266</v>
      </c>
      <c r="AJ753" s="25"/>
      <c r="AK753" s="31"/>
      <c r="AM753" s="27"/>
    </row>
    <row r="754" spans="4:39" x14ac:dyDescent="0.25">
      <c r="D754" s="25">
        <f>E754*'Profit per cycles Model'!$I$113</f>
        <v>7450</v>
      </c>
      <c r="E754" s="25">
        <v>20.408163265306122</v>
      </c>
      <c r="F754" s="28">
        <f t="shared" si="243"/>
        <v>0.13422818791946309</v>
      </c>
      <c r="G754" s="28">
        <f>'Battery Pricing Model'!$C$17/D754</f>
        <v>0.13422818791946309</v>
      </c>
      <c r="H754" s="28">
        <f t="shared" si="244"/>
        <v>999</v>
      </c>
      <c r="I754" s="28"/>
      <c r="J754" s="34">
        <f>INDEX('Profit per cycles Model'!$I$149:$I$179, MATCH(TRUNC(E754, 0), 'Profit per cycles Model'!$H$149:$H$179, 0))</f>
        <v>0.6551330018815662</v>
      </c>
      <c r="K754" s="27">
        <f>AVERAGE($J$10:J1754)</f>
        <v>0.56883042089778579</v>
      </c>
      <c r="L754" s="28">
        <f t="shared" si="245"/>
        <v>0.43460223297832268</v>
      </c>
      <c r="M754" s="28">
        <f t="shared" si="246"/>
        <v>0.43460223297832268</v>
      </c>
      <c r="N754" s="28">
        <f t="shared" si="247"/>
        <v>999</v>
      </c>
      <c r="O754" s="28"/>
      <c r="P754" s="29">
        <f t="shared" si="263"/>
        <v>0.74500000000000055</v>
      </c>
      <c r="Q754" s="33">
        <f t="shared" si="248"/>
        <v>6.7114093959731544</v>
      </c>
      <c r="R754" s="33">
        <f t="shared" si="249"/>
        <v>6.7114093959731544</v>
      </c>
      <c r="S754" s="33">
        <f t="shared" si="250"/>
        <v>-1</v>
      </c>
      <c r="T754" s="27"/>
      <c r="U754" s="28">
        <f t="shared" si="251"/>
        <v>0.10964912280701754</v>
      </c>
      <c r="V754" s="25">
        <f t="shared" si="252"/>
        <v>999</v>
      </c>
      <c r="W754" s="35">
        <f t="shared" si="264"/>
        <v>25</v>
      </c>
      <c r="X754" s="33">
        <f t="shared" si="253"/>
        <v>25</v>
      </c>
      <c r="Y754" s="32">
        <f t="shared" si="254"/>
        <v>-1</v>
      </c>
      <c r="Z754" s="32"/>
      <c r="AA754" s="30">
        <f t="shared" si="255"/>
        <v>20.408163265306122</v>
      </c>
      <c r="AB754" s="28">
        <f t="shared" si="256"/>
        <v>0.6551330018815662</v>
      </c>
      <c r="AC754" s="28">
        <f t="shared" si="257"/>
        <v>0.10964912280701754</v>
      </c>
      <c r="AD754" s="29">
        <f t="shared" si="258"/>
        <v>706.83111954459196</v>
      </c>
      <c r="AE754" s="28">
        <f t="shared" si="259"/>
        <v>0.10964912280701754</v>
      </c>
      <c r="AF754" s="28">
        <f t="shared" si="260"/>
        <v>0.54548387907454865</v>
      </c>
      <c r="AG754" s="28">
        <f t="shared" si="261"/>
        <v>0</v>
      </c>
      <c r="AI754" s="31">
        <f t="shared" si="262"/>
        <v>3.2377866356885039</v>
      </c>
      <c r="AJ754" s="25"/>
      <c r="AK754" s="31"/>
      <c r="AM754" s="27"/>
    </row>
    <row r="755" spans="4:39" x14ac:dyDescent="0.25">
      <c r="D755" s="25">
        <f>E755*'Profit per cycles Model'!$I$113</f>
        <v>7460</v>
      </c>
      <c r="E755" s="25">
        <v>20.435556773044787</v>
      </c>
      <c r="F755" s="28">
        <f t="shared" si="243"/>
        <v>0.13404825737265416</v>
      </c>
      <c r="G755" s="28">
        <f>'Battery Pricing Model'!$C$17/D755</f>
        <v>0.13404825737265416</v>
      </c>
      <c r="H755" s="28">
        <f t="shared" si="244"/>
        <v>999</v>
      </c>
      <c r="I755" s="28"/>
      <c r="J755" s="34">
        <f>INDEX('Profit per cycles Model'!$I$149:$I$179, MATCH(TRUNC(E755, 0), 'Profit per cycles Model'!$H$149:$H$179, 0))</f>
        <v>0.6551330018815662</v>
      </c>
      <c r="K755" s="27">
        <f>AVERAGE($J$10:J1755)</f>
        <v>0.56883042089778579</v>
      </c>
      <c r="L755" s="28">
        <f t="shared" si="245"/>
        <v>0.43478216352513166</v>
      </c>
      <c r="M755" s="28">
        <f t="shared" si="246"/>
        <v>0.43478216352513166</v>
      </c>
      <c r="N755" s="28">
        <f t="shared" si="247"/>
        <v>999</v>
      </c>
      <c r="O755" s="28"/>
      <c r="P755" s="29">
        <f t="shared" si="263"/>
        <v>0.74600000000000055</v>
      </c>
      <c r="Q755" s="33">
        <f t="shared" si="248"/>
        <v>6.7114093959731544</v>
      </c>
      <c r="R755" s="33">
        <f t="shared" si="249"/>
        <v>6.7114093959731544</v>
      </c>
      <c r="S755" s="33">
        <f t="shared" si="250"/>
        <v>-1</v>
      </c>
      <c r="T755" s="27"/>
      <c r="U755" s="28">
        <f t="shared" si="251"/>
        <v>0.10964912280701754</v>
      </c>
      <c r="V755" s="25">
        <f t="shared" si="252"/>
        <v>999</v>
      </c>
      <c r="W755" s="35">
        <f t="shared" si="264"/>
        <v>25</v>
      </c>
      <c r="X755" s="33">
        <f t="shared" si="253"/>
        <v>25</v>
      </c>
      <c r="Y755" s="32">
        <f t="shared" si="254"/>
        <v>-1</v>
      </c>
      <c r="Z755" s="32"/>
      <c r="AA755" s="30">
        <f t="shared" si="255"/>
        <v>20.435556773044787</v>
      </c>
      <c r="AB755" s="28">
        <f t="shared" si="256"/>
        <v>0.6551330018815662</v>
      </c>
      <c r="AC755" s="28">
        <f t="shared" si="257"/>
        <v>0.10964912280701754</v>
      </c>
      <c r="AD755" s="29">
        <f t="shared" si="258"/>
        <v>707.77988614800756</v>
      </c>
      <c r="AE755" s="28">
        <f t="shared" si="259"/>
        <v>0.10964912280701754</v>
      </c>
      <c r="AF755" s="28">
        <f t="shared" si="260"/>
        <v>0.54548387907454865</v>
      </c>
      <c r="AG755" s="28">
        <f t="shared" si="261"/>
        <v>0</v>
      </c>
      <c r="AI755" s="31">
        <f t="shared" si="262"/>
        <v>3.243474939897482</v>
      </c>
      <c r="AJ755" s="25"/>
      <c r="AK755" s="31"/>
      <c r="AM755" s="27"/>
    </row>
    <row r="756" spans="4:39" x14ac:dyDescent="0.25">
      <c r="D756" s="25">
        <f>E756*'Profit per cycles Model'!$I$113</f>
        <v>7470</v>
      </c>
      <c r="E756" s="25">
        <v>20.462950280783453</v>
      </c>
      <c r="F756" s="28">
        <f t="shared" si="243"/>
        <v>0.13386880856760375</v>
      </c>
      <c r="G756" s="28">
        <f>'Battery Pricing Model'!$C$17/D756</f>
        <v>0.13386880856760375</v>
      </c>
      <c r="H756" s="28">
        <f t="shared" si="244"/>
        <v>999</v>
      </c>
      <c r="I756" s="28"/>
      <c r="J756" s="34">
        <f>INDEX('Profit per cycles Model'!$I$149:$I$179, MATCH(TRUNC(E756, 0), 'Profit per cycles Model'!$H$149:$H$179, 0))</f>
        <v>0.6551330018815662</v>
      </c>
      <c r="K756" s="27">
        <f>AVERAGE($J$10:J1756)</f>
        <v>0.56883042089778579</v>
      </c>
      <c r="L756" s="28">
        <f t="shared" si="245"/>
        <v>0.43496161233018205</v>
      </c>
      <c r="M756" s="28">
        <f t="shared" si="246"/>
        <v>0.43496161233018205</v>
      </c>
      <c r="N756" s="28">
        <f t="shared" si="247"/>
        <v>999</v>
      </c>
      <c r="O756" s="28"/>
      <c r="P756" s="29">
        <f t="shared" si="263"/>
        <v>0.74700000000000055</v>
      </c>
      <c r="Q756" s="33">
        <f t="shared" si="248"/>
        <v>6.7114093959731544</v>
      </c>
      <c r="R756" s="33">
        <f t="shared" si="249"/>
        <v>6.7114093959731544</v>
      </c>
      <c r="S756" s="33">
        <f t="shared" si="250"/>
        <v>-1</v>
      </c>
      <c r="T756" s="27"/>
      <c r="U756" s="28">
        <f t="shared" si="251"/>
        <v>0.10964912280701754</v>
      </c>
      <c r="V756" s="25">
        <f t="shared" si="252"/>
        <v>999</v>
      </c>
      <c r="W756" s="35">
        <f t="shared" si="264"/>
        <v>25</v>
      </c>
      <c r="X756" s="33">
        <f t="shared" si="253"/>
        <v>25</v>
      </c>
      <c r="Y756" s="32">
        <f t="shared" si="254"/>
        <v>-1</v>
      </c>
      <c r="Z756" s="32"/>
      <c r="AA756" s="30">
        <f t="shared" si="255"/>
        <v>20.462950280783453</v>
      </c>
      <c r="AB756" s="28">
        <f t="shared" si="256"/>
        <v>0.6551330018815662</v>
      </c>
      <c r="AC756" s="28">
        <f t="shared" si="257"/>
        <v>0.10964912280701754</v>
      </c>
      <c r="AD756" s="29">
        <f t="shared" si="258"/>
        <v>708.72865275142317</v>
      </c>
      <c r="AE756" s="28">
        <f t="shared" si="259"/>
        <v>0.10964912280701754</v>
      </c>
      <c r="AF756" s="28">
        <f t="shared" si="260"/>
        <v>0.54548387907454865</v>
      </c>
      <c r="AG756" s="28">
        <f t="shared" si="261"/>
        <v>0</v>
      </c>
      <c r="AI756" s="31">
        <f t="shared" si="262"/>
        <v>3.2491632441064597</v>
      </c>
      <c r="AJ756" s="25"/>
      <c r="AK756" s="31"/>
      <c r="AM756" s="27"/>
    </row>
    <row r="757" spans="4:39" x14ac:dyDescent="0.25">
      <c r="D757" s="25">
        <f>E757*'Profit per cycles Model'!$I$113</f>
        <v>7479.9999999999991</v>
      </c>
      <c r="E757" s="25">
        <v>20.490343788522118</v>
      </c>
      <c r="F757" s="28">
        <f t="shared" si="243"/>
        <v>0.13368983957219252</v>
      </c>
      <c r="G757" s="28">
        <f>'Battery Pricing Model'!$C$17/D757</f>
        <v>0.13368983957219252</v>
      </c>
      <c r="H757" s="28">
        <f t="shared" si="244"/>
        <v>999</v>
      </c>
      <c r="I757" s="28"/>
      <c r="J757" s="34">
        <f>INDEX('Profit per cycles Model'!$I$149:$I$179, MATCH(TRUNC(E757, 0), 'Profit per cycles Model'!$H$149:$H$179, 0))</f>
        <v>0.6551330018815662</v>
      </c>
      <c r="K757" s="27">
        <f>AVERAGE($J$10:J1757)</f>
        <v>0.56883042089778579</v>
      </c>
      <c r="L757" s="28">
        <f t="shared" si="245"/>
        <v>0.4351405813255933</v>
      </c>
      <c r="M757" s="28">
        <f t="shared" si="246"/>
        <v>0.4351405813255933</v>
      </c>
      <c r="N757" s="28">
        <f t="shared" si="247"/>
        <v>999</v>
      </c>
      <c r="O757" s="28"/>
      <c r="P757" s="29">
        <f t="shared" si="263"/>
        <v>0.74800000000000055</v>
      </c>
      <c r="Q757" s="33">
        <f t="shared" si="248"/>
        <v>6.7114093959731544</v>
      </c>
      <c r="R757" s="33">
        <f t="shared" si="249"/>
        <v>6.7114093959731544</v>
      </c>
      <c r="S757" s="33">
        <f t="shared" si="250"/>
        <v>-1</v>
      </c>
      <c r="T757" s="27"/>
      <c r="U757" s="28">
        <f t="shared" si="251"/>
        <v>0.10964912280701754</v>
      </c>
      <c r="V757" s="25">
        <f t="shared" si="252"/>
        <v>999</v>
      </c>
      <c r="W757" s="35">
        <f t="shared" si="264"/>
        <v>25</v>
      </c>
      <c r="X757" s="33">
        <f t="shared" si="253"/>
        <v>25</v>
      </c>
      <c r="Y757" s="32">
        <f t="shared" si="254"/>
        <v>-1</v>
      </c>
      <c r="Z757" s="32"/>
      <c r="AA757" s="30">
        <f t="shared" si="255"/>
        <v>20.490343788522118</v>
      </c>
      <c r="AB757" s="28">
        <f t="shared" si="256"/>
        <v>0.6551330018815662</v>
      </c>
      <c r="AC757" s="28">
        <f t="shared" si="257"/>
        <v>0.10964912280701754</v>
      </c>
      <c r="AD757" s="29">
        <f t="shared" si="258"/>
        <v>709.67741935483866</v>
      </c>
      <c r="AE757" s="28">
        <f t="shared" si="259"/>
        <v>0.10964912280701754</v>
      </c>
      <c r="AF757" s="28">
        <f t="shared" si="260"/>
        <v>0.54548387907454865</v>
      </c>
      <c r="AG757" s="28">
        <f t="shared" si="261"/>
        <v>0</v>
      </c>
      <c r="AI757" s="31">
        <f t="shared" si="262"/>
        <v>3.2548515483154379</v>
      </c>
      <c r="AJ757" s="25"/>
      <c r="AK757" s="31"/>
      <c r="AM757" s="27"/>
    </row>
    <row r="758" spans="4:39" x14ac:dyDescent="0.25">
      <c r="D758" s="25">
        <f>E758*'Profit per cycles Model'!$I$113</f>
        <v>7490.0000000000009</v>
      </c>
      <c r="E758" s="25">
        <v>20.517737296260787</v>
      </c>
      <c r="F758" s="28">
        <f t="shared" si="243"/>
        <v>0.13351134846461948</v>
      </c>
      <c r="G758" s="28">
        <f>'Battery Pricing Model'!$C$17/D758</f>
        <v>0.13351134846461948</v>
      </c>
      <c r="H758" s="28">
        <f t="shared" si="244"/>
        <v>999</v>
      </c>
      <c r="I758" s="28"/>
      <c r="J758" s="34">
        <f>INDEX('Profit per cycles Model'!$I$149:$I$179, MATCH(TRUNC(E758, 0), 'Profit per cycles Model'!$H$149:$H$179, 0))</f>
        <v>0.6551330018815662</v>
      </c>
      <c r="K758" s="27">
        <f>AVERAGE($J$10:J1758)</f>
        <v>0.56883042089778579</v>
      </c>
      <c r="L758" s="28">
        <f t="shared" si="245"/>
        <v>0.43531907243316631</v>
      </c>
      <c r="M758" s="28">
        <f t="shared" si="246"/>
        <v>0.43531907243316631</v>
      </c>
      <c r="N758" s="28">
        <f t="shared" si="247"/>
        <v>999</v>
      </c>
      <c r="O758" s="28"/>
      <c r="P758" s="29">
        <f t="shared" si="263"/>
        <v>0.74900000000000055</v>
      </c>
      <c r="Q758" s="33">
        <f t="shared" si="248"/>
        <v>6.7114093959731544</v>
      </c>
      <c r="R758" s="33">
        <f t="shared" si="249"/>
        <v>6.7114093959731544</v>
      </c>
      <c r="S758" s="33">
        <f t="shared" si="250"/>
        <v>-1</v>
      </c>
      <c r="T758" s="27"/>
      <c r="U758" s="28">
        <f t="shared" si="251"/>
        <v>0.10964912280701754</v>
      </c>
      <c r="V758" s="25">
        <f t="shared" si="252"/>
        <v>999</v>
      </c>
      <c r="W758" s="35">
        <f t="shared" si="264"/>
        <v>25</v>
      </c>
      <c r="X758" s="33">
        <f t="shared" si="253"/>
        <v>25</v>
      </c>
      <c r="Y758" s="32">
        <f t="shared" si="254"/>
        <v>-1</v>
      </c>
      <c r="Z758" s="32"/>
      <c r="AA758" s="30">
        <f t="shared" si="255"/>
        <v>20.517737296260787</v>
      </c>
      <c r="AB758" s="28">
        <f t="shared" si="256"/>
        <v>0.6551330018815662</v>
      </c>
      <c r="AC758" s="28">
        <f t="shared" si="257"/>
        <v>0.10964912280701754</v>
      </c>
      <c r="AD758" s="29">
        <f t="shared" si="258"/>
        <v>710.62618595825438</v>
      </c>
      <c r="AE758" s="28">
        <f t="shared" si="259"/>
        <v>0.10964912280701754</v>
      </c>
      <c r="AF758" s="28">
        <f t="shared" si="260"/>
        <v>0.54548387907454865</v>
      </c>
      <c r="AG758" s="28">
        <f t="shared" si="261"/>
        <v>0</v>
      </c>
      <c r="AI758" s="31">
        <f t="shared" si="262"/>
        <v>3.260539852524416</v>
      </c>
      <c r="AJ758" s="25"/>
      <c r="AK758" s="31"/>
      <c r="AM758" s="27"/>
    </row>
    <row r="759" spans="4:39" x14ac:dyDescent="0.25">
      <c r="D759" s="25">
        <f>E759*'Profit per cycles Model'!$I$113</f>
        <v>7500</v>
      </c>
      <c r="E759" s="25">
        <v>20.545130803999452</v>
      </c>
      <c r="F759" s="28">
        <f t="shared" si="243"/>
        <v>0.13333333333333333</v>
      </c>
      <c r="G759" s="28">
        <f>'Battery Pricing Model'!$C$17/D759</f>
        <v>0.13333333333333333</v>
      </c>
      <c r="H759" s="28">
        <f t="shared" si="244"/>
        <v>999</v>
      </c>
      <c r="I759" s="28"/>
      <c r="J759" s="34">
        <f>INDEX('Profit per cycles Model'!$I$149:$I$179, MATCH(TRUNC(E759, 0), 'Profit per cycles Model'!$H$149:$H$179, 0))</f>
        <v>0.6551330018815662</v>
      </c>
      <c r="K759" s="27">
        <f>AVERAGE($J$10:J1759)</f>
        <v>0.56883042089778579</v>
      </c>
      <c r="L759" s="28">
        <f t="shared" si="245"/>
        <v>0.43549708756445249</v>
      </c>
      <c r="M759" s="28">
        <f t="shared" si="246"/>
        <v>0.43549708756445249</v>
      </c>
      <c r="N759" s="28">
        <f t="shared" si="247"/>
        <v>999</v>
      </c>
      <c r="O759" s="28"/>
      <c r="P759" s="29">
        <f t="shared" si="263"/>
        <v>0.75000000000000056</v>
      </c>
      <c r="Q759" s="33">
        <f t="shared" si="248"/>
        <v>6.7114093959731544</v>
      </c>
      <c r="R759" s="33">
        <f t="shared" si="249"/>
        <v>6.7114093959731544</v>
      </c>
      <c r="S759" s="33">
        <f t="shared" si="250"/>
        <v>-1</v>
      </c>
      <c r="T759" s="27"/>
      <c r="U759" s="28">
        <f t="shared" si="251"/>
        <v>0.10964912280701754</v>
      </c>
      <c r="V759" s="25">
        <f t="shared" si="252"/>
        <v>999</v>
      </c>
      <c r="W759" s="35">
        <f t="shared" si="264"/>
        <v>25</v>
      </c>
      <c r="X759" s="33">
        <f t="shared" si="253"/>
        <v>25</v>
      </c>
      <c r="Y759" s="32">
        <f t="shared" si="254"/>
        <v>-1</v>
      </c>
      <c r="Z759" s="32"/>
      <c r="AA759" s="30">
        <f t="shared" si="255"/>
        <v>20.545130803999452</v>
      </c>
      <c r="AB759" s="28">
        <f t="shared" si="256"/>
        <v>0.6551330018815662</v>
      </c>
      <c r="AC759" s="28">
        <f t="shared" si="257"/>
        <v>0.10964912280701754</v>
      </c>
      <c r="AD759" s="29">
        <f t="shared" si="258"/>
        <v>711.57495256166987</v>
      </c>
      <c r="AE759" s="28">
        <f t="shared" si="259"/>
        <v>0.10964912280701754</v>
      </c>
      <c r="AF759" s="28">
        <f t="shared" si="260"/>
        <v>0.54548387907454865</v>
      </c>
      <c r="AG759" s="28">
        <f t="shared" si="261"/>
        <v>0</v>
      </c>
      <c r="AI759" s="31">
        <f t="shared" si="262"/>
        <v>3.2662281567333937</v>
      </c>
      <c r="AJ759" s="25"/>
      <c r="AK759" s="31"/>
      <c r="AM759" s="27"/>
    </row>
    <row r="760" spans="4:39" x14ac:dyDescent="0.25">
      <c r="D760" s="25">
        <f>E760*'Profit per cycles Model'!$I$113</f>
        <v>7510</v>
      </c>
      <c r="E760" s="25">
        <v>20.572524311738118</v>
      </c>
      <c r="F760" s="28">
        <f t="shared" si="243"/>
        <v>0.13315579227696406</v>
      </c>
      <c r="G760" s="28">
        <f>'Battery Pricing Model'!$C$17/D760</f>
        <v>0.13315579227696406</v>
      </c>
      <c r="H760" s="28">
        <f t="shared" si="244"/>
        <v>999</v>
      </c>
      <c r="I760" s="28"/>
      <c r="J760" s="34">
        <f>INDEX('Profit per cycles Model'!$I$149:$I$179, MATCH(TRUNC(E760, 0), 'Profit per cycles Model'!$H$149:$H$179, 0))</f>
        <v>0.6551330018815662</v>
      </c>
      <c r="K760" s="27">
        <f>AVERAGE($J$10:J1760)</f>
        <v>0.56883042089778579</v>
      </c>
      <c r="L760" s="28">
        <f t="shared" si="245"/>
        <v>0.43567462862082174</v>
      </c>
      <c r="M760" s="28">
        <f t="shared" si="246"/>
        <v>0.43567462862082174</v>
      </c>
      <c r="N760" s="28">
        <f t="shared" si="247"/>
        <v>999</v>
      </c>
      <c r="O760" s="28"/>
      <c r="P760" s="29">
        <f t="shared" si="263"/>
        <v>0.75100000000000056</v>
      </c>
      <c r="Q760" s="33">
        <f t="shared" si="248"/>
        <v>6.7114093959731544</v>
      </c>
      <c r="R760" s="33">
        <f t="shared" si="249"/>
        <v>6.7114093959731544</v>
      </c>
      <c r="S760" s="33">
        <f t="shared" si="250"/>
        <v>-1</v>
      </c>
      <c r="T760" s="27"/>
      <c r="U760" s="28">
        <f t="shared" si="251"/>
        <v>0.10964912280701754</v>
      </c>
      <c r="V760" s="25">
        <f t="shared" si="252"/>
        <v>999</v>
      </c>
      <c r="W760" s="35">
        <f t="shared" si="264"/>
        <v>25</v>
      </c>
      <c r="X760" s="33">
        <f t="shared" si="253"/>
        <v>25</v>
      </c>
      <c r="Y760" s="32">
        <f t="shared" si="254"/>
        <v>-1</v>
      </c>
      <c r="Z760" s="32"/>
      <c r="AA760" s="30">
        <f t="shared" si="255"/>
        <v>20.572524311738118</v>
      </c>
      <c r="AB760" s="28">
        <f t="shared" si="256"/>
        <v>0.6551330018815662</v>
      </c>
      <c r="AC760" s="28">
        <f t="shared" si="257"/>
        <v>0.10964912280701754</v>
      </c>
      <c r="AD760" s="29">
        <f t="shared" si="258"/>
        <v>712.52371916508537</v>
      </c>
      <c r="AE760" s="28">
        <f t="shared" si="259"/>
        <v>0.10964912280701754</v>
      </c>
      <c r="AF760" s="28">
        <f t="shared" si="260"/>
        <v>0.54548387907454865</v>
      </c>
      <c r="AG760" s="28">
        <f t="shared" si="261"/>
        <v>0</v>
      </c>
      <c r="AI760" s="31">
        <f t="shared" si="262"/>
        <v>3.271916460942371</v>
      </c>
      <c r="AJ760" s="25"/>
      <c r="AK760" s="31"/>
      <c r="AM760" s="27"/>
    </row>
    <row r="761" spans="4:39" x14ac:dyDescent="0.25">
      <c r="D761" s="25">
        <f>E761*'Profit per cycles Model'!$I$113</f>
        <v>7520</v>
      </c>
      <c r="E761" s="25">
        <v>20.599917819476783</v>
      </c>
      <c r="F761" s="28">
        <f t="shared" si="243"/>
        <v>0.13297872340425532</v>
      </c>
      <c r="G761" s="28">
        <f>'Battery Pricing Model'!$C$17/D761</f>
        <v>0.13297872340425532</v>
      </c>
      <c r="H761" s="28">
        <f t="shared" si="244"/>
        <v>999</v>
      </c>
      <c r="I761" s="28"/>
      <c r="J761" s="34">
        <f>INDEX('Profit per cycles Model'!$I$149:$I$179, MATCH(TRUNC(E761, 0), 'Profit per cycles Model'!$H$149:$H$179, 0))</f>
        <v>0.6551330018815662</v>
      </c>
      <c r="K761" s="27">
        <f>AVERAGE($J$10:J1761)</f>
        <v>0.56883042089778579</v>
      </c>
      <c r="L761" s="28">
        <f t="shared" si="245"/>
        <v>0.43585169749353048</v>
      </c>
      <c r="M761" s="28">
        <f t="shared" si="246"/>
        <v>0.43585169749353048</v>
      </c>
      <c r="N761" s="28">
        <f t="shared" si="247"/>
        <v>999</v>
      </c>
      <c r="O761" s="28"/>
      <c r="P761" s="29">
        <f t="shared" si="263"/>
        <v>0.75200000000000056</v>
      </c>
      <c r="Q761" s="33">
        <f t="shared" si="248"/>
        <v>6.7114093959731544</v>
      </c>
      <c r="R761" s="33">
        <f t="shared" si="249"/>
        <v>6.7114093959731544</v>
      </c>
      <c r="S761" s="33">
        <f t="shared" si="250"/>
        <v>-1</v>
      </c>
      <c r="T761" s="27"/>
      <c r="U761" s="28">
        <f t="shared" si="251"/>
        <v>0.10964912280701754</v>
      </c>
      <c r="V761" s="25">
        <f t="shared" si="252"/>
        <v>999</v>
      </c>
      <c r="W761" s="35">
        <f t="shared" si="264"/>
        <v>25</v>
      </c>
      <c r="X761" s="33">
        <f t="shared" si="253"/>
        <v>25</v>
      </c>
      <c r="Y761" s="32">
        <f t="shared" si="254"/>
        <v>-1</v>
      </c>
      <c r="Z761" s="32"/>
      <c r="AA761" s="30">
        <f t="shared" si="255"/>
        <v>20.599917819476783</v>
      </c>
      <c r="AB761" s="28">
        <f t="shared" si="256"/>
        <v>0.6551330018815662</v>
      </c>
      <c r="AC761" s="28">
        <f t="shared" si="257"/>
        <v>0.10964912280701754</v>
      </c>
      <c r="AD761" s="29">
        <f t="shared" si="258"/>
        <v>713.47248576850097</v>
      </c>
      <c r="AE761" s="28">
        <f t="shared" si="259"/>
        <v>0.10964912280701754</v>
      </c>
      <c r="AF761" s="28">
        <f t="shared" si="260"/>
        <v>0.54548387907454865</v>
      </c>
      <c r="AG761" s="28">
        <f t="shared" si="261"/>
        <v>0</v>
      </c>
      <c r="AI761" s="31">
        <f t="shared" si="262"/>
        <v>3.2776047651513491</v>
      </c>
      <c r="AJ761" s="25"/>
      <c r="AK761" s="31"/>
      <c r="AM761" s="27"/>
    </row>
    <row r="762" spans="4:39" x14ac:dyDescent="0.25">
      <c r="D762" s="25">
        <f>E762*'Profit per cycles Model'!$I$113</f>
        <v>7530</v>
      </c>
      <c r="E762" s="25">
        <v>20.627311327215448</v>
      </c>
      <c r="F762" s="28">
        <f t="shared" si="243"/>
        <v>0.13280212483399734</v>
      </c>
      <c r="G762" s="28">
        <f>'Battery Pricing Model'!$C$17/D762</f>
        <v>0.13280212483399734</v>
      </c>
      <c r="H762" s="28">
        <f t="shared" si="244"/>
        <v>999</v>
      </c>
      <c r="I762" s="28"/>
      <c r="J762" s="34">
        <f>INDEX('Profit per cycles Model'!$I$149:$I$179, MATCH(TRUNC(E762, 0), 'Profit per cycles Model'!$H$149:$H$179, 0))</f>
        <v>0.6551330018815662</v>
      </c>
      <c r="K762" s="27">
        <f>AVERAGE($J$10:J1762)</f>
        <v>0.56883042089778579</v>
      </c>
      <c r="L762" s="28">
        <f t="shared" si="245"/>
        <v>0.43602829606378846</v>
      </c>
      <c r="M762" s="28">
        <f t="shared" si="246"/>
        <v>0.43602829606378846</v>
      </c>
      <c r="N762" s="28">
        <f t="shared" si="247"/>
        <v>999</v>
      </c>
      <c r="O762" s="28"/>
      <c r="P762" s="29">
        <f t="shared" si="263"/>
        <v>0.75300000000000056</v>
      </c>
      <c r="Q762" s="33">
        <f t="shared" si="248"/>
        <v>6.7114093959731544</v>
      </c>
      <c r="R762" s="33">
        <f t="shared" si="249"/>
        <v>6.7114093959731544</v>
      </c>
      <c r="S762" s="33">
        <f t="shared" si="250"/>
        <v>-1</v>
      </c>
      <c r="T762" s="27"/>
      <c r="U762" s="28">
        <f t="shared" si="251"/>
        <v>0.10964912280701754</v>
      </c>
      <c r="V762" s="25">
        <f t="shared" si="252"/>
        <v>999</v>
      </c>
      <c r="W762" s="35">
        <f t="shared" si="264"/>
        <v>25</v>
      </c>
      <c r="X762" s="33">
        <f t="shared" si="253"/>
        <v>25</v>
      </c>
      <c r="Y762" s="32">
        <f t="shared" si="254"/>
        <v>-1</v>
      </c>
      <c r="Z762" s="32"/>
      <c r="AA762" s="30">
        <f t="shared" si="255"/>
        <v>20.627311327215448</v>
      </c>
      <c r="AB762" s="28">
        <f t="shared" si="256"/>
        <v>0.6551330018815662</v>
      </c>
      <c r="AC762" s="28">
        <f t="shared" si="257"/>
        <v>0.10964912280701754</v>
      </c>
      <c r="AD762" s="29">
        <f t="shared" si="258"/>
        <v>714.42125237191647</v>
      </c>
      <c r="AE762" s="28">
        <f t="shared" si="259"/>
        <v>0.10964912280701754</v>
      </c>
      <c r="AF762" s="28">
        <f t="shared" si="260"/>
        <v>0.54548387907454865</v>
      </c>
      <c r="AG762" s="28">
        <f t="shared" si="261"/>
        <v>0</v>
      </c>
      <c r="AI762" s="31">
        <f t="shared" si="262"/>
        <v>3.2832930693603273</v>
      </c>
      <c r="AJ762" s="25"/>
      <c r="AK762" s="31"/>
      <c r="AM762" s="27"/>
    </row>
    <row r="763" spans="4:39" x14ac:dyDescent="0.25">
      <c r="D763" s="25">
        <f>E763*'Profit per cycles Model'!$I$113</f>
        <v>7539.9999999999991</v>
      </c>
      <c r="E763" s="25">
        <v>20.654704834954114</v>
      </c>
      <c r="F763" s="28">
        <f t="shared" si="243"/>
        <v>0.13262599469496023</v>
      </c>
      <c r="G763" s="28">
        <f>'Battery Pricing Model'!$C$17/D763</f>
        <v>0.13262599469496023</v>
      </c>
      <c r="H763" s="28">
        <f t="shared" si="244"/>
        <v>999</v>
      </c>
      <c r="I763" s="28"/>
      <c r="J763" s="34">
        <f>INDEX('Profit per cycles Model'!$I$149:$I$179, MATCH(TRUNC(E763, 0), 'Profit per cycles Model'!$H$149:$H$179, 0))</f>
        <v>0.6551330018815662</v>
      </c>
      <c r="K763" s="27">
        <f>AVERAGE($J$10:J1763)</f>
        <v>0.56883042089778579</v>
      </c>
      <c r="L763" s="28">
        <f t="shared" si="245"/>
        <v>0.43620442620282557</v>
      </c>
      <c r="M763" s="28">
        <f t="shared" si="246"/>
        <v>0.43620442620282557</v>
      </c>
      <c r="N763" s="28">
        <f t="shared" si="247"/>
        <v>999</v>
      </c>
      <c r="O763" s="28"/>
      <c r="P763" s="29">
        <f t="shared" si="263"/>
        <v>0.75400000000000056</v>
      </c>
      <c r="Q763" s="33">
        <f t="shared" si="248"/>
        <v>6.7114093959731544</v>
      </c>
      <c r="R763" s="33">
        <f t="shared" si="249"/>
        <v>6.7114093959731544</v>
      </c>
      <c r="S763" s="33">
        <f t="shared" si="250"/>
        <v>-1</v>
      </c>
      <c r="T763" s="27"/>
      <c r="U763" s="28">
        <f t="shared" si="251"/>
        <v>0.10964912280701754</v>
      </c>
      <c r="V763" s="25">
        <f t="shared" si="252"/>
        <v>999</v>
      </c>
      <c r="W763" s="35">
        <f t="shared" si="264"/>
        <v>25</v>
      </c>
      <c r="X763" s="33">
        <f t="shared" si="253"/>
        <v>25</v>
      </c>
      <c r="Y763" s="32">
        <f t="shared" si="254"/>
        <v>-1</v>
      </c>
      <c r="Z763" s="32"/>
      <c r="AA763" s="30">
        <f t="shared" si="255"/>
        <v>20.654704834954114</v>
      </c>
      <c r="AB763" s="28">
        <f t="shared" si="256"/>
        <v>0.6551330018815662</v>
      </c>
      <c r="AC763" s="28">
        <f t="shared" si="257"/>
        <v>0.10964912280701754</v>
      </c>
      <c r="AD763" s="29">
        <f t="shared" si="258"/>
        <v>715.37001897533207</v>
      </c>
      <c r="AE763" s="28">
        <f t="shared" si="259"/>
        <v>0.10964912280701754</v>
      </c>
      <c r="AF763" s="28">
        <f t="shared" si="260"/>
        <v>0.54548387907454865</v>
      </c>
      <c r="AG763" s="28">
        <f t="shared" si="261"/>
        <v>0</v>
      </c>
      <c r="AI763" s="31">
        <f t="shared" si="262"/>
        <v>3.2889813735693045</v>
      </c>
      <c r="AJ763" s="25"/>
      <c r="AK763" s="31"/>
      <c r="AM763" s="27"/>
    </row>
    <row r="764" spans="4:39" x14ac:dyDescent="0.25">
      <c r="D764" s="25">
        <f>E764*'Profit per cycles Model'!$I$113</f>
        <v>7550.0000000000009</v>
      </c>
      <c r="E764" s="25">
        <v>20.682098342692782</v>
      </c>
      <c r="F764" s="28">
        <f t="shared" si="243"/>
        <v>0.1324503311258278</v>
      </c>
      <c r="G764" s="28">
        <f>'Battery Pricing Model'!$C$17/D764</f>
        <v>0.1324503311258278</v>
      </c>
      <c r="H764" s="28">
        <f t="shared" si="244"/>
        <v>999</v>
      </c>
      <c r="I764" s="28"/>
      <c r="J764" s="34">
        <f>INDEX('Profit per cycles Model'!$I$149:$I$179, MATCH(TRUNC(E764, 0), 'Profit per cycles Model'!$H$149:$H$179, 0))</f>
        <v>0.6551330018815662</v>
      </c>
      <c r="K764" s="27">
        <f>AVERAGE($J$10:J1764)</f>
        <v>0.56883042089778579</v>
      </c>
      <c r="L764" s="28">
        <f t="shared" si="245"/>
        <v>0.43638008977195797</v>
      </c>
      <c r="M764" s="28">
        <f t="shared" si="246"/>
        <v>0.43638008977195797</v>
      </c>
      <c r="N764" s="28">
        <f t="shared" si="247"/>
        <v>999</v>
      </c>
      <c r="O764" s="28"/>
      <c r="P764" s="29">
        <f t="shared" si="263"/>
        <v>0.75500000000000056</v>
      </c>
      <c r="Q764" s="33">
        <f t="shared" si="248"/>
        <v>6.7114093959731544</v>
      </c>
      <c r="R764" s="33">
        <f t="shared" si="249"/>
        <v>6.7114093959731544</v>
      </c>
      <c r="S764" s="33">
        <f t="shared" si="250"/>
        <v>-1</v>
      </c>
      <c r="T764" s="27"/>
      <c r="U764" s="28">
        <f t="shared" si="251"/>
        <v>0.10964912280701754</v>
      </c>
      <c r="V764" s="25">
        <f t="shared" si="252"/>
        <v>999</v>
      </c>
      <c r="W764" s="35">
        <f t="shared" si="264"/>
        <v>25</v>
      </c>
      <c r="X764" s="33">
        <f t="shared" si="253"/>
        <v>25</v>
      </c>
      <c r="Y764" s="32">
        <f t="shared" si="254"/>
        <v>-1</v>
      </c>
      <c r="Z764" s="32"/>
      <c r="AA764" s="30">
        <f t="shared" si="255"/>
        <v>20.682098342692782</v>
      </c>
      <c r="AB764" s="28">
        <f t="shared" si="256"/>
        <v>0.6551330018815662</v>
      </c>
      <c r="AC764" s="28">
        <f t="shared" si="257"/>
        <v>0.10964912280701754</v>
      </c>
      <c r="AD764" s="29">
        <f t="shared" si="258"/>
        <v>716.31878557874768</v>
      </c>
      <c r="AE764" s="28">
        <f t="shared" si="259"/>
        <v>0.10964912280701754</v>
      </c>
      <c r="AF764" s="28">
        <f t="shared" si="260"/>
        <v>0.54548387907454865</v>
      </c>
      <c r="AG764" s="28">
        <f t="shared" si="261"/>
        <v>0</v>
      </c>
      <c r="AI764" s="31">
        <f t="shared" si="262"/>
        <v>3.2946696777782831</v>
      </c>
      <c r="AJ764" s="25"/>
      <c r="AK764" s="31"/>
      <c r="AM764" s="27"/>
    </row>
    <row r="765" spans="4:39" x14ac:dyDescent="0.25">
      <c r="D765" s="25">
        <f>E765*'Profit per cycles Model'!$I$113</f>
        <v>7560</v>
      </c>
      <c r="E765" s="25">
        <v>20.709491850431448</v>
      </c>
      <c r="F765" s="28">
        <f t="shared" si="243"/>
        <v>0.13227513227513227</v>
      </c>
      <c r="G765" s="28">
        <f>'Battery Pricing Model'!$C$17/D765</f>
        <v>0.13227513227513227</v>
      </c>
      <c r="H765" s="28">
        <f t="shared" si="244"/>
        <v>999</v>
      </c>
      <c r="I765" s="28"/>
      <c r="J765" s="34">
        <f>INDEX('Profit per cycles Model'!$I$149:$I$179, MATCH(TRUNC(E765, 0), 'Profit per cycles Model'!$H$149:$H$179, 0))</f>
        <v>0.6551330018815662</v>
      </c>
      <c r="K765" s="27">
        <f>AVERAGE($J$10:J1765)</f>
        <v>0.56883042089778579</v>
      </c>
      <c r="L765" s="28">
        <f t="shared" si="245"/>
        <v>0.43655528862265353</v>
      </c>
      <c r="M765" s="28">
        <f t="shared" si="246"/>
        <v>0.43655528862265353</v>
      </c>
      <c r="N765" s="28">
        <f t="shared" si="247"/>
        <v>999</v>
      </c>
      <c r="O765" s="28"/>
      <c r="P765" s="29">
        <f t="shared" si="263"/>
        <v>0.75600000000000056</v>
      </c>
      <c r="Q765" s="33">
        <f t="shared" si="248"/>
        <v>6.7114093959731544</v>
      </c>
      <c r="R765" s="33">
        <f t="shared" si="249"/>
        <v>6.7114093959731544</v>
      </c>
      <c r="S765" s="33">
        <f t="shared" si="250"/>
        <v>-1</v>
      </c>
      <c r="T765" s="27"/>
      <c r="U765" s="28">
        <f t="shared" si="251"/>
        <v>0.10964912280701754</v>
      </c>
      <c r="V765" s="25">
        <f t="shared" si="252"/>
        <v>999</v>
      </c>
      <c r="W765" s="35">
        <f t="shared" si="264"/>
        <v>25</v>
      </c>
      <c r="X765" s="33">
        <f t="shared" si="253"/>
        <v>25</v>
      </c>
      <c r="Y765" s="32">
        <f t="shared" si="254"/>
        <v>-1</v>
      </c>
      <c r="Z765" s="32"/>
      <c r="AA765" s="30">
        <f t="shared" si="255"/>
        <v>20.709491850431448</v>
      </c>
      <c r="AB765" s="28">
        <f t="shared" si="256"/>
        <v>0.6551330018815662</v>
      </c>
      <c r="AC765" s="28">
        <f t="shared" si="257"/>
        <v>0.10964912280701754</v>
      </c>
      <c r="AD765" s="29">
        <f t="shared" si="258"/>
        <v>717.26755218216329</v>
      </c>
      <c r="AE765" s="28">
        <f t="shared" si="259"/>
        <v>0.10964912280701754</v>
      </c>
      <c r="AF765" s="28">
        <f t="shared" si="260"/>
        <v>0.54548387907454865</v>
      </c>
      <c r="AG765" s="28">
        <f t="shared" si="261"/>
        <v>0</v>
      </c>
      <c r="AI765" s="31">
        <f t="shared" si="262"/>
        <v>3.3003579819872608</v>
      </c>
      <c r="AJ765" s="25"/>
      <c r="AK765" s="31"/>
      <c r="AM765" s="27"/>
    </row>
    <row r="766" spans="4:39" x14ac:dyDescent="0.25">
      <c r="D766" s="25">
        <f>E766*'Profit per cycles Model'!$I$113</f>
        <v>7570</v>
      </c>
      <c r="E766" s="25">
        <v>20.736885358170113</v>
      </c>
      <c r="F766" s="28">
        <f t="shared" si="243"/>
        <v>0.13210039630118892</v>
      </c>
      <c r="G766" s="28">
        <f>'Battery Pricing Model'!$C$17/D766</f>
        <v>0.13210039630118892</v>
      </c>
      <c r="H766" s="28">
        <f t="shared" si="244"/>
        <v>999</v>
      </c>
      <c r="I766" s="28"/>
      <c r="J766" s="34">
        <f>INDEX('Profit per cycles Model'!$I$149:$I$179, MATCH(TRUNC(E766, 0), 'Profit per cycles Model'!$H$149:$H$179, 0))</f>
        <v>0.6551330018815662</v>
      </c>
      <c r="K766" s="27">
        <f>AVERAGE($J$10:J1766)</f>
        <v>0.56883042089778579</v>
      </c>
      <c r="L766" s="28">
        <f t="shared" si="245"/>
        <v>0.43673002459659688</v>
      </c>
      <c r="M766" s="28">
        <f t="shared" si="246"/>
        <v>0.43673002459659688</v>
      </c>
      <c r="N766" s="28">
        <f t="shared" si="247"/>
        <v>999</v>
      </c>
      <c r="O766" s="28"/>
      <c r="P766" s="29">
        <f t="shared" si="263"/>
        <v>0.75700000000000056</v>
      </c>
      <c r="Q766" s="33">
        <f t="shared" si="248"/>
        <v>6.7114093959731544</v>
      </c>
      <c r="R766" s="33">
        <f t="shared" si="249"/>
        <v>6.7114093959731544</v>
      </c>
      <c r="S766" s="33">
        <f t="shared" si="250"/>
        <v>-1</v>
      </c>
      <c r="T766" s="27"/>
      <c r="U766" s="28">
        <f t="shared" si="251"/>
        <v>0.10964912280701754</v>
      </c>
      <c r="V766" s="25">
        <f t="shared" si="252"/>
        <v>999</v>
      </c>
      <c r="W766" s="35">
        <f t="shared" si="264"/>
        <v>25</v>
      </c>
      <c r="X766" s="33">
        <f t="shared" si="253"/>
        <v>25</v>
      </c>
      <c r="Y766" s="32">
        <f t="shared" si="254"/>
        <v>-1</v>
      </c>
      <c r="Z766" s="32"/>
      <c r="AA766" s="30">
        <f t="shared" si="255"/>
        <v>20.736885358170113</v>
      </c>
      <c r="AB766" s="28">
        <f t="shared" si="256"/>
        <v>0.6551330018815662</v>
      </c>
      <c r="AC766" s="28">
        <f t="shared" si="257"/>
        <v>0.10964912280701754</v>
      </c>
      <c r="AD766" s="29">
        <f t="shared" si="258"/>
        <v>718.21631878557866</v>
      </c>
      <c r="AE766" s="28">
        <f t="shared" si="259"/>
        <v>0.10964912280701754</v>
      </c>
      <c r="AF766" s="28">
        <f t="shared" si="260"/>
        <v>0.54548387907454865</v>
      </c>
      <c r="AG766" s="28">
        <f t="shared" si="261"/>
        <v>0</v>
      </c>
      <c r="AI766" s="31">
        <f t="shared" si="262"/>
        <v>3.3060462861962381</v>
      </c>
      <c r="AJ766" s="25"/>
      <c r="AK766" s="31"/>
      <c r="AM766" s="27"/>
    </row>
    <row r="767" spans="4:39" x14ac:dyDescent="0.25">
      <c r="D767" s="25">
        <f>E767*'Profit per cycles Model'!$I$113</f>
        <v>7580</v>
      </c>
      <c r="E767" s="25">
        <v>20.764278865908778</v>
      </c>
      <c r="F767" s="28">
        <f t="shared" si="243"/>
        <v>0.13192612137203166</v>
      </c>
      <c r="G767" s="28">
        <f>'Battery Pricing Model'!$C$17/D767</f>
        <v>0.13192612137203166</v>
      </c>
      <c r="H767" s="28">
        <f t="shared" si="244"/>
        <v>999</v>
      </c>
      <c r="I767" s="28"/>
      <c r="J767" s="34">
        <f>INDEX('Profit per cycles Model'!$I$149:$I$179, MATCH(TRUNC(E767, 0), 'Profit per cycles Model'!$H$149:$H$179, 0))</f>
        <v>0.6551330018815662</v>
      </c>
      <c r="K767" s="27">
        <f>AVERAGE($J$10:J1767)</f>
        <v>0.56883042089778579</v>
      </c>
      <c r="L767" s="28">
        <f t="shared" si="245"/>
        <v>0.43690429952575416</v>
      </c>
      <c r="M767" s="28">
        <f t="shared" si="246"/>
        <v>0.43690429952575416</v>
      </c>
      <c r="N767" s="28">
        <f t="shared" si="247"/>
        <v>999</v>
      </c>
      <c r="O767" s="28"/>
      <c r="P767" s="29">
        <f t="shared" si="263"/>
        <v>0.75800000000000056</v>
      </c>
      <c r="Q767" s="33">
        <f t="shared" si="248"/>
        <v>6.7114093959731544</v>
      </c>
      <c r="R767" s="33">
        <f t="shared" si="249"/>
        <v>6.7114093959731544</v>
      </c>
      <c r="S767" s="33">
        <f t="shared" si="250"/>
        <v>-1</v>
      </c>
      <c r="T767" s="27"/>
      <c r="U767" s="28">
        <f t="shared" si="251"/>
        <v>0.10964912280701754</v>
      </c>
      <c r="V767" s="25">
        <f t="shared" si="252"/>
        <v>999</v>
      </c>
      <c r="W767" s="35">
        <f t="shared" si="264"/>
        <v>25</v>
      </c>
      <c r="X767" s="33">
        <f t="shared" si="253"/>
        <v>25</v>
      </c>
      <c r="Y767" s="32">
        <f t="shared" si="254"/>
        <v>-1</v>
      </c>
      <c r="Z767" s="32"/>
      <c r="AA767" s="30">
        <f t="shared" si="255"/>
        <v>20.764278865908778</v>
      </c>
      <c r="AB767" s="28">
        <f t="shared" si="256"/>
        <v>0.6551330018815662</v>
      </c>
      <c r="AC767" s="28">
        <f t="shared" si="257"/>
        <v>0.10964912280701754</v>
      </c>
      <c r="AD767" s="29">
        <f t="shared" si="258"/>
        <v>719.16508538899427</v>
      </c>
      <c r="AE767" s="28">
        <f t="shared" si="259"/>
        <v>0.10964912280701754</v>
      </c>
      <c r="AF767" s="28">
        <f t="shared" si="260"/>
        <v>0.54548387907454865</v>
      </c>
      <c r="AG767" s="28">
        <f t="shared" si="261"/>
        <v>0</v>
      </c>
      <c r="AI767" s="31">
        <f t="shared" si="262"/>
        <v>3.3117345904052167</v>
      </c>
      <c r="AJ767" s="25"/>
      <c r="AK767" s="31"/>
      <c r="AM767" s="27"/>
    </row>
    <row r="768" spans="4:39" x14ac:dyDescent="0.25">
      <c r="D768" s="25">
        <f>E768*'Profit per cycles Model'!$I$113</f>
        <v>7590</v>
      </c>
      <c r="E768" s="25">
        <v>20.791672373647444</v>
      </c>
      <c r="F768" s="28">
        <f t="shared" si="243"/>
        <v>0.13175230566534915</v>
      </c>
      <c r="G768" s="28">
        <f>'Battery Pricing Model'!$C$17/D768</f>
        <v>0.13175230566534915</v>
      </c>
      <c r="H768" s="28">
        <f t="shared" si="244"/>
        <v>999</v>
      </c>
      <c r="I768" s="28"/>
      <c r="J768" s="34">
        <f>INDEX('Profit per cycles Model'!$I$149:$I$179, MATCH(TRUNC(E768, 0), 'Profit per cycles Model'!$H$149:$H$179, 0))</f>
        <v>0.6551330018815662</v>
      </c>
      <c r="K768" s="27">
        <f>AVERAGE($J$10:J1768)</f>
        <v>0.56883042089778579</v>
      </c>
      <c r="L768" s="28">
        <f t="shared" si="245"/>
        <v>0.43707811523243667</v>
      </c>
      <c r="M768" s="28">
        <f t="shared" si="246"/>
        <v>0.43707811523243667</v>
      </c>
      <c r="N768" s="28">
        <f t="shared" si="247"/>
        <v>999</v>
      </c>
      <c r="O768" s="28"/>
      <c r="P768" s="29">
        <f t="shared" si="263"/>
        <v>0.75900000000000056</v>
      </c>
      <c r="Q768" s="33">
        <f t="shared" si="248"/>
        <v>6.7114093959731544</v>
      </c>
      <c r="R768" s="33">
        <f t="shared" si="249"/>
        <v>6.7114093959731544</v>
      </c>
      <c r="S768" s="33">
        <f t="shared" si="250"/>
        <v>-1</v>
      </c>
      <c r="T768" s="27"/>
      <c r="U768" s="28">
        <f t="shared" si="251"/>
        <v>0.10964912280701754</v>
      </c>
      <c r="V768" s="25">
        <f t="shared" si="252"/>
        <v>999</v>
      </c>
      <c r="W768" s="35">
        <f t="shared" si="264"/>
        <v>25</v>
      </c>
      <c r="X768" s="33">
        <f t="shared" si="253"/>
        <v>25</v>
      </c>
      <c r="Y768" s="32">
        <f t="shared" si="254"/>
        <v>-1</v>
      </c>
      <c r="Z768" s="32"/>
      <c r="AA768" s="30">
        <f t="shared" si="255"/>
        <v>20.791672373647444</v>
      </c>
      <c r="AB768" s="28">
        <f t="shared" si="256"/>
        <v>0.6551330018815662</v>
      </c>
      <c r="AC768" s="28">
        <f t="shared" si="257"/>
        <v>0.10964912280701754</v>
      </c>
      <c r="AD768" s="29">
        <f t="shared" si="258"/>
        <v>720.11385199240988</v>
      </c>
      <c r="AE768" s="28">
        <f t="shared" si="259"/>
        <v>0.10964912280701754</v>
      </c>
      <c r="AF768" s="28">
        <f t="shared" si="260"/>
        <v>0.54548387907454865</v>
      </c>
      <c r="AG768" s="28">
        <f t="shared" si="261"/>
        <v>0</v>
      </c>
      <c r="AI768" s="31">
        <f t="shared" si="262"/>
        <v>3.3174228946141939</v>
      </c>
      <c r="AJ768" s="25"/>
      <c r="AK768" s="31"/>
      <c r="AM768" s="27"/>
    </row>
    <row r="769" spans="4:39" x14ac:dyDescent="0.25">
      <c r="D769" s="25">
        <f>E769*'Profit per cycles Model'!$I$113</f>
        <v>7599.9999999999991</v>
      </c>
      <c r="E769" s="25">
        <v>20.819065881386109</v>
      </c>
      <c r="F769" s="28">
        <f t="shared" si="243"/>
        <v>0.13157894736842107</v>
      </c>
      <c r="G769" s="28">
        <f>'Battery Pricing Model'!$C$17/D769</f>
        <v>0.13157894736842107</v>
      </c>
      <c r="H769" s="28">
        <f t="shared" si="244"/>
        <v>999</v>
      </c>
      <c r="I769" s="28"/>
      <c r="J769" s="34">
        <f>INDEX('Profit per cycles Model'!$I$149:$I$179, MATCH(TRUNC(E769, 0), 'Profit per cycles Model'!$H$149:$H$179, 0))</f>
        <v>0.6551330018815662</v>
      </c>
      <c r="K769" s="27">
        <f>AVERAGE($J$10:J1769)</f>
        <v>0.56883042089778579</v>
      </c>
      <c r="L769" s="28">
        <f t="shared" si="245"/>
        <v>0.43725147352936472</v>
      </c>
      <c r="M769" s="28">
        <f t="shared" si="246"/>
        <v>0.43725147352936472</v>
      </c>
      <c r="N769" s="28">
        <f t="shared" si="247"/>
        <v>999</v>
      </c>
      <c r="O769" s="28"/>
      <c r="P769" s="29">
        <f t="shared" si="263"/>
        <v>0.76000000000000056</v>
      </c>
      <c r="Q769" s="33">
        <f t="shared" si="248"/>
        <v>6.7114093959731544</v>
      </c>
      <c r="R769" s="33">
        <f t="shared" si="249"/>
        <v>6.7114093959731544</v>
      </c>
      <c r="S769" s="33">
        <f t="shared" si="250"/>
        <v>-1</v>
      </c>
      <c r="T769" s="27"/>
      <c r="U769" s="28">
        <f t="shared" si="251"/>
        <v>0.10964912280701754</v>
      </c>
      <c r="V769" s="25">
        <f t="shared" si="252"/>
        <v>999</v>
      </c>
      <c r="W769" s="35">
        <f t="shared" si="264"/>
        <v>25</v>
      </c>
      <c r="X769" s="33">
        <f t="shared" si="253"/>
        <v>25</v>
      </c>
      <c r="Y769" s="32">
        <f t="shared" si="254"/>
        <v>-1</v>
      </c>
      <c r="Z769" s="32"/>
      <c r="AA769" s="30">
        <f t="shared" si="255"/>
        <v>20.819065881386109</v>
      </c>
      <c r="AB769" s="28">
        <f t="shared" si="256"/>
        <v>0.6551330018815662</v>
      </c>
      <c r="AC769" s="28">
        <f t="shared" si="257"/>
        <v>0.10964912280701754</v>
      </c>
      <c r="AD769" s="29">
        <f t="shared" si="258"/>
        <v>721.06261859582537</v>
      </c>
      <c r="AE769" s="28">
        <f t="shared" si="259"/>
        <v>0.10964912280701754</v>
      </c>
      <c r="AF769" s="28">
        <f t="shared" si="260"/>
        <v>0.54548387907454865</v>
      </c>
      <c r="AG769" s="28">
        <f t="shared" si="261"/>
        <v>0</v>
      </c>
      <c r="AI769" s="31">
        <f t="shared" si="262"/>
        <v>3.3231111988231712</v>
      </c>
      <c r="AJ769" s="25"/>
      <c r="AK769" s="31"/>
      <c r="AM769" s="27"/>
    </row>
    <row r="770" spans="4:39" x14ac:dyDescent="0.25">
      <c r="D770" s="25">
        <f>E770*'Profit per cycles Model'!$I$113</f>
        <v>7610.0000000000009</v>
      </c>
      <c r="E770" s="25">
        <v>20.846459389124778</v>
      </c>
      <c r="F770" s="28">
        <f t="shared" si="243"/>
        <v>0.13140604467805517</v>
      </c>
      <c r="G770" s="28">
        <f>'Battery Pricing Model'!$C$17/D770</f>
        <v>0.13140604467805517</v>
      </c>
      <c r="H770" s="28">
        <f t="shared" si="244"/>
        <v>999</v>
      </c>
      <c r="I770" s="28"/>
      <c r="J770" s="34">
        <f>INDEX('Profit per cycles Model'!$I$149:$I$179, MATCH(TRUNC(E770, 0), 'Profit per cycles Model'!$H$149:$H$179, 0))</f>
        <v>0.6551330018815662</v>
      </c>
      <c r="K770" s="27">
        <f>AVERAGE($J$10:J1770)</f>
        <v>0.56883042089778579</v>
      </c>
      <c r="L770" s="28">
        <f t="shared" si="245"/>
        <v>0.43742437621973063</v>
      </c>
      <c r="M770" s="28">
        <f t="shared" si="246"/>
        <v>0.43742437621973063</v>
      </c>
      <c r="N770" s="28">
        <f t="shared" si="247"/>
        <v>999</v>
      </c>
      <c r="O770" s="28"/>
      <c r="P770" s="29">
        <f t="shared" si="263"/>
        <v>0.76100000000000056</v>
      </c>
      <c r="Q770" s="33">
        <f t="shared" si="248"/>
        <v>6.7114093959731544</v>
      </c>
      <c r="R770" s="33">
        <f t="shared" si="249"/>
        <v>6.7114093959731544</v>
      </c>
      <c r="S770" s="33">
        <f t="shared" si="250"/>
        <v>-1</v>
      </c>
      <c r="T770" s="27"/>
      <c r="U770" s="28">
        <f t="shared" si="251"/>
        <v>0.10964912280701754</v>
      </c>
      <c r="V770" s="25">
        <f t="shared" si="252"/>
        <v>999</v>
      </c>
      <c r="W770" s="35">
        <f t="shared" si="264"/>
        <v>25</v>
      </c>
      <c r="X770" s="33">
        <f t="shared" si="253"/>
        <v>25</v>
      </c>
      <c r="Y770" s="32">
        <f t="shared" si="254"/>
        <v>-1</v>
      </c>
      <c r="Z770" s="32"/>
      <c r="AA770" s="30">
        <f t="shared" si="255"/>
        <v>20.846459389124778</v>
      </c>
      <c r="AB770" s="28">
        <f t="shared" si="256"/>
        <v>0.6551330018815662</v>
      </c>
      <c r="AC770" s="28">
        <f t="shared" si="257"/>
        <v>0.10964912280701754</v>
      </c>
      <c r="AD770" s="29">
        <f t="shared" si="258"/>
        <v>722.01138519924109</v>
      </c>
      <c r="AE770" s="28">
        <f t="shared" si="259"/>
        <v>0.10964912280701754</v>
      </c>
      <c r="AF770" s="28">
        <f t="shared" si="260"/>
        <v>0.54548387907454865</v>
      </c>
      <c r="AG770" s="28">
        <f t="shared" si="261"/>
        <v>0</v>
      </c>
      <c r="AI770" s="31">
        <f t="shared" si="262"/>
        <v>3.3287995030321507</v>
      </c>
      <c r="AJ770" s="25"/>
      <c r="AK770" s="31"/>
      <c r="AM770" s="27"/>
    </row>
    <row r="771" spans="4:39" x14ac:dyDescent="0.25">
      <c r="D771" s="25">
        <f>E771*'Profit per cycles Model'!$I$113</f>
        <v>7620</v>
      </c>
      <c r="E771" s="25">
        <v>20.873852896863443</v>
      </c>
      <c r="F771" s="28">
        <f t="shared" si="243"/>
        <v>0.13123359580052493</v>
      </c>
      <c r="G771" s="28">
        <f>'Battery Pricing Model'!$C$17/D771</f>
        <v>0.13123359580052493</v>
      </c>
      <c r="H771" s="28">
        <f t="shared" si="244"/>
        <v>999</v>
      </c>
      <c r="I771" s="28"/>
      <c r="J771" s="34">
        <f>INDEX('Profit per cycles Model'!$I$149:$I$179, MATCH(TRUNC(E771, 0), 'Profit per cycles Model'!$H$149:$H$179, 0))</f>
        <v>0.6551330018815662</v>
      </c>
      <c r="K771" s="27">
        <f>AVERAGE($J$10:J1771)</f>
        <v>0.56883042089778579</v>
      </c>
      <c r="L771" s="28">
        <f t="shared" si="245"/>
        <v>0.43759682509726083</v>
      </c>
      <c r="M771" s="28">
        <f t="shared" si="246"/>
        <v>0.43759682509726083</v>
      </c>
      <c r="N771" s="28">
        <f t="shared" si="247"/>
        <v>999</v>
      </c>
      <c r="O771" s="28"/>
      <c r="P771" s="29">
        <f t="shared" si="263"/>
        <v>0.76200000000000057</v>
      </c>
      <c r="Q771" s="33">
        <f t="shared" si="248"/>
        <v>6.7114093959731544</v>
      </c>
      <c r="R771" s="33">
        <f t="shared" si="249"/>
        <v>6.7114093959731544</v>
      </c>
      <c r="S771" s="33">
        <f t="shared" si="250"/>
        <v>-1</v>
      </c>
      <c r="T771" s="27"/>
      <c r="U771" s="28">
        <f t="shared" si="251"/>
        <v>0.10964912280701754</v>
      </c>
      <c r="V771" s="25">
        <f t="shared" si="252"/>
        <v>999</v>
      </c>
      <c r="W771" s="35">
        <f t="shared" si="264"/>
        <v>25</v>
      </c>
      <c r="X771" s="33">
        <f t="shared" si="253"/>
        <v>25</v>
      </c>
      <c r="Y771" s="32">
        <f t="shared" si="254"/>
        <v>-1</v>
      </c>
      <c r="Z771" s="32"/>
      <c r="AA771" s="30">
        <f t="shared" si="255"/>
        <v>20.873852896863443</v>
      </c>
      <c r="AB771" s="28">
        <f t="shared" si="256"/>
        <v>0.6551330018815662</v>
      </c>
      <c r="AC771" s="28">
        <f t="shared" si="257"/>
        <v>0.10964912280701754</v>
      </c>
      <c r="AD771" s="29">
        <f t="shared" si="258"/>
        <v>722.96015180265658</v>
      </c>
      <c r="AE771" s="28">
        <f t="shared" si="259"/>
        <v>0.10964912280701754</v>
      </c>
      <c r="AF771" s="28">
        <f t="shared" si="260"/>
        <v>0.54548387907454865</v>
      </c>
      <c r="AG771" s="28">
        <f t="shared" si="261"/>
        <v>0</v>
      </c>
      <c r="AI771" s="31">
        <f t="shared" si="262"/>
        <v>3.3344878072411275</v>
      </c>
      <c r="AJ771" s="25"/>
      <c r="AK771" s="31"/>
      <c r="AM771" s="27"/>
    </row>
    <row r="772" spans="4:39" x14ac:dyDescent="0.25">
      <c r="D772" s="25">
        <f>E772*'Profit per cycles Model'!$I$113</f>
        <v>7630</v>
      </c>
      <c r="E772" s="25">
        <v>20.901246404602109</v>
      </c>
      <c r="F772" s="28">
        <f t="shared" si="243"/>
        <v>0.13106159895150721</v>
      </c>
      <c r="G772" s="28">
        <f>'Battery Pricing Model'!$C$17/D772</f>
        <v>0.13106159895150721</v>
      </c>
      <c r="H772" s="28">
        <f t="shared" si="244"/>
        <v>999</v>
      </c>
      <c r="I772" s="28"/>
      <c r="J772" s="34">
        <f>INDEX('Profit per cycles Model'!$I$149:$I$179, MATCH(TRUNC(E772, 0), 'Profit per cycles Model'!$H$149:$H$179, 0))</f>
        <v>0.6551330018815662</v>
      </c>
      <c r="K772" s="27">
        <f>AVERAGE($J$10:J1772)</f>
        <v>0.56883042089778579</v>
      </c>
      <c r="L772" s="28">
        <f t="shared" si="245"/>
        <v>0.43776882194627859</v>
      </c>
      <c r="M772" s="28">
        <f t="shared" si="246"/>
        <v>0.43776882194627859</v>
      </c>
      <c r="N772" s="28">
        <f t="shared" si="247"/>
        <v>999</v>
      </c>
      <c r="O772" s="28"/>
      <c r="P772" s="29">
        <f t="shared" si="263"/>
        <v>0.76300000000000057</v>
      </c>
      <c r="Q772" s="33">
        <f t="shared" si="248"/>
        <v>6.7114093959731544</v>
      </c>
      <c r="R772" s="33">
        <f t="shared" si="249"/>
        <v>6.7114093959731544</v>
      </c>
      <c r="S772" s="33">
        <f t="shared" si="250"/>
        <v>-1</v>
      </c>
      <c r="T772" s="27"/>
      <c r="U772" s="28">
        <f t="shared" si="251"/>
        <v>0.10964912280701754</v>
      </c>
      <c r="V772" s="25">
        <f t="shared" si="252"/>
        <v>999</v>
      </c>
      <c r="W772" s="35">
        <f t="shared" si="264"/>
        <v>25</v>
      </c>
      <c r="X772" s="33">
        <f t="shared" si="253"/>
        <v>25</v>
      </c>
      <c r="Y772" s="32">
        <f t="shared" si="254"/>
        <v>-1</v>
      </c>
      <c r="Z772" s="32"/>
      <c r="AA772" s="30">
        <f t="shared" si="255"/>
        <v>20.901246404602109</v>
      </c>
      <c r="AB772" s="28">
        <f t="shared" si="256"/>
        <v>0.6551330018815662</v>
      </c>
      <c r="AC772" s="28">
        <f t="shared" si="257"/>
        <v>0.10964912280701754</v>
      </c>
      <c r="AD772" s="29">
        <f t="shared" si="258"/>
        <v>723.90891840607208</v>
      </c>
      <c r="AE772" s="28">
        <f t="shared" si="259"/>
        <v>0.10964912280701754</v>
      </c>
      <c r="AF772" s="28">
        <f t="shared" si="260"/>
        <v>0.54548387907454865</v>
      </c>
      <c r="AG772" s="28">
        <f t="shared" si="261"/>
        <v>0</v>
      </c>
      <c r="AI772" s="31">
        <f t="shared" si="262"/>
        <v>3.3401761114501056</v>
      </c>
      <c r="AJ772" s="25"/>
      <c r="AK772" s="31"/>
      <c r="AM772" s="27"/>
    </row>
    <row r="773" spans="4:39" x14ac:dyDescent="0.25">
      <c r="D773" s="25">
        <f>E773*'Profit per cycles Model'!$I$113</f>
        <v>7640</v>
      </c>
      <c r="E773" s="25">
        <v>20.928639912340774</v>
      </c>
      <c r="F773" s="28">
        <f t="shared" si="243"/>
        <v>0.13089005235602094</v>
      </c>
      <c r="G773" s="28">
        <f>'Battery Pricing Model'!$C$17/D773</f>
        <v>0.13089005235602094</v>
      </c>
      <c r="H773" s="28">
        <f t="shared" si="244"/>
        <v>999</v>
      </c>
      <c r="I773" s="28"/>
      <c r="J773" s="34">
        <f>INDEX('Profit per cycles Model'!$I$149:$I$179, MATCH(TRUNC(E773, 0), 'Profit per cycles Model'!$H$149:$H$179, 0))</f>
        <v>0.6551330018815662</v>
      </c>
      <c r="K773" s="27">
        <f>AVERAGE($J$10:J1773)</f>
        <v>0.56883042089778579</v>
      </c>
      <c r="L773" s="28">
        <f t="shared" si="245"/>
        <v>0.43794036854176488</v>
      </c>
      <c r="M773" s="28">
        <f t="shared" si="246"/>
        <v>0.43794036854176488</v>
      </c>
      <c r="N773" s="28">
        <f t="shared" si="247"/>
        <v>999</v>
      </c>
      <c r="O773" s="28"/>
      <c r="P773" s="29">
        <f t="shared" si="263"/>
        <v>0.76400000000000057</v>
      </c>
      <c r="Q773" s="33">
        <f t="shared" si="248"/>
        <v>6.7114093959731544</v>
      </c>
      <c r="R773" s="33">
        <f t="shared" si="249"/>
        <v>6.7114093959731544</v>
      </c>
      <c r="S773" s="33">
        <f t="shared" si="250"/>
        <v>-1</v>
      </c>
      <c r="T773" s="27"/>
      <c r="U773" s="28">
        <f t="shared" si="251"/>
        <v>0.10964912280701754</v>
      </c>
      <c r="V773" s="25">
        <f t="shared" si="252"/>
        <v>999</v>
      </c>
      <c r="W773" s="35">
        <f t="shared" si="264"/>
        <v>25</v>
      </c>
      <c r="X773" s="33">
        <f t="shared" si="253"/>
        <v>25</v>
      </c>
      <c r="Y773" s="32">
        <f t="shared" si="254"/>
        <v>-1</v>
      </c>
      <c r="Z773" s="32"/>
      <c r="AA773" s="30">
        <f t="shared" si="255"/>
        <v>20.928639912340774</v>
      </c>
      <c r="AB773" s="28">
        <f t="shared" si="256"/>
        <v>0.6551330018815662</v>
      </c>
      <c r="AC773" s="28">
        <f t="shared" si="257"/>
        <v>0.10964912280701754</v>
      </c>
      <c r="AD773" s="29">
        <f t="shared" si="258"/>
        <v>724.85768500948768</v>
      </c>
      <c r="AE773" s="28">
        <f t="shared" si="259"/>
        <v>0.10964912280701754</v>
      </c>
      <c r="AF773" s="28">
        <f t="shared" si="260"/>
        <v>0.54548387907454865</v>
      </c>
      <c r="AG773" s="28">
        <f t="shared" si="261"/>
        <v>0</v>
      </c>
      <c r="AI773" s="31">
        <f t="shared" si="262"/>
        <v>3.3458644156590838</v>
      </c>
      <c r="AJ773" s="25"/>
      <c r="AK773" s="31"/>
      <c r="AM773" s="27"/>
    </row>
    <row r="774" spans="4:39" x14ac:dyDescent="0.25">
      <c r="D774" s="25">
        <f>E774*'Profit per cycles Model'!$I$113</f>
        <v>7650</v>
      </c>
      <c r="E774" s="25">
        <v>20.956033420079439</v>
      </c>
      <c r="F774" s="28">
        <f t="shared" si="243"/>
        <v>0.13071895424836602</v>
      </c>
      <c r="G774" s="28">
        <f>'Battery Pricing Model'!$C$17/D774</f>
        <v>0.13071895424836602</v>
      </c>
      <c r="H774" s="28">
        <f t="shared" si="244"/>
        <v>999</v>
      </c>
      <c r="I774" s="28"/>
      <c r="J774" s="34">
        <f>INDEX('Profit per cycles Model'!$I$149:$I$179, MATCH(TRUNC(E774, 0), 'Profit per cycles Model'!$H$149:$H$179, 0))</f>
        <v>0.6551330018815662</v>
      </c>
      <c r="K774" s="27">
        <f>AVERAGE($J$10:J1774)</f>
        <v>0.56883042089778579</v>
      </c>
      <c r="L774" s="28">
        <f t="shared" si="245"/>
        <v>0.4381114666494198</v>
      </c>
      <c r="M774" s="28">
        <f t="shared" si="246"/>
        <v>0.4381114666494198</v>
      </c>
      <c r="N774" s="28">
        <f t="shared" si="247"/>
        <v>999</v>
      </c>
      <c r="O774" s="28"/>
      <c r="P774" s="29">
        <f t="shared" si="263"/>
        <v>0.76500000000000057</v>
      </c>
      <c r="Q774" s="33">
        <f t="shared" si="248"/>
        <v>6.7114093959731544</v>
      </c>
      <c r="R774" s="33">
        <f t="shared" si="249"/>
        <v>6.7114093959731544</v>
      </c>
      <c r="S774" s="33">
        <f t="shared" si="250"/>
        <v>-1</v>
      </c>
      <c r="T774" s="27"/>
      <c r="U774" s="28">
        <f t="shared" si="251"/>
        <v>0.10964912280701754</v>
      </c>
      <c r="V774" s="25">
        <f t="shared" si="252"/>
        <v>999</v>
      </c>
      <c r="W774" s="35">
        <f t="shared" si="264"/>
        <v>25</v>
      </c>
      <c r="X774" s="33">
        <f t="shared" si="253"/>
        <v>25</v>
      </c>
      <c r="Y774" s="32">
        <f t="shared" si="254"/>
        <v>-1</v>
      </c>
      <c r="Z774" s="32"/>
      <c r="AA774" s="30">
        <f t="shared" si="255"/>
        <v>20.956033420079439</v>
      </c>
      <c r="AB774" s="28">
        <f t="shared" si="256"/>
        <v>0.6551330018815662</v>
      </c>
      <c r="AC774" s="28">
        <f t="shared" si="257"/>
        <v>0.10964912280701754</v>
      </c>
      <c r="AD774" s="29">
        <f t="shared" si="258"/>
        <v>725.80645161290317</v>
      </c>
      <c r="AE774" s="28">
        <f t="shared" si="259"/>
        <v>0.10964912280701754</v>
      </c>
      <c r="AF774" s="28">
        <f t="shared" si="260"/>
        <v>0.54548387907454865</v>
      </c>
      <c r="AG774" s="28">
        <f t="shared" si="261"/>
        <v>0</v>
      </c>
      <c r="AI774" s="31">
        <f t="shared" si="262"/>
        <v>3.3515527198680615</v>
      </c>
      <c r="AJ774" s="25"/>
      <c r="AK774" s="31"/>
      <c r="AM774" s="27"/>
    </row>
    <row r="775" spans="4:39" x14ac:dyDescent="0.25">
      <c r="D775" s="25">
        <f>E775*'Profit per cycles Model'!$I$113</f>
        <v>7659.9999999999991</v>
      </c>
      <c r="E775" s="25">
        <v>20.983426927818105</v>
      </c>
      <c r="F775" s="28">
        <f t="shared" si="243"/>
        <v>0.13054830287206268</v>
      </c>
      <c r="G775" s="28">
        <f>'Battery Pricing Model'!$C$17/D775</f>
        <v>0.13054830287206268</v>
      </c>
      <c r="H775" s="28">
        <f t="shared" si="244"/>
        <v>999</v>
      </c>
      <c r="I775" s="28"/>
      <c r="J775" s="34">
        <f>INDEX('Profit per cycles Model'!$I$149:$I$179, MATCH(TRUNC(E775, 0), 'Profit per cycles Model'!$H$149:$H$179, 0))</f>
        <v>0.6551330018815662</v>
      </c>
      <c r="K775" s="27">
        <f>AVERAGE($J$10:J1775)</f>
        <v>0.56883042089778579</v>
      </c>
      <c r="L775" s="28">
        <f t="shared" si="245"/>
        <v>0.43828211802572314</v>
      </c>
      <c r="M775" s="28">
        <f t="shared" si="246"/>
        <v>0.43828211802572314</v>
      </c>
      <c r="N775" s="28">
        <f t="shared" si="247"/>
        <v>999</v>
      </c>
      <c r="O775" s="28"/>
      <c r="P775" s="29">
        <f t="shared" si="263"/>
        <v>0.76600000000000057</v>
      </c>
      <c r="Q775" s="33">
        <f t="shared" si="248"/>
        <v>6.7114093959731544</v>
      </c>
      <c r="R775" s="33">
        <f t="shared" si="249"/>
        <v>6.7114093959731544</v>
      </c>
      <c r="S775" s="33">
        <f t="shared" si="250"/>
        <v>-1</v>
      </c>
      <c r="T775" s="27"/>
      <c r="U775" s="28">
        <f t="shared" si="251"/>
        <v>0.10964912280701754</v>
      </c>
      <c r="V775" s="25">
        <f t="shared" si="252"/>
        <v>999</v>
      </c>
      <c r="W775" s="35">
        <f t="shared" si="264"/>
        <v>25</v>
      </c>
      <c r="X775" s="33">
        <f t="shared" si="253"/>
        <v>25</v>
      </c>
      <c r="Y775" s="32">
        <f t="shared" si="254"/>
        <v>-1</v>
      </c>
      <c r="Z775" s="32"/>
      <c r="AA775" s="30">
        <f t="shared" si="255"/>
        <v>20.983426927818105</v>
      </c>
      <c r="AB775" s="28">
        <f t="shared" si="256"/>
        <v>0.6551330018815662</v>
      </c>
      <c r="AC775" s="28">
        <f t="shared" si="257"/>
        <v>0.10964912280701754</v>
      </c>
      <c r="AD775" s="29">
        <f t="shared" si="258"/>
        <v>726.75521821631878</v>
      </c>
      <c r="AE775" s="28">
        <f t="shared" si="259"/>
        <v>0.10964912280701754</v>
      </c>
      <c r="AF775" s="28">
        <f t="shared" si="260"/>
        <v>0.54548387907454865</v>
      </c>
      <c r="AG775" s="28">
        <f t="shared" si="261"/>
        <v>0</v>
      </c>
      <c r="AI775" s="31">
        <f t="shared" si="262"/>
        <v>3.3572410240770387</v>
      </c>
      <c r="AJ775" s="25"/>
      <c r="AK775" s="31"/>
      <c r="AM775" s="27"/>
    </row>
    <row r="776" spans="4:39" x14ac:dyDescent="0.25">
      <c r="D776" s="25">
        <f>E776*'Profit per cycles Model'!$I$113</f>
        <v>7670</v>
      </c>
      <c r="E776" s="25">
        <v>21.010820435556774</v>
      </c>
      <c r="F776" s="28">
        <f t="shared" si="243"/>
        <v>0.1303780964797914</v>
      </c>
      <c r="G776" s="28">
        <f>'Battery Pricing Model'!$C$17/D776</f>
        <v>0.1303780964797914</v>
      </c>
      <c r="H776" s="28">
        <f t="shared" si="244"/>
        <v>999</v>
      </c>
      <c r="I776" s="28"/>
      <c r="J776" s="34">
        <f>INDEX('Profit per cycles Model'!$I$149:$I$179, MATCH(TRUNC(E776, 0), 'Profit per cycles Model'!$H$149:$H$179, 0))</f>
        <v>0.67304073869331105</v>
      </c>
      <c r="K776" s="27">
        <f>AVERAGE($J$10:J1776)</f>
        <v>0.56883042089778579</v>
      </c>
      <c r="L776" s="28">
        <f t="shared" si="245"/>
        <v>0.43845232441799442</v>
      </c>
      <c r="M776" s="28">
        <f t="shared" si="246"/>
        <v>0.43845232441799442</v>
      </c>
      <c r="N776" s="28">
        <f t="shared" si="247"/>
        <v>999</v>
      </c>
      <c r="O776" s="28"/>
      <c r="P776" s="29">
        <f t="shared" si="263"/>
        <v>0.76700000000000057</v>
      </c>
      <c r="Q776" s="33">
        <f t="shared" si="248"/>
        <v>6.7114093959731544</v>
      </c>
      <c r="R776" s="33">
        <f t="shared" si="249"/>
        <v>6.7114093959731544</v>
      </c>
      <c r="S776" s="33">
        <f t="shared" si="250"/>
        <v>-1</v>
      </c>
      <c r="T776" s="27"/>
      <c r="U776" s="28">
        <f t="shared" si="251"/>
        <v>0.10964912280701754</v>
      </c>
      <c r="V776" s="25">
        <f t="shared" si="252"/>
        <v>999</v>
      </c>
      <c r="W776" s="35">
        <f t="shared" si="264"/>
        <v>25</v>
      </c>
      <c r="X776" s="33">
        <f t="shared" si="253"/>
        <v>25</v>
      </c>
      <c r="Y776" s="32">
        <f t="shared" si="254"/>
        <v>-1</v>
      </c>
      <c r="Z776" s="32"/>
      <c r="AA776" s="30">
        <f t="shared" si="255"/>
        <v>21.010820435556774</v>
      </c>
      <c r="AB776" s="28">
        <f t="shared" si="256"/>
        <v>0.67304073869331105</v>
      </c>
      <c r="AC776" s="28">
        <f t="shared" si="257"/>
        <v>0.10964912280701754</v>
      </c>
      <c r="AD776" s="29">
        <f t="shared" si="258"/>
        <v>727.70398481973439</v>
      </c>
      <c r="AE776" s="28">
        <f t="shared" si="259"/>
        <v>0.10964912280701754</v>
      </c>
      <c r="AF776" s="28">
        <f t="shared" si="260"/>
        <v>0.5633916158862935</v>
      </c>
      <c r="AG776" s="28">
        <f t="shared" si="261"/>
        <v>0</v>
      </c>
      <c r="AI776" s="31">
        <f t="shared" si="262"/>
        <v>3.3629293282860169</v>
      </c>
      <c r="AJ776" s="25"/>
      <c r="AK776" s="31"/>
      <c r="AM776" s="27"/>
    </row>
    <row r="777" spans="4:39" x14ac:dyDescent="0.25">
      <c r="D777" s="25">
        <f>E777*'Profit per cycles Model'!$I$113</f>
        <v>7680</v>
      </c>
      <c r="E777" s="25">
        <v>21.038213943295439</v>
      </c>
      <c r="F777" s="28">
        <f t="shared" si="243"/>
        <v>0.13020833333333334</v>
      </c>
      <c r="G777" s="28">
        <f>'Battery Pricing Model'!$C$17/D777</f>
        <v>0.13020833333333334</v>
      </c>
      <c r="H777" s="28">
        <f t="shared" si="244"/>
        <v>999</v>
      </c>
      <c r="I777" s="28"/>
      <c r="J777" s="34">
        <f>INDEX('Profit per cycles Model'!$I$149:$I$179, MATCH(TRUNC(E777, 0), 'Profit per cycles Model'!$H$149:$H$179, 0))</f>
        <v>0.67304073869331105</v>
      </c>
      <c r="K777" s="27">
        <f>AVERAGE($J$10:J1777)</f>
        <v>0.56883042089778579</v>
      </c>
      <c r="L777" s="28">
        <f t="shared" si="245"/>
        <v>0.43862208756445242</v>
      </c>
      <c r="M777" s="28">
        <f t="shared" si="246"/>
        <v>0.43862208756445242</v>
      </c>
      <c r="N777" s="28">
        <f t="shared" si="247"/>
        <v>999</v>
      </c>
      <c r="O777" s="28"/>
      <c r="P777" s="29">
        <f t="shared" si="263"/>
        <v>0.76800000000000057</v>
      </c>
      <c r="Q777" s="33">
        <f t="shared" si="248"/>
        <v>6.7114093959731544</v>
      </c>
      <c r="R777" s="33">
        <f t="shared" si="249"/>
        <v>6.7114093959731544</v>
      </c>
      <c r="S777" s="33">
        <f t="shared" si="250"/>
        <v>-1</v>
      </c>
      <c r="T777" s="27"/>
      <c r="U777" s="28">
        <f t="shared" si="251"/>
        <v>0.10964912280701754</v>
      </c>
      <c r="V777" s="25">
        <f t="shared" si="252"/>
        <v>999</v>
      </c>
      <c r="W777" s="35">
        <f t="shared" si="264"/>
        <v>25</v>
      </c>
      <c r="X777" s="33">
        <f t="shared" si="253"/>
        <v>25</v>
      </c>
      <c r="Y777" s="32">
        <f t="shared" si="254"/>
        <v>-1</v>
      </c>
      <c r="Z777" s="32"/>
      <c r="AA777" s="30">
        <f t="shared" si="255"/>
        <v>21.038213943295439</v>
      </c>
      <c r="AB777" s="28">
        <f t="shared" si="256"/>
        <v>0.67304073869331105</v>
      </c>
      <c r="AC777" s="28">
        <f t="shared" si="257"/>
        <v>0.10964912280701754</v>
      </c>
      <c r="AD777" s="29">
        <f t="shared" si="258"/>
        <v>728.65275142314999</v>
      </c>
      <c r="AE777" s="28">
        <f t="shared" si="259"/>
        <v>0.10964912280701754</v>
      </c>
      <c r="AF777" s="28">
        <f t="shared" si="260"/>
        <v>0.5633916158862935</v>
      </c>
      <c r="AG777" s="28">
        <f t="shared" si="261"/>
        <v>0</v>
      </c>
      <c r="AI777" s="31">
        <f t="shared" si="262"/>
        <v>3.3686176324949946</v>
      </c>
      <c r="AJ777" s="25"/>
      <c r="AK777" s="31"/>
      <c r="AM777" s="27"/>
    </row>
    <row r="778" spans="4:39" x14ac:dyDescent="0.25">
      <c r="D778" s="25">
        <f>E778*'Profit per cycles Model'!$I$113</f>
        <v>7690</v>
      </c>
      <c r="E778" s="25">
        <v>21.065607451034104</v>
      </c>
      <c r="F778" s="28">
        <f t="shared" ref="F778:F841" si="265">IF(OR($H$6="None", $H$6=0), G778, H778)</f>
        <v>0.13003901170351106</v>
      </c>
      <c r="G778" s="28">
        <f>'Battery Pricing Model'!$C$17/D778</f>
        <v>0.13003901170351106</v>
      </c>
      <c r="H778" s="28">
        <f t="shared" ref="H778:H841" si="266">IF(OR($H$6="None", $H$6=0), 999, $G778*(H$6))</f>
        <v>999</v>
      </c>
      <c r="I778" s="28"/>
      <c r="J778" s="34">
        <f>INDEX('Profit per cycles Model'!$I$149:$I$179, MATCH(TRUNC(E778, 0), 'Profit per cycles Model'!$H$149:$H$179, 0))</f>
        <v>0.67304073869331105</v>
      </c>
      <c r="K778" s="27">
        <f>AVERAGE($J$10:J1778)</f>
        <v>0.56883042089778579</v>
      </c>
      <c r="L778" s="28">
        <f t="shared" ref="L778:L841" si="267">IF(K778-F778&lt;0, 999, K778-F778)</f>
        <v>0.43879140919427473</v>
      </c>
      <c r="M778" s="28">
        <f t="shared" ref="M778:M841" si="268">IF(K778-F778&lt;0, 999, K778-F778)</f>
        <v>0.43879140919427473</v>
      </c>
      <c r="N778" s="28">
        <f t="shared" ref="N778:N841" si="269">IF(K778-H778&lt;0, 999, K778-H778)</f>
        <v>999</v>
      </c>
      <c r="O778" s="28"/>
      <c r="P778" s="29">
        <f t="shared" si="263"/>
        <v>0.76900000000000057</v>
      </c>
      <c r="Q778" s="33">
        <f t="shared" ref="Q778:Q841" si="270">$L$5</f>
        <v>6.7114093959731544</v>
      </c>
      <c r="R778" s="33">
        <f t="shared" ref="R778:R841" si="271">$M$5</f>
        <v>6.7114093959731544</v>
      </c>
      <c r="S778" s="33">
        <f t="shared" ref="S778:S841" si="272">$N$5</f>
        <v>-1</v>
      </c>
      <c r="T778" s="27"/>
      <c r="U778" s="28">
        <f t="shared" ref="U778:U841" si="273">IF(ISNA(INDEX($F$10:$F$1063,MATCH(W778,$E$10:$E$1063,1))),-1,INDEX($F$10:$F$1063,MATCH(W778,$E$10:$E$1063,1)))</f>
        <v>0.10964912280701754</v>
      </c>
      <c r="V778" s="25">
        <f t="shared" ref="V778:V841" si="274">IF(ISNA(INDEX($H$10:$H$1063, MATCH(X778, $E$10:$E$1063,1))),-1,  INDEX($H$10:$H$1063, MATCH(X778, $E$10:$E$1063,1)))</f>
        <v>999</v>
      </c>
      <c r="W778" s="35">
        <f t="shared" si="264"/>
        <v>25</v>
      </c>
      <c r="X778" s="33">
        <f t="shared" ref="X778:X841" si="275">IF(PaybackCustom&gt;0, IF(PaybackCustom&lt;&gt;"Default", PaybackCustom, IF(PaybackStatus&lt;&gt;"",INDEX($Y$2:$Y$6,MATCH(PaybackStatus,$X$2:$X$6,FALSE)),-1)))</f>
        <v>25</v>
      </c>
      <c r="Y778" s="32">
        <f t="shared" ref="Y778:Y841" si="276">IF(PaybackStatus&lt;&gt;"",IF(PaybackStatus=$X$4,IF(X778&lt;=$Y$4,$Y$4,-1), -1), -1)</f>
        <v>-1</v>
      </c>
      <c r="Z778" s="32"/>
      <c r="AA778" s="30">
        <f t="shared" ref="AA778:AA841" si="277">E778</f>
        <v>21.065607451034104</v>
      </c>
      <c r="AB778" s="28">
        <f t="shared" ref="AB778:AB841" si="278">J778</f>
        <v>0.67304073869331105</v>
      </c>
      <c r="AC778" s="28">
        <f t="shared" ref="AC778:AC841" si="279">U778</f>
        <v>0.10964912280701754</v>
      </c>
      <c r="AD778" s="29">
        <f t="shared" ref="AD778:AD841" si="280">$AC$2*(AA778-$AC$3)/($AC$4-$AC$3)</f>
        <v>729.60151802656549</v>
      </c>
      <c r="AE778" s="28">
        <f t="shared" ref="AE778:AE841" si="281">MIN(AC778, AB778)</f>
        <v>0.10964912280701754</v>
      </c>
      <c r="AF778" s="28">
        <f t="shared" ref="AF778:AF841" si="282">IF(AND(AA778&lt;X778, AB778&gt;AC778), AB778-AC778, 0)</f>
        <v>0.5633916158862935</v>
      </c>
      <c r="AG778" s="28">
        <f t="shared" ref="AG778:AG841" si="283">IF(AND(AA778&lt;X778, AC778&gt;AB778), AC778-AB778, 0)</f>
        <v>0</v>
      </c>
      <c r="AI778" s="31">
        <f t="shared" ref="AI778:AI841" si="284">(K778-F778)/F778</f>
        <v>3.3743059367039723</v>
      </c>
      <c r="AJ778" s="25"/>
      <c r="AK778" s="31"/>
      <c r="AM778" s="27"/>
    </row>
    <row r="779" spans="4:39" x14ac:dyDescent="0.25">
      <c r="D779" s="25">
        <f>E779*'Profit per cycles Model'!$I$113</f>
        <v>7700</v>
      </c>
      <c r="E779" s="25">
        <v>21.09300095877277</v>
      </c>
      <c r="F779" s="28">
        <f t="shared" si="265"/>
        <v>0.12987012987012986</v>
      </c>
      <c r="G779" s="28">
        <f>'Battery Pricing Model'!$C$17/D779</f>
        <v>0.12987012987012986</v>
      </c>
      <c r="H779" s="28">
        <f t="shared" si="266"/>
        <v>999</v>
      </c>
      <c r="I779" s="28"/>
      <c r="J779" s="34">
        <f>INDEX('Profit per cycles Model'!$I$149:$I$179, MATCH(TRUNC(E779, 0), 'Profit per cycles Model'!$H$149:$H$179, 0))</f>
        <v>0.67304073869331105</v>
      </c>
      <c r="K779" s="27">
        <f>AVERAGE($J$10:J1779)</f>
        <v>0.56883042089778579</v>
      </c>
      <c r="L779" s="28">
        <f t="shared" si="267"/>
        <v>0.43896029102765594</v>
      </c>
      <c r="M779" s="28">
        <f t="shared" si="268"/>
        <v>0.43896029102765594</v>
      </c>
      <c r="N779" s="28">
        <f t="shared" si="269"/>
        <v>999</v>
      </c>
      <c r="O779" s="28"/>
      <c r="P779" s="29">
        <f t="shared" ref="P779:P842" si="285">P778+0.001</f>
        <v>0.77000000000000057</v>
      </c>
      <c r="Q779" s="33">
        <f t="shared" si="270"/>
        <v>6.7114093959731544</v>
      </c>
      <c r="R779" s="33">
        <f t="shared" si="271"/>
        <v>6.7114093959731544</v>
      </c>
      <c r="S779" s="33">
        <f t="shared" si="272"/>
        <v>-1</v>
      </c>
      <c r="T779" s="27"/>
      <c r="U779" s="28">
        <f t="shared" si="273"/>
        <v>0.10964912280701754</v>
      </c>
      <c r="V779" s="25">
        <f t="shared" si="274"/>
        <v>999</v>
      </c>
      <c r="W779" s="35">
        <f t="shared" ref="W779:W842" si="286">IF( AND(X779&gt;0, Y779&gt;0), IF(X779&lt;Y779, X779, Y779),  IF(X779&gt;0, X779, IF(Y779&gt;0, Y779, -1)) )</f>
        <v>25</v>
      </c>
      <c r="X779" s="33">
        <f t="shared" si="275"/>
        <v>25</v>
      </c>
      <c r="Y779" s="32">
        <f t="shared" si="276"/>
        <v>-1</v>
      </c>
      <c r="Z779" s="32"/>
      <c r="AA779" s="30">
        <f t="shared" si="277"/>
        <v>21.09300095877277</v>
      </c>
      <c r="AB779" s="28">
        <f t="shared" si="278"/>
        <v>0.67304073869331105</v>
      </c>
      <c r="AC779" s="28">
        <f t="shared" si="279"/>
        <v>0.10964912280701754</v>
      </c>
      <c r="AD779" s="29">
        <f t="shared" si="280"/>
        <v>730.55028462998098</v>
      </c>
      <c r="AE779" s="28">
        <f t="shared" si="281"/>
        <v>0.10964912280701754</v>
      </c>
      <c r="AF779" s="28">
        <f t="shared" si="282"/>
        <v>0.5633916158862935</v>
      </c>
      <c r="AG779" s="28">
        <f t="shared" si="283"/>
        <v>0</v>
      </c>
      <c r="AI779" s="31">
        <f t="shared" si="284"/>
        <v>3.3799942409129509</v>
      </c>
      <c r="AJ779" s="25"/>
      <c r="AK779" s="31"/>
      <c r="AM779" s="27"/>
    </row>
    <row r="780" spans="4:39" x14ac:dyDescent="0.25">
      <c r="D780" s="25">
        <f>E780*'Profit per cycles Model'!$I$113</f>
        <v>7710</v>
      </c>
      <c r="E780" s="25">
        <v>21.120394466511435</v>
      </c>
      <c r="F780" s="28">
        <f t="shared" si="265"/>
        <v>0.1297016861219196</v>
      </c>
      <c r="G780" s="28">
        <f>'Battery Pricing Model'!$C$17/D780</f>
        <v>0.1297016861219196</v>
      </c>
      <c r="H780" s="28">
        <f t="shared" si="266"/>
        <v>999</v>
      </c>
      <c r="I780" s="28"/>
      <c r="J780" s="34">
        <f>INDEX('Profit per cycles Model'!$I$149:$I$179, MATCH(TRUNC(E780, 0), 'Profit per cycles Model'!$H$149:$H$179, 0))</f>
        <v>0.67304073869331105</v>
      </c>
      <c r="K780" s="27">
        <f>AVERAGE($J$10:J1780)</f>
        <v>0.56883042089778579</v>
      </c>
      <c r="L780" s="28">
        <f t="shared" si="267"/>
        <v>0.43912873477586623</v>
      </c>
      <c r="M780" s="28">
        <f t="shared" si="268"/>
        <v>0.43912873477586623</v>
      </c>
      <c r="N780" s="28">
        <f t="shared" si="269"/>
        <v>999</v>
      </c>
      <c r="O780" s="28"/>
      <c r="P780" s="29">
        <f t="shared" si="285"/>
        <v>0.77100000000000057</v>
      </c>
      <c r="Q780" s="33">
        <f t="shared" si="270"/>
        <v>6.7114093959731544</v>
      </c>
      <c r="R780" s="33">
        <f t="shared" si="271"/>
        <v>6.7114093959731544</v>
      </c>
      <c r="S780" s="33">
        <f t="shared" si="272"/>
        <v>-1</v>
      </c>
      <c r="T780" s="27"/>
      <c r="U780" s="28">
        <f t="shared" si="273"/>
        <v>0.10964912280701754</v>
      </c>
      <c r="V780" s="25">
        <f t="shared" si="274"/>
        <v>999</v>
      </c>
      <c r="W780" s="35">
        <f t="shared" si="286"/>
        <v>25</v>
      </c>
      <c r="X780" s="33">
        <f t="shared" si="275"/>
        <v>25</v>
      </c>
      <c r="Y780" s="32">
        <f t="shared" si="276"/>
        <v>-1</v>
      </c>
      <c r="Z780" s="32"/>
      <c r="AA780" s="30">
        <f t="shared" si="277"/>
        <v>21.120394466511435</v>
      </c>
      <c r="AB780" s="28">
        <f t="shared" si="278"/>
        <v>0.67304073869331105</v>
      </c>
      <c r="AC780" s="28">
        <f t="shared" si="279"/>
        <v>0.10964912280701754</v>
      </c>
      <c r="AD780" s="29">
        <f t="shared" si="280"/>
        <v>731.49905123339659</v>
      </c>
      <c r="AE780" s="28">
        <f t="shared" si="281"/>
        <v>0.10964912280701754</v>
      </c>
      <c r="AF780" s="28">
        <f t="shared" si="282"/>
        <v>0.5633916158862935</v>
      </c>
      <c r="AG780" s="28">
        <f t="shared" si="283"/>
        <v>0</v>
      </c>
      <c r="AI780" s="31">
        <f t="shared" si="284"/>
        <v>3.3856825451219281</v>
      </c>
      <c r="AJ780" s="25"/>
      <c r="AK780" s="31"/>
      <c r="AM780" s="27"/>
    </row>
    <row r="781" spans="4:39" x14ac:dyDescent="0.25">
      <c r="D781" s="25">
        <f>E781*'Profit per cycles Model'!$I$113</f>
        <v>7720.0000000000009</v>
      </c>
      <c r="E781" s="25">
        <v>21.147787974250104</v>
      </c>
      <c r="F781" s="28">
        <f t="shared" si="265"/>
        <v>0.12953367875647667</v>
      </c>
      <c r="G781" s="28">
        <f>'Battery Pricing Model'!$C$17/D781</f>
        <v>0.12953367875647667</v>
      </c>
      <c r="H781" s="28">
        <f t="shared" si="266"/>
        <v>999</v>
      </c>
      <c r="I781" s="28"/>
      <c r="J781" s="34">
        <f>INDEX('Profit per cycles Model'!$I$149:$I$179, MATCH(TRUNC(E781, 0), 'Profit per cycles Model'!$H$149:$H$179, 0))</f>
        <v>0.67304073869331105</v>
      </c>
      <c r="K781" s="27">
        <f>AVERAGE($J$10:J1781)</f>
        <v>0.56883042089778579</v>
      </c>
      <c r="L781" s="28">
        <f t="shared" si="267"/>
        <v>0.43929674214130909</v>
      </c>
      <c r="M781" s="28">
        <f t="shared" si="268"/>
        <v>0.43929674214130909</v>
      </c>
      <c r="N781" s="28">
        <f t="shared" si="269"/>
        <v>999</v>
      </c>
      <c r="O781" s="28"/>
      <c r="P781" s="29">
        <f t="shared" si="285"/>
        <v>0.77200000000000057</v>
      </c>
      <c r="Q781" s="33">
        <f t="shared" si="270"/>
        <v>6.7114093959731544</v>
      </c>
      <c r="R781" s="33">
        <f t="shared" si="271"/>
        <v>6.7114093959731544</v>
      </c>
      <c r="S781" s="33">
        <f t="shared" si="272"/>
        <v>-1</v>
      </c>
      <c r="T781" s="27"/>
      <c r="U781" s="28">
        <f t="shared" si="273"/>
        <v>0.10964912280701754</v>
      </c>
      <c r="V781" s="25">
        <f t="shared" si="274"/>
        <v>999</v>
      </c>
      <c r="W781" s="35">
        <f t="shared" si="286"/>
        <v>25</v>
      </c>
      <c r="X781" s="33">
        <f t="shared" si="275"/>
        <v>25</v>
      </c>
      <c r="Y781" s="32">
        <f t="shared" si="276"/>
        <v>-1</v>
      </c>
      <c r="Z781" s="32"/>
      <c r="AA781" s="30">
        <f t="shared" si="277"/>
        <v>21.147787974250104</v>
      </c>
      <c r="AB781" s="28">
        <f t="shared" si="278"/>
        <v>0.67304073869331105</v>
      </c>
      <c r="AC781" s="28">
        <f t="shared" si="279"/>
        <v>0.10964912280701754</v>
      </c>
      <c r="AD781" s="29">
        <f t="shared" si="280"/>
        <v>732.44781783681219</v>
      </c>
      <c r="AE781" s="28">
        <f t="shared" si="281"/>
        <v>0.10964912280701754</v>
      </c>
      <c r="AF781" s="28">
        <f t="shared" si="282"/>
        <v>0.5633916158862935</v>
      </c>
      <c r="AG781" s="28">
        <f t="shared" si="283"/>
        <v>0</v>
      </c>
      <c r="AI781" s="31">
        <f t="shared" si="284"/>
        <v>3.3913708493309067</v>
      </c>
      <c r="AJ781" s="25"/>
      <c r="AK781" s="31"/>
      <c r="AM781" s="27"/>
    </row>
    <row r="782" spans="4:39" x14ac:dyDescent="0.25">
      <c r="D782" s="25">
        <f>E782*'Profit per cycles Model'!$I$113</f>
        <v>7730</v>
      </c>
      <c r="E782" s="25">
        <v>21.175181481988769</v>
      </c>
      <c r="F782" s="28">
        <f t="shared" si="265"/>
        <v>0.12936610608020699</v>
      </c>
      <c r="G782" s="28">
        <f>'Battery Pricing Model'!$C$17/D782</f>
        <v>0.12936610608020699</v>
      </c>
      <c r="H782" s="28">
        <f t="shared" si="266"/>
        <v>999</v>
      </c>
      <c r="I782" s="28"/>
      <c r="J782" s="34">
        <f>INDEX('Profit per cycles Model'!$I$149:$I$179, MATCH(TRUNC(E782, 0), 'Profit per cycles Model'!$H$149:$H$179, 0))</f>
        <v>0.67304073869331105</v>
      </c>
      <c r="K782" s="27">
        <f>AVERAGE($J$10:J1782)</f>
        <v>0.56883042089778579</v>
      </c>
      <c r="L782" s="28">
        <f t="shared" si="267"/>
        <v>0.4394643148175788</v>
      </c>
      <c r="M782" s="28">
        <f t="shared" si="268"/>
        <v>0.4394643148175788</v>
      </c>
      <c r="N782" s="28">
        <f t="shared" si="269"/>
        <v>999</v>
      </c>
      <c r="O782" s="28"/>
      <c r="P782" s="29">
        <f t="shared" si="285"/>
        <v>0.77300000000000058</v>
      </c>
      <c r="Q782" s="33">
        <f t="shared" si="270"/>
        <v>6.7114093959731544</v>
      </c>
      <c r="R782" s="33">
        <f t="shared" si="271"/>
        <v>6.7114093959731544</v>
      </c>
      <c r="S782" s="33">
        <f t="shared" si="272"/>
        <v>-1</v>
      </c>
      <c r="T782" s="27"/>
      <c r="U782" s="28">
        <f t="shared" si="273"/>
        <v>0.10964912280701754</v>
      </c>
      <c r="V782" s="25">
        <f t="shared" si="274"/>
        <v>999</v>
      </c>
      <c r="W782" s="35">
        <f t="shared" si="286"/>
        <v>25</v>
      </c>
      <c r="X782" s="33">
        <f t="shared" si="275"/>
        <v>25</v>
      </c>
      <c r="Y782" s="32">
        <f t="shared" si="276"/>
        <v>-1</v>
      </c>
      <c r="Z782" s="32"/>
      <c r="AA782" s="30">
        <f t="shared" si="277"/>
        <v>21.175181481988769</v>
      </c>
      <c r="AB782" s="28">
        <f t="shared" si="278"/>
        <v>0.67304073869331105</v>
      </c>
      <c r="AC782" s="28">
        <f t="shared" si="279"/>
        <v>0.10964912280701754</v>
      </c>
      <c r="AD782" s="29">
        <f t="shared" si="280"/>
        <v>733.3965844402278</v>
      </c>
      <c r="AE782" s="28">
        <f t="shared" si="281"/>
        <v>0.10964912280701754</v>
      </c>
      <c r="AF782" s="28">
        <f t="shared" si="282"/>
        <v>0.5633916158862935</v>
      </c>
      <c r="AG782" s="28">
        <f t="shared" si="283"/>
        <v>0</v>
      </c>
      <c r="AI782" s="31">
        <f t="shared" si="284"/>
        <v>3.397059153539884</v>
      </c>
      <c r="AJ782" s="25"/>
      <c r="AK782" s="31"/>
      <c r="AM782" s="27"/>
    </row>
    <row r="783" spans="4:39" x14ac:dyDescent="0.25">
      <c r="D783" s="25">
        <f>E783*'Profit per cycles Model'!$I$113</f>
        <v>7740</v>
      </c>
      <c r="E783" s="25">
        <v>21.202574989727434</v>
      </c>
      <c r="F783" s="28">
        <f t="shared" si="265"/>
        <v>0.12919896640826872</v>
      </c>
      <c r="G783" s="28">
        <f>'Battery Pricing Model'!$C$17/D783</f>
        <v>0.12919896640826872</v>
      </c>
      <c r="H783" s="28">
        <f t="shared" si="266"/>
        <v>999</v>
      </c>
      <c r="I783" s="28"/>
      <c r="J783" s="34">
        <f>INDEX('Profit per cycles Model'!$I$149:$I$179, MATCH(TRUNC(E783, 0), 'Profit per cycles Model'!$H$149:$H$179, 0))</f>
        <v>0.67304073869331105</v>
      </c>
      <c r="K783" s="27">
        <f>AVERAGE($J$10:J1783)</f>
        <v>0.56883042089778579</v>
      </c>
      <c r="L783" s="28">
        <f t="shared" si="267"/>
        <v>0.43963145448951707</v>
      </c>
      <c r="M783" s="28">
        <f t="shared" si="268"/>
        <v>0.43963145448951707</v>
      </c>
      <c r="N783" s="28">
        <f t="shared" si="269"/>
        <v>999</v>
      </c>
      <c r="O783" s="28"/>
      <c r="P783" s="29">
        <f t="shared" si="285"/>
        <v>0.77400000000000058</v>
      </c>
      <c r="Q783" s="33">
        <f t="shared" si="270"/>
        <v>6.7114093959731544</v>
      </c>
      <c r="R783" s="33">
        <f t="shared" si="271"/>
        <v>6.7114093959731544</v>
      </c>
      <c r="S783" s="33">
        <f t="shared" si="272"/>
        <v>-1</v>
      </c>
      <c r="T783" s="27"/>
      <c r="U783" s="28">
        <f t="shared" si="273"/>
        <v>0.10964912280701754</v>
      </c>
      <c r="V783" s="25">
        <f t="shared" si="274"/>
        <v>999</v>
      </c>
      <c r="W783" s="35">
        <f t="shared" si="286"/>
        <v>25</v>
      </c>
      <c r="X783" s="33">
        <f t="shared" si="275"/>
        <v>25</v>
      </c>
      <c r="Y783" s="32">
        <f t="shared" si="276"/>
        <v>-1</v>
      </c>
      <c r="Z783" s="32"/>
      <c r="AA783" s="30">
        <f t="shared" si="277"/>
        <v>21.202574989727434</v>
      </c>
      <c r="AB783" s="28">
        <f t="shared" si="278"/>
        <v>0.67304073869331105</v>
      </c>
      <c r="AC783" s="28">
        <f t="shared" si="279"/>
        <v>0.10964912280701754</v>
      </c>
      <c r="AD783" s="29">
        <f t="shared" si="280"/>
        <v>734.34535104364329</v>
      </c>
      <c r="AE783" s="28">
        <f t="shared" si="281"/>
        <v>0.10964912280701754</v>
      </c>
      <c r="AF783" s="28">
        <f t="shared" si="282"/>
        <v>0.5633916158862935</v>
      </c>
      <c r="AG783" s="28">
        <f t="shared" si="283"/>
        <v>0</v>
      </c>
      <c r="AI783" s="31">
        <f t="shared" si="284"/>
        <v>3.4027474577488626</v>
      </c>
      <c r="AJ783" s="25"/>
      <c r="AK783" s="31"/>
      <c r="AM783" s="27"/>
    </row>
    <row r="784" spans="4:39" x14ac:dyDescent="0.25">
      <c r="D784" s="25">
        <f>E784*'Profit per cycles Model'!$I$113</f>
        <v>7750</v>
      </c>
      <c r="E784" s="25">
        <v>21.2299684974661</v>
      </c>
      <c r="F784" s="28">
        <f t="shared" si="265"/>
        <v>0.12903225806451613</v>
      </c>
      <c r="G784" s="28">
        <f>'Battery Pricing Model'!$C$17/D784</f>
        <v>0.12903225806451613</v>
      </c>
      <c r="H784" s="28">
        <f t="shared" si="266"/>
        <v>999</v>
      </c>
      <c r="I784" s="28"/>
      <c r="J784" s="34">
        <f>INDEX('Profit per cycles Model'!$I$149:$I$179, MATCH(TRUNC(E784, 0), 'Profit per cycles Model'!$H$149:$H$179, 0))</f>
        <v>0.67304073869331105</v>
      </c>
      <c r="K784" s="27">
        <f>AVERAGE($J$10:J1784)</f>
        <v>0.56883042089778579</v>
      </c>
      <c r="L784" s="28">
        <f t="shared" si="267"/>
        <v>0.43979816283326967</v>
      </c>
      <c r="M784" s="28">
        <f t="shared" si="268"/>
        <v>0.43979816283326967</v>
      </c>
      <c r="N784" s="28">
        <f t="shared" si="269"/>
        <v>999</v>
      </c>
      <c r="O784" s="28"/>
      <c r="P784" s="29">
        <f t="shared" si="285"/>
        <v>0.77500000000000058</v>
      </c>
      <c r="Q784" s="33">
        <f t="shared" si="270"/>
        <v>6.7114093959731544</v>
      </c>
      <c r="R784" s="33">
        <f t="shared" si="271"/>
        <v>6.7114093959731544</v>
      </c>
      <c r="S784" s="33">
        <f t="shared" si="272"/>
        <v>-1</v>
      </c>
      <c r="T784" s="27"/>
      <c r="U784" s="28">
        <f t="shared" si="273"/>
        <v>0.10964912280701754</v>
      </c>
      <c r="V784" s="25">
        <f t="shared" si="274"/>
        <v>999</v>
      </c>
      <c r="W784" s="35">
        <f t="shared" si="286"/>
        <v>25</v>
      </c>
      <c r="X784" s="33">
        <f t="shared" si="275"/>
        <v>25</v>
      </c>
      <c r="Y784" s="32">
        <f t="shared" si="276"/>
        <v>-1</v>
      </c>
      <c r="Z784" s="32"/>
      <c r="AA784" s="30">
        <f t="shared" si="277"/>
        <v>21.2299684974661</v>
      </c>
      <c r="AB784" s="28">
        <f t="shared" si="278"/>
        <v>0.67304073869331105</v>
      </c>
      <c r="AC784" s="28">
        <f t="shared" si="279"/>
        <v>0.10964912280701754</v>
      </c>
      <c r="AD784" s="29">
        <f t="shared" si="280"/>
        <v>735.29411764705878</v>
      </c>
      <c r="AE784" s="28">
        <f t="shared" si="281"/>
        <v>0.10964912280701754</v>
      </c>
      <c r="AF784" s="28">
        <f t="shared" si="282"/>
        <v>0.5633916158862935</v>
      </c>
      <c r="AG784" s="28">
        <f t="shared" si="283"/>
        <v>0</v>
      </c>
      <c r="AI784" s="31">
        <f t="shared" si="284"/>
        <v>3.4084357619578398</v>
      </c>
      <c r="AJ784" s="25"/>
      <c r="AK784" s="31"/>
      <c r="AM784" s="27"/>
    </row>
    <row r="785" spans="4:39" x14ac:dyDescent="0.25">
      <c r="D785" s="25">
        <f>E785*'Profit per cycles Model'!$I$113</f>
        <v>7760</v>
      </c>
      <c r="E785" s="25">
        <v>21.257362005204765</v>
      </c>
      <c r="F785" s="28">
        <f t="shared" si="265"/>
        <v>0.12886597938144329</v>
      </c>
      <c r="G785" s="28">
        <f>'Battery Pricing Model'!$C$17/D785</f>
        <v>0.12886597938144329</v>
      </c>
      <c r="H785" s="28">
        <f t="shared" si="266"/>
        <v>999</v>
      </c>
      <c r="I785" s="28"/>
      <c r="J785" s="34">
        <f>INDEX('Profit per cycles Model'!$I$149:$I$179, MATCH(TRUNC(E785, 0), 'Profit per cycles Model'!$H$149:$H$179, 0))</f>
        <v>0.67304073869331105</v>
      </c>
      <c r="K785" s="27">
        <f>AVERAGE($J$10:J1785)</f>
        <v>0.56883042089778579</v>
      </c>
      <c r="L785" s="28">
        <f t="shared" si="267"/>
        <v>0.43996444151634251</v>
      </c>
      <c r="M785" s="28">
        <f t="shared" si="268"/>
        <v>0.43996444151634251</v>
      </c>
      <c r="N785" s="28">
        <f t="shared" si="269"/>
        <v>999</v>
      </c>
      <c r="O785" s="28"/>
      <c r="P785" s="29">
        <f t="shared" si="285"/>
        <v>0.77600000000000058</v>
      </c>
      <c r="Q785" s="33">
        <f t="shared" si="270"/>
        <v>6.7114093959731544</v>
      </c>
      <c r="R785" s="33">
        <f t="shared" si="271"/>
        <v>6.7114093959731544</v>
      </c>
      <c r="S785" s="33">
        <f t="shared" si="272"/>
        <v>-1</v>
      </c>
      <c r="T785" s="27"/>
      <c r="U785" s="28">
        <f t="shared" si="273"/>
        <v>0.10964912280701754</v>
      </c>
      <c r="V785" s="25">
        <f t="shared" si="274"/>
        <v>999</v>
      </c>
      <c r="W785" s="35">
        <f t="shared" si="286"/>
        <v>25</v>
      </c>
      <c r="X785" s="33">
        <f t="shared" si="275"/>
        <v>25</v>
      </c>
      <c r="Y785" s="32">
        <f t="shared" si="276"/>
        <v>-1</v>
      </c>
      <c r="Z785" s="32"/>
      <c r="AA785" s="30">
        <f t="shared" si="277"/>
        <v>21.257362005204765</v>
      </c>
      <c r="AB785" s="28">
        <f t="shared" si="278"/>
        <v>0.67304073869331105</v>
      </c>
      <c r="AC785" s="28">
        <f t="shared" si="279"/>
        <v>0.10964912280701754</v>
      </c>
      <c r="AD785" s="29">
        <f t="shared" si="280"/>
        <v>736.24288425047439</v>
      </c>
      <c r="AE785" s="28">
        <f t="shared" si="281"/>
        <v>0.10964912280701754</v>
      </c>
      <c r="AF785" s="28">
        <f t="shared" si="282"/>
        <v>0.5633916158862935</v>
      </c>
      <c r="AG785" s="28">
        <f t="shared" si="283"/>
        <v>0</v>
      </c>
      <c r="AI785" s="31">
        <f t="shared" si="284"/>
        <v>3.4141240661668184</v>
      </c>
      <c r="AJ785" s="25"/>
      <c r="AK785" s="31"/>
      <c r="AM785" s="27"/>
    </row>
    <row r="786" spans="4:39" x14ac:dyDescent="0.25">
      <c r="D786" s="25">
        <f>E786*'Profit per cycles Model'!$I$113</f>
        <v>7769.9999999999991</v>
      </c>
      <c r="E786" s="25">
        <v>21.28475551294343</v>
      </c>
      <c r="F786" s="28">
        <f t="shared" si="265"/>
        <v>0.1287001287001287</v>
      </c>
      <c r="G786" s="28">
        <f>'Battery Pricing Model'!$C$17/D786</f>
        <v>0.1287001287001287</v>
      </c>
      <c r="H786" s="28">
        <f t="shared" si="266"/>
        <v>999</v>
      </c>
      <c r="I786" s="28"/>
      <c r="J786" s="34">
        <f>INDEX('Profit per cycles Model'!$I$149:$I$179, MATCH(TRUNC(E786, 0), 'Profit per cycles Model'!$H$149:$H$179, 0))</f>
        <v>0.67304073869331105</v>
      </c>
      <c r="K786" s="27">
        <f>AVERAGE($J$10:J1786)</f>
        <v>0.56883042089778579</v>
      </c>
      <c r="L786" s="28">
        <f t="shared" si="267"/>
        <v>0.44013029219765709</v>
      </c>
      <c r="M786" s="28">
        <f t="shared" si="268"/>
        <v>0.44013029219765709</v>
      </c>
      <c r="N786" s="28">
        <f t="shared" si="269"/>
        <v>999</v>
      </c>
      <c r="O786" s="28"/>
      <c r="P786" s="29">
        <f t="shared" si="285"/>
        <v>0.77700000000000058</v>
      </c>
      <c r="Q786" s="33">
        <f t="shared" si="270"/>
        <v>6.7114093959731544</v>
      </c>
      <c r="R786" s="33">
        <f t="shared" si="271"/>
        <v>6.7114093959731544</v>
      </c>
      <c r="S786" s="33">
        <f t="shared" si="272"/>
        <v>-1</v>
      </c>
      <c r="T786" s="27"/>
      <c r="U786" s="28">
        <f t="shared" si="273"/>
        <v>0.10964912280701754</v>
      </c>
      <c r="V786" s="25">
        <f t="shared" si="274"/>
        <v>999</v>
      </c>
      <c r="W786" s="35">
        <f t="shared" si="286"/>
        <v>25</v>
      </c>
      <c r="X786" s="33">
        <f t="shared" si="275"/>
        <v>25</v>
      </c>
      <c r="Y786" s="32">
        <f t="shared" si="276"/>
        <v>-1</v>
      </c>
      <c r="Z786" s="32"/>
      <c r="AA786" s="30">
        <f t="shared" si="277"/>
        <v>21.28475551294343</v>
      </c>
      <c r="AB786" s="28">
        <f t="shared" si="278"/>
        <v>0.67304073869331105</v>
      </c>
      <c r="AC786" s="28">
        <f t="shared" si="279"/>
        <v>0.10964912280701754</v>
      </c>
      <c r="AD786" s="29">
        <f t="shared" si="280"/>
        <v>737.19165085388988</v>
      </c>
      <c r="AE786" s="28">
        <f t="shared" si="281"/>
        <v>0.10964912280701754</v>
      </c>
      <c r="AF786" s="28">
        <f t="shared" si="282"/>
        <v>0.5633916158862935</v>
      </c>
      <c r="AG786" s="28">
        <f t="shared" si="283"/>
        <v>0</v>
      </c>
      <c r="AI786" s="31">
        <f t="shared" si="284"/>
        <v>3.4198123703757957</v>
      </c>
      <c r="AJ786" s="25"/>
      <c r="AK786" s="31"/>
      <c r="AM786" s="27"/>
    </row>
    <row r="787" spans="4:39" x14ac:dyDescent="0.25">
      <c r="D787" s="25">
        <f>E787*'Profit per cycles Model'!$I$113</f>
        <v>7780.0000000000009</v>
      </c>
      <c r="E787" s="25">
        <v>21.312149020682099</v>
      </c>
      <c r="F787" s="28">
        <f t="shared" si="265"/>
        <v>0.12853470437017994</v>
      </c>
      <c r="G787" s="28">
        <f>'Battery Pricing Model'!$C$17/D787</f>
        <v>0.12853470437017994</v>
      </c>
      <c r="H787" s="28">
        <f t="shared" si="266"/>
        <v>999</v>
      </c>
      <c r="I787" s="28"/>
      <c r="J787" s="34">
        <f>INDEX('Profit per cycles Model'!$I$149:$I$179, MATCH(TRUNC(E787, 0), 'Profit per cycles Model'!$H$149:$H$179, 0))</f>
        <v>0.67304073869331105</v>
      </c>
      <c r="K787" s="27">
        <f>AVERAGE($J$10:J1787)</f>
        <v>0.56883042089778579</v>
      </c>
      <c r="L787" s="28">
        <f t="shared" si="267"/>
        <v>0.44029571652760585</v>
      </c>
      <c r="M787" s="28">
        <f t="shared" si="268"/>
        <v>0.44029571652760585</v>
      </c>
      <c r="N787" s="28">
        <f t="shared" si="269"/>
        <v>999</v>
      </c>
      <c r="O787" s="28"/>
      <c r="P787" s="29">
        <f t="shared" si="285"/>
        <v>0.77800000000000058</v>
      </c>
      <c r="Q787" s="33">
        <f t="shared" si="270"/>
        <v>6.7114093959731544</v>
      </c>
      <c r="R787" s="33">
        <f t="shared" si="271"/>
        <v>6.7114093959731544</v>
      </c>
      <c r="S787" s="33">
        <f t="shared" si="272"/>
        <v>-1</v>
      </c>
      <c r="T787" s="27"/>
      <c r="U787" s="28">
        <f t="shared" si="273"/>
        <v>0.10964912280701754</v>
      </c>
      <c r="V787" s="25">
        <f t="shared" si="274"/>
        <v>999</v>
      </c>
      <c r="W787" s="35">
        <f t="shared" si="286"/>
        <v>25</v>
      </c>
      <c r="X787" s="33">
        <f t="shared" si="275"/>
        <v>25</v>
      </c>
      <c r="Y787" s="32">
        <f t="shared" si="276"/>
        <v>-1</v>
      </c>
      <c r="Z787" s="32"/>
      <c r="AA787" s="30">
        <f t="shared" si="277"/>
        <v>21.312149020682099</v>
      </c>
      <c r="AB787" s="28">
        <f t="shared" si="278"/>
        <v>0.67304073869331105</v>
      </c>
      <c r="AC787" s="28">
        <f t="shared" si="279"/>
        <v>0.10964912280701754</v>
      </c>
      <c r="AD787" s="29">
        <f t="shared" si="280"/>
        <v>738.1404174573056</v>
      </c>
      <c r="AE787" s="28">
        <f t="shared" si="281"/>
        <v>0.10964912280701754</v>
      </c>
      <c r="AF787" s="28">
        <f t="shared" si="282"/>
        <v>0.5633916158862935</v>
      </c>
      <c r="AG787" s="28">
        <f t="shared" si="283"/>
        <v>0</v>
      </c>
      <c r="AI787" s="31">
        <f t="shared" si="284"/>
        <v>3.4255006745847738</v>
      </c>
      <c r="AJ787" s="25"/>
      <c r="AK787" s="31"/>
      <c r="AM787" s="27"/>
    </row>
    <row r="788" spans="4:39" x14ac:dyDescent="0.25">
      <c r="D788" s="25">
        <f>E788*'Profit per cycles Model'!$I$113</f>
        <v>7790</v>
      </c>
      <c r="E788" s="25">
        <v>21.339542528420765</v>
      </c>
      <c r="F788" s="28">
        <f t="shared" si="265"/>
        <v>0.12836970474967907</v>
      </c>
      <c r="G788" s="28">
        <f>'Battery Pricing Model'!$C$17/D788</f>
        <v>0.12836970474967907</v>
      </c>
      <c r="H788" s="28">
        <f t="shared" si="266"/>
        <v>999</v>
      </c>
      <c r="I788" s="28"/>
      <c r="J788" s="34">
        <f>INDEX('Profit per cycles Model'!$I$149:$I$179, MATCH(TRUNC(E788, 0), 'Profit per cycles Model'!$H$149:$H$179, 0))</f>
        <v>0.67304073869331105</v>
      </c>
      <c r="K788" s="27">
        <f>AVERAGE($J$10:J1788)</f>
        <v>0.56883042089778579</v>
      </c>
      <c r="L788" s="28">
        <f t="shared" si="267"/>
        <v>0.44046071614810672</v>
      </c>
      <c r="M788" s="28">
        <f t="shared" si="268"/>
        <v>0.44046071614810672</v>
      </c>
      <c r="N788" s="28">
        <f t="shared" si="269"/>
        <v>999</v>
      </c>
      <c r="O788" s="28"/>
      <c r="P788" s="29">
        <f t="shared" si="285"/>
        <v>0.77900000000000058</v>
      </c>
      <c r="Q788" s="33">
        <f t="shared" si="270"/>
        <v>6.7114093959731544</v>
      </c>
      <c r="R788" s="33">
        <f t="shared" si="271"/>
        <v>6.7114093959731544</v>
      </c>
      <c r="S788" s="33">
        <f t="shared" si="272"/>
        <v>-1</v>
      </c>
      <c r="T788" s="27"/>
      <c r="U788" s="28">
        <f t="shared" si="273"/>
        <v>0.10964912280701754</v>
      </c>
      <c r="V788" s="25">
        <f t="shared" si="274"/>
        <v>999</v>
      </c>
      <c r="W788" s="35">
        <f t="shared" si="286"/>
        <v>25</v>
      </c>
      <c r="X788" s="33">
        <f t="shared" si="275"/>
        <v>25</v>
      </c>
      <c r="Y788" s="32">
        <f t="shared" si="276"/>
        <v>-1</v>
      </c>
      <c r="Z788" s="32"/>
      <c r="AA788" s="30">
        <f t="shared" si="277"/>
        <v>21.339542528420765</v>
      </c>
      <c r="AB788" s="28">
        <f t="shared" si="278"/>
        <v>0.67304073869331105</v>
      </c>
      <c r="AC788" s="28">
        <f t="shared" si="279"/>
        <v>0.10964912280701754</v>
      </c>
      <c r="AD788" s="29">
        <f t="shared" si="280"/>
        <v>739.0891840607211</v>
      </c>
      <c r="AE788" s="28">
        <f t="shared" si="281"/>
        <v>0.10964912280701754</v>
      </c>
      <c r="AF788" s="28">
        <f t="shared" si="282"/>
        <v>0.5633916158862935</v>
      </c>
      <c r="AG788" s="28">
        <f t="shared" si="283"/>
        <v>0</v>
      </c>
      <c r="AI788" s="31">
        <f t="shared" si="284"/>
        <v>3.4311889787937515</v>
      </c>
      <c r="AJ788" s="25"/>
      <c r="AK788" s="31"/>
      <c r="AM788" s="27"/>
    </row>
    <row r="789" spans="4:39" x14ac:dyDescent="0.25">
      <c r="D789" s="25">
        <f>E789*'Profit per cycles Model'!$I$113</f>
        <v>7800</v>
      </c>
      <c r="E789" s="25">
        <v>21.36693603615943</v>
      </c>
      <c r="F789" s="28">
        <f t="shared" si="265"/>
        <v>0.12820512820512819</v>
      </c>
      <c r="G789" s="28">
        <f>'Battery Pricing Model'!$C$17/D789</f>
        <v>0.12820512820512819</v>
      </c>
      <c r="H789" s="28">
        <f t="shared" si="266"/>
        <v>999</v>
      </c>
      <c r="I789" s="28"/>
      <c r="J789" s="34">
        <f>INDEX('Profit per cycles Model'!$I$149:$I$179, MATCH(TRUNC(E789, 0), 'Profit per cycles Model'!$H$149:$H$179, 0))</f>
        <v>0.67304073869331105</v>
      </c>
      <c r="K789" s="27">
        <f>AVERAGE($J$10:J1789)</f>
        <v>0.56883042089778579</v>
      </c>
      <c r="L789" s="28">
        <f t="shared" si="267"/>
        <v>0.4406252926926576</v>
      </c>
      <c r="M789" s="28">
        <f t="shared" si="268"/>
        <v>0.4406252926926576</v>
      </c>
      <c r="N789" s="28">
        <f t="shared" si="269"/>
        <v>999</v>
      </c>
      <c r="O789" s="28"/>
      <c r="P789" s="29">
        <f t="shared" si="285"/>
        <v>0.78000000000000058</v>
      </c>
      <c r="Q789" s="33">
        <f t="shared" si="270"/>
        <v>6.7114093959731544</v>
      </c>
      <c r="R789" s="33">
        <f t="shared" si="271"/>
        <v>6.7114093959731544</v>
      </c>
      <c r="S789" s="33">
        <f t="shared" si="272"/>
        <v>-1</v>
      </c>
      <c r="T789" s="27"/>
      <c r="U789" s="28">
        <f t="shared" si="273"/>
        <v>0.10964912280701754</v>
      </c>
      <c r="V789" s="25">
        <f t="shared" si="274"/>
        <v>999</v>
      </c>
      <c r="W789" s="35">
        <f t="shared" si="286"/>
        <v>25</v>
      </c>
      <c r="X789" s="33">
        <f t="shared" si="275"/>
        <v>25</v>
      </c>
      <c r="Y789" s="32">
        <f t="shared" si="276"/>
        <v>-1</v>
      </c>
      <c r="Z789" s="32"/>
      <c r="AA789" s="30">
        <f t="shared" si="277"/>
        <v>21.36693603615943</v>
      </c>
      <c r="AB789" s="28">
        <f t="shared" si="278"/>
        <v>0.67304073869331105</v>
      </c>
      <c r="AC789" s="28">
        <f t="shared" si="279"/>
        <v>0.10964912280701754</v>
      </c>
      <c r="AD789" s="29">
        <f t="shared" si="280"/>
        <v>740.0379506641367</v>
      </c>
      <c r="AE789" s="28">
        <f t="shared" si="281"/>
        <v>0.10964912280701754</v>
      </c>
      <c r="AF789" s="28">
        <f t="shared" si="282"/>
        <v>0.5633916158862935</v>
      </c>
      <c r="AG789" s="28">
        <f t="shared" si="283"/>
        <v>0</v>
      </c>
      <c r="AI789" s="31">
        <f t="shared" si="284"/>
        <v>3.4368772830027297</v>
      </c>
      <c r="AJ789" s="25"/>
      <c r="AK789" s="31"/>
      <c r="AM789" s="27"/>
    </row>
    <row r="790" spans="4:39" x14ac:dyDescent="0.25">
      <c r="D790" s="25">
        <f>E790*'Profit per cycles Model'!$I$113</f>
        <v>7810</v>
      </c>
      <c r="E790" s="25">
        <v>21.394329543898095</v>
      </c>
      <c r="F790" s="28">
        <f t="shared" si="265"/>
        <v>0.12804097311139565</v>
      </c>
      <c r="G790" s="28">
        <f>'Battery Pricing Model'!$C$17/D790</f>
        <v>0.12804097311139565</v>
      </c>
      <c r="H790" s="28">
        <f t="shared" si="266"/>
        <v>999</v>
      </c>
      <c r="I790" s="28"/>
      <c r="J790" s="34">
        <f>INDEX('Profit per cycles Model'!$I$149:$I$179, MATCH(TRUNC(E790, 0), 'Profit per cycles Model'!$H$149:$H$179, 0))</f>
        <v>0.67304073869331105</v>
      </c>
      <c r="K790" s="27">
        <f>AVERAGE($J$10:J1790)</f>
        <v>0.56883042089778579</v>
      </c>
      <c r="L790" s="28">
        <f t="shared" si="267"/>
        <v>0.44078944778639018</v>
      </c>
      <c r="M790" s="28">
        <f t="shared" si="268"/>
        <v>0.44078944778639018</v>
      </c>
      <c r="N790" s="28">
        <f t="shared" si="269"/>
        <v>999</v>
      </c>
      <c r="O790" s="28"/>
      <c r="P790" s="29">
        <f t="shared" si="285"/>
        <v>0.78100000000000058</v>
      </c>
      <c r="Q790" s="33">
        <f t="shared" si="270"/>
        <v>6.7114093959731544</v>
      </c>
      <c r="R790" s="33">
        <f t="shared" si="271"/>
        <v>6.7114093959731544</v>
      </c>
      <c r="S790" s="33">
        <f t="shared" si="272"/>
        <v>-1</v>
      </c>
      <c r="T790" s="27"/>
      <c r="U790" s="28">
        <f t="shared" si="273"/>
        <v>0.10964912280701754</v>
      </c>
      <c r="V790" s="25">
        <f t="shared" si="274"/>
        <v>999</v>
      </c>
      <c r="W790" s="35">
        <f t="shared" si="286"/>
        <v>25</v>
      </c>
      <c r="X790" s="33">
        <f t="shared" si="275"/>
        <v>25</v>
      </c>
      <c r="Y790" s="32">
        <f t="shared" si="276"/>
        <v>-1</v>
      </c>
      <c r="Z790" s="32"/>
      <c r="AA790" s="30">
        <f t="shared" si="277"/>
        <v>21.394329543898095</v>
      </c>
      <c r="AB790" s="28">
        <f t="shared" si="278"/>
        <v>0.67304073869331105</v>
      </c>
      <c r="AC790" s="28">
        <f t="shared" si="279"/>
        <v>0.10964912280701754</v>
      </c>
      <c r="AD790" s="29">
        <f t="shared" si="280"/>
        <v>740.98671726755219</v>
      </c>
      <c r="AE790" s="28">
        <f t="shared" si="281"/>
        <v>0.10964912280701754</v>
      </c>
      <c r="AF790" s="28">
        <f t="shared" si="282"/>
        <v>0.5633916158862935</v>
      </c>
      <c r="AG790" s="28">
        <f t="shared" si="283"/>
        <v>0</v>
      </c>
      <c r="AI790" s="31">
        <f t="shared" si="284"/>
        <v>3.4425655872117074</v>
      </c>
      <c r="AJ790" s="25"/>
      <c r="AK790" s="31"/>
      <c r="AM790" s="27"/>
    </row>
    <row r="791" spans="4:39" x14ac:dyDescent="0.25">
      <c r="D791" s="25">
        <f>E791*'Profit per cycles Model'!$I$113</f>
        <v>7820</v>
      </c>
      <c r="E791" s="25">
        <v>21.421723051636761</v>
      </c>
      <c r="F791" s="28">
        <f t="shared" si="265"/>
        <v>0.12787723785166241</v>
      </c>
      <c r="G791" s="28">
        <f>'Battery Pricing Model'!$C$17/D791</f>
        <v>0.12787723785166241</v>
      </c>
      <c r="H791" s="28">
        <f t="shared" si="266"/>
        <v>999</v>
      </c>
      <c r="I791" s="28"/>
      <c r="J791" s="34">
        <f>INDEX('Profit per cycles Model'!$I$149:$I$179, MATCH(TRUNC(E791, 0), 'Profit per cycles Model'!$H$149:$H$179, 0))</f>
        <v>0.67304073869331105</v>
      </c>
      <c r="K791" s="27">
        <f>AVERAGE($J$10:J1791)</f>
        <v>0.56883042089778579</v>
      </c>
      <c r="L791" s="28">
        <f t="shared" si="267"/>
        <v>0.44095318304612341</v>
      </c>
      <c r="M791" s="28">
        <f t="shared" si="268"/>
        <v>0.44095318304612341</v>
      </c>
      <c r="N791" s="28">
        <f t="shared" si="269"/>
        <v>999</v>
      </c>
      <c r="O791" s="28"/>
      <c r="P791" s="29">
        <f t="shared" si="285"/>
        <v>0.78200000000000058</v>
      </c>
      <c r="Q791" s="33">
        <f t="shared" si="270"/>
        <v>6.7114093959731544</v>
      </c>
      <c r="R791" s="33">
        <f t="shared" si="271"/>
        <v>6.7114093959731544</v>
      </c>
      <c r="S791" s="33">
        <f t="shared" si="272"/>
        <v>-1</v>
      </c>
      <c r="T791" s="27"/>
      <c r="U791" s="28">
        <f t="shared" si="273"/>
        <v>0.10964912280701754</v>
      </c>
      <c r="V791" s="25">
        <f t="shared" si="274"/>
        <v>999</v>
      </c>
      <c r="W791" s="35">
        <f t="shared" si="286"/>
        <v>25</v>
      </c>
      <c r="X791" s="33">
        <f t="shared" si="275"/>
        <v>25</v>
      </c>
      <c r="Y791" s="32">
        <f t="shared" si="276"/>
        <v>-1</v>
      </c>
      <c r="Z791" s="32"/>
      <c r="AA791" s="30">
        <f t="shared" si="277"/>
        <v>21.421723051636761</v>
      </c>
      <c r="AB791" s="28">
        <f t="shared" si="278"/>
        <v>0.67304073869331105</v>
      </c>
      <c r="AC791" s="28">
        <f t="shared" si="279"/>
        <v>0.10964912280701754</v>
      </c>
      <c r="AD791" s="29">
        <f t="shared" si="280"/>
        <v>741.93548387096769</v>
      </c>
      <c r="AE791" s="28">
        <f t="shared" si="281"/>
        <v>0.10964912280701754</v>
      </c>
      <c r="AF791" s="28">
        <f t="shared" si="282"/>
        <v>0.5633916158862935</v>
      </c>
      <c r="AG791" s="28">
        <f t="shared" si="283"/>
        <v>0</v>
      </c>
      <c r="AI791" s="31">
        <f t="shared" si="284"/>
        <v>3.4482538914206851</v>
      </c>
      <c r="AJ791" s="25"/>
      <c r="AK791" s="31"/>
      <c r="AM791" s="27"/>
    </row>
    <row r="792" spans="4:39" x14ac:dyDescent="0.25">
      <c r="D792" s="25">
        <f>E792*'Profit per cycles Model'!$I$113</f>
        <v>7829.9999999999991</v>
      </c>
      <c r="E792" s="25">
        <v>21.449116559375426</v>
      </c>
      <c r="F792" s="28">
        <f t="shared" si="265"/>
        <v>0.1277139208173691</v>
      </c>
      <c r="G792" s="28">
        <f>'Battery Pricing Model'!$C$17/D792</f>
        <v>0.1277139208173691</v>
      </c>
      <c r="H792" s="28">
        <f t="shared" si="266"/>
        <v>999</v>
      </c>
      <c r="I792" s="28"/>
      <c r="J792" s="34">
        <f>INDEX('Profit per cycles Model'!$I$149:$I$179, MATCH(TRUNC(E792, 0), 'Profit per cycles Model'!$H$149:$H$179, 0))</f>
        <v>0.67304073869331105</v>
      </c>
      <c r="K792" s="27">
        <f>AVERAGE($J$10:J1792)</f>
        <v>0.56883042089778579</v>
      </c>
      <c r="L792" s="28">
        <f t="shared" si="267"/>
        <v>0.4411165000804167</v>
      </c>
      <c r="M792" s="28">
        <f t="shared" si="268"/>
        <v>0.4411165000804167</v>
      </c>
      <c r="N792" s="28">
        <f t="shared" si="269"/>
        <v>999</v>
      </c>
      <c r="O792" s="28"/>
      <c r="P792" s="29">
        <f t="shared" si="285"/>
        <v>0.78300000000000058</v>
      </c>
      <c r="Q792" s="33">
        <f t="shared" si="270"/>
        <v>6.7114093959731544</v>
      </c>
      <c r="R792" s="33">
        <f t="shared" si="271"/>
        <v>6.7114093959731544</v>
      </c>
      <c r="S792" s="33">
        <f t="shared" si="272"/>
        <v>-1</v>
      </c>
      <c r="T792" s="27"/>
      <c r="U792" s="28">
        <f t="shared" si="273"/>
        <v>0.10964912280701754</v>
      </c>
      <c r="V792" s="25">
        <f t="shared" si="274"/>
        <v>999</v>
      </c>
      <c r="W792" s="35">
        <f t="shared" si="286"/>
        <v>25</v>
      </c>
      <c r="X792" s="33">
        <f t="shared" si="275"/>
        <v>25</v>
      </c>
      <c r="Y792" s="32">
        <f t="shared" si="276"/>
        <v>-1</v>
      </c>
      <c r="Z792" s="32"/>
      <c r="AA792" s="30">
        <f t="shared" si="277"/>
        <v>21.449116559375426</v>
      </c>
      <c r="AB792" s="28">
        <f t="shared" si="278"/>
        <v>0.67304073869331105</v>
      </c>
      <c r="AC792" s="28">
        <f t="shared" si="279"/>
        <v>0.10964912280701754</v>
      </c>
      <c r="AD792" s="29">
        <f t="shared" si="280"/>
        <v>742.88425047438329</v>
      </c>
      <c r="AE792" s="28">
        <f t="shared" si="281"/>
        <v>0.10964912280701754</v>
      </c>
      <c r="AF792" s="28">
        <f t="shared" si="282"/>
        <v>0.5633916158862935</v>
      </c>
      <c r="AG792" s="28">
        <f t="shared" si="283"/>
        <v>0</v>
      </c>
      <c r="AI792" s="31">
        <f t="shared" si="284"/>
        <v>3.4539421956296628</v>
      </c>
      <c r="AJ792" s="25"/>
      <c r="AK792" s="31"/>
      <c r="AM792" s="27"/>
    </row>
    <row r="793" spans="4:39" x14ac:dyDescent="0.25">
      <c r="D793" s="25">
        <f>E793*'Profit per cycles Model'!$I$113</f>
        <v>7840.0000000000009</v>
      </c>
      <c r="E793" s="25">
        <v>21.476510067114095</v>
      </c>
      <c r="F793" s="28">
        <f t="shared" si="265"/>
        <v>0.12755102040816324</v>
      </c>
      <c r="G793" s="28">
        <f>'Battery Pricing Model'!$C$17/D793</f>
        <v>0.12755102040816324</v>
      </c>
      <c r="H793" s="28">
        <f t="shared" si="266"/>
        <v>999</v>
      </c>
      <c r="I793" s="28"/>
      <c r="J793" s="34">
        <f>INDEX('Profit per cycles Model'!$I$149:$I$179, MATCH(TRUNC(E793, 0), 'Profit per cycles Model'!$H$149:$H$179, 0))</f>
        <v>0.67304073869331105</v>
      </c>
      <c r="K793" s="27">
        <f>AVERAGE($J$10:J1793)</f>
        <v>0.56883042089778579</v>
      </c>
      <c r="L793" s="28">
        <f t="shared" si="267"/>
        <v>0.44127940048962255</v>
      </c>
      <c r="M793" s="28">
        <f t="shared" si="268"/>
        <v>0.44127940048962255</v>
      </c>
      <c r="N793" s="28">
        <f t="shared" si="269"/>
        <v>999</v>
      </c>
      <c r="O793" s="28"/>
      <c r="P793" s="29">
        <f t="shared" si="285"/>
        <v>0.78400000000000059</v>
      </c>
      <c r="Q793" s="33">
        <f t="shared" si="270"/>
        <v>6.7114093959731544</v>
      </c>
      <c r="R793" s="33">
        <f t="shared" si="271"/>
        <v>6.7114093959731544</v>
      </c>
      <c r="S793" s="33">
        <f t="shared" si="272"/>
        <v>-1</v>
      </c>
      <c r="T793" s="27"/>
      <c r="U793" s="28">
        <f t="shared" si="273"/>
        <v>0.10964912280701754</v>
      </c>
      <c r="V793" s="25">
        <f t="shared" si="274"/>
        <v>999</v>
      </c>
      <c r="W793" s="35">
        <f t="shared" si="286"/>
        <v>25</v>
      </c>
      <c r="X793" s="33">
        <f t="shared" si="275"/>
        <v>25</v>
      </c>
      <c r="Y793" s="32">
        <f t="shared" si="276"/>
        <v>-1</v>
      </c>
      <c r="Z793" s="32"/>
      <c r="AA793" s="30">
        <f t="shared" si="277"/>
        <v>21.476510067114095</v>
      </c>
      <c r="AB793" s="28">
        <f t="shared" si="278"/>
        <v>0.67304073869331105</v>
      </c>
      <c r="AC793" s="28">
        <f t="shared" si="279"/>
        <v>0.10964912280701754</v>
      </c>
      <c r="AD793" s="29">
        <f t="shared" si="280"/>
        <v>743.8330170777989</v>
      </c>
      <c r="AE793" s="28">
        <f t="shared" si="281"/>
        <v>0.10964912280701754</v>
      </c>
      <c r="AF793" s="28">
        <f t="shared" si="282"/>
        <v>0.5633916158862935</v>
      </c>
      <c r="AG793" s="28">
        <f t="shared" si="283"/>
        <v>0</v>
      </c>
      <c r="AI793" s="31">
        <f t="shared" si="284"/>
        <v>3.4596304998386413</v>
      </c>
      <c r="AJ793" s="25"/>
      <c r="AK793" s="31"/>
      <c r="AM793" s="27"/>
    </row>
    <row r="794" spans="4:39" x14ac:dyDescent="0.25">
      <c r="D794" s="25">
        <f>E794*'Profit per cycles Model'!$I$113</f>
        <v>7850</v>
      </c>
      <c r="E794" s="25">
        <v>21.50390357485276</v>
      </c>
      <c r="F794" s="28">
        <f t="shared" si="265"/>
        <v>0.12738853503184713</v>
      </c>
      <c r="G794" s="28">
        <f>'Battery Pricing Model'!$C$17/D794</f>
        <v>0.12738853503184713</v>
      </c>
      <c r="H794" s="28">
        <f t="shared" si="266"/>
        <v>999</v>
      </c>
      <c r="I794" s="28"/>
      <c r="J794" s="34">
        <f>INDEX('Profit per cycles Model'!$I$149:$I$179, MATCH(TRUNC(E794, 0), 'Profit per cycles Model'!$H$149:$H$179, 0))</f>
        <v>0.67304073869331105</v>
      </c>
      <c r="K794" s="27">
        <f>AVERAGE($J$10:J1794)</f>
        <v>0.56883042089778579</v>
      </c>
      <c r="L794" s="28">
        <f t="shared" si="267"/>
        <v>0.44144188586593869</v>
      </c>
      <c r="M794" s="28">
        <f t="shared" si="268"/>
        <v>0.44144188586593869</v>
      </c>
      <c r="N794" s="28">
        <f t="shared" si="269"/>
        <v>999</v>
      </c>
      <c r="O794" s="28"/>
      <c r="P794" s="29">
        <f t="shared" si="285"/>
        <v>0.78500000000000059</v>
      </c>
      <c r="Q794" s="33">
        <f t="shared" si="270"/>
        <v>6.7114093959731544</v>
      </c>
      <c r="R794" s="33">
        <f t="shared" si="271"/>
        <v>6.7114093959731544</v>
      </c>
      <c r="S794" s="33">
        <f t="shared" si="272"/>
        <v>-1</v>
      </c>
      <c r="T794" s="27"/>
      <c r="U794" s="28">
        <f t="shared" si="273"/>
        <v>0.10964912280701754</v>
      </c>
      <c r="V794" s="25">
        <f t="shared" si="274"/>
        <v>999</v>
      </c>
      <c r="W794" s="35">
        <f t="shared" si="286"/>
        <v>25</v>
      </c>
      <c r="X794" s="33">
        <f t="shared" si="275"/>
        <v>25</v>
      </c>
      <c r="Y794" s="32">
        <f t="shared" si="276"/>
        <v>-1</v>
      </c>
      <c r="Z794" s="32"/>
      <c r="AA794" s="30">
        <f t="shared" si="277"/>
        <v>21.50390357485276</v>
      </c>
      <c r="AB794" s="28">
        <f t="shared" si="278"/>
        <v>0.67304073869331105</v>
      </c>
      <c r="AC794" s="28">
        <f t="shared" si="279"/>
        <v>0.10964912280701754</v>
      </c>
      <c r="AD794" s="29">
        <f t="shared" si="280"/>
        <v>744.78178368121451</v>
      </c>
      <c r="AE794" s="28">
        <f t="shared" si="281"/>
        <v>0.10964912280701754</v>
      </c>
      <c r="AF794" s="28">
        <f t="shared" si="282"/>
        <v>0.5633916158862935</v>
      </c>
      <c r="AG794" s="28">
        <f t="shared" si="283"/>
        <v>0</v>
      </c>
      <c r="AI794" s="31">
        <f t="shared" si="284"/>
        <v>3.4653188040476186</v>
      </c>
      <c r="AJ794" s="25"/>
      <c r="AK794" s="31"/>
      <c r="AM794" s="27"/>
    </row>
    <row r="795" spans="4:39" x14ac:dyDescent="0.25">
      <c r="D795" s="25">
        <f>E795*'Profit per cycles Model'!$I$113</f>
        <v>7860</v>
      </c>
      <c r="E795" s="25">
        <v>21.531297082591426</v>
      </c>
      <c r="F795" s="28">
        <f t="shared" si="265"/>
        <v>0.1272264631043257</v>
      </c>
      <c r="G795" s="28">
        <f>'Battery Pricing Model'!$C$17/D795</f>
        <v>0.1272264631043257</v>
      </c>
      <c r="H795" s="28">
        <f t="shared" si="266"/>
        <v>999</v>
      </c>
      <c r="I795" s="28"/>
      <c r="J795" s="34">
        <f>INDEX('Profit per cycles Model'!$I$149:$I$179, MATCH(TRUNC(E795, 0), 'Profit per cycles Model'!$H$149:$H$179, 0))</f>
        <v>0.67304073869331105</v>
      </c>
      <c r="K795" s="27">
        <f>AVERAGE($J$10:J1795)</f>
        <v>0.56883042089778579</v>
      </c>
      <c r="L795" s="28">
        <f t="shared" si="267"/>
        <v>0.44160395779346007</v>
      </c>
      <c r="M795" s="28">
        <f t="shared" si="268"/>
        <v>0.44160395779346007</v>
      </c>
      <c r="N795" s="28">
        <f t="shared" si="269"/>
        <v>999</v>
      </c>
      <c r="O795" s="28"/>
      <c r="P795" s="29">
        <f t="shared" si="285"/>
        <v>0.78600000000000059</v>
      </c>
      <c r="Q795" s="33">
        <f t="shared" si="270"/>
        <v>6.7114093959731544</v>
      </c>
      <c r="R795" s="33">
        <f t="shared" si="271"/>
        <v>6.7114093959731544</v>
      </c>
      <c r="S795" s="33">
        <f t="shared" si="272"/>
        <v>-1</v>
      </c>
      <c r="T795" s="27"/>
      <c r="U795" s="28">
        <f t="shared" si="273"/>
        <v>0.10964912280701754</v>
      </c>
      <c r="V795" s="25">
        <f t="shared" si="274"/>
        <v>999</v>
      </c>
      <c r="W795" s="35">
        <f t="shared" si="286"/>
        <v>25</v>
      </c>
      <c r="X795" s="33">
        <f t="shared" si="275"/>
        <v>25</v>
      </c>
      <c r="Y795" s="32">
        <f t="shared" si="276"/>
        <v>-1</v>
      </c>
      <c r="Z795" s="32"/>
      <c r="AA795" s="30">
        <f t="shared" si="277"/>
        <v>21.531297082591426</v>
      </c>
      <c r="AB795" s="28">
        <f t="shared" si="278"/>
        <v>0.67304073869331105</v>
      </c>
      <c r="AC795" s="28">
        <f t="shared" si="279"/>
        <v>0.10964912280701754</v>
      </c>
      <c r="AD795" s="29">
        <f t="shared" si="280"/>
        <v>745.73055028463011</v>
      </c>
      <c r="AE795" s="28">
        <f t="shared" si="281"/>
        <v>0.10964912280701754</v>
      </c>
      <c r="AF795" s="28">
        <f t="shared" si="282"/>
        <v>0.5633916158862935</v>
      </c>
      <c r="AG795" s="28">
        <f t="shared" si="283"/>
        <v>0</v>
      </c>
      <c r="AI795" s="31">
        <f t="shared" si="284"/>
        <v>3.4710071082565963</v>
      </c>
      <c r="AJ795" s="25"/>
      <c r="AK795" s="31"/>
      <c r="AM795" s="27"/>
    </row>
    <row r="796" spans="4:39" x14ac:dyDescent="0.25">
      <c r="D796" s="25">
        <f>E796*'Profit per cycles Model'!$I$113</f>
        <v>7870</v>
      </c>
      <c r="E796" s="25">
        <v>21.558690590330091</v>
      </c>
      <c r="F796" s="28">
        <f t="shared" si="265"/>
        <v>0.12706480304955528</v>
      </c>
      <c r="G796" s="28">
        <f>'Battery Pricing Model'!$C$17/D796</f>
        <v>0.12706480304955528</v>
      </c>
      <c r="H796" s="28">
        <f t="shared" si="266"/>
        <v>999</v>
      </c>
      <c r="I796" s="28"/>
      <c r="J796" s="34">
        <f>INDEX('Profit per cycles Model'!$I$149:$I$179, MATCH(TRUNC(E796, 0), 'Profit per cycles Model'!$H$149:$H$179, 0))</f>
        <v>0.67304073869331105</v>
      </c>
      <c r="K796" s="27">
        <f>AVERAGE($J$10:J1796)</f>
        <v>0.56883042089778579</v>
      </c>
      <c r="L796" s="28">
        <f t="shared" si="267"/>
        <v>0.44176561784823054</v>
      </c>
      <c r="M796" s="28">
        <f t="shared" si="268"/>
        <v>0.44176561784823054</v>
      </c>
      <c r="N796" s="28">
        <f t="shared" si="269"/>
        <v>999</v>
      </c>
      <c r="O796" s="28"/>
      <c r="P796" s="29">
        <f t="shared" si="285"/>
        <v>0.78700000000000059</v>
      </c>
      <c r="Q796" s="33">
        <f t="shared" si="270"/>
        <v>6.7114093959731544</v>
      </c>
      <c r="R796" s="33">
        <f t="shared" si="271"/>
        <v>6.7114093959731544</v>
      </c>
      <c r="S796" s="33">
        <f t="shared" si="272"/>
        <v>-1</v>
      </c>
      <c r="T796" s="27"/>
      <c r="U796" s="28">
        <f t="shared" si="273"/>
        <v>0.10964912280701754</v>
      </c>
      <c r="V796" s="25">
        <f t="shared" si="274"/>
        <v>999</v>
      </c>
      <c r="W796" s="35">
        <f t="shared" si="286"/>
        <v>25</v>
      </c>
      <c r="X796" s="33">
        <f t="shared" si="275"/>
        <v>25</v>
      </c>
      <c r="Y796" s="32">
        <f t="shared" si="276"/>
        <v>-1</v>
      </c>
      <c r="Z796" s="32"/>
      <c r="AA796" s="30">
        <f t="shared" si="277"/>
        <v>21.558690590330091</v>
      </c>
      <c r="AB796" s="28">
        <f t="shared" si="278"/>
        <v>0.67304073869331105</v>
      </c>
      <c r="AC796" s="28">
        <f t="shared" si="279"/>
        <v>0.10964912280701754</v>
      </c>
      <c r="AD796" s="29">
        <f t="shared" si="280"/>
        <v>746.67931688804549</v>
      </c>
      <c r="AE796" s="28">
        <f t="shared" si="281"/>
        <v>0.10964912280701754</v>
      </c>
      <c r="AF796" s="28">
        <f t="shared" si="282"/>
        <v>0.5633916158862935</v>
      </c>
      <c r="AG796" s="28">
        <f t="shared" si="283"/>
        <v>0</v>
      </c>
      <c r="AI796" s="31">
        <f t="shared" si="284"/>
        <v>3.476695412465574</v>
      </c>
      <c r="AJ796" s="25"/>
      <c r="AK796" s="31"/>
      <c r="AM796" s="27"/>
    </row>
    <row r="797" spans="4:39" x14ac:dyDescent="0.25">
      <c r="D797" s="25">
        <f>E797*'Profit per cycles Model'!$I$113</f>
        <v>7880</v>
      </c>
      <c r="E797" s="25">
        <v>21.586084098068756</v>
      </c>
      <c r="F797" s="28">
        <f t="shared" si="265"/>
        <v>0.12690355329949238</v>
      </c>
      <c r="G797" s="28">
        <f>'Battery Pricing Model'!$C$17/D797</f>
        <v>0.12690355329949238</v>
      </c>
      <c r="H797" s="28">
        <f t="shared" si="266"/>
        <v>999</v>
      </c>
      <c r="I797" s="28"/>
      <c r="J797" s="34">
        <f>INDEX('Profit per cycles Model'!$I$149:$I$179, MATCH(TRUNC(E797, 0), 'Profit per cycles Model'!$H$149:$H$179, 0))</f>
        <v>0.67304073869331105</v>
      </c>
      <c r="K797" s="27">
        <f>AVERAGE($J$10:J1797)</f>
        <v>0.56883042089778579</v>
      </c>
      <c r="L797" s="28">
        <f t="shared" si="267"/>
        <v>0.44192686759829342</v>
      </c>
      <c r="M797" s="28">
        <f t="shared" si="268"/>
        <v>0.44192686759829342</v>
      </c>
      <c r="N797" s="28">
        <f t="shared" si="269"/>
        <v>999</v>
      </c>
      <c r="O797" s="28"/>
      <c r="P797" s="29">
        <f t="shared" si="285"/>
        <v>0.78800000000000059</v>
      </c>
      <c r="Q797" s="33">
        <f t="shared" si="270"/>
        <v>6.7114093959731544</v>
      </c>
      <c r="R797" s="33">
        <f t="shared" si="271"/>
        <v>6.7114093959731544</v>
      </c>
      <c r="S797" s="33">
        <f t="shared" si="272"/>
        <v>-1</v>
      </c>
      <c r="T797" s="27"/>
      <c r="U797" s="28">
        <f t="shared" si="273"/>
        <v>0.10964912280701754</v>
      </c>
      <c r="V797" s="25">
        <f t="shared" si="274"/>
        <v>999</v>
      </c>
      <c r="W797" s="35">
        <f t="shared" si="286"/>
        <v>25</v>
      </c>
      <c r="X797" s="33">
        <f t="shared" si="275"/>
        <v>25</v>
      </c>
      <c r="Y797" s="32">
        <f t="shared" si="276"/>
        <v>-1</v>
      </c>
      <c r="Z797" s="32"/>
      <c r="AA797" s="30">
        <f t="shared" si="277"/>
        <v>21.586084098068756</v>
      </c>
      <c r="AB797" s="28">
        <f t="shared" si="278"/>
        <v>0.67304073869331105</v>
      </c>
      <c r="AC797" s="28">
        <f t="shared" si="279"/>
        <v>0.10964912280701754</v>
      </c>
      <c r="AD797" s="29">
        <f t="shared" si="280"/>
        <v>747.6280834914611</v>
      </c>
      <c r="AE797" s="28">
        <f t="shared" si="281"/>
        <v>0.10964912280701754</v>
      </c>
      <c r="AF797" s="28">
        <f t="shared" si="282"/>
        <v>0.5633916158862935</v>
      </c>
      <c r="AG797" s="28">
        <f t="shared" si="283"/>
        <v>0</v>
      </c>
      <c r="AI797" s="31">
        <f t="shared" si="284"/>
        <v>3.4823837166745522</v>
      </c>
      <c r="AJ797" s="25"/>
      <c r="AK797" s="31"/>
      <c r="AM797" s="27"/>
    </row>
    <row r="798" spans="4:39" x14ac:dyDescent="0.25">
      <c r="D798" s="25">
        <f>E798*'Profit per cycles Model'!$I$113</f>
        <v>7889.9999999999991</v>
      </c>
      <c r="E798" s="25">
        <v>21.613477605807422</v>
      </c>
      <c r="F798" s="28">
        <f t="shared" si="265"/>
        <v>0.1267427122940431</v>
      </c>
      <c r="G798" s="28">
        <f>'Battery Pricing Model'!$C$17/D798</f>
        <v>0.1267427122940431</v>
      </c>
      <c r="H798" s="28">
        <f t="shared" si="266"/>
        <v>999</v>
      </c>
      <c r="I798" s="28"/>
      <c r="J798" s="34">
        <f>INDEX('Profit per cycles Model'!$I$149:$I$179, MATCH(TRUNC(E798, 0), 'Profit per cycles Model'!$H$149:$H$179, 0))</f>
        <v>0.67304073869331105</v>
      </c>
      <c r="K798" s="27">
        <f>AVERAGE($J$10:J1798)</f>
        <v>0.56883042089778579</v>
      </c>
      <c r="L798" s="28">
        <f t="shared" si="267"/>
        <v>0.44208770860374269</v>
      </c>
      <c r="M798" s="28">
        <f t="shared" si="268"/>
        <v>0.44208770860374269</v>
      </c>
      <c r="N798" s="28">
        <f t="shared" si="269"/>
        <v>999</v>
      </c>
      <c r="O798" s="28"/>
      <c r="P798" s="29">
        <f t="shared" si="285"/>
        <v>0.78900000000000059</v>
      </c>
      <c r="Q798" s="33">
        <f t="shared" si="270"/>
        <v>6.7114093959731544</v>
      </c>
      <c r="R798" s="33">
        <f t="shared" si="271"/>
        <v>6.7114093959731544</v>
      </c>
      <c r="S798" s="33">
        <f t="shared" si="272"/>
        <v>-1</v>
      </c>
      <c r="T798" s="27"/>
      <c r="U798" s="28">
        <f t="shared" si="273"/>
        <v>0.10964912280701754</v>
      </c>
      <c r="V798" s="25">
        <f t="shared" si="274"/>
        <v>999</v>
      </c>
      <c r="W798" s="35">
        <f t="shared" si="286"/>
        <v>25</v>
      </c>
      <c r="X798" s="33">
        <f t="shared" si="275"/>
        <v>25</v>
      </c>
      <c r="Y798" s="32">
        <f t="shared" si="276"/>
        <v>-1</v>
      </c>
      <c r="Z798" s="32"/>
      <c r="AA798" s="30">
        <f t="shared" si="277"/>
        <v>21.613477605807422</v>
      </c>
      <c r="AB798" s="28">
        <f t="shared" si="278"/>
        <v>0.67304073869331105</v>
      </c>
      <c r="AC798" s="28">
        <f t="shared" si="279"/>
        <v>0.10964912280701754</v>
      </c>
      <c r="AD798" s="29">
        <f t="shared" si="280"/>
        <v>748.57685009487659</v>
      </c>
      <c r="AE798" s="28">
        <f t="shared" si="281"/>
        <v>0.10964912280701754</v>
      </c>
      <c r="AF798" s="28">
        <f t="shared" si="282"/>
        <v>0.5633916158862935</v>
      </c>
      <c r="AG798" s="28">
        <f t="shared" si="283"/>
        <v>0</v>
      </c>
      <c r="AI798" s="31">
        <f t="shared" si="284"/>
        <v>3.4880720208835294</v>
      </c>
      <c r="AJ798" s="25"/>
      <c r="AK798" s="31"/>
      <c r="AM798" s="27"/>
    </row>
    <row r="799" spans="4:39" x14ac:dyDescent="0.25">
      <c r="D799" s="25">
        <f>E799*'Profit per cycles Model'!$I$113</f>
        <v>7900.0000000000009</v>
      </c>
      <c r="E799" s="25">
        <v>21.64087111354609</v>
      </c>
      <c r="F799" s="28">
        <f t="shared" si="265"/>
        <v>0.12658227848101264</v>
      </c>
      <c r="G799" s="28">
        <f>'Battery Pricing Model'!$C$17/D799</f>
        <v>0.12658227848101264</v>
      </c>
      <c r="H799" s="28">
        <f t="shared" si="266"/>
        <v>999</v>
      </c>
      <c r="I799" s="28"/>
      <c r="J799" s="34">
        <f>INDEX('Profit per cycles Model'!$I$149:$I$179, MATCH(TRUNC(E799, 0), 'Profit per cycles Model'!$H$149:$H$179, 0))</f>
        <v>0.67304073869331105</v>
      </c>
      <c r="K799" s="27">
        <f>AVERAGE($J$10:J1799)</f>
        <v>0.56883042089778579</v>
      </c>
      <c r="L799" s="28">
        <f t="shared" si="267"/>
        <v>0.44224814241677313</v>
      </c>
      <c r="M799" s="28">
        <f t="shared" si="268"/>
        <v>0.44224814241677313</v>
      </c>
      <c r="N799" s="28">
        <f t="shared" si="269"/>
        <v>999</v>
      </c>
      <c r="O799" s="28"/>
      <c r="P799" s="29">
        <f t="shared" si="285"/>
        <v>0.79000000000000059</v>
      </c>
      <c r="Q799" s="33">
        <f t="shared" si="270"/>
        <v>6.7114093959731544</v>
      </c>
      <c r="R799" s="33">
        <f t="shared" si="271"/>
        <v>6.7114093959731544</v>
      </c>
      <c r="S799" s="33">
        <f t="shared" si="272"/>
        <v>-1</v>
      </c>
      <c r="T799" s="27"/>
      <c r="U799" s="28">
        <f t="shared" si="273"/>
        <v>0.10964912280701754</v>
      </c>
      <c r="V799" s="25">
        <f t="shared" si="274"/>
        <v>999</v>
      </c>
      <c r="W799" s="35">
        <f t="shared" si="286"/>
        <v>25</v>
      </c>
      <c r="X799" s="33">
        <f t="shared" si="275"/>
        <v>25</v>
      </c>
      <c r="Y799" s="32">
        <f t="shared" si="276"/>
        <v>-1</v>
      </c>
      <c r="Z799" s="32"/>
      <c r="AA799" s="30">
        <f t="shared" si="277"/>
        <v>21.64087111354609</v>
      </c>
      <c r="AB799" s="28">
        <f t="shared" si="278"/>
        <v>0.67304073869331105</v>
      </c>
      <c r="AC799" s="28">
        <f t="shared" si="279"/>
        <v>0.10964912280701754</v>
      </c>
      <c r="AD799" s="29">
        <f t="shared" si="280"/>
        <v>749.52561669829231</v>
      </c>
      <c r="AE799" s="28">
        <f t="shared" si="281"/>
        <v>0.10964912280701754</v>
      </c>
      <c r="AF799" s="28">
        <f t="shared" si="282"/>
        <v>0.5633916158862935</v>
      </c>
      <c r="AG799" s="28">
        <f t="shared" si="283"/>
        <v>0</v>
      </c>
      <c r="AI799" s="31">
        <f t="shared" si="284"/>
        <v>3.4937603250925084</v>
      </c>
      <c r="AJ799" s="25"/>
      <c r="AK799" s="31"/>
      <c r="AM799" s="27"/>
    </row>
    <row r="800" spans="4:39" x14ac:dyDescent="0.25">
      <c r="D800" s="25">
        <f>E800*'Profit per cycles Model'!$I$113</f>
        <v>7910</v>
      </c>
      <c r="E800" s="25">
        <v>21.668264621284756</v>
      </c>
      <c r="F800" s="28">
        <f t="shared" si="265"/>
        <v>0.12642225031605561</v>
      </c>
      <c r="G800" s="28">
        <f>'Battery Pricing Model'!$C$17/D800</f>
        <v>0.12642225031605561</v>
      </c>
      <c r="H800" s="28">
        <f t="shared" si="266"/>
        <v>999</v>
      </c>
      <c r="I800" s="28"/>
      <c r="J800" s="34">
        <f>INDEX('Profit per cycles Model'!$I$149:$I$179, MATCH(TRUNC(E800, 0), 'Profit per cycles Model'!$H$149:$H$179, 0))</f>
        <v>0.67304073869331105</v>
      </c>
      <c r="K800" s="27">
        <f>AVERAGE($J$10:J1800)</f>
        <v>0.56883042089778579</v>
      </c>
      <c r="L800" s="28">
        <f t="shared" si="267"/>
        <v>0.44240817058173021</v>
      </c>
      <c r="M800" s="28">
        <f t="shared" si="268"/>
        <v>0.44240817058173021</v>
      </c>
      <c r="N800" s="28">
        <f t="shared" si="269"/>
        <v>999</v>
      </c>
      <c r="O800" s="28"/>
      <c r="P800" s="29">
        <f t="shared" si="285"/>
        <v>0.79100000000000059</v>
      </c>
      <c r="Q800" s="33">
        <f t="shared" si="270"/>
        <v>6.7114093959731544</v>
      </c>
      <c r="R800" s="33">
        <f t="shared" si="271"/>
        <v>6.7114093959731544</v>
      </c>
      <c r="S800" s="33">
        <f t="shared" si="272"/>
        <v>-1</v>
      </c>
      <c r="T800" s="27"/>
      <c r="U800" s="28">
        <f t="shared" si="273"/>
        <v>0.10964912280701754</v>
      </c>
      <c r="V800" s="25">
        <f t="shared" si="274"/>
        <v>999</v>
      </c>
      <c r="W800" s="35">
        <f t="shared" si="286"/>
        <v>25</v>
      </c>
      <c r="X800" s="33">
        <f t="shared" si="275"/>
        <v>25</v>
      </c>
      <c r="Y800" s="32">
        <f t="shared" si="276"/>
        <v>-1</v>
      </c>
      <c r="Z800" s="32"/>
      <c r="AA800" s="30">
        <f t="shared" si="277"/>
        <v>21.668264621284756</v>
      </c>
      <c r="AB800" s="28">
        <f t="shared" si="278"/>
        <v>0.67304073869331105</v>
      </c>
      <c r="AC800" s="28">
        <f t="shared" si="279"/>
        <v>0.10964912280701754</v>
      </c>
      <c r="AD800" s="29">
        <f t="shared" si="280"/>
        <v>750.47438330170792</v>
      </c>
      <c r="AE800" s="28">
        <f t="shared" si="281"/>
        <v>0.10964912280701754</v>
      </c>
      <c r="AF800" s="28">
        <f t="shared" si="282"/>
        <v>0.5633916158862935</v>
      </c>
      <c r="AG800" s="28">
        <f t="shared" si="283"/>
        <v>0</v>
      </c>
      <c r="AI800" s="31">
        <f t="shared" si="284"/>
        <v>3.4994486293014861</v>
      </c>
      <c r="AJ800" s="25"/>
      <c r="AK800" s="31"/>
      <c r="AM800" s="27"/>
    </row>
    <row r="801" spans="4:39" x14ac:dyDescent="0.25">
      <c r="D801" s="25">
        <f>E801*'Profit per cycles Model'!$I$113</f>
        <v>7920</v>
      </c>
      <c r="E801" s="25">
        <v>21.695658129023421</v>
      </c>
      <c r="F801" s="28">
        <f t="shared" si="265"/>
        <v>0.12626262626262627</v>
      </c>
      <c r="G801" s="28">
        <f>'Battery Pricing Model'!$C$17/D801</f>
        <v>0.12626262626262627</v>
      </c>
      <c r="H801" s="28">
        <f t="shared" si="266"/>
        <v>999</v>
      </c>
      <c r="I801" s="28"/>
      <c r="J801" s="34">
        <f>INDEX('Profit per cycles Model'!$I$149:$I$179, MATCH(TRUNC(E801, 0), 'Profit per cycles Model'!$H$149:$H$179, 0))</f>
        <v>0.67304073869331105</v>
      </c>
      <c r="K801" s="27">
        <f>AVERAGE($J$10:J1801)</f>
        <v>0.56883042089778579</v>
      </c>
      <c r="L801" s="28">
        <f t="shared" si="267"/>
        <v>0.44256779463515949</v>
      </c>
      <c r="M801" s="28">
        <f t="shared" si="268"/>
        <v>0.44256779463515949</v>
      </c>
      <c r="N801" s="28">
        <f t="shared" si="269"/>
        <v>999</v>
      </c>
      <c r="O801" s="28"/>
      <c r="P801" s="29">
        <f t="shared" si="285"/>
        <v>0.79200000000000059</v>
      </c>
      <c r="Q801" s="33">
        <f t="shared" si="270"/>
        <v>6.7114093959731544</v>
      </c>
      <c r="R801" s="33">
        <f t="shared" si="271"/>
        <v>6.7114093959731544</v>
      </c>
      <c r="S801" s="33">
        <f t="shared" si="272"/>
        <v>-1</v>
      </c>
      <c r="T801" s="27"/>
      <c r="U801" s="28">
        <f t="shared" si="273"/>
        <v>0.10964912280701754</v>
      </c>
      <c r="V801" s="25">
        <f t="shared" si="274"/>
        <v>999</v>
      </c>
      <c r="W801" s="35">
        <f t="shared" si="286"/>
        <v>25</v>
      </c>
      <c r="X801" s="33">
        <f t="shared" si="275"/>
        <v>25</v>
      </c>
      <c r="Y801" s="32">
        <f t="shared" si="276"/>
        <v>-1</v>
      </c>
      <c r="Z801" s="32"/>
      <c r="AA801" s="30">
        <f t="shared" si="277"/>
        <v>21.695658129023421</v>
      </c>
      <c r="AB801" s="28">
        <f t="shared" si="278"/>
        <v>0.67304073869331105</v>
      </c>
      <c r="AC801" s="28">
        <f t="shared" si="279"/>
        <v>0.10964912280701754</v>
      </c>
      <c r="AD801" s="29">
        <f t="shared" si="280"/>
        <v>751.42314990512341</v>
      </c>
      <c r="AE801" s="28">
        <f t="shared" si="281"/>
        <v>0.10964912280701754</v>
      </c>
      <c r="AF801" s="28">
        <f t="shared" si="282"/>
        <v>0.5633916158862935</v>
      </c>
      <c r="AG801" s="28">
        <f t="shared" si="283"/>
        <v>0</v>
      </c>
      <c r="AI801" s="31">
        <f t="shared" si="284"/>
        <v>3.505136933510463</v>
      </c>
      <c r="AJ801" s="25"/>
      <c r="AK801" s="31"/>
      <c r="AM801" s="27"/>
    </row>
    <row r="802" spans="4:39" x14ac:dyDescent="0.25">
      <c r="D802" s="25">
        <f>E802*'Profit per cycles Model'!$I$113</f>
        <v>7930</v>
      </c>
      <c r="E802" s="25">
        <v>21.723051636762087</v>
      </c>
      <c r="F802" s="28">
        <f t="shared" si="265"/>
        <v>0.12610340479192939</v>
      </c>
      <c r="G802" s="28">
        <f>'Battery Pricing Model'!$C$17/D802</f>
        <v>0.12610340479192939</v>
      </c>
      <c r="H802" s="28">
        <f t="shared" si="266"/>
        <v>999</v>
      </c>
      <c r="I802" s="28"/>
      <c r="J802" s="34">
        <f>INDEX('Profit per cycles Model'!$I$149:$I$179, MATCH(TRUNC(E802, 0), 'Profit per cycles Model'!$H$149:$H$179, 0))</f>
        <v>0.67304073869331105</v>
      </c>
      <c r="K802" s="27">
        <f>AVERAGE($J$10:J1802)</f>
        <v>0.56883042089778579</v>
      </c>
      <c r="L802" s="28">
        <f t="shared" si="267"/>
        <v>0.44272701610585641</v>
      </c>
      <c r="M802" s="28">
        <f t="shared" si="268"/>
        <v>0.44272701610585641</v>
      </c>
      <c r="N802" s="28">
        <f t="shared" si="269"/>
        <v>999</v>
      </c>
      <c r="O802" s="28"/>
      <c r="P802" s="29">
        <f t="shared" si="285"/>
        <v>0.79300000000000059</v>
      </c>
      <c r="Q802" s="33">
        <f t="shared" si="270"/>
        <v>6.7114093959731544</v>
      </c>
      <c r="R802" s="33">
        <f t="shared" si="271"/>
        <v>6.7114093959731544</v>
      </c>
      <c r="S802" s="33">
        <f t="shared" si="272"/>
        <v>-1</v>
      </c>
      <c r="T802" s="27"/>
      <c r="U802" s="28">
        <f t="shared" si="273"/>
        <v>0.10964912280701754</v>
      </c>
      <c r="V802" s="25">
        <f t="shared" si="274"/>
        <v>999</v>
      </c>
      <c r="W802" s="35">
        <f t="shared" si="286"/>
        <v>25</v>
      </c>
      <c r="X802" s="33">
        <f t="shared" si="275"/>
        <v>25</v>
      </c>
      <c r="Y802" s="32">
        <f t="shared" si="276"/>
        <v>-1</v>
      </c>
      <c r="Z802" s="32"/>
      <c r="AA802" s="30">
        <f t="shared" si="277"/>
        <v>21.723051636762087</v>
      </c>
      <c r="AB802" s="28">
        <f t="shared" si="278"/>
        <v>0.67304073869331105</v>
      </c>
      <c r="AC802" s="28">
        <f t="shared" si="279"/>
        <v>0.10964912280701754</v>
      </c>
      <c r="AD802" s="29">
        <f t="shared" si="280"/>
        <v>752.3719165085389</v>
      </c>
      <c r="AE802" s="28">
        <f t="shared" si="281"/>
        <v>0.10964912280701754</v>
      </c>
      <c r="AF802" s="28">
        <f t="shared" si="282"/>
        <v>0.5633916158862935</v>
      </c>
      <c r="AG802" s="28">
        <f t="shared" si="283"/>
        <v>0</v>
      </c>
      <c r="AI802" s="31">
        <f t="shared" si="284"/>
        <v>3.5108252377194411</v>
      </c>
      <c r="AJ802" s="25"/>
      <c r="AK802" s="31"/>
      <c r="AM802" s="27"/>
    </row>
    <row r="803" spans="4:39" x14ac:dyDescent="0.25">
      <c r="D803" s="25">
        <f>E803*'Profit per cycles Model'!$I$113</f>
        <v>7940</v>
      </c>
      <c r="E803" s="25">
        <v>21.750445144500752</v>
      </c>
      <c r="F803" s="28">
        <f t="shared" si="265"/>
        <v>0.12594458438287154</v>
      </c>
      <c r="G803" s="28">
        <f>'Battery Pricing Model'!$C$17/D803</f>
        <v>0.12594458438287154</v>
      </c>
      <c r="H803" s="28">
        <f t="shared" si="266"/>
        <v>999</v>
      </c>
      <c r="I803" s="28"/>
      <c r="J803" s="34">
        <f>INDEX('Profit per cycles Model'!$I$149:$I$179, MATCH(TRUNC(E803, 0), 'Profit per cycles Model'!$H$149:$H$179, 0))</f>
        <v>0.67304073869331105</v>
      </c>
      <c r="K803" s="27">
        <f>AVERAGE($J$10:J1803)</f>
        <v>0.56883042089778579</v>
      </c>
      <c r="L803" s="28">
        <f t="shared" si="267"/>
        <v>0.44288583651491426</v>
      </c>
      <c r="M803" s="28">
        <f t="shared" si="268"/>
        <v>0.44288583651491426</v>
      </c>
      <c r="N803" s="28">
        <f t="shared" si="269"/>
        <v>999</v>
      </c>
      <c r="O803" s="28"/>
      <c r="P803" s="29">
        <f t="shared" si="285"/>
        <v>0.79400000000000059</v>
      </c>
      <c r="Q803" s="33">
        <f t="shared" si="270"/>
        <v>6.7114093959731544</v>
      </c>
      <c r="R803" s="33">
        <f t="shared" si="271"/>
        <v>6.7114093959731544</v>
      </c>
      <c r="S803" s="33">
        <f t="shared" si="272"/>
        <v>-1</v>
      </c>
      <c r="T803" s="27"/>
      <c r="U803" s="28">
        <f t="shared" si="273"/>
        <v>0.10964912280701754</v>
      </c>
      <c r="V803" s="25">
        <f t="shared" si="274"/>
        <v>999</v>
      </c>
      <c r="W803" s="35">
        <f t="shared" si="286"/>
        <v>25</v>
      </c>
      <c r="X803" s="33">
        <f t="shared" si="275"/>
        <v>25</v>
      </c>
      <c r="Y803" s="32">
        <f t="shared" si="276"/>
        <v>-1</v>
      </c>
      <c r="Z803" s="32"/>
      <c r="AA803" s="30">
        <f t="shared" si="277"/>
        <v>21.750445144500752</v>
      </c>
      <c r="AB803" s="28">
        <f t="shared" si="278"/>
        <v>0.67304073869331105</v>
      </c>
      <c r="AC803" s="28">
        <f t="shared" si="279"/>
        <v>0.10964912280701754</v>
      </c>
      <c r="AD803" s="29">
        <f t="shared" si="280"/>
        <v>753.32068311195439</v>
      </c>
      <c r="AE803" s="28">
        <f t="shared" si="281"/>
        <v>0.10964912280701754</v>
      </c>
      <c r="AF803" s="28">
        <f t="shared" si="282"/>
        <v>0.5633916158862935</v>
      </c>
      <c r="AG803" s="28">
        <f t="shared" si="283"/>
        <v>0</v>
      </c>
      <c r="AI803" s="31">
        <f t="shared" si="284"/>
        <v>3.5165135419284193</v>
      </c>
      <c r="AJ803" s="25"/>
      <c r="AK803" s="31"/>
      <c r="AM803" s="27"/>
    </row>
    <row r="804" spans="4:39" x14ac:dyDescent="0.25">
      <c r="D804" s="25">
        <f>E804*'Profit per cycles Model'!$I$113</f>
        <v>7949.9999999999991</v>
      </c>
      <c r="E804" s="25">
        <v>21.777838652239417</v>
      </c>
      <c r="F804" s="28">
        <f t="shared" si="265"/>
        <v>0.12578616352201261</v>
      </c>
      <c r="G804" s="28">
        <f>'Battery Pricing Model'!$C$17/D804</f>
        <v>0.12578616352201261</v>
      </c>
      <c r="H804" s="28">
        <f t="shared" si="266"/>
        <v>999</v>
      </c>
      <c r="I804" s="28"/>
      <c r="J804" s="34">
        <f>INDEX('Profit per cycles Model'!$I$149:$I$179, MATCH(TRUNC(E804, 0), 'Profit per cycles Model'!$H$149:$H$179, 0))</f>
        <v>0.67304073869331105</v>
      </c>
      <c r="K804" s="27">
        <f>AVERAGE($J$10:J1804)</f>
        <v>0.56883042089778579</v>
      </c>
      <c r="L804" s="28">
        <f t="shared" si="267"/>
        <v>0.44304425737577319</v>
      </c>
      <c r="M804" s="28">
        <f t="shared" si="268"/>
        <v>0.44304425737577319</v>
      </c>
      <c r="N804" s="28">
        <f t="shared" si="269"/>
        <v>999</v>
      </c>
      <c r="O804" s="28"/>
      <c r="P804" s="29">
        <f t="shared" si="285"/>
        <v>0.7950000000000006</v>
      </c>
      <c r="Q804" s="33">
        <f t="shared" si="270"/>
        <v>6.7114093959731544</v>
      </c>
      <c r="R804" s="33">
        <f t="shared" si="271"/>
        <v>6.7114093959731544</v>
      </c>
      <c r="S804" s="33">
        <f t="shared" si="272"/>
        <v>-1</v>
      </c>
      <c r="T804" s="27"/>
      <c r="U804" s="28">
        <f t="shared" si="273"/>
        <v>0.10964912280701754</v>
      </c>
      <c r="V804" s="25">
        <f t="shared" si="274"/>
        <v>999</v>
      </c>
      <c r="W804" s="35">
        <f t="shared" si="286"/>
        <v>25</v>
      </c>
      <c r="X804" s="33">
        <f t="shared" si="275"/>
        <v>25</v>
      </c>
      <c r="Y804" s="32">
        <f t="shared" si="276"/>
        <v>-1</v>
      </c>
      <c r="Z804" s="32"/>
      <c r="AA804" s="30">
        <f t="shared" si="277"/>
        <v>21.777838652239417</v>
      </c>
      <c r="AB804" s="28">
        <f t="shared" si="278"/>
        <v>0.67304073869331105</v>
      </c>
      <c r="AC804" s="28">
        <f t="shared" si="279"/>
        <v>0.10964912280701754</v>
      </c>
      <c r="AD804" s="29">
        <f t="shared" si="280"/>
        <v>754.26944971537</v>
      </c>
      <c r="AE804" s="28">
        <f t="shared" si="281"/>
        <v>0.10964912280701754</v>
      </c>
      <c r="AF804" s="28">
        <f t="shared" si="282"/>
        <v>0.5633916158862935</v>
      </c>
      <c r="AG804" s="28">
        <f t="shared" si="283"/>
        <v>0</v>
      </c>
      <c r="AI804" s="31">
        <f t="shared" si="284"/>
        <v>3.5222018461373961</v>
      </c>
      <c r="AJ804" s="25"/>
      <c r="AK804" s="31"/>
      <c r="AM804" s="27"/>
    </row>
    <row r="805" spans="4:39" x14ac:dyDescent="0.25">
      <c r="D805" s="25">
        <f>E805*'Profit per cycles Model'!$I$113</f>
        <v>7960.0000000000009</v>
      </c>
      <c r="E805" s="25">
        <v>21.805232159978086</v>
      </c>
      <c r="F805" s="28">
        <f t="shared" si="265"/>
        <v>0.12562814070351758</v>
      </c>
      <c r="G805" s="28">
        <f>'Battery Pricing Model'!$C$17/D805</f>
        <v>0.12562814070351758</v>
      </c>
      <c r="H805" s="28">
        <f t="shared" si="266"/>
        <v>999</v>
      </c>
      <c r="I805" s="28"/>
      <c r="J805" s="34">
        <f>INDEX('Profit per cycles Model'!$I$149:$I$179, MATCH(TRUNC(E805, 0), 'Profit per cycles Model'!$H$149:$H$179, 0))</f>
        <v>0.67304073869331105</v>
      </c>
      <c r="K805" s="27">
        <f>AVERAGE($J$10:J1805)</f>
        <v>0.56883042089778579</v>
      </c>
      <c r="L805" s="28">
        <f t="shared" si="267"/>
        <v>0.44320228019426822</v>
      </c>
      <c r="M805" s="28">
        <f t="shared" si="268"/>
        <v>0.44320228019426822</v>
      </c>
      <c r="N805" s="28">
        <f t="shared" si="269"/>
        <v>999</v>
      </c>
      <c r="O805" s="28"/>
      <c r="P805" s="29">
        <f t="shared" si="285"/>
        <v>0.7960000000000006</v>
      </c>
      <c r="Q805" s="33">
        <f t="shared" si="270"/>
        <v>6.7114093959731544</v>
      </c>
      <c r="R805" s="33">
        <f t="shared" si="271"/>
        <v>6.7114093959731544</v>
      </c>
      <c r="S805" s="33">
        <f t="shared" si="272"/>
        <v>-1</v>
      </c>
      <c r="T805" s="27"/>
      <c r="U805" s="28">
        <f t="shared" si="273"/>
        <v>0.10964912280701754</v>
      </c>
      <c r="V805" s="25">
        <f t="shared" si="274"/>
        <v>999</v>
      </c>
      <c r="W805" s="35">
        <f t="shared" si="286"/>
        <v>25</v>
      </c>
      <c r="X805" s="33">
        <f t="shared" si="275"/>
        <v>25</v>
      </c>
      <c r="Y805" s="32">
        <f t="shared" si="276"/>
        <v>-1</v>
      </c>
      <c r="Z805" s="32"/>
      <c r="AA805" s="30">
        <f t="shared" si="277"/>
        <v>21.805232159978086</v>
      </c>
      <c r="AB805" s="28">
        <f t="shared" si="278"/>
        <v>0.67304073869331105</v>
      </c>
      <c r="AC805" s="28">
        <f t="shared" si="279"/>
        <v>0.10964912280701754</v>
      </c>
      <c r="AD805" s="29">
        <f t="shared" si="280"/>
        <v>755.21821631878561</v>
      </c>
      <c r="AE805" s="28">
        <f t="shared" si="281"/>
        <v>0.10964912280701754</v>
      </c>
      <c r="AF805" s="28">
        <f t="shared" si="282"/>
        <v>0.5633916158862935</v>
      </c>
      <c r="AG805" s="28">
        <f t="shared" si="283"/>
        <v>0</v>
      </c>
      <c r="AI805" s="31">
        <f t="shared" si="284"/>
        <v>3.5278901503463751</v>
      </c>
      <c r="AJ805" s="25"/>
      <c r="AK805" s="31"/>
      <c r="AM805" s="27"/>
    </row>
    <row r="806" spans="4:39" x14ac:dyDescent="0.25">
      <c r="D806" s="25">
        <f>E806*'Profit per cycles Model'!$I$113</f>
        <v>7970</v>
      </c>
      <c r="E806" s="25">
        <v>21.832625667716751</v>
      </c>
      <c r="F806" s="28">
        <f t="shared" si="265"/>
        <v>0.12547051442910917</v>
      </c>
      <c r="G806" s="28">
        <f>'Battery Pricing Model'!$C$17/D806</f>
        <v>0.12547051442910917</v>
      </c>
      <c r="H806" s="28">
        <f t="shared" si="266"/>
        <v>999</v>
      </c>
      <c r="I806" s="28"/>
      <c r="J806" s="34">
        <f>INDEX('Profit per cycles Model'!$I$149:$I$179, MATCH(TRUNC(E806, 0), 'Profit per cycles Model'!$H$149:$H$179, 0))</f>
        <v>0.67304073869331105</v>
      </c>
      <c r="K806" s="27">
        <f>AVERAGE($J$10:J1806)</f>
        <v>0.56883042089778579</v>
      </c>
      <c r="L806" s="28">
        <f t="shared" si="267"/>
        <v>0.44335990646867662</v>
      </c>
      <c r="M806" s="28">
        <f t="shared" si="268"/>
        <v>0.44335990646867662</v>
      </c>
      <c r="N806" s="28">
        <f t="shared" si="269"/>
        <v>999</v>
      </c>
      <c r="O806" s="28"/>
      <c r="P806" s="29">
        <f t="shared" si="285"/>
        <v>0.7970000000000006</v>
      </c>
      <c r="Q806" s="33">
        <f t="shared" si="270"/>
        <v>6.7114093959731544</v>
      </c>
      <c r="R806" s="33">
        <f t="shared" si="271"/>
        <v>6.7114093959731544</v>
      </c>
      <c r="S806" s="33">
        <f t="shared" si="272"/>
        <v>-1</v>
      </c>
      <c r="T806" s="27"/>
      <c r="U806" s="28">
        <f t="shared" si="273"/>
        <v>0.10964912280701754</v>
      </c>
      <c r="V806" s="25">
        <f t="shared" si="274"/>
        <v>999</v>
      </c>
      <c r="W806" s="35">
        <f t="shared" si="286"/>
        <v>25</v>
      </c>
      <c r="X806" s="33">
        <f t="shared" si="275"/>
        <v>25</v>
      </c>
      <c r="Y806" s="32">
        <f t="shared" si="276"/>
        <v>-1</v>
      </c>
      <c r="Z806" s="32"/>
      <c r="AA806" s="30">
        <f t="shared" si="277"/>
        <v>21.832625667716751</v>
      </c>
      <c r="AB806" s="28">
        <f t="shared" si="278"/>
        <v>0.67304073869331105</v>
      </c>
      <c r="AC806" s="28">
        <f t="shared" si="279"/>
        <v>0.10964912280701754</v>
      </c>
      <c r="AD806" s="29">
        <f t="shared" si="280"/>
        <v>756.16698292220121</v>
      </c>
      <c r="AE806" s="28">
        <f t="shared" si="281"/>
        <v>0.10964912280701754</v>
      </c>
      <c r="AF806" s="28">
        <f t="shared" si="282"/>
        <v>0.5633916158862935</v>
      </c>
      <c r="AG806" s="28">
        <f t="shared" si="283"/>
        <v>0</v>
      </c>
      <c r="AI806" s="31">
        <f t="shared" si="284"/>
        <v>3.5335784545553524</v>
      </c>
      <c r="AJ806" s="25"/>
      <c r="AK806" s="31"/>
      <c r="AM806" s="27"/>
    </row>
    <row r="807" spans="4:39" x14ac:dyDescent="0.25">
      <c r="D807" s="25">
        <f>E807*'Profit per cycles Model'!$I$113</f>
        <v>7980</v>
      </c>
      <c r="E807" s="25">
        <v>21.860019175455417</v>
      </c>
      <c r="F807" s="28">
        <f t="shared" si="265"/>
        <v>0.12531328320802004</v>
      </c>
      <c r="G807" s="28">
        <f>'Battery Pricing Model'!$C$17/D807</f>
        <v>0.12531328320802004</v>
      </c>
      <c r="H807" s="28">
        <f t="shared" si="266"/>
        <v>999</v>
      </c>
      <c r="I807" s="28"/>
      <c r="J807" s="34">
        <f>INDEX('Profit per cycles Model'!$I$149:$I$179, MATCH(TRUNC(E807, 0), 'Profit per cycles Model'!$H$149:$H$179, 0))</f>
        <v>0.67304073869331105</v>
      </c>
      <c r="K807" s="27">
        <f>AVERAGE($J$10:J1807)</f>
        <v>0.56883042089778579</v>
      </c>
      <c r="L807" s="28">
        <f t="shared" si="267"/>
        <v>0.44351713768976575</v>
      </c>
      <c r="M807" s="28">
        <f t="shared" si="268"/>
        <v>0.44351713768976575</v>
      </c>
      <c r="N807" s="28">
        <f t="shared" si="269"/>
        <v>999</v>
      </c>
      <c r="O807" s="28"/>
      <c r="P807" s="29">
        <f t="shared" si="285"/>
        <v>0.7980000000000006</v>
      </c>
      <c r="Q807" s="33">
        <f t="shared" si="270"/>
        <v>6.7114093959731544</v>
      </c>
      <c r="R807" s="33">
        <f t="shared" si="271"/>
        <v>6.7114093959731544</v>
      </c>
      <c r="S807" s="33">
        <f t="shared" si="272"/>
        <v>-1</v>
      </c>
      <c r="T807" s="27"/>
      <c r="U807" s="28">
        <f t="shared" si="273"/>
        <v>0.10964912280701754</v>
      </c>
      <c r="V807" s="25">
        <f t="shared" si="274"/>
        <v>999</v>
      </c>
      <c r="W807" s="35">
        <f t="shared" si="286"/>
        <v>25</v>
      </c>
      <c r="X807" s="33">
        <f t="shared" si="275"/>
        <v>25</v>
      </c>
      <c r="Y807" s="32">
        <f t="shared" si="276"/>
        <v>-1</v>
      </c>
      <c r="Z807" s="32"/>
      <c r="AA807" s="30">
        <f t="shared" si="277"/>
        <v>21.860019175455417</v>
      </c>
      <c r="AB807" s="28">
        <f t="shared" si="278"/>
        <v>0.67304073869331105</v>
      </c>
      <c r="AC807" s="28">
        <f t="shared" si="279"/>
        <v>0.10964912280701754</v>
      </c>
      <c r="AD807" s="29">
        <f t="shared" si="280"/>
        <v>757.11574952561682</v>
      </c>
      <c r="AE807" s="28">
        <f t="shared" si="281"/>
        <v>0.10964912280701754</v>
      </c>
      <c r="AF807" s="28">
        <f t="shared" si="282"/>
        <v>0.5633916158862935</v>
      </c>
      <c r="AG807" s="28">
        <f t="shared" si="283"/>
        <v>0</v>
      </c>
      <c r="AI807" s="31">
        <f t="shared" si="284"/>
        <v>3.5392667587643309</v>
      </c>
      <c r="AJ807" s="25"/>
      <c r="AK807" s="31"/>
      <c r="AM807" s="27"/>
    </row>
    <row r="808" spans="4:39" x14ac:dyDescent="0.25">
      <c r="D808" s="25">
        <f>E808*'Profit per cycles Model'!$I$113</f>
        <v>7990</v>
      </c>
      <c r="E808" s="25">
        <v>21.887412683194082</v>
      </c>
      <c r="F808" s="28">
        <f t="shared" si="265"/>
        <v>0.12515644555694619</v>
      </c>
      <c r="G808" s="28">
        <f>'Battery Pricing Model'!$C$17/D808</f>
        <v>0.12515644555694619</v>
      </c>
      <c r="H808" s="28">
        <f t="shared" si="266"/>
        <v>999</v>
      </c>
      <c r="I808" s="28"/>
      <c r="J808" s="34">
        <f>INDEX('Profit per cycles Model'!$I$149:$I$179, MATCH(TRUNC(E808, 0), 'Profit per cycles Model'!$H$149:$H$179, 0))</f>
        <v>0.67304073869331105</v>
      </c>
      <c r="K808" s="27">
        <f>AVERAGE($J$10:J1808)</f>
        <v>0.56883042089778579</v>
      </c>
      <c r="L808" s="28">
        <f t="shared" si="267"/>
        <v>0.44367397534083963</v>
      </c>
      <c r="M808" s="28">
        <f t="shared" si="268"/>
        <v>0.44367397534083963</v>
      </c>
      <c r="N808" s="28">
        <f t="shared" si="269"/>
        <v>999</v>
      </c>
      <c r="O808" s="28"/>
      <c r="P808" s="29">
        <f t="shared" si="285"/>
        <v>0.7990000000000006</v>
      </c>
      <c r="Q808" s="33">
        <f t="shared" si="270"/>
        <v>6.7114093959731544</v>
      </c>
      <c r="R808" s="33">
        <f t="shared" si="271"/>
        <v>6.7114093959731544</v>
      </c>
      <c r="S808" s="33">
        <f t="shared" si="272"/>
        <v>-1</v>
      </c>
      <c r="T808" s="27"/>
      <c r="U808" s="28">
        <f t="shared" si="273"/>
        <v>0.10964912280701754</v>
      </c>
      <c r="V808" s="25">
        <f t="shared" si="274"/>
        <v>999</v>
      </c>
      <c r="W808" s="35">
        <f t="shared" si="286"/>
        <v>25</v>
      </c>
      <c r="X808" s="33">
        <f t="shared" si="275"/>
        <v>25</v>
      </c>
      <c r="Y808" s="32">
        <f t="shared" si="276"/>
        <v>-1</v>
      </c>
      <c r="Z808" s="32"/>
      <c r="AA808" s="30">
        <f t="shared" si="277"/>
        <v>21.887412683194082</v>
      </c>
      <c r="AB808" s="28">
        <f t="shared" si="278"/>
        <v>0.67304073869331105</v>
      </c>
      <c r="AC808" s="28">
        <f t="shared" si="279"/>
        <v>0.10964912280701754</v>
      </c>
      <c r="AD808" s="29">
        <f t="shared" si="280"/>
        <v>758.0645161290322</v>
      </c>
      <c r="AE808" s="28">
        <f t="shared" si="281"/>
        <v>0.10964912280701754</v>
      </c>
      <c r="AF808" s="28">
        <f t="shared" si="282"/>
        <v>0.5633916158862935</v>
      </c>
      <c r="AG808" s="28">
        <f t="shared" si="283"/>
        <v>0</v>
      </c>
      <c r="AI808" s="31">
        <f t="shared" si="284"/>
        <v>3.5449550629733086</v>
      </c>
      <c r="AJ808" s="25"/>
      <c r="AK808" s="31"/>
      <c r="AM808" s="27"/>
    </row>
    <row r="809" spans="4:39" x14ac:dyDescent="0.25">
      <c r="D809" s="25">
        <f>E809*'Profit per cycles Model'!$I$113</f>
        <v>8000</v>
      </c>
      <c r="E809" s="25">
        <v>21.914806190932747</v>
      </c>
      <c r="F809" s="28">
        <f t="shared" si="265"/>
        <v>0.125</v>
      </c>
      <c r="G809" s="28">
        <f>'Battery Pricing Model'!$C$17/D809</f>
        <v>0.125</v>
      </c>
      <c r="H809" s="28">
        <f t="shared" si="266"/>
        <v>999</v>
      </c>
      <c r="I809" s="28"/>
      <c r="J809" s="34">
        <f>INDEX('Profit per cycles Model'!$I$149:$I$179, MATCH(TRUNC(E809, 0), 'Profit per cycles Model'!$H$149:$H$179, 0))</f>
        <v>0.67304073869331105</v>
      </c>
      <c r="K809" s="27">
        <f>AVERAGE($J$10:J1809)</f>
        <v>0.56883042089778579</v>
      </c>
      <c r="L809" s="28">
        <f t="shared" si="267"/>
        <v>0.44383042089778579</v>
      </c>
      <c r="M809" s="28">
        <f t="shared" si="268"/>
        <v>0.44383042089778579</v>
      </c>
      <c r="N809" s="28">
        <f t="shared" si="269"/>
        <v>999</v>
      </c>
      <c r="O809" s="28"/>
      <c r="P809" s="29">
        <f t="shared" si="285"/>
        <v>0.8000000000000006</v>
      </c>
      <c r="Q809" s="33">
        <f t="shared" si="270"/>
        <v>6.7114093959731544</v>
      </c>
      <c r="R809" s="33">
        <f t="shared" si="271"/>
        <v>6.7114093959731544</v>
      </c>
      <c r="S809" s="33">
        <f t="shared" si="272"/>
        <v>-1</v>
      </c>
      <c r="T809" s="27"/>
      <c r="U809" s="28">
        <f t="shared" si="273"/>
        <v>0.10964912280701754</v>
      </c>
      <c r="V809" s="25">
        <f t="shared" si="274"/>
        <v>999</v>
      </c>
      <c r="W809" s="35">
        <f t="shared" si="286"/>
        <v>25</v>
      </c>
      <c r="X809" s="33">
        <f t="shared" si="275"/>
        <v>25</v>
      </c>
      <c r="Y809" s="32">
        <f t="shared" si="276"/>
        <v>-1</v>
      </c>
      <c r="Z809" s="32"/>
      <c r="AA809" s="30">
        <f t="shared" si="277"/>
        <v>21.914806190932747</v>
      </c>
      <c r="AB809" s="28">
        <f t="shared" si="278"/>
        <v>0.67304073869331105</v>
      </c>
      <c r="AC809" s="28">
        <f t="shared" si="279"/>
        <v>0.10964912280701754</v>
      </c>
      <c r="AD809" s="29">
        <f t="shared" si="280"/>
        <v>759.01328273244781</v>
      </c>
      <c r="AE809" s="28">
        <f t="shared" si="281"/>
        <v>0.10964912280701754</v>
      </c>
      <c r="AF809" s="28">
        <f t="shared" si="282"/>
        <v>0.5633916158862935</v>
      </c>
      <c r="AG809" s="28">
        <f t="shared" si="283"/>
        <v>0</v>
      </c>
      <c r="AI809" s="31">
        <f t="shared" si="284"/>
        <v>3.5506433671822863</v>
      </c>
      <c r="AJ809" s="25"/>
      <c r="AK809" s="31"/>
      <c r="AM809" s="27"/>
    </row>
    <row r="810" spans="4:39" x14ac:dyDescent="0.25">
      <c r="D810" s="25">
        <f>E810*'Profit per cycles Model'!$I$113</f>
        <v>8009.9999999999991</v>
      </c>
      <c r="E810" s="25">
        <v>21.942199698671413</v>
      </c>
      <c r="F810" s="28">
        <f t="shared" si="265"/>
        <v>0.12484394506866418</v>
      </c>
      <c r="G810" s="28">
        <f>'Battery Pricing Model'!$C$17/D810</f>
        <v>0.12484394506866418</v>
      </c>
      <c r="H810" s="28">
        <f t="shared" si="266"/>
        <v>999</v>
      </c>
      <c r="I810" s="28"/>
      <c r="J810" s="34">
        <f>INDEX('Profit per cycles Model'!$I$149:$I$179, MATCH(TRUNC(E810, 0), 'Profit per cycles Model'!$H$149:$H$179, 0))</f>
        <v>0.67304073869331105</v>
      </c>
      <c r="K810" s="27">
        <f>AVERAGE($J$10:J1810)</f>
        <v>0.56883042089778579</v>
      </c>
      <c r="L810" s="28">
        <f t="shared" si="267"/>
        <v>0.4439864758291216</v>
      </c>
      <c r="M810" s="28">
        <f t="shared" si="268"/>
        <v>0.4439864758291216</v>
      </c>
      <c r="N810" s="28">
        <f t="shared" si="269"/>
        <v>999</v>
      </c>
      <c r="O810" s="28"/>
      <c r="P810" s="29">
        <f t="shared" si="285"/>
        <v>0.8010000000000006</v>
      </c>
      <c r="Q810" s="33">
        <f t="shared" si="270"/>
        <v>6.7114093959731544</v>
      </c>
      <c r="R810" s="33">
        <f t="shared" si="271"/>
        <v>6.7114093959731544</v>
      </c>
      <c r="S810" s="33">
        <f t="shared" si="272"/>
        <v>-1</v>
      </c>
      <c r="T810" s="27"/>
      <c r="U810" s="28">
        <f t="shared" si="273"/>
        <v>0.10964912280701754</v>
      </c>
      <c r="V810" s="25">
        <f t="shared" si="274"/>
        <v>999</v>
      </c>
      <c r="W810" s="35">
        <f t="shared" si="286"/>
        <v>25</v>
      </c>
      <c r="X810" s="33">
        <f t="shared" si="275"/>
        <v>25</v>
      </c>
      <c r="Y810" s="32">
        <f t="shared" si="276"/>
        <v>-1</v>
      </c>
      <c r="Z810" s="32"/>
      <c r="AA810" s="30">
        <f t="shared" si="277"/>
        <v>21.942199698671413</v>
      </c>
      <c r="AB810" s="28">
        <f t="shared" si="278"/>
        <v>0.67304073869331105</v>
      </c>
      <c r="AC810" s="28">
        <f t="shared" si="279"/>
        <v>0.10964912280701754</v>
      </c>
      <c r="AD810" s="29">
        <f t="shared" si="280"/>
        <v>759.9620493358633</v>
      </c>
      <c r="AE810" s="28">
        <f t="shared" si="281"/>
        <v>0.10964912280701754</v>
      </c>
      <c r="AF810" s="28">
        <f t="shared" si="282"/>
        <v>0.5633916158862935</v>
      </c>
      <c r="AG810" s="28">
        <f t="shared" si="283"/>
        <v>0</v>
      </c>
      <c r="AI810" s="31">
        <f t="shared" si="284"/>
        <v>3.5563316713912636</v>
      </c>
      <c r="AJ810" s="25"/>
      <c r="AK810" s="31"/>
      <c r="AM810" s="27"/>
    </row>
    <row r="811" spans="4:39" x14ac:dyDescent="0.25">
      <c r="D811" s="25">
        <f>E811*'Profit per cycles Model'!$I$113</f>
        <v>8020.0000000000009</v>
      </c>
      <c r="E811" s="25">
        <v>21.969593206410082</v>
      </c>
      <c r="F811" s="28">
        <f t="shared" si="265"/>
        <v>0.12468827930174563</v>
      </c>
      <c r="G811" s="28">
        <f>'Battery Pricing Model'!$C$17/D811</f>
        <v>0.12468827930174563</v>
      </c>
      <c r="H811" s="28">
        <f t="shared" si="266"/>
        <v>999</v>
      </c>
      <c r="I811" s="28"/>
      <c r="J811" s="34">
        <f>INDEX('Profit per cycles Model'!$I$149:$I$179, MATCH(TRUNC(E811, 0), 'Profit per cycles Model'!$H$149:$H$179, 0))</f>
        <v>0.67304073869331105</v>
      </c>
      <c r="K811" s="27">
        <f>AVERAGE($J$10:J1811)</f>
        <v>0.56883042089778579</v>
      </c>
      <c r="L811" s="28">
        <f t="shared" si="267"/>
        <v>0.44414214159604015</v>
      </c>
      <c r="M811" s="28">
        <f t="shared" si="268"/>
        <v>0.44414214159604015</v>
      </c>
      <c r="N811" s="28">
        <f t="shared" si="269"/>
        <v>999</v>
      </c>
      <c r="O811" s="28"/>
      <c r="P811" s="29">
        <f t="shared" si="285"/>
        <v>0.8020000000000006</v>
      </c>
      <c r="Q811" s="33">
        <f t="shared" si="270"/>
        <v>6.7114093959731544</v>
      </c>
      <c r="R811" s="33">
        <f t="shared" si="271"/>
        <v>6.7114093959731544</v>
      </c>
      <c r="S811" s="33">
        <f t="shared" si="272"/>
        <v>-1</v>
      </c>
      <c r="T811" s="27"/>
      <c r="U811" s="28">
        <f t="shared" si="273"/>
        <v>0.10964912280701754</v>
      </c>
      <c r="V811" s="25">
        <f t="shared" si="274"/>
        <v>999</v>
      </c>
      <c r="W811" s="35">
        <f t="shared" si="286"/>
        <v>25</v>
      </c>
      <c r="X811" s="33">
        <f t="shared" si="275"/>
        <v>25</v>
      </c>
      <c r="Y811" s="32">
        <f t="shared" si="276"/>
        <v>-1</v>
      </c>
      <c r="Z811" s="32"/>
      <c r="AA811" s="30">
        <f t="shared" si="277"/>
        <v>21.969593206410082</v>
      </c>
      <c r="AB811" s="28">
        <f t="shared" si="278"/>
        <v>0.67304073869331105</v>
      </c>
      <c r="AC811" s="28">
        <f t="shared" si="279"/>
        <v>0.10964912280701754</v>
      </c>
      <c r="AD811" s="29">
        <f t="shared" si="280"/>
        <v>760.91081593927902</v>
      </c>
      <c r="AE811" s="28">
        <f t="shared" si="281"/>
        <v>0.10964912280701754</v>
      </c>
      <c r="AF811" s="28">
        <f t="shared" si="282"/>
        <v>0.5633916158862935</v>
      </c>
      <c r="AG811" s="28">
        <f t="shared" si="283"/>
        <v>0</v>
      </c>
      <c r="AI811" s="31">
        <f t="shared" si="284"/>
        <v>3.5620199756002422</v>
      </c>
      <c r="AJ811" s="25"/>
      <c r="AK811" s="31"/>
      <c r="AM811" s="27"/>
    </row>
    <row r="812" spans="4:39" x14ac:dyDescent="0.25">
      <c r="D812" s="25">
        <f>E812*'Profit per cycles Model'!$I$113</f>
        <v>8030</v>
      </c>
      <c r="E812" s="25">
        <v>21.996986714148747</v>
      </c>
      <c r="F812" s="28">
        <f t="shared" si="265"/>
        <v>0.12453300124533001</v>
      </c>
      <c r="G812" s="28">
        <f>'Battery Pricing Model'!$C$17/D812</f>
        <v>0.12453300124533001</v>
      </c>
      <c r="H812" s="28">
        <f t="shared" si="266"/>
        <v>999</v>
      </c>
      <c r="I812" s="28"/>
      <c r="J812" s="34">
        <f>INDEX('Profit per cycles Model'!$I$149:$I$179, MATCH(TRUNC(E812, 0), 'Profit per cycles Model'!$H$149:$H$179, 0))</f>
        <v>0.67304073869331105</v>
      </c>
      <c r="K812" s="27">
        <f>AVERAGE($J$10:J1812)</f>
        <v>0.56883042089778579</v>
      </c>
      <c r="L812" s="28">
        <f t="shared" si="267"/>
        <v>0.44429741965245578</v>
      </c>
      <c r="M812" s="28">
        <f t="shared" si="268"/>
        <v>0.44429741965245578</v>
      </c>
      <c r="N812" s="28">
        <f t="shared" si="269"/>
        <v>999</v>
      </c>
      <c r="O812" s="28"/>
      <c r="P812" s="29">
        <f t="shared" si="285"/>
        <v>0.8030000000000006</v>
      </c>
      <c r="Q812" s="33">
        <f t="shared" si="270"/>
        <v>6.7114093959731544</v>
      </c>
      <c r="R812" s="33">
        <f t="shared" si="271"/>
        <v>6.7114093959731544</v>
      </c>
      <c r="S812" s="33">
        <f t="shared" si="272"/>
        <v>-1</v>
      </c>
      <c r="T812" s="27"/>
      <c r="U812" s="28">
        <f t="shared" si="273"/>
        <v>0.10964912280701754</v>
      </c>
      <c r="V812" s="25">
        <f t="shared" si="274"/>
        <v>999</v>
      </c>
      <c r="W812" s="35">
        <f t="shared" si="286"/>
        <v>25</v>
      </c>
      <c r="X812" s="33">
        <f t="shared" si="275"/>
        <v>25</v>
      </c>
      <c r="Y812" s="32">
        <f t="shared" si="276"/>
        <v>-1</v>
      </c>
      <c r="Z812" s="32"/>
      <c r="AA812" s="30">
        <f t="shared" si="277"/>
        <v>21.996986714148747</v>
      </c>
      <c r="AB812" s="28">
        <f t="shared" si="278"/>
        <v>0.67304073869331105</v>
      </c>
      <c r="AC812" s="28">
        <f t="shared" si="279"/>
        <v>0.10964912280701754</v>
      </c>
      <c r="AD812" s="29">
        <f t="shared" si="280"/>
        <v>761.85958254269462</v>
      </c>
      <c r="AE812" s="28">
        <f t="shared" si="281"/>
        <v>0.10964912280701754</v>
      </c>
      <c r="AF812" s="28">
        <f t="shared" si="282"/>
        <v>0.5633916158862935</v>
      </c>
      <c r="AG812" s="28">
        <f t="shared" si="283"/>
        <v>0</v>
      </c>
      <c r="AI812" s="31">
        <f t="shared" si="284"/>
        <v>3.5677082798092199</v>
      </c>
      <c r="AJ812" s="25"/>
      <c r="AK812" s="31"/>
      <c r="AM812" s="27"/>
    </row>
    <row r="813" spans="4:39" x14ac:dyDescent="0.25">
      <c r="D813" s="25">
        <f>E813*'Profit per cycles Model'!$I$113</f>
        <v>8040</v>
      </c>
      <c r="E813" s="25">
        <v>22.024380221887412</v>
      </c>
      <c r="F813" s="28">
        <f t="shared" si="265"/>
        <v>0.12437810945273632</v>
      </c>
      <c r="G813" s="28">
        <f>'Battery Pricing Model'!$C$17/D813</f>
        <v>0.12437810945273632</v>
      </c>
      <c r="H813" s="28">
        <f t="shared" si="266"/>
        <v>999</v>
      </c>
      <c r="I813" s="28"/>
      <c r="J813" s="34">
        <f>INDEX('Profit per cycles Model'!$I$149:$I$179, MATCH(TRUNC(E813, 0), 'Profit per cycles Model'!$H$149:$H$179, 0))</f>
        <v>0.69139616892534972</v>
      </c>
      <c r="K813" s="27">
        <f>AVERAGE($J$10:J1813)</f>
        <v>0.56883042089778579</v>
      </c>
      <c r="L813" s="28">
        <f t="shared" si="267"/>
        <v>0.44445231144504949</v>
      </c>
      <c r="M813" s="28">
        <f t="shared" si="268"/>
        <v>0.44445231144504949</v>
      </c>
      <c r="N813" s="28">
        <f t="shared" si="269"/>
        <v>999</v>
      </c>
      <c r="O813" s="28"/>
      <c r="P813" s="29">
        <f t="shared" si="285"/>
        <v>0.8040000000000006</v>
      </c>
      <c r="Q813" s="33">
        <f t="shared" si="270"/>
        <v>6.7114093959731544</v>
      </c>
      <c r="R813" s="33">
        <f t="shared" si="271"/>
        <v>6.7114093959731544</v>
      </c>
      <c r="S813" s="33">
        <f t="shared" si="272"/>
        <v>-1</v>
      </c>
      <c r="T813" s="27"/>
      <c r="U813" s="28">
        <f t="shared" si="273"/>
        <v>0.10964912280701754</v>
      </c>
      <c r="V813" s="25">
        <f t="shared" si="274"/>
        <v>999</v>
      </c>
      <c r="W813" s="35">
        <f t="shared" si="286"/>
        <v>25</v>
      </c>
      <c r="X813" s="33">
        <f t="shared" si="275"/>
        <v>25</v>
      </c>
      <c r="Y813" s="32">
        <f t="shared" si="276"/>
        <v>-1</v>
      </c>
      <c r="Z813" s="32"/>
      <c r="AA813" s="30">
        <f t="shared" si="277"/>
        <v>22.024380221887412</v>
      </c>
      <c r="AB813" s="28">
        <f t="shared" si="278"/>
        <v>0.69139616892534972</v>
      </c>
      <c r="AC813" s="28">
        <f t="shared" si="279"/>
        <v>0.10964912280701754</v>
      </c>
      <c r="AD813" s="29">
        <f t="shared" si="280"/>
        <v>762.80834914611</v>
      </c>
      <c r="AE813" s="28">
        <f t="shared" si="281"/>
        <v>0.10964912280701754</v>
      </c>
      <c r="AF813" s="28">
        <f t="shared" si="282"/>
        <v>0.58174704611833217</v>
      </c>
      <c r="AG813" s="28">
        <f t="shared" si="283"/>
        <v>0</v>
      </c>
      <c r="AI813" s="31">
        <f t="shared" si="284"/>
        <v>3.5733965840181976</v>
      </c>
      <c r="AJ813" s="25"/>
      <c r="AK813" s="31"/>
      <c r="AM813" s="27"/>
    </row>
    <row r="814" spans="4:39" x14ac:dyDescent="0.25">
      <c r="D814" s="25">
        <f>E814*'Profit per cycles Model'!$I$113</f>
        <v>8050</v>
      </c>
      <c r="E814" s="25">
        <v>22.051773729626078</v>
      </c>
      <c r="F814" s="28">
        <f t="shared" si="265"/>
        <v>0.12422360248447205</v>
      </c>
      <c r="G814" s="28">
        <f>'Battery Pricing Model'!$C$17/D814</f>
        <v>0.12422360248447205</v>
      </c>
      <c r="H814" s="28">
        <f t="shared" si="266"/>
        <v>999</v>
      </c>
      <c r="I814" s="28"/>
      <c r="J814" s="34">
        <f>INDEX('Profit per cycles Model'!$I$149:$I$179, MATCH(TRUNC(E814, 0), 'Profit per cycles Model'!$H$149:$H$179, 0))</f>
        <v>0.69139616892534972</v>
      </c>
      <c r="K814" s="27">
        <f>AVERAGE($J$10:J1814)</f>
        <v>0.56883042089778579</v>
      </c>
      <c r="L814" s="28">
        <f t="shared" si="267"/>
        <v>0.44460681841331373</v>
      </c>
      <c r="M814" s="28">
        <f t="shared" si="268"/>
        <v>0.44460681841331373</v>
      </c>
      <c r="N814" s="28">
        <f t="shared" si="269"/>
        <v>999</v>
      </c>
      <c r="O814" s="28"/>
      <c r="P814" s="29">
        <f t="shared" si="285"/>
        <v>0.8050000000000006</v>
      </c>
      <c r="Q814" s="33">
        <f t="shared" si="270"/>
        <v>6.7114093959731544</v>
      </c>
      <c r="R814" s="33">
        <f t="shared" si="271"/>
        <v>6.7114093959731544</v>
      </c>
      <c r="S814" s="33">
        <f t="shared" si="272"/>
        <v>-1</v>
      </c>
      <c r="T814" s="27"/>
      <c r="U814" s="28">
        <f t="shared" si="273"/>
        <v>0.10964912280701754</v>
      </c>
      <c r="V814" s="25">
        <f t="shared" si="274"/>
        <v>999</v>
      </c>
      <c r="W814" s="35">
        <f t="shared" si="286"/>
        <v>25</v>
      </c>
      <c r="X814" s="33">
        <f t="shared" si="275"/>
        <v>25</v>
      </c>
      <c r="Y814" s="32">
        <f t="shared" si="276"/>
        <v>-1</v>
      </c>
      <c r="Z814" s="32"/>
      <c r="AA814" s="30">
        <f t="shared" si="277"/>
        <v>22.051773729626078</v>
      </c>
      <c r="AB814" s="28">
        <f t="shared" si="278"/>
        <v>0.69139616892534972</v>
      </c>
      <c r="AC814" s="28">
        <f t="shared" si="279"/>
        <v>0.10964912280701754</v>
      </c>
      <c r="AD814" s="29">
        <f t="shared" si="280"/>
        <v>763.75711574952561</v>
      </c>
      <c r="AE814" s="28">
        <f t="shared" si="281"/>
        <v>0.10964912280701754</v>
      </c>
      <c r="AF814" s="28">
        <f t="shared" si="282"/>
        <v>0.58174704611833217</v>
      </c>
      <c r="AG814" s="28">
        <f t="shared" si="283"/>
        <v>0</v>
      </c>
      <c r="AI814" s="31">
        <f t="shared" si="284"/>
        <v>3.5790848882271757</v>
      </c>
      <c r="AJ814" s="25"/>
      <c r="AK814" s="31"/>
      <c r="AM814" s="27"/>
    </row>
    <row r="815" spans="4:39" x14ac:dyDescent="0.25">
      <c r="D815" s="25">
        <f>E815*'Profit per cycles Model'!$I$113</f>
        <v>8060</v>
      </c>
      <c r="E815" s="25">
        <v>22.079167237364743</v>
      </c>
      <c r="F815" s="28">
        <f t="shared" si="265"/>
        <v>0.12406947890818859</v>
      </c>
      <c r="G815" s="28">
        <f>'Battery Pricing Model'!$C$17/D815</f>
        <v>0.12406947890818859</v>
      </c>
      <c r="H815" s="28">
        <f t="shared" si="266"/>
        <v>999</v>
      </c>
      <c r="I815" s="28"/>
      <c r="J815" s="34">
        <f>INDEX('Profit per cycles Model'!$I$149:$I$179, MATCH(TRUNC(E815, 0), 'Profit per cycles Model'!$H$149:$H$179, 0))</f>
        <v>0.69139616892534972</v>
      </c>
      <c r="K815" s="27">
        <f>AVERAGE($J$10:J1815)</f>
        <v>0.56883042089778579</v>
      </c>
      <c r="L815" s="28">
        <f t="shared" si="267"/>
        <v>0.4447609419895972</v>
      </c>
      <c r="M815" s="28">
        <f t="shared" si="268"/>
        <v>0.4447609419895972</v>
      </c>
      <c r="N815" s="28">
        <f t="shared" si="269"/>
        <v>999</v>
      </c>
      <c r="O815" s="28"/>
      <c r="P815" s="29">
        <f t="shared" si="285"/>
        <v>0.8060000000000006</v>
      </c>
      <c r="Q815" s="33">
        <f t="shared" si="270"/>
        <v>6.7114093959731544</v>
      </c>
      <c r="R815" s="33">
        <f t="shared" si="271"/>
        <v>6.7114093959731544</v>
      </c>
      <c r="S815" s="33">
        <f t="shared" si="272"/>
        <v>-1</v>
      </c>
      <c r="T815" s="27"/>
      <c r="U815" s="28">
        <f t="shared" si="273"/>
        <v>0.10964912280701754</v>
      </c>
      <c r="V815" s="25">
        <f t="shared" si="274"/>
        <v>999</v>
      </c>
      <c r="W815" s="35">
        <f t="shared" si="286"/>
        <v>25</v>
      </c>
      <c r="X815" s="33">
        <f t="shared" si="275"/>
        <v>25</v>
      </c>
      <c r="Y815" s="32">
        <f t="shared" si="276"/>
        <v>-1</v>
      </c>
      <c r="Z815" s="32"/>
      <c r="AA815" s="30">
        <f t="shared" si="277"/>
        <v>22.079167237364743</v>
      </c>
      <c r="AB815" s="28">
        <f t="shared" si="278"/>
        <v>0.69139616892534972</v>
      </c>
      <c r="AC815" s="28">
        <f t="shared" si="279"/>
        <v>0.10964912280701754</v>
      </c>
      <c r="AD815" s="29">
        <f t="shared" si="280"/>
        <v>764.7058823529411</v>
      </c>
      <c r="AE815" s="28">
        <f t="shared" si="281"/>
        <v>0.10964912280701754</v>
      </c>
      <c r="AF815" s="28">
        <f t="shared" si="282"/>
        <v>0.58174704611833217</v>
      </c>
      <c r="AG815" s="28">
        <f t="shared" si="283"/>
        <v>0</v>
      </c>
      <c r="AI815" s="31">
        <f t="shared" si="284"/>
        <v>3.5847731924361534</v>
      </c>
      <c r="AJ815" s="25"/>
      <c r="AK815" s="31"/>
      <c r="AM815" s="27"/>
    </row>
    <row r="816" spans="4:39" x14ac:dyDescent="0.25">
      <c r="D816" s="25">
        <f>E816*'Profit per cycles Model'!$I$113</f>
        <v>8069.9999999999991</v>
      </c>
      <c r="E816" s="25">
        <v>22.106560745103408</v>
      </c>
      <c r="F816" s="28">
        <f t="shared" si="265"/>
        <v>0.12391573729863695</v>
      </c>
      <c r="G816" s="28">
        <f>'Battery Pricing Model'!$C$17/D816</f>
        <v>0.12391573729863695</v>
      </c>
      <c r="H816" s="28">
        <f t="shared" si="266"/>
        <v>999</v>
      </c>
      <c r="I816" s="28"/>
      <c r="J816" s="34">
        <f>INDEX('Profit per cycles Model'!$I$149:$I$179, MATCH(TRUNC(E816, 0), 'Profit per cycles Model'!$H$149:$H$179, 0))</f>
        <v>0.69139616892534972</v>
      </c>
      <c r="K816" s="27">
        <f>AVERAGE($J$10:J1816)</f>
        <v>0.56883042089778579</v>
      </c>
      <c r="L816" s="28">
        <f t="shared" si="267"/>
        <v>0.44491468359914887</v>
      </c>
      <c r="M816" s="28">
        <f t="shared" si="268"/>
        <v>0.44491468359914887</v>
      </c>
      <c r="N816" s="28">
        <f t="shared" si="269"/>
        <v>999</v>
      </c>
      <c r="O816" s="28"/>
      <c r="P816" s="29">
        <f t="shared" si="285"/>
        <v>0.80700000000000061</v>
      </c>
      <c r="Q816" s="33">
        <f t="shared" si="270"/>
        <v>6.7114093959731544</v>
      </c>
      <c r="R816" s="33">
        <f t="shared" si="271"/>
        <v>6.7114093959731544</v>
      </c>
      <c r="S816" s="33">
        <f t="shared" si="272"/>
        <v>-1</v>
      </c>
      <c r="T816" s="27"/>
      <c r="U816" s="28">
        <f t="shared" si="273"/>
        <v>0.10964912280701754</v>
      </c>
      <c r="V816" s="25">
        <f t="shared" si="274"/>
        <v>999</v>
      </c>
      <c r="W816" s="35">
        <f t="shared" si="286"/>
        <v>25</v>
      </c>
      <c r="X816" s="33">
        <f t="shared" si="275"/>
        <v>25</v>
      </c>
      <c r="Y816" s="32">
        <f t="shared" si="276"/>
        <v>-1</v>
      </c>
      <c r="Z816" s="32"/>
      <c r="AA816" s="30">
        <f t="shared" si="277"/>
        <v>22.106560745103408</v>
      </c>
      <c r="AB816" s="28">
        <f t="shared" si="278"/>
        <v>0.69139616892534972</v>
      </c>
      <c r="AC816" s="28">
        <f t="shared" si="279"/>
        <v>0.10964912280701754</v>
      </c>
      <c r="AD816" s="29">
        <f t="shared" si="280"/>
        <v>765.65464895635671</v>
      </c>
      <c r="AE816" s="28">
        <f t="shared" si="281"/>
        <v>0.10964912280701754</v>
      </c>
      <c r="AF816" s="28">
        <f t="shared" si="282"/>
        <v>0.58174704611833217</v>
      </c>
      <c r="AG816" s="28">
        <f t="shared" si="283"/>
        <v>0</v>
      </c>
      <c r="AI816" s="31">
        <f t="shared" si="284"/>
        <v>3.5904614966451307</v>
      </c>
      <c r="AJ816" s="25"/>
      <c r="AK816" s="31"/>
      <c r="AM816" s="27"/>
    </row>
    <row r="817" spans="4:39" x14ac:dyDescent="0.25">
      <c r="D817" s="25">
        <f>E817*'Profit per cycles Model'!$I$113</f>
        <v>8080.0000000000009</v>
      </c>
      <c r="E817" s="25">
        <v>22.133954252842077</v>
      </c>
      <c r="F817" s="28">
        <f t="shared" si="265"/>
        <v>0.12376237623762375</v>
      </c>
      <c r="G817" s="28">
        <f>'Battery Pricing Model'!$C$17/D817</f>
        <v>0.12376237623762375</v>
      </c>
      <c r="H817" s="28">
        <f t="shared" si="266"/>
        <v>999</v>
      </c>
      <c r="I817" s="28"/>
      <c r="J817" s="34">
        <f>INDEX('Profit per cycles Model'!$I$149:$I$179, MATCH(TRUNC(E817, 0), 'Profit per cycles Model'!$H$149:$H$179, 0))</f>
        <v>0.69139616892534972</v>
      </c>
      <c r="K817" s="27">
        <f>AVERAGE($J$10:J1817)</f>
        <v>0.56883042089778579</v>
      </c>
      <c r="L817" s="28">
        <f t="shared" si="267"/>
        <v>0.44506804466016203</v>
      </c>
      <c r="M817" s="28">
        <f t="shared" si="268"/>
        <v>0.44506804466016203</v>
      </c>
      <c r="N817" s="28">
        <f t="shared" si="269"/>
        <v>999</v>
      </c>
      <c r="O817" s="28"/>
      <c r="P817" s="29">
        <f t="shared" si="285"/>
        <v>0.80800000000000061</v>
      </c>
      <c r="Q817" s="33">
        <f t="shared" si="270"/>
        <v>6.7114093959731544</v>
      </c>
      <c r="R817" s="33">
        <f t="shared" si="271"/>
        <v>6.7114093959731544</v>
      </c>
      <c r="S817" s="33">
        <f t="shared" si="272"/>
        <v>-1</v>
      </c>
      <c r="T817" s="27"/>
      <c r="U817" s="28">
        <f t="shared" si="273"/>
        <v>0.10964912280701754</v>
      </c>
      <c r="V817" s="25">
        <f t="shared" si="274"/>
        <v>999</v>
      </c>
      <c r="W817" s="35">
        <f t="shared" si="286"/>
        <v>25</v>
      </c>
      <c r="X817" s="33">
        <f t="shared" si="275"/>
        <v>25</v>
      </c>
      <c r="Y817" s="32">
        <f t="shared" si="276"/>
        <v>-1</v>
      </c>
      <c r="Z817" s="32"/>
      <c r="AA817" s="30">
        <f t="shared" si="277"/>
        <v>22.133954252842077</v>
      </c>
      <c r="AB817" s="28">
        <f t="shared" si="278"/>
        <v>0.69139616892534972</v>
      </c>
      <c r="AC817" s="28">
        <f t="shared" si="279"/>
        <v>0.10964912280701754</v>
      </c>
      <c r="AD817" s="29">
        <f t="shared" si="280"/>
        <v>766.60341555977243</v>
      </c>
      <c r="AE817" s="28">
        <f t="shared" si="281"/>
        <v>0.10964912280701754</v>
      </c>
      <c r="AF817" s="28">
        <f t="shared" si="282"/>
        <v>0.58174704611833217</v>
      </c>
      <c r="AG817" s="28">
        <f t="shared" si="283"/>
        <v>0</v>
      </c>
      <c r="AI817" s="31">
        <f t="shared" si="284"/>
        <v>3.5961498008541097</v>
      </c>
      <c r="AJ817" s="25"/>
      <c r="AK817" s="31"/>
      <c r="AM817" s="27"/>
    </row>
    <row r="818" spans="4:39" x14ac:dyDescent="0.25">
      <c r="D818" s="25">
        <f>E818*'Profit per cycles Model'!$I$113</f>
        <v>8090</v>
      </c>
      <c r="E818" s="25">
        <v>22.161347760580743</v>
      </c>
      <c r="F818" s="28">
        <f t="shared" si="265"/>
        <v>0.12360939431396786</v>
      </c>
      <c r="G818" s="28">
        <f>'Battery Pricing Model'!$C$17/D818</f>
        <v>0.12360939431396786</v>
      </c>
      <c r="H818" s="28">
        <f t="shared" si="266"/>
        <v>999</v>
      </c>
      <c r="I818" s="28"/>
      <c r="J818" s="34">
        <f>INDEX('Profit per cycles Model'!$I$149:$I$179, MATCH(TRUNC(E818, 0), 'Profit per cycles Model'!$H$149:$H$179, 0))</f>
        <v>0.69139616892534972</v>
      </c>
      <c r="K818" s="27">
        <f>AVERAGE($J$10:J1818)</f>
        <v>0.56883042089778579</v>
      </c>
      <c r="L818" s="28">
        <f t="shared" si="267"/>
        <v>0.4452210265838179</v>
      </c>
      <c r="M818" s="28">
        <f t="shared" si="268"/>
        <v>0.4452210265838179</v>
      </c>
      <c r="N818" s="28">
        <f t="shared" si="269"/>
        <v>999</v>
      </c>
      <c r="O818" s="28"/>
      <c r="P818" s="29">
        <f t="shared" si="285"/>
        <v>0.80900000000000061</v>
      </c>
      <c r="Q818" s="33">
        <f t="shared" si="270"/>
        <v>6.7114093959731544</v>
      </c>
      <c r="R818" s="33">
        <f t="shared" si="271"/>
        <v>6.7114093959731544</v>
      </c>
      <c r="S818" s="33">
        <f t="shared" si="272"/>
        <v>-1</v>
      </c>
      <c r="T818" s="27"/>
      <c r="U818" s="28">
        <f t="shared" si="273"/>
        <v>0.10964912280701754</v>
      </c>
      <c r="V818" s="25">
        <f t="shared" si="274"/>
        <v>999</v>
      </c>
      <c r="W818" s="35">
        <f t="shared" si="286"/>
        <v>25</v>
      </c>
      <c r="X818" s="33">
        <f t="shared" si="275"/>
        <v>25</v>
      </c>
      <c r="Y818" s="32">
        <f t="shared" si="276"/>
        <v>-1</v>
      </c>
      <c r="Z818" s="32"/>
      <c r="AA818" s="30">
        <f t="shared" si="277"/>
        <v>22.161347760580743</v>
      </c>
      <c r="AB818" s="28">
        <f t="shared" si="278"/>
        <v>0.69139616892534972</v>
      </c>
      <c r="AC818" s="28">
        <f t="shared" si="279"/>
        <v>0.10964912280701754</v>
      </c>
      <c r="AD818" s="29">
        <f t="shared" si="280"/>
        <v>767.55218216318792</v>
      </c>
      <c r="AE818" s="28">
        <f t="shared" si="281"/>
        <v>0.10964912280701754</v>
      </c>
      <c r="AF818" s="28">
        <f t="shared" si="282"/>
        <v>0.58174704611833217</v>
      </c>
      <c r="AG818" s="28">
        <f t="shared" si="283"/>
        <v>0</v>
      </c>
      <c r="AI818" s="31">
        <f t="shared" si="284"/>
        <v>3.601838105063087</v>
      </c>
      <c r="AJ818" s="25"/>
      <c r="AK818" s="31"/>
      <c r="AM818" s="27"/>
    </row>
    <row r="819" spans="4:39" x14ac:dyDescent="0.25">
      <c r="D819" s="25">
        <f>E819*'Profit per cycles Model'!$I$113</f>
        <v>8100</v>
      </c>
      <c r="E819" s="25">
        <v>22.188741268319408</v>
      </c>
      <c r="F819" s="28">
        <f t="shared" si="265"/>
        <v>0.12345679012345678</v>
      </c>
      <c r="G819" s="28">
        <f>'Battery Pricing Model'!$C$17/D819</f>
        <v>0.12345679012345678</v>
      </c>
      <c r="H819" s="28">
        <f t="shared" si="266"/>
        <v>999</v>
      </c>
      <c r="I819" s="28"/>
      <c r="J819" s="34">
        <f>INDEX('Profit per cycles Model'!$I$149:$I$179, MATCH(TRUNC(E819, 0), 'Profit per cycles Model'!$H$149:$H$179, 0))</f>
        <v>0.69139616892534972</v>
      </c>
      <c r="K819" s="27">
        <f>AVERAGE($J$10:J1819)</f>
        <v>0.56883042089778579</v>
      </c>
      <c r="L819" s="28">
        <f t="shared" si="267"/>
        <v>0.44537363077432901</v>
      </c>
      <c r="M819" s="28">
        <f t="shared" si="268"/>
        <v>0.44537363077432901</v>
      </c>
      <c r="N819" s="28">
        <f t="shared" si="269"/>
        <v>999</v>
      </c>
      <c r="O819" s="28"/>
      <c r="P819" s="29">
        <f t="shared" si="285"/>
        <v>0.81000000000000061</v>
      </c>
      <c r="Q819" s="33">
        <f t="shared" si="270"/>
        <v>6.7114093959731544</v>
      </c>
      <c r="R819" s="33">
        <f t="shared" si="271"/>
        <v>6.7114093959731544</v>
      </c>
      <c r="S819" s="33">
        <f t="shared" si="272"/>
        <v>-1</v>
      </c>
      <c r="T819" s="27"/>
      <c r="U819" s="28">
        <f t="shared" si="273"/>
        <v>0.10964912280701754</v>
      </c>
      <c r="V819" s="25">
        <f t="shared" si="274"/>
        <v>999</v>
      </c>
      <c r="W819" s="35">
        <f t="shared" si="286"/>
        <v>25</v>
      </c>
      <c r="X819" s="33">
        <f t="shared" si="275"/>
        <v>25</v>
      </c>
      <c r="Y819" s="32">
        <f t="shared" si="276"/>
        <v>-1</v>
      </c>
      <c r="Z819" s="32"/>
      <c r="AA819" s="30">
        <f t="shared" si="277"/>
        <v>22.188741268319408</v>
      </c>
      <c r="AB819" s="28">
        <f t="shared" si="278"/>
        <v>0.69139616892534972</v>
      </c>
      <c r="AC819" s="28">
        <f t="shared" si="279"/>
        <v>0.10964912280701754</v>
      </c>
      <c r="AD819" s="29">
        <f t="shared" si="280"/>
        <v>768.50094876660353</v>
      </c>
      <c r="AE819" s="28">
        <f t="shared" si="281"/>
        <v>0.10964912280701754</v>
      </c>
      <c r="AF819" s="28">
        <f t="shared" si="282"/>
        <v>0.58174704611833217</v>
      </c>
      <c r="AG819" s="28">
        <f t="shared" si="283"/>
        <v>0</v>
      </c>
      <c r="AI819" s="31">
        <f t="shared" si="284"/>
        <v>3.6075264092720651</v>
      </c>
      <c r="AJ819" s="25"/>
      <c r="AK819" s="31"/>
      <c r="AM819" s="27"/>
    </row>
    <row r="820" spans="4:39" x14ac:dyDescent="0.25">
      <c r="D820" s="25">
        <f>E820*'Profit per cycles Model'!$I$113</f>
        <v>8110</v>
      </c>
      <c r="E820" s="25">
        <v>22.216134776058073</v>
      </c>
      <c r="F820" s="28">
        <f t="shared" si="265"/>
        <v>0.12330456226880394</v>
      </c>
      <c r="G820" s="28">
        <f>'Battery Pricing Model'!$C$17/D820</f>
        <v>0.12330456226880394</v>
      </c>
      <c r="H820" s="28">
        <f t="shared" si="266"/>
        <v>999</v>
      </c>
      <c r="I820" s="28"/>
      <c r="J820" s="34">
        <f>INDEX('Profit per cycles Model'!$I$149:$I$179, MATCH(TRUNC(E820, 0), 'Profit per cycles Model'!$H$149:$H$179, 0))</f>
        <v>0.69139616892534972</v>
      </c>
      <c r="K820" s="27">
        <f>AVERAGE($J$10:J1820)</f>
        <v>0.56883042089778579</v>
      </c>
      <c r="L820" s="28">
        <f t="shared" si="267"/>
        <v>0.44552585862898186</v>
      </c>
      <c r="M820" s="28">
        <f t="shared" si="268"/>
        <v>0.44552585862898186</v>
      </c>
      <c r="N820" s="28">
        <f t="shared" si="269"/>
        <v>999</v>
      </c>
      <c r="O820" s="28"/>
      <c r="P820" s="29">
        <f t="shared" si="285"/>
        <v>0.81100000000000061</v>
      </c>
      <c r="Q820" s="33">
        <f t="shared" si="270"/>
        <v>6.7114093959731544</v>
      </c>
      <c r="R820" s="33">
        <f t="shared" si="271"/>
        <v>6.7114093959731544</v>
      </c>
      <c r="S820" s="33">
        <f t="shared" si="272"/>
        <v>-1</v>
      </c>
      <c r="T820" s="27"/>
      <c r="U820" s="28">
        <f t="shared" si="273"/>
        <v>0.10964912280701754</v>
      </c>
      <c r="V820" s="25">
        <f t="shared" si="274"/>
        <v>999</v>
      </c>
      <c r="W820" s="35">
        <f t="shared" si="286"/>
        <v>25</v>
      </c>
      <c r="X820" s="33">
        <f t="shared" si="275"/>
        <v>25</v>
      </c>
      <c r="Y820" s="32">
        <f t="shared" si="276"/>
        <v>-1</v>
      </c>
      <c r="Z820" s="32"/>
      <c r="AA820" s="30">
        <f t="shared" si="277"/>
        <v>22.216134776058073</v>
      </c>
      <c r="AB820" s="28">
        <f t="shared" si="278"/>
        <v>0.69139616892534972</v>
      </c>
      <c r="AC820" s="28">
        <f t="shared" si="279"/>
        <v>0.10964912280701754</v>
      </c>
      <c r="AD820" s="29">
        <f t="shared" si="280"/>
        <v>769.44971537001891</v>
      </c>
      <c r="AE820" s="28">
        <f t="shared" si="281"/>
        <v>0.10964912280701754</v>
      </c>
      <c r="AF820" s="28">
        <f t="shared" si="282"/>
        <v>0.58174704611833217</v>
      </c>
      <c r="AG820" s="28">
        <f t="shared" si="283"/>
        <v>0</v>
      </c>
      <c r="AI820" s="31">
        <f t="shared" si="284"/>
        <v>3.6132147134810428</v>
      </c>
      <c r="AJ820" s="25"/>
      <c r="AK820" s="31"/>
      <c r="AM820" s="27"/>
    </row>
    <row r="821" spans="4:39" x14ac:dyDescent="0.25">
      <c r="D821" s="25">
        <f>E821*'Profit per cycles Model'!$I$113</f>
        <v>8120</v>
      </c>
      <c r="E821" s="25">
        <v>22.243528283796739</v>
      </c>
      <c r="F821" s="28">
        <f t="shared" si="265"/>
        <v>0.12315270935960591</v>
      </c>
      <c r="G821" s="28">
        <f>'Battery Pricing Model'!$C$17/D821</f>
        <v>0.12315270935960591</v>
      </c>
      <c r="H821" s="28">
        <f t="shared" si="266"/>
        <v>999</v>
      </c>
      <c r="I821" s="28"/>
      <c r="J821" s="34">
        <f>INDEX('Profit per cycles Model'!$I$149:$I$179, MATCH(TRUNC(E821, 0), 'Profit per cycles Model'!$H$149:$H$179, 0))</f>
        <v>0.69139616892534972</v>
      </c>
      <c r="K821" s="27">
        <f>AVERAGE($J$10:J1821)</f>
        <v>0.56883042089778579</v>
      </c>
      <c r="L821" s="28">
        <f t="shared" si="267"/>
        <v>0.44567771153817987</v>
      </c>
      <c r="M821" s="28">
        <f t="shared" si="268"/>
        <v>0.44567771153817987</v>
      </c>
      <c r="N821" s="28">
        <f t="shared" si="269"/>
        <v>999</v>
      </c>
      <c r="O821" s="28"/>
      <c r="P821" s="29">
        <f t="shared" si="285"/>
        <v>0.81200000000000061</v>
      </c>
      <c r="Q821" s="33">
        <f t="shared" si="270"/>
        <v>6.7114093959731544</v>
      </c>
      <c r="R821" s="33">
        <f t="shared" si="271"/>
        <v>6.7114093959731544</v>
      </c>
      <c r="S821" s="33">
        <f t="shared" si="272"/>
        <v>-1</v>
      </c>
      <c r="T821" s="27"/>
      <c r="U821" s="28">
        <f t="shared" si="273"/>
        <v>0.10964912280701754</v>
      </c>
      <c r="V821" s="25">
        <f t="shared" si="274"/>
        <v>999</v>
      </c>
      <c r="W821" s="35">
        <f t="shared" si="286"/>
        <v>25</v>
      </c>
      <c r="X821" s="33">
        <f t="shared" si="275"/>
        <v>25</v>
      </c>
      <c r="Y821" s="32">
        <f t="shared" si="276"/>
        <v>-1</v>
      </c>
      <c r="Z821" s="32"/>
      <c r="AA821" s="30">
        <f t="shared" si="277"/>
        <v>22.243528283796739</v>
      </c>
      <c r="AB821" s="28">
        <f t="shared" si="278"/>
        <v>0.69139616892534972</v>
      </c>
      <c r="AC821" s="28">
        <f t="shared" si="279"/>
        <v>0.10964912280701754</v>
      </c>
      <c r="AD821" s="29">
        <f t="shared" si="280"/>
        <v>770.39848197343451</v>
      </c>
      <c r="AE821" s="28">
        <f t="shared" si="281"/>
        <v>0.10964912280701754</v>
      </c>
      <c r="AF821" s="28">
        <f t="shared" si="282"/>
        <v>0.58174704611833217</v>
      </c>
      <c r="AG821" s="28">
        <f t="shared" si="283"/>
        <v>0</v>
      </c>
      <c r="AI821" s="31">
        <f t="shared" si="284"/>
        <v>3.6189030176900205</v>
      </c>
      <c r="AJ821" s="25"/>
      <c r="AK821" s="31"/>
      <c r="AM821" s="27"/>
    </row>
    <row r="822" spans="4:39" x14ac:dyDescent="0.25">
      <c r="D822" s="25">
        <f>E822*'Profit per cycles Model'!$I$113</f>
        <v>8129.9999999999991</v>
      </c>
      <c r="E822" s="25">
        <v>22.270921791535404</v>
      </c>
      <c r="F822" s="28">
        <f t="shared" si="265"/>
        <v>0.12300123001230014</v>
      </c>
      <c r="G822" s="28">
        <f>'Battery Pricing Model'!$C$17/D822</f>
        <v>0.12300123001230014</v>
      </c>
      <c r="H822" s="28">
        <f t="shared" si="266"/>
        <v>999</v>
      </c>
      <c r="I822" s="28"/>
      <c r="J822" s="34">
        <f>INDEX('Profit per cycles Model'!$I$149:$I$179, MATCH(TRUNC(E822, 0), 'Profit per cycles Model'!$H$149:$H$179, 0))</f>
        <v>0.69139616892534972</v>
      </c>
      <c r="K822" s="27">
        <f>AVERAGE($J$10:J1822)</f>
        <v>0.56883042089778579</v>
      </c>
      <c r="L822" s="28">
        <f t="shared" si="267"/>
        <v>0.44582919088548567</v>
      </c>
      <c r="M822" s="28">
        <f t="shared" si="268"/>
        <v>0.44582919088548567</v>
      </c>
      <c r="N822" s="28">
        <f t="shared" si="269"/>
        <v>999</v>
      </c>
      <c r="O822" s="28"/>
      <c r="P822" s="29">
        <f t="shared" si="285"/>
        <v>0.81300000000000061</v>
      </c>
      <c r="Q822" s="33">
        <f t="shared" si="270"/>
        <v>6.7114093959731544</v>
      </c>
      <c r="R822" s="33">
        <f t="shared" si="271"/>
        <v>6.7114093959731544</v>
      </c>
      <c r="S822" s="33">
        <f t="shared" si="272"/>
        <v>-1</v>
      </c>
      <c r="T822" s="27"/>
      <c r="U822" s="28">
        <f t="shared" si="273"/>
        <v>0.10964912280701754</v>
      </c>
      <c r="V822" s="25">
        <f t="shared" si="274"/>
        <v>999</v>
      </c>
      <c r="W822" s="35">
        <f t="shared" si="286"/>
        <v>25</v>
      </c>
      <c r="X822" s="33">
        <f t="shared" si="275"/>
        <v>25</v>
      </c>
      <c r="Y822" s="32">
        <f t="shared" si="276"/>
        <v>-1</v>
      </c>
      <c r="Z822" s="32"/>
      <c r="AA822" s="30">
        <f t="shared" si="277"/>
        <v>22.270921791535404</v>
      </c>
      <c r="AB822" s="28">
        <f t="shared" si="278"/>
        <v>0.69139616892534972</v>
      </c>
      <c r="AC822" s="28">
        <f t="shared" si="279"/>
        <v>0.10964912280701754</v>
      </c>
      <c r="AD822" s="29">
        <f t="shared" si="280"/>
        <v>771.34724857685012</v>
      </c>
      <c r="AE822" s="28">
        <f t="shared" si="281"/>
        <v>0.10964912280701754</v>
      </c>
      <c r="AF822" s="28">
        <f t="shared" si="282"/>
        <v>0.58174704611833217</v>
      </c>
      <c r="AG822" s="28">
        <f t="shared" si="283"/>
        <v>0</v>
      </c>
      <c r="AI822" s="31">
        <f t="shared" si="284"/>
        <v>3.6245913218989982</v>
      </c>
      <c r="AJ822" s="25"/>
      <c r="AK822" s="31"/>
      <c r="AM822" s="27"/>
    </row>
    <row r="823" spans="4:39" x14ac:dyDescent="0.25">
      <c r="D823" s="25">
        <f>E823*'Profit per cycles Model'!$I$113</f>
        <v>8140.0000000000009</v>
      </c>
      <c r="E823" s="25">
        <v>22.298315299274073</v>
      </c>
      <c r="F823" s="28">
        <f t="shared" si="265"/>
        <v>0.12285012285012284</v>
      </c>
      <c r="G823" s="28">
        <f>'Battery Pricing Model'!$C$17/D823</f>
        <v>0.12285012285012284</v>
      </c>
      <c r="H823" s="28">
        <f t="shared" si="266"/>
        <v>999</v>
      </c>
      <c r="I823" s="28"/>
      <c r="J823" s="34">
        <f>INDEX('Profit per cycles Model'!$I$149:$I$179, MATCH(TRUNC(E823, 0), 'Profit per cycles Model'!$H$149:$H$179, 0))</f>
        <v>0.69139616892534972</v>
      </c>
      <c r="K823" s="27">
        <f>AVERAGE($J$10:J1823)</f>
        <v>0.56883042089778579</v>
      </c>
      <c r="L823" s="28">
        <f t="shared" si="267"/>
        <v>0.44598029804766293</v>
      </c>
      <c r="M823" s="28">
        <f t="shared" si="268"/>
        <v>0.44598029804766293</v>
      </c>
      <c r="N823" s="28">
        <f t="shared" si="269"/>
        <v>999</v>
      </c>
      <c r="O823" s="28"/>
      <c r="P823" s="29">
        <f t="shared" si="285"/>
        <v>0.81400000000000061</v>
      </c>
      <c r="Q823" s="33">
        <f t="shared" si="270"/>
        <v>6.7114093959731544</v>
      </c>
      <c r="R823" s="33">
        <f t="shared" si="271"/>
        <v>6.7114093959731544</v>
      </c>
      <c r="S823" s="33">
        <f t="shared" si="272"/>
        <v>-1</v>
      </c>
      <c r="T823" s="27"/>
      <c r="U823" s="28">
        <f t="shared" si="273"/>
        <v>0.10964912280701754</v>
      </c>
      <c r="V823" s="25">
        <f t="shared" si="274"/>
        <v>999</v>
      </c>
      <c r="W823" s="35">
        <f t="shared" si="286"/>
        <v>25</v>
      </c>
      <c r="X823" s="33">
        <f t="shared" si="275"/>
        <v>25</v>
      </c>
      <c r="Y823" s="32">
        <f t="shared" si="276"/>
        <v>-1</v>
      </c>
      <c r="Z823" s="32"/>
      <c r="AA823" s="30">
        <f t="shared" si="277"/>
        <v>22.298315299274073</v>
      </c>
      <c r="AB823" s="28">
        <f t="shared" si="278"/>
        <v>0.69139616892534972</v>
      </c>
      <c r="AC823" s="28">
        <f t="shared" si="279"/>
        <v>0.10964912280701754</v>
      </c>
      <c r="AD823" s="29">
        <f t="shared" si="280"/>
        <v>772.29601518026573</v>
      </c>
      <c r="AE823" s="28">
        <f t="shared" si="281"/>
        <v>0.10964912280701754</v>
      </c>
      <c r="AF823" s="28">
        <f t="shared" si="282"/>
        <v>0.58174704611833217</v>
      </c>
      <c r="AG823" s="28">
        <f t="shared" si="283"/>
        <v>0</v>
      </c>
      <c r="AI823" s="31">
        <f t="shared" si="284"/>
        <v>3.6302796261079764</v>
      </c>
      <c r="AJ823" s="25"/>
      <c r="AK823" s="31"/>
      <c r="AM823" s="27"/>
    </row>
    <row r="824" spans="4:39" x14ac:dyDescent="0.25">
      <c r="D824" s="25">
        <f>E824*'Profit per cycles Model'!$I$113</f>
        <v>8150</v>
      </c>
      <c r="E824" s="25">
        <v>22.325708807012738</v>
      </c>
      <c r="F824" s="28">
        <f t="shared" si="265"/>
        <v>0.12269938650306748</v>
      </c>
      <c r="G824" s="28">
        <f>'Battery Pricing Model'!$C$17/D824</f>
        <v>0.12269938650306748</v>
      </c>
      <c r="H824" s="28">
        <f t="shared" si="266"/>
        <v>999</v>
      </c>
      <c r="I824" s="28"/>
      <c r="J824" s="34">
        <f>INDEX('Profit per cycles Model'!$I$149:$I$179, MATCH(TRUNC(E824, 0), 'Profit per cycles Model'!$H$149:$H$179, 0))</f>
        <v>0.69139616892534972</v>
      </c>
      <c r="K824" s="27">
        <f>AVERAGE($J$10:J1824)</f>
        <v>0.56883042089778579</v>
      </c>
      <c r="L824" s="28">
        <f t="shared" si="267"/>
        <v>0.4461310343947183</v>
      </c>
      <c r="M824" s="28">
        <f t="shared" si="268"/>
        <v>0.4461310343947183</v>
      </c>
      <c r="N824" s="28">
        <f t="shared" si="269"/>
        <v>999</v>
      </c>
      <c r="O824" s="28"/>
      <c r="P824" s="29">
        <f t="shared" si="285"/>
        <v>0.81500000000000061</v>
      </c>
      <c r="Q824" s="33">
        <f t="shared" si="270"/>
        <v>6.7114093959731544</v>
      </c>
      <c r="R824" s="33">
        <f t="shared" si="271"/>
        <v>6.7114093959731544</v>
      </c>
      <c r="S824" s="33">
        <f t="shared" si="272"/>
        <v>-1</v>
      </c>
      <c r="T824" s="27"/>
      <c r="U824" s="28">
        <f t="shared" si="273"/>
        <v>0.10964912280701754</v>
      </c>
      <c r="V824" s="25">
        <f t="shared" si="274"/>
        <v>999</v>
      </c>
      <c r="W824" s="35">
        <f t="shared" si="286"/>
        <v>25</v>
      </c>
      <c r="X824" s="33">
        <f t="shared" si="275"/>
        <v>25</v>
      </c>
      <c r="Y824" s="32">
        <f t="shared" si="276"/>
        <v>-1</v>
      </c>
      <c r="Z824" s="32"/>
      <c r="AA824" s="30">
        <f t="shared" si="277"/>
        <v>22.325708807012738</v>
      </c>
      <c r="AB824" s="28">
        <f t="shared" si="278"/>
        <v>0.69139616892534972</v>
      </c>
      <c r="AC824" s="28">
        <f t="shared" si="279"/>
        <v>0.10964912280701754</v>
      </c>
      <c r="AD824" s="29">
        <f t="shared" si="280"/>
        <v>773.24478178368133</v>
      </c>
      <c r="AE824" s="28">
        <f t="shared" si="281"/>
        <v>0.10964912280701754</v>
      </c>
      <c r="AF824" s="28">
        <f t="shared" si="282"/>
        <v>0.58174704611833217</v>
      </c>
      <c r="AG824" s="28">
        <f t="shared" si="283"/>
        <v>0</v>
      </c>
      <c r="AI824" s="31">
        <f t="shared" si="284"/>
        <v>3.6359679303169541</v>
      </c>
      <c r="AJ824" s="25"/>
      <c r="AK824" s="31"/>
      <c r="AM824" s="27"/>
    </row>
    <row r="825" spans="4:39" x14ac:dyDescent="0.25">
      <c r="D825" s="25">
        <f>E825*'Profit per cycles Model'!$I$113</f>
        <v>8160</v>
      </c>
      <c r="E825" s="25">
        <v>22.353102314751403</v>
      </c>
      <c r="F825" s="28">
        <f t="shared" si="265"/>
        <v>0.12254901960784313</v>
      </c>
      <c r="G825" s="28">
        <f>'Battery Pricing Model'!$C$17/D825</f>
        <v>0.12254901960784313</v>
      </c>
      <c r="H825" s="28">
        <f t="shared" si="266"/>
        <v>999</v>
      </c>
      <c r="I825" s="28"/>
      <c r="J825" s="34">
        <f>INDEX('Profit per cycles Model'!$I$149:$I$179, MATCH(TRUNC(E825, 0), 'Profit per cycles Model'!$H$149:$H$179, 0))</f>
        <v>0.69139616892534972</v>
      </c>
      <c r="K825" s="27">
        <f>AVERAGE($J$10:J1825)</f>
        <v>0.56883042089778579</v>
      </c>
      <c r="L825" s="28">
        <f t="shared" si="267"/>
        <v>0.44628140128994265</v>
      </c>
      <c r="M825" s="28">
        <f t="shared" si="268"/>
        <v>0.44628140128994265</v>
      </c>
      <c r="N825" s="28">
        <f t="shared" si="269"/>
        <v>999</v>
      </c>
      <c r="O825" s="28"/>
      <c r="P825" s="29">
        <f t="shared" si="285"/>
        <v>0.81600000000000061</v>
      </c>
      <c r="Q825" s="33">
        <f t="shared" si="270"/>
        <v>6.7114093959731544</v>
      </c>
      <c r="R825" s="33">
        <f t="shared" si="271"/>
        <v>6.7114093959731544</v>
      </c>
      <c r="S825" s="33">
        <f t="shared" si="272"/>
        <v>-1</v>
      </c>
      <c r="T825" s="27"/>
      <c r="U825" s="28">
        <f t="shared" si="273"/>
        <v>0.10964912280701754</v>
      </c>
      <c r="V825" s="25">
        <f t="shared" si="274"/>
        <v>999</v>
      </c>
      <c r="W825" s="35">
        <f t="shared" si="286"/>
        <v>25</v>
      </c>
      <c r="X825" s="33">
        <f t="shared" si="275"/>
        <v>25</v>
      </c>
      <c r="Y825" s="32">
        <f t="shared" si="276"/>
        <v>-1</v>
      </c>
      <c r="Z825" s="32"/>
      <c r="AA825" s="30">
        <f t="shared" si="277"/>
        <v>22.353102314751403</v>
      </c>
      <c r="AB825" s="28">
        <f t="shared" si="278"/>
        <v>0.69139616892534972</v>
      </c>
      <c r="AC825" s="28">
        <f t="shared" si="279"/>
        <v>0.10964912280701754</v>
      </c>
      <c r="AD825" s="29">
        <f t="shared" si="280"/>
        <v>774.19354838709671</v>
      </c>
      <c r="AE825" s="28">
        <f t="shared" si="281"/>
        <v>0.10964912280701754</v>
      </c>
      <c r="AF825" s="28">
        <f t="shared" si="282"/>
        <v>0.58174704611833217</v>
      </c>
      <c r="AG825" s="28">
        <f t="shared" si="283"/>
        <v>0</v>
      </c>
      <c r="AI825" s="31">
        <f t="shared" si="284"/>
        <v>3.6416562345259322</v>
      </c>
      <c r="AJ825" s="25"/>
      <c r="AK825" s="31"/>
      <c r="AM825" s="27"/>
    </row>
    <row r="826" spans="4:39" x14ac:dyDescent="0.25">
      <c r="D826" s="25">
        <f>E826*'Profit per cycles Model'!$I$113</f>
        <v>8170</v>
      </c>
      <c r="E826" s="25">
        <v>22.380495822490069</v>
      </c>
      <c r="F826" s="28">
        <f t="shared" si="265"/>
        <v>0.12239902080783353</v>
      </c>
      <c r="G826" s="28">
        <f>'Battery Pricing Model'!$C$17/D826</f>
        <v>0.12239902080783353</v>
      </c>
      <c r="H826" s="28">
        <f t="shared" si="266"/>
        <v>999</v>
      </c>
      <c r="I826" s="28"/>
      <c r="J826" s="34">
        <f>INDEX('Profit per cycles Model'!$I$149:$I$179, MATCH(TRUNC(E826, 0), 'Profit per cycles Model'!$H$149:$H$179, 0))</f>
        <v>0.69139616892534972</v>
      </c>
      <c r="K826" s="27">
        <f>AVERAGE($J$10:J1826)</f>
        <v>0.56883042089778579</v>
      </c>
      <c r="L826" s="28">
        <f t="shared" si="267"/>
        <v>0.44643140008995225</v>
      </c>
      <c r="M826" s="28">
        <f t="shared" si="268"/>
        <v>0.44643140008995225</v>
      </c>
      <c r="N826" s="28">
        <f t="shared" si="269"/>
        <v>999</v>
      </c>
      <c r="O826" s="28"/>
      <c r="P826" s="29">
        <f t="shared" si="285"/>
        <v>0.81700000000000061</v>
      </c>
      <c r="Q826" s="33">
        <f t="shared" si="270"/>
        <v>6.7114093959731544</v>
      </c>
      <c r="R826" s="33">
        <f t="shared" si="271"/>
        <v>6.7114093959731544</v>
      </c>
      <c r="S826" s="33">
        <f t="shared" si="272"/>
        <v>-1</v>
      </c>
      <c r="T826" s="27"/>
      <c r="U826" s="28">
        <f t="shared" si="273"/>
        <v>0.10964912280701754</v>
      </c>
      <c r="V826" s="25">
        <f t="shared" si="274"/>
        <v>999</v>
      </c>
      <c r="W826" s="35">
        <f t="shared" si="286"/>
        <v>25</v>
      </c>
      <c r="X826" s="33">
        <f t="shared" si="275"/>
        <v>25</v>
      </c>
      <c r="Y826" s="32">
        <f t="shared" si="276"/>
        <v>-1</v>
      </c>
      <c r="Z826" s="32"/>
      <c r="AA826" s="30">
        <f t="shared" si="277"/>
        <v>22.380495822490069</v>
      </c>
      <c r="AB826" s="28">
        <f t="shared" si="278"/>
        <v>0.69139616892534972</v>
      </c>
      <c r="AC826" s="28">
        <f t="shared" si="279"/>
        <v>0.10964912280701754</v>
      </c>
      <c r="AD826" s="29">
        <f t="shared" si="280"/>
        <v>775.14231499051232</v>
      </c>
      <c r="AE826" s="28">
        <f t="shared" si="281"/>
        <v>0.10964912280701754</v>
      </c>
      <c r="AF826" s="28">
        <f t="shared" si="282"/>
        <v>0.58174704611833217</v>
      </c>
      <c r="AG826" s="28">
        <f t="shared" si="283"/>
        <v>0</v>
      </c>
      <c r="AI826" s="31">
        <f t="shared" si="284"/>
        <v>3.6473445387349099</v>
      </c>
      <c r="AJ826" s="25"/>
      <c r="AK826" s="31"/>
      <c r="AM826" s="27"/>
    </row>
    <row r="827" spans="4:39" x14ac:dyDescent="0.25">
      <c r="D827" s="25">
        <f>E827*'Profit per cycles Model'!$I$113</f>
        <v>8180</v>
      </c>
      <c r="E827" s="25">
        <v>22.407889330228734</v>
      </c>
      <c r="F827" s="28">
        <f t="shared" si="265"/>
        <v>0.12224938875305623</v>
      </c>
      <c r="G827" s="28">
        <f>'Battery Pricing Model'!$C$17/D827</f>
        <v>0.12224938875305623</v>
      </c>
      <c r="H827" s="28">
        <f t="shared" si="266"/>
        <v>999</v>
      </c>
      <c r="I827" s="28"/>
      <c r="J827" s="34">
        <f>INDEX('Profit per cycles Model'!$I$149:$I$179, MATCH(TRUNC(E827, 0), 'Profit per cycles Model'!$H$149:$H$179, 0))</f>
        <v>0.69139616892534972</v>
      </c>
      <c r="K827" s="27">
        <f>AVERAGE($J$10:J1827)</f>
        <v>0.56883042089778579</v>
      </c>
      <c r="L827" s="28">
        <f t="shared" si="267"/>
        <v>0.44658103214472955</v>
      </c>
      <c r="M827" s="28">
        <f t="shared" si="268"/>
        <v>0.44658103214472955</v>
      </c>
      <c r="N827" s="28">
        <f t="shared" si="269"/>
        <v>999</v>
      </c>
      <c r="O827" s="28"/>
      <c r="P827" s="29">
        <f t="shared" si="285"/>
        <v>0.81800000000000062</v>
      </c>
      <c r="Q827" s="33">
        <f t="shared" si="270"/>
        <v>6.7114093959731544</v>
      </c>
      <c r="R827" s="33">
        <f t="shared" si="271"/>
        <v>6.7114093959731544</v>
      </c>
      <c r="S827" s="33">
        <f t="shared" si="272"/>
        <v>-1</v>
      </c>
      <c r="T827" s="27"/>
      <c r="U827" s="28">
        <f t="shared" si="273"/>
        <v>0.10964912280701754</v>
      </c>
      <c r="V827" s="25">
        <f t="shared" si="274"/>
        <v>999</v>
      </c>
      <c r="W827" s="35">
        <f t="shared" si="286"/>
        <v>25</v>
      </c>
      <c r="X827" s="33">
        <f t="shared" si="275"/>
        <v>25</v>
      </c>
      <c r="Y827" s="32">
        <f t="shared" si="276"/>
        <v>-1</v>
      </c>
      <c r="Z827" s="32"/>
      <c r="AA827" s="30">
        <f t="shared" si="277"/>
        <v>22.407889330228734</v>
      </c>
      <c r="AB827" s="28">
        <f t="shared" si="278"/>
        <v>0.69139616892534972</v>
      </c>
      <c r="AC827" s="28">
        <f t="shared" si="279"/>
        <v>0.10964912280701754</v>
      </c>
      <c r="AD827" s="29">
        <f t="shared" si="280"/>
        <v>776.09108159392781</v>
      </c>
      <c r="AE827" s="28">
        <f t="shared" si="281"/>
        <v>0.10964912280701754</v>
      </c>
      <c r="AF827" s="28">
        <f t="shared" si="282"/>
        <v>0.58174704611833217</v>
      </c>
      <c r="AG827" s="28">
        <f t="shared" si="283"/>
        <v>0</v>
      </c>
      <c r="AI827" s="31">
        <f t="shared" si="284"/>
        <v>3.6530328429438881</v>
      </c>
      <c r="AJ827" s="25"/>
      <c r="AK827" s="31"/>
      <c r="AM827" s="27"/>
    </row>
    <row r="828" spans="4:39" x14ac:dyDescent="0.25">
      <c r="D828" s="25">
        <f>E828*'Profit per cycles Model'!$I$113</f>
        <v>8189.9999999999991</v>
      </c>
      <c r="E828" s="25">
        <v>22.435282837967399</v>
      </c>
      <c r="F828" s="28">
        <f t="shared" si="265"/>
        <v>0.12210012210012211</v>
      </c>
      <c r="G828" s="28">
        <f>'Battery Pricing Model'!$C$17/D828</f>
        <v>0.12210012210012211</v>
      </c>
      <c r="H828" s="28">
        <f t="shared" si="266"/>
        <v>999</v>
      </c>
      <c r="I828" s="28"/>
      <c r="J828" s="34">
        <f>INDEX('Profit per cycles Model'!$I$149:$I$179, MATCH(TRUNC(E828, 0), 'Profit per cycles Model'!$H$149:$H$179, 0))</f>
        <v>0.69139616892534972</v>
      </c>
      <c r="K828" s="27">
        <f>AVERAGE($J$10:J1828)</f>
        <v>0.56883042089778579</v>
      </c>
      <c r="L828" s="28">
        <f t="shared" si="267"/>
        <v>0.44673029879766368</v>
      </c>
      <c r="M828" s="28">
        <f t="shared" si="268"/>
        <v>0.44673029879766368</v>
      </c>
      <c r="N828" s="28">
        <f t="shared" si="269"/>
        <v>999</v>
      </c>
      <c r="O828" s="28"/>
      <c r="P828" s="29">
        <f t="shared" si="285"/>
        <v>0.81900000000000062</v>
      </c>
      <c r="Q828" s="33">
        <f t="shared" si="270"/>
        <v>6.7114093959731544</v>
      </c>
      <c r="R828" s="33">
        <f t="shared" si="271"/>
        <v>6.7114093959731544</v>
      </c>
      <c r="S828" s="33">
        <f t="shared" si="272"/>
        <v>-1</v>
      </c>
      <c r="T828" s="27"/>
      <c r="U828" s="28">
        <f t="shared" si="273"/>
        <v>0.10964912280701754</v>
      </c>
      <c r="V828" s="25">
        <f t="shared" si="274"/>
        <v>999</v>
      </c>
      <c r="W828" s="35">
        <f t="shared" si="286"/>
        <v>25</v>
      </c>
      <c r="X828" s="33">
        <f t="shared" si="275"/>
        <v>25</v>
      </c>
      <c r="Y828" s="32">
        <f t="shared" si="276"/>
        <v>-1</v>
      </c>
      <c r="Z828" s="32"/>
      <c r="AA828" s="30">
        <f t="shared" si="277"/>
        <v>22.435282837967399</v>
      </c>
      <c r="AB828" s="28">
        <f t="shared" si="278"/>
        <v>0.69139616892534972</v>
      </c>
      <c r="AC828" s="28">
        <f t="shared" si="279"/>
        <v>0.10964912280701754</v>
      </c>
      <c r="AD828" s="29">
        <f t="shared" si="280"/>
        <v>777.03984819734342</v>
      </c>
      <c r="AE828" s="28">
        <f t="shared" si="281"/>
        <v>0.10964912280701754</v>
      </c>
      <c r="AF828" s="28">
        <f t="shared" si="282"/>
        <v>0.58174704611833217</v>
      </c>
      <c r="AG828" s="28">
        <f t="shared" si="283"/>
        <v>0</v>
      </c>
      <c r="AI828" s="31">
        <f t="shared" si="284"/>
        <v>3.6587211471528653</v>
      </c>
      <c r="AJ828" s="25"/>
      <c r="AK828" s="31"/>
      <c r="AM828" s="27"/>
    </row>
    <row r="829" spans="4:39" x14ac:dyDescent="0.25">
      <c r="D829" s="25">
        <f>E829*'Profit per cycles Model'!$I$113</f>
        <v>8200</v>
      </c>
      <c r="E829" s="25">
        <v>22.462676345706068</v>
      </c>
      <c r="F829" s="28">
        <f t="shared" si="265"/>
        <v>0.12195121951219512</v>
      </c>
      <c r="G829" s="28">
        <f>'Battery Pricing Model'!$C$17/D829</f>
        <v>0.12195121951219512</v>
      </c>
      <c r="H829" s="28">
        <f t="shared" si="266"/>
        <v>999</v>
      </c>
      <c r="I829" s="28"/>
      <c r="J829" s="34">
        <f>INDEX('Profit per cycles Model'!$I$149:$I$179, MATCH(TRUNC(E829, 0), 'Profit per cycles Model'!$H$149:$H$179, 0))</f>
        <v>0.69139616892534972</v>
      </c>
      <c r="K829" s="27">
        <f>AVERAGE($J$10:J1829)</f>
        <v>0.56883042089778579</v>
      </c>
      <c r="L829" s="28">
        <f t="shared" si="267"/>
        <v>0.44687920138559067</v>
      </c>
      <c r="M829" s="28">
        <f t="shared" si="268"/>
        <v>0.44687920138559067</v>
      </c>
      <c r="N829" s="28">
        <f t="shared" si="269"/>
        <v>999</v>
      </c>
      <c r="O829" s="28"/>
      <c r="P829" s="29">
        <f t="shared" si="285"/>
        <v>0.82000000000000062</v>
      </c>
      <c r="Q829" s="33">
        <f t="shared" si="270"/>
        <v>6.7114093959731544</v>
      </c>
      <c r="R829" s="33">
        <f t="shared" si="271"/>
        <v>6.7114093959731544</v>
      </c>
      <c r="S829" s="33">
        <f t="shared" si="272"/>
        <v>-1</v>
      </c>
      <c r="T829" s="27"/>
      <c r="U829" s="28">
        <f t="shared" si="273"/>
        <v>0.10964912280701754</v>
      </c>
      <c r="V829" s="25">
        <f t="shared" si="274"/>
        <v>999</v>
      </c>
      <c r="W829" s="35">
        <f t="shared" si="286"/>
        <v>25</v>
      </c>
      <c r="X829" s="33">
        <f t="shared" si="275"/>
        <v>25</v>
      </c>
      <c r="Y829" s="32">
        <f t="shared" si="276"/>
        <v>-1</v>
      </c>
      <c r="Z829" s="32"/>
      <c r="AA829" s="30">
        <f t="shared" si="277"/>
        <v>22.462676345706068</v>
      </c>
      <c r="AB829" s="28">
        <f t="shared" si="278"/>
        <v>0.69139616892534972</v>
      </c>
      <c r="AC829" s="28">
        <f t="shared" si="279"/>
        <v>0.10964912280701754</v>
      </c>
      <c r="AD829" s="29">
        <f t="shared" si="280"/>
        <v>777.98861480075914</v>
      </c>
      <c r="AE829" s="28">
        <f t="shared" si="281"/>
        <v>0.10964912280701754</v>
      </c>
      <c r="AF829" s="28">
        <f t="shared" si="282"/>
        <v>0.58174704611833217</v>
      </c>
      <c r="AG829" s="28">
        <f t="shared" si="283"/>
        <v>0</v>
      </c>
      <c r="AI829" s="31">
        <f t="shared" si="284"/>
        <v>3.6644094513618435</v>
      </c>
      <c r="AJ829" s="25"/>
      <c r="AK829" s="31"/>
      <c r="AM829" s="27"/>
    </row>
    <row r="830" spans="4:39" x14ac:dyDescent="0.25">
      <c r="D830" s="25">
        <f>E830*'Profit per cycles Model'!$I$113</f>
        <v>8210</v>
      </c>
      <c r="E830" s="25">
        <v>22.490069853444734</v>
      </c>
      <c r="F830" s="28">
        <f t="shared" si="265"/>
        <v>0.1218026796589525</v>
      </c>
      <c r="G830" s="28">
        <f>'Battery Pricing Model'!$C$17/D830</f>
        <v>0.1218026796589525</v>
      </c>
      <c r="H830" s="28">
        <f t="shared" si="266"/>
        <v>999</v>
      </c>
      <c r="I830" s="28"/>
      <c r="J830" s="34">
        <f>INDEX('Profit per cycles Model'!$I$149:$I$179, MATCH(TRUNC(E830, 0), 'Profit per cycles Model'!$H$149:$H$179, 0))</f>
        <v>0.69139616892534972</v>
      </c>
      <c r="K830" s="27">
        <f>AVERAGE($J$10:J1830)</f>
        <v>0.56883042089778579</v>
      </c>
      <c r="L830" s="28">
        <f t="shared" si="267"/>
        <v>0.44702774123883326</v>
      </c>
      <c r="M830" s="28">
        <f t="shared" si="268"/>
        <v>0.44702774123883326</v>
      </c>
      <c r="N830" s="28">
        <f t="shared" si="269"/>
        <v>999</v>
      </c>
      <c r="O830" s="28"/>
      <c r="P830" s="29">
        <f t="shared" si="285"/>
        <v>0.82100000000000062</v>
      </c>
      <c r="Q830" s="33">
        <f t="shared" si="270"/>
        <v>6.7114093959731544</v>
      </c>
      <c r="R830" s="33">
        <f t="shared" si="271"/>
        <v>6.7114093959731544</v>
      </c>
      <c r="S830" s="33">
        <f t="shared" si="272"/>
        <v>-1</v>
      </c>
      <c r="T830" s="27"/>
      <c r="U830" s="28">
        <f t="shared" si="273"/>
        <v>0.10964912280701754</v>
      </c>
      <c r="V830" s="25">
        <f t="shared" si="274"/>
        <v>999</v>
      </c>
      <c r="W830" s="35">
        <f t="shared" si="286"/>
        <v>25</v>
      </c>
      <c r="X830" s="33">
        <f t="shared" si="275"/>
        <v>25</v>
      </c>
      <c r="Y830" s="32">
        <f t="shared" si="276"/>
        <v>-1</v>
      </c>
      <c r="Z830" s="32"/>
      <c r="AA830" s="30">
        <f t="shared" si="277"/>
        <v>22.490069853444734</v>
      </c>
      <c r="AB830" s="28">
        <f t="shared" si="278"/>
        <v>0.69139616892534972</v>
      </c>
      <c r="AC830" s="28">
        <f t="shared" si="279"/>
        <v>0.10964912280701754</v>
      </c>
      <c r="AD830" s="29">
        <f t="shared" si="280"/>
        <v>778.93738140417463</v>
      </c>
      <c r="AE830" s="28">
        <f t="shared" si="281"/>
        <v>0.10964912280701754</v>
      </c>
      <c r="AF830" s="28">
        <f t="shared" si="282"/>
        <v>0.58174704611833217</v>
      </c>
      <c r="AG830" s="28">
        <f t="shared" si="283"/>
        <v>0</v>
      </c>
      <c r="AI830" s="31">
        <f t="shared" si="284"/>
        <v>3.6700977555708212</v>
      </c>
      <c r="AJ830" s="25"/>
      <c r="AK830" s="31"/>
      <c r="AM830" s="27"/>
    </row>
    <row r="831" spans="4:39" x14ac:dyDescent="0.25">
      <c r="D831" s="25">
        <f>E831*'Profit per cycles Model'!$I$113</f>
        <v>8220</v>
      </c>
      <c r="E831" s="25">
        <v>22.517463361183399</v>
      </c>
      <c r="F831" s="28">
        <f t="shared" si="265"/>
        <v>0.12165450121654502</v>
      </c>
      <c r="G831" s="28">
        <f>'Battery Pricing Model'!$C$17/D831</f>
        <v>0.12165450121654502</v>
      </c>
      <c r="H831" s="28">
        <f t="shared" si="266"/>
        <v>999</v>
      </c>
      <c r="I831" s="28"/>
      <c r="J831" s="34">
        <f>INDEX('Profit per cycles Model'!$I$149:$I$179, MATCH(TRUNC(E831, 0), 'Profit per cycles Model'!$H$149:$H$179, 0))</f>
        <v>0.69139616892534972</v>
      </c>
      <c r="K831" s="27">
        <f>AVERAGE($J$10:J1831)</f>
        <v>0.56883042089778579</v>
      </c>
      <c r="L831" s="28">
        <f t="shared" si="267"/>
        <v>0.44717591968124076</v>
      </c>
      <c r="M831" s="28">
        <f t="shared" si="268"/>
        <v>0.44717591968124076</v>
      </c>
      <c r="N831" s="28">
        <f t="shared" si="269"/>
        <v>999</v>
      </c>
      <c r="O831" s="28"/>
      <c r="P831" s="29">
        <f t="shared" si="285"/>
        <v>0.82200000000000062</v>
      </c>
      <c r="Q831" s="33">
        <f t="shared" si="270"/>
        <v>6.7114093959731544</v>
      </c>
      <c r="R831" s="33">
        <f t="shared" si="271"/>
        <v>6.7114093959731544</v>
      </c>
      <c r="S831" s="33">
        <f t="shared" si="272"/>
        <v>-1</v>
      </c>
      <c r="T831" s="27"/>
      <c r="U831" s="28">
        <f t="shared" si="273"/>
        <v>0.10964912280701754</v>
      </c>
      <c r="V831" s="25">
        <f t="shared" si="274"/>
        <v>999</v>
      </c>
      <c r="W831" s="35">
        <f t="shared" si="286"/>
        <v>25</v>
      </c>
      <c r="X831" s="33">
        <f t="shared" si="275"/>
        <v>25</v>
      </c>
      <c r="Y831" s="32">
        <f t="shared" si="276"/>
        <v>-1</v>
      </c>
      <c r="Z831" s="32"/>
      <c r="AA831" s="30">
        <f t="shared" si="277"/>
        <v>22.517463361183399</v>
      </c>
      <c r="AB831" s="28">
        <f t="shared" si="278"/>
        <v>0.69139616892534972</v>
      </c>
      <c r="AC831" s="28">
        <f t="shared" si="279"/>
        <v>0.10964912280701754</v>
      </c>
      <c r="AD831" s="29">
        <f t="shared" si="280"/>
        <v>779.88614800759024</v>
      </c>
      <c r="AE831" s="28">
        <f t="shared" si="281"/>
        <v>0.10964912280701754</v>
      </c>
      <c r="AF831" s="28">
        <f t="shared" si="282"/>
        <v>0.58174704611833217</v>
      </c>
      <c r="AG831" s="28">
        <f t="shared" si="283"/>
        <v>0</v>
      </c>
      <c r="AI831" s="31">
        <f t="shared" si="284"/>
        <v>3.6757860597797989</v>
      </c>
      <c r="AJ831" s="25"/>
      <c r="AK831" s="31"/>
      <c r="AM831" s="27"/>
    </row>
    <row r="832" spans="4:39" x14ac:dyDescent="0.25">
      <c r="D832" s="25">
        <f>E832*'Profit per cycles Model'!$I$113</f>
        <v>8230</v>
      </c>
      <c r="E832" s="25">
        <v>22.544856868922064</v>
      </c>
      <c r="F832" s="28">
        <f t="shared" si="265"/>
        <v>0.12150668286755771</v>
      </c>
      <c r="G832" s="28">
        <f>'Battery Pricing Model'!$C$17/D832</f>
        <v>0.12150668286755771</v>
      </c>
      <c r="H832" s="28">
        <f t="shared" si="266"/>
        <v>999</v>
      </c>
      <c r="I832" s="28"/>
      <c r="J832" s="34">
        <f>INDEX('Profit per cycles Model'!$I$149:$I$179, MATCH(TRUNC(E832, 0), 'Profit per cycles Model'!$H$149:$H$179, 0))</f>
        <v>0.69139616892534972</v>
      </c>
      <c r="K832" s="27">
        <f>AVERAGE($J$10:J1832)</f>
        <v>0.56883042089778579</v>
      </c>
      <c r="L832" s="28">
        <f t="shared" si="267"/>
        <v>0.44732373803022807</v>
      </c>
      <c r="M832" s="28">
        <f t="shared" si="268"/>
        <v>0.44732373803022807</v>
      </c>
      <c r="N832" s="28">
        <f t="shared" si="269"/>
        <v>999</v>
      </c>
      <c r="O832" s="28"/>
      <c r="P832" s="29">
        <f t="shared" si="285"/>
        <v>0.82300000000000062</v>
      </c>
      <c r="Q832" s="33">
        <f t="shared" si="270"/>
        <v>6.7114093959731544</v>
      </c>
      <c r="R832" s="33">
        <f t="shared" si="271"/>
        <v>6.7114093959731544</v>
      </c>
      <c r="S832" s="33">
        <f t="shared" si="272"/>
        <v>-1</v>
      </c>
      <c r="T832" s="27"/>
      <c r="U832" s="28">
        <f t="shared" si="273"/>
        <v>0.10964912280701754</v>
      </c>
      <c r="V832" s="25">
        <f t="shared" si="274"/>
        <v>999</v>
      </c>
      <c r="W832" s="35">
        <f t="shared" si="286"/>
        <v>25</v>
      </c>
      <c r="X832" s="33">
        <f t="shared" si="275"/>
        <v>25</v>
      </c>
      <c r="Y832" s="32">
        <f t="shared" si="276"/>
        <v>-1</v>
      </c>
      <c r="Z832" s="32"/>
      <c r="AA832" s="30">
        <f t="shared" si="277"/>
        <v>22.544856868922064</v>
      </c>
      <c r="AB832" s="28">
        <f t="shared" si="278"/>
        <v>0.69139616892534972</v>
      </c>
      <c r="AC832" s="28">
        <f t="shared" si="279"/>
        <v>0.10964912280701754</v>
      </c>
      <c r="AD832" s="29">
        <f t="shared" si="280"/>
        <v>780.83491461100562</v>
      </c>
      <c r="AE832" s="28">
        <f t="shared" si="281"/>
        <v>0.10964912280701754</v>
      </c>
      <c r="AF832" s="28">
        <f t="shared" si="282"/>
        <v>0.58174704611833217</v>
      </c>
      <c r="AG832" s="28">
        <f t="shared" si="283"/>
        <v>0</v>
      </c>
      <c r="AI832" s="31">
        <f t="shared" si="284"/>
        <v>3.681474363988777</v>
      </c>
      <c r="AJ832" s="25"/>
      <c r="AK832" s="31"/>
      <c r="AM832" s="27"/>
    </row>
    <row r="833" spans="4:39" x14ac:dyDescent="0.25">
      <c r="D833" s="25">
        <f>E833*'Profit per cycles Model'!$I$113</f>
        <v>8240</v>
      </c>
      <c r="E833" s="25">
        <v>22.57225037666073</v>
      </c>
      <c r="F833" s="28">
        <f t="shared" si="265"/>
        <v>0.12135922330097088</v>
      </c>
      <c r="G833" s="28">
        <f>'Battery Pricing Model'!$C$17/D833</f>
        <v>0.12135922330097088</v>
      </c>
      <c r="H833" s="28">
        <f t="shared" si="266"/>
        <v>999</v>
      </c>
      <c r="I833" s="28"/>
      <c r="J833" s="34">
        <f>INDEX('Profit per cycles Model'!$I$149:$I$179, MATCH(TRUNC(E833, 0), 'Profit per cycles Model'!$H$149:$H$179, 0))</f>
        <v>0.69139616892534972</v>
      </c>
      <c r="K833" s="27">
        <f>AVERAGE($J$10:J1833)</f>
        <v>0.56883042089778579</v>
      </c>
      <c r="L833" s="28">
        <f t="shared" si="267"/>
        <v>0.44747119759681492</v>
      </c>
      <c r="M833" s="28">
        <f t="shared" si="268"/>
        <v>0.44747119759681492</v>
      </c>
      <c r="N833" s="28">
        <f t="shared" si="269"/>
        <v>999</v>
      </c>
      <c r="O833" s="28"/>
      <c r="P833" s="29">
        <f t="shared" si="285"/>
        <v>0.82400000000000062</v>
      </c>
      <c r="Q833" s="33">
        <f t="shared" si="270"/>
        <v>6.7114093959731544</v>
      </c>
      <c r="R833" s="33">
        <f t="shared" si="271"/>
        <v>6.7114093959731544</v>
      </c>
      <c r="S833" s="33">
        <f t="shared" si="272"/>
        <v>-1</v>
      </c>
      <c r="T833" s="27"/>
      <c r="U833" s="28">
        <f t="shared" si="273"/>
        <v>0.10964912280701754</v>
      </c>
      <c r="V833" s="25">
        <f t="shared" si="274"/>
        <v>999</v>
      </c>
      <c r="W833" s="35">
        <f t="shared" si="286"/>
        <v>25</v>
      </c>
      <c r="X833" s="33">
        <f t="shared" si="275"/>
        <v>25</v>
      </c>
      <c r="Y833" s="32">
        <f t="shared" si="276"/>
        <v>-1</v>
      </c>
      <c r="Z833" s="32"/>
      <c r="AA833" s="30">
        <f t="shared" si="277"/>
        <v>22.57225037666073</v>
      </c>
      <c r="AB833" s="28">
        <f t="shared" si="278"/>
        <v>0.69139616892534972</v>
      </c>
      <c r="AC833" s="28">
        <f t="shared" si="279"/>
        <v>0.10964912280701754</v>
      </c>
      <c r="AD833" s="29">
        <f t="shared" si="280"/>
        <v>781.78368121442122</v>
      </c>
      <c r="AE833" s="28">
        <f t="shared" si="281"/>
        <v>0.10964912280701754</v>
      </c>
      <c r="AF833" s="28">
        <f t="shared" si="282"/>
        <v>0.58174704611833217</v>
      </c>
      <c r="AG833" s="28">
        <f t="shared" si="283"/>
        <v>0</v>
      </c>
      <c r="AI833" s="31">
        <f t="shared" si="284"/>
        <v>3.6871626681977547</v>
      </c>
      <c r="AJ833" s="25"/>
      <c r="AK833" s="31"/>
      <c r="AM833" s="27"/>
    </row>
    <row r="834" spans="4:39" x14ac:dyDescent="0.25">
      <c r="D834" s="25">
        <f>E834*'Profit per cycles Model'!$I$113</f>
        <v>8250</v>
      </c>
      <c r="E834" s="25">
        <v>22.599643884399395</v>
      </c>
      <c r="F834" s="28">
        <f t="shared" si="265"/>
        <v>0.12121212121212122</v>
      </c>
      <c r="G834" s="28">
        <f>'Battery Pricing Model'!$C$17/D834</f>
        <v>0.12121212121212122</v>
      </c>
      <c r="H834" s="28">
        <f t="shared" si="266"/>
        <v>999</v>
      </c>
      <c r="I834" s="28"/>
      <c r="J834" s="34">
        <f>INDEX('Profit per cycles Model'!$I$149:$I$179, MATCH(TRUNC(E834, 0), 'Profit per cycles Model'!$H$149:$H$179, 0))</f>
        <v>0.69139616892534972</v>
      </c>
      <c r="K834" s="27">
        <f>AVERAGE($J$10:J1834)</f>
        <v>0.56883042089778579</v>
      </c>
      <c r="L834" s="28">
        <f t="shared" si="267"/>
        <v>0.44761829968566458</v>
      </c>
      <c r="M834" s="28">
        <f t="shared" si="268"/>
        <v>0.44761829968566458</v>
      </c>
      <c r="N834" s="28">
        <f t="shared" si="269"/>
        <v>999</v>
      </c>
      <c r="O834" s="28"/>
      <c r="P834" s="29">
        <f t="shared" si="285"/>
        <v>0.82500000000000062</v>
      </c>
      <c r="Q834" s="33">
        <f t="shared" si="270"/>
        <v>6.7114093959731544</v>
      </c>
      <c r="R834" s="33">
        <f t="shared" si="271"/>
        <v>6.7114093959731544</v>
      </c>
      <c r="S834" s="33">
        <f t="shared" si="272"/>
        <v>-1</v>
      </c>
      <c r="T834" s="27"/>
      <c r="U834" s="28">
        <f t="shared" si="273"/>
        <v>0.10964912280701754</v>
      </c>
      <c r="V834" s="25">
        <f t="shared" si="274"/>
        <v>999</v>
      </c>
      <c r="W834" s="35">
        <f t="shared" si="286"/>
        <v>25</v>
      </c>
      <c r="X834" s="33">
        <f t="shared" si="275"/>
        <v>25</v>
      </c>
      <c r="Y834" s="32">
        <f t="shared" si="276"/>
        <v>-1</v>
      </c>
      <c r="Z834" s="32"/>
      <c r="AA834" s="30">
        <f t="shared" si="277"/>
        <v>22.599643884399395</v>
      </c>
      <c r="AB834" s="28">
        <f t="shared" si="278"/>
        <v>0.69139616892534972</v>
      </c>
      <c r="AC834" s="28">
        <f t="shared" si="279"/>
        <v>0.10964912280701754</v>
      </c>
      <c r="AD834" s="29">
        <f t="shared" si="280"/>
        <v>782.73244781783683</v>
      </c>
      <c r="AE834" s="28">
        <f t="shared" si="281"/>
        <v>0.10964912280701754</v>
      </c>
      <c r="AF834" s="28">
        <f t="shared" si="282"/>
        <v>0.58174704611833217</v>
      </c>
      <c r="AG834" s="28">
        <f t="shared" si="283"/>
        <v>0</v>
      </c>
      <c r="AI834" s="31">
        <f t="shared" si="284"/>
        <v>3.6928509724067329</v>
      </c>
      <c r="AJ834" s="25"/>
      <c r="AK834" s="31"/>
      <c r="AM834" s="27"/>
    </row>
    <row r="835" spans="4:39" x14ac:dyDescent="0.25">
      <c r="D835" s="25">
        <f>E835*'Profit per cycles Model'!$I$113</f>
        <v>8260</v>
      </c>
      <c r="E835" s="25">
        <v>22.627037392138064</v>
      </c>
      <c r="F835" s="28">
        <f t="shared" si="265"/>
        <v>0.12106537530266344</v>
      </c>
      <c r="G835" s="28">
        <f>'Battery Pricing Model'!$C$17/D835</f>
        <v>0.12106537530266344</v>
      </c>
      <c r="H835" s="28">
        <f t="shared" si="266"/>
        <v>999</v>
      </c>
      <c r="I835" s="28"/>
      <c r="J835" s="34">
        <f>INDEX('Profit per cycles Model'!$I$149:$I$179, MATCH(TRUNC(E835, 0), 'Profit per cycles Model'!$H$149:$H$179, 0))</f>
        <v>0.69139616892534972</v>
      </c>
      <c r="K835" s="27">
        <f>AVERAGE($J$10:J1835)</f>
        <v>0.56883042089778579</v>
      </c>
      <c r="L835" s="28">
        <f t="shared" si="267"/>
        <v>0.44776504559512237</v>
      </c>
      <c r="M835" s="28">
        <f t="shared" si="268"/>
        <v>0.44776504559512237</v>
      </c>
      <c r="N835" s="28">
        <f t="shared" si="269"/>
        <v>999</v>
      </c>
      <c r="O835" s="28"/>
      <c r="P835" s="29">
        <f t="shared" si="285"/>
        <v>0.82600000000000062</v>
      </c>
      <c r="Q835" s="33">
        <f t="shared" si="270"/>
        <v>6.7114093959731544</v>
      </c>
      <c r="R835" s="33">
        <f t="shared" si="271"/>
        <v>6.7114093959731544</v>
      </c>
      <c r="S835" s="33">
        <f t="shared" si="272"/>
        <v>-1</v>
      </c>
      <c r="T835" s="27"/>
      <c r="U835" s="28">
        <f t="shared" si="273"/>
        <v>0.10964912280701754</v>
      </c>
      <c r="V835" s="25">
        <f t="shared" si="274"/>
        <v>999</v>
      </c>
      <c r="W835" s="35">
        <f t="shared" si="286"/>
        <v>25</v>
      </c>
      <c r="X835" s="33">
        <f t="shared" si="275"/>
        <v>25</v>
      </c>
      <c r="Y835" s="32">
        <f t="shared" si="276"/>
        <v>-1</v>
      </c>
      <c r="Z835" s="32"/>
      <c r="AA835" s="30">
        <f t="shared" si="277"/>
        <v>22.627037392138064</v>
      </c>
      <c r="AB835" s="28">
        <f t="shared" si="278"/>
        <v>0.69139616892534972</v>
      </c>
      <c r="AC835" s="28">
        <f t="shared" si="279"/>
        <v>0.10964912280701754</v>
      </c>
      <c r="AD835" s="29">
        <f t="shared" si="280"/>
        <v>783.68121442125243</v>
      </c>
      <c r="AE835" s="28">
        <f t="shared" si="281"/>
        <v>0.10964912280701754</v>
      </c>
      <c r="AF835" s="28">
        <f t="shared" si="282"/>
        <v>0.58174704611833217</v>
      </c>
      <c r="AG835" s="28">
        <f t="shared" si="283"/>
        <v>0</v>
      </c>
      <c r="AI835" s="31">
        <f t="shared" si="284"/>
        <v>3.6985392766157106</v>
      </c>
      <c r="AJ835" s="25"/>
      <c r="AK835" s="31"/>
      <c r="AM835" s="27"/>
    </row>
    <row r="836" spans="4:39" x14ac:dyDescent="0.25">
      <c r="D836" s="25">
        <f>E836*'Profit per cycles Model'!$I$113</f>
        <v>8270</v>
      </c>
      <c r="E836" s="25">
        <v>22.654430899876729</v>
      </c>
      <c r="F836" s="28">
        <f t="shared" si="265"/>
        <v>0.12091898428053205</v>
      </c>
      <c r="G836" s="28">
        <f>'Battery Pricing Model'!$C$17/D836</f>
        <v>0.12091898428053205</v>
      </c>
      <c r="H836" s="28">
        <f t="shared" si="266"/>
        <v>999</v>
      </c>
      <c r="I836" s="28"/>
      <c r="J836" s="34">
        <f>INDEX('Profit per cycles Model'!$I$149:$I$179, MATCH(TRUNC(E836, 0), 'Profit per cycles Model'!$H$149:$H$179, 0))</f>
        <v>0.69139616892534972</v>
      </c>
      <c r="K836" s="27">
        <f>AVERAGE($J$10:J1836)</f>
        <v>0.56883042089778579</v>
      </c>
      <c r="L836" s="28">
        <f t="shared" si="267"/>
        <v>0.44791143661725374</v>
      </c>
      <c r="M836" s="28">
        <f t="shared" si="268"/>
        <v>0.44791143661725374</v>
      </c>
      <c r="N836" s="28">
        <f t="shared" si="269"/>
        <v>999</v>
      </c>
      <c r="O836" s="28"/>
      <c r="P836" s="29">
        <f t="shared" si="285"/>
        <v>0.82700000000000062</v>
      </c>
      <c r="Q836" s="33">
        <f t="shared" si="270"/>
        <v>6.7114093959731544</v>
      </c>
      <c r="R836" s="33">
        <f t="shared" si="271"/>
        <v>6.7114093959731544</v>
      </c>
      <c r="S836" s="33">
        <f t="shared" si="272"/>
        <v>-1</v>
      </c>
      <c r="T836" s="27"/>
      <c r="U836" s="28">
        <f t="shared" si="273"/>
        <v>0.10964912280701754</v>
      </c>
      <c r="V836" s="25">
        <f t="shared" si="274"/>
        <v>999</v>
      </c>
      <c r="W836" s="35">
        <f t="shared" si="286"/>
        <v>25</v>
      </c>
      <c r="X836" s="33">
        <f t="shared" si="275"/>
        <v>25</v>
      </c>
      <c r="Y836" s="32">
        <f t="shared" si="276"/>
        <v>-1</v>
      </c>
      <c r="Z836" s="32"/>
      <c r="AA836" s="30">
        <f t="shared" si="277"/>
        <v>22.654430899876729</v>
      </c>
      <c r="AB836" s="28">
        <f t="shared" si="278"/>
        <v>0.69139616892534972</v>
      </c>
      <c r="AC836" s="28">
        <f t="shared" si="279"/>
        <v>0.10964912280701754</v>
      </c>
      <c r="AD836" s="29">
        <f t="shared" si="280"/>
        <v>784.62998102466804</v>
      </c>
      <c r="AE836" s="28">
        <f t="shared" si="281"/>
        <v>0.10964912280701754</v>
      </c>
      <c r="AF836" s="28">
        <f t="shared" si="282"/>
        <v>0.58174704611833217</v>
      </c>
      <c r="AG836" s="28">
        <f t="shared" si="283"/>
        <v>0</v>
      </c>
      <c r="AI836" s="31">
        <f t="shared" si="284"/>
        <v>3.7042275808246883</v>
      </c>
      <c r="AJ836" s="25"/>
      <c r="AK836" s="31"/>
      <c r="AM836" s="27"/>
    </row>
    <row r="837" spans="4:39" x14ac:dyDescent="0.25">
      <c r="D837" s="25">
        <f>E837*'Profit per cycles Model'!$I$113</f>
        <v>8280</v>
      </c>
      <c r="E837" s="25">
        <v>22.681824407615395</v>
      </c>
      <c r="F837" s="28">
        <f t="shared" si="265"/>
        <v>0.12077294685990338</v>
      </c>
      <c r="G837" s="28">
        <f>'Battery Pricing Model'!$C$17/D837</f>
        <v>0.12077294685990338</v>
      </c>
      <c r="H837" s="28">
        <f t="shared" si="266"/>
        <v>999</v>
      </c>
      <c r="I837" s="28"/>
      <c r="J837" s="34">
        <f>INDEX('Profit per cycles Model'!$I$149:$I$179, MATCH(TRUNC(E837, 0), 'Profit per cycles Model'!$H$149:$H$179, 0))</f>
        <v>0.69139616892534972</v>
      </c>
      <c r="K837" s="27">
        <f>AVERAGE($J$10:J1837)</f>
        <v>0.56883042089778579</v>
      </c>
      <c r="L837" s="28">
        <f t="shared" si="267"/>
        <v>0.44805747403788243</v>
      </c>
      <c r="M837" s="28">
        <f t="shared" si="268"/>
        <v>0.44805747403788243</v>
      </c>
      <c r="N837" s="28">
        <f t="shared" si="269"/>
        <v>999</v>
      </c>
      <c r="O837" s="28"/>
      <c r="P837" s="29">
        <f t="shared" si="285"/>
        <v>0.82800000000000062</v>
      </c>
      <c r="Q837" s="33">
        <f t="shared" si="270"/>
        <v>6.7114093959731544</v>
      </c>
      <c r="R837" s="33">
        <f t="shared" si="271"/>
        <v>6.7114093959731544</v>
      </c>
      <c r="S837" s="33">
        <f t="shared" si="272"/>
        <v>-1</v>
      </c>
      <c r="T837" s="27"/>
      <c r="U837" s="28">
        <f t="shared" si="273"/>
        <v>0.10964912280701754</v>
      </c>
      <c r="V837" s="25">
        <f t="shared" si="274"/>
        <v>999</v>
      </c>
      <c r="W837" s="35">
        <f t="shared" si="286"/>
        <v>25</v>
      </c>
      <c r="X837" s="33">
        <f t="shared" si="275"/>
        <v>25</v>
      </c>
      <c r="Y837" s="32">
        <f t="shared" si="276"/>
        <v>-1</v>
      </c>
      <c r="Z837" s="32"/>
      <c r="AA837" s="30">
        <f t="shared" si="277"/>
        <v>22.681824407615395</v>
      </c>
      <c r="AB837" s="28">
        <f t="shared" si="278"/>
        <v>0.69139616892534972</v>
      </c>
      <c r="AC837" s="28">
        <f t="shared" si="279"/>
        <v>0.10964912280701754</v>
      </c>
      <c r="AD837" s="29">
        <f t="shared" si="280"/>
        <v>785.57874762808342</v>
      </c>
      <c r="AE837" s="28">
        <f t="shared" si="281"/>
        <v>0.10964912280701754</v>
      </c>
      <c r="AF837" s="28">
        <f t="shared" si="282"/>
        <v>0.58174704611833217</v>
      </c>
      <c r="AG837" s="28">
        <f t="shared" si="283"/>
        <v>0</v>
      </c>
      <c r="AI837" s="31">
        <f t="shared" si="284"/>
        <v>3.7099158850336669</v>
      </c>
      <c r="AJ837" s="25"/>
      <c r="AK837" s="31"/>
      <c r="AM837" s="27"/>
    </row>
    <row r="838" spans="4:39" x14ac:dyDescent="0.25">
      <c r="D838" s="25">
        <f>E838*'Profit per cycles Model'!$I$113</f>
        <v>8290</v>
      </c>
      <c r="E838" s="25">
        <v>22.70921791535406</v>
      </c>
      <c r="F838" s="28">
        <f t="shared" si="265"/>
        <v>0.12062726176115803</v>
      </c>
      <c r="G838" s="28">
        <f>'Battery Pricing Model'!$C$17/D838</f>
        <v>0.12062726176115803</v>
      </c>
      <c r="H838" s="28">
        <f t="shared" si="266"/>
        <v>999</v>
      </c>
      <c r="I838" s="28"/>
      <c r="J838" s="34">
        <f>INDEX('Profit per cycles Model'!$I$149:$I$179, MATCH(TRUNC(E838, 0), 'Profit per cycles Model'!$H$149:$H$179, 0))</f>
        <v>0.69139616892534972</v>
      </c>
      <c r="K838" s="27">
        <f>AVERAGE($J$10:J1838)</f>
        <v>0.56883042089778579</v>
      </c>
      <c r="L838" s="28">
        <f t="shared" si="267"/>
        <v>0.44820315913662778</v>
      </c>
      <c r="M838" s="28">
        <f t="shared" si="268"/>
        <v>0.44820315913662778</v>
      </c>
      <c r="N838" s="28">
        <f t="shared" si="269"/>
        <v>999</v>
      </c>
      <c r="O838" s="28"/>
      <c r="P838" s="29">
        <f t="shared" si="285"/>
        <v>0.82900000000000063</v>
      </c>
      <c r="Q838" s="33">
        <f t="shared" si="270"/>
        <v>6.7114093959731544</v>
      </c>
      <c r="R838" s="33">
        <f t="shared" si="271"/>
        <v>6.7114093959731544</v>
      </c>
      <c r="S838" s="33">
        <f t="shared" si="272"/>
        <v>-1</v>
      </c>
      <c r="T838" s="27"/>
      <c r="U838" s="28">
        <f t="shared" si="273"/>
        <v>0.10964912280701754</v>
      </c>
      <c r="V838" s="25">
        <f t="shared" si="274"/>
        <v>999</v>
      </c>
      <c r="W838" s="35">
        <f t="shared" si="286"/>
        <v>25</v>
      </c>
      <c r="X838" s="33">
        <f t="shared" si="275"/>
        <v>25</v>
      </c>
      <c r="Y838" s="32">
        <f t="shared" si="276"/>
        <v>-1</v>
      </c>
      <c r="Z838" s="32"/>
      <c r="AA838" s="30">
        <f t="shared" si="277"/>
        <v>22.70921791535406</v>
      </c>
      <c r="AB838" s="28">
        <f t="shared" si="278"/>
        <v>0.69139616892534972</v>
      </c>
      <c r="AC838" s="28">
        <f t="shared" si="279"/>
        <v>0.10964912280701754</v>
      </c>
      <c r="AD838" s="29">
        <f t="shared" si="280"/>
        <v>786.52751423149903</v>
      </c>
      <c r="AE838" s="28">
        <f t="shared" si="281"/>
        <v>0.10964912280701754</v>
      </c>
      <c r="AF838" s="28">
        <f t="shared" si="282"/>
        <v>0.58174704611833217</v>
      </c>
      <c r="AG838" s="28">
        <f t="shared" si="283"/>
        <v>0</v>
      </c>
      <c r="AI838" s="31">
        <f t="shared" si="284"/>
        <v>3.7156041892426441</v>
      </c>
      <c r="AJ838" s="25"/>
      <c r="AK838" s="31"/>
      <c r="AM838" s="27"/>
    </row>
    <row r="839" spans="4:39" x14ac:dyDescent="0.25">
      <c r="D839" s="25">
        <f>E839*'Profit per cycles Model'!$I$113</f>
        <v>8300</v>
      </c>
      <c r="E839" s="25">
        <v>22.736611423092725</v>
      </c>
      <c r="F839" s="28">
        <f t="shared" si="265"/>
        <v>0.12048192771084337</v>
      </c>
      <c r="G839" s="28">
        <f>'Battery Pricing Model'!$C$17/D839</f>
        <v>0.12048192771084337</v>
      </c>
      <c r="H839" s="28">
        <f t="shared" si="266"/>
        <v>999</v>
      </c>
      <c r="I839" s="28"/>
      <c r="J839" s="34">
        <f>INDEX('Profit per cycles Model'!$I$149:$I$179, MATCH(TRUNC(E839, 0), 'Profit per cycles Model'!$H$149:$H$179, 0))</f>
        <v>0.69139616892534972</v>
      </c>
      <c r="K839" s="27">
        <f>AVERAGE($J$10:J1839)</f>
        <v>0.56883042089778579</v>
      </c>
      <c r="L839" s="28">
        <f t="shared" si="267"/>
        <v>0.44834849318694242</v>
      </c>
      <c r="M839" s="28">
        <f t="shared" si="268"/>
        <v>0.44834849318694242</v>
      </c>
      <c r="N839" s="28">
        <f t="shared" si="269"/>
        <v>999</v>
      </c>
      <c r="O839" s="28"/>
      <c r="P839" s="29">
        <f t="shared" si="285"/>
        <v>0.83000000000000063</v>
      </c>
      <c r="Q839" s="33">
        <f t="shared" si="270"/>
        <v>6.7114093959731544</v>
      </c>
      <c r="R839" s="33">
        <f t="shared" si="271"/>
        <v>6.7114093959731544</v>
      </c>
      <c r="S839" s="33">
        <f t="shared" si="272"/>
        <v>-1</v>
      </c>
      <c r="T839" s="27"/>
      <c r="U839" s="28">
        <f t="shared" si="273"/>
        <v>0.10964912280701754</v>
      </c>
      <c r="V839" s="25">
        <f t="shared" si="274"/>
        <v>999</v>
      </c>
      <c r="W839" s="35">
        <f t="shared" si="286"/>
        <v>25</v>
      </c>
      <c r="X839" s="33">
        <f t="shared" si="275"/>
        <v>25</v>
      </c>
      <c r="Y839" s="32">
        <f t="shared" si="276"/>
        <v>-1</v>
      </c>
      <c r="Z839" s="32"/>
      <c r="AA839" s="30">
        <f t="shared" si="277"/>
        <v>22.736611423092725</v>
      </c>
      <c r="AB839" s="28">
        <f t="shared" si="278"/>
        <v>0.69139616892534972</v>
      </c>
      <c r="AC839" s="28">
        <f t="shared" si="279"/>
        <v>0.10964912280701754</v>
      </c>
      <c r="AD839" s="29">
        <f t="shared" si="280"/>
        <v>787.47628083491463</v>
      </c>
      <c r="AE839" s="28">
        <f t="shared" si="281"/>
        <v>0.10964912280701754</v>
      </c>
      <c r="AF839" s="28">
        <f t="shared" si="282"/>
        <v>0.58174704611833217</v>
      </c>
      <c r="AG839" s="28">
        <f t="shared" si="283"/>
        <v>0</v>
      </c>
      <c r="AI839" s="31">
        <f t="shared" si="284"/>
        <v>3.7212924934516223</v>
      </c>
      <c r="AJ839" s="25"/>
      <c r="AK839" s="31"/>
      <c r="AM839" s="27"/>
    </row>
    <row r="840" spans="4:39" x14ac:dyDescent="0.25">
      <c r="D840" s="25">
        <f>E840*'Profit per cycles Model'!$I$113</f>
        <v>8310</v>
      </c>
      <c r="E840" s="25">
        <v>22.764004930831391</v>
      </c>
      <c r="F840" s="28">
        <f t="shared" si="265"/>
        <v>0.12033694344163658</v>
      </c>
      <c r="G840" s="28">
        <f>'Battery Pricing Model'!$C$17/D840</f>
        <v>0.12033694344163658</v>
      </c>
      <c r="H840" s="28">
        <f t="shared" si="266"/>
        <v>999</v>
      </c>
      <c r="I840" s="28"/>
      <c r="J840" s="34">
        <f>INDEX('Profit per cycles Model'!$I$149:$I$179, MATCH(TRUNC(E840, 0), 'Profit per cycles Model'!$H$149:$H$179, 0))</f>
        <v>0.69139616892534972</v>
      </c>
      <c r="K840" s="27">
        <f>AVERAGE($J$10:J1840)</f>
        <v>0.56883042089778579</v>
      </c>
      <c r="L840" s="28">
        <f t="shared" si="267"/>
        <v>0.4484934774561492</v>
      </c>
      <c r="M840" s="28">
        <f t="shared" si="268"/>
        <v>0.4484934774561492</v>
      </c>
      <c r="N840" s="28">
        <f t="shared" si="269"/>
        <v>999</v>
      </c>
      <c r="O840" s="28"/>
      <c r="P840" s="29">
        <f t="shared" si="285"/>
        <v>0.83100000000000063</v>
      </c>
      <c r="Q840" s="33">
        <f t="shared" si="270"/>
        <v>6.7114093959731544</v>
      </c>
      <c r="R840" s="33">
        <f t="shared" si="271"/>
        <v>6.7114093959731544</v>
      </c>
      <c r="S840" s="33">
        <f t="shared" si="272"/>
        <v>-1</v>
      </c>
      <c r="T840" s="27"/>
      <c r="U840" s="28">
        <f t="shared" si="273"/>
        <v>0.10964912280701754</v>
      </c>
      <c r="V840" s="25">
        <f t="shared" si="274"/>
        <v>999</v>
      </c>
      <c r="W840" s="35">
        <f t="shared" si="286"/>
        <v>25</v>
      </c>
      <c r="X840" s="33">
        <f t="shared" si="275"/>
        <v>25</v>
      </c>
      <c r="Y840" s="32">
        <f t="shared" si="276"/>
        <v>-1</v>
      </c>
      <c r="Z840" s="32"/>
      <c r="AA840" s="30">
        <f t="shared" si="277"/>
        <v>22.764004930831391</v>
      </c>
      <c r="AB840" s="28">
        <f t="shared" si="278"/>
        <v>0.69139616892534972</v>
      </c>
      <c r="AC840" s="28">
        <f t="shared" si="279"/>
        <v>0.10964912280701754</v>
      </c>
      <c r="AD840" s="29">
        <f t="shared" si="280"/>
        <v>788.42504743833013</v>
      </c>
      <c r="AE840" s="28">
        <f t="shared" si="281"/>
        <v>0.10964912280701754</v>
      </c>
      <c r="AF840" s="28">
        <f t="shared" si="282"/>
        <v>0.58174704611833217</v>
      </c>
      <c r="AG840" s="28">
        <f t="shared" si="283"/>
        <v>0</v>
      </c>
      <c r="AI840" s="31">
        <f t="shared" si="284"/>
        <v>3.7269807976606</v>
      </c>
      <c r="AJ840" s="25"/>
      <c r="AK840" s="31"/>
      <c r="AM840" s="27"/>
    </row>
    <row r="841" spans="4:39" x14ac:dyDescent="0.25">
      <c r="D841" s="25">
        <f>E841*'Profit per cycles Model'!$I$113</f>
        <v>8320</v>
      </c>
      <c r="E841" s="25">
        <v>22.791398438570059</v>
      </c>
      <c r="F841" s="28">
        <f t="shared" si="265"/>
        <v>0.1201923076923077</v>
      </c>
      <c r="G841" s="28">
        <f>'Battery Pricing Model'!$C$17/D841</f>
        <v>0.1201923076923077</v>
      </c>
      <c r="H841" s="28">
        <f t="shared" si="266"/>
        <v>999</v>
      </c>
      <c r="I841" s="28"/>
      <c r="J841" s="34">
        <f>INDEX('Profit per cycles Model'!$I$149:$I$179, MATCH(TRUNC(E841, 0), 'Profit per cycles Model'!$H$149:$H$179, 0))</f>
        <v>0.69139616892534972</v>
      </c>
      <c r="K841" s="27">
        <f>AVERAGE($J$10:J1841)</f>
        <v>0.56883042089778579</v>
      </c>
      <c r="L841" s="28">
        <f t="shared" si="267"/>
        <v>0.44863811320547808</v>
      </c>
      <c r="M841" s="28">
        <f t="shared" si="268"/>
        <v>0.44863811320547808</v>
      </c>
      <c r="N841" s="28">
        <f t="shared" si="269"/>
        <v>999</v>
      </c>
      <c r="O841" s="28"/>
      <c r="P841" s="29">
        <f t="shared" si="285"/>
        <v>0.83200000000000063</v>
      </c>
      <c r="Q841" s="33">
        <f t="shared" si="270"/>
        <v>6.7114093959731544</v>
      </c>
      <c r="R841" s="33">
        <f t="shared" si="271"/>
        <v>6.7114093959731544</v>
      </c>
      <c r="S841" s="33">
        <f t="shared" si="272"/>
        <v>-1</v>
      </c>
      <c r="T841" s="27"/>
      <c r="U841" s="28">
        <f t="shared" si="273"/>
        <v>0.10964912280701754</v>
      </c>
      <c r="V841" s="25">
        <f t="shared" si="274"/>
        <v>999</v>
      </c>
      <c r="W841" s="35">
        <f t="shared" si="286"/>
        <v>25</v>
      </c>
      <c r="X841" s="33">
        <f t="shared" si="275"/>
        <v>25</v>
      </c>
      <c r="Y841" s="32">
        <f t="shared" si="276"/>
        <v>-1</v>
      </c>
      <c r="Z841" s="32"/>
      <c r="AA841" s="30">
        <f t="shared" si="277"/>
        <v>22.791398438570059</v>
      </c>
      <c r="AB841" s="28">
        <f t="shared" si="278"/>
        <v>0.69139616892534972</v>
      </c>
      <c r="AC841" s="28">
        <f t="shared" si="279"/>
        <v>0.10964912280701754</v>
      </c>
      <c r="AD841" s="29">
        <f t="shared" si="280"/>
        <v>789.37381404174585</v>
      </c>
      <c r="AE841" s="28">
        <f t="shared" si="281"/>
        <v>0.10964912280701754</v>
      </c>
      <c r="AF841" s="28">
        <f t="shared" si="282"/>
        <v>0.58174704611833217</v>
      </c>
      <c r="AG841" s="28">
        <f t="shared" si="283"/>
        <v>0</v>
      </c>
      <c r="AI841" s="31">
        <f t="shared" si="284"/>
        <v>3.7326691018695777</v>
      </c>
      <c r="AJ841" s="25"/>
      <c r="AK841" s="31"/>
      <c r="AM841" s="27"/>
    </row>
    <row r="842" spans="4:39" x14ac:dyDescent="0.25">
      <c r="D842" s="25">
        <f>E842*'Profit per cycles Model'!$I$113</f>
        <v>8330</v>
      </c>
      <c r="E842" s="25">
        <v>22.818791946308725</v>
      </c>
      <c r="F842" s="28">
        <f t="shared" ref="F842:F905" si="287">IF(OR($H$6="None", $H$6=0), G842, H842)</f>
        <v>0.12004801920768307</v>
      </c>
      <c r="G842" s="28">
        <f>'Battery Pricing Model'!$C$17/D842</f>
        <v>0.12004801920768307</v>
      </c>
      <c r="H842" s="28">
        <f t="shared" ref="H842:H905" si="288">IF(OR($H$6="None", $H$6=0), 999, $G842*(H$6))</f>
        <v>999</v>
      </c>
      <c r="I842" s="28"/>
      <c r="J842" s="34">
        <f>INDEX('Profit per cycles Model'!$I$149:$I$179, MATCH(TRUNC(E842, 0), 'Profit per cycles Model'!$H$149:$H$179, 0))</f>
        <v>0.69139616892534972</v>
      </c>
      <c r="K842" s="27">
        <f>AVERAGE($J$10:J1842)</f>
        <v>0.56883042089778579</v>
      </c>
      <c r="L842" s="28">
        <f t="shared" ref="L842:L905" si="289">IF(K842-F842&lt;0, 999, K842-F842)</f>
        <v>0.44878240169010275</v>
      </c>
      <c r="M842" s="28">
        <f t="shared" ref="M842:M905" si="290">IF(K842-F842&lt;0, 999, K842-F842)</f>
        <v>0.44878240169010275</v>
      </c>
      <c r="N842" s="28">
        <f t="shared" ref="N842:N905" si="291">IF(K842-H842&lt;0, 999, K842-H842)</f>
        <v>999</v>
      </c>
      <c r="O842" s="28"/>
      <c r="P842" s="29">
        <f t="shared" si="285"/>
        <v>0.83300000000000063</v>
      </c>
      <c r="Q842" s="33">
        <f t="shared" ref="Q842:Q905" si="292">$L$5</f>
        <v>6.7114093959731544</v>
      </c>
      <c r="R842" s="33">
        <f t="shared" ref="R842:R905" si="293">$M$5</f>
        <v>6.7114093959731544</v>
      </c>
      <c r="S842" s="33">
        <f t="shared" ref="S842:S905" si="294">$N$5</f>
        <v>-1</v>
      </c>
      <c r="T842" s="27"/>
      <c r="U842" s="28">
        <f t="shared" ref="U842:U905" si="295">IF(ISNA(INDEX($F$10:$F$1063,MATCH(W842,$E$10:$E$1063,1))),-1,INDEX($F$10:$F$1063,MATCH(W842,$E$10:$E$1063,1)))</f>
        <v>0.10964912280701754</v>
      </c>
      <c r="V842" s="25">
        <f t="shared" ref="V842:V905" si="296">IF(ISNA(INDEX($H$10:$H$1063, MATCH(X842, $E$10:$E$1063,1))),-1,  INDEX($H$10:$H$1063, MATCH(X842, $E$10:$E$1063,1)))</f>
        <v>999</v>
      </c>
      <c r="W842" s="35">
        <f t="shared" si="286"/>
        <v>25</v>
      </c>
      <c r="X842" s="33">
        <f t="shared" ref="X842:X905" si="297">IF(PaybackCustom&gt;0, IF(PaybackCustom&lt;&gt;"Default", PaybackCustom, IF(PaybackStatus&lt;&gt;"",INDEX($Y$2:$Y$6,MATCH(PaybackStatus,$X$2:$X$6,FALSE)),-1)))</f>
        <v>25</v>
      </c>
      <c r="Y842" s="32">
        <f t="shared" ref="Y842:Y905" si="298">IF(PaybackStatus&lt;&gt;"",IF(PaybackStatus=$X$4,IF(X842&lt;=$Y$4,$Y$4,-1), -1), -1)</f>
        <v>-1</v>
      </c>
      <c r="Z842" s="32"/>
      <c r="AA842" s="30">
        <f t="shared" ref="AA842:AA905" si="299">E842</f>
        <v>22.818791946308725</v>
      </c>
      <c r="AB842" s="28">
        <f t="shared" ref="AB842:AB905" si="300">J842</f>
        <v>0.69139616892534972</v>
      </c>
      <c r="AC842" s="28">
        <f t="shared" ref="AC842:AC905" si="301">U842</f>
        <v>0.10964912280701754</v>
      </c>
      <c r="AD842" s="29">
        <f t="shared" ref="AD842:AD905" si="302">$AC$2*(AA842-$AC$3)/($AC$4-$AC$3)</f>
        <v>790.32258064516134</v>
      </c>
      <c r="AE842" s="28">
        <f t="shared" ref="AE842:AE905" si="303">MIN(AC842, AB842)</f>
        <v>0.10964912280701754</v>
      </c>
      <c r="AF842" s="28">
        <f t="shared" ref="AF842:AF905" si="304">IF(AND(AA842&lt;X842, AB842&gt;AC842), AB842-AC842, 0)</f>
        <v>0.58174704611833217</v>
      </c>
      <c r="AG842" s="28">
        <f t="shared" ref="AG842:AG905" si="305">IF(AND(AA842&lt;X842, AC842&gt;AB842), AC842-AB842, 0)</f>
        <v>0</v>
      </c>
      <c r="AI842" s="31">
        <f t="shared" ref="AI842:AI905" si="306">(K842-F842)/F842</f>
        <v>3.7383574060785558</v>
      </c>
      <c r="AJ842" s="25"/>
      <c r="AK842" s="31"/>
      <c r="AM842" s="27"/>
    </row>
    <row r="843" spans="4:39" x14ac:dyDescent="0.25">
      <c r="D843" s="25">
        <f>E843*'Profit per cycles Model'!$I$113</f>
        <v>8340</v>
      </c>
      <c r="E843" s="25">
        <v>22.84618545404739</v>
      </c>
      <c r="F843" s="28">
        <f t="shared" si="287"/>
        <v>0.11990407673860912</v>
      </c>
      <c r="G843" s="28">
        <f>'Battery Pricing Model'!$C$17/D843</f>
        <v>0.11990407673860912</v>
      </c>
      <c r="H843" s="28">
        <f t="shared" si="288"/>
        <v>999</v>
      </c>
      <c r="I843" s="28"/>
      <c r="J843" s="34">
        <f>INDEX('Profit per cycles Model'!$I$149:$I$179, MATCH(TRUNC(E843, 0), 'Profit per cycles Model'!$H$149:$H$179, 0))</f>
        <v>0.69139616892534972</v>
      </c>
      <c r="K843" s="27">
        <f>AVERAGE($J$10:J1843)</f>
        <v>0.56883042089778579</v>
      </c>
      <c r="L843" s="28">
        <f t="shared" si="289"/>
        <v>0.44892634415917665</v>
      </c>
      <c r="M843" s="28">
        <f t="shared" si="290"/>
        <v>0.44892634415917665</v>
      </c>
      <c r="N843" s="28">
        <f t="shared" si="291"/>
        <v>999</v>
      </c>
      <c r="O843" s="28"/>
      <c r="P843" s="29">
        <f t="shared" ref="P843:P906" si="307">P842+0.001</f>
        <v>0.83400000000000063</v>
      </c>
      <c r="Q843" s="33">
        <f t="shared" si="292"/>
        <v>6.7114093959731544</v>
      </c>
      <c r="R843" s="33">
        <f t="shared" si="293"/>
        <v>6.7114093959731544</v>
      </c>
      <c r="S843" s="33">
        <f t="shared" si="294"/>
        <v>-1</v>
      </c>
      <c r="T843" s="27"/>
      <c r="U843" s="28">
        <f t="shared" si="295"/>
        <v>0.10964912280701754</v>
      </c>
      <c r="V843" s="25">
        <f t="shared" si="296"/>
        <v>999</v>
      </c>
      <c r="W843" s="35">
        <f t="shared" ref="W843:W906" si="308">IF( AND(X843&gt;0, Y843&gt;0), IF(X843&lt;Y843, X843, Y843),  IF(X843&gt;0, X843, IF(Y843&gt;0, Y843, -1)) )</f>
        <v>25</v>
      </c>
      <c r="X843" s="33">
        <f t="shared" si="297"/>
        <v>25</v>
      </c>
      <c r="Y843" s="32">
        <f t="shared" si="298"/>
        <v>-1</v>
      </c>
      <c r="Z843" s="32"/>
      <c r="AA843" s="30">
        <f t="shared" si="299"/>
        <v>22.84618545404739</v>
      </c>
      <c r="AB843" s="28">
        <f t="shared" si="300"/>
        <v>0.69139616892534972</v>
      </c>
      <c r="AC843" s="28">
        <f t="shared" si="301"/>
        <v>0.10964912280701754</v>
      </c>
      <c r="AD843" s="29">
        <f t="shared" si="302"/>
        <v>791.27134724857683</v>
      </c>
      <c r="AE843" s="28">
        <f t="shared" si="303"/>
        <v>0.10964912280701754</v>
      </c>
      <c r="AF843" s="28">
        <f t="shared" si="304"/>
        <v>0.58174704611833217</v>
      </c>
      <c r="AG843" s="28">
        <f t="shared" si="305"/>
        <v>0</v>
      </c>
      <c r="AI843" s="31">
        <f t="shared" si="306"/>
        <v>3.7440457102875331</v>
      </c>
      <c r="AJ843" s="25"/>
      <c r="AK843" s="31"/>
      <c r="AM843" s="27"/>
    </row>
    <row r="844" spans="4:39" x14ac:dyDescent="0.25">
      <c r="D844" s="25">
        <f>E844*'Profit per cycles Model'!$I$113</f>
        <v>8350</v>
      </c>
      <c r="E844" s="25">
        <v>22.873578961786055</v>
      </c>
      <c r="F844" s="28">
        <f t="shared" si="287"/>
        <v>0.11976047904191617</v>
      </c>
      <c r="G844" s="28">
        <f>'Battery Pricing Model'!$C$17/D844</f>
        <v>0.11976047904191617</v>
      </c>
      <c r="H844" s="28">
        <f t="shared" si="288"/>
        <v>999</v>
      </c>
      <c r="I844" s="28"/>
      <c r="J844" s="34">
        <f>INDEX('Profit per cycles Model'!$I$149:$I$179, MATCH(TRUNC(E844, 0), 'Profit per cycles Model'!$H$149:$H$179, 0))</f>
        <v>0.69139616892534972</v>
      </c>
      <c r="K844" s="27">
        <f>AVERAGE($J$10:J1844)</f>
        <v>0.56883042089778579</v>
      </c>
      <c r="L844" s="28">
        <f t="shared" si="289"/>
        <v>0.44906994185586963</v>
      </c>
      <c r="M844" s="28">
        <f t="shared" si="290"/>
        <v>0.44906994185586963</v>
      </c>
      <c r="N844" s="28">
        <f t="shared" si="291"/>
        <v>999</v>
      </c>
      <c r="O844" s="28"/>
      <c r="P844" s="29">
        <f t="shared" si="307"/>
        <v>0.83500000000000063</v>
      </c>
      <c r="Q844" s="33">
        <f t="shared" si="292"/>
        <v>6.7114093959731544</v>
      </c>
      <c r="R844" s="33">
        <f t="shared" si="293"/>
        <v>6.7114093959731544</v>
      </c>
      <c r="S844" s="33">
        <f t="shared" si="294"/>
        <v>-1</v>
      </c>
      <c r="T844" s="27"/>
      <c r="U844" s="28">
        <f t="shared" si="295"/>
        <v>0.10964912280701754</v>
      </c>
      <c r="V844" s="25">
        <f t="shared" si="296"/>
        <v>999</v>
      </c>
      <c r="W844" s="35">
        <f t="shared" si="308"/>
        <v>25</v>
      </c>
      <c r="X844" s="33">
        <f t="shared" si="297"/>
        <v>25</v>
      </c>
      <c r="Y844" s="32">
        <f t="shared" si="298"/>
        <v>-1</v>
      </c>
      <c r="Z844" s="32"/>
      <c r="AA844" s="30">
        <f t="shared" si="299"/>
        <v>22.873578961786055</v>
      </c>
      <c r="AB844" s="28">
        <f t="shared" si="300"/>
        <v>0.69139616892534972</v>
      </c>
      <c r="AC844" s="28">
        <f t="shared" si="301"/>
        <v>0.10964912280701754</v>
      </c>
      <c r="AD844" s="29">
        <f t="shared" si="302"/>
        <v>792.22011385199232</v>
      </c>
      <c r="AE844" s="28">
        <f t="shared" si="303"/>
        <v>0.10964912280701754</v>
      </c>
      <c r="AF844" s="28">
        <f t="shared" si="304"/>
        <v>0.58174704611833217</v>
      </c>
      <c r="AG844" s="28">
        <f t="shared" si="305"/>
        <v>0</v>
      </c>
      <c r="AI844" s="31">
        <f t="shared" si="306"/>
        <v>3.7497340144965112</v>
      </c>
      <c r="AJ844" s="25"/>
      <c r="AK844" s="31"/>
      <c r="AM844" s="27"/>
    </row>
    <row r="845" spans="4:39" x14ac:dyDescent="0.25">
      <c r="D845" s="25">
        <f>E845*'Profit per cycles Model'!$I$113</f>
        <v>8360</v>
      </c>
      <c r="E845" s="25">
        <v>22.900972469524721</v>
      </c>
      <c r="F845" s="28">
        <f t="shared" si="287"/>
        <v>0.11961722488038277</v>
      </c>
      <c r="G845" s="28">
        <f>'Battery Pricing Model'!$C$17/D845</f>
        <v>0.11961722488038277</v>
      </c>
      <c r="H845" s="28">
        <f t="shared" si="288"/>
        <v>999</v>
      </c>
      <c r="I845" s="28"/>
      <c r="J845" s="34">
        <f>INDEX('Profit per cycles Model'!$I$149:$I$179, MATCH(TRUNC(E845, 0), 'Profit per cycles Model'!$H$149:$H$179, 0))</f>
        <v>0.69139616892534972</v>
      </c>
      <c r="K845" s="27">
        <f>AVERAGE($J$10:J1845)</f>
        <v>0.56883042089778579</v>
      </c>
      <c r="L845" s="28">
        <f t="shared" si="289"/>
        <v>0.449213196017403</v>
      </c>
      <c r="M845" s="28">
        <f t="shared" si="290"/>
        <v>0.449213196017403</v>
      </c>
      <c r="N845" s="28">
        <f t="shared" si="291"/>
        <v>999</v>
      </c>
      <c r="O845" s="28"/>
      <c r="P845" s="29">
        <f t="shared" si="307"/>
        <v>0.83600000000000063</v>
      </c>
      <c r="Q845" s="33">
        <f t="shared" si="292"/>
        <v>6.7114093959731544</v>
      </c>
      <c r="R845" s="33">
        <f t="shared" si="293"/>
        <v>6.7114093959731544</v>
      </c>
      <c r="S845" s="33">
        <f t="shared" si="294"/>
        <v>-1</v>
      </c>
      <c r="T845" s="27"/>
      <c r="U845" s="28">
        <f t="shared" si="295"/>
        <v>0.10964912280701754</v>
      </c>
      <c r="V845" s="25">
        <f t="shared" si="296"/>
        <v>999</v>
      </c>
      <c r="W845" s="35">
        <f t="shared" si="308"/>
        <v>25</v>
      </c>
      <c r="X845" s="33">
        <f t="shared" si="297"/>
        <v>25</v>
      </c>
      <c r="Y845" s="32">
        <f t="shared" si="298"/>
        <v>-1</v>
      </c>
      <c r="Z845" s="32"/>
      <c r="AA845" s="30">
        <f t="shared" si="299"/>
        <v>22.900972469524721</v>
      </c>
      <c r="AB845" s="28">
        <f t="shared" si="300"/>
        <v>0.69139616892534972</v>
      </c>
      <c r="AC845" s="28">
        <f t="shared" si="301"/>
        <v>0.10964912280701754</v>
      </c>
      <c r="AD845" s="29">
        <f t="shared" si="302"/>
        <v>793.16888045540793</v>
      </c>
      <c r="AE845" s="28">
        <f t="shared" si="303"/>
        <v>0.10964912280701754</v>
      </c>
      <c r="AF845" s="28">
        <f t="shared" si="304"/>
        <v>0.58174704611833217</v>
      </c>
      <c r="AG845" s="28">
        <f t="shared" si="305"/>
        <v>0</v>
      </c>
      <c r="AI845" s="31">
        <f t="shared" si="306"/>
        <v>3.7554223187054889</v>
      </c>
      <c r="AJ845" s="25"/>
      <c r="AK845" s="31"/>
      <c r="AM845" s="27"/>
    </row>
    <row r="846" spans="4:39" x14ac:dyDescent="0.25">
      <c r="D846" s="25">
        <f>E846*'Profit per cycles Model'!$I$113</f>
        <v>8370</v>
      </c>
      <c r="E846" s="25">
        <v>22.928365977263386</v>
      </c>
      <c r="F846" s="28">
        <f t="shared" si="287"/>
        <v>0.11947431302270012</v>
      </c>
      <c r="G846" s="28">
        <f>'Battery Pricing Model'!$C$17/D846</f>
        <v>0.11947431302270012</v>
      </c>
      <c r="H846" s="28">
        <f t="shared" si="288"/>
        <v>999</v>
      </c>
      <c r="I846" s="28"/>
      <c r="J846" s="34">
        <f>INDEX('Profit per cycles Model'!$I$149:$I$179, MATCH(TRUNC(E846, 0), 'Profit per cycles Model'!$H$149:$H$179, 0))</f>
        <v>0.69139616892534972</v>
      </c>
      <c r="K846" s="27">
        <f>AVERAGE($J$10:J1846)</f>
        <v>0.56883042089778579</v>
      </c>
      <c r="L846" s="28">
        <f t="shared" si="289"/>
        <v>0.44935610787508568</v>
      </c>
      <c r="M846" s="28">
        <f t="shared" si="290"/>
        <v>0.44935610787508568</v>
      </c>
      <c r="N846" s="28">
        <f t="shared" si="291"/>
        <v>999</v>
      </c>
      <c r="O846" s="28"/>
      <c r="P846" s="29">
        <f t="shared" si="307"/>
        <v>0.83700000000000063</v>
      </c>
      <c r="Q846" s="33">
        <f t="shared" si="292"/>
        <v>6.7114093959731544</v>
      </c>
      <c r="R846" s="33">
        <f t="shared" si="293"/>
        <v>6.7114093959731544</v>
      </c>
      <c r="S846" s="33">
        <f t="shared" si="294"/>
        <v>-1</v>
      </c>
      <c r="T846" s="27"/>
      <c r="U846" s="28">
        <f t="shared" si="295"/>
        <v>0.10964912280701754</v>
      </c>
      <c r="V846" s="25">
        <f t="shared" si="296"/>
        <v>999</v>
      </c>
      <c r="W846" s="35">
        <f t="shared" si="308"/>
        <v>25</v>
      </c>
      <c r="X846" s="33">
        <f t="shared" si="297"/>
        <v>25</v>
      </c>
      <c r="Y846" s="32">
        <f t="shared" si="298"/>
        <v>-1</v>
      </c>
      <c r="Z846" s="32"/>
      <c r="AA846" s="30">
        <f t="shared" si="299"/>
        <v>22.928365977263386</v>
      </c>
      <c r="AB846" s="28">
        <f t="shared" si="300"/>
        <v>0.69139616892534972</v>
      </c>
      <c r="AC846" s="28">
        <f t="shared" si="301"/>
        <v>0.10964912280701754</v>
      </c>
      <c r="AD846" s="29">
        <f t="shared" si="302"/>
        <v>794.11764705882354</v>
      </c>
      <c r="AE846" s="28">
        <f t="shared" si="303"/>
        <v>0.10964912280701754</v>
      </c>
      <c r="AF846" s="28">
        <f t="shared" si="304"/>
        <v>0.58174704611833217</v>
      </c>
      <c r="AG846" s="28">
        <f t="shared" si="305"/>
        <v>0</v>
      </c>
      <c r="AI846" s="31">
        <f t="shared" si="306"/>
        <v>3.7611106229144671</v>
      </c>
      <c r="AJ846" s="25"/>
      <c r="AK846" s="31"/>
      <c r="AM846" s="27"/>
    </row>
    <row r="847" spans="4:39" x14ac:dyDescent="0.25">
      <c r="D847" s="25">
        <f>E847*'Profit per cycles Model'!$I$113</f>
        <v>8380</v>
      </c>
      <c r="E847" s="25">
        <v>22.955759485002055</v>
      </c>
      <c r="F847" s="28">
        <f t="shared" si="287"/>
        <v>0.11933174224343675</v>
      </c>
      <c r="G847" s="28">
        <f>'Battery Pricing Model'!$C$17/D847</f>
        <v>0.11933174224343675</v>
      </c>
      <c r="H847" s="28">
        <f t="shared" si="288"/>
        <v>999</v>
      </c>
      <c r="I847" s="28"/>
      <c r="J847" s="34">
        <f>INDEX('Profit per cycles Model'!$I$149:$I$179, MATCH(TRUNC(E847, 0), 'Profit per cycles Model'!$H$149:$H$179, 0))</f>
        <v>0.69139616892534972</v>
      </c>
      <c r="K847" s="27">
        <f>AVERAGE($J$10:J1847)</f>
        <v>0.56883042089778579</v>
      </c>
      <c r="L847" s="28">
        <f t="shared" si="289"/>
        <v>0.44949867865434906</v>
      </c>
      <c r="M847" s="28">
        <f t="shared" si="290"/>
        <v>0.44949867865434906</v>
      </c>
      <c r="N847" s="28">
        <f t="shared" si="291"/>
        <v>999</v>
      </c>
      <c r="O847" s="28"/>
      <c r="P847" s="29">
        <f t="shared" si="307"/>
        <v>0.83800000000000063</v>
      </c>
      <c r="Q847" s="33">
        <f t="shared" si="292"/>
        <v>6.7114093959731544</v>
      </c>
      <c r="R847" s="33">
        <f t="shared" si="293"/>
        <v>6.7114093959731544</v>
      </c>
      <c r="S847" s="33">
        <f t="shared" si="294"/>
        <v>-1</v>
      </c>
      <c r="T847" s="27"/>
      <c r="U847" s="28">
        <f t="shared" si="295"/>
        <v>0.10964912280701754</v>
      </c>
      <c r="V847" s="25">
        <f t="shared" si="296"/>
        <v>999</v>
      </c>
      <c r="W847" s="35">
        <f t="shared" si="308"/>
        <v>25</v>
      </c>
      <c r="X847" s="33">
        <f t="shared" si="297"/>
        <v>25</v>
      </c>
      <c r="Y847" s="32">
        <f t="shared" si="298"/>
        <v>-1</v>
      </c>
      <c r="Z847" s="32"/>
      <c r="AA847" s="30">
        <f t="shared" si="299"/>
        <v>22.955759485002055</v>
      </c>
      <c r="AB847" s="28">
        <f t="shared" si="300"/>
        <v>0.69139616892534972</v>
      </c>
      <c r="AC847" s="28">
        <f t="shared" si="301"/>
        <v>0.10964912280701754</v>
      </c>
      <c r="AD847" s="29">
        <f t="shared" si="302"/>
        <v>795.06641366223914</v>
      </c>
      <c r="AE847" s="28">
        <f t="shared" si="303"/>
        <v>0.10964912280701754</v>
      </c>
      <c r="AF847" s="28">
        <f t="shared" si="304"/>
        <v>0.58174704611833217</v>
      </c>
      <c r="AG847" s="28">
        <f t="shared" si="305"/>
        <v>0</v>
      </c>
      <c r="AI847" s="31">
        <f t="shared" si="306"/>
        <v>3.7667989271234452</v>
      </c>
      <c r="AJ847" s="25"/>
      <c r="AK847" s="31"/>
      <c r="AM847" s="27"/>
    </row>
    <row r="848" spans="4:39" x14ac:dyDescent="0.25">
      <c r="D848" s="25">
        <f>E848*'Profit per cycles Model'!$I$113</f>
        <v>8390</v>
      </c>
      <c r="E848" s="25">
        <v>22.98315299274072</v>
      </c>
      <c r="F848" s="28">
        <f t="shared" si="287"/>
        <v>0.11918951132300358</v>
      </c>
      <c r="G848" s="28">
        <f>'Battery Pricing Model'!$C$17/D848</f>
        <v>0.11918951132300358</v>
      </c>
      <c r="H848" s="28">
        <f t="shared" si="288"/>
        <v>999</v>
      </c>
      <c r="I848" s="28"/>
      <c r="J848" s="34">
        <f>INDEX('Profit per cycles Model'!$I$149:$I$179, MATCH(TRUNC(E848, 0), 'Profit per cycles Model'!$H$149:$H$179, 0))</f>
        <v>0.69139616892534972</v>
      </c>
      <c r="K848" s="27">
        <f>AVERAGE($J$10:J1848)</f>
        <v>0.56883042089778579</v>
      </c>
      <c r="L848" s="28">
        <f t="shared" si="289"/>
        <v>0.4496409095747822</v>
      </c>
      <c r="M848" s="28">
        <f t="shared" si="290"/>
        <v>0.4496409095747822</v>
      </c>
      <c r="N848" s="28">
        <f t="shared" si="291"/>
        <v>999</v>
      </c>
      <c r="O848" s="28"/>
      <c r="P848" s="29">
        <f t="shared" si="307"/>
        <v>0.83900000000000063</v>
      </c>
      <c r="Q848" s="33">
        <f t="shared" si="292"/>
        <v>6.7114093959731544</v>
      </c>
      <c r="R848" s="33">
        <f t="shared" si="293"/>
        <v>6.7114093959731544</v>
      </c>
      <c r="S848" s="33">
        <f t="shared" si="294"/>
        <v>-1</v>
      </c>
      <c r="T848" s="27"/>
      <c r="U848" s="28">
        <f t="shared" si="295"/>
        <v>0.10964912280701754</v>
      </c>
      <c r="V848" s="25">
        <f t="shared" si="296"/>
        <v>999</v>
      </c>
      <c r="W848" s="35">
        <f t="shared" si="308"/>
        <v>25</v>
      </c>
      <c r="X848" s="33">
        <f t="shared" si="297"/>
        <v>25</v>
      </c>
      <c r="Y848" s="32">
        <f t="shared" si="298"/>
        <v>-1</v>
      </c>
      <c r="Z848" s="32"/>
      <c r="AA848" s="30">
        <f t="shared" si="299"/>
        <v>22.98315299274072</v>
      </c>
      <c r="AB848" s="28">
        <f t="shared" si="300"/>
        <v>0.69139616892534972</v>
      </c>
      <c r="AC848" s="28">
        <f t="shared" si="301"/>
        <v>0.10964912280701754</v>
      </c>
      <c r="AD848" s="29">
        <f t="shared" si="302"/>
        <v>796.01518026565475</v>
      </c>
      <c r="AE848" s="28">
        <f t="shared" si="303"/>
        <v>0.10964912280701754</v>
      </c>
      <c r="AF848" s="28">
        <f t="shared" si="304"/>
        <v>0.58174704611833217</v>
      </c>
      <c r="AG848" s="28">
        <f t="shared" si="305"/>
        <v>0</v>
      </c>
      <c r="AI848" s="31">
        <f t="shared" si="306"/>
        <v>3.7724872313324225</v>
      </c>
      <c r="AJ848" s="25"/>
      <c r="AK848" s="31"/>
      <c r="AM848" s="27"/>
    </row>
    <row r="849" spans="4:39" x14ac:dyDescent="0.25">
      <c r="D849" s="25">
        <f>E849*'Profit per cycles Model'!$I$113</f>
        <v>8400</v>
      </c>
      <c r="E849" s="25">
        <v>23.010546500479386</v>
      </c>
      <c r="F849" s="28">
        <f t="shared" si="287"/>
        <v>0.11904761904761904</v>
      </c>
      <c r="G849" s="28">
        <f>'Battery Pricing Model'!$C$17/D849</f>
        <v>0.11904761904761904</v>
      </c>
      <c r="H849" s="28">
        <f t="shared" si="288"/>
        <v>999</v>
      </c>
      <c r="I849" s="28"/>
      <c r="J849" s="34">
        <f>INDEX('Profit per cycles Model'!$I$149:$I$179, MATCH(TRUNC(E849, 0), 'Profit per cycles Model'!$H$149:$H$179, 0))</f>
        <v>0.71021048491318939</v>
      </c>
      <c r="K849" s="27">
        <f>AVERAGE($J$10:J1849)</f>
        <v>0.56883042089778579</v>
      </c>
      <c r="L849" s="28">
        <f t="shared" si="289"/>
        <v>0.44978280185016672</v>
      </c>
      <c r="M849" s="28">
        <f t="shared" si="290"/>
        <v>0.44978280185016672</v>
      </c>
      <c r="N849" s="28">
        <f t="shared" si="291"/>
        <v>999</v>
      </c>
      <c r="O849" s="28"/>
      <c r="P849" s="29">
        <f t="shared" si="307"/>
        <v>0.84000000000000064</v>
      </c>
      <c r="Q849" s="33">
        <f t="shared" si="292"/>
        <v>6.7114093959731544</v>
      </c>
      <c r="R849" s="33">
        <f t="shared" si="293"/>
        <v>6.7114093959731544</v>
      </c>
      <c r="S849" s="33">
        <f t="shared" si="294"/>
        <v>-1</v>
      </c>
      <c r="T849" s="27"/>
      <c r="U849" s="28">
        <f t="shared" si="295"/>
        <v>0.10964912280701754</v>
      </c>
      <c r="V849" s="25">
        <f t="shared" si="296"/>
        <v>999</v>
      </c>
      <c r="W849" s="35">
        <f t="shared" si="308"/>
        <v>25</v>
      </c>
      <c r="X849" s="33">
        <f t="shared" si="297"/>
        <v>25</v>
      </c>
      <c r="Y849" s="32">
        <f t="shared" si="298"/>
        <v>-1</v>
      </c>
      <c r="Z849" s="32"/>
      <c r="AA849" s="30">
        <f t="shared" si="299"/>
        <v>23.010546500479386</v>
      </c>
      <c r="AB849" s="28">
        <f t="shared" si="300"/>
        <v>0.71021048491318939</v>
      </c>
      <c r="AC849" s="28">
        <f t="shared" si="301"/>
        <v>0.10964912280701754</v>
      </c>
      <c r="AD849" s="29">
        <f t="shared" si="302"/>
        <v>796.96394686907013</v>
      </c>
      <c r="AE849" s="28">
        <f t="shared" si="303"/>
        <v>0.10964912280701754</v>
      </c>
      <c r="AF849" s="28">
        <f t="shared" si="304"/>
        <v>0.60056136210617184</v>
      </c>
      <c r="AG849" s="28">
        <f t="shared" si="305"/>
        <v>0</v>
      </c>
      <c r="AI849" s="31">
        <f t="shared" si="306"/>
        <v>3.7781755355414006</v>
      </c>
      <c r="AJ849" s="25"/>
      <c r="AK849" s="31"/>
      <c r="AM849" s="27"/>
    </row>
    <row r="850" spans="4:39" x14ac:dyDescent="0.25">
      <c r="D850" s="25">
        <f>E850*'Profit per cycles Model'!$I$113</f>
        <v>8410</v>
      </c>
      <c r="E850" s="25">
        <v>23.037940008218051</v>
      </c>
      <c r="F850" s="28">
        <f t="shared" si="287"/>
        <v>0.11890606420927467</v>
      </c>
      <c r="G850" s="28">
        <f>'Battery Pricing Model'!$C$17/D850</f>
        <v>0.11890606420927467</v>
      </c>
      <c r="H850" s="28">
        <f t="shared" si="288"/>
        <v>999</v>
      </c>
      <c r="I850" s="28"/>
      <c r="J850" s="34">
        <f>INDEX('Profit per cycles Model'!$I$149:$I$179, MATCH(TRUNC(E850, 0), 'Profit per cycles Model'!$H$149:$H$179, 0))</f>
        <v>0.71021048491318939</v>
      </c>
      <c r="K850" s="27">
        <f>AVERAGE($J$10:J1850)</f>
        <v>0.56883042089778579</v>
      </c>
      <c r="L850" s="28">
        <f t="shared" si="289"/>
        <v>0.44992435668851111</v>
      </c>
      <c r="M850" s="28">
        <f t="shared" si="290"/>
        <v>0.44992435668851111</v>
      </c>
      <c r="N850" s="28">
        <f t="shared" si="291"/>
        <v>999</v>
      </c>
      <c r="O850" s="28"/>
      <c r="P850" s="29">
        <f t="shared" si="307"/>
        <v>0.84100000000000064</v>
      </c>
      <c r="Q850" s="33">
        <f t="shared" si="292"/>
        <v>6.7114093959731544</v>
      </c>
      <c r="R850" s="33">
        <f t="shared" si="293"/>
        <v>6.7114093959731544</v>
      </c>
      <c r="S850" s="33">
        <f t="shared" si="294"/>
        <v>-1</v>
      </c>
      <c r="T850" s="27"/>
      <c r="U850" s="28">
        <f t="shared" si="295"/>
        <v>0.10964912280701754</v>
      </c>
      <c r="V850" s="25">
        <f t="shared" si="296"/>
        <v>999</v>
      </c>
      <c r="W850" s="35">
        <f t="shared" si="308"/>
        <v>25</v>
      </c>
      <c r="X850" s="33">
        <f t="shared" si="297"/>
        <v>25</v>
      </c>
      <c r="Y850" s="32">
        <f t="shared" si="298"/>
        <v>-1</v>
      </c>
      <c r="Z850" s="32"/>
      <c r="AA850" s="30">
        <f t="shared" si="299"/>
        <v>23.037940008218051</v>
      </c>
      <c r="AB850" s="28">
        <f t="shared" si="300"/>
        <v>0.71021048491318939</v>
      </c>
      <c r="AC850" s="28">
        <f t="shared" si="301"/>
        <v>0.10964912280701754</v>
      </c>
      <c r="AD850" s="29">
        <f t="shared" si="302"/>
        <v>797.91271347248573</v>
      </c>
      <c r="AE850" s="28">
        <f t="shared" si="303"/>
        <v>0.10964912280701754</v>
      </c>
      <c r="AF850" s="28">
        <f t="shared" si="304"/>
        <v>0.60056136210617184</v>
      </c>
      <c r="AG850" s="28">
        <f t="shared" si="305"/>
        <v>0</v>
      </c>
      <c r="AI850" s="31">
        <f t="shared" si="306"/>
        <v>3.7838638397503783</v>
      </c>
      <c r="AJ850" s="25"/>
      <c r="AK850" s="31"/>
      <c r="AM850" s="27"/>
    </row>
    <row r="851" spans="4:39" x14ac:dyDescent="0.25">
      <c r="D851" s="25">
        <f>E851*'Profit per cycles Model'!$I$113</f>
        <v>8420</v>
      </c>
      <c r="E851" s="25">
        <v>23.065333515956716</v>
      </c>
      <c r="F851" s="28">
        <f t="shared" si="287"/>
        <v>0.11876484560570071</v>
      </c>
      <c r="G851" s="28">
        <f>'Battery Pricing Model'!$C$17/D851</f>
        <v>0.11876484560570071</v>
      </c>
      <c r="H851" s="28">
        <f t="shared" si="288"/>
        <v>999</v>
      </c>
      <c r="I851" s="28"/>
      <c r="J851" s="34">
        <f>INDEX('Profit per cycles Model'!$I$149:$I$179, MATCH(TRUNC(E851, 0), 'Profit per cycles Model'!$H$149:$H$179, 0))</f>
        <v>0.71021048491318939</v>
      </c>
      <c r="K851" s="27">
        <f>AVERAGE($J$10:J1851)</f>
        <v>0.56883042089778579</v>
      </c>
      <c r="L851" s="28">
        <f t="shared" si="289"/>
        <v>0.45006557529208507</v>
      </c>
      <c r="M851" s="28">
        <f t="shared" si="290"/>
        <v>0.45006557529208507</v>
      </c>
      <c r="N851" s="28">
        <f t="shared" si="291"/>
        <v>999</v>
      </c>
      <c r="O851" s="28"/>
      <c r="P851" s="29">
        <f t="shared" si="307"/>
        <v>0.84200000000000064</v>
      </c>
      <c r="Q851" s="33">
        <f t="shared" si="292"/>
        <v>6.7114093959731544</v>
      </c>
      <c r="R851" s="33">
        <f t="shared" si="293"/>
        <v>6.7114093959731544</v>
      </c>
      <c r="S851" s="33">
        <f t="shared" si="294"/>
        <v>-1</v>
      </c>
      <c r="T851" s="27"/>
      <c r="U851" s="28">
        <f t="shared" si="295"/>
        <v>0.10964912280701754</v>
      </c>
      <c r="V851" s="25">
        <f t="shared" si="296"/>
        <v>999</v>
      </c>
      <c r="W851" s="35">
        <f t="shared" si="308"/>
        <v>25</v>
      </c>
      <c r="X851" s="33">
        <f t="shared" si="297"/>
        <v>25</v>
      </c>
      <c r="Y851" s="32">
        <f t="shared" si="298"/>
        <v>-1</v>
      </c>
      <c r="Z851" s="32"/>
      <c r="AA851" s="30">
        <f t="shared" si="299"/>
        <v>23.065333515956716</v>
      </c>
      <c r="AB851" s="28">
        <f t="shared" si="300"/>
        <v>0.71021048491318939</v>
      </c>
      <c r="AC851" s="28">
        <f t="shared" si="301"/>
        <v>0.10964912280701754</v>
      </c>
      <c r="AD851" s="29">
        <f t="shared" si="302"/>
        <v>798.86148007590134</v>
      </c>
      <c r="AE851" s="28">
        <f t="shared" si="303"/>
        <v>0.10964912280701754</v>
      </c>
      <c r="AF851" s="28">
        <f t="shared" si="304"/>
        <v>0.60056136210617184</v>
      </c>
      <c r="AG851" s="28">
        <f t="shared" si="305"/>
        <v>0</v>
      </c>
      <c r="AI851" s="31">
        <f t="shared" si="306"/>
        <v>3.7895521439593565</v>
      </c>
      <c r="AJ851" s="25"/>
      <c r="AK851" s="31"/>
      <c r="AM851" s="27"/>
    </row>
    <row r="852" spans="4:39" x14ac:dyDescent="0.25">
      <c r="D852" s="25">
        <f>E852*'Profit per cycles Model'!$I$113</f>
        <v>8430</v>
      </c>
      <c r="E852" s="25">
        <v>23.092727023695385</v>
      </c>
      <c r="F852" s="28">
        <f t="shared" si="287"/>
        <v>0.11862396204033215</v>
      </c>
      <c r="G852" s="28">
        <f>'Battery Pricing Model'!$C$17/D852</f>
        <v>0.11862396204033215</v>
      </c>
      <c r="H852" s="28">
        <f t="shared" si="288"/>
        <v>999</v>
      </c>
      <c r="I852" s="28"/>
      <c r="J852" s="34">
        <f>INDEX('Profit per cycles Model'!$I$149:$I$179, MATCH(TRUNC(E852, 0), 'Profit per cycles Model'!$H$149:$H$179, 0))</f>
        <v>0.71021048491318939</v>
      </c>
      <c r="K852" s="27">
        <f>AVERAGE($J$10:J1852)</f>
        <v>0.56883042089778579</v>
      </c>
      <c r="L852" s="28">
        <f t="shared" si="289"/>
        <v>0.45020645885745364</v>
      </c>
      <c r="M852" s="28">
        <f t="shared" si="290"/>
        <v>0.45020645885745364</v>
      </c>
      <c r="N852" s="28">
        <f t="shared" si="291"/>
        <v>999</v>
      </c>
      <c r="O852" s="28"/>
      <c r="P852" s="29">
        <f t="shared" si="307"/>
        <v>0.84300000000000064</v>
      </c>
      <c r="Q852" s="33">
        <f t="shared" si="292"/>
        <v>6.7114093959731544</v>
      </c>
      <c r="R852" s="33">
        <f t="shared" si="293"/>
        <v>6.7114093959731544</v>
      </c>
      <c r="S852" s="33">
        <f t="shared" si="294"/>
        <v>-1</v>
      </c>
      <c r="T852" s="27"/>
      <c r="U852" s="28">
        <f t="shared" si="295"/>
        <v>0.10964912280701754</v>
      </c>
      <c r="V852" s="25">
        <f t="shared" si="296"/>
        <v>999</v>
      </c>
      <c r="W852" s="35">
        <f t="shared" si="308"/>
        <v>25</v>
      </c>
      <c r="X852" s="33">
        <f t="shared" si="297"/>
        <v>25</v>
      </c>
      <c r="Y852" s="32">
        <f t="shared" si="298"/>
        <v>-1</v>
      </c>
      <c r="Z852" s="32"/>
      <c r="AA852" s="30">
        <f t="shared" si="299"/>
        <v>23.092727023695385</v>
      </c>
      <c r="AB852" s="28">
        <f t="shared" si="300"/>
        <v>0.71021048491318939</v>
      </c>
      <c r="AC852" s="28">
        <f t="shared" si="301"/>
        <v>0.10964912280701754</v>
      </c>
      <c r="AD852" s="29">
        <f t="shared" si="302"/>
        <v>799.81024667931695</v>
      </c>
      <c r="AE852" s="28">
        <f t="shared" si="303"/>
        <v>0.10964912280701754</v>
      </c>
      <c r="AF852" s="28">
        <f t="shared" si="304"/>
        <v>0.60056136210617184</v>
      </c>
      <c r="AG852" s="28">
        <f t="shared" si="305"/>
        <v>0</v>
      </c>
      <c r="AI852" s="31">
        <f t="shared" si="306"/>
        <v>3.7952404481683342</v>
      </c>
      <c r="AJ852" s="25"/>
      <c r="AK852" s="31"/>
      <c r="AM852" s="27"/>
    </row>
    <row r="853" spans="4:39" x14ac:dyDescent="0.25">
      <c r="D853" s="25">
        <f>E853*'Profit per cycles Model'!$I$113</f>
        <v>8440</v>
      </c>
      <c r="E853" s="25">
        <v>23.120120531434051</v>
      </c>
      <c r="F853" s="28">
        <f t="shared" si="287"/>
        <v>0.11848341232227488</v>
      </c>
      <c r="G853" s="28">
        <f>'Battery Pricing Model'!$C$17/D853</f>
        <v>0.11848341232227488</v>
      </c>
      <c r="H853" s="28">
        <f t="shared" si="288"/>
        <v>999</v>
      </c>
      <c r="I853" s="28"/>
      <c r="J853" s="34">
        <f>INDEX('Profit per cycles Model'!$I$149:$I$179, MATCH(TRUNC(E853, 0), 'Profit per cycles Model'!$H$149:$H$179, 0))</f>
        <v>0.71021048491318939</v>
      </c>
      <c r="K853" s="27">
        <f>AVERAGE($J$10:J1853)</f>
        <v>0.56883042089778579</v>
      </c>
      <c r="L853" s="28">
        <f t="shared" si="289"/>
        <v>0.45034700857551091</v>
      </c>
      <c r="M853" s="28">
        <f t="shared" si="290"/>
        <v>0.45034700857551091</v>
      </c>
      <c r="N853" s="28">
        <f t="shared" si="291"/>
        <v>999</v>
      </c>
      <c r="O853" s="28"/>
      <c r="P853" s="29">
        <f t="shared" si="307"/>
        <v>0.84400000000000064</v>
      </c>
      <c r="Q853" s="33">
        <f t="shared" si="292"/>
        <v>6.7114093959731544</v>
      </c>
      <c r="R853" s="33">
        <f t="shared" si="293"/>
        <v>6.7114093959731544</v>
      </c>
      <c r="S853" s="33">
        <f t="shared" si="294"/>
        <v>-1</v>
      </c>
      <c r="T853" s="27"/>
      <c r="U853" s="28">
        <f t="shared" si="295"/>
        <v>0.10964912280701754</v>
      </c>
      <c r="V853" s="25">
        <f t="shared" si="296"/>
        <v>999</v>
      </c>
      <c r="W853" s="35">
        <f t="shared" si="308"/>
        <v>25</v>
      </c>
      <c r="X853" s="33">
        <f t="shared" si="297"/>
        <v>25</v>
      </c>
      <c r="Y853" s="32">
        <f t="shared" si="298"/>
        <v>-1</v>
      </c>
      <c r="Z853" s="32"/>
      <c r="AA853" s="30">
        <f t="shared" si="299"/>
        <v>23.120120531434051</v>
      </c>
      <c r="AB853" s="28">
        <f t="shared" si="300"/>
        <v>0.71021048491318939</v>
      </c>
      <c r="AC853" s="28">
        <f t="shared" si="301"/>
        <v>0.10964912280701754</v>
      </c>
      <c r="AD853" s="29">
        <f t="shared" si="302"/>
        <v>800.75901328273255</v>
      </c>
      <c r="AE853" s="28">
        <f t="shared" si="303"/>
        <v>0.10964912280701754</v>
      </c>
      <c r="AF853" s="28">
        <f t="shared" si="304"/>
        <v>0.60056136210617184</v>
      </c>
      <c r="AG853" s="28">
        <f t="shared" si="305"/>
        <v>0</v>
      </c>
      <c r="AI853" s="31">
        <f t="shared" si="306"/>
        <v>3.8009287523773119</v>
      </c>
      <c r="AJ853" s="25"/>
      <c r="AK853" s="31"/>
      <c r="AM853" s="27"/>
    </row>
    <row r="854" spans="4:39" x14ac:dyDescent="0.25">
      <c r="D854" s="25">
        <f>E854*'Profit per cycles Model'!$I$113</f>
        <v>8450</v>
      </c>
      <c r="E854" s="25">
        <v>23.147514039172716</v>
      </c>
      <c r="F854" s="28">
        <f t="shared" si="287"/>
        <v>0.11834319526627218</v>
      </c>
      <c r="G854" s="28">
        <f>'Battery Pricing Model'!$C$17/D854</f>
        <v>0.11834319526627218</v>
      </c>
      <c r="H854" s="28">
        <f t="shared" si="288"/>
        <v>999</v>
      </c>
      <c r="I854" s="28"/>
      <c r="J854" s="34">
        <f>INDEX('Profit per cycles Model'!$I$149:$I$179, MATCH(TRUNC(E854, 0), 'Profit per cycles Model'!$H$149:$H$179, 0))</f>
        <v>0.71021048491318939</v>
      </c>
      <c r="K854" s="27">
        <f>AVERAGE($J$10:J1854)</f>
        <v>0.56883042089778579</v>
      </c>
      <c r="L854" s="28">
        <f t="shared" si="289"/>
        <v>0.45048722563151361</v>
      </c>
      <c r="M854" s="28">
        <f t="shared" si="290"/>
        <v>0.45048722563151361</v>
      </c>
      <c r="N854" s="28">
        <f t="shared" si="291"/>
        <v>999</v>
      </c>
      <c r="O854" s="28"/>
      <c r="P854" s="29">
        <f t="shared" si="307"/>
        <v>0.84500000000000064</v>
      </c>
      <c r="Q854" s="33">
        <f t="shared" si="292"/>
        <v>6.7114093959731544</v>
      </c>
      <c r="R854" s="33">
        <f t="shared" si="293"/>
        <v>6.7114093959731544</v>
      </c>
      <c r="S854" s="33">
        <f t="shared" si="294"/>
        <v>-1</v>
      </c>
      <c r="T854" s="27"/>
      <c r="U854" s="28">
        <f t="shared" si="295"/>
        <v>0.10964912280701754</v>
      </c>
      <c r="V854" s="25">
        <f t="shared" si="296"/>
        <v>999</v>
      </c>
      <c r="W854" s="35">
        <f t="shared" si="308"/>
        <v>25</v>
      </c>
      <c r="X854" s="33">
        <f t="shared" si="297"/>
        <v>25</v>
      </c>
      <c r="Y854" s="32">
        <f t="shared" si="298"/>
        <v>-1</v>
      </c>
      <c r="Z854" s="32"/>
      <c r="AA854" s="30">
        <f t="shared" si="299"/>
        <v>23.147514039172716</v>
      </c>
      <c r="AB854" s="28">
        <f t="shared" si="300"/>
        <v>0.71021048491318939</v>
      </c>
      <c r="AC854" s="28">
        <f t="shared" si="301"/>
        <v>0.10964912280701754</v>
      </c>
      <c r="AD854" s="29">
        <f t="shared" si="302"/>
        <v>801.70777988614805</v>
      </c>
      <c r="AE854" s="28">
        <f t="shared" si="303"/>
        <v>0.10964912280701754</v>
      </c>
      <c r="AF854" s="28">
        <f t="shared" si="304"/>
        <v>0.60056136210617184</v>
      </c>
      <c r="AG854" s="28">
        <f t="shared" si="305"/>
        <v>0</v>
      </c>
      <c r="AI854" s="31">
        <f t="shared" si="306"/>
        <v>3.80661705658629</v>
      </c>
      <c r="AJ854" s="25"/>
      <c r="AK854" s="31"/>
      <c r="AM854" s="27"/>
    </row>
    <row r="855" spans="4:39" x14ac:dyDescent="0.25">
      <c r="D855" s="25">
        <f>E855*'Profit per cycles Model'!$I$113</f>
        <v>8460</v>
      </c>
      <c r="E855" s="25">
        <v>23.174907546911381</v>
      </c>
      <c r="F855" s="28">
        <f t="shared" si="287"/>
        <v>0.1182033096926714</v>
      </c>
      <c r="G855" s="28">
        <f>'Battery Pricing Model'!$C$17/D855</f>
        <v>0.1182033096926714</v>
      </c>
      <c r="H855" s="28">
        <f t="shared" si="288"/>
        <v>999</v>
      </c>
      <c r="I855" s="28"/>
      <c r="J855" s="34">
        <f>INDEX('Profit per cycles Model'!$I$149:$I$179, MATCH(TRUNC(E855, 0), 'Profit per cycles Model'!$H$149:$H$179, 0))</f>
        <v>0.71021048491318939</v>
      </c>
      <c r="K855" s="27">
        <f>AVERAGE($J$10:J1855)</f>
        <v>0.56883042089778579</v>
      </c>
      <c r="L855" s="28">
        <f t="shared" si="289"/>
        <v>0.45062711120511439</v>
      </c>
      <c r="M855" s="28">
        <f t="shared" si="290"/>
        <v>0.45062711120511439</v>
      </c>
      <c r="N855" s="28">
        <f t="shared" si="291"/>
        <v>999</v>
      </c>
      <c r="O855" s="28"/>
      <c r="P855" s="29">
        <f t="shared" si="307"/>
        <v>0.84600000000000064</v>
      </c>
      <c r="Q855" s="33">
        <f t="shared" si="292"/>
        <v>6.7114093959731544</v>
      </c>
      <c r="R855" s="33">
        <f t="shared" si="293"/>
        <v>6.7114093959731544</v>
      </c>
      <c r="S855" s="33">
        <f t="shared" si="294"/>
        <v>-1</v>
      </c>
      <c r="T855" s="27"/>
      <c r="U855" s="28">
        <f t="shared" si="295"/>
        <v>0.10964912280701754</v>
      </c>
      <c r="V855" s="25">
        <f t="shared" si="296"/>
        <v>999</v>
      </c>
      <c r="W855" s="35">
        <f t="shared" si="308"/>
        <v>25</v>
      </c>
      <c r="X855" s="33">
        <f t="shared" si="297"/>
        <v>25</v>
      </c>
      <c r="Y855" s="32">
        <f t="shared" si="298"/>
        <v>-1</v>
      </c>
      <c r="Z855" s="32"/>
      <c r="AA855" s="30">
        <f t="shared" si="299"/>
        <v>23.174907546911381</v>
      </c>
      <c r="AB855" s="28">
        <f t="shared" si="300"/>
        <v>0.71021048491318939</v>
      </c>
      <c r="AC855" s="28">
        <f t="shared" si="301"/>
        <v>0.10964912280701754</v>
      </c>
      <c r="AD855" s="29">
        <f t="shared" si="302"/>
        <v>802.65654648956354</v>
      </c>
      <c r="AE855" s="28">
        <f t="shared" si="303"/>
        <v>0.10964912280701754</v>
      </c>
      <c r="AF855" s="28">
        <f t="shared" si="304"/>
        <v>0.60056136210617184</v>
      </c>
      <c r="AG855" s="28">
        <f t="shared" si="305"/>
        <v>0</v>
      </c>
      <c r="AI855" s="31">
        <f t="shared" si="306"/>
        <v>3.8123053607952677</v>
      </c>
      <c r="AJ855" s="25"/>
      <c r="AK855" s="31"/>
      <c r="AM855" s="27"/>
    </row>
    <row r="856" spans="4:39" x14ac:dyDescent="0.25">
      <c r="D856" s="25">
        <f>E856*'Profit per cycles Model'!$I$113</f>
        <v>8470</v>
      </c>
      <c r="E856" s="25">
        <v>23.202301054650047</v>
      </c>
      <c r="F856" s="28">
        <f t="shared" si="287"/>
        <v>0.1180637544273908</v>
      </c>
      <c r="G856" s="28">
        <f>'Battery Pricing Model'!$C$17/D856</f>
        <v>0.1180637544273908</v>
      </c>
      <c r="H856" s="28">
        <f t="shared" si="288"/>
        <v>999</v>
      </c>
      <c r="I856" s="28"/>
      <c r="J856" s="34">
        <f>INDEX('Profit per cycles Model'!$I$149:$I$179, MATCH(TRUNC(E856, 0), 'Profit per cycles Model'!$H$149:$H$179, 0))</f>
        <v>0.71021048491318939</v>
      </c>
      <c r="K856" s="27">
        <f>AVERAGE($J$10:J1856)</f>
        <v>0.56883042089778579</v>
      </c>
      <c r="L856" s="28">
        <f t="shared" si="289"/>
        <v>0.45076666647039498</v>
      </c>
      <c r="M856" s="28">
        <f t="shared" si="290"/>
        <v>0.45076666647039498</v>
      </c>
      <c r="N856" s="28">
        <f t="shared" si="291"/>
        <v>999</v>
      </c>
      <c r="O856" s="28"/>
      <c r="P856" s="29">
        <f t="shared" si="307"/>
        <v>0.84700000000000064</v>
      </c>
      <c r="Q856" s="33">
        <f t="shared" si="292"/>
        <v>6.7114093959731544</v>
      </c>
      <c r="R856" s="33">
        <f t="shared" si="293"/>
        <v>6.7114093959731544</v>
      </c>
      <c r="S856" s="33">
        <f t="shared" si="294"/>
        <v>-1</v>
      </c>
      <c r="T856" s="27"/>
      <c r="U856" s="28">
        <f t="shared" si="295"/>
        <v>0.10964912280701754</v>
      </c>
      <c r="V856" s="25">
        <f t="shared" si="296"/>
        <v>999</v>
      </c>
      <c r="W856" s="35">
        <f t="shared" si="308"/>
        <v>25</v>
      </c>
      <c r="X856" s="33">
        <f t="shared" si="297"/>
        <v>25</v>
      </c>
      <c r="Y856" s="32">
        <f t="shared" si="298"/>
        <v>-1</v>
      </c>
      <c r="Z856" s="32"/>
      <c r="AA856" s="30">
        <f t="shared" si="299"/>
        <v>23.202301054650047</v>
      </c>
      <c r="AB856" s="28">
        <f t="shared" si="300"/>
        <v>0.71021048491318939</v>
      </c>
      <c r="AC856" s="28">
        <f t="shared" si="301"/>
        <v>0.10964912280701754</v>
      </c>
      <c r="AD856" s="29">
        <f t="shared" si="302"/>
        <v>803.60531309297915</v>
      </c>
      <c r="AE856" s="28">
        <f t="shared" si="303"/>
        <v>0.10964912280701754</v>
      </c>
      <c r="AF856" s="28">
        <f t="shared" si="304"/>
        <v>0.60056136210617184</v>
      </c>
      <c r="AG856" s="28">
        <f t="shared" si="305"/>
        <v>0</v>
      </c>
      <c r="AI856" s="31">
        <f t="shared" si="306"/>
        <v>3.8179936650042454</v>
      </c>
      <c r="AJ856" s="25"/>
      <c r="AK856" s="31"/>
      <c r="AM856" s="27"/>
    </row>
    <row r="857" spans="4:39" x14ac:dyDescent="0.25">
      <c r="D857" s="25">
        <f>E857*'Profit per cycles Model'!$I$113</f>
        <v>8480</v>
      </c>
      <c r="E857" s="25">
        <v>23.229694562388712</v>
      </c>
      <c r="F857" s="28">
        <f t="shared" si="287"/>
        <v>0.11792452830188679</v>
      </c>
      <c r="G857" s="28">
        <f>'Battery Pricing Model'!$C$17/D857</f>
        <v>0.11792452830188679</v>
      </c>
      <c r="H857" s="28">
        <f t="shared" si="288"/>
        <v>999</v>
      </c>
      <c r="I857" s="28"/>
      <c r="J857" s="34">
        <f>INDEX('Profit per cycles Model'!$I$149:$I$179, MATCH(TRUNC(E857, 0), 'Profit per cycles Model'!$H$149:$H$179, 0))</f>
        <v>0.71021048491318939</v>
      </c>
      <c r="K857" s="27">
        <f>AVERAGE($J$10:J1857)</f>
        <v>0.56883042089778579</v>
      </c>
      <c r="L857" s="28">
        <f t="shared" si="289"/>
        <v>0.45090589259589897</v>
      </c>
      <c r="M857" s="28">
        <f t="shared" si="290"/>
        <v>0.45090589259589897</v>
      </c>
      <c r="N857" s="28">
        <f t="shared" si="291"/>
        <v>999</v>
      </c>
      <c r="O857" s="28"/>
      <c r="P857" s="29">
        <f t="shared" si="307"/>
        <v>0.84800000000000064</v>
      </c>
      <c r="Q857" s="33">
        <f t="shared" si="292"/>
        <v>6.7114093959731544</v>
      </c>
      <c r="R857" s="33">
        <f t="shared" si="293"/>
        <v>6.7114093959731544</v>
      </c>
      <c r="S857" s="33">
        <f t="shared" si="294"/>
        <v>-1</v>
      </c>
      <c r="T857" s="27"/>
      <c r="U857" s="28">
        <f t="shared" si="295"/>
        <v>0.10964912280701754</v>
      </c>
      <c r="V857" s="25">
        <f t="shared" si="296"/>
        <v>999</v>
      </c>
      <c r="W857" s="35">
        <f t="shared" si="308"/>
        <v>25</v>
      </c>
      <c r="X857" s="33">
        <f t="shared" si="297"/>
        <v>25</v>
      </c>
      <c r="Y857" s="32">
        <f t="shared" si="298"/>
        <v>-1</v>
      </c>
      <c r="Z857" s="32"/>
      <c r="AA857" s="30">
        <f t="shared" si="299"/>
        <v>23.229694562388712</v>
      </c>
      <c r="AB857" s="28">
        <f t="shared" si="300"/>
        <v>0.71021048491318939</v>
      </c>
      <c r="AC857" s="28">
        <f t="shared" si="301"/>
        <v>0.10964912280701754</v>
      </c>
      <c r="AD857" s="29">
        <f t="shared" si="302"/>
        <v>804.55407969639464</v>
      </c>
      <c r="AE857" s="28">
        <f t="shared" si="303"/>
        <v>0.10964912280701754</v>
      </c>
      <c r="AF857" s="28">
        <f t="shared" si="304"/>
        <v>0.60056136210617184</v>
      </c>
      <c r="AG857" s="28">
        <f t="shared" si="305"/>
        <v>0</v>
      </c>
      <c r="AI857" s="31">
        <f t="shared" si="306"/>
        <v>3.8236819692132231</v>
      </c>
      <c r="AJ857" s="25"/>
      <c r="AK857" s="31"/>
      <c r="AM857" s="27"/>
    </row>
    <row r="858" spans="4:39" x14ac:dyDescent="0.25">
      <c r="D858" s="25">
        <f>E858*'Profit per cycles Model'!$I$113</f>
        <v>8490</v>
      </c>
      <c r="E858" s="25">
        <v>23.257088070127381</v>
      </c>
      <c r="F858" s="28">
        <f t="shared" si="287"/>
        <v>0.11778563015312132</v>
      </c>
      <c r="G858" s="28">
        <f>'Battery Pricing Model'!$C$17/D858</f>
        <v>0.11778563015312132</v>
      </c>
      <c r="H858" s="28">
        <f t="shared" si="288"/>
        <v>999</v>
      </c>
      <c r="I858" s="28"/>
      <c r="J858" s="34">
        <f>INDEX('Profit per cycles Model'!$I$149:$I$179, MATCH(TRUNC(E858, 0), 'Profit per cycles Model'!$H$149:$H$179, 0))</f>
        <v>0.71021048491318939</v>
      </c>
      <c r="K858" s="27">
        <f>AVERAGE($J$10:J1858)</f>
        <v>0.56883042089778579</v>
      </c>
      <c r="L858" s="28">
        <f t="shared" si="289"/>
        <v>0.45104479074466447</v>
      </c>
      <c r="M858" s="28">
        <f t="shared" si="290"/>
        <v>0.45104479074466447</v>
      </c>
      <c r="N858" s="28">
        <f t="shared" si="291"/>
        <v>999</v>
      </c>
      <c r="O858" s="28"/>
      <c r="P858" s="29">
        <f t="shared" si="307"/>
        <v>0.84900000000000064</v>
      </c>
      <c r="Q858" s="33">
        <f t="shared" si="292"/>
        <v>6.7114093959731544</v>
      </c>
      <c r="R858" s="33">
        <f t="shared" si="293"/>
        <v>6.7114093959731544</v>
      </c>
      <c r="S858" s="33">
        <f t="shared" si="294"/>
        <v>-1</v>
      </c>
      <c r="T858" s="27"/>
      <c r="U858" s="28">
        <f t="shared" si="295"/>
        <v>0.10964912280701754</v>
      </c>
      <c r="V858" s="25">
        <f t="shared" si="296"/>
        <v>999</v>
      </c>
      <c r="W858" s="35">
        <f t="shared" si="308"/>
        <v>25</v>
      </c>
      <c r="X858" s="33">
        <f t="shared" si="297"/>
        <v>25</v>
      </c>
      <c r="Y858" s="32">
        <f t="shared" si="298"/>
        <v>-1</v>
      </c>
      <c r="Z858" s="32"/>
      <c r="AA858" s="30">
        <f t="shared" si="299"/>
        <v>23.257088070127381</v>
      </c>
      <c r="AB858" s="28">
        <f t="shared" si="300"/>
        <v>0.71021048491318939</v>
      </c>
      <c r="AC858" s="28">
        <f t="shared" si="301"/>
        <v>0.10964912280701754</v>
      </c>
      <c r="AD858" s="29">
        <f t="shared" si="302"/>
        <v>805.50284629981036</v>
      </c>
      <c r="AE858" s="28">
        <f t="shared" si="303"/>
        <v>0.10964912280701754</v>
      </c>
      <c r="AF858" s="28">
        <f t="shared" si="304"/>
        <v>0.60056136210617184</v>
      </c>
      <c r="AG858" s="28">
        <f t="shared" si="305"/>
        <v>0</v>
      </c>
      <c r="AI858" s="31">
        <f t="shared" si="306"/>
        <v>3.8293702734222013</v>
      </c>
      <c r="AJ858" s="25"/>
      <c r="AK858" s="31"/>
      <c r="AM858" s="27"/>
    </row>
    <row r="859" spans="4:39" x14ac:dyDescent="0.25">
      <c r="D859" s="25">
        <f>E859*'Profit per cycles Model'!$I$113</f>
        <v>8500</v>
      </c>
      <c r="E859" s="25">
        <v>23.284481577866046</v>
      </c>
      <c r="F859" s="28">
        <f t="shared" si="287"/>
        <v>0.11764705882352941</v>
      </c>
      <c r="G859" s="28">
        <f>'Battery Pricing Model'!$C$17/D859</f>
        <v>0.11764705882352941</v>
      </c>
      <c r="H859" s="28">
        <f t="shared" si="288"/>
        <v>999</v>
      </c>
      <c r="I859" s="28"/>
      <c r="J859" s="34">
        <f>INDEX('Profit per cycles Model'!$I$149:$I$179, MATCH(TRUNC(E859, 0), 'Profit per cycles Model'!$H$149:$H$179, 0))</f>
        <v>0.71021048491318939</v>
      </c>
      <c r="K859" s="27">
        <f>AVERAGE($J$10:J1859)</f>
        <v>0.56883042089778579</v>
      </c>
      <c r="L859" s="28">
        <f t="shared" si="289"/>
        <v>0.45118336207425636</v>
      </c>
      <c r="M859" s="28">
        <f t="shared" si="290"/>
        <v>0.45118336207425636</v>
      </c>
      <c r="N859" s="28">
        <f t="shared" si="291"/>
        <v>999</v>
      </c>
      <c r="O859" s="28"/>
      <c r="P859" s="29">
        <f t="shared" si="307"/>
        <v>0.85000000000000064</v>
      </c>
      <c r="Q859" s="33">
        <f t="shared" si="292"/>
        <v>6.7114093959731544</v>
      </c>
      <c r="R859" s="33">
        <f t="shared" si="293"/>
        <v>6.7114093959731544</v>
      </c>
      <c r="S859" s="33">
        <f t="shared" si="294"/>
        <v>-1</v>
      </c>
      <c r="T859" s="27"/>
      <c r="U859" s="28">
        <f t="shared" si="295"/>
        <v>0.10964912280701754</v>
      </c>
      <c r="V859" s="25">
        <f t="shared" si="296"/>
        <v>999</v>
      </c>
      <c r="W859" s="35">
        <f t="shared" si="308"/>
        <v>25</v>
      </c>
      <c r="X859" s="33">
        <f t="shared" si="297"/>
        <v>25</v>
      </c>
      <c r="Y859" s="32">
        <f t="shared" si="298"/>
        <v>-1</v>
      </c>
      <c r="Z859" s="32"/>
      <c r="AA859" s="30">
        <f t="shared" si="299"/>
        <v>23.284481577866046</v>
      </c>
      <c r="AB859" s="28">
        <f t="shared" si="300"/>
        <v>0.71021048491318939</v>
      </c>
      <c r="AC859" s="28">
        <f t="shared" si="301"/>
        <v>0.10964912280701754</v>
      </c>
      <c r="AD859" s="29">
        <f t="shared" si="302"/>
        <v>806.45161290322585</v>
      </c>
      <c r="AE859" s="28">
        <f t="shared" si="303"/>
        <v>0.10964912280701754</v>
      </c>
      <c r="AF859" s="28">
        <f t="shared" si="304"/>
        <v>0.60056136210617184</v>
      </c>
      <c r="AG859" s="28">
        <f t="shared" si="305"/>
        <v>0</v>
      </c>
      <c r="AI859" s="31">
        <f t="shared" si="306"/>
        <v>3.835058577631179</v>
      </c>
      <c r="AJ859" s="25"/>
      <c r="AK859" s="31"/>
      <c r="AM859" s="27"/>
    </row>
    <row r="860" spans="4:39" x14ac:dyDescent="0.25">
      <c r="D860" s="25">
        <f>E860*'Profit per cycles Model'!$I$113</f>
        <v>8510</v>
      </c>
      <c r="E860" s="25">
        <v>23.311875085604711</v>
      </c>
      <c r="F860" s="28">
        <f t="shared" si="287"/>
        <v>0.11750881316098707</v>
      </c>
      <c r="G860" s="28">
        <f>'Battery Pricing Model'!$C$17/D860</f>
        <v>0.11750881316098707</v>
      </c>
      <c r="H860" s="28">
        <f t="shared" si="288"/>
        <v>999</v>
      </c>
      <c r="I860" s="28"/>
      <c r="J860" s="34">
        <f>INDEX('Profit per cycles Model'!$I$149:$I$179, MATCH(TRUNC(E860, 0), 'Profit per cycles Model'!$H$149:$H$179, 0))</f>
        <v>0.71021048491318939</v>
      </c>
      <c r="K860" s="27">
        <f>AVERAGE($J$10:J1860)</f>
        <v>0.56883042089778579</v>
      </c>
      <c r="L860" s="28">
        <f t="shared" si="289"/>
        <v>0.45132160773679875</v>
      </c>
      <c r="M860" s="28">
        <f t="shared" si="290"/>
        <v>0.45132160773679875</v>
      </c>
      <c r="N860" s="28">
        <f t="shared" si="291"/>
        <v>999</v>
      </c>
      <c r="O860" s="28"/>
      <c r="P860" s="29">
        <f t="shared" si="307"/>
        <v>0.85100000000000064</v>
      </c>
      <c r="Q860" s="33">
        <f t="shared" si="292"/>
        <v>6.7114093959731544</v>
      </c>
      <c r="R860" s="33">
        <f t="shared" si="293"/>
        <v>6.7114093959731544</v>
      </c>
      <c r="S860" s="33">
        <f t="shared" si="294"/>
        <v>-1</v>
      </c>
      <c r="T860" s="27"/>
      <c r="U860" s="28">
        <f t="shared" si="295"/>
        <v>0.10964912280701754</v>
      </c>
      <c r="V860" s="25">
        <f t="shared" si="296"/>
        <v>999</v>
      </c>
      <c r="W860" s="35">
        <f t="shared" si="308"/>
        <v>25</v>
      </c>
      <c r="X860" s="33">
        <f t="shared" si="297"/>
        <v>25</v>
      </c>
      <c r="Y860" s="32">
        <f t="shared" si="298"/>
        <v>-1</v>
      </c>
      <c r="Z860" s="32"/>
      <c r="AA860" s="30">
        <f t="shared" si="299"/>
        <v>23.311875085604711</v>
      </c>
      <c r="AB860" s="28">
        <f t="shared" si="300"/>
        <v>0.71021048491318939</v>
      </c>
      <c r="AC860" s="28">
        <f t="shared" si="301"/>
        <v>0.10964912280701754</v>
      </c>
      <c r="AD860" s="29">
        <f t="shared" si="302"/>
        <v>807.40037950664146</v>
      </c>
      <c r="AE860" s="28">
        <f t="shared" si="303"/>
        <v>0.10964912280701754</v>
      </c>
      <c r="AF860" s="28">
        <f t="shared" si="304"/>
        <v>0.60056136210617184</v>
      </c>
      <c r="AG860" s="28">
        <f t="shared" si="305"/>
        <v>0</v>
      </c>
      <c r="AI860" s="31">
        <f t="shared" si="306"/>
        <v>3.8407468818401571</v>
      </c>
      <c r="AJ860" s="25"/>
      <c r="AK860" s="31"/>
      <c r="AM860" s="27"/>
    </row>
    <row r="861" spans="4:39" x14ac:dyDescent="0.25">
      <c r="D861" s="25">
        <f>E861*'Profit per cycles Model'!$I$113</f>
        <v>8520</v>
      </c>
      <c r="E861" s="25">
        <v>23.339268593343377</v>
      </c>
      <c r="F861" s="28">
        <f t="shared" si="287"/>
        <v>0.11737089201877934</v>
      </c>
      <c r="G861" s="28">
        <f>'Battery Pricing Model'!$C$17/D861</f>
        <v>0.11737089201877934</v>
      </c>
      <c r="H861" s="28">
        <f t="shared" si="288"/>
        <v>999</v>
      </c>
      <c r="I861" s="28"/>
      <c r="J861" s="34">
        <f>INDEX('Profit per cycles Model'!$I$149:$I$179, MATCH(TRUNC(E861, 0), 'Profit per cycles Model'!$H$149:$H$179, 0))</f>
        <v>0.71021048491318939</v>
      </c>
      <c r="K861" s="27">
        <f>AVERAGE($J$10:J1861)</f>
        <v>0.56883042089778579</v>
      </c>
      <c r="L861" s="28">
        <f t="shared" si="289"/>
        <v>0.45145952887900642</v>
      </c>
      <c r="M861" s="28">
        <f t="shared" si="290"/>
        <v>0.45145952887900642</v>
      </c>
      <c r="N861" s="28">
        <f t="shared" si="291"/>
        <v>999</v>
      </c>
      <c r="O861" s="28"/>
      <c r="P861" s="29">
        <f t="shared" si="307"/>
        <v>0.85200000000000065</v>
      </c>
      <c r="Q861" s="33">
        <f t="shared" si="292"/>
        <v>6.7114093959731544</v>
      </c>
      <c r="R861" s="33">
        <f t="shared" si="293"/>
        <v>6.7114093959731544</v>
      </c>
      <c r="S861" s="33">
        <f t="shared" si="294"/>
        <v>-1</v>
      </c>
      <c r="T861" s="27"/>
      <c r="U861" s="28">
        <f t="shared" si="295"/>
        <v>0.10964912280701754</v>
      </c>
      <c r="V861" s="25">
        <f t="shared" si="296"/>
        <v>999</v>
      </c>
      <c r="W861" s="35">
        <f t="shared" si="308"/>
        <v>25</v>
      </c>
      <c r="X861" s="33">
        <f t="shared" si="297"/>
        <v>25</v>
      </c>
      <c r="Y861" s="32">
        <f t="shared" si="298"/>
        <v>-1</v>
      </c>
      <c r="Z861" s="32"/>
      <c r="AA861" s="30">
        <f t="shared" si="299"/>
        <v>23.339268593343377</v>
      </c>
      <c r="AB861" s="28">
        <f t="shared" si="300"/>
        <v>0.71021048491318939</v>
      </c>
      <c r="AC861" s="28">
        <f t="shared" si="301"/>
        <v>0.10964912280701754</v>
      </c>
      <c r="AD861" s="29">
        <f t="shared" si="302"/>
        <v>808.34914611005684</v>
      </c>
      <c r="AE861" s="28">
        <f t="shared" si="303"/>
        <v>0.10964912280701754</v>
      </c>
      <c r="AF861" s="28">
        <f t="shared" si="304"/>
        <v>0.60056136210617184</v>
      </c>
      <c r="AG861" s="28">
        <f t="shared" si="305"/>
        <v>0</v>
      </c>
      <c r="AI861" s="31">
        <f t="shared" si="306"/>
        <v>3.8464351860491348</v>
      </c>
      <c r="AJ861" s="25"/>
      <c r="AK861" s="31"/>
      <c r="AM861" s="27"/>
    </row>
    <row r="862" spans="4:39" x14ac:dyDescent="0.25">
      <c r="D862" s="25">
        <f>E862*'Profit per cycles Model'!$I$113</f>
        <v>8530</v>
      </c>
      <c r="E862" s="25">
        <v>23.366662101082042</v>
      </c>
      <c r="F862" s="28">
        <f t="shared" si="287"/>
        <v>0.11723329425556858</v>
      </c>
      <c r="G862" s="28">
        <f>'Battery Pricing Model'!$C$17/D862</f>
        <v>0.11723329425556858</v>
      </c>
      <c r="H862" s="28">
        <f t="shared" si="288"/>
        <v>999</v>
      </c>
      <c r="I862" s="28"/>
      <c r="J862" s="34">
        <f>INDEX('Profit per cycles Model'!$I$149:$I$179, MATCH(TRUNC(E862, 0), 'Profit per cycles Model'!$H$149:$H$179, 0))</f>
        <v>0.71021048491318939</v>
      </c>
      <c r="K862" s="27">
        <f>AVERAGE($J$10:J1862)</f>
        <v>0.56883042089778579</v>
      </c>
      <c r="L862" s="28">
        <f t="shared" si="289"/>
        <v>0.45159712664221718</v>
      </c>
      <c r="M862" s="28">
        <f t="shared" si="290"/>
        <v>0.45159712664221718</v>
      </c>
      <c r="N862" s="28">
        <f t="shared" si="291"/>
        <v>999</v>
      </c>
      <c r="O862" s="28"/>
      <c r="P862" s="29">
        <f t="shared" si="307"/>
        <v>0.85300000000000065</v>
      </c>
      <c r="Q862" s="33">
        <f t="shared" si="292"/>
        <v>6.7114093959731544</v>
      </c>
      <c r="R862" s="33">
        <f t="shared" si="293"/>
        <v>6.7114093959731544</v>
      </c>
      <c r="S862" s="33">
        <f t="shared" si="294"/>
        <v>-1</v>
      </c>
      <c r="T862" s="27"/>
      <c r="U862" s="28">
        <f t="shared" si="295"/>
        <v>0.10964912280701754</v>
      </c>
      <c r="V862" s="25">
        <f t="shared" si="296"/>
        <v>999</v>
      </c>
      <c r="W862" s="35">
        <f t="shared" si="308"/>
        <v>25</v>
      </c>
      <c r="X862" s="33">
        <f t="shared" si="297"/>
        <v>25</v>
      </c>
      <c r="Y862" s="32">
        <f t="shared" si="298"/>
        <v>-1</v>
      </c>
      <c r="Z862" s="32"/>
      <c r="AA862" s="30">
        <f t="shared" si="299"/>
        <v>23.366662101082042</v>
      </c>
      <c r="AB862" s="28">
        <f t="shared" si="300"/>
        <v>0.71021048491318939</v>
      </c>
      <c r="AC862" s="28">
        <f t="shared" si="301"/>
        <v>0.10964912280701754</v>
      </c>
      <c r="AD862" s="29">
        <f t="shared" si="302"/>
        <v>809.29791271347244</v>
      </c>
      <c r="AE862" s="28">
        <f t="shared" si="303"/>
        <v>0.10964912280701754</v>
      </c>
      <c r="AF862" s="28">
        <f t="shared" si="304"/>
        <v>0.60056136210617184</v>
      </c>
      <c r="AG862" s="28">
        <f t="shared" si="305"/>
        <v>0</v>
      </c>
      <c r="AI862" s="31">
        <f t="shared" si="306"/>
        <v>3.8521234902581125</v>
      </c>
      <c r="AJ862" s="25"/>
      <c r="AK862" s="31"/>
      <c r="AM862" s="27"/>
    </row>
    <row r="863" spans="4:39" x14ac:dyDescent="0.25">
      <c r="D863" s="25">
        <f>E863*'Profit per cycles Model'!$I$113</f>
        <v>8540</v>
      </c>
      <c r="E863" s="25">
        <v>23.394055608820707</v>
      </c>
      <c r="F863" s="28">
        <f t="shared" si="287"/>
        <v>0.117096018735363</v>
      </c>
      <c r="G863" s="28">
        <f>'Battery Pricing Model'!$C$17/D863</f>
        <v>0.117096018735363</v>
      </c>
      <c r="H863" s="28">
        <f t="shared" si="288"/>
        <v>999</v>
      </c>
      <c r="I863" s="28"/>
      <c r="J863" s="34">
        <f>INDEX('Profit per cycles Model'!$I$149:$I$179, MATCH(TRUNC(E863, 0), 'Profit per cycles Model'!$H$149:$H$179, 0))</f>
        <v>0.71021048491318939</v>
      </c>
      <c r="K863" s="27">
        <f>AVERAGE($J$10:J1863)</f>
        <v>0.56883042089778579</v>
      </c>
      <c r="L863" s="28">
        <f t="shared" si="289"/>
        <v>0.45173440216242278</v>
      </c>
      <c r="M863" s="28">
        <f t="shared" si="290"/>
        <v>0.45173440216242278</v>
      </c>
      <c r="N863" s="28">
        <f t="shared" si="291"/>
        <v>999</v>
      </c>
      <c r="O863" s="28"/>
      <c r="P863" s="29">
        <f t="shared" si="307"/>
        <v>0.85400000000000065</v>
      </c>
      <c r="Q863" s="33">
        <f t="shared" si="292"/>
        <v>6.7114093959731544</v>
      </c>
      <c r="R863" s="33">
        <f t="shared" si="293"/>
        <v>6.7114093959731544</v>
      </c>
      <c r="S863" s="33">
        <f t="shared" si="294"/>
        <v>-1</v>
      </c>
      <c r="T863" s="27"/>
      <c r="U863" s="28">
        <f t="shared" si="295"/>
        <v>0.10964912280701754</v>
      </c>
      <c r="V863" s="25">
        <f t="shared" si="296"/>
        <v>999</v>
      </c>
      <c r="W863" s="35">
        <f t="shared" si="308"/>
        <v>25</v>
      </c>
      <c r="X863" s="33">
        <f t="shared" si="297"/>
        <v>25</v>
      </c>
      <c r="Y863" s="32">
        <f t="shared" si="298"/>
        <v>-1</v>
      </c>
      <c r="Z863" s="32"/>
      <c r="AA863" s="30">
        <f t="shared" si="299"/>
        <v>23.394055608820707</v>
      </c>
      <c r="AB863" s="28">
        <f t="shared" si="300"/>
        <v>0.71021048491318939</v>
      </c>
      <c r="AC863" s="28">
        <f t="shared" si="301"/>
        <v>0.10964912280701754</v>
      </c>
      <c r="AD863" s="29">
        <f t="shared" si="302"/>
        <v>810.24667931688805</v>
      </c>
      <c r="AE863" s="28">
        <f t="shared" si="303"/>
        <v>0.10964912280701754</v>
      </c>
      <c r="AF863" s="28">
        <f t="shared" si="304"/>
        <v>0.60056136210617184</v>
      </c>
      <c r="AG863" s="28">
        <f t="shared" si="305"/>
        <v>0</v>
      </c>
      <c r="AI863" s="31">
        <f t="shared" si="306"/>
        <v>3.8578117944670902</v>
      </c>
      <c r="AJ863" s="25"/>
      <c r="AK863" s="31"/>
      <c r="AM863" s="27"/>
    </row>
    <row r="864" spans="4:39" x14ac:dyDescent="0.25">
      <c r="D864" s="25">
        <f>E864*'Profit per cycles Model'!$I$113</f>
        <v>8550</v>
      </c>
      <c r="E864" s="25">
        <v>23.421449116559376</v>
      </c>
      <c r="F864" s="28">
        <f t="shared" si="287"/>
        <v>0.11695906432748537</v>
      </c>
      <c r="G864" s="28">
        <f>'Battery Pricing Model'!$C$17/D864</f>
        <v>0.11695906432748537</v>
      </c>
      <c r="H864" s="28">
        <f t="shared" si="288"/>
        <v>999</v>
      </c>
      <c r="I864" s="28"/>
      <c r="J864" s="34">
        <f>INDEX('Profit per cycles Model'!$I$149:$I$179, MATCH(TRUNC(E864, 0), 'Profit per cycles Model'!$H$149:$H$179, 0))</f>
        <v>0.71021048491318939</v>
      </c>
      <c r="K864" s="27">
        <f>AVERAGE($J$10:J1864)</f>
        <v>0.56883042089778579</v>
      </c>
      <c r="L864" s="28">
        <f t="shared" si="289"/>
        <v>0.45187135657030042</v>
      </c>
      <c r="M864" s="28">
        <f t="shared" si="290"/>
        <v>0.45187135657030042</v>
      </c>
      <c r="N864" s="28">
        <f t="shared" si="291"/>
        <v>999</v>
      </c>
      <c r="O864" s="28"/>
      <c r="P864" s="29">
        <f t="shared" si="307"/>
        <v>0.85500000000000065</v>
      </c>
      <c r="Q864" s="33">
        <f t="shared" si="292"/>
        <v>6.7114093959731544</v>
      </c>
      <c r="R864" s="33">
        <f t="shared" si="293"/>
        <v>6.7114093959731544</v>
      </c>
      <c r="S864" s="33">
        <f t="shared" si="294"/>
        <v>-1</v>
      </c>
      <c r="T864" s="27"/>
      <c r="U864" s="28">
        <f t="shared" si="295"/>
        <v>0.10964912280701754</v>
      </c>
      <c r="V864" s="25">
        <f t="shared" si="296"/>
        <v>999</v>
      </c>
      <c r="W864" s="35">
        <f t="shared" si="308"/>
        <v>25</v>
      </c>
      <c r="X864" s="33">
        <f t="shared" si="297"/>
        <v>25</v>
      </c>
      <c r="Y864" s="32">
        <f t="shared" si="298"/>
        <v>-1</v>
      </c>
      <c r="Z864" s="32"/>
      <c r="AA864" s="30">
        <f t="shared" si="299"/>
        <v>23.421449116559376</v>
      </c>
      <c r="AB864" s="28">
        <f t="shared" si="300"/>
        <v>0.71021048491318939</v>
      </c>
      <c r="AC864" s="28">
        <f t="shared" si="301"/>
        <v>0.10964912280701754</v>
      </c>
      <c r="AD864" s="29">
        <f t="shared" si="302"/>
        <v>811.19544592030365</v>
      </c>
      <c r="AE864" s="28">
        <f t="shared" si="303"/>
        <v>0.10964912280701754</v>
      </c>
      <c r="AF864" s="28">
        <f t="shared" si="304"/>
        <v>0.60056136210617184</v>
      </c>
      <c r="AG864" s="28">
        <f t="shared" si="305"/>
        <v>0</v>
      </c>
      <c r="AI864" s="31">
        <f t="shared" si="306"/>
        <v>3.8635000986760688</v>
      </c>
      <c r="AJ864" s="25"/>
      <c r="AK864" s="31"/>
      <c r="AM864" s="27"/>
    </row>
    <row r="865" spans="4:39" x14ac:dyDescent="0.25">
      <c r="D865" s="25">
        <f>E865*'Profit per cycles Model'!$I$113</f>
        <v>8560</v>
      </c>
      <c r="E865" s="25">
        <v>23.448842624298042</v>
      </c>
      <c r="F865" s="28">
        <f t="shared" si="287"/>
        <v>0.11682242990654206</v>
      </c>
      <c r="G865" s="28">
        <f>'Battery Pricing Model'!$C$17/D865</f>
        <v>0.11682242990654206</v>
      </c>
      <c r="H865" s="28">
        <f t="shared" si="288"/>
        <v>999</v>
      </c>
      <c r="I865" s="28"/>
      <c r="J865" s="34">
        <f>INDEX('Profit per cycles Model'!$I$149:$I$179, MATCH(TRUNC(E865, 0), 'Profit per cycles Model'!$H$149:$H$179, 0))</f>
        <v>0.71021048491318939</v>
      </c>
      <c r="K865" s="27">
        <f>AVERAGE($J$10:J1865)</f>
        <v>0.56883042089778579</v>
      </c>
      <c r="L865" s="28">
        <f t="shared" si="289"/>
        <v>0.45200799099124372</v>
      </c>
      <c r="M865" s="28">
        <f t="shared" si="290"/>
        <v>0.45200799099124372</v>
      </c>
      <c r="N865" s="28">
        <f t="shared" si="291"/>
        <v>999</v>
      </c>
      <c r="O865" s="28"/>
      <c r="P865" s="29">
        <f t="shared" si="307"/>
        <v>0.85600000000000065</v>
      </c>
      <c r="Q865" s="33">
        <f t="shared" si="292"/>
        <v>6.7114093959731544</v>
      </c>
      <c r="R865" s="33">
        <f t="shared" si="293"/>
        <v>6.7114093959731544</v>
      </c>
      <c r="S865" s="33">
        <f t="shared" si="294"/>
        <v>-1</v>
      </c>
      <c r="T865" s="27"/>
      <c r="U865" s="28">
        <f t="shared" si="295"/>
        <v>0.10964912280701754</v>
      </c>
      <c r="V865" s="25">
        <f t="shared" si="296"/>
        <v>999</v>
      </c>
      <c r="W865" s="35">
        <f t="shared" si="308"/>
        <v>25</v>
      </c>
      <c r="X865" s="33">
        <f t="shared" si="297"/>
        <v>25</v>
      </c>
      <c r="Y865" s="32">
        <f t="shared" si="298"/>
        <v>-1</v>
      </c>
      <c r="Z865" s="32"/>
      <c r="AA865" s="30">
        <f t="shared" si="299"/>
        <v>23.448842624298042</v>
      </c>
      <c r="AB865" s="28">
        <f t="shared" si="300"/>
        <v>0.71021048491318939</v>
      </c>
      <c r="AC865" s="28">
        <f t="shared" si="301"/>
        <v>0.10964912280701754</v>
      </c>
      <c r="AD865" s="29">
        <f t="shared" si="302"/>
        <v>812.14421252371926</v>
      </c>
      <c r="AE865" s="28">
        <f t="shared" si="303"/>
        <v>0.10964912280701754</v>
      </c>
      <c r="AF865" s="28">
        <f t="shared" si="304"/>
        <v>0.60056136210617184</v>
      </c>
      <c r="AG865" s="28">
        <f t="shared" si="305"/>
        <v>0</v>
      </c>
      <c r="AI865" s="31">
        <f t="shared" si="306"/>
        <v>3.8691884028850465</v>
      </c>
      <c r="AJ865" s="25"/>
      <c r="AK865" s="31"/>
      <c r="AM865" s="27"/>
    </row>
    <row r="866" spans="4:39" x14ac:dyDescent="0.25">
      <c r="D866" s="25">
        <f>E866*'Profit per cycles Model'!$I$113</f>
        <v>8570</v>
      </c>
      <c r="E866" s="25">
        <v>23.476236132036707</v>
      </c>
      <c r="F866" s="28">
        <f t="shared" si="287"/>
        <v>0.11668611435239207</v>
      </c>
      <c r="G866" s="28">
        <f>'Battery Pricing Model'!$C$17/D866</f>
        <v>0.11668611435239207</v>
      </c>
      <c r="H866" s="28">
        <f t="shared" si="288"/>
        <v>999</v>
      </c>
      <c r="I866" s="28"/>
      <c r="J866" s="34">
        <f>INDEX('Profit per cycles Model'!$I$149:$I$179, MATCH(TRUNC(E866, 0), 'Profit per cycles Model'!$H$149:$H$179, 0))</f>
        <v>0.71021048491318939</v>
      </c>
      <c r="K866" s="27">
        <f>AVERAGE($J$10:J1866)</f>
        <v>0.56883042089778579</v>
      </c>
      <c r="L866" s="28">
        <f t="shared" si="289"/>
        <v>0.45214430654539373</v>
      </c>
      <c r="M866" s="28">
        <f t="shared" si="290"/>
        <v>0.45214430654539373</v>
      </c>
      <c r="N866" s="28">
        <f t="shared" si="291"/>
        <v>999</v>
      </c>
      <c r="O866" s="28"/>
      <c r="P866" s="29">
        <f t="shared" si="307"/>
        <v>0.85700000000000065</v>
      </c>
      <c r="Q866" s="33">
        <f t="shared" si="292"/>
        <v>6.7114093959731544</v>
      </c>
      <c r="R866" s="33">
        <f t="shared" si="293"/>
        <v>6.7114093959731544</v>
      </c>
      <c r="S866" s="33">
        <f t="shared" si="294"/>
        <v>-1</v>
      </c>
      <c r="T866" s="27"/>
      <c r="U866" s="28">
        <f t="shared" si="295"/>
        <v>0.10964912280701754</v>
      </c>
      <c r="V866" s="25">
        <f t="shared" si="296"/>
        <v>999</v>
      </c>
      <c r="W866" s="35">
        <f t="shared" si="308"/>
        <v>25</v>
      </c>
      <c r="X866" s="33">
        <f t="shared" si="297"/>
        <v>25</v>
      </c>
      <c r="Y866" s="32">
        <f t="shared" si="298"/>
        <v>-1</v>
      </c>
      <c r="Z866" s="32"/>
      <c r="AA866" s="30">
        <f t="shared" si="299"/>
        <v>23.476236132036707</v>
      </c>
      <c r="AB866" s="28">
        <f t="shared" si="300"/>
        <v>0.71021048491318939</v>
      </c>
      <c r="AC866" s="28">
        <f t="shared" si="301"/>
        <v>0.10964912280701754</v>
      </c>
      <c r="AD866" s="29">
        <f t="shared" si="302"/>
        <v>813.09297912713475</v>
      </c>
      <c r="AE866" s="28">
        <f t="shared" si="303"/>
        <v>0.10964912280701754</v>
      </c>
      <c r="AF866" s="28">
        <f t="shared" si="304"/>
        <v>0.60056136210617184</v>
      </c>
      <c r="AG866" s="28">
        <f t="shared" si="305"/>
        <v>0</v>
      </c>
      <c r="AI866" s="31">
        <f t="shared" si="306"/>
        <v>3.8748767070940242</v>
      </c>
      <c r="AJ866" s="25"/>
      <c r="AK866" s="31"/>
      <c r="AM866" s="27"/>
    </row>
    <row r="867" spans="4:39" x14ac:dyDescent="0.25">
      <c r="D867" s="25">
        <f>E867*'Profit per cycles Model'!$I$113</f>
        <v>8580</v>
      </c>
      <c r="E867" s="25">
        <v>23.503629639775372</v>
      </c>
      <c r="F867" s="28">
        <f t="shared" si="287"/>
        <v>0.11655011655011654</v>
      </c>
      <c r="G867" s="28">
        <f>'Battery Pricing Model'!$C$17/D867</f>
        <v>0.11655011655011654</v>
      </c>
      <c r="H867" s="28">
        <f t="shared" si="288"/>
        <v>999</v>
      </c>
      <c r="I867" s="28"/>
      <c r="J867" s="34">
        <f>INDEX('Profit per cycles Model'!$I$149:$I$179, MATCH(TRUNC(E867, 0), 'Profit per cycles Model'!$H$149:$H$179, 0))</f>
        <v>0.71021048491318939</v>
      </c>
      <c r="K867" s="27">
        <f>AVERAGE($J$10:J1867)</f>
        <v>0.56883042089778579</v>
      </c>
      <c r="L867" s="28">
        <f t="shared" si="289"/>
        <v>0.45228030434766925</v>
      </c>
      <c r="M867" s="28">
        <f t="shared" si="290"/>
        <v>0.45228030434766925</v>
      </c>
      <c r="N867" s="28">
        <f t="shared" si="291"/>
        <v>999</v>
      </c>
      <c r="O867" s="28"/>
      <c r="P867" s="29">
        <f t="shared" si="307"/>
        <v>0.85800000000000065</v>
      </c>
      <c r="Q867" s="33">
        <f t="shared" si="292"/>
        <v>6.7114093959731544</v>
      </c>
      <c r="R867" s="33">
        <f t="shared" si="293"/>
        <v>6.7114093959731544</v>
      </c>
      <c r="S867" s="33">
        <f t="shared" si="294"/>
        <v>-1</v>
      </c>
      <c r="T867" s="27"/>
      <c r="U867" s="28">
        <f t="shared" si="295"/>
        <v>0.10964912280701754</v>
      </c>
      <c r="V867" s="25">
        <f t="shared" si="296"/>
        <v>999</v>
      </c>
      <c r="W867" s="35">
        <f t="shared" si="308"/>
        <v>25</v>
      </c>
      <c r="X867" s="33">
        <f t="shared" si="297"/>
        <v>25</v>
      </c>
      <c r="Y867" s="32">
        <f t="shared" si="298"/>
        <v>-1</v>
      </c>
      <c r="Z867" s="32"/>
      <c r="AA867" s="30">
        <f t="shared" si="299"/>
        <v>23.503629639775372</v>
      </c>
      <c r="AB867" s="28">
        <f t="shared" si="300"/>
        <v>0.71021048491318939</v>
      </c>
      <c r="AC867" s="28">
        <f t="shared" si="301"/>
        <v>0.10964912280701754</v>
      </c>
      <c r="AD867" s="29">
        <f t="shared" si="302"/>
        <v>814.04174573055025</v>
      </c>
      <c r="AE867" s="28">
        <f t="shared" si="303"/>
        <v>0.10964912280701754</v>
      </c>
      <c r="AF867" s="28">
        <f t="shared" si="304"/>
        <v>0.60056136210617184</v>
      </c>
      <c r="AG867" s="28">
        <f t="shared" si="305"/>
        <v>0</v>
      </c>
      <c r="AI867" s="31">
        <f t="shared" si="306"/>
        <v>3.8805650113030024</v>
      </c>
      <c r="AJ867" s="25"/>
      <c r="AK867" s="31"/>
      <c r="AM867" s="27"/>
    </row>
    <row r="868" spans="4:39" x14ac:dyDescent="0.25">
      <c r="D868" s="25">
        <f>E868*'Profit per cycles Model'!$I$113</f>
        <v>8590</v>
      </c>
      <c r="E868" s="25">
        <v>23.531023147514038</v>
      </c>
      <c r="F868" s="28">
        <f t="shared" si="287"/>
        <v>0.11641443538998836</v>
      </c>
      <c r="G868" s="28">
        <f>'Battery Pricing Model'!$C$17/D868</f>
        <v>0.11641443538998836</v>
      </c>
      <c r="H868" s="28">
        <f t="shared" si="288"/>
        <v>999</v>
      </c>
      <c r="I868" s="28"/>
      <c r="J868" s="34">
        <f>INDEX('Profit per cycles Model'!$I$149:$I$179, MATCH(TRUNC(E868, 0), 'Profit per cycles Model'!$H$149:$H$179, 0))</f>
        <v>0.71021048491318939</v>
      </c>
      <c r="K868" s="27">
        <f>AVERAGE($J$10:J1868)</f>
        <v>0.56883042089778579</v>
      </c>
      <c r="L868" s="28">
        <f t="shared" si="289"/>
        <v>0.45241598550779744</v>
      </c>
      <c r="M868" s="28">
        <f t="shared" si="290"/>
        <v>0.45241598550779744</v>
      </c>
      <c r="N868" s="28">
        <f t="shared" si="291"/>
        <v>999</v>
      </c>
      <c r="O868" s="28"/>
      <c r="P868" s="29">
        <f t="shared" si="307"/>
        <v>0.85900000000000065</v>
      </c>
      <c r="Q868" s="33">
        <f t="shared" si="292"/>
        <v>6.7114093959731544</v>
      </c>
      <c r="R868" s="33">
        <f t="shared" si="293"/>
        <v>6.7114093959731544</v>
      </c>
      <c r="S868" s="33">
        <f t="shared" si="294"/>
        <v>-1</v>
      </c>
      <c r="T868" s="27"/>
      <c r="U868" s="28">
        <f t="shared" si="295"/>
        <v>0.10964912280701754</v>
      </c>
      <c r="V868" s="25">
        <f t="shared" si="296"/>
        <v>999</v>
      </c>
      <c r="W868" s="35">
        <f t="shared" si="308"/>
        <v>25</v>
      </c>
      <c r="X868" s="33">
        <f t="shared" si="297"/>
        <v>25</v>
      </c>
      <c r="Y868" s="32">
        <f t="shared" si="298"/>
        <v>-1</v>
      </c>
      <c r="Z868" s="32"/>
      <c r="AA868" s="30">
        <f t="shared" si="299"/>
        <v>23.531023147514038</v>
      </c>
      <c r="AB868" s="28">
        <f t="shared" si="300"/>
        <v>0.71021048491318939</v>
      </c>
      <c r="AC868" s="28">
        <f t="shared" si="301"/>
        <v>0.10964912280701754</v>
      </c>
      <c r="AD868" s="29">
        <f t="shared" si="302"/>
        <v>814.99051233396585</v>
      </c>
      <c r="AE868" s="28">
        <f t="shared" si="303"/>
        <v>0.10964912280701754</v>
      </c>
      <c r="AF868" s="28">
        <f t="shared" si="304"/>
        <v>0.60056136210617184</v>
      </c>
      <c r="AG868" s="28">
        <f t="shared" si="305"/>
        <v>0</v>
      </c>
      <c r="AI868" s="31">
        <f t="shared" si="306"/>
        <v>3.8862533155119801</v>
      </c>
      <c r="AJ868" s="25"/>
      <c r="AK868" s="31"/>
      <c r="AM868" s="27"/>
    </row>
    <row r="869" spans="4:39" x14ac:dyDescent="0.25">
      <c r="D869" s="25">
        <f>E869*'Profit per cycles Model'!$I$113</f>
        <v>8600</v>
      </c>
      <c r="E869" s="25">
        <v>23.558416655252703</v>
      </c>
      <c r="F869" s="28">
        <f t="shared" si="287"/>
        <v>0.11627906976744186</v>
      </c>
      <c r="G869" s="28">
        <f>'Battery Pricing Model'!$C$17/D869</f>
        <v>0.11627906976744186</v>
      </c>
      <c r="H869" s="28">
        <f t="shared" si="288"/>
        <v>999</v>
      </c>
      <c r="I869" s="28"/>
      <c r="J869" s="34">
        <f>INDEX('Profit per cycles Model'!$I$149:$I$179, MATCH(TRUNC(E869, 0), 'Profit per cycles Model'!$H$149:$H$179, 0))</f>
        <v>0.71021048491318939</v>
      </c>
      <c r="K869" s="27">
        <f>AVERAGE($J$10:J1869)</f>
        <v>0.56883042089778579</v>
      </c>
      <c r="L869" s="28">
        <f t="shared" si="289"/>
        <v>0.45255135113034395</v>
      </c>
      <c r="M869" s="28">
        <f t="shared" si="290"/>
        <v>0.45255135113034395</v>
      </c>
      <c r="N869" s="28">
        <f t="shared" si="291"/>
        <v>999</v>
      </c>
      <c r="O869" s="28"/>
      <c r="P869" s="29">
        <f t="shared" si="307"/>
        <v>0.86000000000000065</v>
      </c>
      <c r="Q869" s="33">
        <f t="shared" si="292"/>
        <v>6.7114093959731544</v>
      </c>
      <c r="R869" s="33">
        <f t="shared" si="293"/>
        <v>6.7114093959731544</v>
      </c>
      <c r="S869" s="33">
        <f t="shared" si="294"/>
        <v>-1</v>
      </c>
      <c r="T869" s="27"/>
      <c r="U869" s="28">
        <f t="shared" si="295"/>
        <v>0.10964912280701754</v>
      </c>
      <c r="V869" s="25">
        <f t="shared" si="296"/>
        <v>999</v>
      </c>
      <c r="W869" s="35">
        <f t="shared" si="308"/>
        <v>25</v>
      </c>
      <c r="X869" s="33">
        <f t="shared" si="297"/>
        <v>25</v>
      </c>
      <c r="Y869" s="32">
        <f t="shared" si="298"/>
        <v>-1</v>
      </c>
      <c r="Z869" s="32"/>
      <c r="AA869" s="30">
        <f t="shared" si="299"/>
        <v>23.558416655252703</v>
      </c>
      <c r="AB869" s="28">
        <f t="shared" si="300"/>
        <v>0.71021048491318939</v>
      </c>
      <c r="AC869" s="28">
        <f t="shared" si="301"/>
        <v>0.10964912280701754</v>
      </c>
      <c r="AD869" s="29">
        <f t="shared" si="302"/>
        <v>815.93927893738135</v>
      </c>
      <c r="AE869" s="28">
        <f t="shared" si="303"/>
        <v>0.10964912280701754</v>
      </c>
      <c r="AF869" s="28">
        <f t="shared" si="304"/>
        <v>0.60056136210617184</v>
      </c>
      <c r="AG869" s="28">
        <f t="shared" si="305"/>
        <v>0</v>
      </c>
      <c r="AI869" s="31">
        <f t="shared" si="306"/>
        <v>3.8919416197209582</v>
      </c>
      <c r="AJ869" s="25"/>
      <c r="AK869" s="31"/>
      <c r="AM869" s="27"/>
    </row>
    <row r="870" spans="4:39" x14ac:dyDescent="0.25">
      <c r="D870" s="25">
        <f>E870*'Profit per cycles Model'!$I$113</f>
        <v>8610</v>
      </c>
      <c r="E870" s="25">
        <v>23.585810162991372</v>
      </c>
      <c r="F870" s="28">
        <f t="shared" si="287"/>
        <v>0.11614401858304298</v>
      </c>
      <c r="G870" s="28">
        <f>'Battery Pricing Model'!$C$17/D870</f>
        <v>0.11614401858304298</v>
      </c>
      <c r="H870" s="28">
        <f t="shared" si="288"/>
        <v>999</v>
      </c>
      <c r="I870" s="28"/>
      <c r="J870" s="34">
        <f>INDEX('Profit per cycles Model'!$I$149:$I$179, MATCH(TRUNC(E870, 0), 'Profit per cycles Model'!$H$149:$H$179, 0))</f>
        <v>0.71021048491318939</v>
      </c>
      <c r="K870" s="27">
        <f>AVERAGE($J$10:J1870)</f>
        <v>0.56883042089778579</v>
      </c>
      <c r="L870" s="28">
        <f t="shared" si="289"/>
        <v>0.45268640231474283</v>
      </c>
      <c r="M870" s="28">
        <f t="shared" si="290"/>
        <v>0.45268640231474283</v>
      </c>
      <c r="N870" s="28">
        <f t="shared" si="291"/>
        <v>999</v>
      </c>
      <c r="O870" s="28"/>
      <c r="P870" s="29">
        <f t="shared" si="307"/>
        <v>0.86100000000000065</v>
      </c>
      <c r="Q870" s="33">
        <f t="shared" si="292"/>
        <v>6.7114093959731544</v>
      </c>
      <c r="R870" s="33">
        <f t="shared" si="293"/>
        <v>6.7114093959731544</v>
      </c>
      <c r="S870" s="33">
        <f t="shared" si="294"/>
        <v>-1</v>
      </c>
      <c r="T870" s="27"/>
      <c r="U870" s="28">
        <f t="shared" si="295"/>
        <v>0.10964912280701754</v>
      </c>
      <c r="V870" s="25">
        <f t="shared" si="296"/>
        <v>999</v>
      </c>
      <c r="W870" s="35">
        <f t="shared" si="308"/>
        <v>25</v>
      </c>
      <c r="X870" s="33">
        <f t="shared" si="297"/>
        <v>25</v>
      </c>
      <c r="Y870" s="32">
        <f t="shared" si="298"/>
        <v>-1</v>
      </c>
      <c r="Z870" s="32"/>
      <c r="AA870" s="30">
        <f t="shared" si="299"/>
        <v>23.585810162991372</v>
      </c>
      <c r="AB870" s="28">
        <f t="shared" si="300"/>
        <v>0.71021048491318939</v>
      </c>
      <c r="AC870" s="28">
        <f t="shared" si="301"/>
        <v>0.10964912280701754</v>
      </c>
      <c r="AD870" s="29">
        <f t="shared" si="302"/>
        <v>816.88804554079707</v>
      </c>
      <c r="AE870" s="28">
        <f t="shared" si="303"/>
        <v>0.10964912280701754</v>
      </c>
      <c r="AF870" s="28">
        <f t="shared" si="304"/>
        <v>0.60056136210617184</v>
      </c>
      <c r="AG870" s="28">
        <f t="shared" si="305"/>
        <v>0</v>
      </c>
      <c r="AI870" s="31">
        <f t="shared" si="306"/>
        <v>3.8976299239299355</v>
      </c>
      <c r="AJ870" s="25"/>
      <c r="AK870" s="31"/>
      <c r="AM870" s="27"/>
    </row>
    <row r="871" spans="4:39" x14ac:dyDescent="0.25">
      <c r="D871" s="25">
        <f>E871*'Profit per cycles Model'!$I$113</f>
        <v>8620</v>
      </c>
      <c r="E871" s="25">
        <v>23.613203670730037</v>
      </c>
      <c r="F871" s="28">
        <f t="shared" si="287"/>
        <v>0.11600928074245939</v>
      </c>
      <c r="G871" s="28">
        <f>'Battery Pricing Model'!$C$17/D871</f>
        <v>0.11600928074245939</v>
      </c>
      <c r="H871" s="28">
        <f t="shared" si="288"/>
        <v>999</v>
      </c>
      <c r="I871" s="28"/>
      <c r="J871" s="34">
        <f>INDEX('Profit per cycles Model'!$I$149:$I$179, MATCH(TRUNC(E871, 0), 'Profit per cycles Model'!$H$149:$H$179, 0))</f>
        <v>0.71021048491318939</v>
      </c>
      <c r="K871" s="27">
        <f>AVERAGE($J$10:J1871)</f>
        <v>0.56883042089778579</v>
      </c>
      <c r="L871" s="28">
        <f t="shared" si="289"/>
        <v>0.45282114015532637</v>
      </c>
      <c r="M871" s="28">
        <f t="shared" si="290"/>
        <v>0.45282114015532637</v>
      </c>
      <c r="N871" s="28">
        <f t="shared" si="291"/>
        <v>999</v>
      </c>
      <c r="O871" s="28"/>
      <c r="P871" s="29">
        <f t="shared" si="307"/>
        <v>0.86200000000000065</v>
      </c>
      <c r="Q871" s="33">
        <f t="shared" si="292"/>
        <v>6.7114093959731544</v>
      </c>
      <c r="R871" s="33">
        <f t="shared" si="293"/>
        <v>6.7114093959731544</v>
      </c>
      <c r="S871" s="33">
        <f t="shared" si="294"/>
        <v>-1</v>
      </c>
      <c r="T871" s="27"/>
      <c r="U871" s="28">
        <f t="shared" si="295"/>
        <v>0.10964912280701754</v>
      </c>
      <c r="V871" s="25">
        <f t="shared" si="296"/>
        <v>999</v>
      </c>
      <c r="W871" s="35">
        <f t="shared" si="308"/>
        <v>25</v>
      </c>
      <c r="X871" s="33">
        <f t="shared" si="297"/>
        <v>25</v>
      </c>
      <c r="Y871" s="32">
        <f t="shared" si="298"/>
        <v>-1</v>
      </c>
      <c r="Z871" s="32"/>
      <c r="AA871" s="30">
        <f t="shared" si="299"/>
        <v>23.613203670730037</v>
      </c>
      <c r="AB871" s="28">
        <f t="shared" si="300"/>
        <v>0.71021048491318939</v>
      </c>
      <c r="AC871" s="28">
        <f t="shared" si="301"/>
        <v>0.10964912280701754</v>
      </c>
      <c r="AD871" s="29">
        <f t="shared" si="302"/>
        <v>817.83681214421256</v>
      </c>
      <c r="AE871" s="28">
        <f t="shared" si="303"/>
        <v>0.10964912280701754</v>
      </c>
      <c r="AF871" s="28">
        <f t="shared" si="304"/>
        <v>0.60056136210617184</v>
      </c>
      <c r="AG871" s="28">
        <f t="shared" si="305"/>
        <v>0</v>
      </c>
      <c r="AI871" s="31">
        <f t="shared" si="306"/>
        <v>3.9033182281389136</v>
      </c>
      <c r="AJ871" s="25"/>
      <c r="AK871" s="31"/>
      <c r="AM871" s="27"/>
    </row>
    <row r="872" spans="4:39" x14ac:dyDescent="0.25">
      <c r="D872" s="25">
        <f>E872*'Profit per cycles Model'!$I$113</f>
        <v>8630</v>
      </c>
      <c r="E872" s="25">
        <v>23.640597178468703</v>
      </c>
      <c r="F872" s="28">
        <f t="shared" si="287"/>
        <v>0.11587485515643106</v>
      </c>
      <c r="G872" s="28">
        <f>'Battery Pricing Model'!$C$17/D872</f>
        <v>0.11587485515643106</v>
      </c>
      <c r="H872" s="28">
        <f t="shared" si="288"/>
        <v>999</v>
      </c>
      <c r="I872" s="28"/>
      <c r="J872" s="34">
        <f>INDEX('Profit per cycles Model'!$I$149:$I$179, MATCH(TRUNC(E872, 0), 'Profit per cycles Model'!$H$149:$H$179, 0))</f>
        <v>0.71021048491318939</v>
      </c>
      <c r="K872" s="27">
        <f>AVERAGE($J$10:J1872)</f>
        <v>0.56883042089778579</v>
      </c>
      <c r="L872" s="28">
        <f t="shared" si="289"/>
        <v>0.45295556574135476</v>
      </c>
      <c r="M872" s="28">
        <f t="shared" si="290"/>
        <v>0.45295556574135476</v>
      </c>
      <c r="N872" s="28">
        <f t="shared" si="291"/>
        <v>999</v>
      </c>
      <c r="O872" s="28"/>
      <c r="P872" s="29">
        <f t="shared" si="307"/>
        <v>0.86300000000000066</v>
      </c>
      <c r="Q872" s="33">
        <f t="shared" si="292"/>
        <v>6.7114093959731544</v>
      </c>
      <c r="R872" s="33">
        <f t="shared" si="293"/>
        <v>6.7114093959731544</v>
      </c>
      <c r="S872" s="33">
        <f t="shared" si="294"/>
        <v>-1</v>
      </c>
      <c r="T872" s="27"/>
      <c r="U872" s="28">
        <f t="shared" si="295"/>
        <v>0.10964912280701754</v>
      </c>
      <c r="V872" s="25">
        <f t="shared" si="296"/>
        <v>999</v>
      </c>
      <c r="W872" s="35">
        <f t="shared" si="308"/>
        <v>25</v>
      </c>
      <c r="X872" s="33">
        <f t="shared" si="297"/>
        <v>25</v>
      </c>
      <c r="Y872" s="32">
        <f t="shared" si="298"/>
        <v>-1</v>
      </c>
      <c r="Z872" s="32"/>
      <c r="AA872" s="30">
        <f t="shared" si="299"/>
        <v>23.640597178468703</v>
      </c>
      <c r="AB872" s="28">
        <f t="shared" si="300"/>
        <v>0.71021048491318939</v>
      </c>
      <c r="AC872" s="28">
        <f t="shared" si="301"/>
        <v>0.10964912280701754</v>
      </c>
      <c r="AD872" s="29">
        <f t="shared" si="302"/>
        <v>818.78557874762816</v>
      </c>
      <c r="AE872" s="28">
        <f t="shared" si="303"/>
        <v>0.10964912280701754</v>
      </c>
      <c r="AF872" s="28">
        <f t="shared" si="304"/>
        <v>0.60056136210617184</v>
      </c>
      <c r="AG872" s="28">
        <f t="shared" si="305"/>
        <v>0</v>
      </c>
      <c r="AI872" s="31">
        <f t="shared" si="306"/>
        <v>3.9090065323478913</v>
      </c>
      <c r="AJ872" s="25"/>
      <c r="AK872" s="31"/>
      <c r="AM872" s="27"/>
    </row>
    <row r="873" spans="4:39" x14ac:dyDescent="0.25">
      <c r="D873" s="25">
        <f>E873*'Profit per cycles Model'!$I$113</f>
        <v>8640</v>
      </c>
      <c r="E873" s="25">
        <v>23.667990686207368</v>
      </c>
      <c r="F873" s="28">
        <f t="shared" si="287"/>
        <v>0.11574074074074074</v>
      </c>
      <c r="G873" s="28">
        <f>'Battery Pricing Model'!$C$17/D873</f>
        <v>0.11574074074074074</v>
      </c>
      <c r="H873" s="28">
        <f t="shared" si="288"/>
        <v>999</v>
      </c>
      <c r="I873" s="28"/>
      <c r="J873" s="34">
        <f>INDEX('Profit per cycles Model'!$I$149:$I$179, MATCH(TRUNC(E873, 0), 'Profit per cycles Model'!$H$149:$H$179, 0))</f>
        <v>0.71021048491318939</v>
      </c>
      <c r="K873" s="27">
        <f>AVERAGE($J$10:J1873)</f>
        <v>0.56883042089778579</v>
      </c>
      <c r="L873" s="28">
        <f t="shared" si="289"/>
        <v>0.45308968015704504</v>
      </c>
      <c r="M873" s="28">
        <f t="shared" si="290"/>
        <v>0.45308968015704504</v>
      </c>
      <c r="N873" s="28">
        <f t="shared" si="291"/>
        <v>999</v>
      </c>
      <c r="O873" s="28"/>
      <c r="P873" s="29">
        <f t="shared" si="307"/>
        <v>0.86400000000000066</v>
      </c>
      <c r="Q873" s="33">
        <f t="shared" si="292"/>
        <v>6.7114093959731544</v>
      </c>
      <c r="R873" s="33">
        <f t="shared" si="293"/>
        <v>6.7114093959731544</v>
      </c>
      <c r="S873" s="33">
        <f t="shared" si="294"/>
        <v>-1</v>
      </c>
      <c r="T873" s="27"/>
      <c r="U873" s="28">
        <f t="shared" si="295"/>
        <v>0.10964912280701754</v>
      </c>
      <c r="V873" s="25">
        <f t="shared" si="296"/>
        <v>999</v>
      </c>
      <c r="W873" s="35">
        <f t="shared" si="308"/>
        <v>25</v>
      </c>
      <c r="X873" s="33">
        <f t="shared" si="297"/>
        <v>25</v>
      </c>
      <c r="Y873" s="32">
        <f t="shared" si="298"/>
        <v>-1</v>
      </c>
      <c r="Z873" s="32"/>
      <c r="AA873" s="30">
        <f t="shared" si="299"/>
        <v>23.667990686207368</v>
      </c>
      <c r="AB873" s="28">
        <f t="shared" si="300"/>
        <v>0.71021048491318939</v>
      </c>
      <c r="AC873" s="28">
        <f t="shared" si="301"/>
        <v>0.10964912280701754</v>
      </c>
      <c r="AD873" s="29">
        <f t="shared" si="302"/>
        <v>819.73434535104366</v>
      </c>
      <c r="AE873" s="28">
        <f t="shared" si="303"/>
        <v>0.10964912280701754</v>
      </c>
      <c r="AF873" s="28">
        <f t="shared" si="304"/>
        <v>0.60056136210617184</v>
      </c>
      <c r="AG873" s="28">
        <f t="shared" si="305"/>
        <v>0</v>
      </c>
      <c r="AI873" s="31">
        <f t="shared" si="306"/>
        <v>3.914694836556869</v>
      </c>
      <c r="AJ873" s="25"/>
      <c r="AK873" s="31"/>
      <c r="AM873" s="27"/>
    </row>
    <row r="874" spans="4:39" x14ac:dyDescent="0.25">
      <c r="D874" s="25">
        <f>E874*'Profit per cycles Model'!$I$113</f>
        <v>8650</v>
      </c>
      <c r="E874" s="25">
        <v>23.695384193946033</v>
      </c>
      <c r="F874" s="28">
        <f t="shared" si="287"/>
        <v>0.11560693641618497</v>
      </c>
      <c r="G874" s="28">
        <f>'Battery Pricing Model'!$C$17/D874</f>
        <v>0.11560693641618497</v>
      </c>
      <c r="H874" s="28">
        <f t="shared" si="288"/>
        <v>999</v>
      </c>
      <c r="I874" s="28"/>
      <c r="J874" s="34">
        <f>INDEX('Profit per cycles Model'!$I$149:$I$179, MATCH(TRUNC(E874, 0), 'Profit per cycles Model'!$H$149:$H$179, 0))</f>
        <v>0.71021048491318939</v>
      </c>
      <c r="K874" s="27">
        <f>AVERAGE($J$10:J1874)</f>
        <v>0.56883042089778579</v>
      </c>
      <c r="L874" s="28">
        <f t="shared" si="289"/>
        <v>0.45322348448160082</v>
      </c>
      <c r="M874" s="28">
        <f t="shared" si="290"/>
        <v>0.45322348448160082</v>
      </c>
      <c r="N874" s="28">
        <f t="shared" si="291"/>
        <v>999</v>
      </c>
      <c r="O874" s="28"/>
      <c r="P874" s="29">
        <f t="shared" si="307"/>
        <v>0.86500000000000066</v>
      </c>
      <c r="Q874" s="33">
        <f t="shared" si="292"/>
        <v>6.7114093959731544</v>
      </c>
      <c r="R874" s="33">
        <f t="shared" si="293"/>
        <v>6.7114093959731544</v>
      </c>
      <c r="S874" s="33">
        <f t="shared" si="294"/>
        <v>-1</v>
      </c>
      <c r="T874" s="27"/>
      <c r="U874" s="28">
        <f t="shared" si="295"/>
        <v>0.10964912280701754</v>
      </c>
      <c r="V874" s="25">
        <f t="shared" si="296"/>
        <v>999</v>
      </c>
      <c r="W874" s="35">
        <f t="shared" si="308"/>
        <v>25</v>
      </c>
      <c r="X874" s="33">
        <f t="shared" si="297"/>
        <v>25</v>
      </c>
      <c r="Y874" s="32">
        <f t="shared" si="298"/>
        <v>-1</v>
      </c>
      <c r="Z874" s="32"/>
      <c r="AA874" s="30">
        <f t="shared" si="299"/>
        <v>23.695384193946033</v>
      </c>
      <c r="AB874" s="28">
        <f t="shared" si="300"/>
        <v>0.71021048491318939</v>
      </c>
      <c r="AC874" s="28">
        <f t="shared" si="301"/>
        <v>0.10964912280701754</v>
      </c>
      <c r="AD874" s="29">
        <f t="shared" si="302"/>
        <v>820.68311195445915</v>
      </c>
      <c r="AE874" s="28">
        <f t="shared" si="303"/>
        <v>0.10964912280701754</v>
      </c>
      <c r="AF874" s="28">
        <f t="shared" si="304"/>
        <v>0.60056136210617184</v>
      </c>
      <c r="AG874" s="28">
        <f t="shared" si="305"/>
        <v>0</v>
      </c>
      <c r="AI874" s="31">
        <f t="shared" si="306"/>
        <v>3.9203831407658472</v>
      </c>
      <c r="AJ874" s="25"/>
      <c r="AK874" s="31"/>
      <c r="AM874" s="27"/>
    </row>
    <row r="875" spans="4:39" x14ac:dyDescent="0.25">
      <c r="D875" s="25">
        <f>E875*'Profit per cycles Model'!$I$113</f>
        <v>8660</v>
      </c>
      <c r="E875" s="25">
        <v>23.722777701684699</v>
      </c>
      <c r="F875" s="28">
        <f t="shared" si="287"/>
        <v>0.11547344110854503</v>
      </c>
      <c r="G875" s="28">
        <f>'Battery Pricing Model'!$C$17/D875</f>
        <v>0.11547344110854503</v>
      </c>
      <c r="H875" s="28">
        <f t="shared" si="288"/>
        <v>999</v>
      </c>
      <c r="I875" s="28"/>
      <c r="J875" s="34">
        <f>INDEX('Profit per cycles Model'!$I$149:$I$179, MATCH(TRUNC(E875, 0), 'Profit per cycles Model'!$H$149:$H$179, 0))</f>
        <v>0.71021048491318939</v>
      </c>
      <c r="K875" s="27">
        <f>AVERAGE($J$10:J1875)</f>
        <v>0.56883042089778579</v>
      </c>
      <c r="L875" s="28">
        <f t="shared" si="289"/>
        <v>0.45335697978924078</v>
      </c>
      <c r="M875" s="28">
        <f t="shared" si="290"/>
        <v>0.45335697978924078</v>
      </c>
      <c r="N875" s="28">
        <f t="shared" si="291"/>
        <v>999</v>
      </c>
      <c r="O875" s="28"/>
      <c r="P875" s="29">
        <f t="shared" si="307"/>
        <v>0.86600000000000066</v>
      </c>
      <c r="Q875" s="33">
        <f t="shared" si="292"/>
        <v>6.7114093959731544</v>
      </c>
      <c r="R875" s="33">
        <f t="shared" si="293"/>
        <v>6.7114093959731544</v>
      </c>
      <c r="S875" s="33">
        <f t="shared" si="294"/>
        <v>-1</v>
      </c>
      <c r="T875" s="27"/>
      <c r="U875" s="28">
        <f t="shared" si="295"/>
        <v>0.10964912280701754</v>
      </c>
      <c r="V875" s="25">
        <f t="shared" si="296"/>
        <v>999</v>
      </c>
      <c r="W875" s="35">
        <f t="shared" si="308"/>
        <v>25</v>
      </c>
      <c r="X875" s="33">
        <f t="shared" si="297"/>
        <v>25</v>
      </c>
      <c r="Y875" s="32">
        <f t="shared" si="298"/>
        <v>-1</v>
      </c>
      <c r="Z875" s="32"/>
      <c r="AA875" s="30">
        <f t="shared" si="299"/>
        <v>23.722777701684699</v>
      </c>
      <c r="AB875" s="28">
        <f t="shared" si="300"/>
        <v>0.71021048491318939</v>
      </c>
      <c r="AC875" s="28">
        <f t="shared" si="301"/>
        <v>0.10964912280701754</v>
      </c>
      <c r="AD875" s="29">
        <f t="shared" si="302"/>
        <v>821.63187855787476</v>
      </c>
      <c r="AE875" s="28">
        <f t="shared" si="303"/>
        <v>0.10964912280701754</v>
      </c>
      <c r="AF875" s="28">
        <f t="shared" si="304"/>
        <v>0.60056136210617184</v>
      </c>
      <c r="AG875" s="28">
        <f t="shared" si="305"/>
        <v>0</v>
      </c>
      <c r="AI875" s="31">
        <f t="shared" si="306"/>
        <v>3.9260714449748253</v>
      </c>
      <c r="AJ875" s="25"/>
      <c r="AK875" s="31"/>
      <c r="AM875" s="27"/>
    </row>
    <row r="876" spans="4:39" x14ac:dyDescent="0.25">
      <c r="D876" s="25">
        <f>E876*'Profit per cycles Model'!$I$113</f>
        <v>8670</v>
      </c>
      <c r="E876" s="25">
        <v>23.750171209423367</v>
      </c>
      <c r="F876" s="28">
        <f t="shared" si="287"/>
        <v>0.11534025374855825</v>
      </c>
      <c r="G876" s="28">
        <f>'Battery Pricing Model'!$C$17/D876</f>
        <v>0.11534025374855825</v>
      </c>
      <c r="H876" s="28">
        <f t="shared" si="288"/>
        <v>999</v>
      </c>
      <c r="I876" s="28"/>
      <c r="J876" s="34">
        <f>INDEX('Profit per cycles Model'!$I$149:$I$179, MATCH(TRUNC(E876, 0), 'Profit per cycles Model'!$H$149:$H$179, 0))</f>
        <v>0.71021048491318939</v>
      </c>
      <c r="K876" s="27">
        <f>AVERAGE($J$10:J1876)</f>
        <v>0.56883042089778579</v>
      </c>
      <c r="L876" s="28">
        <f t="shared" si="289"/>
        <v>0.45349016714922752</v>
      </c>
      <c r="M876" s="28">
        <f t="shared" si="290"/>
        <v>0.45349016714922752</v>
      </c>
      <c r="N876" s="28">
        <f t="shared" si="291"/>
        <v>999</v>
      </c>
      <c r="O876" s="28"/>
      <c r="P876" s="29">
        <f t="shared" si="307"/>
        <v>0.86700000000000066</v>
      </c>
      <c r="Q876" s="33">
        <f t="shared" si="292"/>
        <v>6.7114093959731544</v>
      </c>
      <c r="R876" s="33">
        <f t="shared" si="293"/>
        <v>6.7114093959731544</v>
      </c>
      <c r="S876" s="33">
        <f t="shared" si="294"/>
        <v>-1</v>
      </c>
      <c r="T876" s="27"/>
      <c r="U876" s="28">
        <f t="shared" si="295"/>
        <v>0.10964912280701754</v>
      </c>
      <c r="V876" s="25">
        <f t="shared" si="296"/>
        <v>999</v>
      </c>
      <c r="W876" s="35">
        <f t="shared" si="308"/>
        <v>25</v>
      </c>
      <c r="X876" s="33">
        <f t="shared" si="297"/>
        <v>25</v>
      </c>
      <c r="Y876" s="32">
        <f t="shared" si="298"/>
        <v>-1</v>
      </c>
      <c r="Z876" s="32"/>
      <c r="AA876" s="30">
        <f t="shared" si="299"/>
        <v>23.750171209423367</v>
      </c>
      <c r="AB876" s="28">
        <f t="shared" si="300"/>
        <v>0.71021048491318939</v>
      </c>
      <c r="AC876" s="28">
        <f t="shared" si="301"/>
        <v>0.10964912280701754</v>
      </c>
      <c r="AD876" s="29">
        <f t="shared" si="302"/>
        <v>822.58064516129036</v>
      </c>
      <c r="AE876" s="28">
        <f t="shared" si="303"/>
        <v>0.10964912280701754</v>
      </c>
      <c r="AF876" s="28">
        <f t="shared" si="304"/>
        <v>0.60056136210617184</v>
      </c>
      <c r="AG876" s="28">
        <f t="shared" si="305"/>
        <v>0</v>
      </c>
      <c r="AI876" s="31">
        <f t="shared" si="306"/>
        <v>3.9317597491838026</v>
      </c>
      <c r="AJ876" s="25"/>
      <c r="AK876" s="31"/>
      <c r="AM876" s="27"/>
    </row>
    <row r="877" spans="4:39" x14ac:dyDescent="0.25">
      <c r="D877" s="25">
        <f>E877*'Profit per cycles Model'!$I$113</f>
        <v>8680</v>
      </c>
      <c r="E877" s="25">
        <v>23.777564717162033</v>
      </c>
      <c r="F877" s="28">
        <f t="shared" si="287"/>
        <v>0.1152073732718894</v>
      </c>
      <c r="G877" s="28">
        <f>'Battery Pricing Model'!$C$17/D877</f>
        <v>0.1152073732718894</v>
      </c>
      <c r="H877" s="28">
        <f t="shared" si="288"/>
        <v>999</v>
      </c>
      <c r="I877" s="28"/>
      <c r="J877" s="34">
        <f>INDEX('Profit per cycles Model'!$I$149:$I$179, MATCH(TRUNC(E877, 0), 'Profit per cycles Model'!$H$149:$H$179, 0))</f>
        <v>0.71021048491318939</v>
      </c>
      <c r="K877" s="27">
        <f>AVERAGE($J$10:J1877)</f>
        <v>0.56883042089778579</v>
      </c>
      <c r="L877" s="28">
        <f t="shared" si="289"/>
        <v>0.45362304762589639</v>
      </c>
      <c r="M877" s="28">
        <f t="shared" si="290"/>
        <v>0.45362304762589639</v>
      </c>
      <c r="N877" s="28">
        <f t="shared" si="291"/>
        <v>999</v>
      </c>
      <c r="O877" s="28"/>
      <c r="P877" s="29">
        <f t="shared" si="307"/>
        <v>0.86800000000000066</v>
      </c>
      <c r="Q877" s="33">
        <f t="shared" si="292"/>
        <v>6.7114093959731544</v>
      </c>
      <c r="R877" s="33">
        <f t="shared" si="293"/>
        <v>6.7114093959731544</v>
      </c>
      <c r="S877" s="33">
        <f t="shared" si="294"/>
        <v>-1</v>
      </c>
      <c r="T877" s="27"/>
      <c r="U877" s="28">
        <f t="shared" si="295"/>
        <v>0.10964912280701754</v>
      </c>
      <c r="V877" s="25">
        <f t="shared" si="296"/>
        <v>999</v>
      </c>
      <c r="W877" s="35">
        <f t="shared" si="308"/>
        <v>25</v>
      </c>
      <c r="X877" s="33">
        <f t="shared" si="297"/>
        <v>25</v>
      </c>
      <c r="Y877" s="32">
        <f t="shared" si="298"/>
        <v>-1</v>
      </c>
      <c r="Z877" s="32"/>
      <c r="AA877" s="30">
        <f t="shared" si="299"/>
        <v>23.777564717162033</v>
      </c>
      <c r="AB877" s="28">
        <f t="shared" si="300"/>
        <v>0.71021048491318939</v>
      </c>
      <c r="AC877" s="28">
        <f t="shared" si="301"/>
        <v>0.10964912280701754</v>
      </c>
      <c r="AD877" s="29">
        <f t="shared" si="302"/>
        <v>823.52941176470597</v>
      </c>
      <c r="AE877" s="28">
        <f t="shared" si="303"/>
        <v>0.10964912280701754</v>
      </c>
      <c r="AF877" s="28">
        <f t="shared" si="304"/>
        <v>0.60056136210617184</v>
      </c>
      <c r="AG877" s="28">
        <f t="shared" si="305"/>
        <v>0</v>
      </c>
      <c r="AI877" s="31">
        <f t="shared" si="306"/>
        <v>3.9374480533927807</v>
      </c>
      <c r="AJ877" s="25"/>
      <c r="AK877" s="31"/>
      <c r="AM877" s="27"/>
    </row>
    <row r="878" spans="4:39" x14ac:dyDescent="0.25">
      <c r="D878" s="25">
        <f>E878*'Profit per cycles Model'!$I$113</f>
        <v>8690</v>
      </c>
      <c r="E878" s="25">
        <v>23.804958224900698</v>
      </c>
      <c r="F878" s="28">
        <f t="shared" si="287"/>
        <v>0.11507479861910241</v>
      </c>
      <c r="G878" s="28">
        <f>'Battery Pricing Model'!$C$17/D878</f>
        <v>0.11507479861910241</v>
      </c>
      <c r="H878" s="28">
        <f t="shared" si="288"/>
        <v>999</v>
      </c>
      <c r="I878" s="28"/>
      <c r="J878" s="34">
        <f>INDEX('Profit per cycles Model'!$I$149:$I$179, MATCH(TRUNC(E878, 0), 'Profit per cycles Model'!$H$149:$H$179, 0))</f>
        <v>0.71021048491318939</v>
      </c>
      <c r="K878" s="27">
        <f>AVERAGE($J$10:J1878)</f>
        <v>0.56883042089778579</v>
      </c>
      <c r="L878" s="28">
        <f t="shared" si="289"/>
        <v>0.45375562227868338</v>
      </c>
      <c r="M878" s="28">
        <f t="shared" si="290"/>
        <v>0.45375562227868338</v>
      </c>
      <c r="N878" s="28">
        <f t="shared" si="291"/>
        <v>999</v>
      </c>
      <c r="O878" s="28"/>
      <c r="P878" s="29">
        <f t="shared" si="307"/>
        <v>0.86900000000000066</v>
      </c>
      <c r="Q878" s="33">
        <f t="shared" si="292"/>
        <v>6.7114093959731544</v>
      </c>
      <c r="R878" s="33">
        <f t="shared" si="293"/>
        <v>6.7114093959731544</v>
      </c>
      <c r="S878" s="33">
        <f t="shared" si="294"/>
        <v>-1</v>
      </c>
      <c r="T878" s="27"/>
      <c r="U878" s="28">
        <f t="shared" si="295"/>
        <v>0.10964912280701754</v>
      </c>
      <c r="V878" s="25">
        <f t="shared" si="296"/>
        <v>999</v>
      </c>
      <c r="W878" s="35">
        <f t="shared" si="308"/>
        <v>25</v>
      </c>
      <c r="X878" s="33">
        <f t="shared" si="297"/>
        <v>25</v>
      </c>
      <c r="Y878" s="32">
        <f t="shared" si="298"/>
        <v>-1</v>
      </c>
      <c r="Z878" s="32"/>
      <c r="AA878" s="30">
        <f t="shared" si="299"/>
        <v>23.804958224900698</v>
      </c>
      <c r="AB878" s="28">
        <f t="shared" si="300"/>
        <v>0.71021048491318939</v>
      </c>
      <c r="AC878" s="28">
        <f t="shared" si="301"/>
        <v>0.10964912280701754</v>
      </c>
      <c r="AD878" s="29">
        <f t="shared" si="302"/>
        <v>824.47817836812158</v>
      </c>
      <c r="AE878" s="28">
        <f t="shared" si="303"/>
        <v>0.10964912280701754</v>
      </c>
      <c r="AF878" s="28">
        <f t="shared" si="304"/>
        <v>0.60056136210617184</v>
      </c>
      <c r="AG878" s="28">
        <f t="shared" si="305"/>
        <v>0</v>
      </c>
      <c r="AI878" s="31">
        <f t="shared" si="306"/>
        <v>3.9431363576017588</v>
      </c>
      <c r="AJ878" s="25"/>
      <c r="AK878" s="31"/>
      <c r="AM878" s="27"/>
    </row>
    <row r="879" spans="4:39" x14ac:dyDescent="0.25">
      <c r="D879" s="25">
        <f>E879*'Profit per cycles Model'!$I$113</f>
        <v>8700</v>
      </c>
      <c r="E879" s="25">
        <v>23.832351732639363</v>
      </c>
      <c r="F879" s="28">
        <f t="shared" si="287"/>
        <v>0.11494252873563218</v>
      </c>
      <c r="G879" s="28">
        <f>'Battery Pricing Model'!$C$17/D879</f>
        <v>0.11494252873563218</v>
      </c>
      <c r="H879" s="28">
        <f t="shared" si="288"/>
        <v>999</v>
      </c>
      <c r="I879" s="28"/>
      <c r="J879" s="34">
        <f>INDEX('Profit per cycles Model'!$I$149:$I$179, MATCH(TRUNC(E879, 0), 'Profit per cycles Model'!$H$149:$H$179, 0))</f>
        <v>0.71021048491318939</v>
      </c>
      <c r="K879" s="27">
        <f>AVERAGE($J$10:J1879)</f>
        <v>0.56883042089778579</v>
      </c>
      <c r="L879" s="28">
        <f t="shared" si="289"/>
        <v>0.45388789216215364</v>
      </c>
      <c r="M879" s="28">
        <f t="shared" si="290"/>
        <v>0.45388789216215364</v>
      </c>
      <c r="N879" s="28">
        <f t="shared" si="291"/>
        <v>999</v>
      </c>
      <c r="O879" s="28"/>
      <c r="P879" s="29">
        <f t="shared" si="307"/>
        <v>0.87000000000000066</v>
      </c>
      <c r="Q879" s="33">
        <f t="shared" si="292"/>
        <v>6.7114093959731544</v>
      </c>
      <c r="R879" s="33">
        <f t="shared" si="293"/>
        <v>6.7114093959731544</v>
      </c>
      <c r="S879" s="33">
        <f t="shared" si="294"/>
        <v>-1</v>
      </c>
      <c r="T879" s="27"/>
      <c r="U879" s="28">
        <f t="shared" si="295"/>
        <v>0.10964912280701754</v>
      </c>
      <c r="V879" s="25">
        <f t="shared" si="296"/>
        <v>999</v>
      </c>
      <c r="W879" s="35">
        <f t="shared" si="308"/>
        <v>25</v>
      </c>
      <c r="X879" s="33">
        <f t="shared" si="297"/>
        <v>25</v>
      </c>
      <c r="Y879" s="32">
        <f t="shared" si="298"/>
        <v>-1</v>
      </c>
      <c r="Z879" s="32"/>
      <c r="AA879" s="30">
        <f t="shared" si="299"/>
        <v>23.832351732639363</v>
      </c>
      <c r="AB879" s="28">
        <f t="shared" si="300"/>
        <v>0.71021048491318939</v>
      </c>
      <c r="AC879" s="28">
        <f t="shared" si="301"/>
        <v>0.10964912280701754</v>
      </c>
      <c r="AD879" s="29">
        <f t="shared" si="302"/>
        <v>825.42694497153695</v>
      </c>
      <c r="AE879" s="28">
        <f t="shared" si="303"/>
        <v>0.10964912280701754</v>
      </c>
      <c r="AF879" s="28">
        <f t="shared" si="304"/>
        <v>0.60056136210617184</v>
      </c>
      <c r="AG879" s="28">
        <f t="shared" si="305"/>
        <v>0</v>
      </c>
      <c r="AI879" s="31">
        <f t="shared" si="306"/>
        <v>3.9488246618107365</v>
      </c>
      <c r="AJ879" s="25"/>
      <c r="AK879" s="31"/>
      <c r="AM879" s="27"/>
    </row>
    <row r="880" spans="4:39" x14ac:dyDescent="0.25">
      <c r="D880" s="25">
        <f>E880*'Profit per cycles Model'!$I$113</f>
        <v>8710</v>
      </c>
      <c r="E880" s="25">
        <v>23.859745240378029</v>
      </c>
      <c r="F880" s="28">
        <f t="shared" si="287"/>
        <v>0.11481056257175661</v>
      </c>
      <c r="G880" s="28">
        <f>'Battery Pricing Model'!$C$17/D880</f>
        <v>0.11481056257175661</v>
      </c>
      <c r="H880" s="28">
        <f t="shared" si="288"/>
        <v>999</v>
      </c>
      <c r="I880" s="28"/>
      <c r="J880" s="34">
        <f>INDEX('Profit per cycles Model'!$I$149:$I$179, MATCH(TRUNC(E880, 0), 'Profit per cycles Model'!$H$149:$H$179, 0))</f>
        <v>0.71021048491318939</v>
      </c>
      <c r="K880" s="27">
        <f>AVERAGE($J$10:J1880)</f>
        <v>0.56883042089778579</v>
      </c>
      <c r="L880" s="28">
        <f t="shared" si="289"/>
        <v>0.4540198583260292</v>
      </c>
      <c r="M880" s="28">
        <f t="shared" si="290"/>
        <v>0.4540198583260292</v>
      </c>
      <c r="N880" s="28">
        <f t="shared" si="291"/>
        <v>999</v>
      </c>
      <c r="O880" s="28"/>
      <c r="P880" s="29">
        <f t="shared" si="307"/>
        <v>0.87100000000000066</v>
      </c>
      <c r="Q880" s="33">
        <f t="shared" si="292"/>
        <v>6.7114093959731544</v>
      </c>
      <c r="R880" s="33">
        <f t="shared" si="293"/>
        <v>6.7114093959731544</v>
      </c>
      <c r="S880" s="33">
        <f t="shared" si="294"/>
        <v>-1</v>
      </c>
      <c r="T880" s="27"/>
      <c r="U880" s="28">
        <f t="shared" si="295"/>
        <v>0.10964912280701754</v>
      </c>
      <c r="V880" s="25">
        <f t="shared" si="296"/>
        <v>999</v>
      </c>
      <c r="W880" s="35">
        <f t="shared" si="308"/>
        <v>25</v>
      </c>
      <c r="X880" s="33">
        <f t="shared" si="297"/>
        <v>25</v>
      </c>
      <c r="Y880" s="32">
        <f t="shared" si="298"/>
        <v>-1</v>
      </c>
      <c r="Z880" s="32"/>
      <c r="AA880" s="30">
        <f t="shared" si="299"/>
        <v>23.859745240378029</v>
      </c>
      <c r="AB880" s="28">
        <f t="shared" si="300"/>
        <v>0.71021048491318939</v>
      </c>
      <c r="AC880" s="28">
        <f t="shared" si="301"/>
        <v>0.10964912280701754</v>
      </c>
      <c r="AD880" s="29">
        <f t="shared" si="302"/>
        <v>826.37571157495256</v>
      </c>
      <c r="AE880" s="28">
        <f t="shared" si="303"/>
        <v>0.10964912280701754</v>
      </c>
      <c r="AF880" s="28">
        <f t="shared" si="304"/>
        <v>0.60056136210617184</v>
      </c>
      <c r="AG880" s="28">
        <f t="shared" si="305"/>
        <v>0</v>
      </c>
      <c r="AI880" s="31">
        <f t="shared" si="306"/>
        <v>3.9545129660197142</v>
      </c>
      <c r="AJ880" s="25"/>
      <c r="AK880" s="31"/>
      <c r="AM880" s="27"/>
    </row>
    <row r="881" spans="4:39" x14ac:dyDescent="0.25">
      <c r="D881" s="25">
        <f>E881*'Profit per cycles Model'!$I$113</f>
        <v>8720</v>
      </c>
      <c r="E881" s="25">
        <v>23.887138748116694</v>
      </c>
      <c r="F881" s="28">
        <f t="shared" si="287"/>
        <v>0.11467889908256881</v>
      </c>
      <c r="G881" s="28">
        <f>'Battery Pricing Model'!$C$17/D881</f>
        <v>0.11467889908256881</v>
      </c>
      <c r="H881" s="28">
        <f t="shared" si="288"/>
        <v>999</v>
      </c>
      <c r="I881" s="28"/>
      <c r="J881" s="34">
        <f>INDEX('Profit per cycles Model'!$I$149:$I$179, MATCH(TRUNC(E881, 0), 'Profit per cycles Model'!$H$149:$H$179, 0))</f>
        <v>0.71021048491318939</v>
      </c>
      <c r="K881" s="27">
        <f>AVERAGE($J$10:J1881)</f>
        <v>0.56883042089778579</v>
      </c>
      <c r="L881" s="28">
        <f t="shared" si="289"/>
        <v>0.45415152181521701</v>
      </c>
      <c r="M881" s="28">
        <f t="shared" si="290"/>
        <v>0.45415152181521701</v>
      </c>
      <c r="N881" s="28">
        <f t="shared" si="291"/>
        <v>999</v>
      </c>
      <c r="O881" s="28"/>
      <c r="P881" s="29">
        <f t="shared" si="307"/>
        <v>0.87200000000000066</v>
      </c>
      <c r="Q881" s="33">
        <f t="shared" si="292"/>
        <v>6.7114093959731544</v>
      </c>
      <c r="R881" s="33">
        <f t="shared" si="293"/>
        <v>6.7114093959731544</v>
      </c>
      <c r="S881" s="33">
        <f t="shared" si="294"/>
        <v>-1</v>
      </c>
      <c r="T881" s="27"/>
      <c r="U881" s="28">
        <f t="shared" si="295"/>
        <v>0.10964912280701754</v>
      </c>
      <c r="V881" s="25">
        <f t="shared" si="296"/>
        <v>999</v>
      </c>
      <c r="W881" s="35">
        <f t="shared" si="308"/>
        <v>25</v>
      </c>
      <c r="X881" s="33">
        <f t="shared" si="297"/>
        <v>25</v>
      </c>
      <c r="Y881" s="32">
        <f t="shared" si="298"/>
        <v>-1</v>
      </c>
      <c r="Z881" s="32"/>
      <c r="AA881" s="30">
        <f t="shared" si="299"/>
        <v>23.887138748116694</v>
      </c>
      <c r="AB881" s="28">
        <f t="shared" si="300"/>
        <v>0.71021048491318939</v>
      </c>
      <c r="AC881" s="28">
        <f t="shared" si="301"/>
        <v>0.10964912280701754</v>
      </c>
      <c r="AD881" s="29">
        <f t="shared" si="302"/>
        <v>827.32447817836805</v>
      </c>
      <c r="AE881" s="28">
        <f t="shared" si="303"/>
        <v>0.10964912280701754</v>
      </c>
      <c r="AF881" s="28">
        <f t="shared" si="304"/>
        <v>0.60056136210617184</v>
      </c>
      <c r="AG881" s="28">
        <f t="shared" si="305"/>
        <v>0</v>
      </c>
      <c r="AI881" s="31">
        <f t="shared" si="306"/>
        <v>3.9602012702286919</v>
      </c>
      <c r="AJ881" s="25"/>
      <c r="AK881" s="31"/>
      <c r="AM881" s="27"/>
    </row>
    <row r="882" spans="4:39" x14ac:dyDescent="0.25">
      <c r="D882" s="25">
        <f>E882*'Profit per cycles Model'!$I$113</f>
        <v>8730</v>
      </c>
      <c r="E882" s="25">
        <v>23.914532255855363</v>
      </c>
      <c r="F882" s="28">
        <f t="shared" si="287"/>
        <v>0.11454753722794959</v>
      </c>
      <c r="G882" s="28">
        <f>'Battery Pricing Model'!$C$17/D882</f>
        <v>0.11454753722794959</v>
      </c>
      <c r="H882" s="28">
        <f t="shared" si="288"/>
        <v>999</v>
      </c>
      <c r="I882" s="28"/>
      <c r="J882" s="34">
        <f>INDEX('Profit per cycles Model'!$I$149:$I$179, MATCH(TRUNC(E882, 0), 'Profit per cycles Model'!$H$149:$H$179, 0))</f>
        <v>0.71021048491318939</v>
      </c>
      <c r="K882" s="27">
        <f>AVERAGE($J$10:J1882)</f>
        <v>0.56883042089778579</v>
      </c>
      <c r="L882" s="28">
        <f t="shared" si="289"/>
        <v>0.45428288366983621</v>
      </c>
      <c r="M882" s="28">
        <f t="shared" si="290"/>
        <v>0.45428288366983621</v>
      </c>
      <c r="N882" s="28">
        <f t="shared" si="291"/>
        <v>999</v>
      </c>
      <c r="O882" s="28"/>
      <c r="P882" s="29">
        <f t="shared" si="307"/>
        <v>0.87300000000000066</v>
      </c>
      <c r="Q882" s="33">
        <f t="shared" si="292"/>
        <v>6.7114093959731544</v>
      </c>
      <c r="R882" s="33">
        <f t="shared" si="293"/>
        <v>6.7114093959731544</v>
      </c>
      <c r="S882" s="33">
        <f t="shared" si="294"/>
        <v>-1</v>
      </c>
      <c r="T882" s="27"/>
      <c r="U882" s="28">
        <f t="shared" si="295"/>
        <v>0.10964912280701754</v>
      </c>
      <c r="V882" s="25">
        <f t="shared" si="296"/>
        <v>999</v>
      </c>
      <c r="W882" s="35">
        <f t="shared" si="308"/>
        <v>25</v>
      </c>
      <c r="X882" s="33">
        <f t="shared" si="297"/>
        <v>25</v>
      </c>
      <c r="Y882" s="32">
        <f t="shared" si="298"/>
        <v>-1</v>
      </c>
      <c r="Z882" s="32"/>
      <c r="AA882" s="30">
        <f t="shared" si="299"/>
        <v>23.914532255855363</v>
      </c>
      <c r="AB882" s="28">
        <f t="shared" si="300"/>
        <v>0.71021048491318939</v>
      </c>
      <c r="AC882" s="28">
        <f t="shared" si="301"/>
        <v>0.10964912280701754</v>
      </c>
      <c r="AD882" s="29">
        <f t="shared" si="302"/>
        <v>828.27324478178377</v>
      </c>
      <c r="AE882" s="28">
        <f t="shared" si="303"/>
        <v>0.10964912280701754</v>
      </c>
      <c r="AF882" s="28">
        <f t="shared" si="304"/>
        <v>0.60056136210617184</v>
      </c>
      <c r="AG882" s="28">
        <f t="shared" si="305"/>
        <v>0</v>
      </c>
      <c r="AI882" s="31">
        <f t="shared" si="306"/>
        <v>3.9658895744376701</v>
      </c>
      <c r="AJ882" s="25"/>
      <c r="AK882" s="31"/>
      <c r="AM882" s="27"/>
    </row>
    <row r="883" spans="4:39" x14ac:dyDescent="0.25">
      <c r="D883" s="25">
        <f>E883*'Profit per cycles Model'!$I$113</f>
        <v>8740</v>
      </c>
      <c r="E883" s="25">
        <v>23.941925763594028</v>
      </c>
      <c r="F883" s="28">
        <f t="shared" si="287"/>
        <v>0.11441647597254005</v>
      </c>
      <c r="G883" s="28">
        <f>'Battery Pricing Model'!$C$17/D883</f>
        <v>0.11441647597254005</v>
      </c>
      <c r="H883" s="28">
        <f t="shared" si="288"/>
        <v>999</v>
      </c>
      <c r="I883" s="28"/>
      <c r="J883" s="34">
        <f>INDEX('Profit per cycles Model'!$I$149:$I$179, MATCH(TRUNC(E883, 0), 'Profit per cycles Model'!$H$149:$H$179, 0))</f>
        <v>0.71021048491318939</v>
      </c>
      <c r="K883" s="27">
        <f>AVERAGE($J$10:J1883)</f>
        <v>0.56883042089778579</v>
      </c>
      <c r="L883" s="28">
        <f t="shared" si="289"/>
        <v>0.45441394492524573</v>
      </c>
      <c r="M883" s="28">
        <f t="shared" si="290"/>
        <v>0.45441394492524573</v>
      </c>
      <c r="N883" s="28">
        <f t="shared" si="291"/>
        <v>999</v>
      </c>
      <c r="O883" s="28"/>
      <c r="P883" s="29">
        <f t="shared" si="307"/>
        <v>0.87400000000000067</v>
      </c>
      <c r="Q883" s="33">
        <f t="shared" si="292"/>
        <v>6.7114093959731544</v>
      </c>
      <c r="R883" s="33">
        <f t="shared" si="293"/>
        <v>6.7114093959731544</v>
      </c>
      <c r="S883" s="33">
        <f t="shared" si="294"/>
        <v>-1</v>
      </c>
      <c r="T883" s="27"/>
      <c r="U883" s="28">
        <f t="shared" si="295"/>
        <v>0.10964912280701754</v>
      </c>
      <c r="V883" s="25">
        <f t="shared" si="296"/>
        <v>999</v>
      </c>
      <c r="W883" s="35">
        <f t="shared" si="308"/>
        <v>25</v>
      </c>
      <c r="X883" s="33">
        <f t="shared" si="297"/>
        <v>25</v>
      </c>
      <c r="Y883" s="32">
        <f t="shared" si="298"/>
        <v>-1</v>
      </c>
      <c r="Z883" s="32"/>
      <c r="AA883" s="30">
        <f t="shared" si="299"/>
        <v>23.941925763594028</v>
      </c>
      <c r="AB883" s="28">
        <f t="shared" si="300"/>
        <v>0.71021048491318939</v>
      </c>
      <c r="AC883" s="28">
        <f t="shared" si="301"/>
        <v>0.10964912280701754</v>
      </c>
      <c r="AD883" s="29">
        <f t="shared" si="302"/>
        <v>829.22201138519927</v>
      </c>
      <c r="AE883" s="28">
        <f t="shared" si="303"/>
        <v>0.10964912280701754</v>
      </c>
      <c r="AF883" s="28">
        <f t="shared" si="304"/>
        <v>0.60056136210617184</v>
      </c>
      <c r="AG883" s="28">
        <f t="shared" si="305"/>
        <v>0</v>
      </c>
      <c r="AI883" s="31">
        <f t="shared" si="306"/>
        <v>3.9715778786466474</v>
      </c>
      <c r="AJ883" s="25"/>
      <c r="AK883" s="31"/>
      <c r="AM883" s="27"/>
    </row>
    <row r="884" spans="4:39" x14ac:dyDescent="0.25">
      <c r="D884" s="25">
        <f>E884*'Profit per cycles Model'!$I$113</f>
        <v>8750</v>
      </c>
      <c r="E884" s="25">
        <v>23.969319271332694</v>
      </c>
      <c r="F884" s="28">
        <f t="shared" si="287"/>
        <v>0.11428571428571428</v>
      </c>
      <c r="G884" s="28">
        <f>'Battery Pricing Model'!$C$17/D884</f>
        <v>0.11428571428571428</v>
      </c>
      <c r="H884" s="28">
        <f t="shared" si="288"/>
        <v>999</v>
      </c>
      <c r="I884" s="28"/>
      <c r="J884" s="34">
        <f>INDEX('Profit per cycles Model'!$I$149:$I$179, MATCH(TRUNC(E884, 0), 'Profit per cycles Model'!$H$149:$H$179, 0))</f>
        <v>0.71021048491318939</v>
      </c>
      <c r="K884" s="27">
        <f>AVERAGE($J$10:J1884)</f>
        <v>0.56883042089778579</v>
      </c>
      <c r="L884" s="28">
        <f t="shared" si="289"/>
        <v>0.45454470661207153</v>
      </c>
      <c r="M884" s="28">
        <f t="shared" si="290"/>
        <v>0.45454470661207153</v>
      </c>
      <c r="N884" s="28">
        <f t="shared" si="291"/>
        <v>999</v>
      </c>
      <c r="O884" s="28"/>
      <c r="P884" s="29">
        <f t="shared" si="307"/>
        <v>0.87500000000000067</v>
      </c>
      <c r="Q884" s="33">
        <f t="shared" si="292"/>
        <v>6.7114093959731544</v>
      </c>
      <c r="R884" s="33">
        <f t="shared" si="293"/>
        <v>6.7114093959731544</v>
      </c>
      <c r="S884" s="33">
        <f t="shared" si="294"/>
        <v>-1</v>
      </c>
      <c r="T884" s="27"/>
      <c r="U884" s="28">
        <f t="shared" si="295"/>
        <v>0.10964912280701754</v>
      </c>
      <c r="V884" s="25">
        <f t="shared" si="296"/>
        <v>999</v>
      </c>
      <c r="W884" s="35">
        <f t="shared" si="308"/>
        <v>25</v>
      </c>
      <c r="X884" s="33">
        <f t="shared" si="297"/>
        <v>25</v>
      </c>
      <c r="Y884" s="32">
        <f t="shared" si="298"/>
        <v>-1</v>
      </c>
      <c r="Z884" s="32"/>
      <c r="AA884" s="30">
        <f t="shared" si="299"/>
        <v>23.969319271332694</v>
      </c>
      <c r="AB884" s="28">
        <f t="shared" si="300"/>
        <v>0.71021048491318939</v>
      </c>
      <c r="AC884" s="28">
        <f t="shared" si="301"/>
        <v>0.10964912280701754</v>
      </c>
      <c r="AD884" s="29">
        <f t="shared" si="302"/>
        <v>830.17077798861487</v>
      </c>
      <c r="AE884" s="28">
        <f t="shared" si="303"/>
        <v>0.10964912280701754</v>
      </c>
      <c r="AF884" s="28">
        <f t="shared" si="304"/>
        <v>0.60056136210617184</v>
      </c>
      <c r="AG884" s="28">
        <f t="shared" si="305"/>
        <v>0</v>
      </c>
      <c r="AI884" s="31">
        <f t="shared" si="306"/>
        <v>3.9772661828556259</v>
      </c>
      <c r="AJ884" s="25"/>
      <c r="AK884" s="31"/>
      <c r="AM884" s="27"/>
    </row>
    <row r="885" spans="4:39" x14ac:dyDescent="0.25">
      <c r="D885" s="25">
        <f>E885*'Profit per cycles Model'!$I$113</f>
        <v>8760</v>
      </c>
      <c r="E885" s="25">
        <v>23.996712779071359</v>
      </c>
      <c r="F885" s="28">
        <f t="shared" si="287"/>
        <v>0.11415525114155251</v>
      </c>
      <c r="G885" s="28">
        <f>'Battery Pricing Model'!$C$17/D885</f>
        <v>0.11415525114155251</v>
      </c>
      <c r="H885" s="28">
        <f t="shared" si="288"/>
        <v>999</v>
      </c>
      <c r="I885" s="28"/>
      <c r="J885" s="34">
        <f>INDEX('Profit per cycles Model'!$I$149:$I$179, MATCH(TRUNC(E885, 0), 'Profit per cycles Model'!$H$149:$H$179, 0))</f>
        <v>0.71021048491318939</v>
      </c>
      <c r="K885" s="27">
        <f>AVERAGE($J$10:J1885)</f>
        <v>0.56883042089778579</v>
      </c>
      <c r="L885" s="28">
        <f t="shared" si="289"/>
        <v>0.45467516975623329</v>
      </c>
      <c r="M885" s="28">
        <f t="shared" si="290"/>
        <v>0.45467516975623329</v>
      </c>
      <c r="N885" s="28">
        <f t="shared" si="291"/>
        <v>999</v>
      </c>
      <c r="O885" s="28"/>
      <c r="P885" s="29">
        <f t="shared" si="307"/>
        <v>0.87600000000000067</v>
      </c>
      <c r="Q885" s="33">
        <f t="shared" si="292"/>
        <v>6.7114093959731544</v>
      </c>
      <c r="R885" s="33">
        <f t="shared" si="293"/>
        <v>6.7114093959731544</v>
      </c>
      <c r="S885" s="33">
        <f t="shared" si="294"/>
        <v>-1</v>
      </c>
      <c r="T885" s="27"/>
      <c r="U885" s="28">
        <f t="shared" si="295"/>
        <v>0.10964912280701754</v>
      </c>
      <c r="V885" s="25">
        <f t="shared" si="296"/>
        <v>999</v>
      </c>
      <c r="W885" s="35">
        <f t="shared" si="308"/>
        <v>25</v>
      </c>
      <c r="X885" s="33">
        <f t="shared" si="297"/>
        <v>25</v>
      </c>
      <c r="Y885" s="32">
        <f t="shared" si="298"/>
        <v>-1</v>
      </c>
      <c r="Z885" s="32"/>
      <c r="AA885" s="30">
        <f t="shared" si="299"/>
        <v>23.996712779071359</v>
      </c>
      <c r="AB885" s="28">
        <f t="shared" si="300"/>
        <v>0.71021048491318939</v>
      </c>
      <c r="AC885" s="28">
        <f t="shared" si="301"/>
        <v>0.10964912280701754</v>
      </c>
      <c r="AD885" s="29">
        <f t="shared" si="302"/>
        <v>831.11954459203037</v>
      </c>
      <c r="AE885" s="28">
        <f t="shared" si="303"/>
        <v>0.10964912280701754</v>
      </c>
      <c r="AF885" s="28">
        <f t="shared" si="304"/>
        <v>0.60056136210617184</v>
      </c>
      <c r="AG885" s="28">
        <f t="shared" si="305"/>
        <v>0</v>
      </c>
      <c r="AI885" s="31">
        <f t="shared" si="306"/>
        <v>3.9829544870646036</v>
      </c>
      <c r="AJ885" s="25"/>
      <c r="AK885" s="31"/>
      <c r="AM885" s="27"/>
    </row>
    <row r="886" spans="4:39" x14ac:dyDescent="0.25">
      <c r="D886" s="25">
        <f>E886*'Profit per cycles Model'!$I$113</f>
        <v>8770</v>
      </c>
      <c r="E886" s="25">
        <v>24.024106286810024</v>
      </c>
      <c r="F886" s="28">
        <f t="shared" si="287"/>
        <v>0.11402508551881414</v>
      </c>
      <c r="G886" s="28">
        <f>'Battery Pricing Model'!$C$17/D886</f>
        <v>0.11402508551881414</v>
      </c>
      <c r="H886" s="28">
        <f t="shared" si="288"/>
        <v>999</v>
      </c>
      <c r="I886" s="28"/>
      <c r="J886" s="34">
        <f>INDEX('Profit per cycles Model'!$I$149:$I$179, MATCH(TRUNC(E886, 0), 'Profit per cycles Model'!$H$149:$H$179, 0))</f>
        <v>0.72949515880072491</v>
      </c>
      <c r="K886" s="27">
        <f>AVERAGE($J$10:J1886)</f>
        <v>0.56883042089778579</v>
      </c>
      <c r="L886" s="28">
        <f t="shared" si="289"/>
        <v>0.45480533537897166</v>
      </c>
      <c r="M886" s="28">
        <f t="shared" si="290"/>
        <v>0.45480533537897166</v>
      </c>
      <c r="N886" s="28">
        <f t="shared" si="291"/>
        <v>999</v>
      </c>
      <c r="O886" s="28"/>
      <c r="P886" s="29">
        <f t="shared" si="307"/>
        <v>0.87700000000000067</v>
      </c>
      <c r="Q886" s="33">
        <f t="shared" si="292"/>
        <v>6.7114093959731544</v>
      </c>
      <c r="R886" s="33">
        <f t="shared" si="293"/>
        <v>6.7114093959731544</v>
      </c>
      <c r="S886" s="33">
        <f t="shared" si="294"/>
        <v>-1</v>
      </c>
      <c r="T886" s="27"/>
      <c r="U886" s="28">
        <f t="shared" si="295"/>
        <v>0.10964912280701754</v>
      </c>
      <c r="V886" s="25">
        <f t="shared" si="296"/>
        <v>999</v>
      </c>
      <c r="W886" s="35">
        <f t="shared" si="308"/>
        <v>25</v>
      </c>
      <c r="X886" s="33">
        <f t="shared" si="297"/>
        <v>25</v>
      </c>
      <c r="Y886" s="32">
        <f t="shared" si="298"/>
        <v>-1</v>
      </c>
      <c r="Z886" s="32"/>
      <c r="AA886" s="30">
        <f t="shared" si="299"/>
        <v>24.024106286810024</v>
      </c>
      <c r="AB886" s="28">
        <f t="shared" si="300"/>
        <v>0.72949515880072491</v>
      </c>
      <c r="AC886" s="28">
        <f t="shared" si="301"/>
        <v>0.10964912280701754</v>
      </c>
      <c r="AD886" s="29">
        <f t="shared" si="302"/>
        <v>832.06831119544586</v>
      </c>
      <c r="AE886" s="28">
        <f t="shared" si="303"/>
        <v>0.10964912280701754</v>
      </c>
      <c r="AF886" s="28">
        <f t="shared" si="304"/>
        <v>0.61984603599370736</v>
      </c>
      <c r="AG886" s="28">
        <f t="shared" si="305"/>
        <v>0</v>
      </c>
      <c r="AI886" s="31">
        <f t="shared" si="306"/>
        <v>3.9886427912735813</v>
      </c>
      <c r="AJ886" s="25"/>
      <c r="AK886" s="31"/>
      <c r="AM886" s="27"/>
    </row>
    <row r="887" spans="4:39" x14ac:dyDescent="0.25">
      <c r="D887" s="25">
        <f>E887*'Profit per cycles Model'!$I$113</f>
        <v>8780</v>
      </c>
      <c r="E887" s="25">
        <v>24.05149979454869</v>
      </c>
      <c r="F887" s="28">
        <f t="shared" si="287"/>
        <v>0.11389521640091116</v>
      </c>
      <c r="G887" s="28">
        <f>'Battery Pricing Model'!$C$17/D887</f>
        <v>0.11389521640091116</v>
      </c>
      <c r="H887" s="28">
        <f t="shared" si="288"/>
        <v>999</v>
      </c>
      <c r="I887" s="28"/>
      <c r="J887" s="34">
        <f>INDEX('Profit per cycles Model'!$I$149:$I$179, MATCH(TRUNC(E887, 0), 'Profit per cycles Model'!$H$149:$H$179, 0))</f>
        <v>0.72949515880072491</v>
      </c>
      <c r="K887" s="27">
        <f>AVERAGE($J$10:J1887)</f>
        <v>0.56883042089778579</v>
      </c>
      <c r="L887" s="28">
        <f t="shared" si="289"/>
        <v>0.45493520449687463</v>
      </c>
      <c r="M887" s="28">
        <f t="shared" si="290"/>
        <v>0.45493520449687463</v>
      </c>
      <c r="N887" s="28">
        <f t="shared" si="291"/>
        <v>999</v>
      </c>
      <c r="O887" s="28"/>
      <c r="P887" s="29">
        <f t="shared" si="307"/>
        <v>0.87800000000000067</v>
      </c>
      <c r="Q887" s="33">
        <f t="shared" si="292"/>
        <v>6.7114093959731544</v>
      </c>
      <c r="R887" s="33">
        <f t="shared" si="293"/>
        <v>6.7114093959731544</v>
      </c>
      <c r="S887" s="33">
        <f t="shared" si="294"/>
        <v>-1</v>
      </c>
      <c r="T887" s="27"/>
      <c r="U887" s="28">
        <f t="shared" si="295"/>
        <v>0.10964912280701754</v>
      </c>
      <c r="V887" s="25">
        <f t="shared" si="296"/>
        <v>999</v>
      </c>
      <c r="W887" s="35">
        <f t="shared" si="308"/>
        <v>25</v>
      </c>
      <c r="X887" s="33">
        <f t="shared" si="297"/>
        <v>25</v>
      </c>
      <c r="Y887" s="32">
        <f t="shared" si="298"/>
        <v>-1</v>
      </c>
      <c r="Z887" s="32"/>
      <c r="AA887" s="30">
        <f t="shared" si="299"/>
        <v>24.05149979454869</v>
      </c>
      <c r="AB887" s="28">
        <f t="shared" si="300"/>
        <v>0.72949515880072491</v>
      </c>
      <c r="AC887" s="28">
        <f t="shared" si="301"/>
        <v>0.10964912280701754</v>
      </c>
      <c r="AD887" s="29">
        <f t="shared" si="302"/>
        <v>833.01707779886146</v>
      </c>
      <c r="AE887" s="28">
        <f t="shared" si="303"/>
        <v>0.10964912280701754</v>
      </c>
      <c r="AF887" s="28">
        <f t="shared" si="304"/>
        <v>0.61984603599370736</v>
      </c>
      <c r="AG887" s="28">
        <f t="shared" si="305"/>
        <v>0</v>
      </c>
      <c r="AI887" s="31">
        <f t="shared" si="306"/>
        <v>3.9943310954825595</v>
      </c>
      <c r="AJ887" s="25"/>
      <c r="AK887" s="31"/>
      <c r="AM887" s="27"/>
    </row>
    <row r="888" spans="4:39" x14ac:dyDescent="0.25">
      <c r="D888" s="25">
        <f>E888*'Profit per cycles Model'!$I$113</f>
        <v>8790</v>
      </c>
      <c r="E888" s="25">
        <v>24.078893302287359</v>
      </c>
      <c r="F888" s="28">
        <f t="shared" si="287"/>
        <v>0.11376564277588168</v>
      </c>
      <c r="G888" s="28">
        <f>'Battery Pricing Model'!$C$17/D888</f>
        <v>0.11376564277588168</v>
      </c>
      <c r="H888" s="28">
        <f t="shared" si="288"/>
        <v>999</v>
      </c>
      <c r="I888" s="28"/>
      <c r="J888" s="34">
        <f>INDEX('Profit per cycles Model'!$I$149:$I$179, MATCH(TRUNC(E888, 0), 'Profit per cycles Model'!$H$149:$H$179, 0))</f>
        <v>0.72949515880072491</v>
      </c>
      <c r="K888" s="27">
        <f>AVERAGE($J$10:J1888)</f>
        <v>0.56883042089778579</v>
      </c>
      <c r="L888" s="28">
        <f t="shared" si="289"/>
        <v>0.4550647781219041</v>
      </c>
      <c r="M888" s="28">
        <f t="shared" si="290"/>
        <v>0.4550647781219041</v>
      </c>
      <c r="N888" s="28">
        <f t="shared" si="291"/>
        <v>999</v>
      </c>
      <c r="O888" s="28"/>
      <c r="P888" s="29">
        <f t="shared" si="307"/>
        <v>0.87900000000000067</v>
      </c>
      <c r="Q888" s="33">
        <f t="shared" si="292"/>
        <v>6.7114093959731544</v>
      </c>
      <c r="R888" s="33">
        <f t="shared" si="293"/>
        <v>6.7114093959731544</v>
      </c>
      <c r="S888" s="33">
        <f t="shared" si="294"/>
        <v>-1</v>
      </c>
      <c r="T888" s="27"/>
      <c r="U888" s="28">
        <f t="shared" si="295"/>
        <v>0.10964912280701754</v>
      </c>
      <c r="V888" s="25">
        <f t="shared" si="296"/>
        <v>999</v>
      </c>
      <c r="W888" s="35">
        <f t="shared" si="308"/>
        <v>25</v>
      </c>
      <c r="X888" s="33">
        <f t="shared" si="297"/>
        <v>25</v>
      </c>
      <c r="Y888" s="32">
        <f t="shared" si="298"/>
        <v>-1</v>
      </c>
      <c r="Z888" s="32"/>
      <c r="AA888" s="30">
        <f t="shared" si="299"/>
        <v>24.078893302287359</v>
      </c>
      <c r="AB888" s="28">
        <f t="shared" si="300"/>
        <v>0.72949515880072491</v>
      </c>
      <c r="AC888" s="28">
        <f t="shared" si="301"/>
        <v>0.10964912280701754</v>
      </c>
      <c r="AD888" s="29">
        <f t="shared" si="302"/>
        <v>833.96584440227707</v>
      </c>
      <c r="AE888" s="28">
        <f t="shared" si="303"/>
        <v>0.10964912280701754</v>
      </c>
      <c r="AF888" s="28">
        <f t="shared" si="304"/>
        <v>0.61984603599370736</v>
      </c>
      <c r="AG888" s="28">
        <f t="shared" si="305"/>
        <v>0</v>
      </c>
      <c r="AI888" s="31">
        <f t="shared" si="306"/>
        <v>4.0000193996915376</v>
      </c>
      <c r="AJ888" s="25"/>
      <c r="AK888" s="31"/>
      <c r="AM888" s="27"/>
    </row>
    <row r="889" spans="4:39" x14ac:dyDescent="0.25">
      <c r="D889" s="25">
        <f>E889*'Profit per cycles Model'!$I$113</f>
        <v>8800</v>
      </c>
      <c r="E889" s="25">
        <v>24.106286810026024</v>
      </c>
      <c r="F889" s="28">
        <f t="shared" si="287"/>
        <v>0.11363636363636363</v>
      </c>
      <c r="G889" s="28">
        <f>'Battery Pricing Model'!$C$17/D889</f>
        <v>0.11363636363636363</v>
      </c>
      <c r="H889" s="28">
        <f t="shared" si="288"/>
        <v>999</v>
      </c>
      <c r="I889" s="28"/>
      <c r="J889" s="34">
        <f>INDEX('Profit per cycles Model'!$I$149:$I$179, MATCH(TRUNC(E889, 0), 'Profit per cycles Model'!$H$149:$H$179, 0))</f>
        <v>0.72949515880072491</v>
      </c>
      <c r="K889" s="27">
        <f>AVERAGE($J$10:J1889)</f>
        <v>0.56883042089778579</v>
      </c>
      <c r="L889" s="28">
        <f t="shared" si="289"/>
        <v>0.45519405726142215</v>
      </c>
      <c r="M889" s="28">
        <f t="shared" si="290"/>
        <v>0.45519405726142215</v>
      </c>
      <c r="N889" s="28">
        <f t="shared" si="291"/>
        <v>999</v>
      </c>
      <c r="O889" s="28"/>
      <c r="P889" s="29">
        <f t="shared" si="307"/>
        <v>0.88000000000000067</v>
      </c>
      <c r="Q889" s="33">
        <f t="shared" si="292"/>
        <v>6.7114093959731544</v>
      </c>
      <c r="R889" s="33">
        <f t="shared" si="293"/>
        <v>6.7114093959731544</v>
      </c>
      <c r="S889" s="33">
        <f t="shared" si="294"/>
        <v>-1</v>
      </c>
      <c r="T889" s="27"/>
      <c r="U889" s="28">
        <f t="shared" si="295"/>
        <v>0.10964912280701754</v>
      </c>
      <c r="V889" s="25">
        <f t="shared" si="296"/>
        <v>999</v>
      </c>
      <c r="W889" s="35">
        <f t="shared" si="308"/>
        <v>25</v>
      </c>
      <c r="X889" s="33">
        <f t="shared" si="297"/>
        <v>25</v>
      </c>
      <c r="Y889" s="32">
        <f t="shared" si="298"/>
        <v>-1</v>
      </c>
      <c r="Z889" s="32"/>
      <c r="AA889" s="30">
        <f t="shared" si="299"/>
        <v>24.106286810026024</v>
      </c>
      <c r="AB889" s="28">
        <f t="shared" si="300"/>
        <v>0.72949515880072491</v>
      </c>
      <c r="AC889" s="28">
        <f t="shared" si="301"/>
        <v>0.10964912280701754</v>
      </c>
      <c r="AD889" s="29">
        <f t="shared" si="302"/>
        <v>834.91461100569268</v>
      </c>
      <c r="AE889" s="28">
        <f t="shared" si="303"/>
        <v>0.10964912280701754</v>
      </c>
      <c r="AF889" s="28">
        <f t="shared" si="304"/>
        <v>0.61984603599370736</v>
      </c>
      <c r="AG889" s="28">
        <f t="shared" si="305"/>
        <v>0</v>
      </c>
      <c r="AI889" s="31">
        <f t="shared" si="306"/>
        <v>4.0057077039005149</v>
      </c>
      <c r="AJ889" s="25"/>
      <c r="AK889" s="31"/>
      <c r="AM889" s="27"/>
    </row>
    <row r="890" spans="4:39" x14ac:dyDescent="0.25">
      <c r="D890" s="25">
        <f>E890*'Profit per cycles Model'!$I$113</f>
        <v>8810</v>
      </c>
      <c r="E890" s="25">
        <v>24.133680317764689</v>
      </c>
      <c r="F890" s="28">
        <f t="shared" si="287"/>
        <v>0.11350737797956867</v>
      </c>
      <c r="G890" s="28">
        <f>'Battery Pricing Model'!$C$17/D890</f>
        <v>0.11350737797956867</v>
      </c>
      <c r="H890" s="28">
        <f t="shared" si="288"/>
        <v>999</v>
      </c>
      <c r="I890" s="28"/>
      <c r="J890" s="34">
        <f>INDEX('Profit per cycles Model'!$I$149:$I$179, MATCH(TRUNC(E890, 0), 'Profit per cycles Model'!$H$149:$H$179, 0))</f>
        <v>0.72949515880072491</v>
      </c>
      <c r="K890" s="27">
        <f>AVERAGE($J$10:J1890)</f>
        <v>0.56883042089778579</v>
      </c>
      <c r="L890" s="28">
        <f t="shared" si="289"/>
        <v>0.45532304291821712</v>
      </c>
      <c r="M890" s="28">
        <f t="shared" si="290"/>
        <v>0.45532304291821712</v>
      </c>
      <c r="N890" s="28">
        <f t="shared" si="291"/>
        <v>999</v>
      </c>
      <c r="O890" s="28"/>
      <c r="P890" s="29">
        <f t="shared" si="307"/>
        <v>0.88100000000000067</v>
      </c>
      <c r="Q890" s="33">
        <f t="shared" si="292"/>
        <v>6.7114093959731544</v>
      </c>
      <c r="R890" s="33">
        <f t="shared" si="293"/>
        <v>6.7114093959731544</v>
      </c>
      <c r="S890" s="33">
        <f t="shared" si="294"/>
        <v>-1</v>
      </c>
      <c r="T890" s="27"/>
      <c r="U890" s="28">
        <f t="shared" si="295"/>
        <v>0.10964912280701754</v>
      </c>
      <c r="V890" s="25">
        <f t="shared" si="296"/>
        <v>999</v>
      </c>
      <c r="W890" s="35">
        <f t="shared" si="308"/>
        <v>25</v>
      </c>
      <c r="X890" s="33">
        <f t="shared" si="297"/>
        <v>25</v>
      </c>
      <c r="Y890" s="32">
        <f t="shared" si="298"/>
        <v>-1</v>
      </c>
      <c r="Z890" s="32"/>
      <c r="AA890" s="30">
        <f t="shared" si="299"/>
        <v>24.133680317764689</v>
      </c>
      <c r="AB890" s="28">
        <f t="shared" si="300"/>
        <v>0.72949515880072491</v>
      </c>
      <c r="AC890" s="28">
        <f t="shared" si="301"/>
        <v>0.10964912280701754</v>
      </c>
      <c r="AD890" s="29">
        <f t="shared" si="302"/>
        <v>835.86337760910828</v>
      </c>
      <c r="AE890" s="28">
        <f t="shared" si="303"/>
        <v>0.10964912280701754</v>
      </c>
      <c r="AF890" s="28">
        <f t="shared" si="304"/>
        <v>0.61984603599370736</v>
      </c>
      <c r="AG890" s="28">
        <f t="shared" si="305"/>
        <v>0</v>
      </c>
      <c r="AI890" s="31">
        <f t="shared" si="306"/>
        <v>4.011396008109493</v>
      </c>
      <c r="AJ890" s="25"/>
      <c r="AK890" s="31"/>
      <c r="AM890" s="27"/>
    </row>
    <row r="891" spans="4:39" x14ac:dyDescent="0.25">
      <c r="D891" s="25">
        <f>E891*'Profit per cycles Model'!$I$113</f>
        <v>8820</v>
      </c>
      <c r="E891" s="25">
        <v>24.161073825503355</v>
      </c>
      <c r="F891" s="28">
        <f t="shared" si="287"/>
        <v>0.11337868480725624</v>
      </c>
      <c r="G891" s="28">
        <f>'Battery Pricing Model'!$C$17/D891</f>
        <v>0.11337868480725624</v>
      </c>
      <c r="H891" s="28">
        <f t="shared" si="288"/>
        <v>999</v>
      </c>
      <c r="I891" s="28"/>
      <c r="J891" s="34">
        <f>INDEX('Profit per cycles Model'!$I$149:$I$179, MATCH(TRUNC(E891, 0), 'Profit per cycles Model'!$H$149:$H$179, 0))</f>
        <v>0.72949515880072491</v>
      </c>
      <c r="K891" s="27">
        <f>AVERAGE($J$10:J1891)</f>
        <v>0.56883042089778579</v>
      </c>
      <c r="L891" s="28">
        <f t="shared" si="289"/>
        <v>0.45545173609052958</v>
      </c>
      <c r="M891" s="28">
        <f t="shared" si="290"/>
        <v>0.45545173609052958</v>
      </c>
      <c r="N891" s="28">
        <f t="shared" si="291"/>
        <v>999</v>
      </c>
      <c r="O891" s="28"/>
      <c r="P891" s="29">
        <f t="shared" si="307"/>
        <v>0.88200000000000067</v>
      </c>
      <c r="Q891" s="33">
        <f t="shared" si="292"/>
        <v>6.7114093959731544</v>
      </c>
      <c r="R891" s="33">
        <f t="shared" si="293"/>
        <v>6.7114093959731544</v>
      </c>
      <c r="S891" s="33">
        <f t="shared" si="294"/>
        <v>-1</v>
      </c>
      <c r="T891" s="27"/>
      <c r="U891" s="28">
        <f t="shared" si="295"/>
        <v>0.10964912280701754</v>
      </c>
      <c r="V891" s="25">
        <f t="shared" si="296"/>
        <v>999</v>
      </c>
      <c r="W891" s="35">
        <f t="shared" si="308"/>
        <v>25</v>
      </c>
      <c r="X891" s="33">
        <f t="shared" si="297"/>
        <v>25</v>
      </c>
      <c r="Y891" s="32">
        <f t="shared" si="298"/>
        <v>-1</v>
      </c>
      <c r="Z891" s="32"/>
      <c r="AA891" s="30">
        <f t="shared" si="299"/>
        <v>24.161073825503355</v>
      </c>
      <c r="AB891" s="28">
        <f t="shared" si="300"/>
        <v>0.72949515880072491</v>
      </c>
      <c r="AC891" s="28">
        <f t="shared" si="301"/>
        <v>0.10964912280701754</v>
      </c>
      <c r="AD891" s="29">
        <f t="shared" si="302"/>
        <v>836.81214421252366</v>
      </c>
      <c r="AE891" s="28">
        <f t="shared" si="303"/>
        <v>0.10964912280701754</v>
      </c>
      <c r="AF891" s="28">
        <f t="shared" si="304"/>
        <v>0.61984603599370736</v>
      </c>
      <c r="AG891" s="28">
        <f t="shared" si="305"/>
        <v>0</v>
      </c>
      <c r="AI891" s="31">
        <f t="shared" si="306"/>
        <v>4.0170843123184703</v>
      </c>
      <c r="AJ891" s="25"/>
      <c r="AK891" s="31"/>
      <c r="AM891" s="27"/>
    </row>
    <row r="892" spans="4:39" x14ac:dyDescent="0.25">
      <c r="D892" s="25">
        <f>E892*'Profit per cycles Model'!$I$113</f>
        <v>8830</v>
      </c>
      <c r="E892" s="25">
        <v>24.18846733324202</v>
      </c>
      <c r="F892" s="28">
        <f t="shared" si="287"/>
        <v>0.11325028312570781</v>
      </c>
      <c r="G892" s="28">
        <f>'Battery Pricing Model'!$C$17/D892</f>
        <v>0.11325028312570781</v>
      </c>
      <c r="H892" s="28">
        <f t="shared" si="288"/>
        <v>999</v>
      </c>
      <c r="I892" s="28"/>
      <c r="J892" s="34">
        <f>INDEX('Profit per cycles Model'!$I$149:$I$179, MATCH(TRUNC(E892, 0), 'Profit per cycles Model'!$H$149:$H$179, 0))</f>
        <v>0.72949515880072491</v>
      </c>
      <c r="K892" s="27">
        <f>AVERAGE($J$10:J1892)</f>
        <v>0.56883042089778579</v>
      </c>
      <c r="L892" s="28">
        <f t="shared" si="289"/>
        <v>0.45558013777207795</v>
      </c>
      <c r="M892" s="28">
        <f t="shared" si="290"/>
        <v>0.45558013777207795</v>
      </c>
      <c r="N892" s="28">
        <f t="shared" si="291"/>
        <v>999</v>
      </c>
      <c r="O892" s="28"/>
      <c r="P892" s="29">
        <f t="shared" si="307"/>
        <v>0.88300000000000067</v>
      </c>
      <c r="Q892" s="33">
        <f t="shared" si="292"/>
        <v>6.7114093959731544</v>
      </c>
      <c r="R892" s="33">
        <f t="shared" si="293"/>
        <v>6.7114093959731544</v>
      </c>
      <c r="S892" s="33">
        <f t="shared" si="294"/>
        <v>-1</v>
      </c>
      <c r="T892" s="27"/>
      <c r="U892" s="28">
        <f t="shared" si="295"/>
        <v>0.10964912280701754</v>
      </c>
      <c r="V892" s="25">
        <f t="shared" si="296"/>
        <v>999</v>
      </c>
      <c r="W892" s="35">
        <f t="shared" si="308"/>
        <v>25</v>
      </c>
      <c r="X892" s="33">
        <f t="shared" si="297"/>
        <v>25</v>
      </c>
      <c r="Y892" s="32">
        <f t="shared" si="298"/>
        <v>-1</v>
      </c>
      <c r="Z892" s="32"/>
      <c r="AA892" s="30">
        <f t="shared" si="299"/>
        <v>24.18846733324202</v>
      </c>
      <c r="AB892" s="28">
        <f t="shared" si="300"/>
        <v>0.72949515880072491</v>
      </c>
      <c r="AC892" s="28">
        <f t="shared" si="301"/>
        <v>0.10964912280701754</v>
      </c>
      <c r="AD892" s="29">
        <f t="shared" si="302"/>
        <v>837.76091081593927</v>
      </c>
      <c r="AE892" s="28">
        <f t="shared" si="303"/>
        <v>0.10964912280701754</v>
      </c>
      <c r="AF892" s="28">
        <f t="shared" si="304"/>
        <v>0.61984603599370736</v>
      </c>
      <c r="AG892" s="28">
        <f t="shared" si="305"/>
        <v>0</v>
      </c>
      <c r="AI892" s="31">
        <f t="shared" si="306"/>
        <v>4.0227726165274484</v>
      </c>
      <c r="AJ892" s="25"/>
      <c r="AK892" s="31"/>
      <c r="AM892" s="27"/>
    </row>
    <row r="893" spans="4:39" x14ac:dyDescent="0.25">
      <c r="D893" s="25">
        <f>E893*'Profit per cycles Model'!$I$113</f>
        <v>8840</v>
      </c>
      <c r="E893" s="25">
        <v>24.215860840980685</v>
      </c>
      <c r="F893" s="28">
        <f t="shared" si="287"/>
        <v>0.11312217194570136</v>
      </c>
      <c r="G893" s="28">
        <f>'Battery Pricing Model'!$C$17/D893</f>
        <v>0.11312217194570136</v>
      </c>
      <c r="H893" s="28">
        <f t="shared" si="288"/>
        <v>999</v>
      </c>
      <c r="I893" s="28"/>
      <c r="J893" s="34">
        <f>INDEX('Profit per cycles Model'!$I$149:$I$179, MATCH(TRUNC(E893, 0), 'Profit per cycles Model'!$H$149:$H$179, 0))</f>
        <v>0.72949515880072491</v>
      </c>
      <c r="K893" s="27">
        <f>AVERAGE($J$10:J1893)</f>
        <v>0.56883042089778579</v>
      </c>
      <c r="L893" s="28">
        <f t="shared" si="289"/>
        <v>0.45570824895208445</v>
      </c>
      <c r="M893" s="28">
        <f t="shared" si="290"/>
        <v>0.45570824895208445</v>
      </c>
      <c r="N893" s="28">
        <f t="shared" si="291"/>
        <v>999</v>
      </c>
      <c r="O893" s="28"/>
      <c r="P893" s="29">
        <f t="shared" si="307"/>
        <v>0.88400000000000067</v>
      </c>
      <c r="Q893" s="33">
        <f t="shared" si="292"/>
        <v>6.7114093959731544</v>
      </c>
      <c r="R893" s="33">
        <f t="shared" si="293"/>
        <v>6.7114093959731544</v>
      </c>
      <c r="S893" s="33">
        <f t="shared" si="294"/>
        <v>-1</v>
      </c>
      <c r="T893" s="27"/>
      <c r="U893" s="28">
        <f t="shared" si="295"/>
        <v>0.10964912280701754</v>
      </c>
      <c r="V893" s="25">
        <f t="shared" si="296"/>
        <v>999</v>
      </c>
      <c r="W893" s="35">
        <f t="shared" si="308"/>
        <v>25</v>
      </c>
      <c r="X893" s="33">
        <f t="shared" si="297"/>
        <v>25</v>
      </c>
      <c r="Y893" s="32">
        <f t="shared" si="298"/>
        <v>-1</v>
      </c>
      <c r="Z893" s="32"/>
      <c r="AA893" s="30">
        <f t="shared" si="299"/>
        <v>24.215860840980685</v>
      </c>
      <c r="AB893" s="28">
        <f t="shared" si="300"/>
        <v>0.72949515880072491</v>
      </c>
      <c r="AC893" s="28">
        <f t="shared" si="301"/>
        <v>0.10964912280701754</v>
      </c>
      <c r="AD893" s="29">
        <f t="shared" si="302"/>
        <v>838.70967741935476</v>
      </c>
      <c r="AE893" s="28">
        <f t="shared" si="303"/>
        <v>0.10964912280701754</v>
      </c>
      <c r="AF893" s="28">
        <f t="shared" si="304"/>
        <v>0.61984603599370736</v>
      </c>
      <c r="AG893" s="28">
        <f t="shared" si="305"/>
        <v>0</v>
      </c>
      <c r="AI893" s="31">
        <f t="shared" si="306"/>
        <v>4.0284609207364266</v>
      </c>
      <c r="AJ893" s="25"/>
      <c r="AK893" s="31"/>
      <c r="AM893" s="27"/>
    </row>
    <row r="894" spans="4:39" x14ac:dyDescent="0.25">
      <c r="D894" s="25">
        <f>E894*'Profit per cycles Model'!$I$113</f>
        <v>8850</v>
      </c>
      <c r="E894" s="25">
        <v>24.243254348719354</v>
      </c>
      <c r="F894" s="28">
        <f t="shared" si="287"/>
        <v>0.11299435028248588</v>
      </c>
      <c r="G894" s="28">
        <f>'Battery Pricing Model'!$C$17/D894</f>
        <v>0.11299435028248588</v>
      </c>
      <c r="H894" s="28">
        <f t="shared" si="288"/>
        <v>999</v>
      </c>
      <c r="I894" s="28"/>
      <c r="J894" s="34">
        <f>INDEX('Profit per cycles Model'!$I$149:$I$179, MATCH(TRUNC(E894, 0), 'Profit per cycles Model'!$H$149:$H$179, 0))</f>
        <v>0.72949515880072491</v>
      </c>
      <c r="K894" s="27">
        <f>AVERAGE($J$10:J1894)</f>
        <v>0.56883042089778579</v>
      </c>
      <c r="L894" s="28">
        <f t="shared" si="289"/>
        <v>0.4558360706152999</v>
      </c>
      <c r="M894" s="28">
        <f t="shared" si="290"/>
        <v>0.4558360706152999</v>
      </c>
      <c r="N894" s="28">
        <f t="shared" si="291"/>
        <v>999</v>
      </c>
      <c r="O894" s="28"/>
      <c r="P894" s="29">
        <f t="shared" si="307"/>
        <v>0.88500000000000068</v>
      </c>
      <c r="Q894" s="33">
        <f t="shared" si="292"/>
        <v>6.7114093959731544</v>
      </c>
      <c r="R894" s="33">
        <f t="shared" si="293"/>
        <v>6.7114093959731544</v>
      </c>
      <c r="S894" s="33">
        <f t="shared" si="294"/>
        <v>-1</v>
      </c>
      <c r="T894" s="27"/>
      <c r="U894" s="28">
        <f t="shared" si="295"/>
        <v>0.10964912280701754</v>
      </c>
      <c r="V894" s="25">
        <f t="shared" si="296"/>
        <v>999</v>
      </c>
      <c r="W894" s="35">
        <f t="shared" si="308"/>
        <v>25</v>
      </c>
      <c r="X894" s="33">
        <f t="shared" si="297"/>
        <v>25</v>
      </c>
      <c r="Y894" s="32">
        <f t="shared" si="298"/>
        <v>-1</v>
      </c>
      <c r="Z894" s="32"/>
      <c r="AA894" s="30">
        <f t="shared" si="299"/>
        <v>24.243254348719354</v>
      </c>
      <c r="AB894" s="28">
        <f t="shared" si="300"/>
        <v>0.72949515880072491</v>
      </c>
      <c r="AC894" s="28">
        <f t="shared" si="301"/>
        <v>0.10964912280701754</v>
      </c>
      <c r="AD894" s="29">
        <f t="shared" si="302"/>
        <v>839.65844402277048</v>
      </c>
      <c r="AE894" s="28">
        <f t="shared" si="303"/>
        <v>0.10964912280701754</v>
      </c>
      <c r="AF894" s="28">
        <f t="shared" si="304"/>
        <v>0.61984603599370736</v>
      </c>
      <c r="AG894" s="28">
        <f t="shared" si="305"/>
        <v>0</v>
      </c>
      <c r="AI894" s="31">
        <f t="shared" si="306"/>
        <v>4.0341492249454038</v>
      </c>
      <c r="AJ894" s="25"/>
      <c r="AK894" s="31"/>
      <c r="AM894" s="27"/>
    </row>
    <row r="895" spans="4:39" x14ac:dyDescent="0.25">
      <c r="D895" s="25">
        <f>E895*'Profit per cycles Model'!$I$113</f>
        <v>8860</v>
      </c>
      <c r="E895" s="25">
        <v>24.270647856458019</v>
      </c>
      <c r="F895" s="28">
        <f t="shared" si="287"/>
        <v>0.11286681715575621</v>
      </c>
      <c r="G895" s="28">
        <f>'Battery Pricing Model'!$C$17/D895</f>
        <v>0.11286681715575621</v>
      </c>
      <c r="H895" s="28">
        <f t="shared" si="288"/>
        <v>999</v>
      </c>
      <c r="I895" s="28"/>
      <c r="J895" s="34">
        <f>INDEX('Profit per cycles Model'!$I$149:$I$179, MATCH(TRUNC(E895, 0), 'Profit per cycles Model'!$H$149:$H$179, 0))</f>
        <v>0.72949515880072491</v>
      </c>
      <c r="K895" s="27">
        <f>AVERAGE($J$10:J1895)</f>
        <v>0.56883042089778579</v>
      </c>
      <c r="L895" s="28">
        <f t="shared" si="289"/>
        <v>0.4559636037420296</v>
      </c>
      <c r="M895" s="28">
        <f t="shared" si="290"/>
        <v>0.4559636037420296</v>
      </c>
      <c r="N895" s="28">
        <f t="shared" si="291"/>
        <v>999</v>
      </c>
      <c r="O895" s="28"/>
      <c r="P895" s="29">
        <f t="shared" si="307"/>
        <v>0.88600000000000068</v>
      </c>
      <c r="Q895" s="33">
        <f t="shared" si="292"/>
        <v>6.7114093959731544</v>
      </c>
      <c r="R895" s="33">
        <f t="shared" si="293"/>
        <v>6.7114093959731544</v>
      </c>
      <c r="S895" s="33">
        <f t="shared" si="294"/>
        <v>-1</v>
      </c>
      <c r="T895" s="27"/>
      <c r="U895" s="28">
        <f t="shared" si="295"/>
        <v>0.10964912280701754</v>
      </c>
      <c r="V895" s="25">
        <f t="shared" si="296"/>
        <v>999</v>
      </c>
      <c r="W895" s="35">
        <f t="shared" si="308"/>
        <v>25</v>
      </c>
      <c r="X895" s="33">
        <f t="shared" si="297"/>
        <v>25</v>
      </c>
      <c r="Y895" s="32">
        <f t="shared" si="298"/>
        <v>-1</v>
      </c>
      <c r="Z895" s="32"/>
      <c r="AA895" s="30">
        <f t="shared" si="299"/>
        <v>24.270647856458019</v>
      </c>
      <c r="AB895" s="28">
        <f t="shared" si="300"/>
        <v>0.72949515880072491</v>
      </c>
      <c r="AC895" s="28">
        <f t="shared" si="301"/>
        <v>0.10964912280701754</v>
      </c>
      <c r="AD895" s="29">
        <f t="shared" si="302"/>
        <v>840.60721062618609</v>
      </c>
      <c r="AE895" s="28">
        <f t="shared" si="303"/>
        <v>0.10964912280701754</v>
      </c>
      <c r="AF895" s="28">
        <f t="shared" si="304"/>
        <v>0.61984603599370736</v>
      </c>
      <c r="AG895" s="28">
        <f t="shared" si="305"/>
        <v>0</v>
      </c>
      <c r="AI895" s="31">
        <f t="shared" si="306"/>
        <v>4.039837529154382</v>
      </c>
      <c r="AJ895" s="25"/>
      <c r="AK895" s="31"/>
      <c r="AM895" s="27"/>
    </row>
    <row r="896" spans="4:39" x14ac:dyDescent="0.25">
      <c r="D896" s="25">
        <f>E896*'Profit per cycles Model'!$I$113</f>
        <v>8870</v>
      </c>
      <c r="E896" s="25">
        <v>24.298041364196685</v>
      </c>
      <c r="F896" s="28">
        <f t="shared" si="287"/>
        <v>0.11273957158962795</v>
      </c>
      <c r="G896" s="28">
        <f>'Battery Pricing Model'!$C$17/D896</f>
        <v>0.11273957158962795</v>
      </c>
      <c r="H896" s="28">
        <f t="shared" si="288"/>
        <v>999</v>
      </c>
      <c r="I896" s="28"/>
      <c r="J896" s="34">
        <f>INDEX('Profit per cycles Model'!$I$149:$I$179, MATCH(TRUNC(E896, 0), 'Profit per cycles Model'!$H$149:$H$179, 0))</f>
        <v>0.72949515880072491</v>
      </c>
      <c r="K896" s="27">
        <f>AVERAGE($J$10:J1896)</f>
        <v>0.56883042089778579</v>
      </c>
      <c r="L896" s="28">
        <f t="shared" si="289"/>
        <v>0.45609084930815785</v>
      </c>
      <c r="M896" s="28">
        <f t="shared" si="290"/>
        <v>0.45609084930815785</v>
      </c>
      <c r="N896" s="28">
        <f t="shared" si="291"/>
        <v>999</v>
      </c>
      <c r="O896" s="28"/>
      <c r="P896" s="29">
        <f t="shared" si="307"/>
        <v>0.88700000000000068</v>
      </c>
      <c r="Q896" s="33">
        <f t="shared" si="292"/>
        <v>6.7114093959731544</v>
      </c>
      <c r="R896" s="33">
        <f t="shared" si="293"/>
        <v>6.7114093959731544</v>
      </c>
      <c r="S896" s="33">
        <f t="shared" si="294"/>
        <v>-1</v>
      </c>
      <c r="T896" s="27"/>
      <c r="U896" s="28">
        <f t="shared" si="295"/>
        <v>0.10964912280701754</v>
      </c>
      <c r="V896" s="25">
        <f t="shared" si="296"/>
        <v>999</v>
      </c>
      <c r="W896" s="35">
        <f t="shared" si="308"/>
        <v>25</v>
      </c>
      <c r="X896" s="33">
        <f t="shared" si="297"/>
        <v>25</v>
      </c>
      <c r="Y896" s="32">
        <f t="shared" si="298"/>
        <v>-1</v>
      </c>
      <c r="Z896" s="32"/>
      <c r="AA896" s="30">
        <f t="shared" si="299"/>
        <v>24.298041364196685</v>
      </c>
      <c r="AB896" s="28">
        <f t="shared" si="300"/>
        <v>0.72949515880072491</v>
      </c>
      <c r="AC896" s="28">
        <f t="shared" si="301"/>
        <v>0.10964912280701754</v>
      </c>
      <c r="AD896" s="29">
        <f t="shared" si="302"/>
        <v>841.55597722960158</v>
      </c>
      <c r="AE896" s="28">
        <f t="shared" si="303"/>
        <v>0.10964912280701754</v>
      </c>
      <c r="AF896" s="28">
        <f t="shared" si="304"/>
        <v>0.61984603599370736</v>
      </c>
      <c r="AG896" s="28">
        <f t="shared" si="305"/>
        <v>0</v>
      </c>
      <c r="AI896" s="31">
        <f t="shared" si="306"/>
        <v>4.0455258333633601</v>
      </c>
      <c r="AJ896" s="25"/>
      <c r="AK896" s="31"/>
      <c r="AM896" s="27"/>
    </row>
    <row r="897" spans="4:39" x14ac:dyDescent="0.25">
      <c r="D897" s="25">
        <f>E897*'Profit per cycles Model'!$I$113</f>
        <v>8880</v>
      </c>
      <c r="E897" s="25">
        <v>24.32543487193535</v>
      </c>
      <c r="F897" s="28">
        <f t="shared" si="287"/>
        <v>0.11261261261261261</v>
      </c>
      <c r="G897" s="28">
        <f>'Battery Pricing Model'!$C$17/D897</f>
        <v>0.11261261261261261</v>
      </c>
      <c r="H897" s="28">
        <f t="shared" si="288"/>
        <v>999</v>
      </c>
      <c r="I897" s="28"/>
      <c r="J897" s="34">
        <f>INDEX('Profit per cycles Model'!$I$149:$I$179, MATCH(TRUNC(E897, 0), 'Profit per cycles Model'!$H$149:$H$179, 0))</f>
        <v>0.72949515880072491</v>
      </c>
      <c r="K897" s="27">
        <f>AVERAGE($J$10:J1897)</f>
        <v>0.56883042089778579</v>
      </c>
      <c r="L897" s="28">
        <f t="shared" si="289"/>
        <v>0.45621780828517317</v>
      </c>
      <c r="M897" s="28">
        <f t="shared" si="290"/>
        <v>0.45621780828517317</v>
      </c>
      <c r="N897" s="28">
        <f t="shared" si="291"/>
        <v>999</v>
      </c>
      <c r="O897" s="28"/>
      <c r="P897" s="29">
        <f t="shared" si="307"/>
        <v>0.88800000000000068</v>
      </c>
      <c r="Q897" s="33">
        <f t="shared" si="292"/>
        <v>6.7114093959731544</v>
      </c>
      <c r="R897" s="33">
        <f t="shared" si="293"/>
        <v>6.7114093959731544</v>
      </c>
      <c r="S897" s="33">
        <f t="shared" si="294"/>
        <v>-1</v>
      </c>
      <c r="T897" s="27"/>
      <c r="U897" s="28">
        <f t="shared" si="295"/>
        <v>0.10964912280701754</v>
      </c>
      <c r="V897" s="25">
        <f t="shared" si="296"/>
        <v>999</v>
      </c>
      <c r="W897" s="35">
        <f t="shared" si="308"/>
        <v>25</v>
      </c>
      <c r="X897" s="33">
        <f t="shared" si="297"/>
        <v>25</v>
      </c>
      <c r="Y897" s="32">
        <f t="shared" si="298"/>
        <v>-1</v>
      </c>
      <c r="Z897" s="32"/>
      <c r="AA897" s="30">
        <f t="shared" si="299"/>
        <v>24.32543487193535</v>
      </c>
      <c r="AB897" s="28">
        <f t="shared" si="300"/>
        <v>0.72949515880072491</v>
      </c>
      <c r="AC897" s="28">
        <f t="shared" si="301"/>
        <v>0.10964912280701754</v>
      </c>
      <c r="AD897" s="29">
        <f t="shared" si="302"/>
        <v>842.50474383301707</v>
      </c>
      <c r="AE897" s="28">
        <f t="shared" si="303"/>
        <v>0.10964912280701754</v>
      </c>
      <c r="AF897" s="28">
        <f t="shared" si="304"/>
        <v>0.61984603599370736</v>
      </c>
      <c r="AG897" s="28">
        <f t="shared" si="305"/>
        <v>0</v>
      </c>
      <c r="AI897" s="31">
        <f t="shared" si="306"/>
        <v>4.0512141375723374</v>
      </c>
      <c r="AJ897" s="25"/>
      <c r="AK897" s="31"/>
      <c r="AM897" s="27"/>
    </row>
    <row r="898" spans="4:39" x14ac:dyDescent="0.25">
      <c r="D898" s="25">
        <f>E898*'Profit per cycles Model'!$I$113</f>
        <v>8890</v>
      </c>
      <c r="E898" s="25">
        <v>24.352828379674015</v>
      </c>
      <c r="F898" s="28">
        <f t="shared" si="287"/>
        <v>0.1124859392575928</v>
      </c>
      <c r="G898" s="28">
        <f>'Battery Pricing Model'!$C$17/D898</f>
        <v>0.1124859392575928</v>
      </c>
      <c r="H898" s="28">
        <f t="shared" si="288"/>
        <v>999</v>
      </c>
      <c r="I898" s="28"/>
      <c r="J898" s="34">
        <f>INDEX('Profit per cycles Model'!$I$149:$I$179, MATCH(TRUNC(E898, 0), 'Profit per cycles Model'!$H$149:$H$179, 0))</f>
        <v>0.72949515880072491</v>
      </c>
      <c r="K898" s="27">
        <f>AVERAGE($J$10:J1898)</f>
        <v>0.56883042089778579</v>
      </c>
      <c r="L898" s="28">
        <f t="shared" si="289"/>
        <v>0.45634448164019298</v>
      </c>
      <c r="M898" s="28">
        <f t="shared" si="290"/>
        <v>0.45634448164019298</v>
      </c>
      <c r="N898" s="28">
        <f t="shared" si="291"/>
        <v>999</v>
      </c>
      <c r="O898" s="28"/>
      <c r="P898" s="29">
        <f t="shared" si="307"/>
        <v>0.88900000000000068</v>
      </c>
      <c r="Q898" s="33">
        <f t="shared" si="292"/>
        <v>6.7114093959731544</v>
      </c>
      <c r="R898" s="33">
        <f t="shared" si="293"/>
        <v>6.7114093959731544</v>
      </c>
      <c r="S898" s="33">
        <f t="shared" si="294"/>
        <v>-1</v>
      </c>
      <c r="T898" s="27"/>
      <c r="U898" s="28">
        <f t="shared" si="295"/>
        <v>0.10964912280701754</v>
      </c>
      <c r="V898" s="25">
        <f t="shared" si="296"/>
        <v>999</v>
      </c>
      <c r="W898" s="35">
        <f t="shared" si="308"/>
        <v>25</v>
      </c>
      <c r="X898" s="33">
        <f t="shared" si="297"/>
        <v>25</v>
      </c>
      <c r="Y898" s="32">
        <f t="shared" si="298"/>
        <v>-1</v>
      </c>
      <c r="Z898" s="32"/>
      <c r="AA898" s="30">
        <f t="shared" si="299"/>
        <v>24.352828379674015</v>
      </c>
      <c r="AB898" s="28">
        <f t="shared" si="300"/>
        <v>0.72949515880072491</v>
      </c>
      <c r="AC898" s="28">
        <f t="shared" si="301"/>
        <v>0.10964912280701754</v>
      </c>
      <c r="AD898" s="29">
        <f t="shared" si="302"/>
        <v>843.45351043643257</v>
      </c>
      <c r="AE898" s="28">
        <f t="shared" si="303"/>
        <v>0.10964912280701754</v>
      </c>
      <c r="AF898" s="28">
        <f t="shared" si="304"/>
        <v>0.61984603599370736</v>
      </c>
      <c r="AG898" s="28">
        <f t="shared" si="305"/>
        <v>0</v>
      </c>
      <c r="AI898" s="31">
        <f t="shared" si="306"/>
        <v>4.0569024417813155</v>
      </c>
      <c r="AJ898" s="25"/>
      <c r="AK898" s="31"/>
      <c r="AM898" s="27"/>
    </row>
    <row r="899" spans="4:39" x14ac:dyDescent="0.25">
      <c r="D899" s="25">
        <f>E899*'Profit per cycles Model'!$I$113</f>
        <v>8900</v>
      </c>
      <c r="E899" s="25">
        <v>24.380221887412681</v>
      </c>
      <c r="F899" s="28">
        <f t="shared" si="287"/>
        <v>0.11235955056179775</v>
      </c>
      <c r="G899" s="28">
        <f>'Battery Pricing Model'!$C$17/D899</f>
        <v>0.11235955056179775</v>
      </c>
      <c r="H899" s="28">
        <f t="shared" si="288"/>
        <v>999</v>
      </c>
      <c r="I899" s="28"/>
      <c r="J899" s="34">
        <f>INDEX('Profit per cycles Model'!$I$149:$I$179, MATCH(TRUNC(E899, 0), 'Profit per cycles Model'!$H$149:$H$179, 0))</f>
        <v>0.72949515880072491</v>
      </c>
      <c r="K899" s="27">
        <f>AVERAGE($J$10:J1899)</f>
        <v>0.56883042089778579</v>
      </c>
      <c r="L899" s="28">
        <f t="shared" si="289"/>
        <v>0.45647087033598804</v>
      </c>
      <c r="M899" s="28">
        <f t="shared" si="290"/>
        <v>0.45647087033598804</v>
      </c>
      <c r="N899" s="28">
        <f t="shared" si="291"/>
        <v>999</v>
      </c>
      <c r="O899" s="28"/>
      <c r="P899" s="29">
        <f t="shared" si="307"/>
        <v>0.89000000000000068</v>
      </c>
      <c r="Q899" s="33">
        <f t="shared" si="292"/>
        <v>6.7114093959731544</v>
      </c>
      <c r="R899" s="33">
        <f t="shared" si="293"/>
        <v>6.7114093959731544</v>
      </c>
      <c r="S899" s="33">
        <f t="shared" si="294"/>
        <v>-1</v>
      </c>
      <c r="T899" s="27"/>
      <c r="U899" s="28">
        <f t="shared" si="295"/>
        <v>0.10964912280701754</v>
      </c>
      <c r="V899" s="25">
        <f t="shared" si="296"/>
        <v>999</v>
      </c>
      <c r="W899" s="35">
        <f t="shared" si="308"/>
        <v>25</v>
      </c>
      <c r="X899" s="33">
        <f t="shared" si="297"/>
        <v>25</v>
      </c>
      <c r="Y899" s="32">
        <f t="shared" si="298"/>
        <v>-1</v>
      </c>
      <c r="Z899" s="32"/>
      <c r="AA899" s="30">
        <f t="shared" si="299"/>
        <v>24.380221887412681</v>
      </c>
      <c r="AB899" s="28">
        <f t="shared" si="300"/>
        <v>0.72949515880072491</v>
      </c>
      <c r="AC899" s="28">
        <f t="shared" si="301"/>
        <v>0.10964912280701754</v>
      </c>
      <c r="AD899" s="29">
        <f t="shared" si="302"/>
        <v>844.40227703984817</v>
      </c>
      <c r="AE899" s="28">
        <f t="shared" si="303"/>
        <v>0.10964912280701754</v>
      </c>
      <c r="AF899" s="28">
        <f t="shared" si="304"/>
        <v>0.61984603599370736</v>
      </c>
      <c r="AG899" s="28">
        <f t="shared" si="305"/>
        <v>0</v>
      </c>
      <c r="AI899" s="31">
        <f t="shared" si="306"/>
        <v>4.0625907459902937</v>
      </c>
      <c r="AJ899" s="25"/>
      <c r="AK899" s="31"/>
      <c r="AM899" s="27"/>
    </row>
    <row r="900" spans="4:39" x14ac:dyDescent="0.25">
      <c r="D900" s="25">
        <f>E900*'Profit per cycles Model'!$I$113</f>
        <v>8910</v>
      </c>
      <c r="E900" s="25">
        <v>24.40761539515135</v>
      </c>
      <c r="F900" s="28">
        <f t="shared" si="287"/>
        <v>0.1122334455667789</v>
      </c>
      <c r="G900" s="28">
        <f>'Battery Pricing Model'!$C$17/D900</f>
        <v>0.1122334455667789</v>
      </c>
      <c r="H900" s="28">
        <f t="shared" si="288"/>
        <v>999</v>
      </c>
      <c r="I900" s="28"/>
      <c r="J900" s="34">
        <f>INDEX('Profit per cycles Model'!$I$149:$I$179, MATCH(TRUNC(E900, 0), 'Profit per cycles Model'!$H$149:$H$179, 0))</f>
        <v>0.72949515880072491</v>
      </c>
      <c r="K900" s="27">
        <f>AVERAGE($J$10:J1900)</f>
        <v>0.56883042089778579</v>
      </c>
      <c r="L900" s="28">
        <f t="shared" si="289"/>
        <v>0.4565969753310069</v>
      </c>
      <c r="M900" s="28">
        <f t="shared" si="290"/>
        <v>0.4565969753310069</v>
      </c>
      <c r="N900" s="28">
        <f t="shared" si="291"/>
        <v>999</v>
      </c>
      <c r="O900" s="28"/>
      <c r="P900" s="29">
        <f t="shared" si="307"/>
        <v>0.89100000000000068</v>
      </c>
      <c r="Q900" s="33">
        <f t="shared" si="292"/>
        <v>6.7114093959731544</v>
      </c>
      <c r="R900" s="33">
        <f t="shared" si="293"/>
        <v>6.7114093959731544</v>
      </c>
      <c r="S900" s="33">
        <f t="shared" si="294"/>
        <v>-1</v>
      </c>
      <c r="T900" s="27"/>
      <c r="U900" s="28">
        <f t="shared" si="295"/>
        <v>0.10964912280701754</v>
      </c>
      <c r="V900" s="25">
        <f t="shared" si="296"/>
        <v>999</v>
      </c>
      <c r="W900" s="35">
        <f t="shared" si="308"/>
        <v>25</v>
      </c>
      <c r="X900" s="33">
        <f t="shared" si="297"/>
        <v>25</v>
      </c>
      <c r="Y900" s="32">
        <f t="shared" si="298"/>
        <v>-1</v>
      </c>
      <c r="Z900" s="32"/>
      <c r="AA900" s="30">
        <f t="shared" si="299"/>
        <v>24.40761539515135</v>
      </c>
      <c r="AB900" s="28">
        <f t="shared" si="300"/>
        <v>0.72949515880072491</v>
      </c>
      <c r="AC900" s="28">
        <f t="shared" si="301"/>
        <v>0.10964912280701754</v>
      </c>
      <c r="AD900" s="29">
        <f t="shared" si="302"/>
        <v>845.35104364326378</v>
      </c>
      <c r="AE900" s="28">
        <f t="shared" si="303"/>
        <v>0.10964912280701754</v>
      </c>
      <c r="AF900" s="28">
        <f t="shared" si="304"/>
        <v>0.61984603599370736</v>
      </c>
      <c r="AG900" s="28">
        <f t="shared" si="305"/>
        <v>0</v>
      </c>
      <c r="AI900" s="31">
        <f t="shared" si="306"/>
        <v>4.0682790501992718</v>
      </c>
      <c r="AJ900" s="25"/>
      <c r="AK900" s="31"/>
      <c r="AM900" s="27"/>
    </row>
    <row r="901" spans="4:39" x14ac:dyDescent="0.25">
      <c r="D901" s="25">
        <f>E901*'Profit per cycles Model'!$I$113</f>
        <v>8920</v>
      </c>
      <c r="E901" s="25">
        <v>24.435008902890015</v>
      </c>
      <c r="F901" s="28">
        <f t="shared" si="287"/>
        <v>0.11210762331838565</v>
      </c>
      <c r="G901" s="28">
        <f>'Battery Pricing Model'!$C$17/D901</f>
        <v>0.11210762331838565</v>
      </c>
      <c r="H901" s="28">
        <f t="shared" si="288"/>
        <v>999</v>
      </c>
      <c r="I901" s="28"/>
      <c r="J901" s="34">
        <f>INDEX('Profit per cycles Model'!$I$149:$I$179, MATCH(TRUNC(E901, 0), 'Profit per cycles Model'!$H$149:$H$179, 0))</f>
        <v>0.72949515880072491</v>
      </c>
      <c r="K901" s="27">
        <f>AVERAGE($J$10:J1901)</f>
        <v>0.56883042089778579</v>
      </c>
      <c r="L901" s="28">
        <f t="shared" si="289"/>
        <v>0.45672279757940015</v>
      </c>
      <c r="M901" s="28">
        <f t="shared" si="290"/>
        <v>0.45672279757940015</v>
      </c>
      <c r="N901" s="28">
        <f t="shared" si="291"/>
        <v>999</v>
      </c>
      <c r="O901" s="28"/>
      <c r="P901" s="29">
        <f t="shared" si="307"/>
        <v>0.89200000000000068</v>
      </c>
      <c r="Q901" s="33">
        <f t="shared" si="292"/>
        <v>6.7114093959731544</v>
      </c>
      <c r="R901" s="33">
        <f t="shared" si="293"/>
        <v>6.7114093959731544</v>
      </c>
      <c r="S901" s="33">
        <f t="shared" si="294"/>
        <v>-1</v>
      </c>
      <c r="T901" s="27"/>
      <c r="U901" s="28">
        <f t="shared" si="295"/>
        <v>0.10964912280701754</v>
      </c>
      <c r="V901" s="25">
        <f t="shared" si="296"/>
        <v>999</v>
      </c>
      <c r="W901" s="35">
        <f t="shared" si="308"/>
        <v>25</v>
      </c>
      <c r="X901" s="33">
        <f t="shared" si="297"/>
        <v>25</v>
      </c>
      <c r="Y901" s="32">
        <f t="shared" si="298"/>
        <v>-1</v>
      </c>
      <c r="Z901" s="32"/>
      <c r="AA901" s="30">
        <f t="shared" si="299"/>
        <v>24.435008902890015</v>
      </c>
      <c r="AB901" s="28">
        <f t="shared" si="300"/>
        <v>0.72949515880072491</v>
      </c>
      <c r="AC901" s="28">
        <f t="shared" si="301"/>
        <v>0.10964912280701754</v>
      </c>
      <c r="AD901" s="29">
        <f t="shared" si="302"/>
        <v>846.29981024667939</v>
      </c>
      <c r="AE901" s="28">
        <f t="shared" si="303"/>
        <v>0.10964912280701754</v>
      </c>
      <c r="AF901" s="28">
        <f t="shared" si="304"/>
        <v>0.61984603599370736</v>
      </c>
      <c r="AG901" s="28">
        <f t="shared" si="305"/>
        <v>0</v>
      </c>
      <c r="AI901" s="31">
        <f t="shared" si="306"/>
        <v>4.0739673544082491</v>
      </c>
      <c r="AJ901" s="25"/>
      <c r="AK901" s="31"/>
      <c r="AM901" s="27"/>
    </row>
    <row r="902" spans="4:39" x14ac:dyDescent="0.25">
      <c r="D902" s="25">
        <f>E902*'Profit per cycles Model'!$I$113</f>
        <v>8930</v>
      </c>
      <c r="E902" s="25">
        <v>24.46240241062868</v>
      </c>
      <c r="F902" s="28">
        <f t="shared" si="287"/>
        <v>0.11198208286674133</v>
      </c>
      <c r="G902" s="28">
        <f>'Battery Pricing Model'!$C$17/D902</f>
        <v>0.11198208286674133</v>
      </c>
      <c r="H902" s="28">
        <f t="shared" si="288"/>
        <v>999</v>
      </c>
      <c r="I902" s="28"/>
      <c r="J902" s="34">
        <f>INDEX('Profit per cycles Model'!$I$149:$I$179, MATCH(TRUNC(E902, 0), 'Profit per cycles Model'!$H$149:$H$179, 0))</f>
        <v>0.72949515880072491</v>
      </c>
      <c r="K902" s="27">
        <f>AVERAGE($J$10:J1902)</f>
        <v>0.56883042089778579</v>
      </c>
      <c r="L902" s="28">
        <f t="shared" si="289"/>
        <v>0.45684833803104447</v>
      </c>
      <c r="M902" s="28">
        <f t="shared" si="290"/>
        <v>0.45684833803104447</v>
      </c>
      <c r="N902" s="28">
        <f t="shared" si="291"/>
        <v>999</v>
      </c>
      <c r="O902" s="28"/>
      <c r="P902" s="29">
        <f t="shared" si="307"/>
        <v>0.89300000000000068</v>
      </c>
      <c r="Q902" s="33">
        <f t="shared" si="292"/>
        <v>6.7114093959731544</v>
      </c>
      <c r="R902" s="33">
        <f t="shared" si="293"/>
        <v>6.7114093959731544</v>
      </c>
      <c r="S902" s="33">
        <f t="shared" si="294"/>
        <v>-1</v>
      </c>
      <c r="T902" s="27"/>
      <c r="U902" s="28">
        <f t="shared" si="295"/>
        <v>0.10964912280701754</v>
      </c>
      <c r="V902" s="25">
        <f t="shared" si="296"/>
        <v>999</v>
      </c>
      <c r="W902" s="35">
        <f t="shared" si="308"/>
        <v>25</v>
      </c>
      <c r="X902" s="33">
        <f t="shared" si="297"/>
        <v>25</v>
      </c>
      <c r="Y902" s="32">
        <f t="shared" si="298"/>
        <v>-1</v>
      </c>
      <c r="Z902" s="32"/>
      <c r="AA902" s="30">
        <f t="shared" si="299"/>
        <v>24.46240241062868</v>
      </c>
      <c r="AB902" s="28">
        <f t="shared" si="300"/>
        <v>0.72949515880072491</v>
      </c>
      <c r="AC902" s="28">
        <f t="shared" si="301"/>
        <v>0.10964912280701754</v>
      </c>
      <c r="AD902" s="29">
        <f t="shared" si="302"/>
        <v>847.24857685009499</v>
      </c>
      <c r="AE902" s="28">
        <f t="shared" si="303"/>
        <v>0.10964912280701754</v>
      </c>
      <c r="AF902" s="28">
        <f t="shared" si="304"/>
        <v>0.61984603599370736</v>
      </c>
      <c r="AG902" s="28">
        <f t="shared" si="305"/>
        <v>0</v>
      </c>
      <c r="AI902" s="31">
        <f t="shared" si="306"/>
        <v>4.0796556586172272</v>
      </c>
      <c r="AJ902" s="25"/>
      <c r="AK902" s="31"/>
      <c r="AM902" s="27"/>
    </row>
    <row r="903" spans="4:39" x14ac:dyDescent="0.25">
      <c r="D903" s="25">
        <f>E903*'Profit per cycles Model'!$I$113</f>
        <v>8940</v>
      </c>
      <c r="E903" s="25">
        <v>24.489795918367346</v>
      </c>
      <c r="F903" s="28">
        <f t="shared" si="287"/>
        <v>0.11185682326621924</v>
      </c>
      <c r="G903" s="28">
        <f>'Battery Pricing Model'!$C$17/D903</f>
        <v>0.11185682326621924</v>
      </c>
      <c r="H903" s="28">
        <f t="shared" si="288"/>
        <v>999</v>
      </c>
      <c r="I903" s="28"/>
      <c r="J903" s="34">
        <f>INDEX('Profit per cycles Model'!$I$149:$I$179, MATCH(TRUNC(E903, 0), 'Profit per cycles Model'!$H$149:$H$179, 0))</f>
        <v>0.72949515880072491</v>
      </c>
      <c r="K903" s="27">
        <f>AVERAGE($J$10:J1903)</f>
        <v>0.56883042089778579</v>
      </c>
      <c r="L903" s="28">
        <f t="shared" si="289"/>
        <v>0.45697359763156653</v>
      </c>
      <c r="M903" s="28">
        <f t="shared" si="290"/>
        <v>0.45697359763156653</v>
      </c>
      <c r="N903" s="28">
        <f t="shared" si="291"/>
        <v>999</v>
      </c>
      <c r="O903" s="28"/>
      <c r="P903" s="29">
        <f t="shared" si="307"/>
        <v>0.89400000000000068</v>
      </c>
      <c r="Q903" s="33">
        <f t="shared" si="292"/>
        <v>6.7114093959731544</v>
      </c>
      <c r="R903" s="33">
        <f t="shared" si="293"/>
        <v>6.7114093959731544</v>
      </c>
      <c r="S903" s="33">
        <f t="shared" si="294"/>
        <v>-1</v>
      </c>
      <c r="T903" s="27"/>
      <c r="U903" s="28">
        <f t="shared" si="295"/>
        <v>0.10964912280701754</v>
      </c>
      <c r="V903" s="25">
        <f t="shared" si="296"/>
        <v>999</v>
      </c>
      <c r="W903" s="35">
        <f t="shared" si="308"/>
        <v>25</v>
      </c>
      <c r="X903" s="33">
        <f t="shared" si="297"/>
        <v>25</v>
      </c>
      <c r="Y903" s="32">
        <f t="shared" si="298"/>
        <v>-1</v>
      </c>
      <c r="Z903" s="32"/>
      <c r="AA903" s="30">
        <f t="shared" si="299"/>
        <v>24.489795918367346</v>
      </c>
      <c r="AB903" s="28">
        <f t="shared" si="300"/>
        <v>0.72949515880072491</v>
      </c>
      <c r="AC903" s="28">
        <f t="shared" si="301"/>
        <v>0.10964912280701754</v>
      </c>
      <c r="AD903" s="29">
        <f t="shared" si="302"/>
        <v>848.19734345351037</v>
      </c>
      <c r="AE903" s="28">
        <f t="shared" si="303"/>
        <v>0.10964912280701754</v>
      </c>
      <c r="AF903" s="28">
        <f t="shared" si="304"/>
        <v>0.61984603599370736</v>
      </c>
      <c r="AG903" s="28">
        <f t="shared" si="305"/>
        <v>0</v>
      </c>
      <c r="AI903" s="31">
        <f t="shared" si="306"/>
        <v>4.0853439628262054</v>
      </c>
      <c r="AJ903" s="25"/>
      <c r="AK903" s="31"/>
      <c r="AM903" s="27"/>
    </row>
    <row r="904" spans="4:39" x14ac:dyDescent="0.25">
      <c r="D904" s="25">
        <f>E904*'Profit per cycles Model'!$I$113</f>
        <v>8950</v>
      </c>
      <c r="E904" s="25">
        <v>24.517189426106011</v>
      </c>
      <c r="F904" s="28">
        <f t="shared" si="287"/>
        <v>0.11173184357541899</v>
      </c>
      <c r="G904" s="28">
        <f>'Battery Pricing Model'!$C$17/D904</f>
        <v>0.11173184357541899</v>
      </c>
      <c r="H904" s="28">
        <f t="shared" si="288"/>
        <v>999</v>
      </c>
      <c r="I904" s="28"/>
      <c r="J904" s="34">
        <f>INDEX('Profit per cycles Model'!$I$149:$I$179, MATCH(TRUNC(E904, 0), 'Profit per cycles Model'!$H$149:$H$179, 0))</f>
        <v>0.72949515880072491</v>
      </c>
      <c r="K904" s="27">
        <f>AVERAGE($J$10:J1904)</f>
        <v>0.56883042089778579</v>
      </c>
      <c r="L904" s="28">
        <f t="shared" si="289"/>
        <v>0.45709857732236681</v>
      </c>
      <c r="M904" s="28">
        <f t="shared" si="290"/>
        <v>0.45709857732236681</v>
      </c>
      <c r="N904" s="28">
        <f t="shared" si="291"/>
        <v>999</v>
      </c>
      <c r="O904" s="28"/>
      <c r="P904" s="29">
        <f t="shared" si="307"/>
        <v>0.89500000000000068</v>
      </c>
      <c r="Q904" s="33">
        <f t="shared" si="292"/>
        <v>6.7114093959731544</v>
      </c>
      <c r="R904" s="33">
        <f t="shared" si="293"/>
        <v>6.7114093959731544</v>
      </c>
      <c r="S904" s="33">
        <f t="shared" si="294"/>
        <v>-1</v>
      </c>
      <c r="T904" s="27"/>
      <c r="U904" s="28">
        <f t="shared" si="295"/>
        <v>0.10964912280701754</v>
      </c>
      <c r="V904" s="25">
        <f t="shared" si="296"/>
        <v>999</v>
      </c>
      <c r="W904" s="35">
        <f t="shared" si="308"/>
        <v>25</v>
      </c>
      <c r="X904" s="33">
        <f t="shared" si="297"/>
        <v>25</v>
      </c>
      <c r="Y904" s="32">
        <f t="shared" si="298"/>
        <v>-1</v>
      </c>
      <c r="Z904" s="32"/>
      <c r="AA904" s="30">
        <f t="shared" si="299"/>
        <v>24.517189426106011</v>
      </c>
      <c r="AB904" s="28">
        <f t="shared" si="300"/>
        <v>0.72949515880072491</v>
      </c>
      <c r="AC904" s="28">
        <f t="shared" si="301"/>
        <v>0.10964912280701754</v>
      </c>
      <c r="AD904" s="29">
        <f t="shared" si="302"/>
        <v>849.14611005692598</v>
      </c>
      <c r="AE904" s="28">
        <f t="shared" si="303"/>
        <v>0.10964912280701754</v>
      </c>
      <c r="AF904" s="28">
        <f t="shared" si="304"/>
        <v>0.61984603599370736</v>
      </c>
      <c r="AG904" s="28">
        <f t="shared" si="305"/>
        <v>0</v>
      </c>
      <c r="AI904" s="31">
        <f t="shared" si="306"/>
        <v>4.0910322670351835</v>
      </c>
      <c r="AJ904" s="25"/>
      <c r="AK904" s="31"/>
      <c r="AM904" s="27"/>
    </row>
    <row r="905" spans="4:39" x14ac:dyDescent="0.25">
      <c r="D905" s="25">
        <f>E905*'Profit per cycles Model'!$I$113</f>
        <v>8960</v>
      </c>
      <c r="E905" s="25">
        <v>24.544582933844676</v>
      </c>
      <c r="F905" s="28">
        <f t="shared" si="287"/>
        <v>0.11160714285714286</v>
      </c>
      <c r="G905" s="28">
        <f>'Battery Pricing Model'!$C$17/D905</f>
        <v>0.11160714285714286</v>
      </c>
      <c r="H905" s="28">
        <f t="shared" si="288"/>
        <v>999</v>
      </c>
      <c r="I905" s="28"/>
      <c r="J905" s="34">
        <f>INDEX('Profit per cycles Model'!$I$149:$I$179, MATCH(TRUNC(E905, 0), 'Profit per cycles Model'!$H$149:$H$179, 0))</f>
        <v>0.72949515880072491</v>
      </c>
      <c r="K905" s="27">
        <f>AVERAGE($J$10:J1905)</f>
        <v>0.56883042089778579</v>
      </c>
      <c r="L905" s="28">
        <f t="shared" si="289"/>
        <v>0.45722327804064294</v>
      </c>
      <c r="M905" s="28">
        <f t="shared" si="290"/>
        <v>0.45722327804064294</v>
      </c>
      <c r="N905" s="28">
        <f t="shared" si="291"/>
        <v>999</v>
      </c>
      <c r="O905" s="28"/>
      <c r="P905" s="29">
        <f t="shared" si="307"/>
        <v>0.89600000000000068</v>
      </c>
      <c r="Q905" s="33">
        <f t="shared" si="292"/>
        <v>6.7114093959731544</v>
      </c>
      <c r="R905" s="33">
        <f t="shared" si="293"/>
        <v>6.7114093959731544</v>
      </c>
      <c r="S905" s="33">
        <f t="shared" si="294"/>
        <v>-1</v>
      </c>
      <c r="T905" s="27"/>
      <c r="U905" s="28">
        <f t="shared" si="295"/>
        <v>0.10964912280701754</v>
      </c>
      <c r="V905" s="25">
        <f t="shared" si="296"/>
        <v>999</v>
      </c>
      <c r="W905" s="35">
        <f t="shared" si="308"/>
        <v>25</v>
      </c>
      <c r="X905" s="33">
        <f t="shared" si="297"/>
        <v>25</v>
      </c>
      <c r="Y905" s="32">
        <f t="shared" si="298"/>
        <v>-1</v>
      </c>
      <c r="Z905" s="32"/>
      <c r="AA905" s="30">
        <f t="shared" si="299"/>
        <v>24.544582933844676</v>
      </c>
      <c r="AB905" s="28">
        <f t="shared" si="300"/>
        <v>0.72949515880072491</v>
      </c>
      <c r="AC905" s="28">
        <f t="shared" si="301"/>
        <v>0.10964912280701754</v>
      </c>
      <c r="AD905" s="29">
        <f t="shared" si="302"/>
        <v>850.09487666034147</v>
      </c>
      <c r="AE905" s="28">
        <f t="shared" si="303"/>
        <v>0.10964912280701754</v>
      </c>
      <c r="AF905" s="28">
        <f t="shared" si="304"/>
        <v>0.61984603599370736</v>
      </c>
      <c r="AG905" s="28">
        <f t="shared" si="305"/>
        <v>0</v>
      </c>
      <c r="AI905" s="31">
        <f t="shared" si="306"/>
        <v>4.0967205712441608</v>
      </c>
      <c r="AJ905" s="25"/>
      <c r="AK905" s="31"/>
      <c r="AM905" s="27"/>
    </row>
    <row r="906" spans="4:39" x14ac:dyDescent="0.25">
      <c r="D906" s="25">
        <f>E906*'Profit per cycles Model'!$I$113</f>
        <v>8970</v>
      </c>
      <c r="E906" s="25">
        <v>24.571976441583345</v>
      </c>
      <c r="F906" s="28">
        <f t="shared" ref="F906:F969" si="309">IF(OR($H$6="None", $H$6=0), G906, H906)</f>
        <v>0.11148272017837235</v>
      </c>
      <c r="G906" s="28">
        <f>'Battery Pricing Model'!$C$17/D906</f>
        <v>0.11148272017837235</v>
      </c>
      <c r="H906" s="28">
        <f t="shared" ref="H906:H969" si="310">IF(OR($H$6="None", $H$6=0), 999, $G906*(H$6))</f>
        <v>999</v>
      </c>
      <c r="I906" s="28"/>
      <c r="J906" s="34">
        <f>INDEX('Profit per cycles Model'!$I$149:$I$179, MATCH(TRUNC(E906, 0), 'Profit per cycles Model'!$H$149:$H$179, 0))</f>
        <v>0.72949515880072491</v>
      </c>
      <c r="K906" s="27">
        <f>AVERAGE($J$10:J1906)</f>
        <v>0.56883042089778579</v>
      </c>
      <c r="L906" s="28">
        <f t="shared" ref="L906:L969" si="311">IF(K906-F906&lt;0, 999, K906-F906)</f>
        <v>0.45734770071941344</v>
      </c>
      <c r="M906" s="28">
        <f t="shared" ref="M906:M969" si="312">IF(K906-F906&lt;0, 999, K906-F906)</f>
        <v>0.45734770071941344</v>
      </c>
      <c r="N906" s="28">
        <f t="shared" ref="N906:N969" si="313">IF(K906-H906&lt;0, 999, K906-H906)</f>
        <v>999</v>
      </c>
      <c r="O906" s="28"/>
      <c r="P906" s="29">
        <f t="shared" si="307"/>
        <v>0.89700000000000069</v>
      </c>
      <c r="Q906" s="33">
        <f t="shared" ref="Q906:Q969" si="314">$L$5</f>
        <v>6.7114093959731544</v>
      </c>
      <c r="R906" s="33">
        <f t="shared" ref="R906:R969" si="315">$M$5</f>
        <v>6.7114093959731544</v>
      </c>
      <c r="S906" s="33">
        <f t="shared" ref="S906:S969" si="316">$N$5</f>
        <v>-1</v>
      </c>
      <c r="T906" s="27"/>
      <c r="U906" s="28">
        <f t="shared" ref="U906:U969" si="317">IF(ISNA(INDEX($F$10:$F$1063,MATCH(W906,$E$10:$E$1063,1))),-1,INDEX($F$10:$F$1063,MATCH(W906,$E$10:$E$1063,1)))</f>
        <v>0.10964912280701754</v>
      </c>
      <c r="V906" s="25">
        <f t="shared" ref="V906:V969" si="318">IF(ISNA(INDEX($H$10:$H$1063, MATCH(X906, $E$10:$E$1063,1))),-1,  INDEX($H$10:$H$1063, MATCH(X906, $E$10:$E$1063,1)))</f>
        <v>999</v>
      </c>
      <c r="W906" s="35">
        <f t="shared" si="308"/>
        <v>25</v>
      </c>
      <c r="X906" s="33">
        <f t="shared" ref="X906:X969" si="319">IF(PaybackCustom&gt;0, IF(PaybackCustom&lt;&gt;"Default", PaybackCustom, IF(PaybackStatus&lt;&gt;"",INDEX($Y$2:$Y$6,MATCH(PaybackStatus,$X$2:$X$6,FALSE)),-1)))</f>
        <v>25</v>
      </c>
      <c r="Y906" s="32">
        <f t="shared" ref="Y906:Y969" si="320">IF(PaybackStatus&lt;&gt;"",IF(PaybackStatus=$X$4,IF(X906&lt;=$Y$4,$Y$4,-1), -1), -1)</f>
        <v>-1</v>
      </c>
      <c r="Z906" s="32"/>
      <c r="AA906" s="30">
        <f t="shared" ref="AA906:AA969" si="321">E906</f>
        <v>24.571976441583345</v>
      </c>
      <c r="AB906" s="28">
        <f t="shared" ref="AB906:AB969" si="322">J906</f>
        <v>0.72949515880072491</v>
      </c>
      <c r="AC906" s="28">
        <f t="shared" ref="AC906:AC969" si="323">U906</f>
        <v>0.10964912280701754</v>
      </c>
      <c r="AD906" s="29">
        <f t="shared" ref="AD906:AD969" si="324">$AC$2*(AA906-$AC$3)/($AC$4-$AC$3)</f>
        <v>851.04364326375719</v>
      </c>
      <c r="AE906" s="28">
        <f t="shared" ref="AE906:AE969" si="325">MIN(AC906, AB906)</f>
        <v>0.10964912280701754</v>
      </c>
      <c r="AF906" s="28">
        <f t="shared" ref="AF906:AF969" si="326">IF(AND(AA906&lt;X906, AB906&gt;AC906), AB906-AC906, 0)</f>
        <v>0.61984603599370736</v>
      </c>
      <c r="AG906" s="28">
        <f t="shared" ref="AG906:AG969" si="327">IF(AND(AA906&lt;X906, AC906&gt;AB906), AC906-AB906, 0)</f>
        <v>0</v>
      </c>
      <c r="AI906" s="31">
        <f t="shared" ref="AI906:AI969" si="328">(K906-F906)/F906</f>
        <v>4.1024088754531389</v>
      </c>
      <c r="AJ906" s="25"/>
      <c r="AK906" s="31"/>
      <c r="AM906" s="27"/>
    </row>
    <row r="907" spans="4:39" x14ac:dyDescent="0.25">
      <c r="D907" s="25">
        <f>E907*'Profit per cycles Model'!$I$113</f>
        <v>8980</v>
      </c>
      <c r="E907" s="25">
        <v>24.599369949322011</v>
      </c>
      <c r="F907" s="28">
        <f t="shared" si="309"/>
        <v>0.111358574610245</v>
      </c>
      <c r="G907" s="28">
        <f>'Battery Pricing Model'!$C$17/D907</f>
        <v>0.111358574610245</v>
      </c>
      <c r="H907" s="28">
        <f t="shared" si="310"/>
        <v>999</v>
      </c>
      <c r="I907" s="28"/>
      <c r="J907" s="34">
        <f>INDEX('Profit per cycles Model'!$I$149:$I$179, MATCH(TRUNC(E907, 0), 'Profit per cycles Model'!$H$149:$H$179, 0))</f>
        <v>0.72949515880072491</v>
      </c>
      <c r="K907" s="27">
        <f>AVERAGE($J$10:J1907)</f>
        <v>0.56883042089778579</v>
      </c>
      <c r="L907" s="28">
        <f t="shared" si="311"/>
        <v>0.45747184628754078</v>
      </c>
      <c r="M907" s="28">
        <f t="shared" si="312"/>
        <v>0.45747184628754078</v>
      </c>
      <c r="N907" s="28">
        <f t="shared" si="313"/>
        <v>999</v>
      </c>
      <c r="O907" s="28"/>
      <c r="P907" s="29">
        <f t="shared" ref="P907:P970" si="329">P906+0.001</f>
        <v>0.89800000000000069</v>
      </c>
      <c r="Q907" s="33">
        <f t="shared" si="314"/>
        <v>6.7114093959731544</v>
      </c>
      <c r="R907" s="33">
        <f t="shared" si="315"/>
        <v>6.7114093959731544</v>
      </c>
      <c r="S907" s="33">
        <f t="shared" si="316"/>
        <v>-1</v>
      </c>
      <c r="T907" s="27"/>
      <c r="U907" s="28">
        <f t="shared" si="317"/>
        <v>0.10964912280701754</v>
      </c>
      <c r="V907" s="25">
        <f t="shared" si="318"/>
        <v>999</v>
      </c>
      <c r="W907" s="35">
        <f t="shared" ref="W907:W970" si="330">IF( AND(X907&gt;0, Y907&gt;0), IF(X907&lt;Y907, X907, Y907),  IF(X907&gt;0, X907, IF(Y907&gt;0, Y907, -1)) )</f>
        <v>25</v>
      </c>
      <c r="X907" s="33">
        <f t="shared" si="319"/>
        <v>25</v>
      </c>
      <c r="Y907" s="32">
        <f t="shared" si="320"/>
        <v>-1</v>
      </c>
      <c r="Z907" s="32"/>
      <c r="AA907" s="30">
        <f t="shared" si="321"/>
        <v>24.599369949322011</v>
      </c>
      <c r="AB907" s="28">
        <f t="shared" si="322"/>
        <v>0.72949515880072491</v>
      </c>
      <c r="AC907" s="28">
        <f t="shared" si="323"/>
        <v>0.10964912280701754</v>
      </c>
      <c r="AD907" s="29">
        <f t="shared" si="324"/>
        <v>851.9924098671728</v>
      </c>
      <c r="AE907" s="28">
        <f t="shared" si="325"/>
        <v>0.10964912280701754</v>
      </c>
      <c r="AF907" s="28">
        <f t="shared" si="326"/>
        <v>0.61984603599370736</v>
      </c>
      <c r="AG907" s="28">
        <f t="shared" si="327"/>
        <v>0</v>
      </c>
      <c r="AI907" s="31">
        <f t="shared" si="328"/>
        <v>4.1080971796621162</v>
      </c>
      <c r="AJ907" s="25"/>
      <c r="AK907" s="31"/>
      <c r="AM907" s="27"/>
    </row>
    <row r="908" spans="4:39" x14ac:dyDescent="0.25">
      <c r="D908" s="25">
        <f>E908*'Profit per cycles Model'!$I$113</f>
        <v>8990</v>
      </c>
      <c r="E908" s="25">
        <v>24.626763457060676</v>
      </c>
      <c r="F908" s="28">
        <f t="shared" si="309"/>
        <v>0.11123470522803114</v>
      </c>
      <c r="G908" s="28">
        <f>'Battery Pricing Model'!$C$17/D908</f>
        <v>0.11123470522803114</v>
      </c>
      <c r="H908" s="28">
        <f t="shared" si="310"/>
        <v>999</v>
      </c>
      <c r="I908" s="28"/>
      <c r="J908" s="34">
        <f>INDEX('Profit per cycles Model'!$I$149:$I$179, MATCH(TRUNC(E908, 0), 'Profit per cycles Model'!$H$149:$H$179, 0))</f>
        <v>0.72949515880072491</v>
      </c>
      <c r="K908" s="27">
        <f>AVERAGE($J$10:J1908)</f>
        <v>0.56883042089778579</v>
      </c>
      <c r="L908" s="28">
        <f t="shared" si="311"/>
        <v>0.45759571566975465</v>
      </c>
      <c r="M908" s="28">
        <f t="shared" si="312"/>
        <v>0.45759571566975465</v>
      </c>
      <c r="N908" s="28">
        <f t="shared" si="313"/>
        <v>999</v>
      </c>
      <c r="O908" s="28"/>
      <c r="P908" s="29">
        <f t="shared" si="329"/>
        <v>0.89900000000000069</v>
      </c>
      <c r="Q908" s="33">
        <f t="shared" si="314"/>
        <v>6.7114093959731544</v>
      </c>
      <c r="R908" s="33">
        <f t="shared" si="315"/>
        <v>6.7114093959731544</v>
      </c>
      <c r="S908" s="33">
        <f t="shared" si="316"/>
        <v>-1</v>
      </c>
      <c r="T908" s="27"/>
      <c r="U908" s="28">
        <f t="shared" si="317"/>
        <v>0.10964912280701754</v>
      </c>
      <c r="V908" s="25">
        <f t="shared" si="318"/>
        <v>999</v>
      </c>
      <c r="W908" s="35">
        <f t="shared" si="330"/>
        <v>25</v>
      </c>
      <c r="X908" s="33">
        <f t="shared" si="319"/>
        <v>25</v>
      </c>
      <c r="Y908" s="32">
        <f t="shared" si="320"/>
        <v>-1</v>
      </c>
      <c r="Z908" s="32"/>
      <c r="AA908" s="30">
        <f t="shared" si="321"/>
        <v>24.626763457060676</v>
      </c>
      <c r="AB908" s="28">
        <f t="shared" si="322"/>
        <v>0.72949515880072491</v>
      </c>
      <c r="AC908" s="28">
        <f t="shared" si="323"/>
        <v>0.10964912280701754</v>
      </c>
      <c r="AD908" s="29">
        <f t="shared" si="324"/>
        <v>852.94117647058818</v>
      </c>
      <c r="AE908" s="28">
        <f t="shared" si="325"/>
        <v>0.10964912280701754</v>
      </c>
      <c r="AF908" s="28">
        <f t="shared" si="326"/>
        <v>0.61984603599370736</v>
      </c>
      <c r="AG908" s="28">
        <f t="shared" si="327"/>
        <v>0</v>
      </c>
      <c r="AI908" s="31">
        <f t="shared" si="328"/>
        <v>4.1137854838710943</v>
      </c>
      <c r="AJ908" s="25"/>
      <c r="AK908" s="31"/>
      <c r="AM908" s="27"/>
    </row>
    <row r="909" spans="4:39" x14ac:dyDescent="0.25">
      <c r="D909" s="25">
        <f>E909*'Profit per cycles Model'!$I$113</f>
        <v>9000</v>
      </c>
      <c r="E909" s="25">
        <v>24.654156964799341</v>
      </c>
      <c r="F909" s="28">
        <f t="shared" si="309"/>
        <v>0.1111111111111111</v>
      </c>
      <c r="G909" s="28">
        <f>'Battery Pricing Model'!$C$17/D909</f>
        <v>0.1111111111111111</v>
      </c>
      <c r="H909" s="28">
        <f t="shared" si="310"/>
        <v>999</v>
      </c>
      <c r="I909" s="28"/>
      <c r="J909" s="34">
        <f>INDEX('Profit per cycles Model'!$I$149:$I$179, MATCH(TRUNC(E909, 0), 'Profit per cycles Model'!$H$149:$H$179, 0))</f>
        <v>0.72949515880072491</v>
      </c>
      <c r="K909" s="27">
        <f>AVERAGE($J$10:J1909)</f>
        <v>0.56883042089778579</v>
      </c>
      <c r="L909" s="28">
        <f t="shared" si="311"/>
        <v>0.45771930978667469</v>
      </c>
      <c r="M909" s="28">
        <f t="shared" si="312"/>
        <v>0.45771930978667469</v>
      </c>
      <c r="N909" s="28">
        <f t="shared" si="313"/>
        <v>999</v>
      </c>
      <c r="O909" s="28"/>
      <c r="P909" s="29">
        <f t="shared" si="329"/>
        <v>0.90000000000000069</v>
      </c>
      <c r="Q909" s="33">
        <f t="shared" si="314"/>
        <v>6.7114093959731544</v>
      </c>
      <c r="R909" s="33">
        <f t="shared" si="315"/>
        <v>6.7114093959731544</v>
      </c>
      <c r="S909" s="33">
        <f t="shared" si="316"/>
        <v>-1</v>
      </c>
      <c r="T909" s="27"/>
      <c r="U909" s="28">
        <f t="shared" si="317"/>
        <v>0.10964912280701754</v>
      </c>
      <c r="V909" s="25">
        <f t="shared" si="318"/>
        <v>999</v>
      </c>
      <c r="W909" s="35">
        <f t="shared" si="330"/>
        <v>25</v>
      </c>
      <c r="X909" s="33">
        <f t="shared" si="319"/>
        <v>25</v>
      </c>
      <c r="Y909" s="32">
        <f t="shared" si="320"/>
        <v>-1</v>
      </c>
      <c r="Z909" s="32"/>
      <c r="AA909" s="30">
        <f t="shared" si="321"/>
        <v>24.654156964799341</v>
      </c>
      <c r="AB909" s="28">
        <f t="shared" si="322"/>
        <v>0.72949515880072491</v>
      </c>
      <c r="AC909" s="28">
        <f t="shared" si="323"/>
        <v>0.10964912280701754</v>
      </c>
      <c r="AD909" s="29">
        <f t="shared" si="324"/>
        <v>853.88994307400378</v>
      </c>
      <c r="AE909" s="28">
        <f t="shared" si="325"/>
        <v>0.10964912280701754</v>
      </c>
      <c r="AF909" s="28">
        <f t="shared" si="326"/>
        <v>0.61984603599370736</v>
      </c>
      <c r="AG909" s="28">
        <f t="shared" si="327"/>
        <v>0</v>
      </c>
      <c r="AI909" s="31">
        <f t="shared" si="328"/>
        <v>4.1194737880800725</v>
      </c>
      <c r="AJ909" s="25"/>
      <c r="AK909" s="31"/>
      <c r="AM909" s="27"/>
    </row>
    <row r="910" spans="4:39" x14ac:dyDescent="0.25">
      <c r="D910" s="25">
        <f>E910*'Profit per cycles Model'!$I$113</f>
        <v>9010</v>
      </c>
      <c r="E910" s="25">
        <v>24.681550472538007</v>
      </c>
      <c r="F910" s="28">
        <f t="shared" si="309"/>
        <v>0.11098779134295228</v>
      </c>
      <c r="G910" s="28">
        <f>'Battery Pricing Model'!$C$17/D910</f>
        <v>0.11098779134295228</v>
      </c>
      <c r="H910" s="28">
        <f t="shared" si="310"/>
        <v>999</v>
      </c>
      <c r="I910" s="28"/>
      <c r="J910" s="34">
        <f>INDEX('Profit per cycles Model'!$I$149:$I$179, MATCH(TRUNC(E910, 0), 'Profit per cycles Model'!$H$149:$H$179, 0))</f>
        <v>0.72949515880072491</v>
      </c>
      <c r="K910" s="27">
        <f>AVERAGE($J$10:J1910)</f>
        <v>0.56883042089778579</v>
      </c>
      <c r="L910" s="28">
        <f t="shared" si="311"/>
        <v>0.45784262955483351</v>
      </c>
      <c r="M910" s="28">
        <f t="shared" si="312"/>
        <v>0.45784262955483351</v>
      </c>
      <c r="N910" s="28">
        <f t="shared" si="313"/>
        <v>999</v>
      </c>
      <c r="O910" s="28"/>
      <c r="P910" s="29">
        <f t="shared" si="329"/>
        <v>0.90100000000000069</v>
      </c>
      <c r="Q910" s="33">
        <f t="shared" si="314"/>
        <v>6.7114093959731544</v>
      </c>
      <c r="R910" s="33">
        <f t="shared" si="315"/>
        <v>6.7114093959731544</v>
      </c>
      <c r="S910" s="33">
        <f t="shared" si="316"/>
        <v>-1</v>
      </c>
      <c r="T910" s="27"/>
      <c r="U910" s="28">
        <f t="shared" si="317"/>
        <v>0.10964912280701754</v>
      </c>
      <c r="V910" s="25">
        <f t="shared" si="318"/>
        <v>999</v>
      </c>
      <c r="W910" s="35">
        <f t="shared" si="330"/>
        <v>25</v>
      </c>
      <c r="X910" s="33">
        <f t="shared" si="319"/>
        <v>25</v>
      </c>
      <c r="Y910" s="32">
        <f t="shared" si="320"/>
        <v>-1</v>
      </c>
      <c r="Z910" s="32"/>
      <c r="AA910" s="30">
        <f t="shared" si="321"/>
        <v>24.681550472538007</v>
      </c>
      <c r="AB910" s="28">
        <f t="shared" si="322"/>
        <v>0.72949515880072491</v>
      </c>
      <c r="AC910" s="28">
        <f t="shared" si="323"/>
        <v>0.10964912280701754</v>
      </c>
      <c r="AD910" s="29">
        <f t="shared" si="324"/>
        <v>854.83870967741927</v>
      </c>
      <c r="AE910" s="28">
        <f t="shared" si="325"/>
        <v>0.10964912280701754</v>
      </c>
      <c r="AF910" s="28">
        <f t="shared" si="326"/>
        <v>0.61984603599370736</v>
      </c>
      <c r="AG910" s="28">
        <f t="shared" si="327"/>
        <v>0</v>
      </c>
      <c r="AI910" s="31">
        <f t="shared" si="328"/>
        <v>4.1251620922890497</v>
      </c>
      <c r="AJ910" s="25"/>
      <c r="AK910" s="31"/>
      <c r="AM910" s="27"/>
    </row>
    <row r="911" spans="4:39" x14ac:dyDescent="0.25">
      <c r="D911" s="25">
        <f>E911*'Profit per cycles Model'!$I$113</f>
        <v>9020</v>
      </c>
      <c r="E911" s="25">
        <v>24.708943980276672</v>
      </c>
      <c r="F911" s="28">
        <f t="shared" si="309"/>
        <v>0.11086474501108648</v>
      </c>
      <c r="G911" s="28">
        <f>'Battery Pricing Model'!$C$17/D911</f>
        <v>0.11086474501108648</v>
      </c>
      <c r="H911" s="28">
        <f t="shared" si="310"/>
        <v>999</v>
      </c>
      <c r="I911" s="28"/>
      <c r="J911" s="34">
        <f>INDEX('Profit per cycles Model'!$I$149:$I$179, MATCH(TRUNC(E911, 0), 'Profit per cycles Model'!$H$149:$H$179, 0))</f>
        <v>0.72949515880072491</v>
      </c>
      <c r="K911" s="27">
        <f>AVERAGE($J$10:J1911)</f>
        <v>0.56883042089778579</v>
      </c>
      <c r="L911" s="28">
        <f t="shared" si="311"/>
        <v>0.45796567588669934</v>
      </c>
      <c r="M911" s="28">
        <f t="shared" si="312"/>
        <v>0.45796567588669934</v>
      </c>
      <c r="N911" s="28">
        <f t="shared" si="313"/>
        <v>999</v>
      </c>
      <c r="O911" s="28"/>
      <c r="P911" s="29">
        <f t="shared" si="329"/>
        <v>0.90200000000000069</v>
      </c>
      <c r="Q911" s="33">
        <f t="shared" si="314"/>
        <v>6.7114093959731544</v>
      </c>
      <c r="R911" s="33">
        <f t="shared" si="315"/>
        <v>6.7114093959731544</v>
      </c>
      <c r="S911" s="33">
        <f t="shared" si="316"/>
        <v>-1</v>
      </c>
      <c r="T911" s="27"/>
      <c r="U911" s="28">
        <f t="shared" si="317"/>
        <v>0.10964912280701754</v>
      </c>
      <c r="V911" s="25">
        <f t="shared" si="318"/>
        <v>999</v>
      </c>
      <c r="W911" s="35">
        <f t="shared" si="330"/>
        <v>25</v>
      </c>
      <c r="X911" s="33">
        <f t="shared" si="319"/>
        <v>25</v>
      </c>
      <c r="Y911" s="32">
        <f t="shared" si="320"/>
        <v>-1</v>
      </c>
      <c r="Z911" s="32"/>
      <c r="AA911" s="30">
        <f t="shared" si="321"/>
        <v>24.708943980276672</v>
      </c>
      <c r="AB911" s="28">
        <f t="shared" si="322"/>
        <v>0.72949515880072491</v>
      </c>
      <c r="AC911" s="28">
        <f t="shared" si="323"/>
        <v>0.10964912280701754</v>
      </c>
      <c r="AD911" s="29">
        <f t="shared" si="324"/>
        <v>855.78747628083488</v>
      </c>
      <c r="AE911" s="28">
        <f t="shared" si="325"/>
        <v>0.10964912280701754</v>
      </c>
      <c r="AF911" s="28">
        <f t="shared" si="326"/>
        <v>0.61984603599370736</v>
      </c>
      <c r="AG911" s="28">
        <f t="shared" si="327"/>
        <v>0</v>
      </c>
      <c r="AI911" s="31">
        <f t="shared" si="328"/>
        <v>4.1308503964980279</v>
      </c>
      <c r="AJ911" s="25"/>
      <c r="AK911" s="31"/>
      <c r="AM911" s="27"/>
    </row>
    <row r="912" spans="4:39" x14ac:dyDescent="0.25">
      <c r="D912" s="25">
        <f>E912*'Profit per cycles Model'!$I$113</f>
        <v>9030</v>
      </c>
      <c r="E912" s="25">
        <v>24.736337488015341</v>
      </c>
      <c r="F912" s="28">
        <f t="shared" si="309"/>
        <v>0.11074197120708748</v>
      </c>
      <c r="G912" s="28">
        <f>'Battery Pricing Model'!$C$17/D912</f>
        <v>0.11074197120708748</v>
      </c>
      <c r="H912" s="28">
        <f t="shared" si="310"/>
        <v>999</v>
      </c>
      <c r="I912" s="28"/>
      <c r="J912" s="34">
        <f>INDEX('Profit per cycles Model'!$I$149:$I$179, MATCH(TRUNC(E912, 0), 'Profit per cycles Model'!$H$149:$H$179, 0))</f>
        <v>0.72949515880072491</v>
      </c>
      <c r="K912" s="27">
        <f>AVERAGE($J$10:J1912)</f>
        <v>0.56883042089778579</v>
      </c>
      <c r="L912" s="28">
        <f t="shared" si="311"/>
        <v>0.45808844969069829</v>
      </c>
      <c r="M912" s="28">
        <f t="shared" si="312"/>
        <v>0.45808844969069829</v>
      </c>
      <c r="N912" s="28">
        <f t="shared" si="313"/>
        <v>999</v>
      </c>
      <c r="O912" s="28"/>
      <c r="P912" s="29">
        <f t="shared" si="329"/>
        <v>0.90300000000000069</v>
      </c>
      <c r="Q912" s="33">
        <f t="shared" si="314"/>
        <v>6.7114093959731544</v>
      </c>
      <c r="R912" s="33">
        <f t="shared" si="315"/>
        <v>6.7114093959731544</v>
      </c>
      <c r="S912" s="33">
        <f t="shared" si="316"/>
        <v>-1</v>
      </c>
      <c r="T912" s="27"/>
      <c r="U912" s="28">
        <f t="shared" si="317"/>
        <v>0.10964912280701754</v>
      </c>
      <c r="V912" s="25">
        <f t="shared" si="318"/>
        <v>999</v>
      </c>
      <c r="W912" s="35">
        <f t="shared" si="330"/>
        <v>25</v>
      </c>
      <c r="X912" s="33">
        <f t="shared" si="319"/>
        <v>25</v>
      </c>
      <c r="Y912" s="32">
        <f t="shared" si="320"/>
        <v>-1</v>
      </c>
      <c r="Z912" s="32"/>
      <c r="AA912" s="30">
        <f t="shared" si="321"/>
        <v>24.736337488015341</v>
      </c>
      <c r="AB912" s="28">
        <f t="shared" si="322"/>
        <v>0.72949515880072491</v>
      </c>
      <c r="AC912" s="28">
        <f t="shared" si="323"/>
        <v>0.10964912280701754</v>
      </c>
      <c r="AD912" s="29">
        <f t="shared" si="324"/>
        <v>856.7362428842506</v>
      </c>
      <c r="AE912" s="28">
        <f t="shared" si="325"/>
        <v>0.10964912280701754</v>
      </c>
      <c r="AF912" s="28">
        <f t="shared" si="326"/>
        <v>0.61984603599370736</v>
      </c>
      <c r="AG912" s="28">
        <f t="shared" si="327"/>
        <v>0</v>
      </c>
      <c r="AI912" s="31">
        <f t="shared" si="328"/>
        <v>4.136538700707006</v>
      </c>
      <c r="AJ912" s="25"/>
      <c r="AK912" s="31"/>
      <c r="AM912" s="27"/>
    </row>
    <row r="913" spans="4:39" x14ac:dyDescent="0.25">
      <c r="D913" s="25">
        <f>E913*'Profit per cycles Model'!$I$113</f>
        <v>9040</v>
      </c>
      <c r="E913" s="25">
        <v>24.763730995754006</v>
      </c>
      <c r="F913" s="28">
        <f t="shared" si="309"/>
        <v>0.11061946902654868</v>
      </c>
      <c r="G913" s="28">
        <f>'Battery Pricing Model'!$C$17/D913</f>
        <v>0.11061946902654868</v>
      </c>
      <c r="H913" s="28">
        <f t="shared" si="310"/>
        <v>999</v>
      </c>
      <c r="I913" s="28"/>
      <c r="J913" s="34">
        <f>INDEX('Profit per cycles Model'!$I$149:$I$179, MATCH(TRUNC(E913, 0), 'Profit per cycles Model'!$H$149:$H$179, 0))</f>
        <v>0.72949515880072491</v>
      </c>
      <c r="K913" s="27">
        <f>AVERAGE($J$10:J1913)</f>
        <v>0.56883042089778579</v>
      </c>
      <c r="L913" s="28">
        <f t="shared" si="311"/>
        <v>0.45821095187123712</v>
      </c>
      <c r="M913" s="28">
        <f t="shared" si="312"/>
        <v>0.45821095187123712</v>
      </c>
      <c r="N913" s="28">
        <f t="shared" si="313"/>
        <v>999</v>
      </c>
      <c r="O913" s="28"/>
      <c r="P913" s="29">
        <f t="shared" si="329"/>
        <v>0.90400000000000069</v>
      </c>
      <c r="Q913" s="33">
        <f t="shared" si="314"/>
        <v>6.7114093959731544</v>
      </c>
      <c r="R913" s="33">
        <f t="shared" si="315"/>
        <v>6.7114093959731544</v>
      </c>
      <c r="S913" s="33">
        <f t="shared" si="316"/>
        <v>-1</v>
      </c>
      <c r="T913" s="27"/>
      <c r="U913" s="28">
        <f t="shared" si="317"/>
        <v>0.10964912280701754</v>
      </c>
      <c r="V913" s="25">
        <f t="shared" si="318"/>
        <v>999</v>
      </c>
      <c r="W913" s="35">
        <f t="shared" si="330"/>
        <v>25</v>
      </c>
      <c r="X913" s="33">
        <f t="shared" si="319"/>
        <v>25</v>
      </c>
      <c r="Y913" s="32">
        <f t="shared" si="320"/>
        <v>-1</v>
      </c>
      <c r="Z913" s="32"/>
      <c r="AA913" s="30">
        <f t="shared" si="321"/>
        <v>24.763730995754006</v>
      </c>
      <c r="AB913" s="28">
        <f t="shared" si="322"/>
        <v>0.72949515880072491</v>
      </c>
      <c r="AC913" s="28">
        <f t="shared" si="323"/>
        <v>0.10964912280701754</v>
      </c>
      <c r="AD913" s="29">
        <f t="shared" si="324"/>
        <v>857.68500948766609</v>
      </c>
      <c r="AE913" s="28">
        <f t="shared" si="325"/>
        <v>0.10964912280701754</v>
      </c>
      <c r="AF913" s="28">
        <f t="shared" si="326"/>
        <v>0.61984603599370736</v>
      </c>
      <c r="AG913" s="28">
        <f t="shared" si="327"/>
        <v>0</v>
      </c>
      <c r="AI913" s="31">
        <f t="shared" si="328"/>
        <v>4.1422270049159833</v>
      </c>
      <c r="AJ913" s="25"/>
      <c r="AK913" s="31"/>
      <c r="AM913" s="27"/>
    </row>
    <row r="914" spans="4:39" x14ac:dyDescent="0.25">
      <c r="D914" s="25">
        <f>E914*'Profit per cycles Model'!$I$113</f>
        <v>9050</v>
      </c>
      <c r="E914" s="25">
        <v>24.791124503492671</v>
      </c>
      <c r="F914" s="28">
        <f t="shared" si="309"/>
        <v>0.11049723756906077</v>
      </c>
      <c r="G914" s="28">
        <f>'Battery Pricing Model'!$C$17/D914</f>
        <v>0.11049723756906077</v>
      </c>
      <c r="H914" s="28">
        <f t="shared" si="310"/>
        <v>999</v>
      </c>
      <c r="I914" s="28"/>
      <c r="J914" s="34">
        <f>INDEX('Profit per cycles Model'!$I$149:$I$179, MATCH(TRUNC(E914, 0), 'Profit per cycles Model'!$H$149:$H$179, 0))</f>
        <v>0.72949515880072491</v>
      </c>
      <c r="K914" s="27">
        <f>AVERAGE($J$10:J1914)</f>
        <v>0.56883042089778579</v>
      </c>
      <c r="L914" s="28">
        <f t="shared" si="311"/>
        <v>0.45833318332872502</v>
      </c>
      <c r="M914" s="28">
        <f t="shared" si="312"/>
        <v>0.45833318332872502</v>
      </c>
      <c r="N914" s="28">
        <f t="shared" si="313"/>
        <v>999</v>
      </c>
      <c r="O914" s="28"/>
      <c r="P914" s="29">
        <f t="shared" si="329"/>
        <v>0.90500000000000069</v>
      </c>
      <c r="Q914" s="33">
        <f t="shared" si="314"/>
        <v>6.7114093959731544</v>
      </c>
      <c r="R914" s="33">
        <f t="shared" si="315"/>
        <v>6.7114093959731544</v>
      </c>
      <c r="S914" s="33">
        <f t="shared" si="316"/>
        <v>-1</v>
      </c>
      <c r="T914" s="27"/>
      <c r="U914" s="28">
        <f t="shared" si="317"/>
        <v>0.10964912280701754</v>
      </c>
      <c r="V914" s="25">
        <f t="shared" si="318"/>
        <v>999</v>
      </c>
      <c r="W914" s="35">
        <f t="shared" si="330"/>
        <v>25</v>
      </c>
      <c r="X914" s="33">
        <f t="shared" si="319"/>
        <v>25</v>
      </c>
      <c r="Y914" s="32">
        <f t="shared" si="320"/>
        <v>-1</v>
      </c>
      <c r="Z914" s="32"/>
      <c r="AA914" s="30">
        <f t="shared" si="321"/>
        <v>24.791124503492671</v>
      </c>
      <c r="AB914" s="28">
        <f t="shared" si="322"/>
        <v>0.72949515880072491</v>
      </c>
      <c r="AC914" s="28">
        <f t="shared" si="323"/>
        <v>0.10964912280701754</v>
      </c>
      <c r="AD914" s="29">
        <f t="shared" si="324"/>
        <v>858.6337760910817</v>
      </c>
      <c r="AE914" s="28">
        <f t="shared" si="325"/>
        <v>0.10964912280701754</v>
      </c>
      <c r="AF914" s="28">
        <f t="shared" si="326"/>
        <v>0.61984603599370736</v>
      </c>
      <c r="AG914" s="28">
        <f t="shared" si="327"/>
        <v>0</v>
      </c>
      <c r="AI914" s="31">
        <f t="shared" si="328"/>
        <v>4.1479153091249614</v>
      </c>
      <c r="AJ914" s="25"/>
      <c r="AK914" s="31"/>
      <c r="AM914" s="27"/>
    </row>
    <row r="915" spans="4:39" x14ac:dyDescent="0.25">
      <c r="D915" s="25">
        <f>E915*'Profit per cycles Model'!$I$113</f>
        <v>9060</v>
      </c>
      <c r="E915" s="25">
        <v>24.818518011231337</v>
      </c>
      <c r="F915" s="28">
        <f t="shared" si="309"/>
        <v>0.11037527593818984</v>
      </c>
      <c r="G915" s="28">
        <f>'Battery Pricing Model'!$C$17/D915</f>
        <v>0.11037527593818984</v>
      </c>
      <c r="H915" s="28">
        <f t="shared" si="310"/>
        <v>999</v>
      </c>
      <c r="I915" s="28"/>
      <c r="J915" s="34">
        <f>INDEX('Profit per cycles Model'!$I$149:$I$179, MATCH(TRUNC(E915, 0), 'Profit per cycles Model'!$H$149:$H$179, 0))</f>
        <v>0.72949515880072491</v>
      </c>
      <c r="K915" s="27">
        <f>AVERAGE($J$10:J1915)</f>
        <v>0.56883042089778579</v>
      </c>
      <c r="L915" s="28">
        <f t="shared" si="311"/>
        <v>0.45845514495959594</v>
      </c>
      <c r="M915" s="28">
        <f t="shared" si="312"/>
        <v>0.45845514495959594</v>
      </c>
      <c r="N915" s="28">
        <f t="shared" si="313"/>
        <v>999</v>
      </c>
      <c r="O915" s="28"/>
      <c r="P915" s="29">
        <f t="shared" si="329"/>
        <v>0.90600000000000069</v>
      </c>
      <c r="Q915" s="33">
        <f t="shared" si="314"/>
        <v>6.7114093959731544</v>
      </c>
      <c r="R915" s="33">
        <f t="shared" si="315"/>
        <v>6.7114093959731544</v>
      </c>
      <c r="S915" s="33">
        <f t="shared" si="316"/>
        <v>-1</v>
      </c>
      <c r="T915" s="27"/>
      <c r="U915" s="28">
        <f t="shared" si="317"/>
        <v>0.10964912280701754</v>
      </c>
      <c r="V915" s="25">
        <f t="shared" si="318"/>
        <v>999</v>
      </c>
      <c r="W915" s="35">
        <f t="shared" si="330"/>
        <v>25</v>
      </c>
      <c r="X915" s="33">
        <f t="shared" si="319"/>
        <v>25</v>
      </c>
      <c r="Y915" s="32">
        <f t="shared" si="320"/>
        <v>-1</v>
      </c>
      <c r="Z915" s="32"/>
      <c r="AA915" s="30">
        <f t="shared" si="321"/>
        <v>24.818518011231337</v>
      </c>
      <c r="AB915" s="28">
        <f t="shared" si="322"/>
        <v>0.72949515880072491</v>
      </c>
      <c r="AC915" s="28">
        <f t="shared" si="323"/>
        <v>0.10964912280701754</v>
      </c>
      <c r="AD915" s="29">
        <f t="shared" si="324"/>
        <v>859.58254269449708</v>
      </c>
      <c r="AE915" s="28">
        <f t="shared" si="325"/>
        <v>0.10964912280701754</v>
      </c>
      <c r="AF915" s="28">
        <f t="shared" si="326"/>
        <v>0.61984603599370736</v>
      </c>
      <c r="AG915" s="28">
        <f t="shared" si="327"/>
        <v>0</v>
      </c>
      <c r="AI915" s="31">
        <f t="shared" si="328"/>
        <v>4.1536036133339396</v>
      </c>
      <c r="AJ915" s="25"/>
      <c r="AK915" s="31"/>
      <c r="AM915" s="27"/>
    </row>
    <row r="916" spans="4:39" x14ac:dyDescent="0.25">
      <c r="D916" s="25">
        <f>E916*'Profit per cycles Model'!$I$113</f>
        <v>9070</v>
      </c>
      <c r="E916" s="25">
        <v>24.845911518970002</v>
      </c>
      <c r="F916" s="28">
        <f t="shared" si="309"/>
        <v>0.11025358324145534</v>
      </c>
      <c r="G916" s="28">
        <f>'Battery Pricing Model'!$C$17/D916</f>
        <v>0.11025358324145534</v>
      </c>
      <c r="H916" s="28">
        <f t="shared" si="310"/>
        <v>999</v>
      </c>
      <c r="I916" s="28"/>
      <c r="J916" s="34">
        <f>INDEX('Profit per cycles Model'!$I$149:$I$179, MATCH(TRUNC(E916, 0), 'Profit per cycles Model'!$H$149:$H$179, 0))</f>
        <v>0.72949515880072491</v>
      </c>
      <c r="K916" s="27">
        <f>AVERAGE($J$10:J1916)</f>
        <v>0.56883042089778579</v>
      </c>
      <c r="L916" s="28">
        <f t="shared" si="311"/>
        <v>0.45857683765633045</v>
      </c>
      <c r="M916" s="28">
        <f t="shared" si="312"/>
        <v>0.45857683765633045</v>
      </c>
      <c r="N916" s="28">
        <f t="shared" si="313"/>
        <v>999</v>
      </c>
      <c r="O916" s="28"/>
      <c r="P916" s="29">
        <f t="shared" si="329"/>
        <v>0.90700000000000069</v>
      </c>
      <c r="Q916" s="33">
        <f t="shared" si="314"/>
        <v>6.7114093959731544</v>
      </c>
      <c r="R916" s="33">
        <f t="shared" si="315"/>
        <v>6.7114093959731544</v>
      </c>
      <c r="S916" s="33">
        <f t="shared" si="316"/>
        <v>-1</v>
      </c>
      <c r="T916" s="27"/>
      <c r="U916" s="28">
        <f t="shared" si="317"/>
        <v>0.10964912280701754</v>
      </c>
      <c r="V916" s="25">
        <f t="shared" si="318"/>
        <v>999</v>
      </c>
      <c r="W916" s="35">
        <f t="shared" si="330"/>
        <v>25</v>
      </c>
      <c r="X916" s="33">
        <f t="shared" si="319"/>
        <v>25</v>
      </c>
      <c r="Y916" s="32">
        <f t="shared" si="320"/>
        <v>-1</v>
      </c>
      <c r="Z916" s="32"/>
      <c r="AA916" s="30">
        <f t="shared" si="321"/>
        <v>24.845911518970002</v>
      </c>
      <c r="AB916" s="28">
        <f t="shared" si="322"/>
        <v>0.72949515880072491</v>
      </c>
      <c r="AC916" s="28">
        <f t="shared" si="323"/>
        <v>0.10964912280701754</v>
      </c>
      <c r="AD916" s="29">
        <f t="shared" si="324"/>
        <v>860.53130929791268</v>
      </c>
      <c r="AE916" s="28">
        <f t="shared" si="325"/>
        <v>0.10964912280701754</v>
      </c>
      <c r="AF916" s="28">
        <f t="shared" si="326"/>
        <v>0.61984603599370736</v>
      </c>
      <c r="AG916" s="28">
        <f t="shared" si="327"/>
        <v>0</v>
      </c>
      <c r="AI916" s="31">
        <f t="shared" si="328"/>
        <v>4.1592919175429177</v>
      </c>
      <c r="AJ916" s="25"/>
      <c r="AK916" s="31"/>
      <c r="AM916" s="27"/>
    </row>
    <row r="917" spans="4:39" x14ac:dyDescent="0.25">
      <c r="D917" s="25">
        <f>E917*'Profit per cycles Model'!$I$113</f>
        <v>9080</v>
      </c>
      <c r="E917" s="25">
        <v>24.873305026708667</v>
      </c>
      <c r="F917" s="28">
        <f t="shared" si="309"/>
        <v>0.11013215859030837</v>
      </c>
      <c r="G917" s="28">
        <f>'Battery Pricing Model'!$C$17/D917</f>
        <v>0.11013215859030837</v>
      </c>
      <c r="H917" s="28">
        <f t="shared" si="310"/>
        <v>999</v>
      </c>
      <c r="I917" s="28"/>
      <c r="J917" s="34">
        <f>INDEX('Profit per cycles Model'!$I$149:$I$179, MATCH(TRUNC(E917, 0), 'Profit per cycles Model'!$H$149:$H$179, 0))</f>
        <v>0.72949515880072491</v>
      </c>
      <c r="K917" s="27">
        <f>AVERAGE($J$10:J1917)</f>
        <v>0.56883042089778579</v>
      </c>
      <c r="L917" s="28">
        <f t="shared" si="311"/>
        <v>0.45869826230747746</v>
      </c>
      <c r="M917" s="28">
        <f t="shared" si="312"/>
        <v>0.45869826230747746</v>
      </c>
      <c r="N917" s="28">
        <f t="shared" si="313"/>
        <v>999</v>
      </c>
      <c r="O917" s="28"/>
      <c r="P917" s="29">
        <f t="shared" si="329"/>
        <v>0.9080000000000007</v>
      </c>
      <c r="Q917" s="33">
        <f t="shared" si="314"/>
        <v>6.7114093959731544</v>
      </c>
      <c r="R917" s="33">
        <f t="shared" si="315"/>
        <v>6.7114093959731544</v>
      </c>
      <c r="S917" s="33">
        <f t="shared" si="316"/>
        <v>-1</v>
      </c>
      <c r="T917" s="27"/>
      <c r="U917" s="28">
        <f t="shared" si="317"/>
        <v>0.10964912280701754</v>
      </c>
      <c r="V917" s="25">
        <f t="shared" si="318"/>
        <v>999</v>
      </c>
      <c r="W917" s="35">
        <f t="shared" si="330"/>
        <v>25</v>
      </c>
      <c r="X917" s="33">
        <f t="shared" si="319"/>
        <v>25</v>
      </c>
      <c r="Y917" s="32">
        <f t="shared" si="320"/>
        <v>-1</v>
      </c>
      <c r="Z917" s="32"/>
      <c r="AA917" s="30">
        <f t="shared" si="321"/>
        <v>24.873305026708667</v>
      </c>
      <c r="AB917" s="28">
        <f t="shared" si="322"/>
        <v>0.72949515880072491</v>
      </c>
      <c r="AC917" s="28">
        <f t="shared" si="323"/>
        <v>0.10964912280701754</v>
      </c>
      <c r="AD917" s="29">
        <f t="shared" si="324"/>
        <v>861.48007590132829</v>
      </c>
      <c r="AE917" s="28">
        <f t="shared" si="325"/>
        <v>0.10964912280701754</v>
      </c>
      <c r="AF917" s="28">
        <f t="shared" si="326"/>
        <v>0.61984603599370736</v>
      </c>
      <c r="AG917" s="28">
        <f t="shared" si="327"/>
        <v>0</v>
      </c>
      <c r="AI917" s="31">
        <f t="shared" si="328"/>
        <v>4.1649802217518959</v>
      </c>
      <c r="AJ917" s="25"/>
      <c r="AK917" s="31"/>
      <c r="AM917" s="27"/>
    </row>
    <row r="918" spans="4:39" x14ac:dyDescent="0.25">
      <c r="D918" s="25">
        <f>E918*'Profit per cycles Model'!$I$113</f>
        <v>9090</v>
      </c>
      <c r="E918" s="25">
        <v>24.900698534447336</v>
      </c>
      <c r="F918" s="28">
        <f t="shared" si="309"/>
        <v>0.11001100110011001</v>
      </c>
      <c r="G918" s="28">
        <f>'Battery Pricing Model'!$C$17/D918</f>
        <v>0.11001100110011001</v>
      </c>
      <c r="H918" s="28">
        <f t="shared" si="310"/>
        <v>999</v>
      </c>
      <c r="I918" s="28"/>
      <c r="J918" s="34">
        <f>INDEX('Profit per cycles Model'!$I$149:$I$179, MATCH(TRUNC(E918, 0), 'Profit per cycles Model'!$H$149:$H$179, 0))</f>
        <v>0.72949515880072491</v>
      </c>
      <c r="K918" s="27">
        <f>AVERAGE($J$10:J1918)</f>
        <v>0.56883042089778579</v>
      </c>
      <c r="L918" s="28">
        <f t="shared" si="311"/>
        <v>0.45881941979767576</v>
      </c>
      <c r="M918" s="28">
        <f t="shared" si="312"/>
        <v>0.45881941979767576</v>
      </c>
      <c r="N918" s="28">
        <f t="shared" si="313"/>
        <v>999</v>
      </c>
      <c r="O918" s="28"/>
      <c r="P918" s="29">
        <f t="shared" si="329"/>
        <v>0.9090000000000007</v>
      </c>
      <c r="Q918" s="33">
        <f t="shared" si="314"/>
        <v>6.7114093959731544</v>
      </c>
      <c r="R918" s="33">
        <f t="shared" si="315"/>
        <v>6.7114093959731544</v>
      </c>
      <c r="S918" s="33">
        <f t="shared" si="316"/>
        <v>-1</v>
      </c>
      <c r="T918" s="27"/>
      <c r="U918" s="28">
        <f t="shared" si="317"/>
        <v>0.10964912280701754</v>
      </c>
      <c r="V918" s="25">
        <f t="shared" si="318"/>
        <v>999</v>
      </c>
      <c r="W918" s="35">
        <f t="shared" si="330"/>
        <v>25</v>
      </c>
      <c r="X918" s="33">
        <f t="shared" si="319"/>
        <v>25</v>
      </c>
      <c r="Y918" s="32">
        <f t="shared" si="320"/>
        <v>-1</v>
      </c>
      <c r="Z918" s="32"/>
      <c r="AA918" s="30">
        <f t="shared" si="321"/>
        <v>24.900698534447336</v>
      </c>
      <c r="AB918" s="28">
        <f t="shared" si="322"/>
        <v>0.72949515880072491</v>
      </c>
      <c r="AC918" s="28">
        <f t="shared" si="323"/>
        <v>0.10964912280701754</v>
      </c>
      <c r="AD918" s="29">
        <f t="shared" si="324"/>
        <v>862.4288425047439</v>
      </c>
      <c r="AE918" s="28">
        <f t="shared" si="325"/>
        <v>0.10964912280701754</v>
      </c>
      <c r="AF918" s="28">
        <f t="shared" si="326"/>
        <v>0.61984603599370736</v>
      </c>
      <c r="AG918" s="28">
        <f t="shared" si="327"/>
        <v>0</v>
      </c>
      <c r="AI918" s="31">
        <f t="shared" si="328"/>
        <v>4.1706685259608722</v>
      </c>
      <c r="AJ918" s="25"/>
      <c r="AK918" s="31"/>
      <c r="AM918" s="27"/>
    </row>
    <row r="919" spans="4:39" x14ac:dyDescent="0.25">
      <c r="D919" s="25">
        <f>E919*'Profit per cycles Model'!$I$113</f>
        <v>9100</v>
      </c>
      <c r="E919" s="25">
        <v>24.928092042186002</v>
      </c>
      <c r="F919" s="28">
        <f t="shared" si="309"/>
        <v>0.10989010989010989</v>
      </c>
      <c r="G919" s="28">
        <f>'Battery Pricing Model'!$C$17/D919</f>
        <v>0.10989010989010989</v>
      </c>
      <c r="H919" s="28">
        <f t="shared" si="310"/>
        <v>999</v>
      </c>
      <c r="I919" s="28"/>
      <c r="J919" s="34">
        <f>INDEX('Profit per cycles Model'!$I$149:$I$179, MATCH(TRUNC(E919, 0), 'Profit per cycles Model'!$H$149:$H$179, 0))</f>
        <v>0.72949515880072491</v>
      </c>
      <c r="K919" s="27">
        <f>AVERAGE($J$10:J1919)</f>
        <v>0.56883042089778579</v>
      </c>
      <c r="L919" s="28">
        <f t="shared" si="311"/>
        <v>0.45894031100767591</v>
      </c>
      <c r="M919" s="28">
        <f t="shared" si="312"/>
        <v>0.45894031100767591</v>
      </c>
      <c r="N919" s="28">
        <f t="shared" si="313"/>
        <v>999</v>
      </c>
      <c r="O919" s="28"/>
      <c r="P919" s="29">
        <f t="shared" si="329"/>
        <v>0.9100000000000007</v>
      </c>
      <c r="Q919" s="33">
        <f t="shared" si="314"/>
        <v>6.7114093959731544</v>
      </c>
      <c r="R919" s="33">
        <f t="shared" si="315"/>
        <v>6.7114093959731544</v>
      </c>
      <c r="S919" s="33">
        <f t="shared" si="316"/>
        <v>-1</v>
      </c>
      <c r="T919" s="27"/>
      <c r="U919" s="28">
        <f t="shared" si="317"/>
        <v>0.10964912280701754</v>
      </c>
      <c r="V919" s="25">
        <f t="shared" si="318"/>
        <v>999</v>
      </c>
      <c r="W919" s="35">
        <f t="shared" si="330"/>
        <v>25</v>
      </c>
      <c r="X919" s="33">
        <f t="shared" si="319"/>
        <v>25</v>
      </c>
      <c r="Y919" s="32">
        <f t="shared" si="320"/>
        <v>-1</v>
      </c>
      <c r="Z919" s="32"/>
      <c r="AA919" s="30">
        <f t="shared" si="321"/>
        <v>24.928092042186002</v>
      </c>
      <c r="AB919" s="28">
        <f t="shared" si="322"/>
        <v>0.72949515880072491</v>
      </c>
      <c r="AC919" s="28">
        <f t="shared" si="323"/>
        <v>0.10964912280701754</v>
      </c>
      <c r="AD919" s="29">
        <f t="shared" si="324"/>
        <v>863.3776091081595</v>
      </c>
      <c r="AE919" s="28">
        <f t="shared" si="325"/>
        <v>0.10964912280701754</v>
      </c>
      <c r="AF919" s="28">
        <f t="shared" si="326"/>
        <v>0.61984603599370736</v>
      </c>
      <c r="AG919" s="28">
        <f t="shared" si="327"/>
        <v>0</v>
      </c>
      <c r="AI919" s="31">
        <f t="shared" si="328"/>
        <v>4.1763568301698504</v>
      </c>
      <c r="AJ919" s="25"/>
      <c r="AK919" s="31"/>
      <c r="AM919" s="27"/>
    </row>
    <row r="920" spans="4:39" x14ac:dyDescent="0.25">
      <c r="D920" s="25">
        <f>E920*'Profit per cycles Model'!$I$113</f>
        <v>9110</v>
      </c>
      <c r="E920" s="25">
        <v>24.955485549924667</v>
      </c>
      <c r="F920" s="28">
        <f t="shared" si="309"/>
        <v>0.10976948408342481</v>
      </c>
      <c r="G920" s="28">
        <f>'Battery Pricing Model'!$C$17/D920</f>
        <v>0.10976948408342481</v>
      </c>
      <c r="H920" s="28">
        <f t="shared" si="310"/>
        <v>999</v>
      </c>
      <c r="I920" s="28"/>
      <c r="J920" s="34">
        <f>INDEX('Profit per cycles Model'!$I$149:$I$179, MATCH(TRUNC(E920, 0), 'Profit per cycles Model'!$H$149:$H$179, 0))</f>
        <v>0.72949515880072491</v>
      </c>
      <c r="K920" s="27">
        <f>AVERAGE($J$10:J1920)</f>
        <v>0.56883042089778579</v>
      </c>
      <c r="L920" s="28">
        <f t="shared" si="311"/>
        <v>0.459060936814361</v>
      </c>
      <c r="M920" s="28">
        <f t="shared" si="312"/>
        <v>0.459060936814361</v>
      </c>
      <c r="N920" s="28">
        <f t="shared" si="313"/>
        <v>999</v>
      </c>
      <c r="O920" s="28"/>
      <c r="P920" s="29">
        <f t="shared" si="329"/>
        <v>0.9110000000000007</v>
      </c>
      <c r="Q920" s="33">
        <f t="shared" si="314"/>
        <v>6.7114093959731544</v>
      </c>
      <c r="R920" s="33">
        <f t="shared" si="315"/>
        <v>6.7114093959731544</v>
      </c>
      <c r="S920" s="33">
        <f t="shared" si="316"/>
        <v>-1</v>
      </c>
      <c r="T920" s="27"/>
      <c r="U920" s="28">
        <f t="shared" si="317"/>
        <v>0.10964912280701754</v>
      </c>
      <c r="V920" s="25">
        <f t="shared" si="318"/>
        <v>999</v>
      </c>
      <c r="W920" s="35">
        <f t="shared" si="330"/>
        <v>25</v>
      </c>
      <c r="X920" s="33">
        <f t="shared" si="319"/>
        <v>25</v>
      </c>
      <c r="Y920" s="32">
        <f t="shared" si="320"/>
        <v>-1</v>
      </c>
      <c r="Z920" s="32"/>
      <c r="AA920" s="30">
        <f t="shared" si="321"/>
        <v>24.955485549924667</v>
      </c>
      <c r="AB920" s="28">
        <f t="shared" si="322"/>
        <v>0.72949515880072491</v>
      </c>
      <c r="AC920" s="28">
        <f t="shared" si="323"/>
        <v>0.10964912280701754</v>
      </c>
      <c r="AD920" s="29">
        <f t="shared" si="324"/>
        <v>864.32637571157488</v>
      </c>
      <c r="AE920" s="28">
        <f t="shared" si="325"/>
        <v>0.10964912280701754</v>
      </c>
      <c r="AF920" s="28">
        <f t="shared" si="326"/>
        <v>0.61984603599370736</v>
      </c>
      <c r="AG920" s="28">
        <f t="shared" si="327"/>
        <v>0</v>
      </c>
      <c r="AI920" s="31">
        <f t="shared" si="328"/>
        <v>4.1820451343788285</v>
      </c>
      <c r="AJ920" s="25"/>
      <c r="AK920" s="31"/>
      <c r="AM920" s="27"/>
    </row>
    <row r="921" spans="4:39" x14ac:dyDescent="0.25">
      <c r="D921" s="25">
        <f>E921*'Profit per cycles Model'!$I$113</f>
        <v>9120</v>
      </c>
      <c r="E921" s="25">
        <v>24.982879057663332</v>
      </c>
      <c r="F921" s="28">
        <f t="shared" si="309"/>
        <v>0.10964912280701754</v>
      </c>
      <c r="G921" s="28">
        <f>'Battery Pricing Model'!$C$17/D921</f>
        <v>0.10964912280701754</v>
      </c>
      <c r="H921" s="28">
        <f t="shared" si="310"/>
        <v>999</v>
      </c>
      <c r="I921" s="28"/>
      <c r="J921" s="34">
        <f>INDEX('Profit per cycles Model'!$I$149:$I$179, MATCH(TRUNC(E921, 0), 'Profit per cycles Model'!$H$149:$H$179, 0))</f>
        <v>0.72949515880072491</v>
      </c>
      <c r="K921" s="27">
        <f>AVERAGE($J$10:J1921)</f>
        <v>0.56883042089778579</v>
      </c>
      <c r="L921" s="28">
        <f t="shared" si="311"/>
        <v>0.45918129809076824</v>
      </c>
      <c r="M921" s="28">
        <f t="shared" si="312"/>
        <v>0.45918129809076824</v>
      </c>
      <c r="N921" s="28">
        <f t="shared" si="313"/>
        <v>999</v>
      </c>
      <c r="O921" s="28"/>
      <c r="P921" s="29">
        <f t="shared" si="329"/>
        <v>0.9120000000000007</v>
      </c>
      <c r="Q921" s="33">
        <f t="shared" si="314"/>
        <v>6.7114093959731544</v>
      </c>
      <c r="R921" s="33">
        <f t="shared" si="315"/>
        <v>6.7114093959731544</v>
      </c>
      <c r="S921" s="33">
        <f t="shared" si="316"/>
        <v>-1</v>
      </c>
      <c r="T921" s="27"/>
      <c r="U921" s="28">
        <f t="shared" si="317"/>
        <v>0.10964912280701754</v>
      </c>
      <c r="V921" s="25">
        <f t="shared" si="318"/>
        <v>999</v>
      </c>
      <c r="W921" s="35">
        <f t="shared" si="330"/>
        <v>25</v>
      </c>
      <c r="X921" s="33">
        <f t="shared" si="319"/>
        <v>25</v>
      </c>
      <c r="Y921" s="32">
        <f t="shared" si="320"/>
        <v>-1</v>
      </c>
      <c r="Z921" s="32"/>
      <c r="AA921" s="30">
        <f t="shared" si="321"/>
        <v>24.982879057663332</v>
      </c>
      <c r="AB921" s="28">
        <f t="shared" si="322"/>
        <v>0.72949515880072491</v>
      </c>
      <c r="AC921" s="28">
        <f t="shared" si="323"/>
        <v>0.10964912280701754</v>
      </c>
      <c r="AD921" s="29">
        <f t="shared" si="324"/>
        <v>865.27514231499049</v>
      </c>
      <c r="AE921" s="28">
        <f t="shared" si="325"/>
        <v>0.10964912280701754</v>
      </c>
      <c r="AF921" s="28">
        <f t="shared" si="326"/>
        <v>0.61984603599370736</v>
      </c>
      <c r="AG921" s="28">
        <f t="shared" si="327"/>
        <v>0</v>
      </c>
      <c r="AI921" s="31">
        <f t="shared" si="328"/>
        <v>4.1877334385878067</v>
      </c>
      <c r="AJ921" s="25"/>
      <c r="AK921" s="31"/>
      <c r="AM921" s="27"/>
    </row>
    <row r="922" spans="4:39" x14ac:dyDescent="0.25">
      <c r="D922" s="25">
        <f>E922*'Profit per cycles Model'!$I$113</f>
        <v>9130</v>
      </c>
      <c r="E922" s="25">
        <v>25.010272565401998</v>
      </c>
      <c r="F922" s="28">
        <f t="shared" si="309"/>
        <v>0.10952902519167579</v>
      </c>
      <c r="G922" s="28">
        <f>'Battery Pricing Model'!$C$17/D922</f>
        <v>0.10952902519167579</v>
      </c>
      <c r="H922" s="28">
        <f t="shared" si="310"/>
        <v>999</v>
      </c>
      <c r="I922" s="28"/>
      <c r="J922" s="34">
        <f>INDEX('Profit per cycles Model'!$I$149:$I$179, MATCH(TRUNC(E922, 0), 'Profit per cycles Model'!$H$149:$H$179, 0))</f>
        <v>0.74926194953544878</v>
      </c>
      <c r="K922" s="27">
        <f>AVERAGE($J$10:J1922)</f>
        <v>0.56883042089778579</v>
      </c>
      <c r="L922" s="28">
        <f t="shared" si="311"/>
        <v>0.45930139570611</v>
      </c>
      <c r="M922" s="28">
        <f t="shared" si="312"/>
        <v>0.45930139570611</v>
      </c>
      <c r="N922" s="28">
        <f t="shared" si="313"/>
        <v>999</v>
      </c>
      <c r="O922" s="28"/>
      <c r="P922" s="29">
        <f t="shared" si="329"/>
        <v>0.9130000000000007</v>
      </c>
      <c r="Q922" s="33">
        <f t="shared" si="314"/>
        <v>6.7114093959731544</v>
      </c>
      <c r="R922" s="33">
        <f t="shared" si="315"/>
        <v>6.7114093959731544</v>
      </c>
      <c r="S922" s="33">
        <f t="shared" si="316"/>
        <v>-1</v>
      </c>
      <c r="T922" s="27"/>
      <c r="U922" s="28">
        <f t="shared" si="317"/>
        <v>0.10964912280701754</v>
      </c>
      <c r="V922" s="25">
        <f t="shared" si="318"/>
        <v>999</v>
      </c>
      <c r="W922" s="35">
        <f t="shared" si="330"/>
        <v>25</v>
      </c>
      <c r="X922" s="33">
        <f t="shared" si="319"/>
        <v>25</v>
      </c>
      <c r="Y922" s="32">
        <f t="shared" si="320"/>
        <v>-1</v>
      </c>
      <c r="Z922" s="32"/>
      <c r="AA922" s="30">
        <f t="shared" si="321"/>
        <v>25.010272565401998</v>
      </c>
      <c r="AB922" s="28">
        <f t="shared" si="322"/>
        <v>0.74926194953544878</v>
      </c>
      <c r="AC922" s="28">
        <f t="shared" si="323"/>
        <v>0.10964912280701754</v>
      </c>
      <c r="AD922" s="29">
        <f t="shared" si="324"/>
        <v>866.22390891840598</v>
      </c>
      <c r="AE922" s="28">
        <f t="shared" si="325"/>
        <v>0.10964912280701754</v>
      </c>
      <c r="AF922" s="28">
        <f t="shared" si="326"/>
        <v>0</v>
      </c>
      <c r="AG922" s="28">
        <f t="shared" si="327"/>
        <v>0</v>
      </c>
      <c r="AI922" s="31">
        <f t="shared" si="328"/>
        <v>4.1934217427967848</v>
      </c>
      <c r="AJ922" s="25"/>
      <c r="AK922" s="31"/>
      <c r="AM922" s="27"/>
    </row>
    <row r="923" spans="4:39" x14ac:dyDescent="0.25">
      <c r="D923" s="25">
        <f>E923*'Profit per cycles Model'!$I$113</f>
        <v>9140</v>
      </c>
      <c r="E923" s="25">
        <v>25.037666073140667</v>
      </c>
      <c r="F923" s="28">
        <f t="shared" si="309"/>
        <v>0.10940919037199125</v>
      </c>
      <c r="G923" s="28">
        <f>'Battery Pricing Model'!$C$17/D923</f>
        <v>0.10940919037199125</v>
      </c>
      <c r="H923" s="28">
        <f t="shared" si="310"/>
        <v>999</v>
      </c>
      <c r="I923" s="28"/>
      <c r="J923" s="34">
        <f>INDEX('Profit per cycles Model'!$I$149:$I$179, MATCH(TRUNC(E923, 0), 'Profit per cycles Model'!$H$149:$H$179, 0))</f>
        <v>0.74926194953544878</v>
      </c>
      <c r="K923" s="27">
        <f>AVERAGE($J$10:J1923)</f>
        <v>0.56883042089778579</v>
      </c>
      <c r="L923" s="28">
        <f t="shared" si="311"/>
        <v>0.45942123052579453</v>
      </c>
      <c r="M923" s="28">
        <f t="shared" si="312"/>
        <v>0.45942123052579453</v>
      </c>
      <c r="N923" s="28">
        <f t="shared" si="313"/>
        <v>999</v>
      </c>
      <c r="O923" s="28"/>
      <c r="P923" s="29">
        <f t="shared" si="329"/>
        <v>0.9140000000000007</v>
      </c>
      <c r="Q923" s="33">
        <f t="shared" si="314"/>
        <v>6.7114093959731544</v>
      </c>
      <c r="R923" s="33">
        <f t="shared" si="315"/>
        <v>6.7114093959731544</v>
      </c>
      <c r="S923" s="33">
        <f t="shared" si="316"/>
        <v>-1</v>
      </c>
      <c r="T923" s="27"/>
      <c r="U923" s="28">
        <f t="shared" si="317"/>
        <v>0.10964912280701754</v>
      </c>
      <c r="V923" s="25">
        <f t="shared" si="318"/>
        <v>999</v>
      </c>
      <c r="W923" s="35">
        <f t="shared" si="330"/>
        <v>25</v>
      </c>
      <c r="X923" s="33">
        <f t="shared" si="319"/>
        <v>25</v>
      </c>
      <c r="Y923" s="32">
        <f t="shared" si="320"/>
        <v>-1</v>
      </c>
      <c r="Z923" s="32"/>
      <c r="AA923" s="30">
        <f t="shared" si="321"/>
        <v>25.037666073140667</v>
      </c>
      <c r="AB923" s="28">
        <f t="shared" si="322"/>
        <v>0.74926194953544878</v>
      </c>
      <c r="AC923" s="28">
        <f t="shared" si="323"/>
        <v>0.10964912280701754</v>
      </c>
      <c r="AD923" s="29">
        <f t="shared" si="324"/>
        <v>867.1726755218217</v>
      </c>
      <c r="AE923" s="28">
        <f t="shared" si="325"/>
        <v>0.10964912280701754</v>
      </c>
      <c r="AF923" s="28">
        <f t="shared" si="326"/>
        <v>0</v>
      </c>
      <c r="AG923" s="28">
        <f t="shared" si="327"/>
        <v>0</v>
      </c>
      <c r="AI923" s="31">
        <f t="shared" si="328"/>
        <v>4.1991100470057621</v>
      </c>
      <c r="AJ923" s="25"/>
      <c r="AK923" s="31"/>
      <c r="AM923" s="27"/>
    </row>
    <row r="924" spans="4:39" x14ac:dyDescent="0.25">
      <c r="D924" s="25">
        <f>E924*'Profit per cycles Model'!$I$113</f>
        <v>9150</v>
      </c>
      <c r="E924" s="25">
        <v>25.065059580879332</v>
      </c>
      <c r="F924" s="28">
        <f t="shared" si="309"/>
        <v>0.10928961748633879</v>
      </c>
      <c r="G924" s="28">
        <f>'Battery Pricing Model'!$C$17/D924</f>
        <v>0.10928961748633879</v>
      </c>
      <c r="H924" s="28">
        <f t="shared" si="310"/>
        <v>999</v>
      </c>
      <c r="I924" s="28"/>
      <c r="J924" s="34">
        <f>INDEX('Profit per cycles Model'!$I$149:$I$179, MATCH(TRUNC(E924, 0), 'Profit per cycles Model'!$H$149:$H$179, 0))</f>
        <v>0.74926194953544878</v>
      </c>
      <c r="K924" s="27">
        <f>AVERAGE($J$10:J1924)</f>
        <v>0.56883042089778579</v>
      </c>
      <c r="L924" s="28">
        <f t="shared" si="311"/>
        <v>0.45954080341144699</v>
      </c>
      <c r="M924" s="28">
        <f t="shared" si="312"/>
        <v>0.45954080341144699</v>
      </c>
      <c r="N924" s="28">
        <f t="shared" si="313"/>
        <v>999</v>
      </c>
      <c r="O924" s="28"/>
      <c r="P924" s="29">
        <f t="shared" si="329"/>
        <v>0.9150000000000007</v>
      </c>
      <c r="Q924" s="33">
        <f t="shared" si="314"/>
        <v>6.7114093959731544</v>
      </c>
      <c r="R924" s="33">
        <f t="shared" si="315"/>
        <v>6.7114093959731544</v>
      </c>
      <c r="S924" s="33">
        <f t="shared" si="316"/>
        <v>-1</v>
      </c>
      <c r="T924" s="27"/>
      <c r="U924" s="28">
        <f t="shared" si="317"/>
        <v>0.10964912280701754</v>
      </c>
      <c r="V924" s="25">
        <f t="shared" si="318"/>
        <v>999</v>
      </c>
      <c r="W924" s="35">
        <f t="shared" si="330"/>
        <v>25</v>
      </c>
      <c r="X924" s="33">
        <f t="shared" si="319"/>
        <v>25</v>
      </c>
      <c r="Y924" s="32">
        <f t="shared" si="320"/>
        <v>-1</v>
      </c>
      <c r="Z924" s="32"/>
      <c r="AA924" s="30">
        <f t="shared" si="321"/>
        <v>25.065059580879332</v>
      </c>
      <c r="AB924" s="28">
        <f t="shared" si="322"/>
        <v>0.74926194953544878</v>
      </c>
      <c r="AC924" s="28">
        <f t="shared" si="323"/>
        <v>0.10964912280701754</v>
      </c>
      <c r="AD924" s="29">
        <f t="shared" si="324"/>
        <v>868.12144212523731</v>
      </c>
      <c r="AE924" s="28">
        <f t="shared" si="325"/>
        <v>0.10964912280701754</v>
      </c>
      <c r="AF924" s="28">
        <f t="shared" si="326"/>
        <v>0</v>
      </c>
      <c r="AG924" s="28">
        <f t="shared" si="327"/>
        <v>0</v>
      </c>
      <c r="AI924" s="31">
        <f t="shared" si="328"/>
        <v>4.2047983512147402</v>
      </c>
      <c r="AJ924" s="25"/>
      <c r="AK924" s="31"/>
      <c r="AM924" s="27"/>
    </row>
    <row r="925" spans="4:39" x14ac:dyDescent="0.25">
      <c r="D925" s="25">
        <f>E925*'Profit per cycles Model'!$I$113</f>
        <v>9160</v>
      </c>
      <c r="E925" s="25">
        <v>25.092453088617997</v>
      </c>
      <c r="F925" s="28">
        <f t="shared" si="309"/>
        <v>0.1091703056768559</v>
      </c>
      <c r="G925" s="28">
        <f>'Battery Pricing Model'!$C$17/D925</f>
        <v>0.1091703056768559</v>
      </c>
      <c r="H925" s="28">
        <f t="shared" si="310"/>
        <v>999</v>
      </c>
      <c r="I925" s="28"/>
      <c r="J925" s="34">
        <f>INDEX('Profit per cycles Model'!$I$149:$I$179, MATCH(TRUNC(E925, 0), 'Profit per cycles Model'!$H$149:$H$179, 0))</f>
        <v>0.74926194953544878</v>
      </c>
      <c r="K925" s="27">
        <f>AVERAGE($J$10:J1925)</f>
        <v>0.56883042089778579</v>
      </c>
      <c r="L925" s="28">
        <f t="shared" si="311"/>
        <v>0.45966011522092987</v>
      </c>
      <c r="M925" s="28">
        <f t="shared" si="312"/>
        <v>0.45966011522092987</v>
      </c>
      <c r="N925" s="28">
        <f t="shared" si="313"/>
        <v>999</v>
      </c>
      <c r="O925" s="28"/>
      <c r="P925" s="29">
        <f t="shared" si="329"/>
        <v>0.9160000000000007</v>
      </c>
      <c r="Q925" s="33">
        <f t="shared" si="314"/>
        <v>6.7114093959731544</v>
      </c>
      <c r="R925" s="33">
        <f t="shared" si="315"/>
        <v>6.7114093959731544</v>
      </c>
      <c r="S925" s="33">
        <f t="shared" si="316"/>
        <v>-1</v>
      </c>
      <c r="T925" s="27"/>
      <c r="U925" s="28">
        <f t="shared" si="317"/>
        <v>0.10964912280701754</v>
      </c>
      <c r="V925" s="25">
        <f t="shared" si="318"/>
        <v>999</v>
      </c>
      <c r="W925" s="35">
        <f t="shared" si="330"/>
        <v>25</v>
      </c>
      <c r="X925" s="33">
        <f t="shared" si="319"/>
        <v>25</v>
      </c>
      <c r="Y925" s="32">
        <f t="shared" si="320"/>
        <v>-1</v>
      </c>
      <c r="Z925" s="32"/>
      <c r="AA925" s="30">
        <f t="shared" si="321"/>
        <v>25.092453088617997</v>
      </c>
      <c r="AB925" s="28">
        <f t="shared" si="322"/>
        <v>0.74926194953544878</v>
      </c>
      <c r="AC925" s="28">
        <f t="shared" si="323"/>
        <v>0.10964912280701754</v>
      </c>
      <c r="AD925" s="29">
        <f t="shared" si="324"/>
        <v>869.0702087286528</v>
      </c>
      <c r="AE925" s="28">
        <f t="shared" si="325"/>
        <v>0.10964912280701754</v>
      </c>
      <c r="AF925" s="28">
        <f t="shared" si="326"/>
        <v>0</v>
      </c>
      <c r="AG925" s="28">
        <f t="shared" si="327"/>
        <v>0</v>
      </c>
      <c r="AI925" s="31">
        <f t="shared" si="328"/>
        <v>4.2104866554237175</v>
      </c>
      <c r="AJ925" s="25"/>
      <c r="AK925" s="31"/>
      <c r="AM925" s="27"/>
    </row>
    <row r="926" spans="4:39" x14ac:dyDescent="0.25">
      <c r="D926" s="25">
        <f>E926*'Profit per cycles Model'!$I$113</f>
        <v>9170</v>
      </c>
      <c r="E926" s="25">
        <v>25.119846596356663</v>
      </c>
      <c r="F926" s="28">
        <f t="shared" si="309"/>
        <v>0.10905125408942203</v>
      </c>
      <c r="G926" s="28">
        <f>'Battery Pricing Model'!$C$17/D926</f>
        <v>0.10905125408942203</v>
      </c>
      <c r="H926" s="28">
        <f t="shared" si="310"/>
        <v>999</v>
      </c>
      <c r="I926" s="28"/>
      <c r="J926" s="34">
        <f>INDEX('Profit per cycles Model'!$I$149:$I$179, MATCH(TRUNC(E926, 0), 'Profit per cycles Model'!$H$149:$H$179, 0))</f>
        <v>0.74926194953544878</v>
      </c>
      <c r="K926" s="27">
        <f>AVERAGE($J$10:J1926)</f>
        <v>0.56883042089778579</v>
      </c>
      <c r="L926" s="28">
        <f t="shared" si="311"/>
        <v>0.45977916680836378</v>
      </c>
      <c r="M926" s="28">
        <f t="shared" si="312"/>
        <v>0.45977916680836378</v>
      </c>
      <c r="N926" s="28">
        <f t="shared" si="313"/>
        <v>999</v>
      </c>
      <c r="O926" s="28"/>
      <c r="P926" s="29">
        <f t="shared" si="329"/>
        <v>0.9170000000000007</v>
      </c>
      <c r="Q926" s="33">
        <f t="shared" si="314"/>
        <v>6.7114093959731544</v>
      </c>
      <c r="R926" s="33">
        <f t="shared" si="315"/>
        <v>6.7114093959731544</v>
      </c>
      <c r="S926" s="33">
        <f t="shared" si="316"/>
        <v>-1</v>
      </c>
      <c r="T926" s="27"/>
      <c r="U926" s="28">
        <f t="shared" si="317"/>
        <v>0.10964912280701754</v>
      </c>
      <c r="V926" s="25">
        <f t="shared" si="318"/>
        <v>999</v>
      </c>
      <c r="W926" s="35">
        <f t="shared" si="330"/>
        <v>25</v>
      </c>
      <c r="X926" s="33">
        <f t="shared" si="319"/>
        <v>25</v>
      </c>
      <c r="Y926" s="32">
        <f t="shared" si="320"/>
        <v>-1</v>
      </c>
      <c r="Z926" s="32"/>
      <c r="AA926" s="30">
        <f t="shared" si="321"/>
        <v>25.119846596356663</v>
      </c>
      <c r="AB926" s="28">
        <f t="shared" si="322"/>
        <v>0.74926194953544878</v>
      </c>
      <c r="AC926" s="28">
        <f t="shared" si="323"/>
        <v>0.10964912280701754</v>
      </c>
      <c r="AD926" s="29">
        <f t="shared" si="324"/>
        <v>870.01897533206829</v>
      </c>
      <c r="AE926" s="28">
        <f t="shared" si="325"/>
        <v>0.10964912280701754</v>
      </c>
      <c r="AF926" s="28">
        <f t="shared" si="326"/>
        <v>0</v>
      </c>
      <c r="AG926" s="28">
        <f t="shared" si="327"/>
        <v>0</v>
      </c>
      <c r="AI926" s="31">
        <f t="shared" si="328"/>
        <v>4.2161749596326956</v>
      </c>
      <c r="AJ926" s="25"/>
      <c r="AK926" s="31"/>
      <c r="AM926" s="27"/>
    </row>
    <row r="927" spans="4:39" x14ac:dyDescent="0.25">
      <c r="D927" s="25">
        <f>E927*'Profit per cycles Model'!$I$113</f>
        <v>9180</v>
      </c>
      <c r="E927" s="25">
        <v>25.147240104095328</v>
      </c>
      <c r="F927" s="28">
        <f t="shared" si="309"/>
        <v>0.10893246187363835</v>
      </c>
      <c r="G927" s="28">
        <f>'Battery Pricing Model'!$C$17/D927</f>
        <v>0.10893246187363835</v>
      </c>
      <c r="H927" s="28">
        <f t="shared" si="310"/>
        <v>999</v>
      </c>
      <c r="I927" s="28"/>
      <c r="J927" s="34">
        <f>INDEX('Profit per cycles Model'!$I$149:$I$179, MATCH(TRUNC(E927, 0), 'Profit per cycles Model'!$H$149:$H$179, 0))</f>
        <v>0.74926194953544878</v>
      </c>
      <c r="K927" s="27">
        <f>AVERAGE($J$10:J1927)</f>
        <v>0.56883042089778579</v>
      </c>
      <c r="L927" s="28">
        <f t="shared" si="311"/>
        <v>0.45989795902414743</v>
      </c>
      <c r="M927" s="28">
        <f t="shared" si="312"/>
        <v>0.45989795902414743</v>
      </c>
      <c r="N927" s="28">
        <f t="shared" si="313"/>
        <v>999</v>
      </c>
      <c r="O927" s="28"/>
      <c r="P927" s="29">
        <f t="shared" si="329"/>
        <v>0.9180000000000007</v>
      </c>
      <c r="Q927" s="33">
        <f t="shared" si="314"/>
        <v>6.7114093959731544</v>
      </c>
      <c r="R927" s="33">
        <f t="shared" si="315"/>
        <v>6.7114093959731544</v>
      </c>
      <c r="S927" s="33">
        <f t="shared" si="316"/>
        <v>-1</v>
      </c>
      <c r="T927" s="27"/>
      <c r="U927" s="28">
        <f t="shared" si="317"/>
        <v>0.10964912280701754</v>
      </c>
      <c r="V927" s="25">
        <f t="shared" si="318"/>
        <v>999</v>
      </c>
      <c r="W927" s="35">
        <f t="shared" si="330"/>
        <v>25</v>
      </c>
      <c r="X927" s="33">
        <f t="shared" si="319"/>
        <v>25</v>
      </c>
      <c r="Y927" s="32">
        <f t="shared" si="320"/>
        <v>-1</v>
      </c>
      <c r="Z927" s="32"/>
      <c r="AA927" s="30">
        <f t="shared" si="321"/>
        <v>25.147240104095328</v>
      </c>
      <c r="AB927" s="28">
        <f t="shared" si="322"/>
        <v>0.74926194953544878</v>
      </c>
      <c r="AC927" s="28">
        <f t="shared" si="323"/>
        <v>0.10964912280701754</v>
      </c>
      <c r="AD927" s="29">
        <f t="shared" si="324"/>
        <v>870.96774193548379</v>
      </c>
      <c r="AE927" s="28">
        <f t="shared" si="325"/>
        <v>0.10964912280701754</v>
      </c>
      <c r="AF927" s="28">
        <f t="shared" si="326"/>
        <v>0</v>
      </c>
      <c r="AG927" s="28">
        <f t="shared" si="327"/>
        <v>0</v>
      </c>
      <c r="AI927" s="31">
        <f t="shared" si="328"/>
        <v>4.2218632638416729</v>
      </c>
      <c r="AJ927" s="25"/>
      <c r="AK927" s="31"/>
      <c r="AM927" s="27"/>
    </row>
    <row r="928" spans="4:39" x14ac:dyDescent="0.25">
      <c r="D928" s="25">
        <f>E928*'Profit per cycles Model'!$I$113</f>
        <v>9190</v>
      </c>
      <c r="E928" s="25">
        <v>25.174633611833993</v>
      </c>
      <c r="F928" s="28">
        <f t="shared" si="309"/>
        <v>0.1088139281828074</v>
      </c>
      <c r="G928" s="28">
        <f>'Battery Pricing Model'!$C$17/D928</f>
        <v>0.1088139281828074</v>
      </c>
      <c r="H928" s="28">
        <f t="shared" si="310"/>
        <v>999</v>
      </c>
      <c r="I928" s="28"/>
      <c r="J928" s="34">
        <f>INDEX('Profit per cycles Model'!$I$149:$I$179, MATCH(TRUNC(E928, 0), 'Profit per cycles Model'!$H$149:$H$179, 0))</f>
        <v>0.74926194953544878</v>
      </c>
      <c r="K928" s="27">
        <f>AVERAGE($J$10:J1928)</f>
        <v>0.56883042089778579</v>
      </c>
      <c r="L928" s="28">
        <f t="shared" si="311"/>
        <v>0.46001649271497841</v>
      </c>
      <c r="M928" s="28">
        <f t="shared" si="312"/>
        <v>0.46001649271497841</v>
      </c>
      <c r="N928" s="28">
        <f t="shared" si="313"/>
        <v>999</v>
      </c>
      <c r="O928" s="28"/>
      <c r="P928" s="29">
        <f t="shared" si="329"/>
        <v>0.91900000000000071</v>
      </c>
      <c r="Q928" s="33">
        <f t="shared" si="314"/>
        <v>6.7114093959731544</v>
      </c>
      <c r="R928" s="33">
        <f t="shared" si="315"/>
        <v>6.7114093959731544</v>
      </c>
      <c r="S928" s="33">
        <f t="shared" si="316"/>
        <v>-1</v>
      </c>
      <c r="T928" s="27"/>
      <c r="U928" s="28">
        <f t="shared" si="317"/>
        <v>0.10964912280701754</v>
      </c>
      <c r="V928" s="25">
        <f t="shared" si="318"/>
        <v>999</v>
      </c>
      <c r="W928" s="35">
        <f t="shared" si="330"/>
        <v>25</v>
      </c>
      <c r="X928" s="33">
        <f t="shared" si="319"/>
        <v>25</v>
      </c>
      <c r="Y928" s="32">
        <f t="shared" si="320"/>
        <v>-1</v>
      </c>
      <c r="Z928" s="32"/>
      <c r="AA928" s="30">
        <f t="shared" si="321"/>
        <v>25.174633611833993</v>
      </c>
      <c r="AB928" s="28">
        <f t="shared" si="322"/>
        <v>0.74926194953544878</v>
      </c>
      <c r="AC928" s="28">
        <f t="shared" si="323"/>
        <v>0.10964912280701754</v>
      </c>
      <c r="AD928" s="29">
        <f t="shared" si="324"/>
        <v>871.91650853889939</v>
      </c>
      <c r="AE928" s="28">
        <f t="shared" si="325"/>
        <v>0.10964912280701754</v>
      </c>
      <c r="AF928" s="28">
        <f t="shared" si="326"/>
        <v>0</v>
      </c>
      <c r="AG928" s="28">
        <f t="shared" si="327"/>
        <v>0</v>
      </c>
      <c r="AI928" s="31">
        <f t="shared" si="328"/>
        <v>4.2275515680506519</v>
      </c>
      <c r="AJ928" s="25"/>
      <c r="AK928" s="31"/>
      <c r="AM928" s="27"/>
    </row>
    <row r="929" spans="4:39" x14ac:dyDescent="0.25">
      <c r="D929" s="25">
        <f>E929*'Profit per cycles Model'!$I$113</f>
        <v>9200</v>
      </c>
      <c r="E929" s="25">
        <v>25.202027119572662</v>
      </c>
      <c r="F929" s="28">
        <f t="shared" si="309"/>
        <v>0.10869565217391304</v>
      </c>
      <c r="G929" s="28">
        <f>'Battery Pricing Model'!$C$17/D929</f>
        <v>0.10869565217391304</v>
      </c>
      <c r="H929" s="28">
        <f t="shared" si="310"/>
        <v>999</v>
      </c>
      <c r="I929" s="28"/>
      <c r="J929" s="34">
        <f>INDEX('Profit per cycles Model'!$I$149:$I$179, MATCH(TRUNC(E929, 0), 'Profit per cycles Model'!$H$149:$H$179, 0))</f>
        <v>0.74926194953544878</v>
      </c>
      <c r="K929" s="27">
        <f>AVERAGE($J$10:J1929)</f>
        <v>0.56883042089778579</v>
      </c>
      <c r="L929" s="28">
        <f t="shared" si="311"/>
        <v>0.46013476872387277</v>
      </c>
      <c r="M929" s="28">
        <f t="shared" si="312"/>
        <v>0.46013476872387277</v>
      </c>
      <c r="N929" s="28">
        <f t="shared" si="313"/>
        <v>999</v>
      </c>
      <c r="O929" s="28"/>
      <c r="P929" s="29">
        <f t="shared" si="329"/>
        <v>0.92000000000000071</v>
      </c>
      <c r="Q929" s="33">
        <f t="shared" si="314"/>
        <v>6.7114093959731544</v>
      </c>
      <c r="R929" s="33">
        <f t="shared" si="315"/>
        <v>6.7114093959731544</v>
      </c>
      <c r="S929" s="33">
        <f t="shared" si="316"/>
        <v>-1</v>
      </c>
      <c r="T929" s="27"/>
      <c r="U929" s="28">
        <f t="shared" si="317"/>
        <v>0.10964912280701754</v>
      </c>
      <c r="V929" s="25">
        <f t="shared" si="318"/>
        <v>999</v>
      </c>
      <c r="W929" s="35">
        <f t="shared" si="330"/>
        <v>25</v>
      </c>
      <c r="X929" s="33">
        <f t="shared" si="319"/>
        <v>25</v>
      </c>
      <c r="Y929" s="32">
        <f t="shared" si="320"/>
        <v>-1</v>
      </c>
      <c r="Z929" s="32"/>
      <c r="AA929" s="30">
        <f t="shared" si="321"/>
        <v>25.202027119572662</v>
      </c>
      <c r="AB929" s="28">
        <f t="shared" si="322"/>
        <v>0.74926194953544878</v>
      </c>
      <c r="AC929" s="28">
        <f t="shared" si="323"/>
        <v>0.10964912280701754</v>
      </c>
      <c r="AD929" s="29">
        <f t="shared" si="324"/>
        <v>872.86527514231511</v>
      </c>
      <c r="AE929" s="28">
        <f t="shared" si="325"/>
        <v>0.10964912280701754</v>
      </c>
      <c r="AF929" s="28">
        <f t="shared" si="326"/>
        <v>0</v>
      </c>
      <c r="AG929" s="28">
        <f t="shared" si="327"/>
        <v>0</v>
      </c>
      <c r="AI929" s="31">
        <f t="shared" si="328"/>
        <v>4.2332398722596292</v>
      </c>
      <c r="AJ929" s="25"/>
      <c r="AK929" s="31"/>
      <c r="AM929" s="27"/>
    </row>
    <row r="930" spans="4:39" x14ac:dyDescent="0.25">
      <c r="D930" s="25">
        <f>E930*'Profit per cycles Model'!$I$113</f>
        <v>9210</v>
      </c>
      <c r="E930" s="25">
        <v>25.229420627311328</v>
      </c>
      <c r="F930" s="28">
        <f t="shared" si="309"/>
        <v>0.10857763300760044</v>
      </c>
      <c r="G930" s="28">
        <f>'Battery Pricing Model'!$C$17/D930</f>
        <v>0.10857763300760044</v>
      </c>
      <c r="H930" s="28">
        <f t="shared" si="310"/>
        <v>999</v>
      </c>
      <c r="I930" s="28"/>
      <c r="J930" s="34">
        <f>INDEX('Profit per cycles Model'!$I$149:$I$179, MATCH(TRUNC(E930, 0), 'Profit per cycles Model'!$H$149:$H$179, 0))</f>
        <v>0.74926194953544878</v>
      </c>
      <c r="K930" s="27">
        <f>AVERAGE($J$10:J1930)</f>
        <v>0.56883042089778579</v>
      </c>
      <c r="L930" s="28">
        <f t="shared" si="311"/>
        <v>0.46025278789018537</v>
      </c>
      <c r="M930" s="28">
        <f t="shared" si="312"/>
        <v>0.46025278789018537</v>
      </c>
      <c r="N930" s="28">
        <f t="shared" si="313"/>
        <v>999</v>
      </c>
      <c r="O930" s="28"/>
      <c r="P930" s="29">
        <f t="shared" si="329"/>
        <v>0.92100000000000071</v>
      </c>
      <c r="Q930" s="33">
        <f t="shared" si="314"/>
        <v>6.7114093959731544</v>
      </c>
      <c r="R930" s="33">
        <f t="shared" si="315"/>
        <v>6.7114093959731544</v>
      </c>
      <c r="S930" s="33">
        <f t="shared" si="316"/>
        <v>-1</v>
      </c>
      <c r="T930" s="27"/>
      <c r="U930" s="28">
        <f t="shared" si="317"/>
        <v>0.10964912280701754</v>
      </c>
      <c r="V930" s="25">
        <f t="shared" si="318"/>
        <v>999</v>
      </c>
      <c r="W930" s="35">
        <f t="shared" si="330"/>
        <v>25</v>
      </c>
      <c r="X930" s="33">
        <f t="shared" si="319"/>
        <v>25</v>
      </c>
      <c r="Y930" s="32">
        <f t="shared" si="320"/>
        <v>-1</v>
      </c>
      <c r="Z930" s="32"/>
      <c r="AA930" s="30">
        <f t="shared" si="321"/>
        <v>25.229420627311328</v>
      </c>
      <c r="AB930" s="28">
        <f t="shared" si="322"/>
        <v>0.74926194953544878</v>
      </c>
      <c r="AC930" s="28">
        <f t="shared" si="323"/>
        <v>0.10964912280701754</v>
      </c>
      <c r="AD930" s="29">
        <f t="shared" si="324"/>
        <v>873.81404174573061</v>
      </c>
      <c r="AE930" s="28">
        <f t="shared" si="325"/>
        <v>0.10964912280701754</v>
      </c>
      <c r="AF930" s="28">
        <f t="shared" si="326"/>
        <v>0</v>
      </c>
      <c r="AG930" s="28">
        <f t="shared" si="327"/>
        <v>0</v>
      </c>
      <c r="AI930" s="31">
        <f t="shared" si="328"/>
        <v>4.2389281764686073</v>
      </c>
      <c r="AJ930" s="25"/>
      <c r="AK930" s="31"/>
      <c r="AM930" s="27"/>
    </row>
    <row r="931" spans="4:39" x14ac:dyDescent="0.25">
      <c r="D931" s="25">
        <f>E931*'Profit per cycles Model'!$I$113</f>
        <v>9220</v>
      </c>
      <c r="E931" s="25">
        <v>25.256814135049993</v>
      </c>
      <c r="F931" s="28">
        <f t="shared" si="309"/>
        <v>0.10845986984815618</v>
      </c>
      <c r="G931" s="28">
        <f>'Battery Pricing Model'!$C$17/D931</f>
        <v>0.10845986984815618</v>
      </c>
      <c r="H931" s="28">
        <f t="shared" si="310"/>
        <v>999</v>
      </c>
      <c r="I931" s="28"/>
      <c r="J931" s="34">
        <f>INDEX('Profit per cycles Model'!$I$149:$I$179, MATCH(TRUNC(E931, 0), 'Profit per cycles Model'!$H$149:$H$179, 0))</f>
        <v>0.74926194953544878</v>
      </c>
      <c r="K931" s="27">
        <f>AVERAGE($J$10:J1931)</f>
        <v>0.56883042089778579</v>
      </c>
      <c r="L931" s="28">
        <f t="shared" si="311"/>
        <v>0.46037055104962959</v>
      </c>
      <c r="M931" s="28">
        <f t="shared" si="312"/>
        <v>0.46037055104962959</v>
      </c>
      <c r="N931" s="28">
        <f t="shared" si="313"/>
        <v>999</v>
      </c>
      <c r="O931" s="28"/>
      <c r="P931" s="29">
        <f t="shared" si="329"/>
        <v>0.92200000000000071</v>
      </c>
      <c r="Q931" s="33">
        <f t="shared" si="314"/>
        <v>6.7114093959731544</v>
      </c>
      <c r="R931" s="33">
        <f t="shared" si="315"/>
        <v>6.7114093959731544</v>
      </c>
      <c r="S931" s="33">
        <f t="shared" si="316"/>
        <v>-1</v>
      </c>
      <c r="T931" s="27"/>
      <c r="U931" s="28">
        <f t="shared" si="317"/>
        <v>0.10964912280701754</v>
      </c>
      <c r="V931" s="25">
        <f t="shared" si="318"/>
        <v>999</v>
      </c>
      <c r="W931" s="35">
        <f t="shared" si="330"/>
        <v>25</v>
      </c>
      <c r="X931" s="33">
        <f t="shared" si="319"/>
        <v>25</v>
      </c>
      <c r="Y931" s="32">
        <f t="shared" si="320"/>
        <v>-1</v>
      </c>
      <c r="Z931" s="32"/>
      <c r="AA931" s="30">
        <f t="shared" si="321"/>
        <v>25.256814135049993</v>
      </c>
      <c r="AB931" s="28">
        <f t="shared" si="322"/>
        <v>0.74926194953544878</v>
      </c>
      <c r="AC931" s="28">
        <f t="shared" si="323"/>
        <v>0.10964912280701754</v>
      </c>
      <c r="AD931" s="29">
        <f t="shared" si="324"/>
        <v>874.76280834914621</v>
      </c>
      <c r="AE931" s="28">
        <f t="shared" si="325"/>
        <v>0.10964912280701754</v>
      </c>
      <c r="AF931" s="28">
        <f t="shared" si="326"/>
        <v>0</v>
      </c>
      <c r="AG931" s="28">
        <f t="shared" si="327"/>
        <v>0</v>
      </c>
      <c r="AI931" s="31">
        <f t="shared" si="328"/>
        <v>4.2446164806775846</v>
      </c>
      <c r="AJ931" s="25"/>
      <c r="AK931" s="31"/>
      <c r="AM931" s="27"/>
    </row>
    <row r="932" spans="4:39" x14ac:dyDescent="0.25">
      <c r="D932" s="25">
        <f>E932*'Profit per cycles Model'!$I$113</f>
        <v>9230</v>
      </c>
      <c r="E932" s="25">
        <v>25.284207642788658</v>
      </c>
      <c r="F932" s="28">
        <f t="shared" si="309"/>
        <v>0.10834236186348863</v>
      </c>
      <c r="G932" s="28">
        <f>'Battery Pricing Model'!$C$17/D932</f>
        <v>0.10834236186348863</v>
      </c>
      <c r="H932" s="28">
        <f t="shared" si="310"/>
        <v>999</v>
      </c>
      <c r="I932" s="28"/>
      <c r="J932" s="34">
        <f>INDEX('Profit per cycles Model'!$I$149:$I$179, MATCH(TRUNC(E932, 0), 'Profit per cycles Model'!$H$149:$H$179, 0))</f>
        <v>0.74926194953544878</v>
      </c>
      <c r="K932" s="27">
        <f>AVERAGE($J$10:J1932)</f>
        <v>0.56883042089778579</v>
      </c>
      <c r="L932" s="28">
        <f t="shared" si="311"/>
        <v>0.46048805903429718</v>
      </c>
      <c r="M932" s="28">
        <f t="shared" si="312"/>
        <v>0.46048805903429718</v>
      </c>
      <c r="N932" s="28">
        <f t="shared" si="313"/>
        <v>999</v>
      </c>
      <c r="O932" s="28"/>
      <c r="P932" s="29">
        <f t="shared" si="329"/>
        <v>0.92300000000000071</v>
      </c>
      <c r="Q932" s="33">
        <f t="shared" si="314"/>
        <v>6.7114093959731544</v>
      </c>
      <c r="R932" s="33">
        <f t="shared" si="315"/>
        <v>6.7114093959731544</v>
      </c>
      <c r="S932" s="33">
        <f t="shared" si="316"/>
        <v>-1</v>
      </c>
      <c r="T932" s="27"/>
      <c r="U932" s="28">
        <f t="shared" si="317"/>
        <v>0.10964912280701754</v>
      </c>
      <c r="V932" s="25">
        <f t="shared" si="318"/>
        <v>999</v>
      </c>
      <c r="W932" s="35">
        <f t="shared" si="330"/>
        <v>25</v>
      </c>
      <c r="X932" s="33">
        <f t="shared" si="319"/>
        <v>25</v>
      </c>
      <c r="Y932" s="32">
        <f t="shared" si="320"/>
        <v>-1</v>
      </c>
      <c r="Z932" s="32"/>
      <c r="AA932" s="30">
        <f t="shared" si="321"/>
        <v>25.284207642788658</v>
      </c>
      <c r="AB932" s="28">
        <f t="shared" si="322"/>
        <v>0.74926194953544878</v>
      </c>
      <c r="AC932" s="28">
        <f t="shared" si="323"/>
        <v>0.10964912280701754</v>
      </c>
      <c r="AD932" s="29">
        <f t="shared" si="324"/>
        <v>875.71157495256159</v>
      </c>
      <c r="AE932" s="28">
        <f t="shared" si="325"/>
        <v>0.10964912280701754</v>
      </c>
      <c r="AF932" s="28">
        <f t="shared" si="326"/>
        <v>0</v>
      </c>
      <c r="AG932" s="28">
        <f t="shared" si="327"/>
        <v>0</v>
      </c>
      <c r="AI932" s="31">
        <f t="shared" si="328"/>
        <v>4.2503047848865627</v>
      </c>
      <c r="AJ932" s="25"/>
      <c r="AK932" s="31"/>
      <c r="AM932" s="27"/>
    </row>
    <row r="933" spans="4:39" x14ac:dyDescent="0.25">
      <c r="D933" s="25">
        <f>E933*'Profit per cycles Model'!$I$113</f>
        <v>9240</v>
      </c>
      <c r="E933" s="25">
        <v>25.311601150527324</v>
      </c>
      <c r="F933" s="28">
        <f t="shared" si="309"/>
        <v>0.10822510822510822</v>
      </c>
      <c r="G933" s="28">
        <f>'Battery Pricing Model'!$C$17/D933</f>
        <v>0.10822510822510822</v>
      </c>
      <c r="H933" s="28">
        <f t="shared" si="310"/>
        <v>999</v>
      </c>
      <c r="I933" s="28"/>
      <c r="J933" s="34">
        <f>INDEX('Profit per cycles Model'!$I$149:$I$179, MATCH(TRUNC(E933, 0), 'Profit per cycles Model'!$H$149:$H$179, 0))</f>
        <v>0.74926194953544878</v>
      </c>
      <c r="K933" s="27">
        <f>AVERAGE($J$10:J1933)</f>
        <v>0.56883042089778579</v>
      </c>
      <c r="L933" s="28">
        <f t="shared" si="311"/>
        <v>0.46060531267267757</v>
      </c>
      <c r="M933" s="28">
        <f t="shared" si="312"/>
        <v>0.46060531267267757</v>
      </c>
      <c r="N933" s="28">
        <f t="shared" si="313"/>
        <v>999</v>
      </c>
      <c r="O933" s="28"/>
      <c r="P933" s="29">
        <f t="shared" si="329"/>
        <v>0.92400000000000071</v>
      </c>
      <c r="Q933" s="33">
        <f t="shared" si="314"/>
        <v>6.7114093959731544</v>
      </c>
      <c r="R933" s="33">
        <f t="shared" si="315"/>
        <v>6.7114093959731544</v>
      </c>
      <c r="S933" s="33">
        <f t="shared" si="316"/>
        <v>-1</v>
      </c>
      <c r="T933" s="27"/>
      <c r="U933" s="28">
        <f t="shared" si="317"/>
        <v>0.10964912280701754</v>
      </c>
      <c r="V933" s="25">
        <f t="shared" si="318"/>
        <v>999</v>
      </c>
      <c r="W933" s="35">
        <f t="shared" si="330"/>
        <v>25</v>
      </c>
      <c r="X933" s="33">
        <f t="shared" si="319"/>
        <v>25</v>
      </c>
      <c r="Y933" s="32">
        <f t="shared" si="320"/>
        <v>-1</v>
      </c>
      <c r="Z933" s="32"/>
      <c r="AA933" s="30">
        <f t="shared" si="321"/>
        <v>25.311601150527324</v>
      </c>
      <c r="AB933" s="28">
        <f t="shared" si="322"/>
        <v>0.74926194953544878</v>
      </c>
      <c r="AC933" s="28">
        <f t="shared" si="323"/>
        <v>0.10964912280701754</v>
      </c>
      <c r="AD933" s="29">
        <f t="shared" si="324"/>
        <v>876.6603415559772</v>
      </c>
      <c r="AE933" s="28">
        <f t="shared" si="325"/>
        <v>0.10964912280701754</v>
      </c>
      <c r="AF933" s="28">
        <f t="shared" si="326"/>
        <v>0</v>
      </c>
      <c r="AG933" s="28">
        <f t="shared" si="327"/>
        <v>0</v>
      </c>
      <c r="AI933" s="31">
        <f t="shared" si="328"/>
        <v>4.2559930890955409</v>
      </c>
      <c r="AJ933" s="25"/>
      <c r="AK933" s="31"/>
      <c r="AM933" s="27"/>
    </row>
    <row r="934" spans="4:39" x14ac:dyDescent="0.25">
      <c r="D934" s="25">
        <f>E934*'Profit per cycles Model'!$I$113</f>
        <v>9250</v>
      </c>
      <c r="E934" s="25">
        <v>25.338994658265989</v>
      </c>
      <c r="F934" s="28">
        <f t="shared" si="309"/>
        <v>0.10810810810810811</v>
      </c>
      <c r="G934" s="28">
        <f>'Battery Pricing Model'!$C$17/D934</f>
        <v>0.10810810810810811</v>
      </c>
      <c r="H934" s="28">
        <f t="shared" si="310"/>
        <v>999</v>
      </c>
      <c r="I934" s="28"/>
      <c r="J934" s="34">
        <f>INDEX('Profit per cycles Model'!$I$149:$I$179, MATCH(TRUNC(E934, 0), 'Profit per cycles Model'!$H$149:$H$179, 0))</f>
        <v>0.74926194953544878</v>
      </c>
      <c r="K934" s="27">
        <f>AVERAGE($J$10:J1934)</f>
        <v>0.56883042089778579</v>
      </c>
      <c r="L934" s="28">
        <f t="shared" si="311"/>
        <v>0.46072231278967768</v>
      </c>
      <c r="M934" s="28">
        <f t="shared" si="312"/>
        <v>0.46072231278967768</v>
      </c>
      <c r="N934" s="28">
        <f t="shared" si="313"/>
        <v>999</v>
      </c>
      <c r="O934" s="28"/>
      <c r="P934" s="29">
        <f t="shared" si="329"/>
        <v>0.92500000000000071</v>
      </c>
      <c r="Q934" s="33">
        <f t="shared" si="314"/>
        <v>6.7114093959731544</v>
      </c>
      <c r="R934" s="33">
        <f t="shared" si="315"/>
        <v>6.7114093959731544</v>
      </c>
      <c r="S934" s="33">
        <f t="shared" si="316"/>
        <v>-1</v>
      </c>
      <c r="T934" s="27"/>
      <c r="U934" s="28">
        <f t="shared" si="317"/>
        <v>0.10964912280701754</v>
      </c>
      <c r="V934" s="25">
        <f t="shared" si="318"/>
        <v>999</v>
      </c>
      <c r="W934" s="35">
        <f t="shared" si="330"/>
        <v>25</v>
      </c>
      <c r="X934" s="33">
        <f t="shared" si="319"/>
        <v>25</v>
      </c>
      <c r="Y934" s="32">
        <f t="shared" si="320"/>
        <v>-1</v>
      </c>
      <c r="Z934" s="32"/>
      <c r="AA934" s="30">
        <f t="shared" si="321"/>
        <v>25.338994658265989</v>
      </c>
      <c r="AB934" s="28">
        <f t="shared" si="322"/>
        <v>0.74926194953544878</v>
      </c>
      <c r="AC934" s="28">
        <f t="shared" si="323"/>
        <v>0.10964912280701754</v>
      </c>
      <c r="AD934" s="29">
        <f t="shared" si="324"/>
        <v>877.6091081593928</v>
      </c>
      <c r="AE934" s="28">
        <f t="shared" si="325"/>
        <v>0.10964912280701754</v>
      </c>
      <c r="AF934" s="28">
        <f t="shared" si="326"/>
        <v>0</v>
      </c>
      <c r="AG934" s="28">
        <f t="shared" si="327"/>
        <v>0</v>
      </c>
      <c r="AI934" s="31">
        <f t="shared" si="328"/>
        <v>4.2616813933045181</v>
      </c>
      <c r="AJ934" s="25"/>
      <c r="AK934" s="31"/>
      <c r="AM934" s="27"/>
    </row>
    <row r="935" spans="4:39" x14ac:dyDescent="0.25">
      <c r="D935" s="25">
        <f>E935*'Profit per cycles Model'!$I$113</f>
        <v>9260</v>
      </c>
      <c r="E935" s="25">
        <v>25.366388166004658</v>
      </c>
      <c r="F935" s="28">
        <f t="shared" si="309"/>
        <v>0.10799136069114471</v>
      </c>
      <c r="G935" s="28">
        <f>'Battery Pricing Model'!$C$17/D935</f>
        <v>0.10799136069114471</v>
      </c>
      <c r="H935" s="28">
        <f t="shared" si="310"/>
        <v>999</v>
      </c>
      <c r="I935" s="28"/>
      <c r="J935" s="34">
        <f>INDEX('Profit per cycles Model'!$I$149:$I$179, MATCH(TRUNC(E935, 0), 'Profit per cycles Model'!$H$149:$H$179, 0))</f>
        <v>0.74926194953544878</v>
      </c>
      <c r="K935" s="27">
        <f>AVERAGE($J$10:J1935)</f>
        <v>0.56883042089778579</v>
      </c>
      <c r="L935" s="28">
        <f t="shared" si="311"/>
        <v>0.46083906020664112</v>
      </c>
      <c r="M935" s="28">
        <f t="shared" si="312"/>
        <v>0.46083906020664112</v>
      </c>
      <c r="N935" s="28">
        <f t="shared" si="313"/>
        <v>999</v>
      </c>
      <c r="O935" s="28"/>
      <c r="P935" s="29">
        <f t="shared" si="329"/>
        <v>0.92600000000000071</v>
      </c>
      <c r="Q935" s="33">
        <f t="shared" si="314"/>
        <v>6.7114093959731544</v>
      </c>
      <c r="R935" s="33">
        <f t="shared" si="315"/>
        <v>6.7114093959731544</v>
      </c>
      <c r="S935" s="33">
        <f t="shared" si="316"/>
        <v>-1</v>
      </c>
      <c r="T935" s="27"/>
      <c r="U935" s="28">
        <f t="shared" si="317"/>
        <v>0.10964912280701754</v>
      </c>
      <c r="V935" s="25">
        <f t="shared" si="318"/>
        <v>999</v>
      </c>
      <c r="W935" s="35">
        <f t="shared" si="330"/>
        <v>25</v>
      </c>
      <c r="X935" s="33">
        <f t="shared" si="319"/>
        <v>25</v>
      </c>
      <c r="Y935" s="32">
        <f t="shared" si="320"/>
        <v>-1</v>
      </c>
      <c r="Z935" s="32"/>
      <c r="AA935" s="30">
        <f t="shared" si="321"/>
        <v>25.366388166004658</v>
      </c>
      <c r="AB935" s="28">
        <f t="shared" si="322"/>
        <v>0.74926194953544878</v>
      </c>
      <c r="AC935" s="28">
        <f t="shared" si="323"/>
        <v>0.10964912280701754</v>
      </c>
      <c r="AD935" s="29">
        <f t="shared" si="324"/>
        <v>878.55787476280841</v>
      </c>
      <c r="AE935" s="28">
        <f t="shared" si="325"/>
        <v>0.10964912280701754</v>
      </c>
      <c r="AF935" s="28">
        <f t="shared" si="326"/>
        <v>0</v>
      </c>
      <c r="AG935" s="28">
        <f t="shared" si="327"/>
        <v>0</v>
      </c>
      <c r="AI935" s="31">
        <f t="shared" si="328"/>
        <v>4.2673696975134972</v>
      </c>
      <c r="AJ935" s="25"/>
      <c r="AK935" s="31"/>
      <c r="AM935" s="27"/>
    </row>
    <row r="936" spans="4:39" x14ac:dyDescent="0.25">
      <c r="D936" s="25">
        <f>E936*'Profit per cycles Model'!$I$113</f>
        <v>9270</v>
      </c>
      <c r="E936" s="25">
        <v>25.393781673743323</v>
      </c>
      <c r="F936" s="28">
        <f t="shared" si="309"/>
        <v>0.10787486515641856</v>
      </c>
      <c r="G936" s="28">
        <f>'Battery Pricing Model'!$C$17/D936</f>
        <v>0.10787486515641856</v>
      </c>
      <c r="H936" s="28">
        <f t="shared" si="310"/>
        <v>999</v>
      </c>
      <c r="I936" s="28"/>
      <c r="J936" s="34">
        <f>INDEX('Profit per cycles Model'!$I$149:$I$179, MATCH(TRUNC(E936, 0), 'Profit per cycles Model'!$H$149:$H$179, 0))</f>
        <v>0.74926194953544878</v>
      </c>
      <c r="K936" s="27">
        <f>AVERAGE($J$10:J1936)</f>
        <v>0.56883042089778579</v>
      </c>
      <c r="L936" s="28">
        <f t="shared" si="311"/>
        <v>0.46095555574136726</v>
      </c>
      <c r="M936" s="28">
        <f t="shared" si="312"/>
        <v>0.46095555574136726</v>
      </c>
      <c r="N936" s="28">
        <f t="shared" si="313"/>
        <v>999</v>
      </c>
      <c r="O936" s="28"/>
      <c r="P936" s="29">
        <f t="shared" si="329"/>
        <v>0.92700000000000071</v>
      </c>
      <c r="Q936" s="33">
        <f t="shared" si="314"/>
        <v>6.7114093959731544</v>
      </c>
      <c r="R936" s="33">
        <f t="shared" si="315"/>
        <v>6.7114093959731544</v>
      </c>
      <c r="S936" s="33">
        <f t="shared" si="316"/>
        <v>-1</v>
      </c>
      <c r="T936" s="27"/>
      <c r="U936" s="28">
        <f t="shared" si="317"/>
        <v>0.10964912280701754</v>
      </c>
      <c r="V936" s="25">
        <f t="shared" si="318"/>
        <v>999</v>
      </c>
      <c r="W936" s="35">
        <f t="shared" si="330"/>
        <v>25</v>
      </c>
      <c r="X936" s="33">
        <f t="shared" si="319"/>
        <v>25</v>
      </c>
      <c r="Y936" s="32">
        <f t="shared" si="320"/>
        <v>-1</v>
      </c>
      <c r="Z936" s="32"/>
      <c r="AA936" s="30">
        <f t="shared" si="321"/>
        <v>25.393781673743323</v>
      </c>
      <c r="AB936" s="28">
        <f t="shared" si="322"/>
        <v>0.74926194953544878</v>
      </c>
      <c r="AC936" s="28">
        <f t="shared" si="323"/>
        <v>0.10964912280701754</v>
      </c>
      <c r="AD936" s="29">
        <f t="shared" si="324"/>
        <v>879.50664136622402</v>
      </c>
      <c r="AE936" s="28">
        <f t="shared" si="325"/>
        <v>0.10964912280701754</v>
      </c>
      <c r="AF936" s="28">
        <f t="shared" si="326"/>
        <v>0</v>
      </c>
      <c r="AG936" s="28">
        <f t="shared" si="327"/>
        <v>0</v>
      </c>
      <c r="AI936" s="31">
        <f t="shared" si="328"/>
        <v>4.2730580017224744</v>
      </c>
      <c r="AJ936" s="25"/>
      <c r="AK936" s="31"/>
      <c r="AM936" s="27"/>
    </row>
    <row r="937" spans="4:39" x14ac:dyDescent="0.25">
      <c r="D937" s="25">
        <f>E937*'Profit per cycles Model'!$I$113</f>
        <v>9280</v>
      </c>
      <c r="E937" s="25">
        <v>25.421175181481988</v>
      </c>
      <c r="F937" s="28">
        <f t="shared" si="309"/>
        <v>0.10775862068965517</v>
      </c>
      <c r="G937" s="28">
        <f>'Battery Pricing Model'!$C$17/D937</f>
        <v>0.10775862068965517</v>
      </c>
      <c r="H937" s="28">
        <f t="shared" si="310"/>
        <v>999</v>
      </c>
      <c r="I937" s="28"/>
      <c r="J937" s="34">
        <f>INDEX('Profit per cycles Model'!$I$149:$I$179, MATCH(TRUNC(E937, 0), 'Profit per cycles Model'!$H$149:$H$179, 0))</f>
        <v>0.74926194953544878</v>
      </c>
      <c r="K937" s="27">
        <f>AVERAGE($J$10:J1937)</f>
        <v>0.56883042089778579</v>
      </c>
      <c r="L937" s="28">
        <f t="shared" si="311"/>
        <v>0.46107180020813066</v>
      </c>
      <c r="M937" s="28">
        <f t="shared" si="312"/>
        <v>0.46107180020813066</v>
      </c>
      <c r="N937" s="28">
        <f t="shared" si="313"/>
        <v>999</v>
      </c>
      <c r="O937" s="28"/>
      <c r="P937" s="29">
        <f t="shared" si="329"/>
        <v>0.92800000000000071</v>
      </c>
      <c r="Q937" s="33">
        <f t="shared" si="314"/>
        <v>6.7114093959731544</v>
      </c>
      <c r="R937" s="33">
        <f t="shared" si="315"/>
        <v>6.7114093959731544</v>
      </c>
      <c r="S937" s="33">
        <f t="shared" si="316"/>
        <v>-1</v>
      </c>
      <c r="T937" s="27"/>
      <c r="U937" s="28">
        <f t="shared" si="317"/>
        <v>0.10964912280701754</v>
      </c>
      <c r="V937" s="25">
        <f t="shared" si="318"/>
        <v>999</v>
      </c>
      <c r="W937" s="35">
        <f t="shared" si="330"/>
        <v>25</v>
      </c>
      <c r="X937" s="33">
        <f t="shared" si="319"/>
        <v>25</v>
      </c>
      <c r="Y937" s="32">
        <f t="shared" si="320"/>
        <v>-1</v>
      </c>
      <c r="Z937" s="32"/>
      <c r="AA937" s="30">
        <f t="shared" si="321"/>
        <v>25.421175181481988</v>
      </c>
      <c r="AB937" s="28">
        <f t="shared" si="322"/>
        <v>0.74926194953544878</v>
      </c>
      <c r="AC937" s="28">
        <f t="shared" si="323"/>
        <v>0.10964912280701754</v>
      </c>
      <c r="AD937" s="29">
        <f t="shared" si="324"/>
        <v>880.45540796963951</v>
      </c>
      <c r="AE937" s="28">
        <f t="shared" si="325"/>
        <v>0.10964912280701754</v>
      </c>
      <c r="AF937" s="28">
        <f t="shared" si="326"/>
        <v>0</v>
      </c>
      <c r="AG937" s="28">
        <f t="shared" si="327"/>
        <v>0</v>
      </c>
      <c r="AI937" s="31">
        <f t="shared" si="328"/>
        <v>4.2787463059314526</v>
      </c>
      <c r="AJ937" s="25"/>
      <c r="AK937" s="31"/>
      <c r="AM937" s="27"/>
    </row>
    <row r="938" spans="4:39" x14ac:dyDescent="0.25">
      <c r="D938" s="25">
        <f>E938*'Profit per cycles Model'!$I$113</f>
        <v>9290</v>
      </c>
      <c r="E938" s="25">
        <v>25.448568689220654</v>
      </c>
      <c r="F938" s="28">
        <f t="shared" si="309"/>
        <v>0.10764262648008611</v>
      </c>
      <c r="G938" s="28">
        <f>'Battery Pricing Model'!$C$17/D938</f>
        <v>0.10764262648008611</v>
      </c>
      <c r="H938" s="28">
        <f t="shared" si="310"/>
        <v>999</v>
      </c>
      <c r="I938" s="28"/>
      <c r="J938" s="34">
        <f>INDEX('Profit per cycles Model'!$I$149:$I$179, MATCH(TRUNC(E938, 0), 'Profit per cycles Model'!$H$149:$H$179, 0))</f>
        <v>0.74926194953544878</v>
      </c>
      <c r="K938" s="27">
        <f>AVERAGE($J$10:J1938)</f>
        <v>0.56883042089778579</v>
      </c>
      <c r="L938" s="28">
        <f t="shared" si="311"/>
        <v>0.46118779441769969</v>
      </c>
      <c r="M938" s="28">
        <f t="shared" si="312"/>
        <v>0.46118779441769969</v>
      </c>
      <c r="N938" s="28">
        <f t="shared" si="313"/>
        <v>999</v>
      </c>
      <c r="O938" s="28"/>
      <c r="P938" s="29">
        <f t="shared" si="329"/>
        <v>0.92900000000000071</v>
      </c>
      <c r="Q938" s="33">
        <f t="shared" si="314"/>
        <v>6.7114093959731544</v>
      </c>
      <c r="R938" s="33">
        <f t="shared" si="315"/>
        <v>6.7114093959731544</v>
      </c>
      <c r="S938" s="33">
        <f t="shared" si="316"/>
        <v>-1</v>
      </c>
      <c r="T938" s="27"/>
      <c r="U938" s="28">
        <f t="shared" si="317"/>
        <v>0.10964912280701754</v>
      </c>
      <c r="V938" s="25">
        <f t="shared" si="318"/>
        <v>999</v>
      </c>
      <c r="W938" s="35">
        <f t="shared" si="330"/>
        <v>25</v>
      </c>
      <c r="X938" s="33">
        <f t="shared" si="319"/>
        <v>25</v>
      </c>
      <c r="Y938" s="32">
        <f t="shared" si="320"/>
        <v>-1</v>
      </c>
      <c r="Z938" s="32"/>
      <c r="AA938" s="30">
        <f t="shared" si="321"/>
        <v>25.448568689220654</v>
      </c>
      <c r="AB938" s="28">
        <f t="shared" si="322"/>
        <v>0.74926194953544878</v>
      </c>
      <c r="AC938" s="28">
        <f t="shared" si="323"/>
        <v>0.10964912280701754</v>
      </c>
      <c r="AD938" s="29">
        <f t="shared" si="324"/>
        <v>881.404174573055</v>
      </c>
      <c r="AE938" s="28">
        <f t="shared" si="325"/>
        <v>0.10964912280701754</v>
      </c>
      <c r="AF938" s="28">
        <f t="shared" si="326"/>
        <v>0</v>
      </c>
      <c r="AG938" s="28">
        <f t="shared" si="327"/>
        <v>0</v>
      </c>
      <c r="AI938" s="31">
        <f t="shared" si="328"/>
        <v>4.2844346101404298</v>
      </c>
      <c r="AJ938" s="25"/>
      <c r="AK938" s="31"/>
      <c r="AM938" s="27"/>
    </row>
    <row r="939" spans="4:39" x14ac:dyDescent="0.25">
      <c r="D939" s="25">
        <f>E939*'Profit per cycles Model'!$I$113</f>
        <v>9300</v>
      </c>
      <c r="E939" s="25">
        <v>25.475962196959319</v>
      </c>
      <c r="F939" s="28">
        <f t="shared" si="309"/>
        <v>0.10752688172043011</v>
      </c>
      <c r="G939" s="28">
        <f>'Battery Pricing Model'!$C$17/D939</f>
        <v>0.10752688172043011</v>
      </c>
      <c r="H939" s="28">
        <f t="shared" si="310"/>
        <v>999</v>
      </c>
      <c r="I939" s="28"/>
      <c r="J939" s="34">
        <f>INDEX('Profit per cycles Model'!$I$149:$I$179, MATCH(TRUNC(E939, 0), 'Profit per cycles Model'!$H$149:$H$179, 0))</f>
        <v>0.74926194953544878</v>
      </c>
      <c r="K939" s="27">
        <f>AVERAGE($J$10:J1939)</f>
        <v>0.56883042089778579</v>
      </c>
      <c r="L939" s="28">
        <f t="shared" si="311"/>
        <v>0.46130353917735567</v>
      </c>
      <c r="M939" s="28">
        <f t="shared" si="312"/>
        <v>0.46130353917735567</v>
      </c>
      <c r="N939" s="28">
        <f t="shared" si="313"/>
        <v>999</v>
      </c>
      <c r="O939" s="28"/>
      <c r="P939" s="29">
        <f t="shared" si="329"/>
        <v>0.93000000000000071</v>
      </c>
      <c r="Q939" s="33">
        <f t="shared" si="314"/>
        <v>6.7114093959731544</v>
      </c>
      <c r="R939" s="33">
        <f t="shared" si="315"/>
        <v>6.7114093959731544</v>
      </c>
      <c r="S939" s="33">
        <f t="shared" si="316"/>
        <v>-1</v>
      </c>
      <c r="T939" s="27"/>
      <c r="U939" s="28">
        <f t="shared" si="317"/>
        <v>0.10964912280701754</v>
      </c>
      <c r="V939" s="25">
        <f t="shared" si="318"/>
        <v>999</v>
      </c>
      <c r="W939" s="35">
        <f t="shared" si="330"/>
        <v>25</v>
      </c>
      <c r="X939" s="33">
        <f t="shared" si="319"/>
        <v>25</v>
      </c>
      <c r="Y939" s="32">
        <f t="shared" si="320"/>
        <v>-1</v>
      </c>
      <c r="Z939" s="32"/>
      <c r="AA939" s="30">
        <f t="shared" si="321"/>
        <v>25.475962196959319</v>
      </c>
      <c r="AB939" s="28">
        <f t="shared" si="322"/>
        <v>0.74926194953544878</v>
      </c>
      <c r="AC939" s="28">
        <f t="shared" si="323"/>
        <v>0.10964912280701754</v>
      </c>
      <c r="AD939" s="29">
        <f t="shared" si="324"/>
        <v>882.35294117647061</v>
      </c>
      <c r="AE939" s="28">
        <f t="shared" si="325"/>
        <v>0.10964912280701754</v>
      </c>
      <c r="AF939" s="28">
        <f t="shared" si="326"/>
        <v>0</v>
      </c>
      <c r="AG939" s="28">
        <f t="shared" si="327"/>
        <v>0</v>
      </c>
      <c r="AI939" s="31">
        <f t="shared" si="328"/>
        <v>4.290122914349408</v>
      </c>
      <c r="AJ939" s="25"/>
      <c r="AK939" s="31"/>
      <c r="AM939" s="27"/>
    </row>
    <row r="940" spans="4:39" x14ac:dyDescent="0.25">
      <c r="D940" s="25">
        <f>E940*'Profit per cycles Model'!$I$113</f>
        <v>9310</v>
      </c>
      <c r="E940" s="25">
        <v>25.503355704697984</v>
      </c>
      <c r="F940" s="28">
        <f t="shared" si="309"/>
        <v>0.10741138560687433</v>
      </c>
      <c r="G940" s="28">
        <f>'Battery Pricing Model'!$C$17/D940</f>
        <v>0.10741138560687433</v>
      </c>
      <c r="H940" s="28">
        <f t="shared" si="310"/>
        <v>999</v>
      </c>
      <c r="I940" s="28"/>
      <c r="J940" s="34">
        <f>INDEX('Profit per cycles Model'!$I$149:$I$179, MATCH(TRUNC(E940, 0), 'Profit per cycles Model'!$H$149:$H$179, 0))</f>
        <v>0.74926194953544878</v>
      </c>
      <c r="K940" s="27">
        <f>AVERAGE($J$10:J1940)</f>
        <v>0.56883042089778579</v>
      </c>
      <c r="L940" s="28">
        <f t="shared" si="311"/>
        <v>0.46141903529091144</v>
      </c>
      <c r="M940" s="28">
        <f t="shared" si="312"/>
        <v>0.46141903529091144</v>
      </c>
      <c r="N940" s="28">
        <f t="shared" si="313"/>
        <v>999</v>
      </c>
      <c r="O940" s="28"/>
      <c r="P940" s="29">
        <f t="shared" si="329"/>
        <v>0.93100000000000072</v>
      </c>
      <c r="Q940" s="33">
        <f t="shared" si="314"/>
        <v>6.7114093959731544</v>
      </c>
      <c r="R940" s="33">
        <f t="shared" si="315"/>
        <v>6.7114093959731544</v>
      </c>
      <c r="S940" s="33">
        <f t="shared" si="316"/>
        <v>-1</v>
      </c>
      <c r="T940" s="27"/>
      <c r="U940" s="28">
        <f t="shared" si="317"/>
        <v>0.10964912280701754</v>
      </c>
      <c r="V940" s="25">
        <f t="shared" si="318"/>
        <v>999</v>
      </c>
      <c r="W940" s="35">
        <f t="shared" si="330"/>
        <v>25</v>
      </c>
      <c r="X940" s="33">
        <f t="shared" si="319"/>
        <v>25</v>
      </c>
      <c r="Y940" s="32">
        <f t="shared" si="320"/>
        <v>-1</v>
      </c>
      <c r="Z940" s="32"/>
      <c r="AA940" s="30">
        <f t="shared" si="321"/>
        <v>25.503355704697984</v>
      </c>
      <c r="AB940" s="28">
        <f t="shared" si="322"/>
        <v>0.74926194953544878</v>
      </c>
      <c r="AC940" s="28">
        <f t="shared" si="323"/>
        <v>0.10964912280701754</v>
      </c>
      <c r="AD940" s="29">
        <f t="shared" si="324"/>
        <v>883.3017077798861</v>
      </c>
      <c r="AE940" s="28">
        <f t="shared" si="325"/>
        <v>0.10964912280701754</v>
      </c>
      <c r="AF940" s="28">
        <f t="shared" si="326"/>
        <v>0</v>
      </c>
      <c r="AG940" s="28">
        <f t="shared" si="327"/>
        <v>0</v>
      </c>
      <c r="AI940" s="31">
        <f t="shared" si="328"/>
        <v>4.2958112185583852</v>
      </c>
      <c r="AJ940" s="25"/>
      <c r="AK940" s="31"/>
      <c r="AM940" s="27"/>
    </row>
    <row r="941" spans="4:39" x14ac:dyDescent="0.25">
      <c r="D941" s="25">
        <f>E941*'Profit per cycles Model'!$I$113</f>
        <v>9320</v>
      </c>
      <c r="E941" s="25">
        <v>25.530749212436653</v>
      </c>
      <c r="F941" s="28">
        <f t="shared" si="309"/>
        <v>0.1072961373390558</v>
      </c>
      <c r="G941" s="28">
        <f>'Battery Pricing Model'!$C$17/D941</f>
        <v>0.1072961373390558</v>
      </c>
      <c r="H941" s="28">
        <f t="shared" si="310"/>
        <v>999</v>
      </c>
      <c r="I941" s="28"/>
      <c r="J941" s="34">
        <f>INDEX('Profit per cycles Model'!$I$149:$I$179, MATCH(TRUNC(E941, 0), 'Profit per cycles Model'!$H$149:$H$179, 0))</f>
        <v>0.74926194953544878</v>
      </c>
      <c r="K941" s="27">
        <f>AVERAGE($J$10:J1941)</f>
        <v>0.56883042089778579</v>
      </c>
      <c r="L941" s="28">
        <f t="shared" si="311"/>
        <v>0.46153428355873</v>
      </c>
      <c r="M941" s="28">
        <f t="shared" si="312"/>
        <v>0.46153428355873</v>
      </c>
      <c r="N941" s="28">
        <f t="shared" si="313"/>
        <v>999</v>
      </c>
      <c r="O941" s="28"/>
      <c r="P941" s="29">
        <f t="shared" si="329"/>
        <v>0.93200000000000072</v>
      </c>
      <c r="Q941" s="33">
        <f t="shared" si="314"/>
        <v>6.7114093959731544</v>
      </c>
      <c r="R941" s="33">
        <f t="shared" si="315"/>
        <v>6.7114093959731544</v>
      </c>
      <c r="S941" s="33">
        <f t="shared" si="316"/>
        <v>-1</v>
      </c>
      <c r="T941" s="27"/>
      <c r="U941" s="28">
        <f t="shared" si="317"/>
        <v>0.10964912280701754</v>
      </c>
      <c r="V941" s="25">
        <f t="shared" si="318"/>
        <v>999</v>
      </c>
      <c r="W941" s="35">
        <f t="shared" si="330"/>
        <v>25</v>
      </c>
      <c r="X941" s="33">
        <f t="shared" si="319"/>
        <v>25</v>
      </c>
      <c r="Y941" s="32">
        <f t="shared" si="320"/>
        <v>-1</v>
      </c>
      <c r="Z941" s="32"/>
      <c r="AA941" s="30">
        <f t="shared" si="321"/>
        <v>25.530749212436653</v>
      </c>
      <c r="AB941" s="28">
        <f t="shared" si="322"/>
        <v>0.74926194953544878</v>
      </c>
      <c r="AC941" s="28">
        <f t="shared" si="323"/>
        <v>0.10964912280701754</v>
      </c>
      <c r="AD941" s="29">
        <f t="shared" si="324"/>
        <v>884.25047438330182</v>
      </c>
      <c r="AE941" s="28">
        <f t="shared" si="325"/>
        <v>0.10964912280701754</v>
      </c>
      <c r="AF941" s="28">
        <f t="shared" si="326"/>
        <v>0</v>
      </c>
      <c r="AG941" s="28">
        <f t="shared" si="327"/>
        <v>0</v>
      </c>
      <c r="AI941" s="31">
        <f t="shared" si="328"/>
        <v>4.3014995227673634</v>
      </c>
      <c r="AJ941" s="25"/>
      <c r="AK941" s="31"/>
      <c r="AM941" s="27"/>
    </row>
    <row r="942" spans="4:39" x14ac:dyDescent="0.25">
      <c r="D942" s="25">
        <f>E942*'Profit per cycles Model'!$I$113</f>
        <v>9330</v>
      </c>
      <c r="E942" s="25">
        <v>25.558142720175319</v>
      </c>
      <c r="F942" s="28">
        <f t="shared" si="309"/>
        <v>0.10718113612004287</v>
      </c>
      <c r="G942" s="28">
        <f>'Battery Pricing Model'!$C$17/D942</f>
        <v>0.10718113612004287</v>
      </c>
      <c r="H942" s="28">
        <f t="shared" si="310"/>
        <v>999</v>
      </c>
      <c r="I942" s="28"/>
      <c r="J942" s="34">
        <f>INDEX('Profit per cycles Model'!$I$149:$I$179, MATCH(TRUNC(E942, 0), 'Profit per cycles Model'!$H$149:$H$179, 0))</f>
        <v>0.74926194953544878</v>
      </c>
      <c r="K942" s="27">
        <f>AVERAGE($J$10:J1942)</f>
        <v>0.56883042089778579</v>
      </c>
      <c r="L942" s="28">
        <f t="shared" si="311"/>
        <v>0.46164928477774292</v>
      </c>
      <c r="M942" s="28">
        <f t="shared" si="312"/>
        <v>0.46164928477774292</v>
      </c>
      <c r="N942" s="28">
        <f t="shared" si="313"/>
        <v>999</v>
      </c>
      <c r="O942" s="28"/>
      <c r="P942" s="29">
        <f t="shared" si="329"/>
        <v>0.93300000000000072</v>
      </c>
      <c r="Q942" s="33">
        <f t="shared" si="314"/>
        <v>6.7114093959731544</v>
      </c>
      <c r="R942" s="33">
        <f t="shared" si="315"/>
        <v>6.7114093959731544</v>
      </c>
      <c r="S942" s="33">
        <f t="shared" si="316"/>
        <v>-1</v>
      </c>
      <c r="T942" s="27"/>
      <c r="U942" s="28">
        <f t="shared" si="317"/>
        <v>0.10964912280701754</v>
      </c>
      <c r="V942" s="25">
        <f t="shared" si="318"/>
        <v>999</v>
      </c>
      <c r="W942" s="35">
        <f t="shared" si="330"/>
        <v>25</v>
      </c>
      <c r="X942" s="33">
        <f t="shared" si="319"/>
        <v>25</v>
      </c>
      <c r="Y942" s="32">
        <f t="shared" si="320"/>
        <v>-1</v>
      </c>
      <c r="Z942" s="32"/>
      <c r="AA942" s="30">
        <f t="shared" si="321"/>
        <v>25.558142720175319</v>
      </c>
      <c r="AB942" s="28">
        <f t="shared" si="322"/>
        <v>0.74926194953544878</v>
      </c>
      <c r="AC942" s="28">
        <f t="shared" si="323"/>
        <v>0.10964912280701754</v>
      </c>
      <c r="AD942" s="29">
        <f t="shared" si="324"/>
        <v>885.19924098671731</v>
      </c>
      <c r="AE942" s="28">
        <f t="shared" si="325"/>
        <v>0.10964912280701754</v>
      </c>
      <c r="AF942" s="28">
        <f t="shared" si="326"/>
        <v>0</v>
      </c>
      <c r="AG942" s="28">
        <f t="shared" si="327"/>
        <v>0</v>
      </c>
      <c r="AI942" s="31">
        <f t="shared" si="328"/>
        <v>4.3071878269763415</v>
      </c>
      <c r="AJ942" s="25"/>
      <c r="AK942" s="31"/>
      <c r="AM942" s="27"/>
    </row>
    <row r="943" spans="4:39" x14ac:dyDescent="0.25">
      <c r="D943" s="25">
        <f>E943*'Profit per cycles Model'!$I$113</f>
        <v>9340</v>
      </c>
      <c r="E943" s="25">
        <v>25.585536227913984</v>
      </c>
      <c r="F943" s="28">
        <f t="shared" si="309"/>
        <v>0.10706638115631692</v>
      </c>
      <c r="G943" s="28">
        <f>'Battery Pricing Model'!$C$17/D943</f>
        <v>0.10706638115631692</v>
      </c>
      <c r="H943" s="28">
        <f t="shared" si="310"/>
        <v>999</v>
      </c>
      <c r="I943" s="28"/>
      <c r="J943" s="34">
        <f>INDEX('Profit per cycles Model'!$I$149:$I$179, MATCH(TRUNC(E943, 0), 'Profit per cycles Model'!$H$149:$H$179, 0))</f>
        <v>0.74926194953544878</v>
      </c>
      <c r="K943" s="27">
        <f>AVERAGE($J$10:J1943)</f>
        <v>0.56883042089778579</v>
      </c>
      <c r="L943" s="28">
        <f t="shared" si="311"/>
        <v>0.46176403974146885</v>
      </c>
      <c r="M943" s="28">
        <f t="shared" si="312"/>
        <v>0.46176403974146885</v>
      </c>
      <c r="N943" s="28">
        <f t="shared" si="313"/>
        <v>999</v>
      </c>
      <c r="O943" s="28"/>
      <c r="P943" s="29">
        <f t="shared" si="329"/>
        <v>0.93400000000000072</v>
      </c>
      <c r="Q943" s="33">
        <f t="shared" si="314"/>
        <v>6.7114093959731544</v>
      </c>
      <c r="R943" s="33">
        <f t="shared" si="315"/>
        <v>6.7114093959731544</v>
      </c>
      <c r="S943" s="33">
        <f t="shared" si="316"/>
        <v>-1</v>
      </c>
      <c r="T943" s="27"/>
      <c r="U943" s="28">
        <f t="shared" si="317"/>
        <v>0.10964912280701754</v>
      </c>
      <c r="V943" s="25">
        <f t="shared" si="318"/>
        <v>999</v>
      </c>
      <c r="W943" s="35">
        <f t="shared" si="330"/>
        <v>25</v>
      </c>
      <c r="X943" s="33">
        <f t="shared" si="319"/>
        <v>25</v>
      </c>
      <c r="Y943" s="32">
        <f t="shared" si="320"/>
        <v>-1</v>
      </c>
      <c r="Z943" s="32"/>
      <c r="AA943" s="30">
        <f t="shared" si="321"/>
        <v>25.585536227913984</v>
      </c>
      <c r="AB943" s="28">
        <f t="shared" si="322"/>
        <v>0.74926194953544878</v>
      </c>
      <c r="AC943" s="28">
        <f t="shared" si="323"/>
        <v>0.10964912280701754</v>
      </c>
      <c r="AD943" s="29">
        <f t="shared" si="324"/>
        <v>886.14800759013292</v>
      </c>
      <c r="AE943" s="28">
        <f t="shared" si="325"/>
        <v>0.10964912280701754</v>
      </c>
      <c r="AF943" s="28">
        <f t="shared" si="326"/>
        <v>0</v>
      </c>
      <c r="AG943" s="28">
        <f t="shared" si="327"/>
        <v>0</v>
      </c>
      <c r="AI943" s="31">
        <f t="shared" si="328"/>
        <v>4.3128761311853188</v>
      </c>
      <c r="AJ943" s="25"/>
      <c r="AK943" s="31"/>
      <c r="AM943" s="27"/>
    </row>
    <row r="944" spans="4:39" x14ac:dyDescent="0.25">
      <c r="D944" s="25">
        <f>E944*'Profit per cycles Model'!$I$113</f>
        <v>9350</v>
      </c>
      <c r="E944" s="25">
        <v>25.612929735652649</v>
      </c>
      <c r="F944" s="28">
        <f t="shared" si="309"/>
        <v>0.10695187165775401</v>
      </c>
      <c r="G944" s="28">
        <f>'Battery Pricing Model'!$C$17/D944</f>
        <v>0.10695187165775401</v>
      </c>
      <c r="H944" s="28">
        <f t="shared" si="310"/>
        <v>999</v>
      </c>
      <c r="I944" s="28"/>
      <c r="J944" s="34">
        <f>INDEX('Profit per cycles Model'!$I$149:$I$179, MATCH(TRUNC(E944, 0), 'Profit per cycles Model'!$H$149:$H$179, 0))</f>
        <v>0.74926194953544878</v>
      </c>
      <c r="K944" s="27">
        <f>AVERAGE($J$10:J1944)</f>
        <v>0.56883042089778579</v>
      </c>
      <c r="L944" s="28">
        <f t="shared" si="311"/>
        <v>0.4618785492400318</v>
      </c>
      <c r="M944" s="28">
        <f t="shared" si="312"/>
        <v>0.4618785492400318</v>
      </c>
      <c r="N944" s="28">
        <f t="shared" si="313"/>
        <v>999</v>
      </c>
      <c r="O944" s="28"/>
      <c r="P944" s="29">
        <f t="shared" si="329"/>
        <v>0.93500000000000072</v>
      </c>
      <c r="Q944" s="33">
        <f t="shared" si="314"/>
        <v>6.7114093959731544</v>
      </c>
      <c r="R944" s="33">
        <f t="shared" si="315"/>
        <v>6.7114093959731544</v>
      </c>
      <c r="S944" s="33">
        <f t="shared" si="316"/>
        <v>-1</v>
      </c>
      <c r="T944" s="27"/>
      <c r="U944" s="28">
        <f t="shared" si="317"/>
        <v>0.10964912280701754</v>
      </c>
      <c r="V944" s="25">
        <f t="shared" si="318"/>
        <v>999</v>
      </c>
      <c r="W944" s="35">
        <f t="shared" si="330"/>
        <v>25</v>
      </c>
      <c r="X944" s="33">
        <f t="shared" si="319"/>
        <v>25</v>
      </c>
      <c r="Y944" s="32">
        <f t="shared" si="320"/>
        <v>-1</v>
      </c>
      <c r="Z944" s="32"/>
      <c r="AA944" s="30">
        <f t="shared" si="321"/>
        <v>25.612929735652649</v>
      </c>
      <c r="AB944" s="28">
        <f t="shared" si="322"/>
        <v>0.74926194953544878</v>
      </c>
      <c r="AC944" s="28">
        <f t="shared" si="323"/>
        <v>0.10964912280701754</v>
      </c>
      <c r="AD944" s="29">
        <f t="shared" si="324"/>
        <v>887.0967741935483</v>
      </c>
      <c r="AE944" s="28">
        <f t="shared" si="325"/>
        <v>0.10964912280701754</v>
      </c>
      <c r="AF944" s="28">
        <f t="shared" si="326"/>
        <v>0</v>
      </c>
      <c r="AG944" s="28">
        <f t="shared" si="327"/>
        <v>0</v>
      </c>
      <c r="AI944" s="31">
        <f t="shared" si="328"/>
        <v>4.3185644353942978</v>
      </c>
      <c r="AJ944" s="25"/>
      <c r="AK944" s="31"/>
      <c r="AM944" s="27"/>
    </row>
    <row r="945" spans="4:39" x14ac:dyDescent="0.25">
      <c r="D945" s="25">
        <f>E945*'Profit per cycles Model'!$I$113</f>
        <v>9360</v>
      </c>
      <c r="E945" s="25">
        <v>25.640323243391315</v>
      </c>
      <c r="F945" s="28">
        <f t="shared" si="309"/>
        <v>0.10683760683760683</v>
      </c>
      <c r="G945" s="28">
        <f>'Battery Pricing Model'!$C$17/D945</f>
        <v>0.10683760683760683</v>
      </c>
      <c r="H945" s="28">
        <f t="shared" si="310"/>
        <v>999</v>
      </c>
      <c r="I945" s="28"/>
      <c r="J945" s="34">
        <f>INDEX('Profit per cycles Model'!$I$149:$I$179, MATCH(TRUNC(E945, 0), 'Profit per cycles Model'!$H$149:$H$179, 0))</f>
        <v>0.74926194953544878</v>
      </c>
      <c r="K945" s="27">
        <f>AVERAGE($J$10:J1945)</f>
        <v>0.56883042089778579</v>
      </c>
      <c r="L945" s="28">
        <f t="shared" si="311"/>
        <v>0.46199281406017895</v>
      </c>
      <c r="M945" s="28">
        <f t="shared" si="312"/>
        <v>0.46199281406017895</v>
      </c>
      <c r="N945" s="28">
        <f t="shared" si="313"/>
        <v>999</v>
      </c>
      <c r="O945" s="28"/>
      <c r="P945" s="29">
        <f t="shared" si="329"/>
        <v>0.93600000000000072</v>
      </c>
      <c r="Q945" s="33">
        <f t="shared" si="314"/>
        <v>6.7114093959731544</v>
      </c>
      <c r="R945" s="33">
        <f t="shared" si="315"/>
        <v>6.7114093959731544</v>
      </c>
      <c r="S945" s="33">
        <f t="shared" si="316"/>
        <v>-1</v>
      </c>
      <c r="T945" s="27"/>
      <c r="U945" s="28">
        <f t="shared" si="317"/>
        <v>0.10964912280701754</v>
      </c>
      <c r="V945" s="25">
        <f t="shared" si="318"/>
        <v>999</v>
      </c>
      <c r="W945" s="35">
        <f t="shared" si="330"/>
        <v>25</v>
      </c>
      <c r="X945" s="33">
        <f t="shared" si="319"/>
        <v>25</v>
      </c>
      <c r="Y945" s="32">
        <f t="shared" si="320"/>
        <v>-1</v>
      </c>
      <c r="Z945" s="32"/>
      <c r="AA945" s="30">
        <f t="shared" si="321"/>
        <v>25.640323243391315</v>
      </c>
      <c r="AB945" s="28">
        <f t="shared" si="322"/>
        <v>0.74926194953544878</v>
      </c>
      <c r="AC945" s="28">
        <f t="shared" si="323"/>
        <v>0.10964912280701754</v>
      </c>
      <c r="AD945" s="29">
        <f t="shared" si="324"/>
        <v>888.04554079696391</v>
      </c>
      <c r="AE945" s="28">
        <f t="shared" si="325"/>
        <v>0.10964912280701754</v>
      </c>
      <c r="AF945" s="28">
        <f t="shared" si="326"/>
        <v>0</v>
      </c>
      <c r="AG945" s="28">
        <f t="shared" si="327"/>
        <v>0</v>
      </c>
      <c r="AI945" s="31">
        <f t="shared" si="328"/>
        <v>4.3242527396032751</v>
      </c>
      <c r="AJ945" s="25"/>
      <c r="AK945" s="31"/>
      <c r="AM945" s="27"/>
    </row>
    <row r="946" spans="4:39" x14ac:dyDescent="0.25">
      <c r="D946" s="25">
        <f>E946*'Profit per cycles Model'!$I$113</f>
        <v>9370</v>
      </c>
      <c r="E946" s="25">
        <v>25.66771675112998</v>
      </c>
      <c r="F946" s="28">
        <f t="shared" si="309"/>
        <v>0.10672358591248667</v>
      </c>
      <c r="G946" s="28">
        <f>'Battery Pricing Model'!$C$17/D946</f>
        <v>0.10672358591248667</v>
      </c>
      <c r="H946" s="28">
        <f t="shared" si="310"/>
        <v>999</v>
      </c>
      <c r="I946" s="28"/>
      <c r="J946" s="34">
        <f>INDEX('Profit per cycles Model'!$I$149:$I$179, MATCH(TRUNC(E946, 0), 'Profit per cycles Model'!$H$149:$H$179, 0))</f>
        <v>0.74926194953544878</v>
      </c>
      <c r="K946" s="27">
        <f>AVERAGE($J$10:J1946)</f>
        <v>0.56883042089778579</v>
      </c>
      <c r="L946" s="28">
        <f t="shared" si="311"/>
        <v>0.46210683498529914</v>
      </c>
      <c r="M946" s="28">
        <f t="shared" si="312"/>
        <v>0.46210683498529914</v>
      </c>
      <c r="N946" s="28">
        <f t="shared" si="313"/>
        <v>999</v>
      </c>
      <c r="O946" s="28"/>
      <c r="P946" s="29">
        <f t="shared" si="329"/>
        <v>0.93700000000000072</v>
      </c>
      <c r="Q946" s="33">
        <f t="shared" si="314"/>
        <v>6.7114093959731544</v>
      </c>
      <c r="R946" s="33">
        <f t="shared" si="315"/>
        <v>6.7114093959731544</v>
      </c>
      <c r="S946" s="33">
        <f t="shared" si="316"/>
        <v>-1</v>
      </c>
      <c r="T946" s="27"/>
      <c r="U946" s="28">
        <f t="shared" si="317"/>
        <v>0.10964912280701754</v>
      </c>
      <c r="V946" s="25">
        <f t="shared" si="318"/>
        <v>999</v>
      </c>
      <c r="W946" s="35">
        <f t="shared" si="330"/>
        <v>25</v>
      </c>
      <c r="X946" s="33">
        <f t="shared" si="319"/>
        <v>25</v>
      </c>
      <c r="Y946" s="32">
        <f t="shared" si="320"/>
        <v>-1</v>
      </c>
      <c r="Z946" s="32"/>
      <c r="AA946" s="30">
        <f t="shared" si="321"/>
        <v>25.66771675112998</v>
      </c>
      <c r="AB946" s="28">
        <f t="shared" si="322"/>
        <v>0.74926194953544878</v>
      </c>
      <c r="AC946" s="28">
        <f t="shared" si="323"/>
        <v>0.10964912280701754</v>
      </c>
      <c r="AD946" s="29">
        <f t="shared" si="324"/>
        <v>888.99430740037951</v>
      </c>
      <c r="AE946" s="28">
        <f t="shared" si="325"/>
        <v>0.10964912280701754</v>
      </c>
      <c r="AF946" s="28">
        <f t="shared" si="326"/>
        <v>0</v>
      </c>
      <c r="AG946" s="28">
        <f t="shared" si="327"/>
        <v>0</v>
      </c>
      <c r="AI946" s="31">
        <f t="shared" si="328"/>
        <v>4.3299410438122523</v>
      </c>
      <c r="AJ946" s="25"/>
      <c r="AK946" s="31"/>
      <c r="AM946" s="27"/>
    </row>
    <row r="947" spans="4:39" x14ac:dyDescent="0.25">
      <c r="D947" s="25">
        <f>E947*'Profit per cycles Model'!$I$113</f>
        <v>9380</v>
      </c>
      <c r="E947" s="25">
        <v>25.695110258868649</v>
      </c>
      <c r="F947" s="28">
        <f t="shared" si="309"/>
        <v>0.10660980810234541</v>
      </c>
      <c r="G947" s="28">
        <f>'Battery Pricing Model'!$C$17/D947</f>
        <v>0.10660980810234541</v>
      </c>
      <c r="H947" s="28">
        <f t="shared" si="310"/>
        <v>999</v>
      </c>
      <c r="I947" s="28"/>
      <c r="J947" s="34">
        <f>INDEX('Profit per cycles Model'!$I$149:$I$179, MATCH(TRUNC(E947, 0), 'Profit per cycles Model'!$H$149:$H$179, 0))</f>
        <v>0.74926194953544878</v>
      </c>
      <c r="K947" s="27">
        <f>AVERAGE($J$10:J1947)</f>
        <v>0.56883042089778579</v>
      </c>
      <c r="L947" s="28">
        <f t="shared" si="311"/>
        <v>0.46222061279544036</v>
      </c>
      <c r="M947" s="28">
        <f t="shared" si="312"/>
        <v>0.46222061279544036</v>
      </c>
      <c r="N947" s="28">
        <f t="shared" si="313"/>
        <v>999</v>
      </c>
      <c r="O947" s="28"/>
      <c r="P947" s="29">
        <f t="shared" si="329"/>
        <v>0.93800000000000072</v>
      </c>
      <c r="Q947" s="33">
        <f t="shared" si="314"/>
        <v>6.7114093959731544</v>
      </c>
      <c r="R947" s="33">
        <f t="shared" si="315"/>
        <v>6.7114093959731544</v>
      </c>
      <c r="S947" s="33">
        <f t="shared" si="316"/>
        <v>-1</v>
      </c>
      <c r="T947" s="27"/>
      <c r="U947" s="28">
        <f t="shared" si="317"/>
        <v>0.10964912280701754</v>
      </c>
      <c r="V947" s="25">
        <f t="shared" si="318"/>
        <v>999</v>
      </c>
      <c r="W947" s="35">
        <f t="shared" si="330"/>
        <v>25</v>
      </c>
      <c r="X947" s="33">
        <f t="shared" si="319"/>
        <v>25</v>
      </c>
      <c r="Y947" s="32">
        <f t="shared" si="320"/>
        <v>-1</v>
      </c>
      <c r="Z947" s="32"/>
      <c r="AA947" s="30">
        <f t="shared" si="321"/>
        <v>25.695110258868649</v>
      </c>
      <c r="AB947" s="28">
        <f t="shared" si="322"/>
        <v>0.74926194953544878</v>
      </c>
      <c r="AC947" s="28">
        <f t="shared" si="323"/>
        <v>0.10964912280701754</v>
      </c>
      <c r="AD947" s="29">
        <f t="shared" si="324"/>
        <v>889.94307400379512</v>
      </c>
      <c r="AE947" s="28">
        <f t="shared" si="325"/>
        <v>0.10964912280701754</v>
      </c>
      <c r="AF947" s="28">
        <f t="shared" si="326"/>
        <v>0</v>
      </c>
      <c r="AG947" s="28">
        <f t="shared" si="327"/>
        <v>0</v>
      </c>
      <c r="AI947" s="31">
        <f t="shared" si="328"/>
        <v>4.3356293480212305</v>
      </c>
      <c r="AJ947" s="25"/>
      <c r="AK947" s="31"/>
      <c r="AM947" s="27"/>
    </row>
    <row r="948" spans="4:39" x14ac:dyDescent="0.25">
      <c r="D948" s="25">
        <f>E948*'Profit per cycles Model'!$I$113</f>
        <v>9390</v>
      </c>
      <c r="E948" s="25">
        <v>25.722503766607314</v>
      </c>
      <c r="F948" s="28">
        <f t="shared" si="309"/>
        <v>0.10649627263045794</v>
      </c>
      <c r="G948" s="28">
        <f>'Battery Pricing Model'!$C$17/D948</f>
        <v>0.10649627263045794</v>
      </c>
      <c r="H948" s="28">
        <f t="shared" si="310"/>
        <v>999</v>
      </c>
      <c r="I948" s="28"/>
      <c r="J948" s="34">
        <f>INDEX('Profit per cycles Model'!$I$149:$I$179, MATCH(TRUNC(E948, 0), 'Profit per cycles Model'!$H$149:$H$179, 0))</f>
        <v>0.74926194953544878</v>
      </c>
      <c r="K948" s="27">
        <f>AVERAGE($J$10:J1948)</f>
        <v>0.56883042089778579</v>
      </c>
      <c r="L948" s="28">
        <f t="shared" si="311"/>
        <v>0.46233414826732788</v>
      </c>
      <c r="M948" s="28">
        <f t="shared" si="312"/>
        <v>0.46233414826732788</v>
      </c>
      <c r="N948" s="28">
        <f t="shared" si="313"/>
        <v>999</v>
      </c>
      <c r="O948" s="28"/>
      <c r="P948" s="29">
        <f t="shared" si="329"/>
        <v>0.93900000000000072</v>
      </c>
      <c r="Q948" s="33">
        <f t="shared" si="314"/>
        <v>6.7114093959731544</v>
      </c>
      <c r="R948" s="33">
        <f t="shared" si="315"/>
        <v>6.7114093959731544</v>
      </c>
      <c r="S948" s="33">
        <f t="shared" si="316"/>
        <v>-1</v>
      </c>
      <c r="T948" s="27"/>
      <c r="U948" s="28">
        <f t="shared" si="317"/>
        <v>0.10964912280701754</v>
      </c>
      <c r="V948" s="25">
        <f t="shared" si="318"/>
        <v>999</v>
      </c>
      <c r="W948" s="35">
        <f t="shared" si="330"/>
        <v>25</v>
      </c>
      <c r="X948" s="33">
        <f t="shared" si="319"/>
        <v>25</v>
      </c>
      <c r="Y948" s="32">
        <f t="shared" si="320"/>
        <v>-1</v>
      </c>
      <c r="Z948" s="32"/>
      <c r="AA948" s="30">
        <f t="shared" si="321"/>
        <v>25.722503766607314</v>
      </c>
      <c r="AB948" s="28">
        <f t="shared" si="322"/>
        <v>0.74926194953544878</v>
      </c>
      <c r="AC948" s="28">
        <f t="shared" si="323"/>
        <v>0.10964912280701754</v>
      </c>
      <c r="AD948" s="29">
        <f t="shared" si="324"/>
        <v>890.89184060721072</v>
      </c>
      <c r="AE948" s="28">
        <f t="shared" si="325"/>
        <v>0.10964912280701754</v>
      </c>
      <c r="AF948" s="28">
        <f t="shared" si="326"/>
        <v>0</v>
      </c>
      <c r="AG948" s="28">
        <f t="shared" si="327"/>
        <v>0</v>
      </c>
      <c r="AI948" s="31">
        <f t="shared" si="328"/>
        <v>4.3413176522302086</v>
      </c>
      <c r="AJ948" s="25"/>
      <c r="AK948" s="31"/>
      <c r="AM948" s="27"/>
    </row>
    <row r="949" spans="4:39" x14ac:dyDescent="0.25">
      <c r="D949" s="25">
        <f>E949*'Profit per cycles Model'!$I$113</f>
        <v>9400</v>
      </c>
      <c r="E949" s="25">
        <v>25.74989727434598</v>
      </c>
      <c r="F949" s="28">
        <f t="shared" si="309"/>
        <v>0.10638297872340426</v>
      </c>
      <c r="G949" s="28">
        <f>'Battery Pricing Model'!$C$17/D949</f>
        <v>0.10638297872340426</v>
      </c>
      <c r="H949" s="28">
        <f t="shared" si="310"/>
        <v>999</v>
      </c>
      <c r="I949" s="28"/>
      <c r="J949" s="34">
        <f>INDEX('Profit per cycles Model'!$I$149:$I$179, MATCH(TRUNC(E949, 0), 'Profit per cycles Model'!$H$149:$H$179, 0))</f>
        <v>0.74926194953544878</v>
      </c>
      <c r="K949" s="27">
        <f>AVERAGE($J$10:J1949)</f>
        <v>0.56883042089778579</v>
      </c>
      <c r="L949" s="28">
        <f t="shared" si="311"/>
        <v>0.46244744217438155</v>
      </c>
      <c r="M949" s="28">
        <f t="shared" si="312"/>
        <v>0.46244744217438155</v>
      </c>
      <c r="N949" s="28">
        <f t="shared" si="313"/>
        <v>999</v>
      </c>
      <c r="O949" s="28"/>
      <c r="P949" s="29">
        <f t="shared" si="329"/>
        <v>0.94000000000000072</v>
      </c>
      <c r="Q949" s="33">
        <f t="shared" si="314"/>
        <v>6.7114093959731544</v>
      </c>
      <c r="R949" s="33">
        <f t="shared" si="315"/>
        <v>6.7114093959731544</v>
      </c>
      <c r="S949" s="33">
        <f t="shared" si="316"/>
        <v>-1</v>
      </c>
      <c r="T949" s="27"/>
      <c r="U949" s="28">
        <f t="shared" si="317"/>
        <v>0.10964912280701754</v>
      </c>
      <c r="V949" s="25">
        <f t="shared" si="318"/>
        <v>999</v>
      </c>
      <c r="W949" s="35">
        <f t="shared" si="330"/>
        <v>25</v>
      </c>
      <c r="X949" s="33">
        <f t="shared" si="319"/>
        <v>25</v>
      </c>
      <c r="Y949" s="32">
        <f t="shared" si="320"/>
        <v>-1</v>
      </c>
      <c r="Z949" s="32"/>
      <c r="AA949" s="30">
        <f t="shared" si="321"/>
        <v>25.74989727434598</v>
      </c>
      <c r="AB949" s="28">
        <f t="shared" si="322"/>
        <v>0.74926194953544878</v>
      </c>
      <c r="AC949" s="28">
        <f t="shared" si="323"/>
        <v>0.10964912280701754</v>
      </c>
      <c r="AD949" s="29">
        <f t="shared" si="324"/>
        <v>891.84060721062622</v>
      </c>
      <c r="AE949" s="28">
        <f t="shared" si="325"/>
        <v>0.10964912280701754</v>
      </c>
      <c r="AF949" s="28">
        <f t="shared" si="326"/>
        <v>0</v>
      </c>
      <c r="AG949" s="28">
        <f t="shared" si="327"/>
        <v>0</v>
      </c>
      <c r="AI949" s="31">
        <f t="shared" si="328"/>
        <v>4.3470059564391867</v>
      </c>
      <c r="AJ949" s="25"/>
      <c r="AK949" s="31"/>
      <c r="AM949" s="27"/>
    </row>
    <row r="950" spans="4:39" x14ac:dyDescent="0.25">
      <c r="D950" s="25">
        <f>E950*'Profit per cycles Model'!$I$113</f>
        <v>9410</v>
      </c>
      <c r="E950" s="25">
        <v>25.777290782084645</v>
      </c>
      <c r="F950" s="28">
        <f t="shared" si="309"/>
        <v>0.10626992561105207</v>
      </c>
      <c r="G950" s="28">
        <f>'Battery Pricing Model'!$C$17/D950</f>
        <v>0.10626992561105207</v>
      </c>
      <c r="H950" s="28">
        <f t="shared" si="310"/>
        <v>999</v>
      </c>
      <c r="I950" s="28"/>
      <c r="J950" s="34">
        <f>INDEX('Profit per cycles Model'!$I$149:$I$179, MATCH(TRUNC(E950, 0), 'Profit per cycles Model'!$H$149:$H$179, 0))</f>
        <v>0.74926194953544878</v>
      </c>
      <c r="K950" s="27">
        <f>AVERAGE($J$10:J1950)</f>
        <v>0.56883042089778579</v>
      </c>
      <c r="L950" s="28">
        <f t="shared" si="311"/>
        <v>0.46256049528673371</v>
      </c>
      <c r="M950" s="28">
        <f t="shared" si="312"/>
        <v>0.46256049528673371</v>
      </c>
      <c r="N950" s="28">
        <f t="shared" si="313"/>
        <v>999</v>
      </c>
      <c r="O950" s="28"/>
      <c r="P950" s="29">
        <f t="shared" si="329"/>
        <v>0.94100000000000072</v>
      </c>
      <c r="Q950" s="33">
        <f t="shared" si="314"/>
        <v>6.7114093959731544</v>
      </c>
      <c r="R950" s="33">
        <f t="shared" si="315"/>
        <v>6.7114093959731544</v>
      </c>
      <c r="S950" s="33">
        <f t="shared" si="316"/>
        <v>-1</v>
      </c>
      <c r="T950" s="27"/>
      <c r="U950" s="28">
        <f t="shared" si="317"/>
        <v>0.10964912280701754</v>
      </c>
      <c r="V950" s="25">
        <f t="shared" si="318"/>
        <v>999</v>
      </c>
      <c r="W950" s="35">
        <f t="shared" si="330"/>
        <v>25</v>
      </c>
      <c r="X950" s="33">
        <f t="shared" si="319"/>
        <v>25</v>
      </c>
      <c r="Y950" s="32">
        <f t="shared" si="320"/>
        <v>-1</v>
      </c>
      <c r="Z950" s="32"/>
      <c r="AA950" s="30">
        <f t="shared" si="321"/>
        <v>25.777290782084645</v>
      </c>
      <c r="AB950" s="28">
        <f t="shared" si="322"/>
        <v>0.74926194953544878</v>
      </c>
      <c r="AC950" s="28">
        <f t="shared" si="323"/>
        <v>0.10964912280701754</v>
      </c>
      <c r="AD950" s="29">
        <f t="shared" si="324"/>
        <v>892.78937381404171</v>
      </c>
      <c r="AE950" s="28">
        <f t="shared" si="325"/>
        <v>0.10964912280701754</v>
      </c>
      <c r="AF950" s="28">
        <f t="shared" si="326"/>
        <v>0</v>
      </c>
      <c r="AG950" s="28">
        <f t="shared" si="327"/>
        <v>0</v>
      </c>
      <c r="AI950" s="31">
        <f t="shared" si="328"/>
        <v>4.352694260648164</v>
      </c>
      <c r="AJ950" s="25"/>
      <c r="AK950" s="31"/>
      <c r="AM950" s="27"/>
    </row>
    <row r="951" spans="4:39" x14ac:dyDescent="0.25">
      <c r="D951" s="25">
        <f>E951*'Profit per cycles Model'!$I$113</f>
        <v>9420</v>
      </c>
      <c r="E951" s="25">
        <v>25.80468428982331</v>
      </c>
      <c r="F951" s="28">
        <f t="shared" si="309"/>
        <v>0.10615711252653928</v>
      </c>
      <c r="G951" s="28">
        <f>'Battery Pricing Model'!$C$17/D951</f>
        <v>0.10615711252653928</v>
      </c>
      <c r="H951" s="28">
        <f t="shared" si="310"/>
        <v>999</v>
      </c>
      <c r="I951" s="28"/>
      <c r="J951" s="34">
        <f>INDEX('Profit per cycles Model'!$I$149:$I$179, MATCH(TRUNC(E951, 0), 'Profit per cycles Model'!$H$149:$H$179, 0))</f>
        <v>0.74926194953544878</v>
      </c>
      <c r="K951" s="27">
        <f>AVERAGE($J$10:J1951)</f>
        <v>0.56883042089778579</v>
      </c>
      <c r="L951" s="28">
        <f t="shared" si="311"/>
        <v>0.46267330837124654</v>
      </c>
      <c r="M951" s="28">
        <f t="shared" si="312"/>
        <v>0.46267330837124654</v>
      </c>
      <c r="N951" s="28">
        <f t="shared" si="313"/>
        <v>999</v>
      </c>
      <c r="O951" s="28"/>
      <c r="P951" s="29">
        <f t="shared" si="329"/>
        <v>0.94200000000000073</v>
      </c>
      <c r="Q951" s="33">
        <f t="shared" si="314"/>
        <v>6.7114093959731544</v>
      </c>
      <c r="R951" s="33">
        <f t="shared" si="315"/>
        <v>6.7114093959731544</v>
      </c>
      <c r="S951" s="33">
        <f t="shared" si="316"/>
        <v>-1</v>
      </c>
      <c r="T951" s="27"/>
      <c r="U951" s="28">
        <f t="shared" si="317"/>
        <v>0.10964912280701754</v>
      </c>
      <c r="V951" s="25">
        <f t="shared" si="318"/>
        <v>999</v>
      </c>
      <c r="W951" s="35">
        <f t="shared" si="330"/>
        <v>25</v>
      </c>
      <c r="X951" s="33">
        <f t="shared" si="319"/>
        <v>25</v>
      </c>
      <c r="Y951" s="32">
        <f t="shared" si="320"/>
        <v>-1</v>
      </c>
      <c r="Z951" s="32"/>
      <c r="AA951" s="30">
        <f t="shared" si="321"/>
        <v>25.80468428982331</v>
      </c>
      <c r="AB951" s="28">
        <f t="shared" si="322"/>
        <v>0.74926194953544878</v>
      </c>
      <c r="AC951" s="28">
        <f t="shared" si="323"/>
        <v>0.10964912280701754</v>
      </c>
      <c r="AD951" s="29">
        <f t="shared" si="324"/>
        <v>893.73814041745732</v>
      </c>
      <c r="AE951" s="28">
        <f t="shared" si="325"/>
        <v>0.10964912280701754</v>
      </c>
      <c r="AF951" s="28">
        <f t="shared" si="326"/>
        <v>0</v>
      </c>
      <c r="AG951" s="28">
        <f t="shared" si="327"/>
        <v>0</v>
      </c>
      <c r="AI951" s="31">
        <f t="shared" si="328"/>
        <v>4.3583825648571421</v>
      </c>
      <c r="AJ951" s="25"/>
      <c r="AK951" s="31"/>
      <c r="AM951" s="27"/>
    </row>
    <row r="952" spans="4:39" x14ac:dyDescent="0.25">
      <c r="D952" s="25">
        <f>E952*'Profit per cycles Model'!$I$113</f>
        <v>9430</v>
      </c>
      <c r="E952" s="25">
        <v>25.832077797561976</v>
      </c>
      <c r="F952" s="28">
        <f t="shared" si="309"/>
        <v>0.10604453870625663</v>
      </c>
      <c r="G952" s="28">
        <f>'Battery Pricing Model'!$C$17/D952</f>
        <v>0.10604453870625663</v>
      </c>
      <c r="H952" s="28">
        <f t="shared" si="310"/>
        <v>999</v>
      </c>
      <c r="I952" s="28"/>
      <c r="J952" s="34">
        <f>INDEX('Profit per cycles Model'!$I$149:$I$179, MATCH(TRUNC(E952, 0), 'Profit per cycles Model'!$H$149:$H$179, 0))</f>
        <v>0.74926194953544878</v>
      </c>
      <c r="K952" s="27">
        <f>AVERAGE($J$10:J1952)</f>
        <v>0.56883042089778579</v>
      </c>
      <c r="L952" s="28">
        <f t="shared" si="311"/>
        <v>0.46278588219152916</v>
      </c>
      <c r="M952" s="28">
        <f t="shared" si="312"/>
        <v>0.46278588219152916</v>
      </c>
      <c r="N952" s="28">
        <f t="shared" si="313"/>
        <v>999</v>
      </c>
      <c r="O952" s="28"/>
      <c r="P952" s="29">
        <f t="shared" si="329"/>
        <v>0.94300000000000073</v>
      </c>
      <c r="Q952" s="33">
        <f t="shared" si="314"/>
        <v>6.7114093959731544</v>
      </c>
      <c r="R952" s="33">
        <f t="shared" si="315"/>
        <v>6.7114093959731544</v>
      </c>
      <c r="S952" s="33">
        <f t="shared" si="316"/>
        <v>-1</v>
      </c>
      <c r="T952" s="27"/>
      <c r="U952" s="28">
        <f t="shared" si="317"/>
        <v>0.10964912280701754</v>
      </c>
      <c r="V952" s="25">
        <f t="shared" si="318"/>
        <v>999</v>
      </c>
      <c r="W952" s="35">
        <f t="shared" si="330"/>
        <v>25</v>
      </c>
      <c r="X952" s="33">
        <f t="shared" si="319"/>
        <v>25</v>
      </c>
      <c r="Y952" s="32">
        <f t="shared" si="320"/>
        <v>-1</v>
      </c>
      <c r="Z952" s="32"/>
      <c r="AA952" s="30">
        <f t="shared" si="321"/>
        <v>25.832077797561976</v>
      </c>
      <c r="AB952" s="28">
        <f t="shared" si="322"/>
        <v>0.74926194953544878</v>
      </c>
      <c r="AC952" s="28">
        <f t="shared" si="323"/>
        <v>0.10964912280701754</v>
      </c>
      <c r="AD952" s="29">
        <f t="shared" si="324"/>
        <v>894.68690702087281</v>
      </c>
      <c r="AE952" s="28">
        <f t="shared" si="325"/>
        <v>0.10964912280701754</v>
      </c>
      <c r="AF952" s="28">
        <f t="shared" si="326"/>
        <v>0</v>
      </c>
      <c r="AG952" s="28">
        <f t="shared" si="327"/>
        <v>0</v>
      </c>
      <c r="AI952" s="31">
        <f t="shared" si="328"/>
        <v>4.3640708690661203</v>
      </c>
      <c r="AJ952" s="25"/>
      <c r="AK952" s="31"/>
      <c r="AM952" s="27"/>
    </row>
    <row r="953" spans="4:39" x14ac:dyDescent="0.25">
      <c r="D953" s="25">
        <f>E953*'Profit per cycles Model'!$I$113</f>
        <v>9440</v>
      </c>
      <c r="E953" s="25">
        <v>25.859471305300644</v>
      </c>
      <c r="F953" s="28">
        <f t="shared" si="309"/>
        <v>0.1059322033898305</v>
      </c>
      <c r="G953" s="28">
        <f>'Battery Pricing Model'!$C$17/D953</f>
        <v>0.1059322033898305</v>
      </c>
      <c r="H953" s="28">
        <f t="shared" si="310"/>
        <v>999</v>
      </c>
      <c r="I953" s="28"/>
      <c r="J953" s="34">
        <f>INDEX('Profit per cycles Model'!$I$149:$I$179, MATCH(TRUNC(E953, 0), 'Profit per cycles Model'!$H$149:$H$179, 0))</f>
        <v>0.74926194953544878</v>
      </c>
      <c r="K953" s="27">
        <f>AVERAGE($J$10:J1953)</f>
        <v>0.56883042089778579</v>
      </c>
      <c r="L953" s="28">
        <f t="shared" si="311"/>
        <v>0.46289821750795529</v>
      </c>
      <c r="M953" s="28">
        <f t="shared" si="312"/>
        <v>0.46289821750795529</v>
      </c>
      <c r="N953" s="28">
        <f t="shared" si="313"/>
        <v>999</v>
      </c>
      <c r="O953" s="28"/>
      <c r="P953" s="29">
        <f t="shared" si="329"/>
        <v>0.94400000000000073</v>
      </c>
      <c r="Q953" s="33">
        <f t="shared" si="314"/>
        <v>6.7114093959731544</v>
      </c>
      <c r="R953" s="33">
        <f t="shared" si="315"/>
        <v>6.7114093959731544</v>
      </c>
      <c r="S953" s="33">
        <f t="shared" si="316"/>
        <v>-1</v>
      </c>
      <c r="T953" s="27"/>
      <c r="U953" s="28">
        <f t="shared" si="317"/>
        <v>0.10964912280701754</v>
      </c>
      <c r="V953" s="25">
        <f t="shared" si="318"/>
        <v>999</v>
      </c>
      <c r="W953" s="35">
        <f t="shared" si="330"/>
        <v>25</v>
      </c>
      <c r="X953" s="33">
        <f t="shared" si="319"/>
        <v>25</v>
      </c>
      <c r="Y953" s="32">
        <f t="shared" si="320"/>
        <v>-1</v>
      </c>
      <c r="Z953" s="32"/>
      <c r="AA953" s="30">
        <f t="shared" si="321"/>
        <v>25.859471305300644</v>
      </c>
      <c r="AB953" s="28">
        <f t="shared" si="322"/>
        <v>0.74926194953544878</v>
      </c>
      <c r="AC953" s="28">
        <f t="shared" si="323"/>
        <v>0.10964912280701754</v>
      </c>
      <c r="AD953" s="29">
        <f t="shared" si="324"/>
        <v>895.63567362428853</v>
      </c>
      <c r="AE953" s="28">
        <f t="shared" si="325"/>
        <v>0.10964912280701754</v>
      </c>
      <c r="AF953" s="28">
        <f t="shared" si="326"/>
        <v>0</v>
      </c>
      <c r="AG953" s="28">
        <f t="shared" si="327"/>
        <v>0</v>
      </c>
      <c r="AI953" s="31">
        <f t="shared" si="328"/>
        <v>4.3697591732750984</v>
      </c>
      <c r="AJ953" s="25"/>
      <c r="AK953" s="31"/>
      <c r="AM953" s="27"/>
    </row>
    <row r="954" spans="4:39" x14ac:dyDescent="0.25">
      <c r="D954" s="25">
        <f>E954*'Profit per cycles Model'!$I$113</f>
        <v>9450</v>
      </c>
      <c r="E954" s="25">
        <v>25.88686481303931</v>
      </c>
      <c r="F954" s="28">
        <f t="shared" si="309"/>
        <v>0.10582010582010581</v>
      </c>
      <c r="G954" s="28">
        <f>'Battery Pricing Model'!$C$17/D954</f>
        <v>0.10582010582010581</v>
      </c>
      <c r="H954" s="28">
        <f t="shared" si="310"/>
        <v>999</v>
      </c>
      <c r="I954" s="28"/>
      <c r="J954" s="34">
        <f>INDEX('Profit per cycles Model'!$I$149:$I$179, MATCH(TRUNC(E954, 0), 'Profit per cycles Model'!$H$149:$H$179, 0))</f>
        <v>0.74926194953544878</v>
      </c>
      <c r="K954" s="27">
        <f>AVERAGE($J$10:J1954)</f>
        <v>0.56883042089778579</v>
      </c>
      <c r="L954" s="28">
        <f t="shared" si="311"/>
        <v>0.46301031507767998</v>
      </c>
      <c r="M954" s="28">
        <f t="shared" si="312"/>
        <v>0.46301031507767998</v>
      </c>
      <c r="N954" s="28">
        <f t="shared" si="313"/>
        <v>999</v>
      </c>
      <c r="O954" s="28"/>
      <c r="P954" s="29">
        <f t="shared" si="329"/>
        <v>0.94500000000000073</v>
      </c>
      <c r="Q954" s="33">
        <f t="shared" si="314"/>
        <v>6.7114093959731544</v>
      </c>
      <c r="R954" s="33">
        <f t="shared" si="315"/>
        <v>6.7114093959731544</v>
      </c>
      <c r="S954" s="33">
        <f t="shared" si="316"/>
        <v>-1</v>
      </c>
      <c r="T954" s="27"/>
      <c r="U954" s="28">
        <f t="shared" si="317"/>
        <v>0.10964912280701754</v>
      </c>
      <c r="V954" s="25">
        <f t="shared" si="318"/>
        <v>999</v>
      </c>
      <c r="W954" s="35">
        <f t="shared" si="330"/>
        <v>25</v>
      </c>
      <c r="X954" s="33">
        <f t="shared" si="319"/>
        <v>25</v>
      </c>
      <c r="Y954" s="32">
        <f t="shared" si="320"/>
        <v>-1</v>
      </c>
      <c r="Z954" s="32"/>
      <c r="AA954" s="30">
        <f t="shared" si="321"/>
        <v>25.88686481303931</v>
      </c>
      <c r="AB954" s="28">
        <f t="shared" si="322"/>
        <v>0.74926194953544878</v>
      </c>
      <c r="AC954" s="28">
        <f t="shared" si="323"/>
        <v>0.10964912280701754</v>
      </c>
      <c r="AD954" s="29">
        <f t="shared" si="324"/>
        <v>896.58444022770402</v>
      </c>
      <c r="AE954" s="28">
        <f t="shared" si="325"/>
        <v>0.10964912280701754</v>
      </c>
      <c r="AF954" s="28">
        <f t="shared" si="326"/>
        <v>0</v>
      </c>
      <c r="AG954" s="28">
        <f t="shared" si="327"/>
        <v>0</v>
      </c>
      <c r="AI954" s="31">
        <f t="shared" si="328"/>
        <v>4.3754474774840757</v>
      </c>
      <c r="AJ954" s="25"/>
      <c r="AK954" s="31"/>
      <c r="AM954" s="27"/>
    </row>
    <row r="955" spans="4:39" x14ac:dyDescent="0.25">
      <c r="D955" s="25">
        <f>E955*'Profit per cycles Model'!$I$113</f>
        <v>9460</v>
      </c>
      <c r="E955" s="25">
        <v>25.914258320777975</v>
      </c>
      <c r="F955" s="28">
        <f t="shared" si="309"/>
        <v>0.10570824524312897</v>
      </c>
      <c r="G955" s="28">
        <f>'Battery Pricing Model'!$C$17/D955</f>
        <v>0.10570824524312897</v>
      </c>
      <c r="H955" s="28">
        <f t="shared" si="310"/>
        <v>999</v>
      </c>
      <c r="I955" s="28"/>
      <c r="J955" s="34">
        <f>INDEX('Profit per cycles Model'!$I$149:$I$179, MATCH(TRUNC(E955, 0), 'Profit per cycles Model'!$H$149:$H$179, 0))</f>
        <v>0.74926194953544878</v>
      </c>
      <c r="K955" s="27">
        <f>AVERAGE($J$10:J1955)</f>
        <v>0.56883042089778579</v>
      </c>
      <c r="L955" s="28">
        <f t="shared" si="311"/>
        <v>0.46312217565465685</v>
      </c>
      <c r="M955" s="28">
        <f t="shared" si="312"/>
        <v>0.46312217565465685</v>
      </c>
      <c r="N955" s="28">
        <f t="shared" si="313"/>
        <v>999</v>
      </c>
      <c r="O955" s="28"/>
      <c r="P955" s="29">
        <f t="shared" si="329"/>
        <v>0.94600000000000073</v>
      </c>
      <c r="Q955" s="33">
        <f t="shared" si="314"/>
        <v>6.7114093959731544</v>
      </c>
      <c r="R955" s="33">
        <f t="shared" si="315"/>
        <v>6.7114093959731544</v>
      </c>
      <c r="S955" s="33">
        <f t="shared" si="316"/>
        <v>-1</v>
      </c>
      <c r="T955" s="27"/>
      <c r="U955" s="28">
        <f t="shared" si="317"/>
        <v>0.10964912280701754</v>
      </c>
      <c r="V955" s="25">
        <f t="shared" si="318"/>
        <v>999</v>
      </c>
      <c r="W955" s="35">
        <f t="shared" si="330"/>
        <v>25</v>
      </c>
      <c r="X955" s="33">
        <f t="shared" si="319"/>
        <v>25</v>
      </c>
      <c r="Y955" s="32">
        <f t="shared" si="320"/>
        <v>-1</v>
      </c>
      <c r="Z955" s="32"/>
      <c r="AA955" s="30">
        <f t="shared" si="321"/>
        <v>25.914258320777975</v>
      </c>
      <c r="AB955" s="28">
        <f t="shared" si="322"/>
        <v>0.74926194953544878</v>
      </c>
      <c r="AC955" s="28">
        <f t="shared" si="323"/>
        <v>0.10964912280701754</v>
      </c>
      <c r="AD955" s="29">
        <f t="shared" si="324"/>
        <v>897.53320683111963</v>
      </c>
      <c r="AE955" s="28">
        <f t="shared" si="325"/>
        <v>0.10964912280701754</v>
      </c>
      <c r="AF955" s="28">
        <f t="shared" si="326"/>
        <v>0</v>
      </c>
      <c r="AG955" s="28">
        <f t="shared" si="327"/>
        <v>0</v>
      </c>
      <c r="AI955" s="31">
        <f t="shared" si="328"/>
        <v>4.3811357816930538</v>
      </c>
      <c r="AJ955" s="25"/>
      <c r="AK955" s="31"/>
      <c r="AM955" s="27"/>
    </row>
    <row r="956" spans="4:39" x14ac:dyDescent="0.25">
      <c r="D956" s="25">
        <f>E956*'Profit per cycles Model'!$I$113</f>
        <v>9470</v>
      </c>
      <c r="E956" s="25">
        <v>25.94165182851664</v>
      </c>
      <c r="F956" s="28">
        <f t="shared" si="309"/>
        <v>0.10559662090813093</v>
      </c>
      <c r="G956" s="28">
        <f>'Battery Pricing Model'!$C$17/D956</f>
        <v>0.10559662090813093</v>
      </c>
      <c r="H956" s="28">
        <f t="shared" si="310"/>
        <v>999</v>
      </c>
      <c r="I956" s="28"/>
      <c r="J956" s="34">
        <f>INDEX('Profit per cycles Model'!$I$149:$I$179, MATCH(TRUNC(E956, 0), 'Profit per cycles Model'!$H$149:$H$179, 0))</f>
        <v>0.74926194953544878</v>
      </c>
      <c r="K956" s="27">
        <f>AVERAGE($J$10:J1956)</f>
        <v>0.56883042089778579</v>
      </c>
      <c r="L956" s="28">
        <f t="shared" si="311"/>
        <v>0.46323379998965486</v>
      </c>
      <c r="M956" s="28">
        <f t="shared" si="312"/>
        <v>0.46323379998965486</v>
      </c>
      <c r="N956" s="28">
        <f t="shared" si="313"/>
        <v>999</v>
      </c>
      <c r="O956" s="28"/>
      <c r="P956" s="29">
        <f t="shared" si="329"/>
        <v>0.94700000000000073</v>
      </c>
      <c r="Q956" s="33">
        <f t="shared" si="314"/>
        <v>6.7114093959731544</v>
      </c>
      <c r="R956" s="33">
        <f t="shared" si="315"/>
        <v>6.7114093959731544</v>
      </c>
      <c r="S956" s="33">
        <f t="shared" si="316"/>
        <v>-1</v>
      </c>
      <c r="T956" s="27"/>
      <c r="U956" s="28">
        <f t="shared" si="317"/>
        <v>0.10964912280701754</v>
      </c>
      <c r="V956" s="25">
        <f t="shared" si="318"/>
        <v>999</v>
      </c>
      <c r="W956" s="35">
        <f t="shared" si="330"/>
        <v>25</v>
      </c>
      <c r="X956" s="33">
        <f t="shared" si="319"/>
        <v>25</v>
      </c>
      <c r="Y956" s="32">
        <f t="shared" si="320"/>
        <v>-1</v>
      </c>
      <c r="Z956" s="32"/>
      <c r="AA956" s="30">
        <f t="shared" si="321"/>
        <v>25.94165182851664</v>
      </c>
      <c r="AB956" s="28">
        <f t="shared" si="322"/>
        <v>0.74926194953544878</v>
      </c>
      <c r="AC956" s="28">
        <f t="shared" si="323"/>
        <v>0.10964912280701754</v>
      </c>
      <c r="AD956" s="29">
        <f t="shared" si="324"/>
        <v>898.48197343453512</v>
      </c>
      <c r="AE956" s="28">
        <f t="shared" si="325"/>
        <v>0.10964912280701754</v>
      </c>
      <c r="AF956" s="28">
        <f t="shared" si="326"/>
        <v>0</v>
      </c>
      <c r="AG956" s="28">
        <f t="shared" si="327"/>
        <v>0</v>
      </c>
      <c r="AI956" s="31">
        <f t="shared" si="328"/>
        <v>4.386824085902032</v>
      </c>
      <c r="AJ956" s="25"/>
      <c r="AK956" s="31"/>
      <c r="AM956" s="27"/>
    </row>
    <row r="957" spans="4:39" x14ac:dyDescent="0.25">
      <c r="D957" s="25">
        <f>E957*'Profit per cycles Model'!$I$113</f>
        <v>9480</v>
      </c>
      <c r="E957" s="25">
        <v>25.969045336255306</v>
      </c>
      <c r="F957" s="28">
        <f t="shared" si="309"/>
        <v>0.10548523206751055</v>
      </c>
      <c r="G957" s="28">
        <f>'Battery Pricing Model'!$C$17/D957</f>
        <v>0.10548523206751055</v>
      </c>
      <c r="H957" s="28">
        <f t="shared" si="310"/>
        <v>999</v>
      </c>
      <c r="I957" s="28"/>
      <c r="J957" s="34">
        <f>INDEX('Profit per cycles Model'!$I$149:$I$179, MATCH(TRUNC(E957, 0), 'Profit per cycles Model'!$H$149:$H$179, 0))</f>
        <v>0.74926194953544878</v>
      </c>
      <c r="K957" s="27">
        <f>AVERAGE($J$10:J1957)</f>
        <v>0.56883042089778579</v>
      </c>
      <c r="L957" s="28">
        <f t="shared" si="311"/>
        <v>0.46334518883027526</v>
      </c>
      <c r="M957" s="28">
        <f t="shared" si="312"/>
        <v>0.46334518883027526</v>
      </c>
      <c r="N957" s="28">
        <f t="shared" si="313"/>
        <v>999</v>
      </c>
      <c r="O957" s="28"/>
      <c r="P957" s="29">
        <f t="shared" si="329"/>
        <v>0.94800000000000073</v>
      </c>
      <c r="Q957" s="33">
        <f t="shared" si="314"/>
        <v>6.7114093959731544</v>
      </c>
      <c r="R957" s="33">
        <f t="shared" si="315"/>
        <v>6.7114093959731544</v>
      </c>
      <c r="S957" s="33">
        <f t="shared" si="316"/>
        <v>-1</v>
      </c>
      <c r="T957" s="27"/>
      <c r="U957" s="28">
        <f t="shared" si="317"/>
        <v>0.10964912280701754</v>
      </c>
      <c r="V957" s="25">
        <f t="shared" si="318"/>
        <v>999</v>
      </c>
      <c r="W957" s="35">
        <f t="shared" si="330"/>
        <v>25</v>
      </c>
      <c r="X957" s="33">
        <f t="shared" si="319"/>
        <v>25</v>
      </c>
      <c r="Y957" s="32">
        <f t="shared" si="320"/>
        <v>-1</v>
      </c>
      <c r="Z957" s="32"/>
      <c r="AA957" s="30">
        <f t="shared" si="321"/>
        <v>25.969045336255306</v>
      </c>
      <c r="AB957" s="28">
        <f t="shared" si="322"/>
        <v>0.74926194953544878</v>
      </c>
      <c r="AC957" s="28">
        <f t="shared" si="323"/>
        <v>0.10964912280701754</v>
      </c>
      <c r="AD957" s="29">
        <f t="shared" si="324"/>
        <v>899.43074003795061</v>
      </c>
      <c r="AE957" s="28">
        <f t="shared" si="325"/>
        <v>0.10964912280701754</v>
      </c>
      <c r="AF957" s="28">
        <f t="shared" si="326"/>
        <v>0</v>
      </c>
      <c r="AG957" s="28">
        <f t="shared" si="327"/>
        <v>0</v>
      </c>
      <c r="AI957" s="31">
        <f t="shared" si="328"/>
        <v>4.3925123901110092</v>
      </c>
      <c r="AJ957" s="25"/>
      <c r="AK957" s="31"/>
      <c r="AM957" s="27"/>
    </row>
    <row r="958" spans="4:39" x14ac:dyDescent="0.25">
      <c r="D958" s="25">
        <f>E958*'Profit per cycles Model'!$I$113</f>
        <v>9490</v>
      </c>
      <c r="E958" s="25">
        <v>25.996438843993971</v>
      </c>
      <c r="F958" s="28">
        <f t="shared" si="309"/>
        <v>0.10537407797681771</v>
      </c>
      <c r="G958" s="28">
        <f>'Battery Pricing Model'!$C$17/D958</f>
        <v>0.10537407797681771</v>
      </c>
      <c r="H958" s="28">
        <f t="shared" si="310"/>
        <v>999</v>
      </c>
      <c r="I958" s="28"/>
      <c r="J958" s="34">
        <f>INDEX('Profit per cycles Model'!$I$149:$I$179, MATCH(TRUNC(E958, 0), 'Profit per cycles Model'!$H$149:$H$179, 0))</f>
        <v>0.74926194953544878</v>
      </c>
      <c r="K958" s="27">
        <f>AVERAGE($J$10:J1958)</f>
        <v>0.56883042089778579</v>
      </c>
      <c r="L958" s="28">
        <f t="shared" si="311"/>
        <v>0.4634563429209681</v>
      </c>
      <c r="M958" s="28">
        <f t="shared" si="312"/>
        <v>0.4634563429209681</v>
      </c>
      <c r="N958" s="28">
        <f t="shared" si="313"/>
        <v>999</v>
      </c>
      <c r="O958" s="28"/>
      <c r="P958" s="29">
        <f t="shared" si="329"/>
        <v>0.94900000000000073</v>
      </c>
      <c r="Q958" s="33">
        <f t="shared" si="314"/>
        <v>6.7114093959731544</v>
      </c>
      <c r="R958" s="33">
        <f t="shared" si="315"/>
        <v>6.7114093959731544</v>
      </c>
      <c r="S958" s="33">
        <f t="shared" si="316"/>
        <v>-1</v>
      </c>
      <c r="T958" s="27"/>
      <c r="U958" s="28">
        <f t="shared" si="317"/>
        <v>0.10964912280701754</v>
      </c>
      <c r="V958" s="25">
        <f t="shared" si="318"/>
        <v>999</v>
      </c>
      <c r="W958" s="35">
        <f t="shared" si="330"/>
        <v>25</v>
      </c>
      <c r="X958" s="33">
        <f t="shared" si="319"/>
        <v>25</v>
      </c>
      <c r="Y958" s="32">
        <f t="shared" si="320"/>
        <v>-1</v>
      </c>
      <c r="Z958" s="32"/>
      <c r="AA958" s="30">
        <f t="shared" si="321"/>
        <v>25.996438843993971</v>
      </c>
      <c r="AB958" s="28">
        <f t="shared" si="322"/>
        <v>0.74926194953544878</v>
      </c>
      <c r="AC958" s="28">
        <f t="shared" si="323"/>
        <v>0.10964912280701754</v>
      </c>
      <c r="AD958" s="29">
        <f t="shared" si="324"/>
        <v>900.37950664136622</v>
      </c>
      <c r="AE958" s="28">
        <f t="shared" si="325"/>
        <v>0.10964912280701754</v>
      </c>
      <c r="AF958" s="28">
        <f t="shared" si="326"/>
        <v>0</v>
      </c>
      <c r="AG958" s="28">
        <f t="shared" si="327"/>
        <v>0</v>
      </c>
      <c r="AI958" s="31">
        <f t="shared" si="328"/>
        <v>4.3982006943199874</v>
      </c>
      <c r="AJ958" s="25"/>
      <c r="AK958" s="31"/>
      <c r="AM958" s="27"/>
    </row>
    <row r="959" spans="4:39" x14ac:dyDescent="0.25">
      <c r="D959" s="25">
        <f>E959*'Profit per cycles Model'!$I$113</f>
        <v>9500</v>
      </c>
      <c r="E959" s="25">
        <v>26.02383235173264</v>
      </c>
      <c r="F959" s="28">
        <f t="shared" si="309"/>
        <v>0.10526315789473684</v>
      </c>
      <c r="G959" s="28">
        <f>'Battery Pricing Model'!$C$17/D959</f>
        <v>0.10526315789473684</v>
      </c>
      <c r="H959" s="28">
        <f t="shared" si="310"/>
        <v>999</v>
      </c>
      <c r="I959" s="28"/>
      <c r="J959" s="34">
        <f>INDEX('Profit per cycles Model'!$I$149:$I$179, MATCH(TRUNC(E959, 0), 'Profit per cycles Model'!$H$149:$H$179, 0))</f>
        <v>0.76952291003854101</v>
      </c>
      <c r="K959" s="27">
        <f>AVERAGE($J$10:J1959)</f>
        <v>0.56883042089778579</v>
      </c>
      <c r="L959" s="28">
        <f t="shared" si="311"/>
        <v>0.46356726300304896</v>
      </c>
      <c r="M959" s="28">
        <f t="shared" si="312"/>
        <v>0.46356726300304896</v>
      </c>
      <c r="N959" s="28">
        <f t="shared" si="313"/>
        <v>999</v>
      </c>
      <c r="O959" s="28"/>
      <c r="P959" s="29">
        <f t="shared" si="329"/>
        <v>0.95000000000000073</v>
      </c>
      <c r="Q959" s="33">
        <f t="shared" si="314"/>
        <v>6.7114093959731544</v>
      </c>
      <c r="R959" s="33">
        <f t="shared" si="315"/>
        <v>6.7114093959731544</v>
      </c>
      <c r="S959" s="33">
        <f t="shared" si="316"/>
        <v>-1</v>
      </c>
      <c r="T959" s="27"/>
      <c r="U959" s="28">
        <f t="shared" si="317"/>
        <v>0.10964912280701754</v>
      </c>
      <c r="V959" s="25">
        <f t="shared" si="318"/>
        <v>999</v>
      </c>
      <c r="W959" s="35">
        <f t="shared" si="330"/>
        <v>25</v>
      </c>
      <c r="X959" s="33">
        <f t="shared" si="319"/>
        <v>25</v>
      </c>
      <c r="Y959" s="32">
        <f t="shared" si="320"/>
        <v>-1</v>
      </c>
      <c r="Z959" s="32"/>
      <c r="AA959" s="30">
        <f t="shared" si="321"/>
        <v>26.02383235173264</v>
      </c>
      <c r="AB959" s="28">
        <f t="shared" si="322"/>
        <v>0.76952291003854101</v>
      </c>
      <c r="AC959" s="28">
        <f t="shared" si="323"/>
        <v>0.10964912280701754</v>
      </c>
      <c r="AD959" s="29">
        <f t="shared" si="324"/>
        <v>901.32827324478183</v>
      </c>
      <c r="AE959" s="28">
        <f t="shared" si="325"/>
        <v>0.10964912280701754</v>
      </c>
      <c r="AF959" s="28">
        <f t="shared" si="326"/>
        <v>0</v>
      </c>
      <c r="AG959" s="28">
        <f t="shared" si="327"/>
        <v>0</v>
      </c>
      <c r="AI959" s="31">
        <f t="shared" si="328"/>
        <v>4.4038889985289655</v>
      </c>
      <c r="AJ959" s="25"/>
      <c r="AK959" s="31"/>
      <c r="AM959" s="27"/>
    </row>
    <row r="960" spans="4:39" x14ac:dyDescent="0.25">
      <c r="D960" s="25">
        <f>E960*'Profit per cycles Model'!$I$113</f>
        <v>9510</v>
      </c>
      <c r="E960" s="25">
        <v>26.051225859471305</v>
      </c>
      <c r="F960" s="28">
        <f t="shared" si="309"/>
        <v>0.10515247108307045</v>
      </c>
      <c r="G960" s="28">
        <f>'Battery Pricing Model'!$C$17/D960</f>
        <v>0.10515247108307045</v>
      </c>
      <c r="H960" s="28">
        <f t="shared" si="310"/>
        <v>999</v>
      </c>
      <c r="I960" s="28"/>
      <c r="J960" s="34">
        <f>INDEX('Profit per cycles Model'!$I$149:$I$179, MATCH(TRUNC(E960, 0), 'Profit per cycles Model'!$H$149:$H$179, 0))</f>
        <v>0.76952291003854101</v>
      </c>
      <c r="K960" s="27">
        <f>AVERAGE($J$10:J1960)</f>
        <v>0.56883042089778579</v>
      </c>
      <c r="L960" s="28">
        <f t="shared" si="311"/>
        <v>0.46367794981471533</v>
      </c>
      <c r="M960" s="28">
        <f t="shared" si="312"/>
        <v>0.46367794981471533</v>
      </c>
      <c r="N960" s="28">
        <f t="shared" si="313"/>
        <v>999</v>
      </c>
      <c r="O960" s="28"/>
      <c r="P960" s="29">
        <f t="shared" si="329"/>
        <v>0.95100000000000073</v>
      </c>
      <c r="Q960" s="33">
        <f t="shared" si="314"/>
        <v>6.7114093959731544</v>
      </c>
      <c r="R960" s="33">
        <f t="shared" si="315"/>
        <v>6.7114093959731544</v>
      </c>
      <c r="S960" s="33">
        <f t="shared" si="316"/>
        <v>-1</v>
      </c>
      <c r="T960" s="27"/>
      <c r="U960" s="28">
        <f t="shared" si="317"/>
        <v>0.10964912280701754</v>
      </c>
      <c r="V960" s="25">
        <f t="shared" si="318"/>
        <v>999</v>
      </c>
      <c r="W960" s="35">
        <f t="shared" si="330"/>
        <v>25</v>
      </c>
      <c r="X960" s="33">
        <f t="shared" si="319"/>
        <v>25</v>
      </c>
      <c r="Y960" s="32">
        <f t="shared" si="320"/>
        <v>-1</v>
      </c>
      <c r="Z960" s="32"/>
      <c r="AA960" s="30">
        <f t="shared" si="321"/>
        <v>26.051225859471305</v>
      </c>
      <c r="AB960" s="28">
        <f t="shared" si="322"/>
        <v>0.76952291003854101</v>
      </c>
      <c r="AC960" s="28">
        <f t="shared" si="323"/>
        <v>0.10964912280701754</v>
      </c>
      <c r="AD960" s="29">
        <f t="shared" si="324"/>
        <v>902.27703984819743</v>
      </c>
      <c r="AE960" s="28">
        <f t="shared" si="325"/>
        <v>0.10964912280701754</v>
      </c>
      <c r="AF960" s="28">
        <f t="shared" si="326"/>
        <v>0</v>
      </c>
      <c r="AG960" s="28">
        <f t="shared" si="327"/>
        <v>0</v>
      </c>
      <c r="AI960" s="31">
        <f t="shared" si="328"/>
        <v>4.4095773027379428</v>
      </c>
      <c r="AJ960" s="25"/>
      <c r="AK960" s="31"/>
      <c r="AM960" s="27"/>
    </row>
    <row r="961" spans="4:39" x14ac:dyDescent="0.25">
      <c r="D961" s="25">
        <f>E961*'Profit per cycles Model'!$I$113</f>
        <v>9520</v>
      </c>
      <c r="E961" s="25">
        <v>26.078619367209971</v>
      </c>
      <c r="F961" s="28">
        <f t="shared" si="309"/>
        <v>0.10504201680672269</v>
      </c>
      <c r="G961" s="28">
        <f>'Battery Pricing Model'!$C$17/D961</f>
        <v>0.10504201680672269</v>
      </c>
      <c r="H961" s="28">
        <f t="shared" si="310"/>
        <v>999</v>
      </c>
      <c r="I961" s="28"/>
      <c r="J961" s="34">
        <f>INDEX('Profit per cycles Model'!$I$149:$I$179, MATCH(TRUNC(E961, 0), 'Profit per cycles Model'!$H$149:$H$179, 0))</f>
        <v>0.76952291003854101</v>
      </c>
      <c r="K961" s="27">
        <f>AVERAGE($J$10:J1961)</f>
        <v>0.56883042089778579</v>
      </c>
      <c r="L961" s="28">
        <f t="shared" si="311"/>
        <v>0.46378840409106309</v>
      </c>
      <c r="M961" s="28">
        <f t="shared" si="312"/>
        <v>0.46378840409106309</v>
      </c>
      <c r="N961" s="28">
        <f t="shared" si="313"/>
        <v>999</v>
      </c>
      <c r="O961" s="28"/>
      <c r="P961" s="29">
        <f t="shared" si="329"/>
        <v>0.95200000000000073</v>
      </c>
      <c r="Q961" s="33">
        <f t="shared" si="314"/>
        <v>6.7114093959731544</v>
      </c>
      <c r="R961" s="33">
        <f t="shared" si="315"/>
        <v>6.7114093959731544</v>
      </c>
      <c r="S961" s="33">
        <f t="shared" si="316"/>
        <v>-1</v>
      </c>
      <c r="T961" s="27"/>
      <c r="U961" s="28">
        <f t="shared" si="317"/>
        <v>0.10964912280701754</v>
      </c>
      <c r="V961" s="25">
        <f t="shared" si="318"/>
        <v>999</v>
      </c>
      <c r="W961" s="35">
        <f t="shared" si="330"/>
        <v>25</v>
      </c>
      <c r="X961" s="33">
        <f t="shared" si="319"/>
        <v>25</v>
      </c>
      <c r="Y961" s="32">
        <f t="shared" si="320"/>
        <v>-1</v>
      </c>
      <c r="Z961" s="32"/>
      <c r="AA961" s="30">
        <f t="shared" si="321"/>
        <v>26.078619367209971</v>
      </c>
      <c r="AB961" s="28">
        <f t="shared" si="322"/>
        <v>0.76952291003854101</v>
      </c>
      <c r="AC961" s="28">
        <f t="shared" si="323"/>
        <v>0.10964912280701754</v>
      </c>
      <c r="AD961" s="29">
        <f t="shared" si="324"/>
        <v>903.22580645161293</v>
      </c>
      <c r="AE961" s="28">
        <f t="shared" si="325"/>
        <v>0.10964912280701754</v>
      </c>
      <c r="AF961" s="28">
        <f t="shared" si="326"/>
        <v>0</v>
      </c>
      <c r="AG961" s="28">
        <f t="shared" si="327"/>
        <v>0</v>
      </c>
      <c r="AI961" s="31">
        <f t="shared" si="328"/>
        <v>4.4152656069469209</v>
      </c>
      <c r="AJ961" s="25"/>
      <c r="AK961" s="31"/>
      <c r="AM961" s="27"/>
    </row>
    <row r="962" spans="4:39" x14ac:dyDescent="0.25">
      <c r="D962" s="25">
        <f>E962*'Profit per cycles Model'!$I$113</f>
        <v>9530</v>
      </c>
      <c r="E962" s="25">
        <v>26.106012874948636</v>
      </c>
      <c r="F962" s="28">
        <f t="shared" si="309"/>
        <v>0.1049317943336831</v>
      </c>
      <c r="G962" s="28">
        <f>'Battery Pricing Model'!$C$17/D962</f>
        <v>0.1049317943336831</v>
      </c>
      <c r="H962" s="28">
        <f t="shared" si="310"/>
        <v>999</v>
      </c>
      <c r="I962" s="28"/>
      <c r="J962" s="34">
        <f>INDEX('Profit per cycles Model'!$I$149:$I$179, MATCH(TRUNC(E962, 0), 'Profit per cycles Model'!$H$149:$H$179, 0))</f>
        <v>0.76952291003854101</v>
      </c>
      <c r="K962" s="27">
        <f>AVERAGE($J$10:J1962)</f>
        <v>0.56883042089778579</v>
      </c>
      <c r="L962" s="28">
        <f t="shared" si="311"/>
        <v>0.46389862656410269</v>
      </c>
      <c r="M962" s="28">
        <f t="shared" si="312"/>
        <v>0.46389862656410269</v>
      </c>
      <c r="N962" s="28">
        <f t="shared" si="313"/>
        <v>999</v>
      </c>
      <c r="O962" s="28"/>
      <c r="P962" s="29">
        <f t="shared" si="329"/>
        <v>0.95300000000000074</v>
      </c>
      <c r="Q962" s="33">
        <f t="shared" si="314"/>
        <v>6.7114093959731544</v>
      </c>
      <c r="R962" s="33">
        <f t="shared" si="315"/>
        <v>6.7114093959731544</v>
      </c>
      <c r="S962" s="33">
        <f t="shared" si="316"/>
        <v>-1</v>
      </c>
      <c r="T962" s="27"/>
      <c r="U962" s="28">
        <f t="shared" si="317"/>
        <v>0.10964912280701754</v>
      </c>
      <c r="V962" s="25">
        <f t="shared" si="318"/>
        <v>999</v>
      </c>
      <c r="W962" s="35">
        <f t="shared" si="330"/>
        <v>25</v>
      </c>
      <c r="X962" s="33">
        <f t="shared" si="319"/>
        <v>25</v>
      </c>
      <c r="Y962" s="32">
        <f t="shared" si="320"/>
        <v>-1</v>
      </c>
      <c r="Z962" s="32"/>
      <c r="AA962" s="30">
        <f t="shared" si="321"/>
        <v>26.106012874948636</v>
      </c>
      <c r="AB962" s="28">
        <f t="shared" si="322"/>
        <v>0.76952291003854101</v>
      </c>
      <c r="AC962" s="28">
        <f t="shared" si="323"/>
        <v>0.10964912280701754</v>
      </c>
      <c r="AD962" s="29">
        <f t="shared" si="324"/>
        <v>904.17457305502842</v>
      </c>
      <c r="AE962" s="28">
        <f t="shared" si="325"/>
        <v>0.10964912280701754</v>
      </c>
      <c r="AF962" s="28">
        <f t="shared" si="326"/>
        <v>0</v>
      </c>
      <c r="AG962" s="28">
        <f t="shared" si="327"/>
        <v>0</v>
      </c>
      <c r="AI962" s="31">
        <f t="shared" si="328"/>
        <v>4.4209539111558991</v>
      </c>
      <c r="AJ962" s="25"/>
      <c r="AK962" s="31"/>
      <c r="AM962" s="27"/>
    </row>
    <row r="963" spans="4:39" x14ac:dyDescent="0.25">
      <c r="D963" s="25">
        <f>E963*'Profit per cycles Model'!$I$113</f>
        <v>9540</v>
      </c>
      <c r="E963" s="25">
        <v>26.133406382687301</v>
      </c>
      <c r="F963" s="28">
        <f t="shared" si="309"/>
        <v>0.10482180293501048</v>
      </c>
      <c r="G963" s="28">
        <f>'Battery Pricing Model'!$C$17/D963</f>
        <v>0.10482180293501048</v>
      </c>
      <c r="H963" s="28">
        <f t="shared" si="310"/>
        <v>999</v>
      </c>
      <c r="I963" s="28"/>
      <c r="J963" s="34">
        <f>INDEX('Profit per cycles Model'!$I$149:$I$179, MATCH(TRUNC(E963, 0), 'Profit per cycles Model'!$H$149:$H$179, 0))</f>
        <v>0.76952291003854101</v>
      </c>
      <c r="K963" s="27">
        <f>AVERAGE($J$10:J1963)</f>
        <v>0.56883042089778579</v>
      </c>
      <c r="L963" s="28">
        <f t="shared" si="311"/>
        <v>0.46400861796277532</v>
      </c>
      <c r="M963" s="28">
        <f t="shared" si="312"/>
        <v>0.46400861796277532</v>
      </c>
      <c r="N963" s="28">
        <f t="shared" si="313"/>
        <v>999</v>
      </c>
      <c r="O963" s="28"/>
      <c r="P963" s="29">
        <f t="shared" si="329"/>
        <v>0.95400000000000074</v>
      </c>
      <c r="Q963" s="33">
        <f t="shared" si="314"/>
        <v>6.7114093959731544</v>
      </c>
      <c r="R963" s="33">
        <f t="shared" si="315"/>
        <v>6.7114093959731544</v>
      </c>
      <c r="S963" s="33">
        <f t="shared" si="316"/>
        <v>-1</v>
      </c>
      <c r="T963" s="27"/>
      <c r="U963" s="28">
        <f t="shared" si="317"/>
        <v>0.10964912280701754</v>
      </c>
      <c r="V963" s="25">
        <f t="shared" si="318"/>
        <v>999</v>
      </c>
      <c r="W963" s="35">
        <f t="shared" si="330"/>
        <v>25</v>
      </c>
      <c r="X963" s="33">
        <f t="shared" si="319"/>
        <v>25</v>
      </c>
      <c r="Y963" s="32">
        <f t="shared" si="320"/>
        <v>-1</v>
      </c>
      <c r="Z963" s="32"/>
      <c r="AA963" s="30">
        <f t="shared" si="321"/>
        <v>26.133406382687301</v>
      </c>
      <c r="AB963" s="28">
        <f t="shared" si="322"/>
        <v>0.76952291003854101</v>
      </c>
      <c r="AC963" s="28">
        <f t="shared" si="323"/>
        <v>0.10964912280701754</v>
      </c>
      <c r="AD963" s="29">
        <f t="shared" si="324"/>
        <v>905.12333965844402</v>
      </c>
      <c r="AE963" s="28">
        <f t="shared" si="325"/>
        <v>0.10964912280701754</v>
      </c>
      <c r="AF963" s="28">
        <f t="shared" si="326"/>
        <v>0</v>
      </c>
      <c r="AG963" s="28">
        <f t="shared" si="327"/>
        <v>0</v>
      </c>
      <c r="AI963" s="31">
        <f t="shared" si="328"/>
        <v>4.4266422153648763</v>
      </c>
      <c r="AJ963" s="25"/>
      <c r="AK963" s="31"/>
      <c r="AM963" s="27"/>
    </row>
    <row r="964" spans="4:39" x14ac:dyDescent="0.25">
      <c r="D964" s="25">
        <f>E964*'Profit per cycles Model'!$I$113</f>
        <v>9550</v>
      </c>
      <c r="E964" s="25">
        <v>26.160799890425967</v>
      </c>
      <c r="F964" s="28">
        <f t="shared" si="309"/>
        <v>0.10471204188481675</v>
      </c>
      <c r="G964" s="28">
        <f>'Battery Pricing Model'!$C$17/D964</f>
        <v>0.10471204188481675</v>
      </c>
      <c r="H964" s="28">
        <f t="shared" si="310"/>
        <v>999</v>
      </c>
      <c r="I964" s="28"/>
      <c r="J964" s="34">
        <f>INDEX('Profit per cycles Model'!$I$149:$I$179, MATCH(TRUNC(E964, 0), 'Profit per cycles Model'!$H$149:$H$179, 0))</f>
        <v>0.76952291003854101</v>
      </c>
      <c r="K964" s="27">
        <f>AVERAGE($J$10:J1964)</f>
        <v>0.56883042089778579</v>
      </c>
      <c r="L964" s="28">
        <f t="shared" si="311"/>
        <v>0.46411837901296904</v>
      </c>
      <c r="M964" s="28">
        <f t="shared" si="312"/>
        <v>0.46411837901296904</v>
      </c>
      <c r="N964" s="28">
        <f t="shared" si="313"/>
        <v>999</v>
      </c>
      <c r="O964" s="28"/>
      <c r="P964" s="29">
        <f t="shared" si="329"/>
        <v>0.95500000000000074</v>
      </c>
      <c r="Q964" s="33">
        <f t="shared" si="314"/>
        <v>6.7114093959731544</v>
      </c>
      <c r="R964" s="33">
        <f t="shared" si="315"/>
        <v>6.7114093959731544</v>
      </c>
      <c r="S964" s="33">
        <f t="shared" si="316"/>
        <v>-1</v>
      </c>
      <c r="T964" s="27"/>
      <c r="U964" s="28">
        <f t="shared" si="317"/>
        <v>0.10964912280701754</v>
      </c>
      <c r="V964" s="25">
        <f t="shared" si="318"/>
        <v>999</v>
      </c>
      <c r="W964" s="35">
        <f t="shared" si="330"/>
        <v>25</v>
      </c>
      <c r="X964" s="33">
        <f t="shared" si="319"/>
        <v>25</v>
      </c>
      <c r="Y964" s="32">
        <f t="shared" si="320"/>
        <v>-1</v>
      </c>
      <c r="Z964" s="32"/>
      <c r="AA964" s="30">
        <f t="shared" si="321"/>
        <v>26.160799890425967</v>
      </c>
      <c r="AB964" s="28">
        <f t="shared" si="322"/>
        <v>0.76952291003854101</v>
      </c>
      <c r="AC964" s="28">
        <f t="shared" si="323"/>
        <v>0.10964912280701754</v>
      </c>
      <c r="AD964" s="29">
        <f t="shared" si="324"/>
        <v>906.07210626185952</v>
      </c>
      <c r="AE964" s="28">
        <f t="shared" si="325"/>
        <v>0.10964912280701754</v>
      </c>
      <c r="AF964" s="28">
        <f t="shared" si="326"/>
        <v>0</v>
      </c>
      <c r="AG964" s="28">
        <f t="shared" si="327"/>
        <v>0</v>
      </c>
      <c r="AI964" s="31">
        <f t="shared" si="328"/>
        <v>4.4323305195738545</v>
      </c>
      <c r="AJ964" s="25"/>
      <c r="AK964" s="31"/>
      <c r="AM964" s="27"/>
    </row>
    <row r="965" spans="4:39" x14ac:dyDescent="0.25">
      <c r="D965" s="25">
        <f>E965*'Profit per cycles Model'!$I$113</f>
        <v>9560</v>
      </c>
      <c r="E965" s="25">
        <v>26.188193398164636</v>
      </c>
      <c r="F965" s="28">
        <f t="shared" si="309"/>
        <v>0.10460251046025104</v>
      </c>
      <c r="G965" s="28">
        <f>'Battery Pricing Model'!$C$17/D965</f>
        <v>0.10460251046025104</v>
      </c>
      <c r="H965" s="28">
        <f t="shared" si="310"/>
        <v>999</v>
      </c>
      <c r="I965" s="28"/>
      <c r="J965" s="34">
        <f>INDEX('Profit per cycles Model'!$I$149:$I$179, MATCH(TRUNC(E965, 0), 'Profit per cycles Model'!$H$149:$H$179, 0))</f>
        <v>0.76952291003854101</v>
      </c>
      <c r="K965" s="27">
        <f>AVERAGE($J$10:J1965)</f>
        <v>0.56883042089778579</v>
      </c>
      <c r="L965" s="28">
        <f t="shared" si="311"/>
        <v>0.46422791043753475</v>
      </c>
      <c r="M965" s="28">
        <f t="shared" si="312"/>
        <v>0.46422791043753475</v>
      </c>
      <c r="N965" s="28">
        <f t="shared" si="313"/>
        <v>999</v>
      </c>
      <c r="O965" s="28"/>
      <c r="P965" s="29">
        <f t="shared" si="329"/>
        <v>0.95600000000000074</v>
      </c>
      <c r="Q965" s="33">
        <f t="shared" si="314"/>
        <v>6.7114093959731544</v>
      </c>
      <c r="R965" s="33">
        <f t="shared" si="315"/>
        <v>6.7114093959731544</v>
      </c>
      <c r="S965" s="33">
        <f t="shared" si="316"/>
        <v>-1</v>
      </c>
      <c r="T965" s="27"/>
      <c r="U965" s="28">
        <f t="shared" si="317"/>
        <v>0.10964912280701754</v>
      </c>
      <c r="V965" s="25">
        <f t="shared" si="318"/>
        <v>999</v>
      </c>
      <c r="W965" s="35">
        <f t="shared" si="330"/>
        <v>25</v>
      </c>
      <c r="X965" s="33">
        <f t="shared" si="319"/>
        <v>25</v>
      </c>
      <c r="Y965" s="32">
        <f t="shared" si="320"/>
        <v>-1</v>
      </c>
      <c r="Z965" s="32"/>
      <c r="AA965" s="30">
        <f t="shared" si="321"/>
        <v>26.188193398164636</v>
      </c>
      <c r="AB965" s="28">
        <f t="shared" si="322"/>
        <v>0.76952291003854101</v>
      </c>
      <c r="AC965" s="28">
        <f t="shared" si="323"/>
        <v>0.10964912280701754</v>
      </c>
      <c r="AD965" s="29">
        <f t="shared" si="324"/>
        <v>907.02087286527524</v>
      </c>
      <c r="AE965" s="28">
        <f t="shared" si="325"/>
        <v>0.10964912280701754</v>
      </c>
      <c r="AF965" s="28">
        <f t="shared" si="326"/>
        <v>0</v>
      </c>
      <c r="AG965" s="28">
        <f t="shared" si="327"/>
        <v>0</v>
      </c>
      <c r="AI965" s="31">
        <f t="shared" si="328"/>
        <v>4.4380188237828326</v>
      </c>
      <c r="AJ965" s="25"/>
      <c r="AK965" s="31"/>
      <c r="AM965" s="27"/>
    </row>
    <row r="966" spans="4:39" x14ac:dyDescent="0.25">
      <c r="D966" s="25">
        <f>E966*'Profit per cycles Model'!$I$113</f>
        <v>9570</v>
      </c>
      <c r="E966" s="25">
        <v>26.215586905903301</v>
      </c>
      <c r="F966" s="28">
        <f t="shared" si="309"/>
        <v>0.1044932079414838</v>
      </c>
      <c r="G966" s="28">
        <f>'Battery Pricing Model'!$C$17/D966</f>
        <v>0.1044932079414838</v>
      </c>
      <c r="H966" s="28">
        <f t="shared" si="310"/>
        <v>999</v>
      </c>
      <c r="I966" s="28"/>
      <c r="J966" s="34">
        <f>INDEX('Profit per cycles Model'!$I$149:$I$179, MATCH(TRUNC(E966, 0), 'Profit per cycles Model'!$H$149:$H$179, 0))</f>
        <v>0.76952291003854101</v>
      </c>
      <c r="K966" s="27">
        <f>AVERAGE($J$10:J1966)</f>
        <v>0.56883042089778579</v>
      </c>
      <c r="L966" s="28">
        <f t="shared" si="311"/>
        <v>0.46433721295630198</v>
      </c>
      <c r="M966" s="28">
        <f t="shared" si="312"/>
        <v>0.46433721295630198</v>
      </c>
      <c r="N966" s="28">
        <f t="shared" si="313"/>
        <v>999</v>
      </c>
      <c r="O966" s="28"/>
      <c r="P966" s="29">
        <f t="shared" si="329"/>
        <v>0.95700000000000074</v>
      </c>
      <c r="Q966" s="33">
        <f t="shared" si="314"/>
        <v>6.7114093959731544</v>
      </c>
      <c r="R966" s="33">
        <f t="shared" si="315"/>
        <v>6.7114093959731544</v>
      </c>
      <c r="S966" s="33">
        <f t="shared" si="316"/>
        <v>-1</v>
      </c>
      <c r="T966" s="27"/>
      <c r="U966" s="28">
        <f t="shared" si="317"/>
        <v>0.10964912280701754</v>
      </c>
      <c r="V966" s="25">
        <f t="shared" si="318"/>
        <v>999</v>
      </c>
      <c r="W966" s="35">
        <f t="shared" si="330"/>
        <v>25</v>
      </c>
      <c r="X966" s="33">
        <f t="shared" si="319"/>
        <v>25</v>
      </c>
      <c r="Y966" s="32">
        <f t="shared" si="320"/>
        <v>-1</v>
      </c>
      <c r="Z966" s="32"/>
      <c r="AA966" s="30">
        <f t="shared" si="321"/>
        <v>26.215586905903301</v>
      </c>
      <c r="AB966" s="28">
        <f t="shared" si="322"/>
        <v>0.76952291003854101</v>
      </c>
      <c r="AC966" s="28">
        <f t="shared" si="323"/>
        <v>0.10964912280701754</v>
      </c>
      <c r="AD966" s="29">
        <f t="shared" si="324"/>
        <v>907.96963946869073</v>
      </c>
      <c r="AE966" s="28">
        <f t="shared" si="325"/>
        <v>0.10964912280701754</v>
      </c>
      <c r="AF966" s="28">
        <f t="shared" si="326"/>
        <v>0</v>
      </c>
      <c r="AG966" s="28">
        <f t="shared" si="327"/>
        <v>0</v>
      </c>
      <c r="AI966" s="31">
        <f t="shared" si="328"/>
        <v>4.4437071279918099</v>
      </c>
      <c r="AJ966" s="25"/>
      <c r="AK966" s="31"/>
      <c r="AM966" s="27"/>
    </row>
    <row r="967" spans="4:39" x14ac:dyDescent="0.25">
      <c r="D967" s="25">
        <f>E967*'Profit per cycles Model'!$I$113</f>
        <v>9580</v>
      </c>
      <c r="E967" s="25">
        <v>26.242980413641966</v>
      </c>
      <c r="F967" s="28">
        <f t="shared" si="309"/>
        <v>0.10438413361169102</v>
      </c>
      <c r="G967" s="28">
        <f>'Battery Pricing Model'!$C$17/D967</f>
        <v>0.10438413361169102</v>
      </c>
      <c r="H967" s="28">
        <f t="shared" si="310"/>
        <v>999</v>
      </c>
      <c r="I967" s="28"/>
      <c r="J967" s="34">
        <f>INDEX('Profit per cycles Model'!$I$149:$I$179, MATCH(TRUNC(E967, 0), 'Profit per cycles Model'!$H$149:$H$179, 0))</f>
        <v>0.76952291003854101</v>
      </c>
      <c r="K967" s="27">
        <f>AVERAGE($J$10:J1967)</f>
        <v>0.56883042089778579</v>
      </c>
      <c r="L967" s="28">
        <f t="shared" si="311"/>
        <v>0.46444628728609477</v>
      </c>
      <c r="M967" s="28">
        <f t="shared" si="312"/>
        <v>0.46444628728609477</v>
      </c>
      <c r="N967" s="28">
        <f t="shared" si="313"/>
        <v>999</v>
      </c>
      <c r="O967" s="28"/>
      <c r="P967" s="29">
        <f t="shared" si="329"/>
        <v>0.95800000000000074</v>
      </c>
      <c r="Q967" s="33">
        <f t="shared" si="314"/>
        <v>6.7114093959731544</v>
      </c>
      <c r="R967" s="33">
        <f t="shared" si="315"/>
        <v>6.7114093959731544</v>
      </c>
      <c r="S967" s="33">
        <f t="shared" si="316"/>
        <v>-1</v>
      </c>
      <c r="T967" s="27"/>
      <c r="U967" s="28">
        <f t="shared" si="317"/>
        <v>0.10964912280701754</v>
      </c>
      <c r="V967" s="25">
        <f t="shared" si="318"/>
        <v>999</v>
      </c>
      <c r="W967" s="35">
        <f t="shared" si="330"/>
        <v>25</v>
      </c>
      <c r="X967" s="33">
        <f t="shared" si="319"/>
        <v>25</v>
      </c>
      <c r="Y967" s="32">
        <f t="shared" si="320"/>
        <v>-1</v>
      </c>
      <c r="Z967" s="32"/>
      <c r="AA967" s="30">
        <f t="shared" si="321"/>
        <v>26.242980413641966</v>
      </c>
      <c r="AB967" s="28">
        <f t="shared" si="322"/>
        <v>0.76952291003854101</v>
      </c>
      <c r="AC967" s="28">
        <f t="shared" si="323"/>
        <v>0.10964912280701754</v>
      </c>
      <c r="AD967" s="29">
        <f t="shared" si="324"/>
        <v>908.91840607210634</v>
      </c>
      <c r="AE967" s="28">
        <f t="shared" si="325"/>
        <v>0.10964912280701754</v>
      </c>
      <c r="AF967" s="28">
        <f t="shared" si="326"/>
        <v>0</v>
      </c>
      <c r="AG967" s="28">
        <f t="shared" si="327"/>
        <v>0</v>
      </c>
      <c r="AI967" s="31">
        <f t="shared" si="328"/>
        <v>4.449395432200788</v>
      </c>
      <c r="AJ967" s="25"/>
      <c r="AK967" s="31"/>
      <c r="AM967" s="27"/>
    </row>
    <row r="968" spans="4:39" x14ac:dyDescent="0.25">
      <c r="D968" s="25">
        <f>E968*'Profit per cycles Model'!$I$113</f>
        <v>9590</v>
      </c>
      <c r="E968" s="25">
        <v>26.270373921380632</v>
      </c>
      <c r="F968" s="28">
        <f t="shared" si="309"/>
        <v>0.10427528675703858</v>
      </c>
      <c r="G968" s="28">
        <f>'Battery Pricing Model'!$C$17/D968</f>
        <v>0.10427528675703858</v>
      </c>
      <c r="H968" s="28">
        <f t="shared" si="310"/>
        <v>999</v>
      </c>
      <c r="I968" s="28"/>
      <c r="J968" s="34">
        <f>INDEX('Profit per cycles Model'!$I$149:$I$179, MATCH(TRUNC(E968, 0), 'Profit per cycles Model'!$H$149:$H$179, 0))</f>
        <v>0.76952291003854101</v>
      </c>
      <c r="K968" s="27">
        <f>AVERAGE($J$10:J1968)</f>
        <v>0.56883042089778579</v>
      </c>
      <c r="L968" s="28">
        <f t="shared" si="311"/>
        <v>0.46455513414074723</v>
      </c>
      <c r="M968" s="28">
        <f t="shared" si="312"/>
        <v>0.46455513414074723</v>
      </c>
      <c r="N968" s="28">
        <f t="shared" si="313"/>
        <v>999</v>
      </c>
      <c r="O968" s="28"/>
      <c r="P968" s="29">
        <f t="shared" si="329"/>
        <v>0.95900000000000074</v>
      </c>
      <c r="Q968" s="33">
        <f t="shared" si="314"/>
        <v>6.7114093959731544</v>
      </c>
      <c r="R968" s="33">
        <f t="shared" si="315"/>
        <v>6.7114093959731544</v>
      </c>
      <c r="S968" s="33">
        <f t="shared" si="316"/>
        <v>-1</v>
      </c>
      <c r="T968" s="27"/>
      <c r="U968" s="28">
        <f t="shared" si="317"/>
        <v>0.10964912280701754</v>
      </c>
      <c r="V968" s="25">
        <f t="shared" si="318"/>
        <v>999</v>
      </c>
      <c r="W968" s="35">
        <f t="shared" si="330"/>
        <v>25</v>
      </c>
      <c r="X968" s="33">
        <f t="shared" si="319"/>
        <v>25</v>
      </c>
      <c r="Y968" s="32">
        <f t="shared" si="320"/>
        <v>-1</v>
      </c>
      <c r="Z968" s="32"/>
      <c r="AA968" s="30">
        <f t="shared" si="321"/>
        <v>26.270373921380632</v>
      </c>
      <c r="AB968" s="28">
        <f t="shared" si="322"/>
        <v>0.76952291003854101</v>
      </c>
      <c r="AC968" s="28">
        <f t="shared" si="323"/>
        <v>0.10964912280701754</v>
      </c>
      <c r="AD968" s="29">
        <f t="shared" si="324"/>
        <v>909.86717267552183</v>
      </c>
      <c r="AE968" s="28">
        <f t="shared" si="325"/>
        <v>0.10964912280701754</v>
      </c>
      <c r="AF968" s="28">
        <f t="shared" si="326"/>
        <v>0</v>
      </c>
      <c r="AG968" s="28">
        <f t="shared" si="327"/>
        <v>0</v>
      </c>
      <c r="AI968" s="31">
        <f t="shared" si="328"/>
        <v>4.4550837364097662</v>
      </c>
      <c r="AJ968" s="25"/>
      <c r="AK968" s="31"/>
      <c r="AM968" s="27"/>
    </row>
    <row r="969" spans="4:39" x14ac:dyDescent="0.25">
      <c r="D969" s="25">
        <f>E969*'Profit per cycles Model'!$I$113</f>
        <v>9600</v>
      </c>
      <c r="E969" s="25">
        <v>26.297767429119297</v>
      </c>
      <c r="F969" s="28">
        <f t="shared" si="309"/>
        <v>0.10416666666666667</v>
      </c>
      <c r="G969" s="28">
        <f>'Battery Pricing Model'!$C$17/D969</f>
        <v>0.10416666666666667</v>
      </c>
      <c r="H969" s="28">
        <f t="shared" si="310"/>
        <v>999</v>
      </c>
      <c r="I969" s="28"/>
      <c r="J969" s="34">
        <f>INDEX('Profit per cycles Model'!$I$149:$I$179, MATCH(TRUNC(E969, 0), 'Profit per cycles Model'!$H$149:$H$179, 0))</f>
        <v>0.76952291003854101</v>
      </c>
      <c r="K969" s="27">
        <f>AVERAGE($J$10:J1969)</f>
        <v>0.56883042089778579</v>
      </c>
      <c r="L969" s="28">
        <f t="shared" si="311"/>
        <v>0.46466375423111911</v>
      </c>
      <c r="M969" s="28">
        <f t="shared" si="312"/>
        <v>0.46466375423111911</v>
      </c>
      <c r="N969" s="28">
        <f t="shared" si="313"/>
        <v>999</v>
      </c>
      <c r="O969" s="28"/>
      <c r="P969" s="29">
        <f t="shared" si="329"/>
        <v>0.96000000000000074</v>
      </c>
      <c r="Q969" s="33">
        <f t="shared" si="314"/>
        <v>6.7114093959731544</v>
      </c>
      <c r="R969" s="33">
        <f t="shared" si="315"/>
        <v>6.7114093959731544</v>
      </c>
      <c r="S969" s="33">
        <f t="shared" si="316"/>
        <v>-1</v>
      </c>
      <c r="T969" s="27"/>
      <c r="U969" s="28">
        <f t="shared" si="317"/>
        <v>0.10964912280701754</v>
      </c>
      <c r="V969" s="25">
        <f t="shared" si="318"/>
        <v>999</v>
      </c>
      <c r="W969" s="35">
        <f t="shared" si="330"/>
        <v>25</v>
      </c>
      <c r="X969" s="33">
        <f t="shared" si="319"/>
        <v>25</v>
      </c>
      <c r="Y969" s="32">
        <f t="shared" si="320"/>
        <v>-1</v>
      </c>
      <c r="Z969" s="32"/>
      <c r="AA969" s="30">
        <f t="shared" si="321"/>
        <v>26.297767429119297</v>
      </c>
      <c r="AB969" s="28">
        <f t="shared" si="322"/>
        <v>0.76952291003854101</v>
      </c>
      <c r="AC969" s="28">
        <f t="shared" si="323"/>
        <v>0.10964912280701754</v>
      </c>
      <c r="AD969" s="29">
        <f t="shared" si="324"/>
        <v>910.81593927893732</v>
      </c>
      <c r="AE969" s="28">
        <f t="shared" si="325"/>
        <v>0.10964912280701754</v>
      </c>
      <c r="AF969" s="28">
        <f t="shared" si="326"/>
        <v>0</v>
      </c>
      <c r="AG969" s="28">
        <f t="shared" si="327"/>
        <v>0</v>
      </c>
      <c r="AI969" s="31">
        <f t="shared" si="328"/>
        <v>4.4607720406187434</v>
      </c>
      <c r="AJ969" s="25"/>
      <c r="AK969" s="31"/>
      <c r="AM969" s="27"/>
    </row>
    <row r="970" spans="4:39" x14ac:dyDescent="0.25">
      <c r="D970" s="25">
        <f>E970*'Profit per cycles Model'!$I$113</f>
        <v>9610</v>
      </c>
      <c r="E970" s="25">
        <v>26.325160936857962</v>
      </c>
      <c r="F970" s="28">
        <f t="shared" ref="F970:F1033" si="331">IF(OR($H$6="None", $H$6=0), G970, H970)</f>
        <v>0.1040582726326743</v>
      </c>
      <c r="G970" s="28">
        <f>'Battery Pricing Model'!$C$17/D970</f>
        <v>0.1040582726326743</v>
      </c>
      <c r="H970" s="28">
        <f t="shared" ref="H970:H1033" si="332">IF(OR($H$6="None", $H$6=0), 999, $G970*(H$6))</f>
        <v>999</v>
      </c>
      <c r="I970" s="28"/>
      <c r="J970" s="34">
        <f>INDEX('Profit per cycles Model'!$I$149:$I$179, MATCH(TRUNC(E970, 0), 'Profit per cycles Model'!$H$149:$H$179, 0))</f>
        <v>0.76952291003854101</v>
      </c>
      <c r="K970" s="27">
        <f>AVERAGE($J$10:J1970)</f>
        <v>0.56883042089778579</v>
      </c>
      <c r="L970" s="28">
        <f t="shared" ref="L970:L1033" si="333">IF(K970-F970&lt;0, 999, K970-F970)</f>
        <v>0.46477214826511148</v>
      </c>
      <c r="M970" s="28">
        <f t="shared" ref="M970:M1033" si="334">IF(K970-F970&lt;0, 999, K970-F970)</f>
        <v>0.46477214826511148</v>
      </c>
      <c r="N970" s="28">
        <f t="shared" ref="N970:N1033" si="335">IF(K970-H970&lt;0, 999, K970-H970)</f>
        <v>999</v>
      </c>
      <c r="O970" s="28"/>
      <c r="P970" s="29">
        <f t="shared" si="329"/>
        <v>0.96100000000000074</v>
      </c>
      <c r="Q970" s="33">
        <f t="shared" ref="Q970:Q1033" si="336">$L$5</f>
        <v>6.7114093959731544</v>
      </c>
      <c r="R970" s="33">
        <f t="shared" ref="R970:R1033" si="337">$M$5</f>
        <v>6.7114093959731544</v>
      </c>
      <c r="S970" s="33">
        <f t="shared" ref="S970:S1033" si="338">$N$5</f>
        <v>-1</v>
      </c>
      <c r="T970" s="27"/>
      <c r="U970" s="28">
        <f t="shared" ref="U970:U1033" si="339">IF(ISNA(INDEX($F$10:$F$1063,MATCH(W970,$E$10:$E$1063,1))),-1,INDEX($F$10:$F$1063,MATCH(W970,$E$10:$E$1063,1)))</f>
        <v>0.10964912280701754</v>
      </c>
      <c r="V970" s="25">
        <f t="shared" ref="V970:V1033" si="340">IF(ISNA(INDEX($H$10:$H$1063, MATCH(X970, $E$10:$E$1063,1))),-1,  INDEX($H$10:$H$1063, MATCH(X970, $E$10:$E$1063,1)))</f>
        <v>999</v>
      </c>
      <c r="W970" s="35">
        <f t="shared" si="330"/>
        <v>25</v>
      </c>
      <c r="X970" s="33">
        <f t="shared" ref="X970:X1033" si="341">IF(PaybackCustom&gt;0, IF(PaybackCustom&lt;&gt;"Default", PaybackCustom, IF(PaybackStatus&lt;&gt;"",INDEX($Y$2:$Y$6,MATCH(PaybackStatus,$X$2:$X$6,FALSE)),-1)))</f>
        <v>25</v>
      </c>
      <c r="Y970" s="32">
        <f t="shared" ref="Y970:Y1033" si="342">IF(PaybackStatus&lt;&gt;"",IF(PaybackStatus=$X$4,IF(X970&lt;=$Y$4,$Y$4,-1), -1), -1)</f>
        <v>-1</v>
      </c>
      <c r="Z970" s="32"/>
      <c r="AA970" s="30">
        <f t="shared" ref="AA970:AA1033" si="343">E970</f>
        <v>26.325160936857962</v>
      </c>
      <c r="AB970" s="28">
        <f t="shared" ref="AB970:AB1033" si="344">J970</f>
        <v>0.76952291003854101</v>
      </c>
      <c r="AC970" s="28">
        <f t="shared" ref="AC970:AC1033" si="345">U970</f>
        <v>0.10964912280701754</v>
      </c>
      <c r="AD970" s="29">
        <f t="shared" ref="AD970:AD1033" si="346">$AC$2*(AA970-$AC$3)/($AC$4-$AC$3)</f>
        <v>911.76470588235293</v>
      </c>
      <c r="AE970" s="28">
        <f t="shared" ref="AE970:AE1033" si="347">MIN(AC970, AB970)</f>
        <v>0.10964912280701754</v>
      </c>
      <c r="AF970" s="28">
        <f t="shared" ref="AF970:AF1033" si="348">IF(AND(AA970&lt;X970, AB970&gt;AC970), AB970-AC970, 0)</f>
        <v>0</v>
      </c>
      <c r="AG970" s="28">
        <f t="shared" ref="AG970:AG1033" si="349">IF(AND(AA970&lt;X970, AC970&gt;AB970), AC970-AB970, 0)</f>
        <v>0</v>
      </c>
      <c r="AI970" s="31">
        <f t="shared" ref="AI970:AI1033" si="350">(K970-F970)/F970</f>
        <v>4.4664603448277216</v>
      </c>
      <c r="AJ970" s="25"/>
      <c r="AK970" s="31"/>
      <c r="AM970" s="27"/>
    </row>
    <row r="971" spans="4:39" x14ac:dyDescent="0.25">
      <c r="D971" s="25">
        <f>E971*'Profit per cycles Model'!$I$113</f>
        <v>9620</v>
      </c>
      <c r="E971" s="25">
        <v>26.352554444596631</v>
      </c>
      <c r="F971" s="28">
        <f t="shared" si="331"/>
        <v>0.10395010395010396</v>
      </c>
      <c r="G971" s="28">
        <f>'Battery Pricing Model'!$C$17/D971</f>
        <v>0.10395010395010396</v>
      </c>
      <c r="H971" s="28">
        <f t="shared" si="332"/>
        <v>999</v>
      </c>
      <c r="I971" s="28"/>
      <c r="J971" s="34">
        <f>INDEX('Profit per cycles Model'!$I$149:$I$179, MATCH(TRUNC(E971, 0), 'Profit per cycles Model'!$H$149:$H$179, 0))</f>
        <v>0.76952291003854101</v>
      </c>
      <c r="K971" s="27">
        <f>AVERAGE($J$10:J1971)</f>
        <v>0.56883042089778579</v>
      </c>
      <c r="L971" s="28">
        <f t="shared" si="333"/>
        <v>0.46488031694768184</v>
      </c>
      <c r="M971" s="28">
        <f t="shared" si="334"/>
        <v>0.46488031694768184</v>
      </c>
      <c r="N971" s="28">
        <f t="shared" si="335"/>
        <v>999</v>
      </c>
      <c r="O971" s="28"/>
      <c r="P971" s="29">
        <f t="shared" ref="P971:P1034" si="351">P970+0.001</f>
        <v>0.96200000000000074</v>
      </c>
      <c r="Q971" s="33">
        <f t="shared" si="336"/>
        <v>6.7114093959731544</v>
      </c>
      <c r="R971" s="33">
        <f t="shared" si="337"/>
        <v>6.7114093959731544</v>
      </c>
      <c r="S971" s="33">
        <f t="shared" si="338"/>
        <v>-1</v>
      </c>
      <c r="T971" s="27"/>
      <c r="U971" s="28">
        <f t="shared" si="339"/>
        <v>0.10964912280701754</v>
      </c>
      <c r="V971" s="25">
        <f t="shared" si="340"/>
        <v>999</v>
      </c>
      <c r="W971" s="35">
        <f t="shared" ref="W971:W1034" si="352">IF( AND(X971&gt;0, Y971&gt;0), IF(X971&lt;Y971, X971, Y971),  IF(X971&gt;0, X971, IF(Y971&gt;0, Y971, -1)) )</f>
        <v>25</v>
      </c>
      <c r="X971" s="33">
        <f t="shared" si="341"/>
        <v>25</v>
      </c>
      <c r="Y971" s="32">
        <f t="shared" si="342"/>
        <v>-1</v>
      </c>
      <c r="Z971" s="32"/>
      <c r="AA971" s="30">
        <f t="shared" si="343"/>
        <v>26.352554444596631</v>
      </c>
      <c r="AB971" s="28">
        <f t="shared" si="344"/>
        <v>0.76952291003854101</v>
      </c>
      <c r="AC971" s="28">
        <f t="shared" si="345"/>
        <v>0.10964912280701754</v>
      </c>
      <c r="AD971" s="29">
        <f t="shared" si="346"/>
        <v>912.71347248576853</v>
      </c>
      <c r="AE971" s="28">
        <f t="shared" si="347"/>
        <v>0.10964912280701754</v>
      </c>
      <c r="AF971" s="28">
        <f t="shared" si="348"/>
        <v>0</v>
      </c>
      <c r="AG971" s="28">
        <f t="shared" si="349"/>
        <v>0</v>
      </c>
      <c r="AI971" s="31">
        <f t="shared" si="350"/>
        <v>4.4721486490366988</v>
      </c>
      <c r="AJ971" s="25"/>
      <c r="AK971" s="31"/>
      <c r="AM971" s="27"/>
    </row>
    <row r="972" spans="4:39" x14ac:dyDescent="0.25">
      <c r="D972" s="25">
        <f>E972*'Profit per cycles Model'!$I$113</f>
        <v>9630</v>
      </c>
      <c r="E972" s="25">
        <v>26.379947952335296</v>
      </c>
      <c r="F972" s="28">
        <f t="shared" si="331"/>
        <v>0.10384215991692627</v>
      </c>
      <c r="G972" s="28">
        <f>'Battery Pricing Model'!$C$17/D972</f>
        <v>0.10384215991692627</v>
      </c>
      <c r="H972" s="28">
        <f t="shared" si="332"/>
        <v>999</v>
      </c>
      <c r="I972" s="28"/>
      <c r="J972" s="34">
        <f>INDEX('Profit per cycles Model'!$I$149:$I$179, MATCH(TRUNC(E972, 0), 'Profit per cycles Model'!$H$149:$H$179, 0))</f>
        <v>0.76952291003854101</v>
      </c>
      <c r="K972" s="27">
        <f>AVERAGE($J$10:J1972)</f>
        <v>0.56883042089778579</v>
      </c>
      <c r="L972" s="28">
        <f t="shared" si="333"/>
        <v>0.46498826098085955</v>
      </c>
      <c r="M972" s="28">
        <f t="shared" si="334"/>
        <v>0.46498826098085955</v>
      </c>
      <c r="N972" s="28">
        <f t="shared" si="335"/>
        <v>999</v>
      </c>
      <c r="O972" s="28"/>
      <c r="P972" s="29">
        <f t="shared" si="351"/>
        <v>0.96300000000000074</v>
      </c>
      <c r="Q972" s="33">
        <f t="shared" si="336"/>
        <v>6.7114093959731544</v>
      </c>
      <c r="R972" s="33">
        <f t="shared" si="337"/>
        <v>6.7114093959731544</v>
      </c>
      <c r="S972" s="33">
        <f t="shared" si="338"/>
        <v>-1</v>
      </c>
      <c r="T972" s="27"/>
      <c r="U972" s="28">
        <f t="shared" si="339"/>
        <v>0.10964912280701754</v>
      </c>
      <c r="V972" s="25">
        <f t="shared" si="340"/>
        <v>999</v>
      </c>
      <c r="W972" s="35">
        <f t="shared" si="352"/>
        <v>25</v>
      </c>
      <c r="X972" s="33">
        <f t="shared" si="341"/>
        <v>25</v>
      </c>
      <c r="Y972" s="32">
        <f t="shared" si="342"/>
        <v>-1</v>
      </c>
      <c r="Z972" s="32"/>
      <c r="AA972" s="30">
        <f t="shared" si="343"/>
        <v>26.379947952335296</v>
      </c>
      <c r="AB972" s="28">
        <f t="shared" si="344"/>
        <v>0.76952291003854101</v>
      </c>
      <c r="AC972" s="28">
        <f t="shared" si="345"/>
        <v>0.10964912280701754</v>
      </c>
      <c r="AD972" s="29">
        <f t="shared" si="346"/>
        <v>913.66223908918414</v>
      </c>
      <c r="AE972" s="28">
        <f t="shared" si="347"/>
        <v>0.10964912280701754</v>
      </c>
      <c r="AF972" s="28">
        <f t="shared" si="348"/>
        <v>0</v>
      </c>
      <c r="AG972" s="28">
        <f t="shared" si="349"/>
        <v>0</v>
      </c>
      <c r="AI972" s="31">
        <f t="shared" si="350"/>
        <v>4.477836953245677</v>
      </c>
      <c r="AJ972" s="25"/>
      <c r="AK972" s="31"/>
      <c r="AM972" s="27"/>
    </row>
    <row r="973" spans="4:39" x14ac:dyDescent="0.25">
      <c r="D973" s="25">
        <f>E973*'Profit per cycles Model'!$I$113</f>
        <v>9640</v>
      </c>
      <c r="E973" s="25">
        <v>26.407341460073962</v>
      </c>
      <c r="F973" s="28">
        <f t="shared" si="331"/>
        <v>0.1037344398340249</v>
      </c>
      <c r="G973" s="28">
        <f>'Battery Pricing Model'!$C$17/D973</f>
        <v>0.1037344398340249</v>
      </c>
      <c r="H973" s="28">
        <f t="shared" si="332"/>
        <v>999</v>
      </c>
      <c r="I973" s="28"/>
      <c r="J973" s="34">
        <f>INDEX('Profit per cycles Model'!$I$149:$I$179, MATCH(TRUNC(E973, 0), 'Profit per cycles Model'!$H$149:$H$179, 0))</f>
        <v>0.76952291003854101</v>
      </c>
      <c r="K973" s="27">
        <f>AVERAGE($J$10:J1973)</f>
        <v>0.56883042089778579</v>
      </c>
      <c r="L973" s="28">
        <f t="shared" si="333"/>
        <v>0.46509598106376088</v>
      </c>
      <c r="M973" s="28">
        <f t="shared" si="334"/>
        <v>0.46509598106376088</v>
      </c>
      <c r="N973" s="28">
        <f t="shared" si="335"/>
        <v>999</v>
      </c>
      <c r="O973" s="28"/>
      <c r="P973" s="29">
        <f t="shared" si="351"/>
        <v>0.96400000000000075</v>
      </c>
      <c r="Q973" s="33">
        <f t="shared" si="336"/>
        <v>6.7114093959731544</v>
      </c>
      <c r="R973" s="33">
        <f t="shared" si="337"/>
        <v>6.7114093959731544</v>
      </c>
      <c r="S973" s="33">
        <f t="shared" si="338"/>
        <v>-1</v>
      </c>
      <c r="T973" s="27"/>
      <c r="U973" s="28">
        <f t="shared" si="339"/>
        <v>0.10964912280701754</v>
      </c>
      <c r="V973" s="25">
        <f t="shared" si="340"/>
        <v>999</v>
      </c>
      <c r="W973" s="35">
        <f t="shared" si="352"/>
        <v>25</v>
      </c>
      <c r="X973" s="33">
        <f t="shared" si="341"/>
        <v>25</v>
      </c>
      <c r="Y973" s="32">
        <f t="shared" si="342"/>
        <v>-1</v>
      </c>
      <c r="Z973" s="32"/>
      <c r="AA973" s="30">
        <f t="shared" si="343"/>
        <v>26.407341460073962</v>
      </c>
      <c r="AB973" s="28">
        <f t="shared" si="344"/>
        <v>0.76952291003854101</v>
      </c>
      <c r="AC973" s="28">
        <f t="shared" si="345"/>
        <v>0.10964912280701754</v>
      </c>
      <c r="AD973" s="29">
        <f t="shared" si="346"/>
        <v>914.61100569259975</v>
      </c>
      <c r="AE973" s="28">
        <f t="shared" si="347"/>
        <v>0.10964912280701754</v>
      </c>
      <c r="AF973" s="28">
        <f t="shared" si="348"/>
        <v>0</v>
      </c>
      <c r="AG973" s="28">
        <f t="shared" si="349"/>
        <v>0</v>
      </c>
      <c r="AI973" s="31">
        <f t="shared" si="350"/>
        <v>4.4835252574546542</v>
      </c>
      <c r="AJ973" s="25"/>
      <c r="AK973" s="31"/>
      <c r="AM973" s="27"/>
    </row>
    <row r="974" spans="4:39" x14ac:dyDescent="0.25">
      <c r="D974" s="25">
        <f>E974*'Profit per cycles Model'!$I$113</f>
        <v>9650</v>
      </c>
      <c r="E974" s="25">
        <v>26.434734967812627</v>
      </c>
      <c r="F974" s="28">
        <f t="shared" si="331"/>
        <v>0.10362694300518134</v>
      </c>
      <c r="G974" s="28">
        <f>'Battery Pricing Model'!$C$17/D974</f>
        <v>0.10362694300518134</v>
      </c>
      <c r="H974" s="28">
        <f t="shared" si="332"/>
        <v>999</v>
      </c>
      <c r="I974" s="28"/>
      <c r="J974" s="34">
        <f>INDEX('Profit per cycles Model'!$I$149:$I$179, MATCH(TRUNC(E974, 0), 'Profit per cycles Model'!$H$149:$H$179, 0))</f>
        <v>0.76952291003854101</v>
      </c>
      <c r="K974" s="27">
        <f>AVERAGE($J$10:J1974)</f>
        <v>0.56883042089778579</v>
      </c>
      <c r="L974" s="28">
        <f t="shared" si="333"/>
        <v>0.46520347789260447</v>
      </c>
      <c r="M974" s="28">
        <f t="shared" si="334"/>
        <v>0.46520347789260447</v>
      </c>
      <c r="N974" s="28">
        <f t="shared" si="335"/>
        <v>999</v>
      </c>
      <c r="O974" s="28"/>
      <c r="P974" s="29">
        <f t="shared" si="351"/>
        <v>0.96500000000000075</v>
      </c>
      <c r="Q974" s="33">
        <f t="shared" si="336"/>
        <v>6.7114093959731544</v>
      </c>
      <c r="R974" s="33">
        <f t="shared" si="337"/>
        <v>6.7114093959731544</v>
      </c>
      <c r="S974" s="33">
        <f t="shared" si="338"/>
        <v>-1</v>
      </c>
      <c r="T974" s="27"/>
      <c r="U974" s="28">
        <f t="shared" si="339"/>
        <v>0.10964912280701754</v>
      </c>
      <c r="V974" s="25">
        <f t="shared" si="340"/>
        <v>999</v>
      </c>
      <c r="W974" s="35">
        <f t="shared" si="352"/>
        <v>25</v>
      </c>
      <c r="X974" s="33">
        <f t="shared" si="341"/>
        <v>25</v>
      </c>
      <c r="Y974" s="32">
        <f t="shared" si="342"/>
        <v>-1</v>
      </c>
      <c r="Z974" s="32"/>
      <c r="AA974" s="30">
        <f t="shared" si="343"/>
        <v>26.434734967812627</v>
      </c>
      <c r="AB974" s="28">
        <f t="shared" si="344"/>
        <v>0.76952291003854101</v>
      </c>
      <c r="AC974" s="28">
        <f t="shared" si="345"/>
        <v>0.10964912280701754</v>
      </c>
      <c r="AD974" s="29">
        <f t="shared" si="346"/>
        <v>915.55977229601513</v>
      </c>
      <c r="AE974" s="28">
        <f t="shared" si="347"/>
        <v>0.10964912280701754</v>
      </c>
      <c r="AF974" s="28">
        <f t="shared" si="348"/>
        <v>0</v>
      </c>
      <c r="AG974" s="28">
        <f t="shared" si="349"/>
        <v>0</v>
      </c>
      <c r="AI974" s="31">
        <f t="shared" si="350"/>
        <v>4.4892135616636333</v>
      </c>
      <c r="AJ974" s="25"/>
      <c r="AK974" s="31"/>
      <c r="AM974" s="27"/>
    </row>
    <row r="975" spans="4:39" x14ac:dyDescent="0.25">
      <c r="D975" s="25">
        <f>E975*'Profit per cycles Model'!$I$113</f>
        <v>9660</v>
      </c>
      <c r="E975" s="25">
        <v>26.462128475551292</v>
      </c>
      <c r="F975" s="28">
        <f t="shared" si="331"/>
        <v>0.10351966873706005</v>
      </c>
      <c r="G975" s="28">
        <f>'Battery Pricing Model'!$C$17/D975</f>
        <v>0.10351966873706005</v>
      </c>
      <c r="H975" s="28">
        <f t="shared" si="332"/>
        <v>999</v>
      </c>
      <c r="I975" s="28"/>
      <c r="J975" s="34">
        <f>INDEX('Profit per cycles Model'!$I$149:$I$179, MATCH(TRUNC(E975, 0), 'Profit per cycles Model'!$H$149:$H$179, 0))</f>
        <v>0.76952291003854101</v>
      </c>
      <c r="K975" s="27">
        <f>AVERAGE($J$10:J1975)</f>
        <v>0.56883042089778579</v>
      </c>
      <c r="L975" s="28">
        <f t="shared" si="333"/>
        <v>0.46531075216072576</v>
      </c>
      <c r="M975" s="28">
        <f t="shared" si="334"/>
        <v>0.46531075216072576</v>
      </c>
      <c r="N975" s="28">
        <f t="shared" si="335"/>
        <v>999</v>
      </c>
      <c r="O975" s="28"/>
      <c r="P975" s="29">
        <f t="shared" si="351"/>
        <v>0.96600000000000075</v>
      </c>
      <c r="Q975" s="33">
        <f t="shared" si="336"/>
        <v>6.7114093959731544</v>
      </c>
      <c r="R975" s="33">
        <f t="shared" si="337"/>
        <v>6.7114093959731544</v>
      </c>
      <c r="S975" s="33">
        <f t="shared" si="338"/>
        <v>-1</v>
      </c>
      <c r="T975" s="27"/>
      <c r="U975" s="28">
        <f t="shared" si="339"/>
        <v>0.10964912280701754</v>
      </c>
      <c r="V975" s="25">
        <f t="shared" si="340"/>
        <v>999</v>
      </c>
      <c r="W975" s="35">
        <f t="shared" si="352"/>
        <v>25</v>
      </c>
      <c r="X975" s="33">
        <f t="shared" si="341"/>
        <v>25</v>
      </c>
      <c r="Y975" s="32">
        <f t="shared" si="342"/>
        <v>-1</v>
      </c>
      <c r="Z975" s="32"/>
      <c r="AA975" s="30">
        <f t="shared" si="343"/>
        <v>26.462128475551292</v>
      </c>
      <c r="AB975" s="28">
        <f t="shared" si="344"/>
        <v>0.76952291003854101</v>
      </c>
      <c r="AC975" s="28">
        <f t="shared" si="345"/>
        <v>0.10964912280701754</v>
      </c>
      <c r="AD975" s="29">
        <f t="shared" si="346"/>
        <v>916.50853889943073</v>
      </c>
      <c r="AE975" s="28">
        <f t="shared" si="347"/>
        <v>0.10964912280701754</v>
      </c>
      <c r="AF975" s="28">
        <f t="shared" si="348"/>
        <v>0</v>
      </c>
      <c r="AG975" s="28">
        <f t="shared" si="349"/>
        <v>0</v>
      </c>
      <c r="AI975" s="31">
        <f t="shared" si="350"/>
        <v>4.4949018658726105</v>
      </c>
      <c r="AJ975" s="25"/>
      <c r="AK975" s="31"/>
      <c r="AM975" s="27"/>
    </row>
    <row r="976" spans="4:39" x14ac:dyDescent="0.25">
      <c r="D976" s="25">
        <f>E976*'Profit per cycles Model'!$I$113</f>
        <v>9670</v>
      </c>
      <c r="E976" s="25">
        <v>26.489521983289958</v>
      </c>
      <c r="F976" s="28">
        <f t="shared" si="331"/>
        <v>0.10341261633919338</v>
      </c>
      <c r="G976" s="28">
        <f>'Battery Pricing Model'!$C$17/D976</f>
        <v>0.10341261633919338</v>
      </c>
      <c r="H976" s="28">
        <f t="shared" si="332"/>
        <v>999</v>
      </c>
      <c r="I976" s="28"/>
      <c r="J976" s="34">
        <f>INDEX('Profit per cycles Model'!$I$149:$I$179, MATCH(TRUNC(E976, 0), 'Profit per cycles Model'!$H$149:$H$179, 0))</f>
        <v>0.76952291003854101</v>
      </c>
      <c r="K976" s="27">
        <f>AVERAGE($J$10:J1976)</f>
        <v>0.56883042089778579</v>
      </c>
      <c r="L976" s="28">
        <f t="shared" si="333"/>
        <v>0.46541780455859239</v>
      </c>
      <c r="M976" s="28">
        <f t="shared" si="334"/>
        <v>0.46541780455859239</v>
      </c>
      <c r="N976" s="28">
        <f t="shared" si="335"/>
        <v>999</v>
      </c>
      <c r="O976" s="28"/>
      <c r="P976" s="29">
        <f t="shared" si="351"/>
        <v>0.96700000000000075</v>
      </c>
      <c r="Q976" s="33">
        <f t="shared" si="336"/>
        <v>6.7114093959731544</v>
      </c>
      <c r="R976" s="33">
        <f t="shared" si="337"/>
        <v>6.7114093959731544</v>
      </c>
      <c r="S976" s="33">
        <f t="shared" si="338"/>
        <v>-1</v>
      </c>
      <c r="T976" s="27"/>
      <c r="U976" s="28">
        <f t="shared" si="339"/>
        <v>0.10964912280701754</v>
      </c>
      <c r="V976" s="25">
        <f t="shared" si="340"/>
        <v>999</v>
      </c>
      <c r="W976" s="35">
        <f t="shared" si="352"/>
        <v>25</v>
      </c>
      <c r="X976" s="33">
        <f t="shared" si="341"/>
        <v>25</v>
      </c>
      <c r="Y976" s="32">
        <f t="shared" si="342"/>
        <v>-1</v>
      </c>
      <c r="Z976" s="32"/>
      <c r="AA976" s="30">
        <f t="shared" si="343"/>
        <v>26.489521983289958</v>
      </c>
      <c r="AB976" s="28">
        <f t="shared" si="344"/>
        <v>0.76952291003854101</v>
      </c>
      <c r="AC976" s="28">
        <f t="shared" si="345"/>
        <v>0.10964912280701754</v>
      </c>
      <c r="AD976" s="29">
        <f t="shared" si="346"/>
        <v>917.45730550284622</v>
      </c>
      <c r="AE976" s="28">
        <f t="shared" si="347"/>
        <v>0.10964912280701754</v>
      </c>
      <c r="AF976" s="28">
        <f t="shared" si="348"/>
        <v>0</v>
      </c>
      <c r="AG976" s="28">
        <f t="shared" si="349"/>
        <v>0</v>
      </c>
      <c r="AI976" s="31">
        <f t="shared" si="350"/>
        <v>4.5005901700815887</v>
      </c>
      <c r="AJ976" s="25"/>
      <c r="AK976" s="31"/>
      <c r="AM976" s="27"/>
    </row>
    <row r="977" spans="4:39" x14ac:dyDescent="0.25">
      <c r="D977" s="25">
        <f>E977*'Profit per cycles Model'!$I$113</f>
        <v>9680</v>
      </c>
      <c r="E977" s="25">
        <v>26.516915491028627</v>
      </c>
      <c r="F977" s="28">
        <f t="shared" si="331"/>
        <v>0.10330578512396695</v>
      </c>
      <c r="G977" s="28">
        <f>'Battery Pricing Model'!$C$17/D977</f>
        <v>0.10330578512396695</v>
      </c>
      <c r="H977" s="28">
        <f t="shared" si="332"/>
        <v>999</v>
      </c>
      <c r="I977" s="28"/>
      <c r="J977" s="34">
        <f>INDEX('Profit per cycles Model'!$I$149:$I$179, MATCH(TRUNC(E977, 0), 'Profit per cycles Model'!$H$149:$H$179, 0))</f>
        <v>0.76952291003854101</v>
      </c>
      <c r="K977" s="27">
        <f>AVERAGE($J$10:J1977)</f>
        <v>0.56883042089778579</v>
      </c>
      <c r="L977" s="28">
        <f t="shared" si="333"/>
        <v>0.46552463577381886</v>
      </c>
      <c r="M977" s="28">
        <f t="shared" si="334"/>
        <v>0.46552463577381886</v>
      </c>
      <c r="N977" s="28">
        <f t="shared" si="335"/>
        <v>999</v>
      </c>
      <c r="O977" s="28"/>
      <c r="P977" s="29">
        <f t="shared" si="351"/>
        <v>0.96800000000000075</v>
      </c>
      <c r="Q977" s="33">
        <f t="shared" si="336"/>
        <v>6.7114093959731544</v>
      </c>
      <c r="R977" s="33">
        <f t="shared" si="337"/>
        <v>6.7114093959731544</v>
      </c>
      <c r="S977" s="33">
        <f t="shared" si="338"/>
        <v>-1</v>
      </c>
      <c r="T977" s="27"/>
      <c r="U977" s="28">
        <f t="shared" si="339"/>
        <v>0.10964912280701754</v>
      </c>
      <c r="V977" s="25">
        <f t="shared" si="340"/>
        <v>999</v>
      </c>
      <c r="W977" s="35">
        <f t="shared" si="352"/>
        <v>25</v>
      </c>
      <c r="X977" s="33">
        <f t="shared" si="341"/>
        <v>25</v>
      </c>
      <c r="Y977" s="32">
        <f t="shared" si="342"/>
        <v>-1</v>
      </c>
      <c r="Z977" s="32"/>
      <c r="AA977" s="30">
        <f t="shared" si="343"/>
        <v>26.516915491028627</v>
      </c>
      <c r="AB977" s="28">
        <f t="shared" si="344"/>
        <v>0.76952291003854101</v>
      </c>
      <c r="AC977" s="28">
        <f t="shared" si="345"/>
        <v>0.10964912280701754</v>
      </c>
      <c r="AD977" s="29">
        <f t="shared" si="346"/>
        <v>918.40607210626195</v>
      </c>
      <c r="AE977" s="28">
        <f t="shared" si="347"/>
        <v>0.10964912280701754</v>
      </c>
      <c r="AF977" s="28">
        <f t="shared" si="348"/>
        <v>0</v>
      </c>
      <c r="AG977" s="28">
        <f t="shared" si="349"/>
        <v>0</v>
      </c>
      <c r="AI977" s="31">
        <f t="shared" si="350"/>
        <v>4.5062784742905668</v>
      </c>
      <c r="AJ977" s="25"/>
      <c r="AK977" s="31"/>
      <c r="AM977" s="27"/>
    </row>
    <row r="978" spans="4:39" x14ac:dyDescent="0.25">
      <c r="D978" s="25">
        <f>E978*'Profit per cycles Model'!$I$113</f>
        <v>9690</v>
      </c>
      <c r="E978" s="25">
        <v>26.544308998767292</v>
      </c>
      <c r="F978" s="28">
        <f t="shared" si="331"/>
        <v>0.10319917440660474</v>
      </c>
      <c r="G978" s="28">
        <f>'Battery Pricing Model'!$C$17/D978</f>
        <v>0.10319917440660474</v>
      </c>
      <c r="H978" s="28">
        <f t="shared" si="332"/>
        <v>999</v>
      </c>
      <c r="I978" s="28"/>
      <c r="J978" s="34">
        <f>INDEX('Profit per cycles Model'!$I$149:$I$179, MATCH(TRUNC(E978, 0), 'Profit per cycles Model'!$H$149:$H$179, 0))</f>
        <v>0.76952291003854101</v>
      </c>
      <c r="K978" s="27">
        <f>AVERAGE($J$10:J1978)</f>
        <v>0.56883042089778579</v>
      </c>
      <c r="L978" s="28">
        <f t="shared" si="333"/>
        <v>0.46563124649118104</v>
      </c>
      <c r="M978" s="28">
        <f t="shared" si="334"/>
        <v>0.46563124649118104</v>
      </c>
      <c r="N978" s="28">
        <f t="shared" si="335"/>
        <v>999</v>
      </c>
      <c r="O978" s="28"/>
      <c r="P978" s="29">
        <f t="shared" si="351"/>
        <v>0.96900000000000075</v>
      </c>
      <c r="Q978" s="33">
        <f t="shared" si="336"/>
        <v>6.7114093959731544</v>
      </c>
      <c r="R978" s="33">
        <f t="shared" si="337"/>
        <v>6.7114093959731544</v>
      </c>
      <c r="S978" s="33">
        <f t="shared" si="338"/>
        <v>-1</v>
      </c>
      <c r="T978" s="27"/>
      <c r="U978" s="28">
        <f t="shared" si="339"/>
        <v>0.10964912280701754</v>
      </c>
      <c r="V978" s="25">
        <f t="shared" si="340"/>
        <v>999</v>
      </c>
      <c r="W978" s="35">
        <f t="shared" si="352"/>
        <v>25</v>
      </c>
      <c r="X978" s="33">
        <f t="shared" si="341"/>
        <v>25</v>
      </c>
      <c r="Y978" s="32">
        <f t="shared" si="342"/>
        <v>-1</v>
      </c>
      <c r="Z978" s="32"/>
      <c r="AA978" s="30">
        <f t="shared" si="343"/>
        <v>26.544308998767292</v>
      </c>
      <c r="AB978" s="28">
        <f t="shared" si="344"/>
        <v>0.76952291003854101</v>
      </c>
      <c r="AC978" s="28">
        <f t="shared" si="345"/>
        <v>0.10964912280701754</v>
      </c>
      <c r="AD978" s="29">
        <f t="shared" si="346"/>
        <v>919.35483870967755</v>
      </c>
      <c r="AE978" s="28">
        <f t="shared" si="347"/>
        <v>0.10964912280701754</v>
      </c>
      <c r="AF978" s="28">
        <f t="shared" si="348"/>
        <v>0</v>
      </c>
      <c r="AG978" s="28">
        <f t="shared" si="349"/>
        <v>0</v>
      </c>
      <c r="AI978" s="31">
        <f t="shared" si="350"/>
        <v>4.511966778499545</v>
      </c>
      <c r="AJ978" s="25"/>
      <c r="AK978" s="31"/>
      <c r="AM978" s="27"/>
    </row>
    <row r="979" spans="4:39" x14ac:dyDescent="0.25">
      <c r="D979" s="25">
        <f>E979*'Profit per cycles Model'!$I$113</f>
        <v>9700</v>
      </c>
      <c r="E979" s="25">
        <v>26.571702506505957</v>
      </c>
      <c r="F979" s="28">
        <f t="shared" si="331"/>
        <v>0.10309278350515463</v>
      </c>
      <c r="G979" s="28">
        <f>'Battery Pricing Model'!$C$17/D979</f>
        <v>0.10309278350515463</v>
      </c>
      <c r="H979" s="28">
        <f t="shared" si="332"/>
        <v>999</v>
      </c>
      <c r="I979" s="28"/>
      <c r="J979" s="34">
        <f>INDEX('Profit per cycles Model'!$I$149:$I$179, MATCH(TRUNC(E979, 0), 'Profit per cycles Model'!$H$149:$H$179, 0))</f>
        <v>0.76952291003854101</v>
      </c>
      <c r="K979" s="27">
        <f>AVERAGE($J$10:J1979)</f>
        <v>0.56883042089778579</v>
      </c>
      <c r="L979" s="28">
        <f t="shared" si="333"/>
        <v>0.46573763739263119</v>
      </c>
      <c r="M979" s="28">
        <f t="shared" si="334"/>
        <v>0.46573763739263119</v>
      </c>
      <c r="N979" s="28">
        <f t="shared" si="335"/>
        <v>999</v>
      </c>
      <c r="O979" s="28"/>
      <c r="P979" s="29">
        <f t="shared" si="351"/>
        <v>0.97000000000000075</v>
      </c>
      <c r="Q979" s="33">
        <f t="shared" si="336"/>
        <v>6.7114093959731544</v>
      </c>
      <c r="R979" s="33">
        <f t="shared" si="337"/>
        <v>6.7114093959731544</v>
      </c>
      <c r="S979" s="33">
        <f t="shared" si="338"/>
        <v>-1</v>
      </c>
      <c r="T979" s="27"/>
      <c r="U979" s="28">
        <f t="shared" si="339"/>
        <v>0.10964912280701754</v>
      </c>
      <c r="V979" s="25">
        <f t="shared" si="340"/>
        <v>999</v>
      </c>
      <c r="W979" s="35">
        <f t="shared" si="352"/>
        <v>25</v>
      </c>
      <c r="X979" s="33">
        <f t="shared" si="341"/>
        <v>25</v>
      </c>
      <c r="Y979" s="32">
        <f t="shared" si="342"/>
        <v>-1</v>
      </c>
      <c r="Z979" s="32"/>
      <c r="AA979" s="30">
        <f t="shared" si="343"/>
        <v>26.571702506505957</v>
      </c>
      <c r="AB979" s="28">
        <f t="shared" si="344"/>
        <v>0.76952291003854101</v>
      </c>
      <c r="AC979" s="28">
        <f t="shared" si="345"/>
        <v>0.10964912280701754</v>
      </c>
      <c r="AD979" s="29">
        <f t="shared" si="346"/>
        <v>920.30360531309304</v>
      </c>
      <c r="AE979" s="28">
        <f t="shared" si="347"/>
        <v>0.10964912280701754</v>
      </c>
      <c r="AF979" s="28">
        <f t="shared" si="348"/>
        <v>0</v>
      </c>
      <c r="AG979" s="28">
        <f t="shared" si="349"/>
        <v>0</v>
      </c>
      <c r="AI979" s="31">
        <f t="shared" si="350"/>
        <v>4.5176550827085231</v>
      </c>
      <c r="AJ979" s="25"/>
      <c r="AK979" s="31"/>
      <c r="AM979" s="27"/>
    </row>
    <row r="980" spans="4:39" x14ac:dyDescent="0.25">
      <c r="D980" s="25">
        <f>E980*'Profit per cycles Model'!$I$113</f>
        <v>9710</v>
      </c>
      <c r="E980" s="25">
        <v>26.599096014244623</v>
      </c>
      <c r="F980" s="28">
        <f t="shared" si="331"/>
        <v>0.10298661174047374</v>
      </c>
      <c r="G980" s="28">
        <f>'Battery Pricing Model'!$C$17/D980</f>
        <v>0.10298661174047374</v>
      </c>
      <c r="H980" s="28">
        <f t="shared" si="332"/>
        <v>999</v>
      </c>
      <c r="I980" s="28"/>
      <c r="J980" s="34">
        <f>INDEX('Profit per cycles Model'!$I$149:$I$179, MATCH(TRUNC(E980, 0), 'Profit per cycles Model'!$H$149:$H$179, 0))</f>
        <v>0.76952291003854101</v>
      </c>
      <c r="K980" s="27">
        <f>AVERAGE($J$10:J1980)</f>
        <v>0.56883042089778579</v>
      </c>
      <c r="L980" s="28">
        <f t="shared" si="333"/>
        <v>0.46584380915731205</v>
      </c>
      <c r="M980" s="28">
        <f t="shared" si="334"/>
        <v>0.46584380915731205</v>
      </c>
      <c r="N980" s="28">
        <f t="shared" si="335"/>
        <v>999</v>
      </c>
      <c r="O980" s="28"/>
      <c r="P980" s="29">
        <f t="shared" si="351"/>
        <v>0.97100000000000075</v>
      </c>
      <c r="Q980" s="33">
        <f t="shared" si="336"/>
        <v>6.7114093959731544</v>
      </c>
      <c r="R980" s="33">
        <f t="shared" si="337"/>
        <v>6.7114093959731544</v>
      </c>
      <c r="S980" s="33">
        <f t="shared" si="338"/>
        <v>-1</v>
      </c>
      <c r="T980" s="27"/>
      <c r="U980" s="28">
        <f t="shared" si="339"/>
        <v>0.10964912280701754</v>
      </c>
      <c r="V980" s="25">
        <f t="shared" si="340"/>
        <v>999</v>
      </c>
      <c r="W980" s="35">
        <f t="shared" si="352"/>
        <v>25</v>
      </c>
      <c r="X980" s="33">
        <f t="shared" si="341"/>
        <v>25</v>
      </c>
      <c r="Y980" s="32">
        <f t="shared" si="342"/>
        <v>-1</v>
      </c>
      <c r="Z980" s="32"/>
      <c r="AA980" s="30">
        <f t="shared" si="343"/>
        <v>26.599096014244623</v>
      </c>
      <c r="AB980" s="28">
        <f t="shared" si="344"/>
        <v>0.76952291003854101</v>
      </c>
      <c r="AC980" s="28">
        <f t="shared" si="345"/>
        <v>0.10964912280701754</v>
      </c>
      <c r="AD980" s="29">
        <f t="shared" si="346"/>
        <v>921.25237191650854</v>
      </c>
      <c r="AE980" s="28">
        <f t="shared" si="347"/>
        <v>0.10964912280701754</v>
      </c>
      <c r="AF980" s="28">
        <f t="shared" si="348"/>
        <v>0</v>
      </c>
      <c r="AG980" s="28">
        <f t="shared" si="349"/>
        <v>0</v>
      </c>
      <c r="AI980" s="31">
        <f t="shared" si="350"/>
        <v>4.5233433869174995</v>
      </c>
      <c r="AJ980" s="25"/>
      <c r="AK980" s="31"/>
      <c r="AM980" s="27"/>
    </row>
    <row r="981" spans="4:39" x14ac:dyDescent="0.25">
      <c r="D981" s="25">
        <f>E981*'Profit per cycles Model'!$I$113</f>
        <v>9720</v>
      </c>
      <c r="E981" s="25">
        <v>26.626489521983288</v>
      </c>
      <c r="F981" s="28">
        <f t="shared" si="331"/>
        <v>0.102880658436214</v>
      </c>
      <c r="G981" s="28">
        <f>'Battery Pricing Model'!$C$17/D981</f>
        <v>0.102880658436214</v>
      </c>
      <c r="H981" s="28">
        <f t="shared" si="332"/>
        <v>999</v>
      </c>
      <c r="I981" s="28"/>
      <c r="J981" s="34">
        <f>INDEX('Profit per cycles Model'!$I$149:$I$179, MATCH(TRUNC(E981, 0), 'Profit per cycles Model'!$H$149:$H$179, 0))</f>
        <v>0.76952291003854101</v>
      </c>
      <c r="K981" s="27">
        <f>AVERAGE($J$10:J1981)</f>
        <v>0.56883042089778579</v>
      </c>
      <c r="L981" s="28">
        <f t="shared" si="333"/>
        <v>0.46594976246157183</v>
      </c>
      <c r="M981" s="28">
        <f t="shared" si="334"/>
        <v>0.46594976246157183</v>
      </c>
      <c r="N981" s="28">
        <f t="shared" si="335"/>
        <v>999</v>
      </c>
      <c r="O981" s="28"/>
      <c r="P981" s="29">
        <f t="shared" si="351"/>
        <v>0.97200000000000075</v>
      </c>
      <c r="Q981" s="33">
        <f t="shared" si="336"/>
        <v>6.7114093959731544</v>
      </c>
      <c r="R981" s="33">
        <f t="shared" si="337"/>
        <v>6.7114093959731544</v>
      </c>
      <c r="S981" s="33">
        <f t="shared" si="338"/>
        <v>-1</v>
      </c>
      <c r="T981" s="27"/>
      <c r="U981" s="28">
        <f t="shared" si="339"/>
        <v>0.10964912280701754</v>
      </c>
      <c r="V981" s="25">
        <f t="shared" si="340"/>
        <v>999</v>
      </c>
      <c r="W981" s="35">
        <f t="shared" si="352"/>
        <v>25</v>
      </c>
      <c r="X981" s="33">
        <f t="shared" si="341"/>
        <v>25</v>
      </c>
      <c r="Y981" s="32">
        <f t="shared" si="342"/>
        <v>-1</v>
      </c>
      <c r="Z981" s="32"/>
      <c r="AA981" s="30">
        <f t="shared" si="343"/>
        <v>26.626489521983288</v>
      </c>
      <c r="AB981" s="28">
        <f t="shared" si="344"/>
        <v>0.76952291003854101</v>
      </c>
      <c r="AC981" s="28">
        <f t="shared" si="345"/>
        <v>0.10964912280701754</v>
      </c>
      <c r="AD981" s="29">
        <f t="shared" si="346"/>
        <v>922.20113851992403</v>
      </c>
      <c r="AE981" s="28">
        <f t="shared" si="347"/>
        <v>0.10964912280701754</v>
      </c>
      <c r="AF981" s="28">
        <f t="shared" si="348"/>
        <v>0</v>
      </c>
      <c r="AG981" s="28">
        <f t="shared" si="349"/>
        <v>0</v>
      </c>
      <c r="AI981" s="31">
        <f t="shared" si="350"/>
        <v>4.5290316911264776</v>
      </c>
      <c r="AJ981" s="25"/>
      <c r="AK981" s="31"/>
      <c r="AM981" s="27"/>
    </row>
    <row r="982" spans="4:39" x14ac:dyDescent="0.25">
      <c r="D982" s="25">
        <f>E982*'Profit per cycles Model'!$I$113</f>
        <v>9730</v>
      </c>
      <c r="E982" s="25">
        <v>26.653883029721953</v>
      </c>
      <c r="F982" s="28">
        <f t="shared" si="331"/>
        <v>0.10277492291880781</v>
      </c>
      <c r="G982" s="28">
        <f>'Battery Pricing Model'!$C$17/D982</f>
        <v>0.10277492291880781</v>
      </c>
      <c r="H982" s="28">
        <f t="shared" si="332"/>
        <v>999</v>
      </c>
      <c r="I982" s="28"/>
      <c r="J982" s="34">
        <f>INDEX('Profit per cycles Model'!$I$149:$I$179, MATCH(TRUNC(E982, 0), 'Profit per cycles Model'!$H$149:$H$179, 0))</f>
        <v>0.76952291003854101</v>
      </c>
      <c r="K982" s="27">
        <f>AVERAGE($J$10:J1982)</f>
        <v>0.56883042089778579</v>
      </c>
      <c r="L982" s="28">
        <f t="shared" si="333"/>
        <v>0.466055497978978</v>
      </c>
      <c r="M982" s="28">
        <f t="shared" si="334"/>
        <v>0.466055497978978</v>
      </c>
      <c r="N982" s="28">
        <f t="shared" si="335"/>
        <v>999</v>
      </c>
      <c r="O982" s="28"/>
      <c r="P982" s="29">
        <f t="shared" si="351"/>
        <v>0.97300000000000075</v>
      </c>
      <c r="Q982" s="33">
        <f t="shared" si="336"/>
        <v>6.7114093959731544</v>
      </c>
      <c r="R982" s="33">
        <f t="shared" si="337"/>
        <v>6.7114093959731544</v>
      </c>
      <c r="S982" s="33">
        <f t="shared" si="338"/>
        <v>-1</v>
      </c>
      <c r="T982" s="27"/>
      <c r="U982" s="28">
        <f t="shared" si="339"/>
        <v>0.10964912280701754</v>
      </c>
      <c r="V982" s="25">
        <f t="shared" si="340"/>
        <v>999</v>
      </c>
      <c r="W982" s="35">
        <f t="shared" si="352"/>
        <v>25</v>
      </c>
      <c r="X982" s="33">
        <f t="shared" si="341"/>
        <v>25</v>
      </c>
      <c r="Y982" s="32">
        <f t="shared" si="342"/>
        <v>-1</v>
      </c>
      <c r="Z982" s="32"/>
      <c r="AA982" s="30">
        <f t="shared" si="343"/>
        <v>26.653883029721953</v>
      </c>
      <c r="AB982" s="28">
        <f t="shared" si="344"/>
        <v>0.76952291003854101</v>
      </c>
      <c r="AC982" s="28">
        <f t="shared" si="345"/>
        <v>0.10964912280701754</v>
      </c>
      <c r="AD982" s="29">
        <f t="shared" si="346"/>
        <v>923.14990512333964</v>
      </c>
      <c r="AE982" s="28">
        <f t="shared" si="347"/>
        <v>0.10964912280701754</v>
      </c>
      <c r="AF982" s="28">
        <f t="shared" si="348"/>
        <v>0</v>
      </c>
      <c r="AG982" s="28">
        <f t="shared" si="349"/>
        <v>0</v>
      </c>
      <c r="AI982" s="31">
        <f t="shared" si="350"/>
        <v>4.5347199953354558</v>
      </c>
      <c r="AJ982" s="25"/>
      <c r="AK982" s="31"/>
      <c r="AM982" s="27"/>
    </row>
    <row r="983" spans="4:39" x14ac:dyDescent="0.25">
      <c r="D983" s="25">
        <f>E983*'Profit per cycles Model'!$I$113</f>
        <v>9740</v>
      </c>
      <c r="E983" s="25">
        <v>26.681276537460622</v>
      </c>
      <c r="F983" s="28">
        <f t="shared" si="331"/>
        <v>0.10266940451745379</v>
      </c>
      <c r="G983" s="28">
        <f>'Battery Pricing Model'!$C$17/D983</f>
        <v>0.10266940451745379</v>
      </c>
      <c r="H983" s="28">
        <f t="shared" si="332"/>
        <v>999</v>
      </c>
      <c r="I983" s="28"/>
      <c r="J983" s="34">
        <f>INDEX('Profit per cycles Model'!$I$149:$I$179, MATCH(TRUNC(E983, 0), 'Profit per cycles Model'!$H$149:$H$179, 0))</f>
        <v>0.76952291003854101</v>
      </c>
      <c r="K983" s="27">
        <f>AVERAGE($J$10:J1983)</f>
        <v>0.56883042089778579</v>
      </c>
      <c r="L983" s="28">
        <f t="shared" si="333"/>
        <v>0.46616101638033203</v>
      </c>
      <c r="M983" s="28">
        <f t="shared" si="334"/>
        <v>0.46616101638033203</v>
      </c>
      <c r="N983" s="28">
        <f t="shared" si="335"/>
        <v>999</v>
      </c>
      <c r="O983" s="28"/>
      <c r="P983" s="29">
        <f t="shared" si="351"/>
        <v>0.97400000000000075</v>
      </c>
      <c r="Q983" s="33">
        <f t="shared" si="336"/>
        <v>6.7114093959731544</v>
      </c>
      <c r="R983" s="33">
        <f t="shared" si="337"/>
        <v>6.7114093959731544</v>
      </c>
      <c r="S983" s="33">
        <f t="shared" si="338"/>
        <v>-1</v>
      </c>
      <c r="T983" s="27"/>
      <c r="U983" s="28">
        <f t="shared" si="339"/>
        <v>0.10964912280701754</v>
      </c>
      <c r="V983" s="25">
        <f t="shared" si="340"/>
        <v>999</v>
      </c>
      <c r="W983" s="35">
        <f t="shared" si="352"/>
        <v>25</v>
      </c>
      <c r="X983" s="33">
        <f t="shared" si="341"/>
        <v>25</v>
      </c>
      <c r="Y983" s="32">
        <f t="shared" si="342"/>
        <v>-1</v>
      </c>
      <c r="Z983" s="32"/>
      <c r="AA983" s="30">
        <f t="shared" si="343"/>
        <v>26.681276537460622</v>
      </c>
      <c r="AB983" s="28">
        <f t="shared" si="344"/>
        <v>0.76952291003854101</v>
      </c>
      <c r="AC983" s="28">
        <f t="shared" si="345"/>
        <v>0.10964912280701754</v>
      </c>
      <c r="AD983" s="29">
        <f t="shared" si="346"/>
        <v>924.09867172675524</v>
      </c>
      <c r="AE983" s="28">
        <f t="shared" si="347"/>
        <v>0.10964912280701754</v>
      </c>
      <c r="AF983" s="28">
        <f t="shared" si="348"/>
        <v>0</v>
      </c>
      <c r="AG983" s="28">
        <f t="shared" si="349"/>
        <v>0</v>
      </c>
      <c r="AI983" s="31">
        <f t="shared" si="350"/>
        <v>4.5404082995444339</v>
      </c>
      <c r="AJ983" s="25"/>
      <c r="AK983" s="31"/>
      <c r="AM983" s="27"/>
    </row>
    <row r="984" spans="4:39" x14ac:dyDescent="0.25">
      <c r="D984" s="25">
        <f>E984*'Profit per cycles Model'!$I$113</f>
        <v>9750</v>
      </c>
      <c r="E984" s="25">
        <v>26.708670045199288</v>
      </c>
      <c r="F984" s="28">
        <f t="shared" si="331"/>
        <v>0.10256410256410256</v>
      </c>
      <c r="G984" s="28">
        <f>'Battery Pricing Model'!$C$17/D984</f>
        <v>0.10256410256410256</v>
      </c>
      <c r="H984" s="28">
        <f t="shared" si="332"/>
        <v>999</v>
      </c>
      <c r="I984" s="28"/>
      <c r="J984" s="34">
        <f>INDEX('Profit per cycles Model'!$I$149:$I$179, MATCH(TRUNC(E984, 0), 'Profit per cycles Model'!$H$149:$H$179, 0))</f>
        <v>0.76952291003854101</v>
      </c>
      <c r="K984" s="27">
        <f>AVERAGE($J$10:J1984)</f>
        <v>0.56883042089778579</v>
      </c>
      <c r="L984" s="28">
        <f t="shared" si="333"/>
        <v>0.46626631833368326</v>
      </c>
      <c r="M984" s="28">
        <f t="shared" si="334"/>
        <v>0.46626631833368326</v>
      </c>
      <c r="N984" s="28">
        <f t="shared" si="335"/>
        <v>999</v>
      </c>
      <c r="O984" s="28"/>
      <c r="P984" s="29">
        <f t="shared" si="351"/>
        <v>0.97500000000000075</v>
      </c>
      <c r="Q984" s="33">
        <f t="shared" si="336"/>
        <v>6.7114093959731544</v>
      </c>
      <c r="R984" s="33">
        <f t="shared" si="337"/>
        <v>6.7114093959731544</v>
      </c>
      <c r="S984" s="33">
        <f t="shared" si="338"/>
        <v>-1</v>
      </c>
      <c r="T984" s="27"/>
      <c r="U984" s="28">
        <f t="shared" si="339"/>
        <v>0.10964912280701754</v>
      </c>
      <c r="V984" s="25">
        <f t="shared" si="340"/>
        <v>999</v>
      </c>
      <c r="W984" s="35">
        <f t="shared" si="352"/>
        <v>25</v>
      </c>
      <c r="X984" s="33">
        <f t="shared" si="341"/>
        <v>25</v>
      </c>
      <c r="Y984" s="32">
        <f t="shared" si="342"/>
        <v>-1</v>
      </c>
      <c r="Z984" s="32"/>
      <c r="AA984" s="30">
        <f t="shared" si="343"/>
        <v>26.708670045199288</v>
      </c>
      <c r="AB984" s="28">
        <f t="shared" si="344"/>
        <v>0.76952291003854101</v>
      </c>
      <c r="AC984" s="28">
        <f t="shared" si="345"/>
        <v>0.10964912280701754</v>
      </c>
      <c r="AD984" s="29">
        <f t="shared" si="346"/>
        <v>925.04743833017085</v>
      </c>
      <c r="AE984" s="28">
        <f t="shared" si="347"/>
        <v>0.10964912280701754</v>
      </c>
      <c r="AF984" s="28">
        <f t="shared" si="348"/>
        <v>0</v>
      </c>
      <c r="AG984" s="28">
        <f t="shared" si="349"/>
        <v>0</v>
      </c>
      <c r="AI984" s="31">
        <f t="shared" si="350"/>
        <v>4.5460966037534121</v>
      </c>
      <c r="AJ984" s="25"/>
      <c r="AK984" s="31"/>
      <c r="AM984" s="27"/>
    </row>
    <row r="985" spans="4:39" x14ac:dyDescent="0.25">
      <c r="D985" s="25">
        <f>E985*'Profit per cycles Model'!$I$113</f>
        <v>9760</v>
      </c>
      <c r="E985" s="25">
        <v>26.736063552937953</v>
      </c>
      <c r="F985" s="28">
        <f t="shared" si="331"/>
        <v>0.10245901639344263</v>
      </c>
      <c r="G985" s="28">
        <f>'Battery Pricing Model'!$C$17/D985</f>
        <v>0.10245901639344263</v>
      </c>
      <c r="H985" s="28">
        <f t="shared" si="332"/>
        <v>999</v>
      </c>
      <c r="I985" s="28"/>
      <c r="J985" s="34">
        <f>INDEX('Profit per cycles Model'!$I$149:$I$179, MATCH(TRUNC(E985, 0), 'Profit per cycles Model'!$H$149:$H$179, 0))</f>
        <v>0.76952291003854101</v>
      </c>
      <c r="K985" s="27">
        <f>AVERAGE($J$10:J1985)</f>
        <v>0.56883042089778579</v>
      </c>
      <c r="L985" s="28">
        <f t="shared" si="333"/>
        <v>0.46637140450434317</v>
      </c>
      <c r="M985" s="28">
        <f t="shared" si="334"/>
        <v>0.46637140450434317</v>
      </c>
      <c r="N985" s="28">
        <f t="shared" si="335"/>
        <v>999</v>
      </c>
      <c r="O985" s="28"/>
      <c r="P985" s="29">
        <f t="shared" si="351"/>
        <v>0.97600000000000076</v>
      </c>
      <c r="Q985" s="33">
        <f t="shared" si="336"/>
        <v>6.7114093959731544</v>
      </c>
      <c r="R985" s="33">
        <f t="shared" si="337"/>
        <v>6.7114093959731544</v>
      </c>
      <c r="S985" s="33">
        <f t="shared" si="338"/>
        <v>-1</v>
      </c>
      <c r="T985" s="27"/>
      <c r="U985" s="28">
        <f t="shared" si="339"/>
        <v>0.10964912280701754</v>
      </c>
      <c r="V985" s="25">
        <f t="shared" si="340"/>
        <v>999</v>
      </c>
      <c r="W985" s="35">
        <f t="shared" si="352"/>
        <v>25</v>
      </c>
      <c r="X985" s="33">
        <f t="shared" si="341"/>
        <v>25</v>
      </c>
      <c r="Y985" s="32">
        <f t="shared" si="342"/>
        <v>-1</v>
      </c>
      <c r="Z985" s="32"/>
      <c r="AA985" s="30">
        <f t="shared" si="343"/>
        <v>26.736063552937953</v>
      </c>
      <c r="AB985" s="28">
        <f t="shared" si="344"/>
        <v>0.76952291003854101</v>
      </c>
      <c r="AC985" s="28">
        <f t="shared" si="345"/>
        <v>0.10964912280701754</v>
      </c>
      <c r="AD985" s="29">
        <f t="shared" si="346"/>
        <v>925.99620493358645</v>
      </c>
      <c r="AE985" s="28">
        <f t="shared" si="347"/>
        <v>0.10964912280701754</v>
      </c>
      <c r="AF985" s="28">
        <f t="shared" si="348"/>
        <v>0</v>
      </c>
      <c r="AG985" s="28">
        <f t="shared" si="349"/>
        <v>0</v>
      </c>
      <c r="AI985" s="31">
        <f t="shared" si="350"/>
        <v>4.5517849079623893</v>
      </c>
      <c r="AJ985" s="25"/>
      <c r="AK985" s="31"/>
      <c r="AM985" s="27"/>
    </row>
    <row r="986" spans="4:39" x14ac:dyDescent="0.25">
      <c r="D986" s="25">
        <f>E986*'Profit per cycles Model'!$I$113</f>
        <v>9770</v>
      </c>
      <c r="E986" s="25">
        <v>26.763457060676618</v>
      </c>
      <c r="F986" s="28">
        <f t="shared" si="331"/>
        <v>0.10235414534288639</v>
      </c>
      <c r="G986" s="28">
        <f>'Battery Pricing Model'!$C$17/D986</f>
        <v>0.10235414534288639</v>
      </c>
      <c r="H986" s="28">
        <f t="shared" si="332"/>
        <v>999</v>
      </c>
      <c r="I986" s="28"/>
      <c r="J986" s="34">
        <f>INDEX('Profit per cycles Model'!$I$149:$I$179, MATCH(TRUNC(E986, 0), 'Profit per cycles Model'!$H$149:$H$179, 0))</f>
        <v>0.76952291003854101</v>
      </c>
      <c r="K986" s="27">
        <f>AVERAGE($J$10:J1986)</f>
        <v>0.56883042089778579</v>
      </c>
      <c r="L986" s="28">
        <f t="shared" si="333"/>
        <v>0.4664762755548994</v>
      </c>
      <c r="M986" s="28">
        <f t="shared" si="334"/>
        <v>0.4664762755548994</v>
      </c>
      <c r="N986" s="28">
        <f t="shared" si="335"/>
        <v>999</v>
      </c>
      <c r="O986" s="28"/>
      <c r="P986" s="29">
        <f t="shared" si="351"/>
        <v>0.97700000000000076</v>
      </c>
      <c r="Q986" s="33">
        <f t="shared" si="336"/>
        <v>6.7114093959731544</v>
      </c>
      <c r="R986" s="33">
        <f t="shared" si="337"/>
        <v>6.7114093959731544</v>
      </c>
      <c r="S986" s="33">
        <f t="shared" si="338"/>
        <v>-1</v>
      </c>
      <c r="T986" s="27"/>
      <c r="U986" s="28">
        <f t="shared" si="339"/>
        <v>0.10964912280701754</v>
      </c>
      <c r="V986" s="25">
        <f t="shared" si="340"/>
        <v>999</v>
      </c>
      <c r="W986" s="35">
        <f t="shared" si="352"/>
        <v>25</v>
      </c>
      <c r="X986" s="33">
        <f t="shared" si="341"/>
        <v>25</v>
      </c>
      <c r="Y986" s="32">
        <f t="shared" si="342"/>
        <v>-1</v>
      </c>
      <c r="Z986" s="32"/>
      <c r="AA986" s="30">
        <f t="shared" si="343"/>
        <v>26.763457060676618</v>
      </c>
      <c r="AB986" s="28">
        <f t="shared" si="344"/>
        <v>0.76952291003854101</v>
      </c>
      <c r="AC986" s="28">
        <f t="shared" si="345"/>
        <v>0.10964912280701754</v>
      </c>
      <c r="AD986" s="29">
        <f t="shared" si="346"/>
        <v>926.94497153700183</v>
      </c>
      <c r="AE986" s="28">
        <f t="shared" si="347"/>
        <v>0.10964912280701754</v>
      </c>
      <c r="AF986" s="28">
        <f t="shared" si="348"/>
        <v>0</v>
      </c>
      <c r="AG986" s="28">
        <f t="shared" si="349"/>
        <v>0</v>
      </c>
      <c r="AI986" s="31">
        <f t="shared" si="350"/>
        <v>4.5574732121713666</v>
      </c>
      <c r="AJ986" s="25"/>
      <c r="AK986" s="31"/>
      <c r="AM986" s="27"/>
    </row>
    <row r="987" spans="4:39" x14ac:dyDescent="0.25">
      <c r="D987" s="25">
        <f>E987*'Profit per cycles Model'!$I$113</f>
        <v>9780</v>
      </c>
      <c r="E987" s="25">
        <v>26.790850568415284</v>
      </c>
      <c r="F987" s="28">
        <f t="shared" si="331"/>
        <v>0.10224948875255624</v>
      </c>
      <c r="G987" s="28">
        <f>'Battery Pricing Model'!$C$17/D987</f>
        <v>0.10224948875255624</v>
      </c>
      <c r="H987" s="28">
        <f t="shared" si="332"/>
        <v>999</v>
      </c>
      <c r="I987" s="28"/>
      <c r="J987" s="34">
        <f>INDEX('Profit per cycles Model'!$I$149:$I$179, MATCH(TRUNC(E987, 0), 'Profit per cycles Model'!$H$149:$H$179, 0))</f>
        <v>0.76952291003854101</v>
      </c>
      <c r="K987" s="27">
        <f>AVERAGE($J$10:J1987)</f>
        <v>0.56883042089778579</v>
      </c>
      <c r="L987" s="28">
        <f t="shared" si="333"/>
        <v>0.46658093214522955</v>
      </c>
      <c r="M987" s="28">
        <f t="shared" si="334"/>
        <v>0.46658093214522955</v>
      </c>
      <c r="N987" s="28">
        <f t="shared" si="335"/>
        <v>999</v>
      </c>
      <c r="O987" s="28"/>
      <c r="P987" s="29">
        <f t="shared" si="351"/>
        <v>0.97800000000000076</v>
      </c>
      <c r="Q987" s="33">
        <f t="shared" si="336"/>
        <v>6.7114093959731544</v>
      </c>
      <c r="R987" s="33">
        <f t="shared" si="337"/>
        <v>6.7114093959731544</v>
      </c>
      <c r="S987" s="33">
        <f t="shared" si="338"/>
        <v>-1</v>
      </c>
      <c r="T987" s="27"/>
      <c r="U987" s="28">
        <f t="shared" si="339"/>
        <v>0.10964912280701754</v>
      </c>
      <c r="V987" s="25">
        <f t="shared" si="340"/>
        <v>999</v>
      </c>
      <c r="W987" s="35">
        <f t="shared" si="352"/>
        <v>25</v>
      </c>
      <c r="X987" s="33">
        <f t="shared" si="341"/>
        <v>25</v>
      </c>
      <c r="Y987" s="32">
        <f t="shared" si="342"/>
        <v>-1</v>
      </c>
      <c r="Z987" s="32"/>
      <c r="AA987" s="30">
        <f t="shared" si="343"/>
        <v>26.790850568415284</v>
      </c>
      <c r="AB987" s="28">
        <f t="shared" si="344"/>
        <v>0.76952291003854101</v>
      </c>
      <c r="AC987" s="28">
        <f t="shared" si="345"/>
        <v>0.10964912280701754</v>
      </c>
      <c r="AD987" s="29">
        <f t="shared" si="346"/>
        <v>927.89373814041744</v>
      </c>
      <c r="AE987" s="28">
        <f t="shared" si="347"/>
        <v>0.10964912280701754</v>
      </c>
      <c r="AF987" s="28">
        <f t="shared" si="348"/>
        <v>0</v>
      </c>
      <c r="AG987" s="28">
        <f t="shared" si="349"/>
        <v>0</v>
      </c>
      <c r="AI987" s="31">
        <f t="shared" si="350"/>
        <v>4.5631615163803447</v>
      </c>
      <c r="AJ987" s="25"/>
      <c r="AK987" s="31"/>
      <c r="AM987" s="27"/>
    </row>
    <row r="988" spans="4:39" x14ac:dyDescent="0.25">
      <c r="D988" s="25">
        <f>E988*'Profit per cycles Model'!$I$113</f>
        <v>9790</v>
      </c>
      <c r="E988" s="25">
        <v>26.818244076153952</v>
      </c>
      <c r="F988" s="28">
        <f t="shared" si="331"/>
        <v>0.10214504596527069</v>
      </c>
      <c r="G988" s="28">
        <f>'Battery Pricing Model'!$C$17/D988</f>
        <v>0.10214504596527069</v>
      </c>
      <c r="H988" s="28">
        <f t="shared" si="332"/>
        <v>999</v>
      </c>
      <c r="I988" s="28"/>
      <c r="J988" s="34">
        <f>INDEX('Profit per cycles Model'!$I$149:$I$179, MATCH(TRUNC(E988, 0), 'Profit per cycles Model'!$H$149:$H$179, 0))</f>
        <v>0.76952291003854101</v>
      </c>
      <c r="K988" s="27">
        <f>AVERAGE($J$10:J1988)</f>
        <v>0.56883042089778579</v>
      </c>
      <c r="L988" s="28">
        <f t="shared" si="333"/>
        <v>0.46668537493251511</v>
      </c>
      <c r="M988" s="28">
        <f t="shared" si="334"/>
        <v>0.46668537493251511</v>
      </c>
      <c r="N988" s="28">
        <f t="shared" si="335"/>
        <v>999</v>
      </c>
      <c r="O988" s="28"/>
      <c r="P988" s="29">
        <f t="shared" si="351"/>
        <v>0.97900000000000076</v>
      </c>
      <c r="Q988" s="33">
        <f t="shared" si="336"/>
        <v>6.7114093959731544</v>
      </c>
      <c r="R988" s="33">
        <f t="shared" si="337"/>
        <v>6.7114093959731544</v>
      </c>
      <c r="S988" s="33">
        <f t="shared" si="338"/>
        <v>-1</v>
      </c>
      <c r="T988" s="27"/>
      <c r="U988" s="28">
        <f t="shared" si="339"/>
        <v>0.10964912280701754</v>
      </c>
      <c r="V988" s="25">
        <f t="shared" si="340"/>
        <v>999</v>
      </c>
      <c r="W988" s="35">
        <f t="shared" si="352"/>
        <v>25</v>
      </c>
      <c r="X988" s="33">
        <f t="shared" si="341"/>
        <v>25</v>
      </c>
      <c r="Y988" s="32">
        <f t="shared" si="342"/>
        <v>-1</v>
      </c>
      <c r="Z988" s="32"/>
      <c r="AA988" s="30">
        <f t="shared" si="343"/>
        <v>26.818244076153952</v>
      </c>
      <c r="AB988" s="28">
        <f t="shared" si="344"/>
        <v>0.76952291003854101</v>
      </c>
      <c r="AC988" s="28">
        <f t="shared" si="345"/>
        <v>0.10964912280701754</v>
      </c>
      <c r="AD988" s="29">
        <f t="shared" si="346"/>
        <v>928.84250474383305</v>
      </c>
      <c r="AE988" s="28">
        <f t="shared" si="347"/>
        <v>0.10964912280701754</v>
      </c>
      <c r="AF988" s="28">
        <f t="shared" si="348"/>
        <v>0</v>
      </c>
      <c r="AG988" s="28">
        <f t="shared" si="349"/>
        <v>0</v>
      </c>
      <c r="AI988" s="31">
        <f t="shared" si="350"/>
        <v>4.5688498205893229</v>
      </c>
      <c r="AJ988" s="25"/>
      <c r="AK988" s="31"/>
      <c r="AM988" s="27"/>
    </row>
    <row r="989" spans="4:39" x14ac:dyDescent="0.25">
      <c r="D989" s="25">
        <f>E989*'Profit per cycles Model'!$I$113</f>
        <v>9800</v>
      </c>
      <c r="E989" s="25">
        <v>26.845637583892618</v>
      </c>
      <c r="F989" s="28">
        <f t="shared" si="331"/>
        <v>0.10204081632653061</v>
      </c>
      <c r="G989" s="28">
        <f>'Battery Pricing Model'!$C$17/D989</f>
        <v>0.10204081632653061</v>
      </c>
      <c r="H989" s="28">
        <f t="shared" si="332"/>
        <v>999</v>
      </c>
      <c r="I989" s="28"/>
      <c r="J989" s="34">
        <f>INDEX('Profit per cycles Model'!$I$149:$I$179, MATCH(TRUNC(E989, 0), 'Profit per cycles Model'!$H$149:$H$179, 0))</f>
        <v>0.76952291003854101</v>
      </c>
      <c r="K989" s="27">
        <f>AVERAGE($J$10:J1989)</f>
        <v>0.56883042089778579</v>
      </c>
      <c r="L989" s="28">
        <f t="shared" si="333"/>
        <v>0.46678960457125518</v>
      </c>
      <c r="M989" s="28">
        <f t="shared" si="334"/>
        <v>0.46678960457125518</v>
      </c>
      <c r="N989" s="28">
        <f t="shared" si="335"/>
        <v>999</v>
      </c>
      <c r="O989" s="28"/>
      <c r="P989" s="29">
        <f t="shared" si="351"/>
        <v>0.98000000000000076</v>
      </c>
      <c r="Q989" s="33">
        <f t="shared" si="336"/>
        <v>6.7114093959731544</v>
      </c>
      <c r="R989" s="33">
        <f t="shared" si="337"/>
        <v>6.7114093959731544</v>
      </c>
      <c r="S989" s="33">
        <f t="shared" si="338"/>
        <v>-1</v>
      </c>
      <c r="T989" s="27"/>
      <c r="U989" s="28">
        <f t="shared" si="339"/>
        <v>0.10964912280701754</v>
      </c>
      <c r="V989" s="25">
        <f t="shared" si="340"/>
        <v>999</v>
      </c>
      <c r="W989" s="35">
        <f t="shared" si="352"/>
        <v>25</v>
      </c>
      <c r="X989" s="33">
        <f t="shared" si="341"/>
        <v>25</v>
      </c>
      <c r="Y989" s="32">
        <f t="shared" si="342"/>
        <v>-1</v>
      </c>
      <c r="Z989" s="32"/>
      <c r="AA989" s="30">
        <f t="shared" si="343"/>
        <v>26.845637583892618</v>
      </c>
      <c r="AB989" s="28">
        <f t="shared" si="344"/>
        <v>0.76952291003854101</v>
      </c>
      <c r="AC989" s="28">
        <f t="shared" si="345"/>
        <v>0.10964912280701754</v>
      </c>
      <c r="AD989" s="29">
        <f t="shared" si="346"/>
        <v>929.79127134724865</v>
      </c>
      <c r="AE989" s="28">
        <f t="shared" si="347"/>
        <v>0.10964912280701754</v>
      </c>
      <c r="AF989" s="28">
        <f t="shared" si="348"/>
        <v>0</v>
      </c>
      <c r="AG989" s="28">
        <f t="shared" si="349"/>
        <v>0</v>
      </c>
      <c r="AI989" s="31">
        <f t="shared" si="350"/>
        <v>4.574538124798301</v>
      </c>
      <c r="AJ989" s="25"/>
      <c r="AK989" s="31"/>
      <c r="AM989" s="27"/>
    </row>
    <row r="990" spans="4:39" x14ac:dyDescent="0.25">
      <c r="D990" s="25">
        <f>E990*'Profit per cycles Model'!$I$113</f>
        <v>9810</v>
      </c>
      <c r="E990" s="25">
        <v>26.873031091631283</v>
      </c>
      <c r="F990" s="28">
        <f t="shared" si="331"/>
        <v>0.1019367991845056</v>
      </c>
      <c r="G990" s="28">
        <f>'Battery Pricing Model'!$C$17/D990</f>
        <v>0.1019367991845056</v>
      </c>
      <c r="H990" s="28">
        <f t="shared" si="332"/>
        <v>999</v>
      </c>
      <c r="I990" s="28"/>
      <c r="J990" s="34">
        <f>INDEX('Profit per cycles Model'!$I$149:$I$179, MATCH(TRUNC(E990, 0), 'Profit per cycles Model'!$H$149:$H$179, 0))</f>
        <v>0.76952291003854101</v>
      </c>
      <c r="K990" s="27">
        <f>AVERAGE($J$10:J1990)</f>
        <v>0.56883042089778579</v>
      </c>
      <c r="L990" s="28">
        <f t="shared" si="333"/>
        <v>0.46689362171328019</v>
      </c>
      <c r="M990" s="28">
        <f t="shared" si="334"/>
        <v>0.46689362171328019</v>
      </c>
      <c r="N990" s="28">
        <f t="shared" si="335"/>
        <v>999</v>
      </c>
      <c r="O990" s="28"/>
      <c r="P990" s="29">
        <f t="shared" si="351"/>
        <v>0.98100000000000076</v>
      </c>
      <c r="Q990" s="33">
        <f t="shared" si="336"/>
        <v>6.7114093959731544</v>
      </c>
      <c r="R990" s="33">
        <f t="shared" si="337"/>
        <v>6.7114093959731544</v>
      </c>
      <c r="S990" s="33">
        <f t="shared" si="338"/>
        <v>-1</v>
      </c>
      <c r="T990" s="27"/>
      <c r="U990" s="28">
        <f t="shared" si="339"/>
        <v>0.10964912280701754</v>
      </c>
      <c r="V990" s="25">
        <f t="shared" si="340"/>
        <v>999</v>
      </c>
      <c r="W990" s="35">
        <f t="shared" si="352"/>
        <v>25</v>
      </c>
      <c r="X990" s="33">
        <f t="shared" si="341"/>
        <v>25</v>
      </c>
      <c r="Y990" s="32">
        <f t="shared" si="342"/>
        <v>-1</v>
      </c>
      <c r="Z990" s="32"/>
      <c r="AA990" s="30">
        <f t="shared" si="343"/>
        <v>26.873031091631283</v>
      </c>
      <c r="AB990" s="28">
        <f t="shared" si="344"/>
        <v>0.76952291003854101</v>
      </c>
      <c r="AC990" s="28">
        <f t="shared" si="345"/>
        <v>0.10964912280701754</v>
      </c>
      <c r="AD990" s="29">
        <f t="shared" si="346"/>
        <v>930.74003795066426</v>
      </c>
      <c r="AE990" s="28">
        <f t="shared" si="347"/>
        <v>0.10964912280701754</v>
      </c>
      <c r="AF990" s="28">
        <f t="shared" si="348"/>
        <v>0</v>
      </c>
      <c r="AG990" s="28">
        <f t="shared" si="349"/>
        <v>0</v>
      </c>
      <c r="AI990" s="31">
        <f t="shared" si="350"/>
        <v>4.5802264290072792</v>
      </c>
      <c r="AJ990" s="25"/>
      <c r="AK990" s="31"/>
      <c r="AM990" s="27"/>
    </row>
    <row r="991" spans="4:39" x14ac:dyDescent="0.25">
      <c r="D991" s="25">
        <f>E991*'Profit per cycles Model'!$I$113</f>
        <v>9820</v>
      </c>
      <c r="E991" s="25">
        <v>26.900424599369948</v>
      </c>
      <c r="F991" s="28">
        <f t="shared" si="331"/>
        <v>0.10183299389002037</v>
      </c>
      <c r="G991" s="28">
        <f>'Battery Pricing Model'!$C$17/D991</f>
        <v>0.10183299389002037</v>
      </c>
      <c r="H991" s="28">
        <f t="shared" si="332"/>
        <v>999</v>
      </c>
      <c r="I991" s="28"/>
      <c r="J991" s="34">
        <f>INDEX('Profit per cycles Model'!$I$149:$I$179, MATCH(TRUNC(E991, 0), 'Profit per cycles Model'!$H$149:$H$179, 0))</f>
        <v>0.76952291003854101</v>
      </c>
      <c r="K991" s="27">
        <f>AVERAGE($J$10:J1991)</f>
        <v>0.56883042089778579</v>
      </c>
      <c r="L991" s="28">
        <f t="shared" si="333"/>
        <v>0.46699742700776542</v>
      </c>
      <c r="M991" s="28">
        <f t="shared" si="334"/>
        <v>0.46699742700776542</v>
      </c>
      <c r="N991" s="28">
        <f t="shared" si="335"/>
        <v>999</v>
      </c>
      <c r="O991" s="28"/>
      <c r="P991" s="29">
        <f t="shared" si="351"/>
        <v>0.98200000000000076</v>
      </c>
      <c r="Q991" s="33">
        <f t="shared" si="336"/>
        <v>6.7114093959731544</v>
      </c>
      <c r="R991" s="33">
        <f t="shared" si="337"/>
        <v>6.7114093959731544</v>
      </c>
      <c r="S991" s="33">
        <f t="shared" si="338"/>
        <v>-1</v>
      </c>
      <c r="T991" s="27"/>
      <c r="U991" s="28">
        <f t="shared" si="339"/>
        <v>0.10964912280701754</v>
      </c>
      <c r="V991" s="25">
        <f t="shared" si="340"/>
        <v>999</v>
      </c>
      <c r="W991" s="35">
        <f t="shared" si="352"/>
        <v>25</v>
      </c>
      <c r="X991" s="33">
        <f t="shared" si="341"/>
        <v>25</v>
      </c>
      <c r="Y991" s="32">
        <f t="shared" si="342"/>
        <v>-1</v>
      </c>
      <c r="Z991" s="32"/>
      <c r="AA991" s="30">
        <f t="shared" si="343"/>
        <v>26.900424599369948</v>
      </c>
      <c r="AB991" s="28">
        <f t="shared" si="344"/>
        <v>0.76952291003854101</v>
      </c>
      <c r="AC991" s="28">
        <f t="shared" si="345"/>
        <v>0.10964912280701754</v>
      </c>
      <c r="AD991" s="29">
        <f t="shared" si="346"/>
        <v>931.68880455407964</v>
      </c>
      <c r="AE991" s="28">
        <f t="shared" si="347"/>
        <v>0.10964912280701754</v>
      </c>
      <c r="AF991" s="28">
        <f t="shared" si="348"/>
        <v>0</v>
      </c>
      <c r="AG991" s="28">
        <f t="shared" si="349"/>
        <v>0</v>
      </c>
      <c r="AI991" s="31">
        <f t="shared" si="350"/>
        <v>4.5859147332162564</v>
      </c>
      <c r="AJ991" s="25"/>
      <c r="AK991" s="31"/>
      <c r="AM991" s="27"/>
    </row>
    <row r="992" spans="4:39" x14ac:dyDescent="0.25">
      <c r="D992" s="25">
        <f>E992*'Profit per cycles Model'!$I$113</f>
        <v>9830</v>
      </c>
      <c r="E992" s="25">
        <v>26.927818107108614</v>
      </c>
      <c r="F992" s="28">
        <f t="shared" si="331"/>
        <v>0.10172939979654121</v>
      </c>
      <c r="G992" s="28">
        <f>'Battery Pricing Model'!$C$17/D992</f>
        <v>0.10172939979654121</v>
      </c>
      <c r="H992" s="28">
        <f t="shared" si="332"/>
        <v>999</v>
      </c>
      <c r="I992" s="28"/>
      <c r="J992" s="34">
        <f>INDEX('Profit per cycles Model'!$I$149:$I$179, MATCH(TRUNC(E992, 0), 'Profit per cycles Model'!$H$149:$H$179, 0))</f>
        <v>0.76952291003854101</v>
      </c>
      <c r="K992" s="27">
        <f>AVERAGE($J$10:J1992)</f>
        <v>0.56883042089778579</v>
      </c>
      <c r="L992" s="28">
        <f t="shared" si="333"/>
        <v>0.46710102110124457</v>
      </c>
      <c r="M992" s="28">
        <f t="shared" si="334"/>
        <v>0.46710102110124457</v>
      </c>
      <c r="N992" s="28">
        <f t="shared" si="335"/>
        <v>999</v>
      </c>
      <c r="O992" s="28"/>
      <c r="P992" s="29">
        <f t="shared" si="351"/>
        <v>0.98300000000000076</v>
      </c>
      <c r="Q992" s="33">
        <f t="shared" si="336"/>
        <v>6.7114093959731544</v>
      </c>
      <c r="R992" s="33">
        <f t="shared" si="337"/>
        <v>6.7114093959731544</v>
      </c>
      <c r="S992" s="33">
        <f t="shared" si="338"/>
        <v>-1</v>
      </c>
      <c r="T992" s="27"/>
      <c r="U992" s="28">
        <f t="shared" si="339"/>
        <v>0.10964912280701754</v>
      </c>
      <c r="V992" s="25">
        <f t="shared" si="340"/>
        <v>999</v>
      </c>
      <c r="W992" s="35">
        <f t="shared" si="352"/>
        <v>25</v>
      </c>
      <c r="X992" s="33">
        <f t="shared" si="341"/>
        <v>25</v>
      </c>
      <c r="Y992" s="32">
        <f t="shared" si="342"/>
        <v>-1</v>
      </c>
      <c r="Z992" s="32"/>
      <c r="AA992" s="30">
        <f t="shared" si="343"/>
        <v>26.927818107108614</v>
      </c>
      <c r="AB992" s="28">
        <f t="shared" si="344"/>
        <v>0.76952291003854101</v>
      </c>
      <c r="AC992" s="28">
        <f t="shared" si="345"/>
        <v>0.10964912280701754</v>
      </c>
      <c r="AD992" s="29">
        <f t="shared" si="346"/>
        <v>932.63757115749524</v>
      </c>
      <c r="AE992" s="28">
        <f t="shared" si="347"/>
        <v>0.10964912280701754</v>
      </c>
      <c r="AF992" s="28">
        <f t="shared" si="348"/>
        <v>0</v>
      </c>
      <c r="AG992" s="28">
        <f t="shared" si="349"/>
        <v>0</v>
      </c>
      <c r="AI992" s="31">
        <f t="shared" si="350"/>
        <v>4.5916030374252337</v>
      </c>
      <c r="AJ992" s="25"/>
      <c r="AK992" s="31"/>
      <c r="AM992" s="27"/>
    </row>
    <row r="993" spans="4:39" x14ac:dyDescent="0.25">
      <c r="D993" s="25">
        <f>E993*'Profit per cycles Model'!$I$113</f>
        <v>9840</v>
      </c>
      <c r="E993" s="25">
        <v>26.955211614847279</v>
      </c>
      <c r="F993" s="28">
        <f t="shared" si="331"/>
        <v>0.1016260162601626</v>
      </c>
      <c r="G993" s="28">
        <f>'Battery Pricing Model'!$C$17/D993</f>
        <v>0.1016260162601626</v>
      </c>
      <c r="H993" s="28">
        <f t="shared" si="332"/>
        <v>999</v>
      </c>
      <c r="I993" s="28"/>
      <c r="J993" s="34">
        <f>INDEX('Profit per cycles Model'!$I$149:$I$179, MATCH(TRUNC(E993, 0), 'Profit per cycles Model'!$H$149:$H$179, 0))</f>
        <v>0.76952291003854101</v>
      </c>
      <c r="K993" s="27">
        <f>AVERAGE($J$10:J1993)</f>
        <v>0.56883042089778579</v>
      </c>
      <c r="L993" s="28">
        <f t="shared" si="333"/>
        <v>0.46720440463762319</v>
      </c>
      <c r="M993" s="28">
        <f t="shared" si="334"/>
        <v>0.46720440463762319</v>
      </c>
      <c r="N993" s="28">
        <f t="shared" si="335"/>
        <v>999</v>
      </c>
      <c r="O993" s="28"/>
      <c r="P993" s="29">
        <f t="shared" si="351"/>
        <v>0.98400000000000076</v>
      </c>
      <c r="Q993" s="33">
        <f t="shared" si="336"/>
        <v>6.7114093959731544</v>
      </c>
      <c r="R993" s="33">
        <f t="shared" si="337"/>
        <v>6.7114093959731544</v>
      </c>
      <c r="S993" s="33">
        <f t="shared" si="338"/>
        <v>-1</v>
      </c>
      <c r="T993" s="27"/>
      <c r="U993" s="28">
        <f t="shared" si="339"/>
        <v>0.10964912280701754</v>
      </c>
      <c r="V993" s="25">
        <f t="shared" si="340"/>
        <v>999</v>
      </c>
      <c r="W993" s="35">
        <f t="shared" si="352"/>
        <v>25</v>
      </c>
      <c r="X993" s="33">
        <f t="shared" si="341"/>
        <v>25</v>
      </c>
      <c r="Y993" s="32">
        <f t="shared" si="342"/>
        <v>-1</v>
      </c>
      <c r="Z993" s="32"/>
      <c r="AA993" s="30">
        <f t="shared" si="343"/>
        <v>26.955211614847279</v>
      </c>
      <c r="AB993" s="28">
        <f t="shared" si="344"/>
        <v>0.76952291003854101</v>
      </c>
      <c r="AC993" s="28">
        <f t="shared" si="345"/>
        <v>0.10964912280701754</v>
      </c>
      <c r="AD993" s="29">
        <f t="shared" si="346"/>
        <v>933.58633776091074</v>
      </c>
      <c r="AE993" s="28">
        <f t="shared" si="347"/>
        <v>0.10964912280701754</v>
      </c>
      <c r="AF993" s="28">
        <f t="shared" si="348"/>
        <v>0</v>
      </c>
      <c r="AG993" s="28">
        <f t="shared" si="349"/>
        <v>0</v>
      </c>
      <c r="AI993" s="31">
        <f t="shared" si="350"/>
        <v>4.5972913416342127</v>
      </c>
      <c r="AJ993" s="25"/>
      <c r="AK993" s="31"/>
      <c r="AM993" s="27"/>
    </row>
    <row r="994" spans="4:39" x14ac:dyDescent="0.25">
      <c r="D994" s="25">
        <f>E994*'Profit per cycles Model'!$I$113</f>
        <v>9850</v>
      </c>
      <c r="E994" s="25">
        <v>26.982605122585948</v>
      </c>
      <c r="F994" s="28">
        <f t="shared" si="331"/>
        <v>0.10152284263959391</v>
      </c>
      <c r="G994" s="28">
        <f>'Battery Pricing Model'!$C$17/D994</f>
        <v>0.10152284263959391</v>
      </c>
      <c r="H994" s="28">
        <f t="shared" si="332"/>
        <v>999</v>
      </c>
      <c r="I994" s="28"/>
      <c r="J994" s="34">
        <f>INDEX('Profit per cycles Model'!$I$149:$I$179, MATCH(TRUNC(E994, 0), 'Profit per cycles Model'!$H$149:$H$179, 0))</f>
        <v>0.76952291003854101</v>
      </c>
      <c r="K994" s="27">
        <f>AVERAGE($J$10:J1994)</f>
        <v>0.56883042089778579</v>
      </c>
      <c r="L994" s="28">
        <f t="shared" si="333"/>
        <v>0.46730757825819191</v>
      </c>
      <c r="M994" s="28">
        <f t="shared" si="334"/>
        <v>0.46730757825819191</v>
      </c>
      <c r="N994" s="28">
        <f t="shared" si="335"/>
        <v>999</v>
      </c>
      <c r="O994" s="28"/>
      <c r="P994" s="29">
        <f t="shared" si="351"/>
        <v>0.98500000000000076</v>
      </c>
      <c r="Q994" s="33">
        <f t="shared" si="336"/>
        <v>6.7114093959731544</v>
      </c>
      <c r="R994" s="33">
        <f t="shared" si="337"/>
        <v>6.7114093959731544</v>
      </c>
      <c r="S994" s="33">
        <f t="shared" si="338"/>
        <v>-1</v>
      </c>
      <c r="T994" s="27"/>
      <c r="U994" s="28">
        <f t="shared" si="339"/>
        <v>0.10964912280701754</v>
      </c>
      <c r="V994" s="25">
        <f t="shared" si="340"/>
        <v>999</v>
      </c>
      <c r="W994" s="35">
        <f t="shared" si="352"/>
        <v>25</v>
      </c>
      <c r="X994" s="33">
        <f t="shared" si="341"/>
        <v>25</v>
      </c>
      <c r="Y994" s="32">
        <f t="shared" si="342"/>
        <v>-1</v>
      </c>
      <c r="Z994" s="32"/>
      <c r="AA994" s="30">
        <f t="shared" si="343"/>
        <v>26.982605122585948</v>
      </c>
      <c r="AB994" s="28">
        <f t="shared" si="344"/>
        <v>0.76952291003854101</v>
      </c>
      <c r="AC994" s="28">
        <f t="shared" si="345"/>
        <v>0.10964912280701754</v>
      </c>
      <c r="AD994" s="29">
        <f t="shared" si="346"/>
        <v>934.53510436432646</v>
      </c>
      <c r="AE994" s="28">
        <f t="shared" si="347"/>
        <v>0.10964912280701754</v>
      </c>
      <c r="AF994" s="28">
        <f t="shared" si="348"/>
        <v>0</v>
      </c>
      <c r="AG994" s="28">
        <f t="shared" si="349"/>
        <v>0</v>
      </c>
      <c r="AI994" s="31">
        <f t="shared" si="350"/>
        <v>4.60297964584319</v>
      </c>
      <c r="AJ994" s="25"/>
      <c r="AK994" s="31"/>
      <c r="AM994" s="27"/>
    </row>
    <row r="995" spans="4:39" x14ac:dyDescent="0.25">
      <c r="D995" s="25">
        <f>E995*'Profit per cycles Model'!$I$113</f>
        <v>9860</v>
      </c>
      <c r="E995" s="25">
        <v>27.009998630324613</v>
      </c>
      <c r="F995" s="28">
        <f t="shared" si="331"/>
        <v>0.10141987829614604</v>
      </c>
      <c r="G995" s="28">
        <f>'Battery Pricing Model'!$C$17/D995</f>
        <v>0.10141987829614604</v>
      </c>
      <c r="H995" s="28">
        <f t="shared" si="332"/>
        <v>999</v>
      </c>
      <c r="I995" s="28"/>
      <c r="J995" s="34">
        <f>INDEX('Profit per cycles Model'!$I$149:$I$179, MATCH(TRUNC(E995, 0), 'Profit per cycles Model'!$H$149:$H$179, 0))</f>
        <v>0.79029039455421024</v>
      </c>
      <c r="K995" s="27">
        <f>AVERAGE($J$10:J1995)</f>
        <v>0.56883042089778579</v>
      </c>
      <c r="L995" s="28">
        <f t="shared" si="333"/>
        <v>0.46741054260163972</v>
      </c>
      <c r="M995" s="28">
        <f t="shared" si="334"/>
        <v>0.46741054260163972</v>
      </c>
      <c r="N995" s="28">
        <f t="shared" si="335"/>
        <v>999</v>
      </c>
      <c r="O995" s="28"/>
      <c r="P995" s="29">
        <f t="shared" si="351"/>
        <v>0.98600000000000076</v>
      </c>
      <c r="Q995" s="33">
        <f t="shared" si="336"/>
        <v>6.7114093959731544</v>
      </c>
      <c r="R995" s="33">
        <f t="shared" si="337"/>
        <v>6.7114093959731544</v>
      </c>
      <c r="S995" s="33">
        <f t="shared" si="338"/>
        <v>-1</v>
      </c>
      <c r="T995" s="27"/>
      <c r="U995" s="28">
        <f t="shared" si="339"/>
        <v>0.10964912280701754</v>
      </c>
      <c r="V995" s="25">
        <f t="shared" si="340"/>
        <v>999</v>
      </c>
      <c r="W995" s="35">
        <f t="shared" si="352"/>
        <v>25</v>
      </c>
      <c r="X995" s="33">
        <f t="shared" si="341"/>
        <v>25</v>
      </c>
      <c r="Y995" s="32">
        <f t="shared" si="342"/>
        <v>-1</v>
      </c>
      <c r="Z995" s="32"/>
      <c r="AA995" s="30">
        <f t="shared" si="343"/>
        <v>27.009998630324613</v>
      </c>
      <c r="AB995" s="28">
        <f t="shared" si="344"/>
        <v>0.79029039455421024</v>
      </c>
      <c r="AC995" s="28">
        <f t="shared" si="345"/>
        <v>0.10964912280701754</v>
      </c>
      <c r="AD995" s="29">
        <f t="shared" si="346"/>
        <v>935.48387096774206</v>
      </c>
      <c r="AE995" s="28">
        <f t="shared" si="347"/>
        <v>0.10964912280701754</v>
      </c>
      <c r="AF995" s="28">
        <f t="shared" si="348"/>
        <v>0</v>
      </c>
      <c r="AG995" s="28">
        <f t="shared" si="349"/>
        <v>0</v>
      </c>
      <c r="AI995" s="31">
        <f t="shared" si="350"/>
        <v>4.6086679500521681</v>
      </c>
      <c r="AJ995" s="25"/>
      <c r="AK995" s="31"/>
      <c r="AM995" s="27"/>
    </row>
    <row r="996" spans="4:39" x14ac:dyDescent="0.25">
      <c r="D996" s="25">
        <f>E996*'Profit per cycles Model'!$I$113</f>
        <v>9870</v>
      </c>
      <c r="E996" s="25">
        <v>27.037392138063279</v>
      </c>
      <c r="F996" s="28">
        <f t="shared" si="331"/>
        <v>0.10131712259371833</v>
      </c>
      <c r="G996" s="28">
        <f>'Battery Pricing Model'!$C$17/D996</f>
        <v>0.10131712259371833</v>
      </c>
      <c r="H996" s="28">
        <f t="shared" si="332"/>
        <v>999</v>
      </c>
      <c r="I996" s="28"/>
      <c r="J996" s="34">
        <f>INDEX('Profit per cycles Model'!$I$149:$I$179, MATCH(TRUNC(E996, 0), 'Profit per cycles Model'!$H$149:$H$179, 0))</f>
        <v>0.79029039455421024</v>
      </c>
      <c r="K996" s="27">
        <f>AVERAGE($J$10:J1996)</f>
        <v>0.56883042089778579</v>
      </c>
      <c r="L996" s="28">
        <f t="shared" si="333"/>
        <v>0.46751329830406746</v>
      </c>
      <c r="M996" s="28">
        <f t="shared" si="334"/>
        <v>0.46751329830406746</v>
      </c>
      <c r="N996" s="28">
        <f t="shared" si="335"/>
        <v>999</v>
      </c>
      <c r="O996" s="28"/>
      <c r="P996" s="29">
        <f t="shared" si="351"/>
        <v>0.98700000000000077</v>
      </c>
      <c r="Q996" s="33">
        <f t="shared" si="336"/>
        <v>6.7114093959731544</v>
      </c>
      <c r="R996" s="33">
        <f t="shared" si="337"/>
        <v>6.7114093959731544</v>
      </c>
      <c r="S996" s="33">
        <f t="shared" si="338"/>
        <v>-1</v>
      </c>
      <c r="T996" s="27"/>
      <c r="U996" s="28">
        <f t="shared" si="339"/>
        <v>0.10964912280701754</v>
      </c>
      <c r="V996" s="25">
        <f t="shared" si="340"/>
        <v>999</v>
      </c>
      <c r="W996" s="35">
        <f t="shared" si="352"/>
        <v>25</v>
      </c>
      <c r="X996" s="33">
        <f t="shared" si="341"/>
        <v>25</v>
      </c>
      <c r="Y996" s="32">
        <f t="shared" si="342"/>
        <v>-1</v>
      </c>
      <c r="Z996" s="32"/>
      <c r="AA996" s="30">
        <f t="shared" si="343"/>
        <v>27.037392138063279</v>
      </c>
      <c r="AB996" s="28">
        <f t="shared" si="344"/>
        <v>0.79029039455421024</v>
      </c>
      <c r="AC996" s="28">
        <f t="shared" si="345"/>
        <v>0.10964912280701754</v>
      </c>
      <c r="AD996" s="29">
        <f t="shared" si="346"/>
        <v>936.43263757115756</v>
      </c>
      <c r="AE996" s="28">
        <f t="shared" si="347"/>
        <v>0.10964912280701754</v>
      </c>
      <c r="AF996" s="28">
        <f t="shared" si="348"/>
        <v>0</v>
      </c>
      <c r="AG996" s="28">
        <f t="shared" si="349"/>
        <v>0</v>
      </c>
      <c r="AI996" s="31">
        <f t="shared" si="350"/>
        <v>4.6143562542611463</v>
      </c>
      <c r="AJ996" s="25"/>
      <c r="AK996" s="31"/>
      <c r="AM996" s="27"/>
    </row>
    <row r="997" spans="4:39" x14ac:dyDescent="0.25">
      <c r="D997" s="25">
        <f>E997*'Profit per cycles Model'!$I$113</f>
        <v>9880</v>
      </c>
      <c r="E997" s="25">
        <v>27.064785645801944</v>
      </c>
      <c r="F997" s="28">
        <f t="shared" si="331"/>
        <v>0.10121457489878542</v>
      </c>
      <c r="G997" s="28">
        <f>'Battery Pricing Model'!$C$17/D997</f>
        <v>0.10121457489878542</v>
      </c>
      <c r="H997" s="28">
        <f t="shared" si="332"/>
        <v>999</v>
      </c>
      <c r="I997" s="28"/>
      <c r="J997" s="34">
        <f>INDEX('Profit per cycles Model'!$I$149:$I$179, MATCH(TRUNC(E997, 0), 'Profit per cycles Model'!$H$149:$H$179, 0))</f>
        <v>0.79029039455421024</v>
      </c>
      <c r="K997" s="27">
        <f>AVERAGE($J$10:J1997)</f>
        <v>0.56883042089778579</v>
      </c>
      <c r="L997" s="28">
        <f t="shared" si="333"/>
        <v>0.46761584599900036</v>
      </c>
      <c r="M997" s="28">
        <f t="shared" si="334"/>
        <v>0.46761584599900036</v>
      </c>
      <c r="N997" s="28">
        <f t="shared" si="335"/>
        <v>999</v>
      </c>
      <c r="O997" s="28"/>
      <c r="P997" s="29">
        <f t="shared" si="351"/>
        <v>0.98800000000000077</v>
      </c>
      <c r="Q997" s="33">
        <f t="shared" si="336"/>
        <v>6.7114093959731544</v>
      </c>
      <c r="R997" s="33">
        <f t="shared" si="337"/>
        <v>6.7114093959731544</v>
      </c>
      <c r="S997" s="33">
        <f t="shared" si="338"/>
        <v>-1</v>
      </c>
      <c r="T997" s="27"/>
      <c r="U997" s="28">
        <f t="shared" si="339"/>
        <v>0.10964912280701754</v>
      </c>
      <c r="V997" s="25">
        <f t="shared" si="340"/>
        <v>999</v>
      </c>
      <c r="W997" s="35">
        <f t="shared" si="352"/>
        <v>25</v>
      </c>
      <c r="X997" s="33">
        <f t="shared" si="341"/>
        <v>25</v>
      </c>
      <c r="Y997" s="32">
        <f t="shared" si="342"/>
        <v>-1</v>
      </c>
      <c r="Z997" s="32"/>
      <c r="AA997" s="30">
        <f t="shared" si="343"/>
        <v>27.064785645801944</v>
      </c>
      <c r="AB997" s="28">
        <f t="shared" si="344"/>
        <v>0.79029039455421024</v>
      </c>
      <c r="AC997" s="28">
        <f t="shared" si="345"/>
        <v>0.10964912280701754</v>
      </c>
      <c r="AD997" s="29">
        <f t="shared" si="346"/>
        <v>937.38140417457316</v>
      </c>
      <c r="AE997" s="28">
        <f t="shared" si="347"/>
        <v>0.10964912280701754</v>
      </c>
      <c r="AF997" s="28">
        <f t="shared" si="348"/>
        <v>0</v>
      </c>
      <c r="AG997" s="28">
        <f t="shared" si="349"/>
        <v>0</v>
      </c>
      <c r="AI997" s="31">
        <f t="shared" si="350"/>
        <v>4.6200445584701235</v>
      </c>
      <c r="AJ997" s="25"/>
      <c r="AK997" s="31"/>
      <c r="AM997" s="27"/>
    </row>
    <row r="998" spans="4:39" x14ac:dyDescent="0.25">
      <c r="D998" s="25">
        <f>E998*'Profit per cycles Model'!$I$113</f>
        <v>9890</v>
      </c>
      <c r="E998" s="25">
        <v>27.092179153540609</v>
      </c>
      <c r="F998" s="28">
        <f t="shared" si="331"/>
        <v>0.10111223458038422</v>
      </c>
      <c r="G998" s="28">
        <f>'Battery Pricing Model'!$C$17/D998</f>
        <v>0.10111223458038422</v>
      </c>
      <c r="H998" s="28">
        <f t="shared" si="332"/>
        <v>999</v>
      </c>
      <c r="I998" s="28"/>
      <c r="J998" s="34">
        <f>INDEX('Profit per cycles Model'!$I$149:$I$179, MATCH(TRUNC(E998, 0), 'Profit per cycles Model'!$H$149:$H$179, 0))</f>
        <v>0.79029039455421024</v>
      </c>
      <c r="K998" s="27">
        <f>AVERAGE($J$10:J1998)</f>
        <v>0.56883042089778579</v>
      </c>
      <c r="L998" s="28">
        <f t="shared" si="333"/>
        <v>0.46771818631740159</v>
      </c>
      <c r="M998" s="28">
        <f t="shared" si="334"/>
        <v>0.46771818631740159</v>
      </c>
      <c r="N998" s="28">
        <f t="shared" si="335"/>
        <v>999</v>
      </c>
      <c r="O998" s="28"/>
      <c r="P998" s="29">
        <f t="shared" si="351"/>
        <v>0.98900000000000077</v>
      </c>
      <c r="Q998" s="33">
        <f t="shared" si="336"/>
        <v>6.7114093959731544</v>
      </c>
      <c r="R998" s="33">
        <f t="shared" si="337"/>
        <v>6.7114093959731544</v>
      </c>
      <c r="S998" s="33">
        <f t="shared" si="338"/>
        <v>-1</v>
      </c>
      <c r="T998" s="27"/>
      <c r="U998" s="28">
        <f t="shared" si="339"/>
        <v>0.10964912280701754</v>
      </c>
      <c r="V998" s="25">
        <f t="shared" si="340"/>
        <v>999</v>
      </c>
      <c r="W998" s="35">
        <f t="shared" si="352"/>
        <v>25</v>
      </c>
      <c r="X998" s="33">
        <f t="shared" si="341"/>
        <v>25</v>
      </c>
      <c r="Y998" s="32">
        <f t="shared" si="342"/>
        <v>-1</v>
      </c>
      <c r="Z998" s="32"/>
      <c r="AA998" s="30">
        <f t="shared" si="343"/>
        <v>27.092179153540609</v>
      </c>
      <c r="AB998" s="28">
        <f t="shared" si="344"/>
        <v>0.79029039455421024</v>
      </c>
      <c r="AC998" s="28">
        <f t="shared" si="345"/>
        <v>0.10964912280701754</v>
      </c>
      <c r="AD998" s="29">
        <f t="shared" si="346"/>
        <v>938.33017077798854</v>
      </c>
      <c r="AE998" s="28">
        <f t="shared" si="347"/>
        <v>0.10964912280701754</v>
      </c>
      <c r="AF998" s="28">
        <f t="shared" si="348"/>
        <v>0</v>
      </c>
      <c r="AG998" s="28">
        <f t="shared" si="349"/>
        <v>0</v>
      </c>
      <c r="AI998" s="31">
        <f t="shared" si="350"/>
        <v>4.6257328626791017</v>
      </c>
      <c r="AJ998" s="25"/>
      <c r="AK998" s="31"/>
      <c r="AM998" s="27"/>
    </row>
    <row r="999" spans="4:39" x14ac:dyDescent="0.25">
      <c r="D999" s="25">
        <f>E999*'Profit per cycles Model'!$I$113</f>
        <v>9900</v>
      </c>
      <c r="E999" s="25">
        <v>27.119572661279275</v>
      </c>
      <c r="F999" s="28">
        <f t="shared" si="331"/>
        <v>0.10101010101010101</v>
      </c>
      <c r="G999" s="28">
        <f>'Battery Pricing Model'!$C$17/D999</f>
        <v>0.10101010101010101</v>
      </c>
      <c r="H999" s="28">
        <f t="shared" si="332"/>
        <v>999</v>
      </c>
      <c r="I999" s="28"/>
      <c r="J999" s="34">
        <f>INDEX('Profit per cycles Model'!$I$149:$I$179, MATCH(TRUNC(E999, 0), 'Profit per cycles Model'!$H$149:$H$179, 0))</f>
        <v>0.79029039455421024</v>
      </c>
      <c r="K999" s="27">
        <f>AVERAGE($J$10:J1999)</f>
        <v>0.56883042089778579</v>
      </c>
      <c r="L999" s="28">
        <f t="shared" si="333"/>
        <v>0.4678203198876848</v>
      </c>
      <c r="M999" s="28">
        <f t="shared" si="334"/>
        <v>0.4678203198876848</v>
      </c>
      <c r="N999" s="28">
        <f t="shared" si="335"/>
        <v>999</v>
      </c>
      <c r="O999" s="28"/>
      <c r="P999" s="29">
        <f t="shared" si="351"/>
        <v>0.99000000000000077</v>
      </c>
      <c r="Q999" s="33">
        <f t="shared" si="336"/>
        <v>6.7114093959731544</v>
      </c>
      <c r="R999" s="33">
        <f t="shared" si="337"/>
        <v>6.7114093959731544</v>
      </c>
      <c r="S999" s="33">
        <f t="shared" si="338"/>
        <v>-1</v>
      </c>
      <c r="T999" s="27"/>
      <c r="U999" s="28">
        <f t="shared" si="339"/>
        <v>0.10964912280701754</v>
      </c>
      <c r="V999" s="25">
        <f t="shared" si="340"/>
        <v>999</v>
      </c>
      <c r="W999" s="35">
        <f t="shared" si="352"/>
        <v>25</v>
      </c>
      <c r="X999" s="33">
        <f t="shared" si="341"/>
        <v>25</v>
      </c>
      <c r="Y999" s="32">
        <f t="shared" si="342"/>
        <v>-1</v>
      </c>
      <c r="Z999" s="32"/>
      <c r="AA999" s="30">
        <f t="shared" si="343"/>
        <v>27.119572661279275</v>
      </c>
      <c r="AB999" s="28">
        <f t="shared" si="344"/>
        <v>0.79029039455421024</v>
      </c>
      <c r="AC999" s="28">
        <f t="shared" si="345"/>
        <v>0.10964912280701754</v>
      </c>
      <c r="AD999" s="29">
        <f t="shared" si="346"/>
        <v>939.27893738140415</v>
      </c>
      <c r="AE999" s="28">
        <f t="shared" si="347"/>
        <v>0.10964912280701754</v>
      </c>
      <c r="AF999" s="28">
        <f t="shared" si="348"/>
        <v>0</v>
      </c>
      <c r="AG999" s="28">
        <f t="shared" si="349"/>
        <v>0</v>
      </c>
      <c r="AI999" s="31">
        <f t="shared" si="350"/>
        <v>4.6314211668880798</v>
      </c>
      <c r="AJ999" s="25"/>
      <c r="AK999" s="31"/>
      <c r="AM999" s="27"/>
    </row>
    <row r="1000" spans="4:39" x14ac:dyDescent="0.25">
      <c r="D1000" s="25">
        <f>E1000*'Profit per cycles Model'!$I$113</f>
        <v>9910</v>
      </c>
      <c r="E1000" s="25">
        <v>27.146966169017944</v>
      </c>
      <c r="F1000" s="28">
        <f t="shared" si="331"/>
        <v>0.10090817356205853</v>
      </c>
      <c r="G1000" s="28">
        <f>'Battery Pricing Model'!$C$17/D1000</f>
        <v>0.10090817356205853</v>
      </c>
      <c r="H1000" s="28">
        <f t="shared" si="332"/>
        <v>999</v>
      </c>
      <c r="I1000" s="28"/>
      <c r="J1000" s="34">
        <f>INDEX('Profit per cycles Model'!$I$149:$I$179, MATCH(TRUNC(E1000, 0), 'Profit per cycles Model'!$H$149:$H$179, 0))</f>
        <v>0.79029039455421024</v>
      </c>
      <c r="K1000" s="27">
        <f>AVERAGE($J$10:J2000)</f>
        <v>0.56883042089778579</v>
      </c>
      <c r="L1000" s="28">
        <f t="shared" si="333"/>
        <v>0.46792224733572729</v>
      </c>
      <c r="M1000" s="28">
        <f t="shared" si="334"/>
        <v>0.46792224733572729</v>
      </c>
      <c r="N1000" s="28">
        <f t="shared" si="335"/>
        <v>999</v>
      </c>
      <c r="O1000" s="28"/>
      <c r="P1000" s="29">
        <f t="shared" si="351"/>
        <v>0.99100000000000077</v>
      </c>
      <c r="Q1000" s="33">
        <f t="shared" si="336"/>
        <v>6.7114093959731544</v>
      </c>
      <c r="R1000" s="33">
        <f t="shared" si="337"/>
        <v>6.7114093959731544</v>
      </c>
      <c r="S1000" s="33">
        <f t="shared" si="338"/>
        <v>-1</v>
      </c>
      <c r="T1000" s="27"/>
      <c r="U1000" s="28">
        <f t="shared" si="339"/>
        <v>0.10964912280701754</v>
      </c>
      <c r="V1000" s="25">
        <f t="shared" si="340"/>
        <v>999</v>
      </c>
      <c r="W1000" s="35">
        <f t="shared" si="352"/>
        <v>25</v>
      </c>
      <c r="X1000" s="33">
        <f t="shared" si="341"/>
        <v>25</v>
      </c>
      <c r="Y1000" s="32">
        <f t="shared" si="342"/>
        <v>-1</v>
      </c>
      <c r="Z1000" s="32"/>
      <c r="AA1000" s="30">
        <f t="shared" si="343"/>
        <v>27.146966169017944</v>
      </c>
      <c r="AB1000" s="28">
        <f t="shared" si="344"/>
        <v>0.79029039455421024</v>
      </c>
      <c r="AC1000" s="28">
        <f t="shared" si="345"/>
        <v>0.10964912280701754</v>
      </c>
      <c r="AD1000" s="29">
        <f t="shared" si="346"/>
        <v>940.22770398481975</v>
      </c>
      <c r="AE1000" s="28">
        <f t="shared" si="347"/>
        <v>0.10964912280701754</v>
      </c>
      <c r="AF1000" s="28">
        <f t="shared" si="348"/>
        <v>0</v>
      </c>
      <c r="AG1000" s="28">
        <f t="shared" si="349"/>
        <v>0</v>
      </c>
      <c r="AI1000" s="31">
        <f t="shared" si="350"/>
        <v>4.6371094710970571</v>
      </c>
      <c r="AJ1000" s="25"/>
      <c r="AK1000" s="31"/>
      <c r="AM1000" s="27"/>
    </row>
    <row r="1001" spans="4:39" x14ac:dyDescent="0.25">
      <c r="D1001" s="25">
        <f>E1001*'Profit per cycles Model'!$I$113</f>
        <v>9920</v>
      </c>
      <c r="E1001" s="25">
        <v>27.174359676756609</v>
      </c>
      <c r="F1001" s="28">
        <f t="shared" si="331"/>
        <v>0.10080645161290322</v>
      </c>
      <c r="G1001" s="28">
        <f>'Battery Pricing Model'!$C$17/D1001</f>
        <v>0.10080645161290322</v>
      </c>
      <c r="H1001" s="28">
        <f t="shared" si="332"/>
        <v>999</v>
      </c>
      <c r="I1001" s="28"/>
      <c r="J1001" s="34">
        <f>INDEX('Profit per cycles Model'!$I$149:$I$179, MATCH(TRUNC(E1001, 0), 'Profit per cycles Model'!$H$149:$H$179, 0))</f>
        <v>0.79029039455421024</v>
      </c>
      <c r="K1001" s="27">
        <f>AVERAGE($J$10:J2001)</f>
        <v>0.56883042089778579</v>
      </c>
      <c r="L1001" s="28">
        <f t="shared" si="333"/>
        <v>0.46802396928488255</v>
      </c>
      <c r="M1001" s="28">
        <f t="shared" si="334"/>
        <v>0.46802396928488255</v>
      </c>
      <c r="N1001" s="28">
        <f t="shared" si="335"/>
        <v>999</v>
      </c>
      <c r="O1001" s="28"/>
      <c r="P1001" s="29">
        <f t="shared" si="351"/>
        <v>0.99200000000000077</v>
      </c>
      <c r="Q1001" s="33">
        <f t="shared" si="336"/>
        <v>6.7114093959731544</v>
      </c>
      <c r="R1001" s="33">
        <f t="shared" si="337"/>
        <v>6.7114093959731544</v>
      </c>
      <c r="S1001" s="33">
        <f t="shared" si="338"/>
        <v>-1</v>
      </c>
      <c r="T1001" s="27"/>
      <c r="U1001" s="28">
        <f t="shared" si="339"/>
        <v>0.10964912280701754</v>
      </c>
      <c r="V1001" s="25">
        <f t="shared" si="340"/>
        <v>999</v>
      </c>
      <c r="W1001" s="35">
        <f t="shared" si="352"/>
        <v>25</v>
      </c>
      <c r="X1001" s="33">
        <f t="shared" si="341"/>
        <v>25</v>
      </c>
      <c r="Y1001" s="32">
        <f t="shared" si="342"/>
        <v>-1</v>
      </c>
      <c r="Z1001" s="32"/>
      <c r="AA1001" s="30">
        <f t="shared" si="343"/>
        <v>27.174359676756609</v>
      </c>
      <c r="AB1001" s="28">
        <f t="shared" si="344"/>
        <v>0.79029039455421024</v>
      </c>
      <c r="AC1001" s="28">
        <f t="shared" si="345"/>
        <v>0.10964912280701754</v>
      </c>
      <c r="AD1001" s="29">
        <f t="shared" si="346"/>
        <v>941.17647058823536</v>
      </c>
      <c r="AE1001" s="28">
        <f t="shared" si="347"/>
        <v>0.10964912280701754</v>
      </c>
      <c r="AF1001" s="28">
        <f t="shared" si="348"/>
        <v>0</v>
      </c>
      <c r="AG1001" s="28">
        <f t="shared" si="349"/>
        <v>0</v>
      </c>
      <c r="AI1001" s="31">
        <f t="shared" si="350"/>
        <v>4.6427977753060352</v>
      </c>
      <c r="AJ1001" s="25"/>
      <c r="AK1001" s="31"/>
      <c r="AM1001" s="27"/>
    </row>
    <row r="1002" spans="4:39" x14ac:dyDescent="0.25">
      <c r="D1002" s="25">
        <f>E1002*'Profit per cycles Model'!$I$113</f>
        <v>9930</v>
      </c>
      <c r="E1002" s="25">
        <v>27.201753184495274</v>
      </c>
      <c r="F1002" s="28">
        <f t="shared" si="331"/>
        <v>0.10070493454179255</v>
      </c>
      <c r="G1002" s="28">
        <f>'Battery Pricing Model'!$C$17/D1002</f>
        <v>0.10070493454179255</v>
      </c>
      <c r="H1002" s="28">
        <f t="shared" si="332"/>
        <v>999</v>
      </c>
      <c r="I1002" s="28"/>
      <c r="J1002" s="34">
        <f>INDEX('Profit per cycles Model'!$I$149:$I$179, MATCH(TRUNC(E1002, 0), 'Profit per cycles Model'!$H$149:$H$179, 0))</f>
        <v>0.79029039455421024</v>
      </c>
      <c r="K1002" s="27">
        <f>AVERAGE($J$10:J2002)</f>
        <v>0.56883042089778579</v>
      </c>
      <c r="L1002" s="28">
        <f t="shared" si="333"/>
        <v>0.46812548635599327</v>
      </c>
      <c r="M1002" s="28">
        <f t="shared" si="334"/>
        <v>0.46812548635599327</v>
      </c>
      <c r="N1002" s="28">
        <f t="shared" si="335"/>
        <v>999</v>
      </c>
      <c r="O1002" s="28"/>
      <c r="P1002" s="29">
        <f t="shared" si="351"/>
        <v>0.99300000000000077</v>
      </c>
      <c r="Q1002" s="33">
        <f t="shared" si="336"/>
        <v>6.7114093959731544</v>
      </c>
      <c r="R1002" s="33">
        <f t="shared" si="337"/>
        <v>6.7114093959731544</v>
      </c>
      <c r="S1002" s="33">
        <f t="shared" si="338"/>
        <v>-1</v>
      </c>
      <c r="T1002" s="27"/>
      <c r="U1002" s="28">
        <f t="shared" si="339"/>
        <v>0.10964912280701754</v>
      </c>
      <c r="V1002" s="25">
        <f t="shared" si="340"/>
        <v>999</v>
      </c>
      <c r="W1002" s="35">
        <f t="shared" si="352"/>
        <v>25</v>
      </c>
      <c r="X1002" s="33">
        <f t="shared" si="341"/>
        <v>25</v>
      </c>
      <c r="Y1002" s="32">
        <f t="shared" si="342"/>
        <v>-1</v>
      </c>
      <c r="Z1002" s="32"/>
      <c r="AA1002" s="30">
        <f t="shared" si="343"/>
        <v>27.201753184495274</v>
      </c>
      <c r="AB1002" s="28">
        <f t="shared" si="344"/>
        <v>0.79029039455421024</v>
      </c>
      <c r="AC1002" s="28">
        <f t="shared" si="345"/>
        <v>0.10964912280701754</v>
      </c>
      <c r="AD1002" s="29">
        <f t="shared" si="346"/>
        <v>942.12523719165097</v>
      </c>
      <c r="AE1002" s="28">
        <f t="shared" si="347"/>
        <v>0.10964912280701754</v>
      </c>
      <c r="AF1002" s="28">
        <f t="shared" si="348"/>
        <v>0</v>
      </c>
      <c r="AG1002" s="28">
        <f t="shared" si="349"/>
        <v>0</v>
      </c>
      <c r="AI1002" s="31">
        <f t="shared" si="350"/>
        <v>4.6484860795150134</v>
      </c>
      <c r="AJ1002" s="25"/>
      <c r="AK1002" s="31"/>
      <c r="AM1002" s="27"/>
    </row>
    <row r="1003" spans="4:39" x14ac:dyDescent="0.25">
      <c r="D1003" s="25">
        <f>E1003*'Profit per cycles Model'!$I$113</f>
        <v>9940</v>
      </c>
      <c r="E1003" s="25">
        <v>27.22914669223394</v>
      </c>
      <c r="F1003" s="28">
        <f t="shared" si="331"/>
        <v>0.1006036217303823</v>
      </c>
      <c r="G1003" s="28">
        <f>'Battery Pricing Model'!$C$17/D1003</f>
        <v>0.1006036217303823</v>
      </c>
      <c r="H1003" s="28">
        <f t="shared" si="332"/>
        <v>999</v>
      </c>
      <c r="I1003" s="28"/>
      <c r="J1003" s="34">
        <f>INDEX('Profit per cycles Model'!$I$149:$I$179, MATCH(TRUNC(E1003, 0), 'Profit per cycles Model'!$H$149:$H$179, 0))</f>
        <v>0.79029039455421024</v>
      </c>
      <c r="K1003" s="27">
        <f>AVERAGE($J$10:J2003)</f>
        <v>0.56883042089778579</v>
      </c>
      <c r="L1003" s="28">
        <f t="shared" si="333"/>
        <v>0.46822679916740351</v>
      </c>
      <c r="M1003" s="28">
        <f t="shared" si="334"/>
        <v>0.46822679916740351</v>
      </c>
      <c r="N1003" s="28">
        <f t="shared" si="335"/>
        <v>999</v>
      </c>
      <c r="O1003" s="28"/>
      <c r="P1003" s="29">
        <f t="shared" si="351"/>
        <v>0.99400000000000077</v>
      </c>
      <c r="Q1003" s="33">
        <f t="shared" si="336"/>
        <v>6.7114093959731544</v>
      </c>
      <c r="R1003" s="33">
        <f t="shared" si="337"/>
        <v>6.7114093959731544</v>
      </c>
      <c r="S1003" s="33">
        <f t="shared" si="338"/>
        <v>-1</v>
      </c>
      <c r="T1003" s="27"/>
      <c r="U1003" s="28">
        <f t="shared" si="339"/>
        <v>0.10964912280701754</v>
      </c>
      <c r="V1003" s="25">
        <f t="shared" si="340"/>
        <v>999</v>
      </c>
      <c r="W1003" s="35">
        <f t="shared" si="352"/>
        <v>25</v>
      </c>
      <c r="X1003" s="33">
        <f t="shared" si="341"/>
        <v>25</v>
      </c>
      <c r="Y1003" s="32">
        <f t="shared" si="342"/>
        <v>-1</v>
      </c>
      <c r="Z1003" s="32"/>
      <c r="AA1003" s="30">
        <f t="shared" si="343"/>
        <v>27.22914669223394</v>
      </c>
      <c r="AB1003" s="28">
        <f t="shared" si="344"/>
        <v>0.79029039455421024</v>
      </c>
      <c r="AC1003" s="28">
        <f t="shared" si="345"/>
        <v>0.10964912280701754</v>
      </c>
      <c r="AD1003" s="29">
        <f t="shared" si="346"/>
        <v>943.07400379506635</v>
      </c>
      <c r="AE1003" s="28">
        <f t="shared" si="347"/>
        <v>0.10964912280701754</v>
      </c>
      <c r="AF1003" s="28">
        <f t="shared" si="348"/>
        <v>0</v>
      </c>
      <c r="AG1003" s="28">
        <f t="shared" si="349"/>
        <v>0</v>
      </c>
      <c r="AI1003" s="31">
        <f t="shared" si="350"/>
        <v>4.6541743837239906</v>
      </c>
      <c r="AJ1003" s="25"/>
      <c r="AK1003" s="31"/>
      <c r="AM1003" s="27"/>
    </row>
    <row r="1004" spans="4:39" x14ac:dyDescent="0.25">
      <c r="D1004" s="25">
        <f>E1004*'Profit per cycles Model'!$I$113</f>
        <v>9950</v>
      </c>
      <c r="E1004" s="25">
        <v>27.256540199972605</v>
      </c>
      <c r="F1004" s="28">
        <f t="shared" si="331"/>
        <v>0.10050251256281408</v>
      </c>
      <c r="G1004" s="28">
        <f>'Battery Pricing Model'!$C$17/D1004</f>
        <v>0.10050251256281408</v>
      </c>
      <c r="H1004" s="28">
        <f t="shared" si="332"/>
        <v>999</v>
      </c>
      <c r="I1004" s="28"/>
      <c r="J1004" s="34">
        <f>INDEX('Profit per cycles Model'!$I$149:$I$179, MATCH(TRUNC(E1004, 0), 'Profit per cycles Model'!$H$149:$H$179, 0))</f>
        <v>0.79029039455421024</v>
      </c>
      <c r="K1004" s="27">
        <f>AVERAGE($J$10:J2004)</f>
        <v>0.56883042089778579</v>
      </c>
      <c r="L1004" s="28">
        <f t="shared" si="333"/>
        <v>0.46832790833497173</v>
      </c>
      <c r="M1004" s="28">
        <f t="shared" si="334"/>
        <v>0.46832790833497173</v>
      </c>
      <c r="N1004" s="28">
        <f t="shared" si="335"/>
        <v>999</v>
      </c>
      <c r="O1004" s="28"/>
      <c r="P1004" s="29">
        <f t="shared" si="351"/>
        <v>0.99500000000000077</v>
      </c>
      <c r="Q1004" s="33">
        <f t="shared" si="336"/>
        <v>6.7114093959731544</v>
      </c>
      <c r="R1004" s="33">
        <f t="shared" si="337"/>
        <v>6.7114093959731544</v>
      </c>
      <c r="S1004" s="33">
        <f t="shared" si="338"/>
        <v>-1</v>
      </c>
      <c r="T1004" s="27"/>
      <c r="U1004" s="28">
        <f t="shared" si="339"/>
        <v>0.10964912280701754</v>
      </c>
      <c r="V1004" s="25">
        <f t="shared" si="340"/>
        <v>999</v>
      </c>
      <c r="W1004" s="35">
        <f t="shared" si="352"/>
        <v>25</v>
      </c>
      <c r="X1004" s="33">
        <f t="shared" si="341"/>
        <v>25</v>
      </c>
      <c r="Y1004" s="32">
        <f t="shared" si="342"/>
        <v>-1</v>
      </c>
      <c r="Z1004" s="32"/>
      <c r="AA1004" s="30">
        <f t="shared" si="343"/>
        <v>27.256540199972605</v>
      </c>
      <c r="AB1004" s="28">
        <f t="shared" si="344"/>
        <v>0.79029039455421024</v>
      </c>
      <c r="AC1004" s="28">
        <f t="shared" si="345"/>
        <v>0.10964912280701754</v>
      </c>
      <c r="AD1004" s="29">
        <f t="shared" si="346"/>
        <v>944.02277039848195</v>
      </c>
      <c r="AE1004" s="28">
        <f t="shared" si="347"/>
        <v>0.10964912280701754</v>
      </c>
      <c r="AF1004" s="28">
        <f t="shared" si="348"/>
        <v>0</v>
      </c>
      <c r="AG1004" s="28">
        <f t="shared" si="349"/>
        <v>0</v>
      </c>
      <c r="AI1004" s="31">
        <f t="shared" si="350"/>
        <v>4.6598626879329688</v>
      </c>
      <c r="AJ1004" s="25"/>
      <c r="AK1004" s="31"/>
      <c r="AM1004" s="27"/>
    </row>
    <row r="1005" spans="4:39" x14ac:dyDescent="0.25">
      <c r="D1005" s="25">
        <f>E1005*'Profit per cycles Model'!$I$113</f>
        <v>9960</v>
      </c>
      <c r="E1005" s="25">
        <v>27.28393370771127</v>
      </c>
      <c r="F1005" s="28">
        <f t="shared" si="331"/>
        <v>0.10040160642570281</v>
      </c>
      <c r="G1005" s="28">
        <f>'Battery Pricing Model'!$C$17/D1005</f>
        <v>0.10040160642570281</v>
      </c>
      <c r="H1005" s="28">
        <f t="shared" si="332"/>
        <v>999</v>
      </c>
      <c r="I1005" s="28"/>
      <c r="J1005" s="34">
        <f>INDEX('Profit per cycles Model'!$I$149:$I$179, MATCH(TRUNC(E1005, 0), 'Profit per cycles Model'!$H$149:$H$179, 0))</f>
        <v>0.79029039455421024</v>
      </c>
      <c r="K1005" s="27">
        <f>AVERAGE($J$10:J2005)</f>
        <v>0.56883042089778579</v>
      </c>
      <c r="L1005" s="28">
        <f t="shared" si="333"/>
        <v>0.46842881447208295</v>
      </c>
      <c r="M1005" s="28">
        <f t="shared" si="334"/>
        <v>0.46842881447208295</v>
      </c>
      <c r="N1005" s="28">
        <f t="shared" si="335"/>
        <v>999</v>
      </c>
      <c r="O1005" s="28"/>
      <c r="P1005" s="29">
        <f t="shared" si="351"/>
        <v>0.99600000000000077</v>
      </c>
      <c r="Q1005" s="33">
        <f t="shared" si="336"/>
        <v>6.7114093959731544</v>
      </c>
      <c r="R1005" s="33">
        <f t="shared" si="337"/>
        <v>6.7114093959731544</v>
      </c>
      <c r="S1005" s="33">
        <f t="shared" si="338"/>
        <v>-1</v>
      </c>
      <c r="T1005" s="27"/>
      <c r="U1005" s="28">
        <f t="shared" si="339"/>
        <v>0.10964912280701754</v>
      </c>
      <c r="V1005" s="25">
        <f t="shared" si="340"/>
        <v>999</v>
      </c>
      <c r="W1005" s="35">
        <f t="shared" si="352"/>
        <v>25</v>
      </c>
      <c r="X1005" s="33">
        <f t="shared" si="341"/>
        <v>25</v>
      </c>
      <c r="Y1005" s="32">
        <f t="shared" si="342"/>
        <v>-1</v>
      </c>
      <c r="Z1005" s="32"/>
      <c r="AA1005" s="30">
        <f t="shared" si="343"/>
        <v>27.28393370771127</v>
      </c>
      <c r="AB1005" s="28">
        <f t="shared" si="344"/>
        <v>0.79029039455421024</v>
      </c>
      <c r="AC1005" s="28">
        <f t="shared" si="345"/>
        <v>0.10964912280701754</v>
      </c>
      <c r="AD1005" s="29">
        <f t="shared" si="346"/>
        <v>944.97153700189745</v>
      </c>
      <c r="AE1005" s="28">
        <f t="shared" si="347"/>
        <v>0.10964912280701754</v>
      </c>
      <c r="AF1005" s="28">
        <f t="shared" si="348"/>
        <v>0</v>
      </c>
      <c r="AG1005" s="28">
        <f t="shared" si="349"/>
        <v>0</v>
      </c>
      <c r="AI1005" s="31">
        <f t="shared" si="350"/>
        <v>4.665550992141946</v>
      </c>
      <c r="AJ1005" s="25"/>
      <c r="AK1005" s="31"/>
      <c r="AM1005" s="27"/>
    </row>
    <row r="1006" spans="4:39" x14ac:dyDescent="0.25">
      <c r="D1006" s="25">
        <f>E1006*'Profit per cycles Model'!$I$113</f>
        <v>9970</v>
      </c>
      <c r="E1006" s="25">
        <v>27.311327215449939</v>
      </c>
      <c r="F1006" s="28">
        <f t="shared" si="331"/>
        <v>0.10030090270812438</v>
      </c>
      <c r="G1006" s="28">
        <f>'Battery Pricing Model'!$C$17/D1006</f>
        <v>0.10030090270812438</v>
      </c>
      <c r="H1006" s="28">
        <f t="shared" si="332"/>
        <v>999</v>
      </c>
      <c r="I1006" s="28"/>
      <c r="J1006" s="34">
        <f>INDEX('Profit per cycles Model'!$I$149:$I$179, MATCH(TRUNC(E1006, 0), 'Profit per cycles Model'!$H$149:$H$179, 0))</f>
        <v>0.79029039455421024</v>
      </c>
      <c r="K1006" s="27">
        <f>AVERAGE($J$10:J2006)</f>
        <v>0.56883042089778579</v>
      </c>
      <c r="L1006" s="28">
        <f t="shared" si="333"/>
        <v>0.46852951818966143</v>
      </c>
      <c r="M1006" s="28">
        <f t="shared" si="334"/>
        <v>0.46852951818966143</v>
      </c>
      <c r="N1006" s="28">
        <f t="shared" si="335"/>
        <v>999</v>
      </c>
      <c r="O1006" s="28"/>
      <c r="P1006" s="29">
        <f t="shared" si="351"/>
        <v>0.99700000000000077</v>
      </c>
      <c r="Q1006" s="33">
        <f t="shared" si="336"/>
        <v>6.7114093959731544</v>
      </c>
      <c r="R1006" s="33">
        <f t="shared" si="337"/>
        <v>6.7114093959731544</v>
      </c>
      <c r="S1006" s="33">
        <f t="shared" si="338"/>
        <v>-1</v>
      </c>
      <c r="T1006" s="27"/>
      <c r="U1006" s="28">
        <f t="shared" si="339"/>
        <v>0.10964912280701754</v>
      </c>
      <c r="V1006" s="25">
        <f t="shared" si="340"/>
        <v>999</v>
      </c>
      <c r="W1006" s="35">
        <f t="shared" si="352"/>
        <v>25</v>
      </c>
      <c r="X1006" s="33">
        <f t="shared" si="341"/>
        <v>25</v>
      </c>
      <c r="Y1006" s="32">
        <f t="shared" si="342"/>
        <v>-1</v>
      </c>
      <c r="Z1006" s="32"/>
      <c r="AA1006" s="30">
        <f t="shared" si="343"/>
        <v>27.311327215449939</v>
      </c>
      <c r="AB1006" s="28">
        <f t="shared" si="344"/>
        <v>0.79029039455421024</v>
      </c>
      <c r="AC1006" s="28">
        <f t="shared" si="345"/>
        <v>0.10964912280701754</v>
      </c>
      <c r="AD1006" s="29">
        <f t="shared" si="346"/>
        <v>945.92030360531317</v>
      </c>
      <c r="AE1006" s="28">
        <f t="shared" si="347"/>
        <v>0.10964912280701754</v>
      </c>
      <c r="AF1006" s="28">
        <f t="shared" si="348"/>
        <v>0</v>
      </c>
      <c r="AG1006" s="28">
        <f t="shared" si="349"/>
        <v>0</v>
      </c>
      <c r="AI1006" s="31">
        <f t="shared" si="350"/>
        <v>4.6712392963509242</v>
      </c>
      <c r="AJ1006" s="25"/>
      <c r="AK1006" s="31"/>
      <c r="AM1006" s="27"/>
    </row>
    <row r="1007" spans="4:39" x14ac:dyDescent="0.25">
      <c r="D1007" s="25">
        <f>E1007*'Profit per cycles Model'!$I$113</f>
        <v>9980</v>
      </c>
      <c r="E1007" s="25">
        <v>27.338720723188604</v>
      </c>
      <c r="F1007" s="28">
        <f t="shared" si="331"/>
        <v>0.10020040080160321</v>
      </c>
      <c r="G1007" s="28">
        <f>'Battery Pricing Model'!$C$17/D1007</f>
        <v>0.10020040080160321</v>
      </c>
      <c r="H1007" s="28">
        <f t="shared" si="332"/>
        <v>999</v>
      </c>
      <c r="I1007" s="28"/>
      <c r="J1007" s="34">
        <f>INDEX('Profit per cycles Model'!$I$149:$I$179, MATCH(TRUNC(E1007, 0), 'Profit per cycles Model'!$H$149:$H$179, 0))</f>
        <v>0.79029039455421024</v>
      </c>
      <c r="K1007" s="27">
        <f>AVERAGE($J$10:J2007)</f>
        <v>0.56883042089778579</v>
      </c>
      <c r="L1007" s="28">
        <f t="shared" si="333"/>
        <v>0.4686300200961826</v>
      </c>
      <c r="M1007" s="28">
        <f t="shared" si="334"/>
        <v>0.4686300200961826</v>
      </c>
      <c r="N1007" s="28">
        <f t="shared" si="335"/>
        <v>999</v>
      </c>
      <c r="O1007" s="28"/>
      <c r="P1007" s="29">
        <f t="shared" si="351"/>
        <v>0.99800000000000078</v>
      </c>
      <c r="Q1007" s="33">
        <f t="shared" si="336"/>
        <v>6.7114093959731544</v>
      </c>
      <c r="R1007" s="33">
        <f t="shared" si="337"/>
        <v>6.7114093959731544</v>
      </c>
      <c r="S1007" s="33">
        <f t="shared" si="338"/>
        <v>-1</v>
      </c>
      <c r="T1007" s="27"/>
      <c r="U1007" s="28">
        <f t="shared" si="339"/>
        <v>0.10964912280701754</v>
      </c>
      <c r="V1007" s="25">
        <f t="shared" si="340"/>
        <v>999</v>
      </c>
      <c r="W1007" s="35">
        <f t="shared" si="352"/>
        <v>25</v>
      </c>
      <c r="X1007" s="33">
        <f t="shared" si="341"/>
        <v>25</v>
      </c>
      <c r="Y1007" s="32">
        <f t="shared" si="342"/>
        <v>-1</v>
      </c>
      <c r="Z1007" s="32"/>
      <c r="AA1007" s="30">
        <f t="shared" si="343"/>
        <v>27.338720723188604</v>
      </c>
      <c r="AB1007" s="28">
        <f t="shared" si="344"/>
        <v>0.79029039455421024</v>
      </c>
      <c r="AC1007" s="28">
        <f t="shared" si="345"/>
        <v>0.10964912280701754</v>
      </c>
      <c r="AD1007" s="29">
        <f t="shared" si="346"/>
        <v>946.86907020872877</v>
      </c>
      <c r="AE1007" s="28">
        <f t="shared" si="347"/>
        <v>0.10964912280701754</v>
      </c>
      <c r="AF1007" s="28">
        <f t="shared" si="348"/>
        <v>0</v>
      </c>
      <c r="AG1007" s="28">
        <f t="shared" si="349"/>
        <v>0</v>
      </c>
      <c r="AI1007" s="31">
        <f t="shared" si="350"/>
        <v>4.6769276005599023</v>
      </c>
      <c r="AJ1007" s="25"/>
      <c r="AK1007" s="31"/>
      <c r="AM1007" s="27"/>
    </row>
    <row r="1008" spans="4:39" x14ac:dyDescent="0.25">
      <c r="D1008" s="25">
        <f>E1008*'Profit per cycles Model'!$I$113</f>
        <v>9990</v>
      </c>
      <c r="E1008" s="25">
        <v>27.36611423092727</v>
      </c>
      <c r="F1008" s="28">
        <f t="shared" si="331"/>
        <v>0.10010010010010011</v>
      </c>
      <c r="G1008" s="28">
        <f>'Battery Pricing Model'!$C$17/D1008</f>
        <v>0.10010010010010011</v>
      </c>
      <c r="H1008" s="28">
        <f t="shared" si="332"/>
        <v>999</v>
      </c>
      <c r="I1008" s="28"/>
      <c r="J1008" s="34">
        <f>INDEX('Profit per cycles Model'!$I$149:$I$179, MATCH(TRUNC(E1008, 0), 'Profit per cycles Model'!$H$149:$H$179, 0))</f>
        <v>0.79029039455421024</v>
      </c>
      <c r="K1008" s="27">
        <f>AVERAGE($J$10:J2008)</f>
        <v>0.56883042089778579</v>
      </c>
      <c r="L1008" s="28">
        <f t="shared" si="333"/>
        <v>0.46873032079768567</v>
      </c>
      <c r="M1008" s="28">
        <f t="shared" si="334"/>
        <v>0.46873032079768567</v>
      </c>
      <c r="N1008" s="28">
        <f t="shared" si="335"/>
        <v>999</v>
      </c>
      <c r="O1008" s="28"/>
      <c r="P1008" s="29">
        <f t="shared" si="351"/>
        <v>0.99900000000000078</v>
      </c>
      <c r="Q1008" s="33">
        <f t="shared" si="336"/>
        <v>6.7114093959731544</v>
      </c>
      <c r="R1008" s="33">
        <f t="shared" si="337"/>
        <v>6.7114093959731544</v>
      </c>
      <c r="S1008" s="33">
        <f t="shared" si="338"/>
        <v>-1</v>
      </c>
      <c r="T1008" s="27"/>
      <c r="U1008" s="28">
        <f t="shared" si="339"/>
        <v>0.10964912280701754</v>
      </c>
      <c r="V1008" s="25">
        <f t="shared" si="340"/>
        <v>999</v>
      </c>
      <c r="W1008" s="35">
        <f t="shared" si="352"/>
        <v>25</v>
      </c>
      <c r="X1008" s="33">
        <f t="shared" si="341"/>
        <v>25</v>
      </c>
      <c r="Y1008" s="32">
        <f t="shared" si="342"/>
        <v>-1</v>
      </c>
      <c r="Z1008" s="32"/>
      <c r="AA1008" s="30">
        <f t="shared" si="343"/>
        <v>27.36611423092727</v>
      </c>
      <c r="AB1008" s="28">
        <f t="shared" si="344"/>
        <v>0.79029039455421024</v>
      </c>
      <c r="AC1008" s="28">
        <f t="shared" si="345"/>
        <v>0.10964912280701754</v>
      </c>
      <c r="AD1008" s="29">
        <f t="shared" si="346"/>
        <v>947.81783681214426</v>
      </c>
      <c r="AE1008" s="28">
        <f t="shared" si="347"/>
        <v>0.10964912280701754</v>
      </c>
      <c r="AF1008" s="28">
        <f t="shared" si="348"/>
        <v>0</v>
      </c>
      <c r="AG1008" s="28">
        <f t="shared" si="349"/>
        <v>0</v>
      </c>
      <c r="AI1008" s="31">
        <f t="shared" si="350"/>
        <v>4.6826159047688796</v>
      </c>
      <c r="AJ1008" s="25"/>
      <c r="AK1008" s="31"/>
      <c r="AM1008" s="27"/>
    </row>
    <row r="1009" spans="4:39" x14ac:dyDescent="0.25">
      <c r="D1009" s="25">
        <f>E1009*'Profit per cycles Model'!$I$113</f>
        <v>10000</v>
      </c>
      <c r="E1009" s="25">
        <v>27.393507738665935</v>
      </c>
      <c r="F1009" s="28">
        <f t="shared" si="331"/>
        <v>0.1</v>
      </c>
      <c r="G1009" s="28">
        <f>'Battery Pricing Model'!$C$17/D1009</f>
        <v>0.1</v>
      </c>
      <c r="H1009" s="28">
        <f t="shared" si="332"/>
        <v>999</v>
      </c>
      <c r="I1009" s="28"/>
      <c r="J1009" s="34">
        <f>INDEX('Profit per cycles Model'!$I$149:$I$179, MATCH(TRUNC(E1009, 0), 'Profit per cycles Model'!$H$149:$H$179, 0))</f>
        <v>0.79029039455421024</v>
      </c>
      <c r="K1009" s="27">
        <f>AVERAGE($J$10:J2009)</f>
        <v>0.56883042089778579</v>
      </c>
      <c r="L1009" s="28">
        <f t="shared" si="333"/>
        <v>0.46883042089778582</v>
      </c>
      <c r="M1009" s="28">
        <f t="shared" si="334"/>
        <v>0.46883042089778582</v>
      </c>
      <c r="N1009" s="28">
        <f t="shared" si="335"/>
        <v>999</v>
      </c>
      <c r="O1009" s="28"/>
      <c r="P1009" s="29">
        <f t="shared" si="351"/>
        <v>1.0000000000000007</v>
      </c>
      <c r="Q1009" s="33">
        <f t="shared" si="336"/>
        <v>6.7114093959731544</v>
      </c>
      <c r="R1009" s="33">
        <f t="shared" si="337"/>
        <v>6.7114093959731544</v>
      </c>
      <c r="S1009" s="33">
        <f t="shared" si="338"/>
        <v>-1</v>
      </c>
      <c r="T1009" s="27"/>
      <c r="U1009" s="28">
        <f t="shared" si="339"/>
        <v>0.10964912280701754</v>
      </c>
      <c r="V1009" s="25">
        <f t="shared" si="340"/>
        <v>999</v>
      </c>
      <c r="W1009" s="35">
        <f t="shared" si="352"/>
        <v>25</v>
      </c>
      <c r="X1009" s="33">
        <f t="shared" si="341"/>
        <v>25</v>
      </c>
      <c r="Y1009" s="32">
        <f t="shared" si="342"/>
        <v>-1</v>
      </c>
      <c r="Z1009" s="32"/>
      <c r="AA1009" s="30">
        <f t="shared" si="343"/>
        <v>27.393507738665935</v>
      </c>
      <c r="AB1009" s="28">
        <f t="shared" si="344"/>
        <v>0.79029039455421024</v>
      </c>
      <c r="AC1009" s="28">
        <f t="shared" si="345"/>
        <v>0.10964912280701754</v>
      </c>
      <c r="AD1009" s="29">
        <f t="shared" si="346"/>
        <v>948.76660341555976</v>
      </c>
      <c r="AE1009" s="28">
        <f t="shared" si="347"/>
        <v>0.10964912280701754</v>
      </c>
      <c r="AF1009" s="28">
        <f t="shared" si="348"/>
        <v>0</v>
      </c>
      <c r="AG1009" s="28">
        <f t="shared" si="349"/>
        <v>0</v>
      </c>
      <c r="AI1009" s="31">
        <f t="shared" si="350"/>
        <v>4.6883042089778577</v>
      </c>
      <c r="AJ1009" s="25"/>
      <c r="AK1009" s="31"/>
      <c r="AM1009" s="27"/>
    </row>
    <row r="1010" spans="4:39" x14ac:dyDescent="0.25">
      <c r="D1010" s="25">
        <f>E1010*'Profit per cycles Model'!$I$113</f>
        <v>10010</v>
      </c>
      <c r="E1010" s="25">
        <v>27.4209012464046</v>
      </c>
      <c r="F1010" s="28">
        <f t="shared" si="331"/>
        <v>9.9900099900099903E-2</v>
      </c>
      <c r="G1010" s="28">
        <f>'Battery Pricing Model'!$C$17/D1010</f>
        <v>9.9900099900099903E-2</v>
      </c>
      <c r="H1010" s="28">
        <f t="shared" si="332"/>
        <v>999</v>
      </c>
      <c r="I1010" s="28"/>
      <c r="J1010" s="34">
        <f>INDEX('Profit per cycles Model'!$I$149:$I$179, MATCH(TRUNC(E1010, 0), 'Profit per cycles Model'!$H$149:$H$179, 0))</f>
        <v>0.79029039455421024</v>
      </c>
      <c r="K1010" s="27">
        <f>AVERAGE($J$10:J2010)</f>
        <v>0.56883042089778579</v>
      </c>
      <c r="L1010" s="28">
        <f t="shared" si="333"/>
        <v>0.46893032099768589</v>
      </c>
      <c r="M1010" s="28">
        <f t="shared" si="334"/>
        <v>0.46893032099768589</v>
      </c>
      <c r="N1010" s="28">
        <f t="shared" si="335"/>
        <v>999</v>
      </c>
      <c r="O1010" s="28"/>
      <c r="P1010" s="29">
        <f t="shared" si="351"/>
        <v>1.0010000000000006</v>
      </c>
      <c r="Q1010" s="33">
        <f t="shared" si="336"/>
        <v>6.7114093959731544</v>
      </c>
      <c r="R1010" s="33">
        <f t="shared" si="337"/>
        <v>6.7114093959731544</v>
      </c>
      <c r="S1010" s="33">
        <f t="shared" si="338"/>
        <v>-1</v>
      </c>
      <c r="T1010" s="27"/>
      <c r="U1010" s="28">
        <f t="shared" si="339"/>
        <v>0.10964912280701754</v>
      </c>
      <c r="V1010" s="25">
        <f t="shared" si="340"/>
        <v>999</v>
      </c>
      <c r="W1010" s="35">
        <f t="shared" si="352"/>
        <v>25</v>
      </c>
      <c r="X1010" s="33">
        <f t="shared" si="341"/>
        <v>25</v>
      </c>
      <c r="Y1010" s="32">
        <f t="shared" si="342"/>
        <v>-1</v>
      </c>
      <c r="Z1010" s="32"/>
      <c r="AA1010" s="30">
        <f t="shared" si="343"/>
        <v>27.4209012464046</v>
      </c>
      <c r="AB1010" s="28">
        <f t="shared" si="344"/>
        <v>0.79029039455421024</v>
      </c>
      <c r="AC1010" s="28">
        <f t="shared" si="345"/>
        <v>0.10964912280701754</v>
      </c>
      <c r="AD1010" s="29">
        <f t="shared" si="346"/>
        <v>949.71537001897525</v>
      </c>
      <c r="AE1010" s="28">
        <f t="shared" si="347"/>
        <v>0.10964912280701754</v>
      </c>
      <c r="AF1010" s="28">
        <f t="shared" si="348"/>
        <v>0</v>
      </c>
      <c r="AG1010" s="28">
        <f t="shared" si="349"/>
        <v>0</v>
      </c>
      <c r="AI1010" s="31">
        <f t="shared" si="350"/>
        <v>4.6939925131868359</v>
      </c>
      <c r="AJ1010" s="25"/>
      <c r="AK1010" s="31"/>
      <c r="AM1010" s="27"/>
    </row>
    <row r="1011" spans="4:39" x14ac:dyDescent="0.25">
      <c r="D1011" s="25">
        <f>E1011*'Profit per cycles Model'!$I$113</f>
        <v>10020</v>
      </c>
      <c r="E1011" s="25">
        <v>27.448294754143266</v>
      </c>
      <c r="F1011" s="28">
        <f t="shared" si="331"/>
        <v>9.9800399201596807E-2</v>
      </c>
      <c r="G1011" s="28">
        <f>'Battery Pricing Model'!$C$17/D1011</f>
        <v>9.9800399201596807E-2</v>
      </c>
      <c r="H1011" s="28">
        <f t="shared" si="332"/>
        <v>999</v>
      </c>
      <c r="I1011" s="28"/>
      <c r="J1011" s="34">
        <f>INDEX('Profit per cycles Model'!$I$149:$I$179, MATCH(TRUNC(E1011, 0), 'Profit per cycles Model'!$H$149:$H$179, 0))</f>
        <v>0.79029039455421024</v>
      </c>
      <c r="K1011" s="27">
        <f>AVERAGE($J$10:J2011)</f>
        <v>0.56883042089778579</v>
      </c>
      <c r="L1011" s="28">
        <f t="shared" si="333"/>
        <v>0.46903002169618901</v>
      </c>
      <c r="M1011" s="28">
        <f t="shared" si="334"/>
        <v>0.46903002169618901</v>
      </c>
      <c r="N1011" s="28">
        <f t="shared" si="335"/>
        <v>999</v>
      </c>
      <c r="O1011" s="28"/>
      <c r="P1011" s="29">
        <f t="shared" si="351"/>
        <v>1.0020000000000004</v>
      </c>
      <c r="Q1011" s="33">
        <f t="shared" si="336"/>
        <v>6.7114093959731544</v>
      </c>
      <c r="R1011" s="33">
        <f t="shared" si="337"/>
        <v>6.7114093959731544</v>
      </c>
      <c r="S1011" s="33">
        <f t="shared" si="338"/>
        <v>-1</v>
      </c>
      <c r="T1011" s="27"/>
      <c r="U1011" s="28">
        <f t="shared" si="339"/>
        <v>0.10964912280701754</v>
      </c>
      <c r="V1011" s="25">
        <f t="shared" si="340"/>
        <v>999</v>
      </c>
      <c r="W1011" s="35">
        <f t="shared" si="352"/>
        <v>25</v>
      </c>
      <c r="X1011" s="33">
        <f t="shared" si="341"/>
        <v>25</v>
      </c>
      <c r="Y1011" s="32">
        <f t="shared" si="342"/>
        <v>-1</v>
      </c>
      <c r="Z1011" s="32"/>
      <c r="AA1011" s="30">
        <f t="shared" si="343"/>
        <v>27.448294754143266</v>
      </c>
      <c r="AB1011" s="28">
        <f t="shared" si="344"/>
        <v>0.79029039455421024</v>
      </c>
      <c r="AC1011" s="28">
        <f t="shared" si="345"/>
        <v>0.10964912280701754</v>
      </c>
      <c r="AD1011" s="29">
        <f t="shared" si="346"/>
        <v>950.66413662239086</v>
      </c>
      <c r="AE1011" s="28">
        <f t="shared" si="347"/>
        <v>0.10964912280701754</v>
      </c>
      <c r="AF1011" s="28">
        <f t="shared" si="348"/>
        <v>0</v>
      </c>
      <c r="AG1011" s="28">
        <f t="shared" si="349"/>
        <v>0</v>
      </c>
      <c r="AI1011" s="31">
        <f t="shared" si="350"/>
        <v>4.699680817395814</v>
      </c>
      <c r="AJ1011" s="25"/>
      <c r="AK1011" s="31"/>
      <c r="AM1011" s="27"/>
    </row>
    <row r="1012" spans="4:39" x14ac:dyDescent="0.25">
      <c r="D1012" s="25">
        <f>E1012*'Profit per cycles Model'!$I$113</f>
        <v>10030</v>
      </c>
      <c r="E1012" s="25">
        <v>27.475688261881935</v>
      </c>
      <c r="F1012" s="28">
        <f t="shared" si="331"/>
        <v>9.970089730807577E-2</v>
      </c>
      <c r="G1012" s="28">
        <f>'Battery Pricing Model'!$C$17/D1012</f>
        <v>9.970089730807577E-2</v>
      </c>
      <c r="H1012" s="28">
        <f t="shared" si="332"/>
        <v>999</v>
      </c>
      <c r="I1012" s="28"/>
      <c r="J1012" s="34">
        <f>INDEX('Profit per cycles Model'!$I$149:$I$179, MATCH(TRUNC(E1012, 0), 'Profit per cycles Model'!$H$149:$H$179, 0))</f>
        <v>0.79029039455421024</v>
      </c>
      <c r="K1012" s="27">
        <f>AVERAGE($J$10:J2012)</f>
        <v>0.56883042089778579</v>
      </c>
      <c r="L1012" s="28">
        <f t="shared" si="333"/>
        <v>0.46912952358971005</v>
      </c>
      <c r="M1012" s="28">
        <f t="shared" si="334"/>
        <v>0.46912952358971005</v>
      </c>
      <c r="N1012" s="28">
        <f t="shared" si="335"/>
        <v>999</v>
      </c>
      <c r="O1012" s="28"/>
      <c r="P1012" s="29">
        <f t="shared" si="351"/>
        <v>1.0030000000000003</v>
      </c>
      <c r="Q1012" s="33">
        <f t="shared" si="336"/>
        <v>6.7114093959731544</v>
      </c>
      <c r="R1012" s="33">
        <f t="shared" si="337"/>
        <v>6.7114093959731544</v>
      </c>
      <c r="S1012" s="33">
        <f t="shared" si="338"/>
        <v>-1</v>
      </c>
      <c r="T1012" s="27"/>
      <c r="U1012" s="28">
        <f t="shared" si="339"/>
        <v>0.10964912280701754</v>
      </c>
      <c r="V1012" s="25">
        <f t="shared" si="340"/>
        <v>999</v>
      </c>
      <c r="W1012" s="35">
        <f t="shared" si="352"/>
        <v>25</v>
      </c>
      <c r="X1012" s="33">
        <f t="shared" si="341"/>
        <v>25</v>
      </c>
      <c r="Y1012" s="32">
        <f t="shared" si="342"/>
        <v>-1</v>
      </c>
      <c r="Z1012" s="32"/>
      <c r="AA1012" s="30">
        <f t="shared" si="343"/>
        <v>27.475688261881935</v>
      </c>
      <c r="AB1012" s="28">
        <f t="shared" si="344"/>
        <v>0.79029039455421024</v>
      </c>
      <c r="AC1012" s="28">
        <f t="shared" si="345"/>
        <v>0.10964912280701754</v>
      </c>
      <c r="AD1012" s="29">
        <f t="shared" si="346"/>
        <v>951.61290322580658</v>
      </c>
      <c r="AE1012" s="28">
        <f t="shared" si="347"/>
        <v>0.10964912280701754</v>
      </c>
      <c r="AF1012" s="28">
        <f t="shared" si="348"/>
        <v>0</v>
      </c>
      <c r="AG1012" s="28">
        <f t="shared" si="349"/>
        <v>0</v>
      </c>
      <c r="AI1012" s="31">
        <f t="shared" si="350"/>
        <v>4.7053691216047921</v>
      </c>
      <c r="AJ1012" s="25"/>
      <c r="AK1012" s="31"/>
      <c r="AM1012" s="27"/>
    </row>
    <row r="1013" spans="4:39" x14ac:dyDescent="0.25">
      <c r="D1013" s="25">
        <f>E1013*'Profit per cycles Model'!$I$113</f>
        <v>10040</v>
      </c>
      <c r="E1013" s="25">
        <v>27.5030817696206</v>
      </c>
      <c r="F1013" s="28">
        <f t="shared" si="331"/>
        <v>9.9601593625498003E-2</v>
      </c>
      <c r="G1013" s="28">
        <f>'Battery Pricing Model'!$C$17/D1013</f>
        <v>9.9601593625498003E-2</v>
      </c>
      <c r="H1013" s="28">
        <f t="shared" si="332"/>
        <v>999</v>
      </c>
      <c r="I1013" s="28"/>
      <c r="J1013" s="34">
        <f>INDEX('Profit per cycles Model'!$I$149:$I$179, MATCH(TRUNC(E1013, 0), 'Profit per cycles Model'!$H$149:$H$179, 0))</f>
        <v>0.79029039455421024</v>
      </c>
      <c r="K1013" s="27">
        <f>AVERAGE($J$10:J2013)</f>
        <v>0.56883042089778579</v>
      </c>
      <c r="L1013" s="28">
        <f t="shared" si="333"/>
        <v>0.46922882727228776</v>
      </c>
      <c r="M1013" s="28">
        <f t="shared" si="334"/>
        <v>0.46922882727228776</v>
      </c>
      <c r="N1013" s="28">
        <f t="shared" si="335"/>
        <v>999</v>
      </c>
      <c r="O1013" s="28"/>
      <c r="P1013" s="29">
        <f t="shared" si="351"/>
        <v>1.0040000000000002</v>
      </c>
      <c r="Q1013" s="33">
        <f t="shared" si="336"/>
        <v>6.7114093959731544</v>
      </c>
      <c r="R1013" s="33">
        <f t="shared" si="337"/>
        <v>6.7114093959731544</v>
      </c>
      <c r="S1013" s="33">
        <f t="shared" si="338"/>
        <v>-1</v>
      </c>
      <c r="T1013" s="27"/>
      <c r="U1013" s="28">
        <f t="shared" si="339"/>
        <v>0.10964912280701754</v>
      </c>
      <c r="V1013" s="25">
        <f t="shared" si="340"/>
        <v>999</v>
      </c>
      <c r="W1013" s="35">
        <f t="shared" si="352"/>
        <v>25</v>
      </c>
      <c r="X1013" s="33">
        <f t="shared" si="341"/>
        <v>25</v>
      </c>
      <c r="Y1013" s="32">
        <f t="shared" si="342"/>
        <v>-1</v>
      </c>
      <c r="Z1013" s="32"/>
      <c r="AA1013" s="30">
        <f t="shared" si="343"/>
        <v>27.5030817696206</v>
      </c>
      <c r="AB1013" s="28">
        <f t="shared" si="344"/>
        <v>0.79029039455421024</v>
      </c>
      <c r="AC1013" s="28">
        <f t="shared" si="345"/>
        <v>0.10964912280701754</v>
      </c>
      <c r="AD1013" s="29">
        <f t="shared" si="346"/>
        <v>952.56166982922207</v>
      </c>
      <c r="AE1013" s="28">
        <f t="shared" si="347"/>
        <v>0.10964912280701754</v>
      </c>
      <c r="AF1013" s="28">
        <f t="shared" si="348"/>
        <v>0</v>
      </c>
      <c r="AG1013" s="28">
        <f t="shared" si="349"/>
        <v>0</v>
      </c>
      <c r="AI1013" s="31">
        <f t="shared" si="350"/>
        <v>4.7110574258137694</v>
      </c>
      <c r="AJ1013" s="25"/>
      <c r="AK1013" s="31"/>
      <c r="AM1013" s="27"/>
    </row>
    <row r="1014" spans="4:39" x14ac:dyDescent="0.25">
      <c r="D1014" s="25">
        <f>E1014*'Profit per cycles Model'!$I$113</f>
        <v>10050</v>
      </c>
      <c r="E1014" s="25">
        <v>27.530475277359265</v>
      </c>
      <c r="F1014" s="28">
        <f t="shared" si="331"/>
        <v>9.950248756218906E-2</v>
      </c>
      <c r="G1014" s="28">
        <f>'Battery Pricing Model'!$C$17/D1014</f>
        <v>9.950248756218906E-2</v>
      </c>
      <c r="H1014" s="28">
        <f t="shared" si="332"/>
        <v>999</v>
      </c>
      <c r="I1014" s="28"/>
      <c r="J1014" s="34">
        <f>INDEX('Profit per cycles Model'!$I$149:$I$179, MATCH(TRUNC(E1014, 0), 'Profit per cycles Model'!$H$149:$H$179, 0))</f>
        <v>0.79029039455421024</v>
      </c>
      <c r="K1014" s="27">
        <f>AVERAGE($J$10:J2014)</f>
        <v>0.56883042089778579</v>
      </c>
      <c r="L1014" s="28">
        <f t="shared" si="333"/>
        <v>0.46932793333559675</v>
      </c>
      <c r="M1014" s="28">
        <f t="shared" si="334"/>
        <v>0.46932793333559675</v>
      </c>
      <c r="N1014" s="28">
        <f t="shared" si="335"/>
        <v>999</v>
      </c>
      <c r="O1014" s="28"/>
      <c r="P1014" s="29">
        <f t="shared" si="351"/>
        <v>1.0050000000000001</v>
      </c>
      <c r="Q1014" s="33">
        <f t="shared" si="336"/>
        <v>6.7114093959731544</v>
      </c>
      <c r="R1014" s="33">
        <f t="shared" si="337"/>
        <v>6.7114093959731544</v>
      </c>
      <c r="S1014" s="33">
        <f t="shared" si="338"/>
        <v>-1</v>
      </c>
      <c r="T1014" s="27"/>
      <c r="U1014" s="28">
        <f t="shared" si="339"/>
        <v>0.10964912280701754</v>
      </c>
      <c r="V1014" s="25">
        <f t="shared" si="340"/>
        <v>999</v>
      </c>
      <c r="W1014" s="35">
        <f t="shared" si="352"/>
        <v>25</v>
      </c>
      <c r="X1014" s="33">
        <f t="shared" si="341"/>
        <v>25</v>
      </c>
      <c r="Y1014" s="32">
        <f t="shared" si="342"/>
        <v>-1</v>
      </c>
      <c r="Z1014" s="32"/>
      <c r="AA1014" s="30">
        <f t="shared" si="343"/>
        <v>27.530475277359265</v>
      </c>
      <c r="AB1014" s="28">
        <f t="shared" si="344"/>
        <v>0.79029039455421024</v>
      </c>
      <c r="AC1014" s="28">
        <f t="shared" si="345"/>
        <v>0.10964912280701754</v>
      </c>
      <c r="AD1014" s="29">
        <f t="shared" si="346"/>
        <v>953.51043643263768</v>
      </c>
      <c r="AE1014" s="28">
        <f t="shared" si="347"/>
        <v>0.10964912280701754</v>
      </c>
      <c r="AF1014" s="28">
        <f t="shared" si="348"/>
        <v>0</v>
      </c>
      <c r="AG1014" s="28">
        <f t="shared" si="349"/>
        <v>0</v>
      </c>
      <c r="AI1014" s="31">
        <f t="shared" si="350"/>
        <v>4.7167457300227467</v>
      </c>
      <c r="AJ1014" s="25"/>
      <c r="AK1014" s="31"/>
      <c r="AM1014" s="27"/>
    </row>
    <row r="1015" spans="4:39" x14ac:dyDescent="0.25">
      <c r="D1015" s="25">
        <f>E1015*'Profit per cycles Model'!$I$113</f>
        <v>10060</v>
      </c>
      <c r="E1015" s="25">
        <v>27.557868785097931</v>
      </c>
      <c r="F1015" s="28">
        <f t="shared" si="331"/>
        <v>9.9403578528827044E-2</v>
      </c>
      <c r="G1015" s="28">
        <f>'Battery Pricing Model'!$C$17/D1015</f>
        <v>9.9403578528827044E-2</v>
      </c>
      <c r="H1015" s="28">
        <f t="shared" si="332"/>
        <v>999</v>
      </c>
      <c r="I1015" s="28"/>
      <c r="J1015" s="34">
        <f>INDEX('Profit per cycles Model'!$I$149:$I$179, MATCH(TRUNC(E1015, 0), 'Profit per cycles Model'!$H$149:$H$179, 0))</f>
        <v>0.79029039455421024</v>
      </c>
      <c r="K1015" s="27">
        <f>AVERAGE($J$10:J2015)</f>
        <v>0.56883042089778579</v>
      </c>
      <c r="L1015" s="28">
        <f t="shared" si="333"/>
        <v>0.46942684236895876</v>
      </c>
      <c r="M1015" s="28">
        <f t="shared" si="334"/>
        <v>0.46942684236895876</v>
      </c>
      <c r="N1015" s="28">
        <f t="shared" si="335"/>
        <v>999</v>
      </c>
      <c r="O1015" s="28"/>
      <c r="P1015" s="29">
        <f t="shared" si="351"/>
        <v>1.006</v>
      </c>
      <c r="Q1015" s="33">
        <f t="shared" si="336"/>
        <v>6.7114093959731544</v>
      </c>
      <c r="R1015" s="33">
        <f t="shared" si="337"/>
        <v>6.7114093959731544</v>
      </c>
      <c r="S1015" s="33">
        <f t="shared" si="338"/>
        <v>-1</v>
      </c>
      <c r="T1015" s="27"/>
      <c r="U1015" s="28">
        <f t="shared" si="339"/>
        <v>0.10964912280701754</v>
      </c>
      <c r="V1015" s="25">
        <f t="shared" si="340"/>
        <v>999</v>
      </c>
      <c r="W1015" s="35">
        <f t="shared" si="352"/>
        <v>25</v>
      </c>
      <c r="X1015" s="33">
        <f t="shared" si="341"/>
        <v>25</v>
      </c>
      <c r="Y1015" s="32">
        <f t="shared" si="342"/>
        <v>-1</v>
      </c>
      <c r="Z1015" s="32"/>
      <c r="AA1015" s="30">
        <f t="shared" si="343"/>
        <v>27.557868785097931</v>
      </c>
      <c r="AB1015" s="28">
        <f t="shared" si="344"/>
        <v>0.79029039455421024</v>
      </c>
      <c r="AC1015" s="28">
        <f t="shared" si="345"/>
        <v>0.10964912280701754</v>
      </c>
      <c r="AD1015" s="29">
        <f t="shared" si="346"/>
        <v>954.45920303605305</v>
      </c>
      <c r="AE1015" s="28">
        <f t="shared" si="347"/>
        <v>0.10964912280701754</v>
      </c>
      <c r="AF1015" s="28">
        <f t="shared" si="348"/>
        <v>0</v>
      </c>
      <c r="AG1015" s="28">
        <f t="shared" si="349"/>
        <v>0</v>
      </c>
      <c r="AI1015" s="31">
        <f t="shared" si="350"/>
        <v>4.7224340342317248</v>
      </c>
      <c r="AJ1015" s="25"/>
      <c r="AK1015" s="31"/>
      <c r="AM1015" s="27"/>
    </row>
    <row r="1016" spans="4:39" x14ac:dyDescent="0.25">
      <c r="D1016" s="25">
        <f>E1016*'Profit per cycles Model'!$I$113</f>
        <v>10070</v>
      </c>
      <c r="E1016" s="25">
        <v>27.585262292836596</v>
      </c>
      <c r="F1016" s="28">
        <f t="shared" si="331"/>
        <v>9.9304865938430978E-2</v>
      </c>
      <c r="G1016" s="28">
        <f>'Battery Pricing Model'!$C$17/D1016</f>
        <v>9.9304865938430978E-2</v>
      </c>
      <c r="H1016" s="28">
        <f t="shared" si="332"/>
        <v>999</v>
      </c>
      <c r="I1016" s="28"/>
      <c r="J1016" s="34">
        <f>INDEX('Profit per cycles Model'!$I$149:$I$179, MATCH(TRUNC(E1016, 0), 'Profit per cycles Model'!$H$149:$H$179, 0))</f>
        <v>0.79029039455421024</v>
      </c>
      <c r="K1016" s="27">
        <f>AVERAGE($J$10:J2016)</f>
        <v>0.56883042089778579</v>
      </c>
      <c r="L1016" s="28">
        <f t="shared" si="333"/>
        <v>0.46952555495935483</v>
      </c>
      <c r="M1016" s="28">
        <f t="shared" si="334"/>
        <v>0.46952555495935483</v>
      </c>
      <c r="N1016" s="28">
        <f t="shared" si="335"/>
        <v>999</v>
      </c>
      <c r="O1016" s="28"/>
      <c r="P1016" s="29">
        <f t="shared" si="351"/>
        <v>1.0069999999999999</v>
      </c>
      <c r="Q1016" s="33">
        <f t="shared" si="336"/>
        <v>6.7114093959731544</v>
      </c>
      <c r="R1016" s="33">
        <f t="shared" si="337"/>
        <v>6.7114093959731544</v>
      </c>
      <c r="S1016" s="33">
        <f t="shared" si="338"/>
        <v>-1</v>
      </c>
      <c r="T1016" s="27"/>
      <c r="U1016" s="28">
        <f t="shared" si="339"/>
        <v>0.10964912280701754</v>
      </c>
      <c r="V1016" s="25">
        <f t="shared" si="340"/>
        <v>999</v>
      </c>
      <c r="W1016" s="35">
        <f t="shared" si="352"/>
        <v>25</v>
      </c>
      <c r="X1016" s="33">
        <f t="shared" si="341"/>
        <v>25</v>
      </c>
      <c r="Y1016" s="32">
        <f t="shared" si="342"/>
        <v>-1</v>
      </c>
      <c r="Z1016" s="32"/>
      <c r="AA1016" s="30">
        <f t="shared" si="343"/>
        <v>27.585262292836596</v>
      </c>
      <c r="AB1016" s="28">
        <f t="shared" si="344"/>
        <v>0.79029039455421024</v>
      </c>
      <c r="AC1016" s="28">
        <f t="shared" si="345"/>
        <v>0.10964912280701754</v>
      </c>
      <c r="AD1016" s="29">
        <f t="shared" si="346"/>
        <v>955.40796963946866</v>
      </c>
      <c r="AE1016" s="28">
        <f t="shared" si="347"/>
        <v>0.10964912280701754</v>
      </c>
      <c r="AF1016" s="28">
        <f t="shared" si="348"/>
        <v>0</v>
      </c>
      <c r="AG1016" s="28">
        <f t="shared" si="349"/>
        <v>0</v>
      </c>
      <c r="AI1016" s="31">
        <f t="shared" si="350"/>
        <v>4.728122338440703</v>
      </c>
      <c r="AJ1016" s="25"/>
      <c r="AK1016" s="31"/>
      <c r="AM1016" s="27"/>
    </row>
    <row r="1017" spans="4:39" x14ac:dyDescent="0.25">
      <c r="D1017" s="25">
        <f>E1017*'Profit per cycles Model'!$I$113</f>
        <v>10080</v>
      </c>
      <c r="E1017" s="25">
        <v>27.612655800575261</v>
      </c>
      <c r="F1017" s="28">
        <f t="shared" si="331"/>
        <v>9.9206349206349201E-2</v>
      </c>
      <c r="G1017" s="28">
        <f>'Battery Pricing Model'!$C$17/D1017</f>
        <v>9.9206349206349201E-2</v>
      </c>
      <c r="H1017" s="28">
        <f t="shared" si="332"/>
        <v>999</v>
      </c>
      <c r="I1017" s="28"/>
      <c r="J1017" s="34">
        <f>INDEX('Profit per cycles Model'!$I$149:$I$179, MATCH(TRUNC(E1017, 0), 'Profit per cycles Model'!$H$149:$H$179, 0))</f>
        <v>0.79029039455421024</v>
      </c>
      <c r="K1017" s="27">
        <f>AVERAGE($J$10:J2017)</f>
        <v>0.56883042089778579</v>
      </c>
      <c r="L1017" s="28">
        <f t="shared" si="333"/>
        <v>0.46962407169143661</v>
      </c>
      <c r="M1017" s="28">
        <f t="shared" si="334"/>
        <v>0.46962407169143661</v>
      </c>
      <c r="N1017" s="28">
        <f t="shared" si="335"/>
        <v>999</v>
      </c>
      <c r="O1017" s="28"/>
      <c r="P1017" s="29">
        <f t="shared" si="351"/>
        <v>1.0079999999999998</v>
      </c>
      <c r="Q1017" s="33">
        <f t="shared" si="336"/>
        <v>6.7114093959731544</v>
      </c>
      <c r="R1017" s="33">
        <f t="shared" si="337"/>
        <v>6.7114093959731544</v>
      </c>
      <c r="S1017" s="33">
        <f t="shared" si="338"/>
        <v>-1</v>
      </c>
      <c r="T1017" s="27"/>
      <c r="U1017" s="28">
        <f t="shared" si="339"/>
        <v>0.10964912280701754</v>
      </c>
      <c r="V1017" s="25">
        <f t="shared" si="340"/>
        <v>999</v>
      </c>
      <c r="W1017" s="35">
        <f t="shared" si="352"/>
        <v>25</v>
      </c>
      <c r="X1017" s="33">
        <f t="shared" si="341"/>
        <v>25</v>
      </c>
      <c r="Y1017" s="32">
        <f t="shared" si="342"/>
        <v>-1</v>
      </c>
      <c r="Z1017" s="32"/>
      <c r="AA1017" s="30">
        <f t="shared" si="343"/>
        <v>27.612655800575261</v>
      </c>
      <c r="AB1017" s="28">
        <f t="shared" si="344"/>
        <v>0.79029039455421024</v>
      </c>
      <c r="AC1017" s="28">
        <f t="shared" si="345"/>
        <v>0.10964912280701754</v>
      </c>
      <c r="AD1017" s="29">
        <f t="shared" si="346"/>
        <v>956.35673624288427</v>
      </c>
      <c r="AE1017" s="28">
        <f t="shared" si="347"/>
        <v>0.10964912280701754</v>
      </c>
      <c r="AF1017" s="28">
        <f t="shared" si="348"/>
        <v>0</v>
      </c>
      <c r="AG1017" s="28">
        <f t="shared" si="349"/>
        <v>0</v>
      </c>
      <c r="AI1017" s="31">
        <f t="shared" si="350"/>
        <v>4.7338106426496811</v>
      </c>
      <c r="AJ1017" s="25"/>
      <c r="AK1017" s="31"/>
      <c r="AM1017" s="27"/>
    </row>
    <row r="1018" spans="4:39" x14ac:dyDescent="0.25">
      <c r="D1018" s="25">
        <f>E1018*'Profit per cycles Model'!$I$113</f>
        <v>10090</v>
      </c>
      <c r="E1018" s="25">
        <v>27.64004930831393</v>
      </c>
      <c r="F1018" s="28">
        <f t="shared" si="331"/>
        <v>9.9108027750247768E-2</v>
      </c>
      <c r="G1018" s="28">
        <f>'Battery Pricing Model'!$C$17/D1018</f>
        <v>9.9108027750247768E-2</v>
      </c>
      <c r="H1018" s="28">
        <f t="shared" si="332"/>
        <v>999</v>
      </c>
      <c r="I1018" s="28"/>
      <c r="J1018" s="34">
        <f>INDEX('Profit per cycles Model'!$I$149:$I$179, MATCH(TRUNC(E1018, 0), 'Profit per cycles Model'!$H$149:$H$179, 0))</f>
        <v>0.79029039455421024</v>
      </c>
      <c r="K1018" s="27">
        <f>AVERAGE($J$10:J2018)</f>
        <v>0.56883042089778579</v>
      </c>
      <c r="L1018" s="28">
        <f t="shared" si="333"/>
        <v>0.46972239314753805</v>
      </c>
      <c r="M1018" s="28">
        <f t="shared" si="334"/>
        <v>0.46972239314753805</v>
      </c>
      <c r="N1018" s="28">
        <f t="shared" si="335"/>
        <v>999</v>
      </c>
      <c r="O1018" s="28"/>
      <c r="P1018" s="29">
        <f t="shared" si="351"/>
        <v>1.0089999999999997</v>
      </c>
      <c r="Q1018" s="33">
        <f t="shared" si="336"/>
        <v>6.7114093959731544</v>
      </c>
      <c r="R1018" s="33">
        <f t="shared" si="337"/>
        <v>6.7114093959731544</v>
      </c>
      <c r="S1018" s="33">
        <f t="shared" si="338"/>
        <v>-1</v>
      </c>
      <c r="T1018" s="27"/>
      <c r="U1018" s="28">
        <f t="shared" si="339"/>
        <v>0.10964912280701754</v>
      </c>
      <c r="V1018" s="25">
        <f t="shared" si="340"/>
        <v>999</v>
      </c>
      <c r="W1018" s="35">
        <f t="shared" si="352"/>
        <v>25</v>
      </c>
      <c r="X1018" s="33">
        <f t="shared" si="341"/>
        <v>25</v>
      </c>
      <c r="Y1018" s="32">
        <f t="shared" si="342"/>
        <v>-1</v>
      </c>
      <c r="Z1018" s="32"/>
      <c r="AA1018" s="30">
        <f t="shared" si="343"/>
        <v>27.64004930831393</v>
      </c>
      <c r="AB1018" s="28">
        <f t="shared" si="344"/>
        <v>0.79029039455421024</v>
      </c>
      <c r="AC1018" s="28">
        <f t="shared" si="345"/>
        <v>0.10964912280701754</v>
      </c>
      <c r="AD1018" s="29">
        <f t="shared" si="346"/>
        <v>957.30550284629987</v>
      </c>
      <c r="AE1018" s="28">
        <f t="shared" si="347"/>
        <v>0.10964912280701754</v>
      </c>
      <c r="AF1018" s="28">
        <f t="shared" si="348"/>
        <v>0</v>
      </c>
      <c r="AG1018" s="28">
        <f t="shared" si="349"/>
        <v>0</v>
      </c>
      <c r="AI1018" s="31">
        <f t="shared" si="350"/>
        <v>4.7394989468586592</v>
      </c>
      <c r="AJ1018" s="25"/>
      <c r="AK1018" s="31"/>
      <c r="AM1018" s="27"/>
    </row>
    <row r="1019" spans="4:39" x14ac:dyDescent="0.25">
      <c r="D1019" s="25">
        <f>E1019*'Profit per cycles Model'!$I$113</f>
        <v>10100</v>
      </c>
      <c r="E1019" s="25">
        <v>27.667442816052596</v>
      </c>
      <c r="F1019" s="28">
        <f t="shared" si="331"/>
        <v>9.9009900990099015E-2</v>
      </c>
      <c r="G1019" s="28">
        <f>'Battery Pricing Model'!$C$17/D1019</f>
        <v>9.9009900990099015E-2</v>
      </c>
      <c r="H1019" s="28">
        <f t="shared" si="332"/>
        <v>999</v>
      </c>
      <c r="I1019" s="28"/>
      <c r="J1019" s="34">
        <f>INDEX('Profit per cycles Model'!$I$149:$I$179, MATCH(TRUNC(E1019, 0), 'Profit per cycles Model'!$H$149:$H$179, 0))</f>
        <v>0.79029039455421024</v>
      </c>
      <c r="K1019" s="27">
        <f>AVERAGE($J$10:J2019)</f>
        <v>0.56883042089778579</v>
      </c>
      <c r="L1019" s="28">
        <f t="shared" si="333"/>
        <v>0.46982051990768681</v>
      </c>
      <c r="M1019" s="28">
        <f t="shared" si="334"/>
        <v>0.46982051990768681</v>
      </c>
      <c r="N1019" s="28">
        <f t="shared" si="335"/>
        <v>999</v>
      </c>
      <c r="O1019" s="28"/>
      <c r="P1019" s="29">
        <f t="shared" si="351"/>
        <v>1.0099999999999996</v>
      </c>
      <c r="Q1019" s="33">
        <f t="shared" si="336"/>
        <v>6.7114093959731544</v>
      </c>
      <c r="R1019" s="33">
        <f t="shared" si="337"/>
        <v>6.7114093959731544</v>
      </c>
      <c r="S1019" s="33">
        <f t="shared" si="338"/>
        <v>-1</v>
      </c>
      <c r="T1019" s="27"/>
      <c r="U1019" s="28">
        <f t="shared" si="339"/>
        <v>0.10964912280701754</v>
      </c>
      <c r="V1019" s="25">
        <f t="shared" si="340"/>
        <v>999</v>
      </c>
      <c r="W1019" s="35">
        <f t="shared" si="352"/>
        <v>25</v>
      </c>
      <c r="X1019" s="33">
        <f t="shared" si="341"/>
        <v>25</v>
      </c>
      <c r="Y1019" s="32">
        <f t="shared" si="342"/>
        <v>-1</v>
      </c>
      <c r="Z1019" s="32"/>
      <c r="AA1019" s="30">
        <f t="shared" si="343"/>
        <v>27.667442816052596</v>
      </c>
      <c r="AB1019" s="28">
        <f t="shared" si="344"/>
        <v>0.79029039455421024</v>
      </c>
      <c r="AC1019" s="28">
        <f t="shared" si="345"/>
        <v>0.10964912280701754</v>
      </c>
      <c r="AD1019" s="29">
        <f t="shared" si="346"/>
        <v>958.25426944971548</v>
      </c>
      <c r="AE1019" s="28">
        <f t="shared" si="347"/>
        <v>0.10964912280701754</v>
      </c>
      <c r="AF1019" s="28">
        <f t="shared" si="348"/>
        <v>0</v>
      </c>
      <c r="AG1019" s="28">
        <f t="shared" si="349"/>
        <v>0</v>
      </c>
      <c r="AI1019" s="31">
        <f t="shared" si="350"/>
        <v>4.7451872510676365</v>
      </c>
      <c r="AJ1019" s="25"/>
      <c r="AK1019" s="31"/>
      <c r="AM1019" s="27"/>
    </row>
    <row r="1020" spans="4:39" x14ac:dyDescent="0.25">
      <c r="D1020" s="25">
        <f>E1020*'Profit per cycles Model'!$I$113</f>
        <v>10110</v>
      </c>
      <c r="E1020" s="25">
        <v>27.694836323791261</v>
      </c>
      <c r="F1020" s="28">
        <f t="shared" si="331"/>
        <v>9.8911968348170135E-2</v>
      </c>
      <c r="G1020" s="28">
        <f>'Battery Pricing Model'!$C$17/D1020</f>
        <v>9.8911968348170135E-2</v>
      </c>
      <c r="H1020" s="28">
        <f t="shared" si="332"/>
        <v>999</v>
      </c>
      <c r="I1020" s="28"/>
      <c r="J1020" s="34">
        <f>INDEX('Profit per cycles Model'!$I$149:$I$179, MATCH(TRUNC(E1020, 0), 'Profit per cycles Model'!$H$149:$H$179, 0))</f>
        <v>0.79029039455421024</v>
      </c>
      <c r="K1020" s="27">
        <f>AVERAGE($J$10:J2020)</f>
        <v>0.56883042089778579</v>
      </c>
      <c r="L1020" s="28">
        <f t="shared" si="333"/>
        <v>0.46991845254961567</v>
      </c>
      <c r="M1020" s="28">
        <f t="shared" si="334"/>
        <v>0.46991845254961567</v>
      </c>
      <c r="N1020" s="28">
        <f t="shared" si="335"/>
        <v>999</v>
      </c>
      <c r="O1020" s="28"/>
      <c r="P1020" s="29">
        <f t="shared" si="351"/>
        <v>1.0109999999999995</v>
      </c>
      <c r="Q1020" s="33">
        <f t="shared" si="336"/>
        <v>6.7114093959731544</v>
      </c>
      <c r="R1020" s="33">
        <f t="shared" si="337"/>
        <v>6.7114093959731544</v>
      </c>
      <c r="S1020" s="33">
        <f t="shared" si="338"/>
        <v>-1</v>
      </c>
      <c r="T1020" s="27"/>
      <c r="U1020" s="28">
        <f t="shared" si="339"/>
        <v>0.10964912280701754</v>
      </c>
      <c r="V1020" s="25">
        <f t="shared" si="340"/>
        <v>999</v>
      </c>
      <c r="W1020" s="35">
        <f t="shared" si="352"/>
        <v>25</v>
      </c>
      <c r="X1020" s="33">
        <f t="shared" si="341"/>
        <v>25</v>
      </c>
      <c r="Y1020" s="32">
        <f t="shared" si="342"/>
        <v>-1</v>
      </c>
      <c r="Z1020" s="32"/>
      <c r="AA1020" s="30">
        <f t="shared" si="343"/>
        <v>27.694836323791261</v>
      </c>
      <c r="AB1020" s="28">
        <f t="shared" si="344"/>
        <v>0.79029039455421024</v>
      </c>
      <c r="AC1020" s="28">
        <f t="shared" si="345"/>
        <v>0.10964912280701754</v>
      </c>
      <c r="AD1020" s="29">
        <f t="shared" si="346"/>
        <v>959.20303605313097</v>
      </c>
      <c r="AE1020" s="28">
        <f t="shared" si="347"/>
        <v>0.10964912280701754</v>
      </c>
      <c r="AF1020" s="28">
        <f t="shared" si="348"/>
        <v>0</v>
      </c>
      <c r="AG1020" s="28">
        <f t="shared" si="349"/>
        <v>0</v>
      </c>
      <c r="AI1020" s="31">
        <f t="shared" si="350"/>
        <v>4.7508755552766138</v>
      </c>
      <c r="AJ1020" s="25"/>
      <c r="AK1020" s="31"/>
      <c r="AM1020" s="27"/>
    </row>
    <row r="1021" spans="4:39" x14ac:dyDescent="0.25">
      <c r="D1021" s="25">
        <f>E1021*'Profit per cycles Model'!$I$113</f>
        <v>10120</v>
      </c>
      <c r="E1021" s="25">
        <v>27.722229831529926</v>
      </c>
      <c r="F1021" s="28">
        <f t="shared" si="331"/>
        <v>9.8814229249011856E-2</v>
      </c>
      <c r="G1021" s="28">
        <f>'Battery Pricing Model'!$C$17/D1021</f>
        <v>9.8814229249011856E-2</v>
      </c>
      <c r="H1021" s="28">
        <f t="shared" si="332"/>
        <v>999</v>
      </c>
      <c r="I1021" s="28"/>
      <c r="J1021" s="34">
        <f>INDEX('Profit per cycles Model'!$I$149:$I$179, MATCH(TRUNC(E1021, 0), 'Profit per cycles Model'!$H$149:$H$179, 0))</f>
        <v>0.79029039455421024</v>
      </c>
      <c r="K1021" s="27">
        <f>AVERAGE($J$10:J2021)</f>
        <v>0.56883042089778579</v>
      </c>
      <c r="L1021" s="28">
        <f t="shared" si="333"/>
        <v>0.47001619164877395</v>
      </c>
      <c r="M1021" s="28">
        <f t="shared" si="334"/>
        <v>0.47001619164877395</v>
      </c>
      <c r="N1021" s="28">
        <f t="shared" si="335"/>
        <v>999</v>
      </c>
      <c r="O1021" s="28"/>
      <c r="P1021" s="29">
        <f t="shared" si="351"/>
        <v>1.0119999999999993</v>
      </c>
      <c r="Q1021" s="33">
        <f t="shared" si="336"/>
        <v>6.7114093959731544</v>
      </c>
      <c r="R1021" s="33">
        <f t="shared" si="337"/>
        <v>6.7114093959731544</v>
      </c>
      <c r="S1021" s="33">
        <f t="shared" si="338"/>
        <v>-1</v>
      </c>
      <c r="T1021" s="27"/>
      <c r="U1021" s="28">
        <f t="shared" si="339"/>
        <v>0.10964912280701754</v>
      </c>
      <c r="V1021" s="25">
        <f t="shared" si="340"/>
        <v>999</v>
      </c>
      <c r="W1021" s="35">
        <f t="shared" si="352"/>
        <v>25</v>
      </c>
      <c r="X1021" s="33">
        <f t="shared" si="341"/>
        <v>25</v>
      </c>
      <c r="Y1021" s="32">
        <f t="shared" si="342"/>
        <v>-1</v>
      </c>
      <c r="Z1021" s="32"/>
      <c r="AA1021" s="30">
        <f t="shared" si="343"/>
        <v>27.722229831529926</v>
      </c>
      <c r="AB1021" s="28">
        <f t="shared" si="344"/>
        <v>0.79029039455421024</v>
      </c>
      <c r="AC1021" s="28">
        <f t="shared" si="345"/>
        <v>0.10964912280701754</v>
      </c>
      <c r="AD1021" s="29">
        <f t="shared" si="346"/>
        <v>960.15180265654647</v>
      </c>
      <c r="AE1021" s="28">
        <f t="shared" si="347"/>
        <v>0.10964912280701754</v>
      </c>
      <c r="AF1021" s="28">
        <f t="shared" si="348"/>
        <v>0</v>
      </c>
      <c r="AG1021" s="28">
        <f t="shared" si="349"/>
        <v>0</v>
      </c>
      <c r="AI1021" s="31">
        <f t="shared" si="350"/>
        <v>4.7565638594855928</v>
      </c>
      <c r="AJ1021" s="25"/>
      <c r="AK1021" s="31"/>
      <c r="AM1021" s="27"/>
    </row>
    <row r="1022" spans="4:39" x14ac:dyDescent="0.25">
      <c r="D1022" s="25">
        <f>E1022*'Profit per cycles Model'!$I$113</f>
        <v>10130</v>
      </c>
      <c r="E1022" s="25">
        <v>27.749623339268592</v>
      </c>
      <c r="F1022" s="28">
        <f t="shared" si="331"/>
        <v>9.8716683119447188E-2</v>
      </c>
      <c r="G1022" s="28">
        <f>'Battery Pricing Model'!$C$17/D1022</f>
        <v>9.8716683119447188E-2</v>
      </c>
      <c r="H1022" s="28">
        <f t="shared" si="332"/>
        <v>999</v>
      </c>
      <c r="I1022" s="28"/>
      <c r="J1022" s="34">
        <f>INDEX('Profit per cycles Model'!$I$149:$I$179, MATCH(TRUNC(E1022, 0), 'Profit per cycles Model'!$H$149:$H$179, 0))</f>
        <v>0.79029039455421024</v>
      </c>
      <c r="K1022" s="27">
        <f>AVERAGE($J$10:J2022)</f>
        <v>0.56883042089778579</v>
      </c>
      <c r="L1022" s="28">
        <f t="shared" si="333"/>
        <v>0.47011373777833859</v>
      </c>
      <c r="M1022" s="28">
        <f t="shared" si="334"/>
        <v>0.47011373777833859</v>
      </c>
      <c r="N1022" s="28">
        <f t="shared" si="335"/>
        <v>999</v>
      </c>
      <c r="O1022" s="28"/>
      <c r="P1022" s="29">
        <f t="shared" si="351"/>
        <v>1.0129999999999992</v>
      </c>
      <c r="Q1022" s="33">
        <f t="shared" si="336"/>
        <v>6.7114093959731544</v>
      </c>
      <c r="R1022" s="33">
        <f t="shared" si="337"/>
        <v>6.7114093959731544</v>
      </c>
      <c r="S1022" s="33">
        <f t="shared" si="338"/>
        <v>-1</v>
      </c>
      <c r="T1022" s="27"/>
      <c r="U1022" s="28">
        <f t="shared" si="339"/>
        <v>0.10964912280701754</v>
      </c>
      <c r="V1022" s="25">
        <f t="shared" si="340"/>
        <v>999</v>
      </c>
      <c r="W1022" s="35">
        <f t="shared" si="352"/>
        <v>25</v>
      </c>
      <c r="X1022" s="33">
        <f t="shared" si="341"/>
        <v>25</v>
      </c>
      <c r="Y1022" s="32">
        <f t="shared" si="342"/>
        <v>-1</v>
      </c>
      <c r="Z1022" s="32"/>
      <c r="AA1022" s="30">
        <f t="shared" si="343"/>
        <v>27.749623339268592</v>
      </c>
      <c r="AB1022" s="28">
        <f t="shared" si="344"/>
        <v>0.79029039455421024</v>
      </c>
      <c r="AC1022" s="28">
        <f t="shared" si="345"/>
        <v>0.10964912280701754</v>
      </c>
      <c r="AD1022" s="29">
        <f t="shared" si="346"/>
        <v>961.10056925996196</v>
      </c>
      <c r="AE1022" s="28">
        <f t="shared" si="347"/>
        <v>0.10964912280701754</v>
      </c>
      <c r="AF1022" s="28">
        <f t="shared" si="348"/>
        <v>0</v>
      </c>
      <c r="AG1022" s="28">
        <f t="shared" si="349"/>
        <v>0</v>
      </c>
      <c r="AI1022" s="31">
        <f t="shared" si="350"/>
        <v>4.7622521636945701</v>
      </c>
      <c r="AJ1022" s="25"/>
      <c r="AK1022" s="31"/>
      <c r="AM1022" s="27"/>
    </row>
    <row r="1023" spans="4:39" x14ac:dyDescent="0.25">
      <c r="D1023" s="25">
        <f>E1023*'Profit per cycles Model'!$I$113</f>
        <v>10140</v>
      </c>
      <c r="E1023" s="25">
        <v>27.777016847007257</v>
      </c>
      <c r="F1023" s="28">
        <f t="shared" si="331"/>
        <v>9.8619329388560162E-2</v>
      </c>
      <c r="G1023" s="28">
        <f>'Battery Pricing Model'!$C$17/D1023</f>
        <v>9.8619329388560162E-2</v>
      </c>
      <c r="H1023" s="28">
        <f t="shared" si="332"/>
        <v>999</v>
      </c>
      <c r="I1023" s="28"/>
      <c r="J1023" s="34">
        <f>INDEX('Profit per cycles Model'!$I$149:$I$179, MATCH(TRUNC(E1023, 0), 'Profit per cycles Model'!$H$149:$H$179, 0))</f>
        <v>0.79029039455421024</v>
      </c>
      <c r="K1023" s="27">
        <f>AVERAGE($J$10:J2023)</f>
        <v>0.56883042089778579</v>
      </c>
      <c r="L1023" s="28">
        <f t="shared" si="333"/>
        <v>0.47021109150922563</v>
      </c>
      <c r="M1023" s="28">
        <f t="shared" si="334"/>
        <v>0.47021109150922563</v>
      </c>
      <c r="N1023" s="28">
        <f t="shared" si="335"/>
        <v>999</v>
      </c>
      <c r="O1023" s="28"/>
      <c r="P1023" s="29">
        <f t="shared" si="351"/>
        <v>1.0139999999999991</v>
      </c>
      <c r="Q1023" s="33">
        <f t="shared" si="336"/>
        <v>6.7114093959731544</v>
      </c>
      <c r="R1023" s="33">
        <f t="shared" si="337"/>
        <v>6.7114093959731544</v>
      </c>
      <c r="S1023" s="33">
        <f t="shared" si="338"/>
        <v>-1</v>
      </c>
      <c r="T1023" s="27"/>
      <c r="U1023" s="28">
        <f t="shared" si="339"/>
        <v>0.10964912280701754</v>
      </c>
      <c r="V1023" s="25">
        <f t="shared" si="340"/>
        <v>999</v>
      </c>
      <c r="W1023" s="35">
        <f t="shared" si="352"/>
        <v>25</v>
      </c>
      <c r="X1023" s="33">
        <f t="shared" si="341"/>
        <v>25</v>
      </c>
      <c r="Y1023" s="32">
        <f t="shared" si="342"/>
        <v>-1</v>
      </c>
      <c r="Z1023" s="32"/>
      <c r="AA1023" s="30">
        <f t="shared" si="343"/>
        <v>27.777016847007257</v>
      </c>
      <c r="AB1023" s="28">
        <f t="shared" si="344"/>
        <v>0.79029039455421024</v>
      </c>
      <c r="AC1023" s="28">
        <f t="shared" si="345"/>
        <v>0.10964912280701754</v>
      </c>
      <c r="AD1023" s="29">
        <f t="shared" si="346"/>
        <v>962.04933586337756</v>
      </c>
      <c r="AE1023" s="28">
        <f t="shared" si="347"/>
        <v>0.10964912280701754</v>
      </c>
      <c r="AF1023" s="28">
        <f t="shared" si="348"/>
        <v>0</v>
      </c>
      <c r="AG1023" s="28">
        <f t="shared" si="349"/>
        <v>0</v>
      </c>
      <c r="AI1023" s="31">
        <f t="shared" si="350"/>
        <v>4.7679404679035473</v>
      </c>
      <c r="AJ1023" s="25"/>
      <c r="AK1023" s="31"/>
      <c r="AM1023" s="27"/>
    </row>
    <row r="1024" spans="4:39" x14ac:dyDescent="0.25">
      <c r="D1024" s="25">
        <f>E1024*'Profit per cycles Model'!$I$113</f>
        <v>10150</v>
      </c>
      <c r="E1024" s="25">
        <v>27.804410354745926</v>
      </c>
      <c r="F1024" s="28">
        <f t="shared" si="331"/>
        <v>9.8522167487684734E-2</v>
      </c>
      <c r="G1024" s="28">
        <f>'Battery Pricing Model'!$C$17/D1024</f>
        <v>9.8522167487684734E-2</v>
      </c>
      <c r="H1024" s="28">
        <f t="shared" si="332"/>
        <v>999</v>
      </c>
      <c r="I1024" s="28"/>
      <c r="J1024" s="34">
        <f>INDEX('Profit per cycles Model'!$I$149:$I$179, MATCH(TRUNC(E1024, 0), 'Profit per cycles Model'!$H$149:$H$179, 0))</f>
        <v>0.79029039455421024</v>
      </c>
      <c r="K1024" s="27">
        <f>AVERAGE($J$10:J2024)</f>
        <v>0.56883042089778579</v>
      </c>
      <c r="L1024" s="28">
        <f t="shared" si="333"/>
        <v>0.47030825341010107</v>
      </c>
      <c r="M1024" s="28">
        <f t="shared" si="334"/>
        <v>0.47030825341010107</v>
      </c>
      <c r="N1024" s="28">
        <f t="shared" si="335"/>
        <v>999</v>
      </c>
      <c r="O1024" s="28"/>
      <c r="P1024" s="29">
        <f t="shared" si="351"/>
        <v>1.014999999999999</v>
      </c>
      <c r="Q1024" s="33">
        <f t="shared" si="336"/>
        <v>6.7114093959731544</v>
      </c>
      <c r="R1024" s="33">
        <f t="shared" si="337"/>
        <v>6.7114093959731544</v>
      </c>
      <c r="S1024" s="33">
        <f t="shared" si="338"/>
        <v>-1</v>
      </c>
      <c r="T1024" s="27"/>
      <c r="U1024" s="28">
        <f t="shared" si="339"/>
        <v>0.10964912280701754</v>
      </c>
      <c r="V1024" s="25">
        <f t="shared" si="340"/>
        <v>999</v>
      </c>
      <c r="W1024" s="35">
        <f t="shared" si="352"/>
        <v>25</v>
      </c>
      <c r="X1024" s="33">
        <f t="shared" si="341"/>
        <v>25</v>
      </c>
      <c r="Y1024" s="32">
        <f t="shared" si="342"/>
        <v>-1</v>
      </c>
      <c r="Z1024" s="32"/>
      <c r="AA1024" s="30">
        <f t="shared" si="343"/>
        <v>27.804410354745926</v>
      </c>
      <c r="AB1024" s="28">
        <f t="shared" si="344"/>
        <v>0.79029039455421024</v>
      </c>
      <c r="AC1024" s="28">
        <f t="shared" si="345"/>
        <v>0.10964912280701754</v>
      </c>
      <c r="AD1024" s="29">
        <f t="shared" si="346"/>
        <v>962.99810246679328</v>
      </c>
      <c r="AE1024" s="28">
        <f t="shared" si="347"/>
        <v>0.10964912280701754</v>
      </c>
      <c r="AF1024" s="28">
        <f t="shared" si="348"/>
        <v>0</v>
      </c>
      <c r="AG1024" s="28">
        <f t="shared" si="349"/>
        <v>0</v>
      </c>
      <c r="AI1024" s="31">
        <f t="shared" si="350"/>
        <v>4.7736287721125255</v>
      </c>
      <c r="AJ1024" s="25"/>
      <c r="AK1024" s="31"/>
      <c r="AM1024" s="27"/>
    </row>
    <row r="1025" spans="4:39" x14ac:dyDescent="0.25">
      <c r="D1025" s="25">
        <f>E1025*'Profit per cycles Model'!$I$113</f>
        <v>10160</v>
      </c>
      <c r="E1025" s="25">
        <v>27.831803862484591</v>
      </c>
      <c r="F1025" s="28">
        <f t="shared" si="331"/>
        <v>9.8425196850393706E-2</v>
      </c>
      <c r="G1025" s="28">
        <f>'Battery Pricing Model'!$C$17/D1025</f>
        <v>9.8425196850393706E-2</v>
      </c>
      <c r="H1025" s="28">
        <f t="shared" si="332"/>
        <v>999</v>
      </c>
      <c r="I1025" s="28"/>
      <c r="J1025" s="34">
        <f>INDEX('Profit per cycles Model'!$I$149:$I$179, MATCH(TRUNC(E1025, 0), 'Profit per cycles Model'!$H$149:$H$179, 0))</f>
        <v>0.79029039455421024</v>
      </c>
      <c r="K1025" s="27">
        <f>AVERAGE($J$10:J2025)</f>
        <v>0.56883042089778579</v>
      </c>
      <c r="L1025" s="28">
        <f t="shared" si="333"/>
        <v>0.4704052240473921</v>
      </c>
      <c r="M1025" s="28">
        <f t="shared" si="334"/>
        <v>0.4704052240473921</v>
      </c>
      <c r="N1025" s="28">
        <f t="shared" si="335"/>
        <v>999</v>
      </c>
      <c r="O1025" s="28"/>
      <c r="P1025" s="29">
        <f t="shared" si="351"/>
        <v>1.0159999999999989</v>
      </c>
      <c r="Q1025" s="33">
        <f t="shared" si="336"/>
        <v>6.7114093959731544</v>
      </c>
      <c r="R1025" s="33">
        <f t="shared" si="337"/>
        <v>6.7114093959731544</v>
      </c>
      <c r="S1025" s="33">
        <f t="shared" si="338"/>
        <v>-1</v>
      </c>
      <c r="T1025" s="27"/>
      <c r="U1025" s="28">
        <f t="shared" si="339"/>
        <v>0.10964912280701754</v>
      </c>
      <c r="V1025" s="25">
        <f t="shared" si="340"/>
        <v>999</v>
      </c>
      <c r="W1025" s="35">
        <f t="shared" si="352"/>
        <v>25</v>
      </c>
      <c r="X1025" s="33">
        <f t="shared" si="341"/>
        <v>25</v>
      </c>
      <c r="Y1025" s="32">
        <f t="shared" si="342"/>
        <v>-1</v>
      </c>
      <c r="Z1025" s="32"/>
      <c r="AA1025" s="30">
        <f t="shared" si="343"/>
        <v>27.831803862484591</v>
      </c>
      <c r="AB1025" s="28">
        <f t="shared" si="344"/>
        <v>0.79029039455421024</v>
      </c>
      <c r="AC1025" s="28">
        <f t="shared" si="345"/>
        <v>0.10964912280701754</v>
      </c>
      <c r="AD1025" s="29">
        <f t="shared" si="346"/>
        <v>963.94686907020878</v>
      </c>
      <c r="AE1025" s="28">
        <f t="shared" si="347"/>
        <v>0.10964912280701754</v>
      </c>
      <c r="AF1025" s="28">
        <f t="shared" si="348"/>
        <v>0</v>
      </c>
      <c r="AG1025" s="28">
        <f t="shared" si="349"/>
        <v>0</v>
      </c>
      <c r="AI1025" s="31">
        <f t="shared" si="350"/>
        <v>4.7793170763215036</v>
      </c>
      <c r="AJ1025" s="25"/>
      <c r="AK1025" s="31"/>
      <c r="AM1025" s="27"/>
    </row>
    <row r="1026" spans="4:39" x14ac:dyDescent="0.25">
      <c r="D1026" s="25">
        <f>E1026*'Profit per cycles Model'!$I$113</f>
        <v>10170</v>
      </c>
      <c r="E1026" s="25">
        <v>27.859197370223256</v>
      </c>
      <c r="F1026" s="28">
        <f t="shared" si="331"/>
        <v>9.8328416912487712E-2</v>
      </c>
      <c r="G1026" s="28">
        <f>'Battery Pricing Model'!$C$17/D1026</f>
        <v>9.8328416912487712E-2</v>
      </c>
      <c r="H1026" s="28">
        <f t="shared" si="332"/>
        <v>999</v>
      </c>
      <c r="I1026" s="28"/>
      <c r="J1026" s="34">
        <f>INDEX('Profit per cycles Model'!$I$149:$I$179, MATCH(TRUNC(E1026, 0), 'Profit per cycles Model'!$H$149:$H$179, 0))</f>
        <v>0.79029039455421024</v>
      </c>
      <c r="K1026" s="27">
        <f>AVERAGE($J$10:J2026)</f>
        <v>0.56883042089778579</v>
      </c>
      <c r="L1026" s="28">
        <f t="shared" si="333"/>
        <v>0.47050200398529807</v>
      </c>
      <c r="M1026" s="28">
        <f t="shared" si="334"/>
        <v>0.47050200398529807</v>
      </c>
      <c r="N1026" s="28">
        <f t="shared" si="335"/>
        <v>999</v>
      </c>
      <c r="O1026" s="28"/>
      <c r="P1026" s="29">
        <f t="shared" si="351"/>
        <v>1.0169999999999988</v>
      </c>
      <c r="Q1026" s="33">
        <f t="shared" si="336"/>
        <v>6.7114093959731544</v>
      </c>
      <c r="R1026" s="33">
        <f t="shared" si="337"/>
        <v>6.7114093959731544</v>
      </c>
      <c r="S1026" s="33">
        <f t="shared" si="338"/>
        <v>-1</v>
      </c>
      <c r="T1026" s="27"/>
      <c r="U1026" s="28">
        <f t="shared" si="339"/>
        <v>0.10964912280701754</v>
      </c>
      <c r="V1026" s="25">
        <f t="shared" si="340"/>
        <v>999</v>
      </c>
      <c r="W1026" s="35">
        <f t="shared" si="352"/>
        <v>25</v>
      </c>
      <c r="X1026" s="33">
        <f t="shared" si="341"/>
        <v>25</v>
      </c>
      <c r="Y1026" s="32">
        <f t="shared" si="342"/>
        <v>-1</v>
      </c>
      <c r="Z1026" s="32"/>
      <c r="AA1026" s="30">
        <f t="shared" si="343"/>
        <v>27.859197370223256</v>
      </c>
      <c r="AB1026" s="28">
        <f t="shared" si="344"/>
        <v>0.79029039455421024</v>
      </c>
      <c r="AC1026" s="28">
        <f t="shared" si="345"/>
        <v>0.10964912280701754</v>
      </c>
      <c r="AD1026" s="29">
        <f t="shared" si="346"/>
        <v>964.89563567362438</v>
      </c>
      <c r="AE1026" s="28">
        <f t="shared" si="347"/>
        <v>0.10964912280701754</v>
      </c>
      <c r="AF1026" s="28">
        <f t="shared" si="348"/>
        <v>0</v>
      </c>
      <c r="AG1026" s="28">
        <f t="shared" si="349"/>
        <v>0</v>
      </c>
      <c r="AI1026" s="31">
        <f t="shared" si="350"/>
        <v>4.7850053805304809</v>
      </c>
      <c r="AJ1026" s="25"/>
      <c r="AK1026" s="31"/>
      <c r="AM1026" s="27"/>
    </row>
    <row r="1027" spans="4:39" x14ac:dyDescent="0.25">
      <c r="D1027" s="25">
        <f>E1027*'Profit per cycles Model'!$I$113</f>
        <v>10180</v>
      </c>
      <c r="E1027" s="25">
        <v>27.886590877961922</v>
      </c>
      <c r="F1027" s="28">
        <f t="shared" si="331"/>
        <v>9.8231827111984277E-2</v>
      </c>
      <c r="G1027" s="28">
        <f>'Battery Pricing Model'!$C$17/D1027</f>
        <v>9.8231827111984277E-2</v>
      </c>
      <c r="H1027" s="28">
        <f t="shared" si="332"/>
        <v>999</v>
      </c>
      <c r="I1027" s="28"/>
      <c r="J1027" s="34">
        <f>INDEX('Profit per cycles Model'!$I$149:$I$179, MATCH(TRUNC(E1027, 0), 'Profit per cycles Model'!$H$149:$H$179, 0))</f>
        <v>0.79029039455421024</v>
      </c>
      <c r="K1027" s="27">
        <f>AVERAGE($J$10:J2027)</f>
        <v>0.56883042089778579</v>
      </c>
      <c r="L1027" s="28">
        <f t="shared" si="333"/>
        <v>0.47059859378580149</v>
      </c>
      <c r="M1027" s="28">
        <f t="shared" si="334"/>
        <v>0.47059859378580149</v>
      </c>
      <c r="N1027" s="28">
        <f t="shared" si="335"/>
        <v>999</v>
      </c>
      <c r="O1027" s="28"/>
      <c r="P1027" s="29">
        <f t="shared" si="351"/>
        <v>1.0179999999999987</v>
      </c>
      <c r="Q1027" s="33">
        <f t="shared" si="336"/>
        <v>6.7114093959731544</v>
      </c>
      <c r="R1027" s="33">
        <f t="shared" si="337"/>
        <v>6.7114093959731544</v>
      </c>
      <c r="S1027" s="33">
        <f t="shared" si="338"/>
        <v>-1</v>
      </c>
      <c r="T1027" s="27"/>
      <c r="U1027" s="28">
        <f t="shared" si="339"/>
        <v>0.10964912280701754</v>
      </c>
      <c r="V1027" s="25">
        <f t="shared" si="340"/>
        <v>999</v>
      </c>
      <c r="W1027" s="35">
        <f t="shared" si="352"/>
        <v>25</v>
      </c>
      <c r="X1027" s="33">
        <f t="shared" si="341"/>
        <v>25</v>
      </c>
      <c r="Y1027" s="32">
        <f t="shared" si="342"/>
        <v>-1</v>
      </c>
      <c r="Z1027" s="32"/>
      <c r="AA1027" s="30">
        <f t="shared" si="343"/>
        <v>27.886590877961922</v>
      </c>
      <c r="AB1027" s="28">
        <f t="shared" si="344"/>
        <v>0.79029039455421024</v>
      </c>
      <c r="AC1027" s="28">
        <f t="shared" si="345"/>
        <v>0.10964912280701754</v>
      </c>
      <c r="AD1027" s="29">
        <f t="shared" si="346"/>
        <v>965.84440227703976</v>
      </c>
      <c r="AE1027" s="28">
        <f t="shared" si="347"/>
        <v>0.10964912280701754</v>
      </c>
      <c r="AF1027" s="28">
        <f t="shared" si="348"/>
        <v>0</v>
      </c>
      <c r="AG1027" s="28">
        <f t="shared" si="349"/>
        <v>0</v>
      </c>
      <c r="AI1027" s="31">
        <f t="shared" si="350"/>
        <v>4.7906936847394599</v>
      </c>
      <c r="AJ1027" s="25"/>
      <c r="AK1027" s="31"/>
      <c r="AM1027" s="27"/>
    </row>
    <row r="1028" spans="4:39" x14ac:dyDescent="0.25">
      <c r="D1028" s="25">
        <f>E1028*'Profit per cycles Model'!$I$113</f>
        <v>10190</v>
      </c>
      <c r="E1028" s="25">
        <v>27.913984385700587</v>
      </c>
      <c r="F1028" s="28">
        <f t="shared" si="331"/>
        <v>9.8135426889106966E-2</v>
      </c>
      <c r="G1028" s="28">
        <f>'Battery Pricing Model'!$C$17/D1028</f>
        <v>9.8135426889106966E-2</v>
      </c>
      <c r="H1028" s="28">
        <f t="shared" si="332"/>
        <v>999</v>
      </c>
      <c r="I1028" s="28"/>
      <c r="J1028" s="34">
        <f>INDEX('Profit per cycles Model'!$I$149:$I$179, MATCH(TRUNC(E1028, 0), 'Profit per cycles Model'!$H$149:$H$179, 0))</f>
        <v>0.79029039455421024</v>
      </c>
      <c r="K1028" s="27">
        <f>AVERAGE($J$10:J2028)</f>
        <v>0.56883042089778579</v>
      </c>
      <c r="L1028" s="28">
        <f t="shared" si="333"/>
        <v>0.47069499400867881</v>
      </c>
      <c r="M1028" s="28">
        <f t="shared" si="334"/>
        <v>0.47069499400867881</v>
      </c>
      <c r="N1028" s="28">
        <f t="shared" si="335"/>
        <v>999</v>
      </c>
      <c r="O1028" s="28"/>
      <c r="P1028" s="29">
        <f t="shared" si="351"/>
        <v>1.0189999999999986</v>
      </c>
      <c r="Q1028" s="33">
        <f t="shared" si="336"/>
        <v>6.7114093959731544</v>
      </c>
      <c r="R1028" s="33">
        <f t="shared" si="337"/>
        <v>6.7114093959731544</v>
      </c>
      <c r="S1028" s="33">
        <f t="shared" si="338"/>
        <v>-1</v>
      </c>
      <c r="T1028" s="27"/>
      <c r="U1028" s="28">
        <f t="shared" si="339"/>
        <v>0.10964912280701754</v>
      </c>
      <c r="V1028" s="25">
        <f t="shared" si="340"/>
        <v>999</v>
      </c>
      <c r="W1028" s="35">
        <f t="shared" si="352"/>
        <v>25</v>
      </c>
      <c r="X1028" s="33">
        <f t="shared" si="341"/>
        <v>25</v>
      </c>
      <c r="Y1028" s="32">
        <f t="shared" si="342"/>
        <v>-1</v>
      </c>
      <c r="Z1028" s="32"/>
      <c r="AA1028" s="30">
        <f t="shared" si="343"/>
        <v>27.913984385700587</v>
      </c>
      <c r="AB1028" s="28">
        <f t="shared" si="344"/>
        <v>0.79029039455421024</v>
      </c>
      <c r="AC1028" s="28">
        <f t="shared" si="345"/>
        <v>0.10964912280701754</v>
      </c>
      <c r="AD1028" s="29">
        <f t="shared" si="346"/>
        <v>966.79316888045537</v>
      </c>
      <c r="AE1028" s="28">
        <f t="shared" si="347"/>
        <v>0.10964912280701754</v>
      </c>
      <c r="AF1028" s="28">
        <f t="shared" si="348"/>
        <v>0</v>
      </c>
      <c r="AG1028" s="28">
        <f t="shared" si="349"/>
        <v>0</v>
      </c>
      <c r="AI1028" s="31">
        <f t="shared" si="350"/>
        <v>4.7963819889484371</v>
      </c>
      <c r="AJ1028" s="25"/>
      <c r="AK1028" s="31"/>
      <c r="AM1028" s="27"/>
    </row>
    <row r="1029" spans="4:39" x14ac:dyDescent="0.25">
      <c r="D1029" s="25">
        <f>E1029*'Profit per cycles Model'!$I$113</f>
        <v>10200</v>
      </c>
      <c r="E1029" s="25">
        <v>27.941377893439252</v>
      </c>
      <c r="F1029" s="28">
        <f t="shared" si="331"/>
        <v>9.8039215686274508E-2</v>
      </c>
      <c r="G1029" s="28">
        <f>'Battery Pricing Model'!$C$17/D1029</f>
        <v>9.8039215686274508E-2</v>
      </c>
      <c r="H1029" s="28">
        <f t="shared" si="332"/>
        <v>999</v>
      </c>
      <c r="I1029" s="28"/>
      <c r="J1029" s="34">
        <f>INDEX('Profit per cycles Model'!$I$149:$I$179, MATCH(TRUNC(E1029, 0), 'Profit per cycles Model'!$H$149:$H$179, 0))</f>
        <v>0.79029039455421024</v>
      </c>
      <c r="K1029" s="27">
        <f>AVERAGE($J$10:J2029)</f>
        <v>0.56883042089778579</v>
      </c>
      <c r="L1029" s="28">
        <f t="shared" si="333"/>
        <v>0.4707912052115113</v>
      </c>
      <c r="M1029" s="28">
        <f t="shared" si="334"/>
        <v>0.4707912052115113</v>
      </c>
      <c r="N1029" s="28">
        <f t="shared" si="335"/>
        <v>999</v>
      </c>
      <c r="O1029" s="28"/>
      <c r="P1029" s="29">
        <f t="shared" si="351"/>
        <v>1.0199999999999985</v>
      </c>
      <c r="Q1029" s="33">
        <f t="shared" si="336"/>
        <v>6.7114093959731544</v>
      </c>
      <c r="R1029" s="33">
        <f t="shared" si="337"/>
        <v>6.7114093959731544</v>
      </c>
      <c r="S1029" s="33">
        <f t="shared" si="338"/>
        <v>-1</v>
      </c>
      <c r="T1029" s="27"/>
      <c r="U1029" s="28">
        <f t="shared" si="339"/>
        <v>0.10964912280701754</v>
      </c>
      <c r="V1029" s="25">
        <f t="shared" si="340"/>
        <v>999</v>
      </c>
      <c r="W1029" s="35">
        <f t="shared" si="352"/>
        <v>25</v>
      </c>
      <c r="X1029" s="33">
        <f t="shared" si="341"/>
        <v>25</v>
      </c>
      <c r="Y1029" s="32">
        <f t="shared" si="342"/>
        <v>-1</v>
      </c>
      <c r="Z1029" s="32"/>
      <c r="AA1029" s="30">
        <f t="shared" si="343"/>
        <v>27.941377893439252</v>
      </c>
      <c r="AB1029" s="28">
        <f t="shared" si="344"/>
        <v>0.79029039455421024</v>
      </c>
      <c r="AC1029" s="28">
        <f t="shared" si="345"/>
        <v>0.10964912280701754</v>
      </c>
      <c r="AD1029" s="29">
        <f t="shared" si="346"/>
        <v>967.74193548387098</v>
      </c>
      <c r="AE1029" s="28">
        <f t="shared" si="347"/>
        <v>0.10964912280701754</v>
      </c>
      <c r="AF1029" s="28">
        <f t="shared" si="348"/>
        <v>0</v>
      </c>
      <c r="AG1029" s="28">
        <f t="shared" si="349"/>
        <v>0</v>
      </c>
      <c r="AI1029" s="31">
        <f t="shared" si="350"/>
        <v>4.8020702931574153</v>
      </c>
      <c r="AJ1029" s="25"/>
      <c r="AK1029" s="31"/>
      <c r="AM1029" s="27"/>
    </row>
    <row r="1030" spans="4:39" x14ac:dyDescent="0.25">
      <c r="D1030" s="25">
        <f>E1030*'Profit per cycles Model'!$I$113</f>
        <v>10210</v>
      </c>
      <c r="E1030" s="25">
        <v>27.968771401177921</v>
      </c>
      <c r="F1030" s="28">
        <f t="shared" si="331"/>
        <v>9.7943192948090105E-2</v>
      </c>
      <c r="G1030" s="28">
        <f>'Battery Pricing Model'!$C$17/D1030</f>
        <v>9.7943192948090105E-2</v>
      </c>
      <c r="H1030" s="28">
        <f t="shared" si="332"/>
        <v>999</v>
      </c>
      <c r="I1030" s="28"/>
      <c r="J1030" s="34">
        <f>INDEX('Profit per cycles Model'!$I$149:$I$179, MATCH(TRUNC(E1030, 0), 'Profit per cycles Model'!$H$149:$H$179, 0))</f>
        <v>0.79029039455421024</v>
      </c>
      <c r="K1030" s="27">
        <f>AVERAGE($J$10:J2030)</f>
        <v>0.56883042089778579</v>
      </c>
      <c r="L1030" s="28">
        <f t="shared" si="333"/>
        <v>0.47088722794969567</v>
      </c>
      <c r="M1030" s="28">
        <f t="shared" si="334"/>
        <v>0.47088722794969567</v>
      </c>
      <c r="N1030" s="28">
        <f t="shared" si="335"/>
        <v>999</v>
      </c>
      <c r="O1030" s="28"/>
      <c r="P1030" s="29">
        <f t="shared" si="351"/>
        <v>1.0209999999999984</v>
      </c>
      <c r="Q1030" s="33">
        <f t="shared" si="336"/>
        <v>6.7114093959731544</v>
      </c>
      <c r="R1030" s="33">
        <f t="shared" si="337"/>
        <v>6.7114093959731544</v>
      </c>
      <c r="S1030" s="33">
        <f t="shared" si="338"/>
        <v>-1</v>
      </c>
      <c r="T1030" s="27"/>
      <c r="U1030" s="28">
        <f t="shared" si="339"/>
        <v>0.10964912280701754</v>
      </c>
      <c r="V1030" s="25">
        <f t="shared" si="340"/>
        <v>999</v>
      </c>
      <c r="W1030" s="35">
        <f t="shared" si="352"/>
        <v>25</v>
      </c>
      <c r="X1030" s="33">
        <f t="shared" si="341"/>
        <v>25</v>
      </c>
      <c r="Y1030" s="32">
        <f t="shared" si="342"/>
        <v>-1</v>
      </c>
      <c r="Z1030" s="32"/>
      <c r="AA1030" s="30">
        <f t="shared" si="343"/>
        <v>27.968771401177921</v>
      </c>
      <c r="AB1030" s="28">
        <f t="shared" si="344"/>
        <v>0.79029039455421024</v>
      </c>
      <c r="AC1030" s="28">
        <f t="shared" si="345"/>
        <v>0.10964912280701754</v>
      </c>
      <c r="AD1030" s="29">
        <f t="shared" si="346"/>
        <v>968.69070208728658</v>
      </c>
      <c r="AE1030" s="28">
        <f t="shared" si="347"/>
        <v>0.10964912280701754</v>
      </c>
      <c r="AF1030" s="28">
        <f t="shared" si="348"/>
        <v>0</v>
      </c>
      <c r="AG1030" s="28">
        <f t="shared" si="349"/>
        <v>0</v>
      </c>
      <c r="AI1030" s="31">
        <f t="shared" si="350"/>
        <v>4.8077585973663926</v>
      </c>
      <c r="AJ1030" s="25"/>
      <c r="AK1030" s="31"/>
      <c r="AM1030" s="27"/>
    </row>
    <row r="1031" spans="4:39" x14ac:dyDescent="0.25">
      <c r="D1031" s="25">
        <f>E1031*'Profit per cycles Model'!$I$113</f>
        <v>10220</v>
      </c>
      <c r="E1031" s="25">
        <v>27.996164908916587</v>
      </c>
      <c r="F1031" s="28">
        <f t="shared" si="331"/>
        <v>9.7847358121330719E-2</v>
      </c>
      <c r="G1031" s="28">
        <f>'Battery Pricing Model'!$C$17/D1031</f>
        <v>9.7847358121330719E-2</v>
      </c>
      <c r="H1031" s="28">
        <f t="shared" si="332"/>
        <v>999</v>
      </c>
      <c r="I1031" s="28"/>
      <c r="J1031" s="34">
        <f>INDEX('Profit per cycles Model'!$I$149:$I$179, MATCH(TRUNC(E1031, 0), 'Profit per cycles Model'!$H$149:$H$179, 0))</f>
        <v>0.79029039455421024</v>
      </c>
      <c r="K1031" s="27">
        <f>AVERAGE($J$10:J2031)</f>
        <v>0.56883042089778579</v>
      </c>
      <c r="L1031" s="28">
        <f t="shared" si="333"/>
        <v>0.47098306277645507</v>
      </c>
      <c r="M1031" s="28">
        <f t="shared" si="334"/>
        <v>0.47098306277645507</v>
      </c>
      <c r="N1031" s="28">
        <f t="shared" si="335"/>
        <v>999</v>
      </c>
      <c r="O1031" s="28"/>
      <c r="P1031" s="29">
        <f t="shared" si="351"/>
        <v>1.0219999999999982</v>
      </c>
      <c r="Q1031" s="33">
        <f t="shared" si="336"/>
        <v>6.7114093959731544</v>
      </c>
      <c r="R1031" s="33">
        <f t="shared" si="337"/>
        <v>6.7114093959731544</v>
      </c>
      <c r="S1031" s="33">
        <f t="shared" si="338"/>
        <v>-1</v>
      </c>
      <c r="T1031" s="27"/>
      <c r="U1031" s="28">
        <f t="shared" si="339"/>
        <v>0.10964912280701754</v>
      </c>
      <c r="V1031" s="25">
        <f t="shared" si="340"/>
        <v>999</v>
      </c>
      <c r="W1031" s="35">
        <f t="shared" si="352"/>
        <v>25</v>
      </c>
      <c r="X1031" s="33">
        <f t="shared" si="341"/>
        <v>25</v>
      </c>
      <c r="Y1031" s="32">
        <f t="shared" si="342"/>
        <v>-1</v>
      </c>
      <c r="Z1031" s="32"/>
      <c r="AA1031" s="30">
        <f t="shared" si="343"/>
        <v>27.996164908916587</v>
      </c>
      <c r="AB1031" s="28">
        <f t="shared" si="344"/>
        <v>0.79029039455421024</v>
      </c>
      <c r="AC1031" s="28">
        <f t="shared" si="345"/>
        <v>0.10964912280701754</v>
      </c>
      <c r="AD1031" s="29">
        <f t="shared" si="346"/>
        <v>969.63946869070219</v>
      </c>
      <c r="AE1031" s="28">
        <f t="shared" si="347"/>
        <v>0.10964912280701754</v>
      </c>
      <c r="AF1031" s="28">
        <f t="shared" si="348"/>
        <v>0</v>
      </c>
      <c r="AG1031" s="28">
        <f t="shared" si="349"/>
        <v>0</v>
      </c>
      <c r="AI1031" s="31">
        <f t="shared" si="350"/>
        <v>4.8134469015753707</v>
      </c>
      <c r="AJ1031" s="25"/>
      <c r="AK1031" s="31"/>
      <c r="AM1031" s="27"/>
    </row>
    <row r="1032" spans="4:39" x14ac:dyDescent="0.25">
      <c r="D1032" s="25">
        <f>E1032*'Profit per cycles Model'!$I$113</f>
        <v>10230</v>
      </c>
      <c r="E1032" s="25">
        <v>28.023558416655252</v>
      </c>
      <c r="F1032" s="28">
        <f t="shared" si="331"/>
        <v>9.7751710654936458E-2</v>
      </c>
      <c r="G1032" s="28">
        <f>'Battery Pricing Model'!$C$17/D1032</f>
        <v>9.7751710654936458E-2</v>
      </c>
      <c r="H1032" s="28">
        <f t="shared" si="332"/>
        <v>999</v>
      </c>
      <c r="I1032" s="28"/>
      <c r="J1032" s="34">
        <f>INDEX('Profit per cycles Model'!$I$149:$I$179, MATCH(TRUNC(E1032, 0), 'Profit per cycles Model'!$H$149:$H$179, 0))</f>
        <v>0.81157706618277137</v>
      </c>
      <c r="K1032" s="27">
        <f>AVERAGE($J$10:J2032)</f>
        <v>0.56883042089778579</v>
      </c>
      <c r="L1032" s="28">
        <f t="shared" si="333"/>
        <v>0.47107871024284931</v>
      </c>
      <c r="M1032" s="28">
        <f t="shared" si="334"/>
        <v>0.47107871024284931</v>
      </c>
      <c r="N1032" s="28">
        <f t="shared" si="335"/>
        <v>999</v>
      </c>
      <c r="O1032" s="28"/>
      <c r="P1032" s="29">
        <f t="shared" si="351"/>
        <v>1.0229999999999981</v>
      </c>
      <c r="Q1032" s="33">
        <f t="shared" si="336"/>
        <v>6.7114093959731544</v>
      </c>
      <c r="R1032" s="33">
        <f t="shared" si="337"/>
        <v>6.7114093959731544</v>
      </c>
      <c r="S1032" s="33">
        <f t="shared" si="338"/>
        <v>-1</v>
      </c>
      <c r="T1032" s="27"/>
      <c r="U1032" s="28">
        <f t="shared" si="339"/>
        <v>0.10964912280701754</v>
      </c>
      <c r="V1032" s="25">
        <f t="shared" si="340"/>
        <v>999</v>
      </c>
      <c r="W1032" s="35">
        <f t="shared" si="352"/>
        <v>25</v>
      </c>
      <c r="X1032" s="33">
        <f t="shared" si="341"/>
        <v>25</v>
      </c>
      <c r="Y1032" s="32">
        <f t="shared" si="342"/>
        <v>-1</v>
      </c>
      <c r="Z1032" s="32"/>
      <c r="AA1032" s="30">
        <f t="shared" si="343"/>
        <v>28.023558416655252</v>
      </c>
      <c r="AB1032" s="28">
        <f t="shared" si="344"/>
        <v>0.81157706618277137</v>
      </c>
      <c r="AC1032" s="28">
        <f t="shared" si="345"/>
        <v>0.10964912280701754</v>
      </c>
      <c r="AD1032" s="29">
        <f t="shared" si="346"/>
        <v>970.58823529411768</v>
      </c>
      <c r="AE1032" s="28">
        <f t="shared" si="347"/>
        <v>0.10964912280701754</v>
      </c>
      <c r="AF1032" s="28">
        <f t="shared" si="348"/>
        <v>0</v>
      </c>
      <c r="AG1032" s="28">
        <f t="shared" si="349"/>
        <v>0</v>
      </c>
      <c r="AI1032" s="31">
        <f t="shared" si="350"/>
        <v>4.8191352057843488</v>
      </c>
      <c r="AJ1032" s="25"/>
      <c r="AK1032" s="31"/>
      <c r="AM1032" s="27"/>
    </row>
    <row r="1033" spans="4:39" x14ac:dyDescent="0.25">
      <c r="D1033" s="25">
        <f>E1033*'Profit per cycles Model'!$I$113</f>
        <v>10240</v>
      </c>
      <c r="E1033" s="25">
        <v>28.050951924393917</v>
      </c>
      <c r="F1033" s="28">
        <f t="shared" si="331"/>
        <v>9.765625E-2</v>
      </c>
      <c r="G1033" s="28">
        <f>'Battery Pricing Model'!$C$17/D1033</f>
        <v>9.765625E-2</v>
      </c>
      <c r="H1033" s="28">
        <f t="shared" si="332"/>
        <v>999</v>
      </c>
      <c r="I1033" s="28"/>
      <c r="J1033" s="34">
        <f>INDEX('Profit per cycles Model'!$I$149:$I$179, MATCH(TRUNC(E1033, 0), 'Profit per cycles Model'!$H$149:$H$179, 0))</f>
        <v>0.81157706618277137</v>
      </c>
      <c r="K1033" s="27">
        <f>AVERAGE($J$10:J2033)</f>
        <v>0.56883042089778579</v>
      </c>
      <c r="L1033" s="28">
        <f t="shared" si="333"/>
        <v>0.47117417089778579</v>
      </c>
      <c r="M1033" s="28">
        <f t="shared" si="334"/>
        <v>0.47117417089778579</v>
      </c>
      <c r="N1033" s="28">
        <f t="shared" si="335"/>
        <v>999</v>
      </c>
      <c r="O1033" s="28"/>
      <c r="P1033" s="29">
        <f t="shared" si="351"/>
        <v>1.023999999999998</v>
      </c>
      <c r="Q1033" s="33">
        <f t="shared" si="336"/>
        <v>6.7114093959731544</v>
      </c>
      <c r="R1033" s="33">
        <f t="shared" si="337"/>
        <v>6.7114093959731544</v>
      </c>
      <c r="S1033" s="33">
        <f t="shared" si="338"/>
        <v>-1</v>
      </c>
      <c r="T1033" s="27"/>
      <c r="U1033" s="28">
        <f t="shared" si="339"/>
        <v>0.10964912280701754</v>
      </c>
      <c r="V1033" s="25">
        <f t="shared" si="340"/>
        <v>999</v>
      </c>
      <c r="W1033" s="35">
        <f t="shared" si="352"/>
        <v>25</v>
      </c>
      <c r="X1033" s="33">
        <f t="shared" si="341"/>
        <v>25</v>
      </c>
      <c r="Y1033" s="32">
        <f t="shared" si="342"/>
        <v>-1</v>
      </c>
      <c r="Z1033" s="32"/>
      <c r="AA1033" s="30">
        <f t="shared" si="343"/>
        <v>28.050951924393917</v>
      </c>
      <c r="AB1033" s="28">
        <f t="shared" si="344"/>
        <v>0.81157706618277137</v>
      </c>
      <c r="AC1033" s="28">
        <f t="shared" si="345"/>
        <v>0.10964912280701754</v>
      </c>
      <c r="AD1033" s="29">
        <f t="shared" si="346"/>
        <v>971.53700189753317</v>
      </c>
      <c r="AE1033" s="28">
        <f t="shared" si="347"/>
        <v>0.10964912280701754</v>
      </c>
      <c r="AF1033" s="28">
        <f t="shared" si="348"/>
        <v>0</v>
      </c>
      <c r="AG1033" s="28">
        <f t="shared" si="349"/>
        <v>0</v>
      </c>
      <c r="AI1033" s="31">
        <f t="shared" si="350"/>
        <v>4.8248235099933261</v>
      </c>
      <c r="AJ1033" s="25"/>
      <c r="AK1033" s="31"/>
      <c r="AM1033" s="27"/>
    </row>
    <row r="1034" spans="4:39" x14ac:dyDescent="0.25">
      <c r="D1034" s="25">
        <f>E1034*'Profit per cycles Model'!$I$113</f>
        <v>10250</v>
      </c>
      <c r="E1034" s="25">
        <v>28.078345432132583</v>
      </c>
      <c r="F1034" s="28">
        <f t="shared" ref="F1034:F1063" si="353">IF(OR($H$6="None", $H$6=0), G1034, H1034)</f>
        <v>9.7560975609756101E-2</v>
      </c>
      <c r="G1034" s="28">
        <f>'Battery Pricing Model'!$C$17/D1034</f>
        <v>9.7560975609756101E-2</v>
      </c>
      <c r="H1034" s="28">
        <f t="shared" ref="H1034:H1063" si="354">IF(OR($H$6="None", $H$6=0), 999, $G1034*(H$6))</f>
        <v>999</v>
      </c>
      <c r="I1034" s="28"/>
      <c r="J1034" s="34">
        <f>INDEX('Profit per cycles Model'!$I$149:$I$179, MATCH(TRUNC(E1034, 0), 'Profit per cycles Model'!$H$149:$H$179, 0))</f>
        <v>0.81157706618277137</v>
      </c>
      <c r="K1034" s="27">
        <f>AVERAGE($J$10:J2034)</f>
        <v>0.56883042089778579</v>
      </c>
      <c r="L1034" s="28">
        <f t="shared" ref="L1034:L1063" si="355">IF(K1034-F1034&lt;0, 999, K1034-F1034)</f>
        <v>0.47126944528802972</v>
      </c>
      <c r="M1034" s="28">
        <f t="shared" ref="M1034:M1063" si="356">IF(K1034-F1034&lt;0, 999, K1034-F1034)</f>
        <v>0.47126944528802972</v>
      </c>
      <c r="N1034" s="28">
        <f t="shared" ref="N1034:N1063" si="357">IF(K1034-H1034&lt;0, 999, K1034-H1034)</f>
        <v>999</v>
      </c>
      <c r="O1034" s="28"/>
      <c r="P1034" s="29">
        <f t="shared" si="351"/>
        <v>1.0249999999999979</v>
      </c>
      <c r="Q1034" s="33">
        <f t="shared" ref="Q1034:Q1063" si="358">$L$5</f>
        <v>6.7114093959731544</v>
      </c>
      <c r="R1034" s="33">
        <f t="shared" ref="R1034:R1063" si="359">$M$5</f>
        <v>6.7114093959731544</v>
      </c>
      <c r="S1034" s="33">
        <f t="shared" ref="S1034:S1063" si="360">$N$5</f>
        <v>-1</v>
      </c>
      <c r="T1034" s="27"/>
      <c r="U1034" s="28">
        <f t="shared" ref="U1034:U1063" si="361">IF(ISNA(INDEX($F$10:$F$1063,MATCH(W1034,$E$10:$E$1063,1))),-1,INDEX($F$10:$F$1063,MATCH(W1034,$E$10:$E$1063,1)))</f>
        <v>0.10964912280701754</v>
      </c>
      <c r="V1034" s="25">
        <f t="shared" ref="V1034:V1063" si="362">IF(ISNA(INDEX($H$10:$H$1063, MATCH(X1034, $E$10:$E$1063,1))),-1,  INDEX($H$10:$H$1063, MATCH(X1034, $E$10:$E$1063,1)))</f>
        <v>999</v>
      </c>
      <c r="W1034" s="35">
        <f t="shared" si="352"/>
        <v>25</v>
      </c>
      <c r="X1034" s="33">
        <f t="shared" ref="X1034:X1063" si="363">IF(PaybackCustom&gt;0, IF(PaybackCustom&lt;&gt;"Default", PaybackCustom, IF(PaybackStatus&lt;&gt;"",INDEX($Y$2:$Y$6,MATCH(PaybackStatus,$X$2:$X$6,FALSE)),-1)))</f>
        <v>25</v>
      </c>
      <c r="Y1034" s="32">
        <f t="shared" ref="Y1034:Y1063" si="364">IF(PaybackStatus&lt;&gt;"",IF(PaybackStatus=$X$4,IF(X1034&lt;=$Y$4,$Y$4,-1), -1), -1)</f>
        <v>-1</v>
      </c>
      <c r="Z1034" s="32"/>
      <c r="AA1034" s="30">
        <f t="shared" ref="AA1034:AA1065" si="365">E1034</f>
        <v>28.078345432132583</v>
      </c>
      <c r="AB1034" s="28">
        <f t="shared" ref="AB1034:AB1063" si="366">J1034</f>
        <v>0.81157706618277137</v>
      </c>
      <c r="AC1034" s="28">
        <f t="shared" ref="AC1034:AC1063" si="367">U1034</f>
        <v>0.10964912280701754</v>
      </c>
      <c r="AD1034" s="29">
        <f t="shared" ref="AD1034:AD1063" si="368">$AC$2*(AA1034-$AC$3)/($AC$4-$AC$3)</f>
        <v>972.48576850094878</v>
      </c>
      <c r="AE1034" s="28">
        <f t="shared" ref="AE1034:AE1063" si="369">MIN(AC1034, AB1034)</f>
        <v>0.10964912280701754</v>
      </c>
      <c r="AF1034" s="28">
        <f t="shared" ref="AF1034:AF1063" si="370">IF(AND(AA1034&lt;X1034, AB1034&gt;AC1034), AB1034-AC1034, 0)</f>
        <v>0</v>
      </c>
      <c r="AG1034" s="28">
        <f t="shared" ref="AG1034:AG1063" si="371">IF(AND(AA1034&lt;X1034, AC1034&gt;AB1034), AC1034-AB1034, 0)</f>
        <v>0</v>
      </c>
      <c r="AI1034" s="31">
        <f t="shared" ref="AI1034:AI1063" si="372">(K1034-F1034)/F1034</f>
        <v>4.8305118142023042</v>
      </c>
      <c r="AJ1034" s="25"/>
      <c r="AK1034" s="31"/>
      <c r="AM1034" s="27"/>
    </row>
    <row r="1035" spans="4:39" x14ac:dyDescent="0.25">
      <c r="D1035" s="25">
        <f>E1035*'Profit per cycles Model'!$I$113</f>
        <v>10260</v>
      </c>
      <c r="E1035" s="25">
        <v>28.105738939871248</v>
      </c>
      <c r="F1035" s="28">
        <f t="shared" si="353"/>
        <v>9.7465886939571145E-2</v>
      </c>
      <c r="G1035" s="28">
        <f>'Battery Pricing Model'!$C$17/D1035</f>
        <v>9.7465886939571145E-2</v>
      </c>
      <c r="H1035" s="28">
        <f t="shared" si="354"/>
        <v>999</v>
      </c>
      <c r="I1035" s="28"/>
      <c r="J1035" s="34">
        <f>INDEX('Profit per cycles Model'!$I$149:$I$179, MATCH(TRUNC(E1035, 0), 'Profit per cycles Model'!$H$149:$H$179, 0))</f>
        <v>0.81157706618277137</v>
      </c>
      <c r="K1035" s="27">
        <f>AVERAGE($J$10:J2035)</f>
        <v>0.56883042089778579</v>
      </c>
      <c r="L1035" s="28">
        <f t="shared" si="355"/>
        <v>0.47136453395821465</v>
      </c>
      <c r="M1035" s="28">
        <f t="shared" si="356"/>
        <v>0.47136453395821465</v>
      </c>
      <c r="N1035" s="28">
        <f t="shared" si="357"/>
        <v>999</v>
      </c>
      <c r="O1035" s="28"/>
      <c r="P1035" s="29">
        <f t="shared" ref="P1035:P1063" si="373">P1034+0.001</f>
        <v>1.0259999999999978</v>
      </c>
      <c r="Q1035" s="33">
        <f t="shared" si="358"/>
        <v>6.7114093959731544</v>
      </c>
      <c r="R1035" s="33">
        <f t="shared" si="359"/>
        <v>6.7114093959731544</v>
      </c>
      <c r="S1035" s="33">
        <f t="shared" si="360"/>
        <v>-1</v>
      </c>
      <c r="T1035" s="27"/>
      <c r="U1035" s="28">
        <f t="shared" si="361"/>
        <v>0.10964912280701754</v>
      </c>
      <c r="V1035" s="25">
        <f t="shared" si="362"/>
        <v>999</v>
      </c>
      <c r="W1035" s="35">
        <f t="shared" ref="W1035:W1063" si="374">IF( AND(X1035&gt;0, Y1035&gt;0), IF(X1035&lt;Y1035, X1035, Y1035),  IF(X1035&gt;0, X1035, IF(Y1035&gt;0, Y1035, -1)) )</f>
        <v>25</v>
      </c>
      <c r="X1035" s="33">
        <f t="shared" si="363"/>
        <v>25</v>
      </c>
      <c r="Y1035" s="32">
        <f t="shared" si="364"/>
        <v>-1</v>
      </c>
      <c r="Z1035" s="32"/>
      <c r="AA1035" s="30">
        <f t="shared" si="365"/>
        <v>28.105738939871248</v>
      </c>
      <c r="AB1035" s="28">
        <f t="shared" si="366"/>
        <v>0.81157706618277137</v>
      </c>
      <c r="AC1035" s="28">
        <f t="shared" si="367"/>
        <v>0.10964912280701754</v>
      </c>
      <c r="AD1035" s="29">
        <f t="shared" si="368"/>
        <v>973.43453510436427</v>
      </c>
      <c r="AE1035" s="28">
        <f t="shared" si="369"/>
        <v>0.10964912280701754</v>
      </c>
      <c r="AF1035" s="28">
        <f t="shared" si="370"/>
        <v>0</v>
      </c>
      <c r="AG1035" s="28">
        <f t="shared" si="371"/>
        <v>0</v>
      </c>
      <c r="AI1035" s="31">
        <f t="shared" si="372"/>
        <v>4.8362001184112824</v>
      </c>
      <c r="AJ1035" s="25"/>
      <c r="AK1035" s="31"/>
      <c r="AM1035" s="27"/>
    </row>
    <row r="1036" spans="4:39" x14ac:dyDescent="0.25">
      <c r="D1036" s="25">
        <f>E1036*'Profit per cycles Model'!$I$113</f>
        <v>10270</v>
      </c>
      <c r="E1036" s="25">
        <v>28.133132447609917</v>
      </c>
      <c r="F1036" s="28">
        <f t="shared" si="353"/>
        <v>9.7370983446932818E-2</v>
      </c>
      <c r="G1036" s="28">
        <f>'Battery Pricing Model'!$C$17/D1036</f>
        <v>9.7370983446932818E-2</v>
      </c>
      <c r="H1036" s="28">
        <f t="shared" si="354"/>
        <v>999</v>
      </c>
      <c r="I1036" s="28"/>
      <c r="J1036" s="34">
        <f>INDEX('Profit per cycles Model'!$I$149:$I$179, MATCH(TRUNC(E1036, 0), 'Profit per cycles Model'!$H$149:$H$179, 0))</f>
        <v>0.81157706618277137</v>
      </c>
      <c r="K1036" s="27">
        <f>AVERAGE($J$10:J2036)</f>
        <v>0.56883042089778579</v>
      </c>
      <c r="L1036" s="28">
        <f t="shared" si="355"/>
        <v>0.47145943745085295</v>
      </c>
      <c r="M1036" s="28">
        <f t="shared" si="356"/>
        <v>0.47145943745085295</v>
      </c>
      <c r="N1036" s="28">
        <f t="shared" si="357"/>
        <v>999</v>
      </c>
      <c r="O1036" s="28"/>
      <c r="P1036" s="29">
        <f t="shared" si="373"/>
        <v>1.0269999999999977</v>
      </c>
      <c r="Q1036" s="33">
        <f t="shared" si="358"/>
        <v>6.7114093959731544</v>
      </c>
      <c r="R1036" s="33">
        <f t="shared" si="359"/>
        <v>6.7114093959731544</v>
      </c>
      <c r="S1036" s="33">
        <f t="shared" si="360"/>
        <v>-1</v>
      </c>
      <c r="T1036" s="27"/>
      <c r="U1036" s="28">
        <f t="shared" si="361"/>
        <v>0.10964912280701754</v>
      </c>
      <c r="V1036" s="25">
        <f t="shared" si="362"/>
        <v>999</v>
      </c>
      <c r="W1036" s="35">
        <f t="shared" si="374"/>
        <v>25</v>
      </c>
      <c r="X1036" s="33">
        <f t="shared" si="363"/>
        <v>25</v>
      </c>
      <c r="Y1036" s="32">
        <f t="shared" si="364"/>
        <v>-1</v>
      </c>
      <c r="Z1036" s="32"/>
      <c r="AA1036" s="30">
        <f t="shared" si="365"/>
        <v>28.133132447609917</v>
      </c>
      <c r="AB1036" s="28">
        <f t="shared" si="366"/>
        <v>0.81157706618277137</v>
      </c>
      <c r="AC1036" s="28">
        <f t="shared" si="367"/>
        <v>0.10964912280701754</v>
      </c>
      <c r="AD1036" s="29">
        <f t="shared" si="368"/>
        <v>974.38330170777999</v>
      </c>
      <c r="AE1036" s="28">
        <f t="shared" si="369"/>
        <v>0.10964912280701754</v>
      </c>
      <c r="AF1036" s="28">
        <f t="shared" si="370"/>
        <v>0</v>
      </c>
      <c r="AG1036" s="28">
        <f t="shared" si="371"/>
        <v>0</v>
      </c>
      <c r="AI1036" s="31">
        <f t="shared" si="372"/>
        <v>4.8418884226202596</v>
      </c>
      <c r="AJ1036" s="25"/>
      <c r="AK1036" s="31"/>
      <c r="AM1036" s="27"/>
    </row>
    <row r="1037" spans="4:39" x14ac:dyDescent="0.25">
      <c r="D1037" s="25">
        <f>E1037*'Profit per cycles Model'!$I$113</f>
        <v>10280</v>
      </c>
      <c r="E1037" s="25">
        <v>28.160525955348582</v>
      </c>
      <c r="F1037" s="28">
        <f t="shared" si="353"/>
        <v>9.727626459143969E-2</v>
      </c>
      <c r="G1037" s="28">
        <f>'Battery Pricing Model'!$C$17/D1037</f>
        <v>9.727626459143969E-2</v>
      </c>
      <c r="H1037" s="28">
        <f t="shared" si="354"/>
        <v>999</v>
      </c>
      <c r="I1037" s="28"/>
      <c r="J1037" s="34">
        <f>INDEX('Profit per cycles Model'!$I$149:$I$179, MATCH(TRUNC(E1037, 0), 'Profit per cycles Model'!$H$149:$H$179, 0))</f>
        <v>0.81157706618277137</v>
      </c>
      <c r="K1037" s="27">
        <f>AVERAGE($J$10:J2037)</f>
        <v>0.56883042089778579</v>
      </c>
      <c r="L1037" s="28">
        <f t="shared" si="355"/>
        <v>0.47155415630634612</v>
      </c>
      <c r="M1037" s="28">
        <f t="shared" si="356"/>
        <v>0.47155415630634612</v>
      </c>
      <c r="N1037" s="28">
        <f t="shared" si="357"/>
        <v>999</v>
      </c>
      <c r="O1037" s="28"/>
      <c r="P1037" s="29">
        <f t="shared" si="373"/>
        <v>1.0279999999999976</v>
      </c>
      <c r="Q1037" s="33">
        <f t="shared" si="358"/>
        <v>6.7114093959731544</v>
      </c>
      <c r="R1037" s="33">
        <f t="shared" si="359"/>
        <v>6.7114093959731544</v>
      </c>
      <c r="S1037" s="33">
        <f t="shared" si="360"/>
        <v>-1</v>
      </c>
      <c r="T1037" s="27"/>
      <c r="U1037" s="28">
        <f t="shared" si="361"/>
        <v>0.10964912280701754</v>
      </c>
      <c r="V1037" s="25">
        <f t="shared" si="362"/>
        <v>999</v>
      </c>
      <c r="W1037" s="35">
        <f t="shared" si="374"/>
        <v>25</v>
      </c>
      <c r="X1037" s="33">
        <f t="shared" si="363"/>
        <v>25</v>
      </c>
      <c r="Y1037" s="32">
        <f t="shared" si="364"/>
        <v>-1</v>
      </c>
      <c r="Z1037" s="32"/>
      <c r="AA1037" s="30">
        <f t="shared" si="365"/>
        <v>28.160525955348582</v>
      </c>
      <c r="AB1037" s="28">
        <f t="shared" si="366"/>
        <v>0.81157706618277137</v>
      </c>
      <c r="AC1037" s="28">
        <f t="shared" si="367"/>
        <v>0.10964912280701754</v>
      </c>
      <c r="AD1037" s="29">
        <f t="shared" si="368"/>
        <v>975.33206831119548</v>
      </c>
      <c r="AE1037" s="28">
        <f t="shared" si="369"/>
        <v>0.10964912280701754</v>
      </c>
      <c r="AF1037" s="28">
        <f t="shared" si="370"/>
        <v>0</v>
      </c>
      <c r="AG1037" s="28">
        <f t="shared" si="371"/>
        <v>0</v>
      </c>
      <c r="AI1037" s="31">
        <f t="shared" si="372"/>
        <v>4.8475767268292378</v>
      </c>
      <c r="AJ1037" s="25"/>
      <c r="AK1037" s="31"/>
      <c r="AM1037" s="27"/>
    </row>
    <row r="1038" spans="4:39" x14ac:dyDescent="0.25">
      <c r="D1038" s="25">
        <f>E1038*'Profit per cycles Model'!$I$113</f>
        <v>10290</v>
      </c>
      <c r="E1038" s="25">
        <v>28.187919463087248</v>
      </c>
      <c r="F1038" s="28">
        <f t="shared" si="353"/>
        <v>9.7181729834791064E-2</v>
      </c>
      <c r="G1038" s="28">
        <f>'Battery Pricing Model'!$C$17/D1038</f>
        <v>9.7181729834791064E-2</v>
      </c>
      <c r="H1038" s="28">
        <f t="shared" si="354"/>
        <v>999</v>
      </c>
      <c r="I1038" s="28"/>
      <c r="J1038" s="34">
        <f>INDEX('Profit per cycles Model'!$I$149:$I$179, MATCH(TRUNC(E1038, 0), 'Profit per cycles Model'!$H$149:$H$179, 0))</f>
        <v>0.81157706618277137</v>
      </c>
      <c r="K1038" s="27">
        <f>AVERAGE($J$10:J2038)</f>
        <v>0.56883042089778579</v>
      </c>
      <c r="L1038" s="28">
        <f t="shared" si="355"/>
        <v>0.47164869106299473</v>
      </c>
      <c r="M1038" s="28">
        <f t="shared" si="356"/>
        <v>0.47164869106299473</v>
      </c>
      <c r="N1038" s="28">
        <f t="shared" si="357"/>
        <v>999</v>
      </c>
      <c r="O1038" s="28"/>
      <c r="P1038" s="29">
        <f t="shared" si="373"/>
        <v>1.0289999999999975</v>
      </c>
      <c r="Q1038" s="33">
        <f t="shared" si="358"/>
        <v>6.7114093959731544</v>
      </c>
      <c r="R1038" s="33">
        <f t="shared" si="359"/>
        <v>6.7114093959731544</v>
      </c>
      <c r="S1038" s="33">
        <f t="shared" si="360"/>
        <v>-1</v>
      </c>
      <c r="T1038" s="27"/>
      <c r="U1038" s="28">
        <f t="shared" si="361"/>
        <v>0.10964912280701754</v>
      </c>
      <c r="V1038" s="25">
        <f t="shared" si="362"/>
        <v>999</v>
      </c>
      <c r="W1038" s="35">
        <f t="shared" si="374"/>
        <v>25</v>
      </c>
      <c r="X1038" s="33">
        <f t="shared" si="363"/>
        <v>25</v>
      </c>
      <c r="Y1038" s="32">
        <f t="shared" si="364"/>
        <v>-1</v>
      </c>
      <c r="Z1038" s="32"/>
      <c r="AA1038" s="30">
        <f t="shared" si="365"/>
        <v>28.187919463087248</v>
      </c>
      <c r="AB1038" s="28">
        <f t="shared" si="366"/>
        <v>0.81157706618277137</v>
      </c>
      <c r="AC1038" s="28">
        <f t="shared" si="367"/>
        <v>0.10964912280701754</v>
      </c>
      <c r="AD1038" s="29">
        <f t="shared" si="368"/>
        <v>976.28083491461109</v>
      </c>
      <c r="AE1038" s="28">
        <f t="shared" si="369"/>
        <v>0.10964912280701754</v>
      </c>
      <c r="AF1038" s="28">
        <f t="shared" si="370"/>
        <v>0</v>
      </c>
      <c r="AG1038" s="28">
        <f t="shared" si="371"/>
        <v>0</v>
      </c>
      <c r="AI1038" s="31">
        <f t="shared" si="372"/>
        <v>4.8532650310382159</v>
      </c>
      <c r="AJ1038" s="25"/>
      <c r="AK1038" s="31"/>
      <c r="AM1038" s="27"/>
    </row>
    <row r="1039" spans="4:39" x14ac:dyDescent="0.25">
      <c r="D1039" s="25">
        <f>E1039*'Profit per cycles Model'!$I$113</f>
        <v>10300</v>
      </c>
      <c r="E1039" s="25">
        <v>28.215312970825913</v>
      </c>
      <c r="F1039" s="28">
        <f t="shared" si="353"/>
        <v>9.7087378640776698E-2</v>
      </c>
      <c r="G1039" s="28">
        <f>'Battery Pricing Model'!$C$17/D1039</f>
        <v>9.7087378640776698E-2</v>
      </c>
      <c r="H1039" s="28">
        <f t="shared" si="354"/>
        <v>999</v>
      </c>
      <c r="I1039" s="28"/>
      <c r="J1039" s="34">
        <f>INDEX('Profit per cycles Model'!$I$149:$I$179, MATCH(TRUNC(E1039, 0), 'Profit per cycles Model'!$H$149:$H$179, 0))</f>
        <v>0.81157706618277137</v>
      </c>
      <c r="K1039" s="27">
        <f>AVERAGE($J$10:J2039)</f>
        <v>0.56883042089778579</v>
      </c>
      <c r="L1039" s="28">
        <f t="shared" si="355"/>
        <v>0.47174304225700908</v>
      </c>
      <c r="M1039" s="28">
        <f t="shared" si="356"/>
        <v>0.47174304225700908</v>
      </c>
      <c r="N1039" s="28">
        <f t="shared" si="357"/>
        <v>999</v>
      </c>
      <c r="O1039" s="28"/>
      <c r="P1039" s="29">
        <f t="shared" si="373"/>
        <v>1.0299999999999974</v>
      </c>
      <c r="Q1039" s="33">
        <f t="shared" si="358"/>
        <v>6.7114093959731544</v>
      </c>
      <c r="R1039" s="33">
        <f t="shared" si="359"/>
        <v>6.7114093959731544</v>
      </c>
      <c r="S1039" s="33">
        <f t="shared" si="360"/>
        <v>-1</v>
      </c>
      <c r="T1039" s="27"/>
      <c r="U1039" s="28">
        <f t="shared" si="361"/>
        <v>0.10964912280701754</v>
      </c>
      <c r="V1039" s="25">
        <f t="shared" si="362"/>
        <v>999</v>
      </c>
      <c r="W1039" s="35">
        <f t="shared" si="374"/>
        <v>25</v>
      </c>
      <c r="X1039" s="33">
        <f t="shared" si="363"/>
        <v>25</v>
      </c>
      <c r="Y1039" s="32">
        <f t="shared" si="364"/>
        <v>-1</v>
      </c>
      <c r="Z1039" s="32"/>
      <c r="AA1039" s="30">
        <f t="shared" si="365"/>
        <v>28.215312970825913</v>
      </c>
      <c r="AB1039" s="28">
        <f t="shared" si="366"/>
        <v>0.81157706618277137</v>
      </c>
      <c r="AC1039" s="28">
        <f t="shared" si="367"/>
        <v>0.10964912280701754</v>
      </c>
      <c r="AD1039" s="29">
        <f t="shared" si="368"/>
        <v>977.22960151802647</v>
      </c>
      <c r="AE1039" s="28">
        <f t="shared" si="369"/>
        <v>0.10964912280701754</v>
      </c>
      <c r="AF1039" s="28">
        <f t="shared" si="370"/>
        <v>0</v>
      </c>
      <c r="AG1039" s="28">
        <f t="shared" si="371"/>
        <v>0</v>
      </c>
      <c r="AI1039" s="31">
        <f t="shared" si="372"/>
        <v>4.8589533352471932</v>
      </c>
      <c r="AJ1039" s="25"/>
      <c r="AK1039" s="31"/>
      <c r="AM1039" s="27"/>
    </row>
    <row r="1040" spans="4:39" x14ac:dyDescent="0.25">
      <c r="D1040" s="25">
        <f>E1040*'Profit per cycles Model'!$I$113</f>
        <v>10310</v>
      </c>
      <c r="E1040" s="25">
        <v>28.242706478564578</v>
      </c>
      <c r="F1040" s="28">
        <f t="shared" si="353"/>
        <v>9.6993210475266725E-2</v>
      </c>
      <c r="G1040" s="28">
        <f>'Battery Pricing Model'!$C$17/D1040</f>
        <v>9.6993210475266725E-2</v>
      </c>
      <c r="H1040" s="28">
        <f t="shared" si="354"/>
        <v>999</v>
      </c>
      <c r="I1040" s="28"/>
      <c r="J1040" s="34">
        <f>INDEX('Profit per cycles Model'!$I$149:$I$179, MATCH(TRUNC(E1040, 0), 'Profit per cycles Model'!$H$149:$H$179, 0))</f>
        <v>0.81157706618277137</v>
      </c>
      <c r="K1040" s="27">
        <f>AVERAGE($J$10:J2040)</f>
        <v>0.56883042089778579</v>
      </c>
      <c r="L1040" s="28">
        <f t="shared" si="355"/>
        <v>0.47183721042251908</v>
      </c>
      <c r="M1040" s="28">
        <f t="shared" si="356"/>
        <v>0.47183721042251908</v>
      </c>
      <c r="N1040" s="28">
        <f t="shared" si="357"/>
        <v>999</v>
      </c>
      <c r="O1040" s="28"/>
      <c r="P1040" s="29">
        <f t="shared" si="373"/>
        <v>1.0309999999999973</v>
      </c>
      <c r="Q1040" s="33">
        <f t="shared" si="358"/>
        <v>6.7114093959731544</v>
      </c>
      <c r="R1040" s="33">
        <f t="shared" si="359"/>
        <v>6.7114093959731544</v>
      </c>
      <c r="S1040" s="33">
        <f t="shared" si="360"/>
        <v>-1</v>
      </c>
      <c r="T1040" s="27"/>
      <c r="U1040" s="28">
        <f t="shared" si="361"/>
        <v>0.10964912280701754</v>
      </c>
      <c r="V1040" s="25">
        <f t="shared" si="362"/>
        <v>999</v>
      </c>
      <c r="W1040" s="35">
        <f t="shared" si="374"/>
        <v>25</v>
      </c>
      <c r="X1040" s="33">
        <f t="shared" si="363"/>
        <v>25</v>
      </c>
      <c r="Y1040" s="32">
        <f t="shared" si="364"/>
        <v>-1</v>
      </c>
      <c r="Z1040" s="32"/>
      <c r="AA1040" s="30">
        <f t="shared" si="365"/>
        <v>28.242706478564578</v>
      </c>
      <c r="AB1040" s="28">
        <f t="shared" si="366"/>
        <v>0.81157706618277137</v>
      </c>
      <c r="AC1040" s="28">
        <f t="shared" si="367"/>
        <v>0.10964912280701754</v>
      </c>
      <c r="AD1040" s="29">
        <f t="shared" si="368"/>
        <v>978.17836812144208</v>
      </c>
      <c r="AE1040" s="28">
        <f t="shared" si="369"/>
        <v>0.10964912280701754</v>
      </c>
      <c r="AF1040" s="28">
        <f t="shared" si="370"/>
        <v>0</v>
      </c>
      <c r="AG1040" s="28">
        <f t="shared" si="371"/>
        <v>0</v>
      </c>
      <c r="AI1040" s="31">
        <f t="shared" si="372"/>
        <v>4.8646416394561722</v>
      </c>
      <c r="AJ1040" s="25"/>
      <c r="AK1040" s="31"/>
      <c r="AM1040" s="27"/>
    </row>
    <row r="1041" spans="4:39" x14ac:dyDescent="0.25">
      <c r="D1041" s="25">
        <f>E1041*'Profit per cycles Model'!$I$113</f>
        <v>10320</v>
      </c>
      <c r="E1041" s="25">
        <v>28.270099986303244</v>
      </c>
      <c r="F1041" s="28">
        <f t="shared" si="353"/>
        <v>9.6899224806201556E-2</v>
      </c>
      <c r="G1041" s="28">
        <f>'Battery Pricing Model'!$C$17/D1041</f>
        <v>9.6899224806201556E-2</v>
      </c>
      <c r="H1041" s="28">
        <f t="shared" si="354"/>
        <v>999</v>
      </c>
      <c r="I1041" s="28"/>
      <c r="J1041" s="34">
        <f>INDEX('Profit per cycles Model'!$I$149:$I$179, MATCH(TRUNC(E1041, 0), 'Profit per cycles Model'!$H$149:$H$179, 0))</f>
        <v>0.81157706618277137</v>
      </c>
      <c r="K1041" s="27">
        <f>AVERAGE($J$10:J2041)</f>
        <v>0.56883042089778579</v>
      </c>
      <c r="L1041" s="28">
        <f t="shared" si="355"/>
        <v>0.47193119609158424</v>
      </c>
      <c r="M1041" s="28">
        <f t="shared" si="356"/>
        <v>0.47193119609158424</v>
      </c>
      <c r="N1041" s="28">
        <f t="shared" si="357"/>
        <v>999</v>
      </c>
      <c r="O1041" s="28"/>
      <c r="P1041" s="29">
        <f t="shared" si="373"/>
        <v>1.0319999999999971</v>
      </c>
      <c r="Q1041" s="33">
        <f t="shared" si="358"/>
        <v>6.7114093959731544</v>
      </c>
      <c r="R1041" s="33">
        <f t="shared" si="359"/>
        <v>6.7114093959731544</v>
      </c>
      <c r="S1041" s="33">
        <f t="shared" si="360"/>
        <v>-1</v>
      </c>
      <c r="T1041" s="27"/>
      <c r="U1041" s="28">
        <f t="shared" si="361"/>
        <v>0.10964912280701754</v>
      </c>
      <c r="V1041" s="25">
        <f t="shared" si="362"/>
        <v>999</v>
      </c>
      <c r="W1041" s="35">
        <f t="shared" si="374"/>
        <v>25</v>
      </c>
      <c r="X1041" s="33">
        <f t="shared" si="363"/>
        <v>25</v>
      </c>
      <c r="Y1041" s="32">
        <f t="shared" si="364"/>
        <v>-1</v>
      </c>
      <c r="Z1041" s="32"/>
      <c r="AA1041" s="30">
        <f t="shared" si="365"/>
        <v>28.270099986303244</v>
      </c>
      <c r="AB1041" s="28">
        <f t="shared" si="366"/>
        <v>0.81157706618277137</v>
      </c>
      <c r="AC1041" s="28">
        <f t="shared" si="367"/>
        <v>0.10964912280701754</v>
      </c>
      <c r="AD1041" s="29">
        <f t="shared" si="368"/>
        <v>979.12713472485768</v>
      </c>
      <c r="AE1041" s="28">
        <f t="shared" si="369"/>
        <v>0.10964912280701754</v>
      </c>
      <c r="AF1041" s="28">
        <f t="shared" si="370"/>
        <v>0</v>
      </c>
      <c r="AG1041" s="28">
        <f t="shared" si="371"/>
        <v>0</v>
      </c>
      <c r="AI1041" s="31">
        <f t="shared" si="372"/>
        <v>4.8703299436651495</v>
      </c>
      <c r="AJ1041" s="25"/>
      <c r="AK1041" s="31"/>
      <c r="AM1041" s="27"/>
    </row>
    <row r="1042" spans="4:39" x14ac:dyDescent="0.25">
      <c r="D1042" s="25">
        <f>E1042*'Profit per cycles Model'!$I$113</f>
        <v>10330</v>
      </c>
      <c r="E1042" s="25">
        <v>28.297493494041912</v>
      </c>
      <c r="F1042" s="28">
        <f t="shared" si="353"/>
        <v>9.6805421103581799E-2</v>
      </c>
      <c r="G1042" s="28">
        <f>'Battery Pricing Model'!$C$17/D1042</f>
        <v>9.6805421103581799E-2</v>
      </c>
      <c r="H1042" s="28">
        <f t="shared" si="354"/>
        <v>999</v>
      </c>
      <c r="I1042" s="28"/>
      <c r="J1042" s="34">
        <f>INDEX('Profit per cycles Model'!$I$149:$I$179, MATCH(TRUNC(E1042, 0), 'Profit per cycles Model'!$H$149:$H$179, 0))</f>
        <v>0.81157706618277137</v>
      </c>
      <c r="K1042" s="27">
        <f>AVERAGE($J$10:J2042)</f>
        <v>0.56883042089778579</v>
      </c>
      <c r="L1042" s="28">
        <f t="shared" si="355"/>
        <v>0.47202499979420398</v>
      </c>
      <c r="M1042" s="28">
        <f t="shared" si="356"/>
        <v>0.47202499979420398</v>
      </c>
      <c r="N1042" s="28">
        <f t="shared" si="357"/>
        <v>999</v>
      </c>
      <c r="O1042" s="28"/>
      <c r="P1042" s="29">
        <f t="shared" si="373"/>
        <v>1.032999999999997</v>
      </c>
      <c r="Q1042" s="33">
        <f t="shared" si="358"/>
        <v>6.7114093959731544</v>
      </c>
      <c r="R1042" s="33">
        <f t="shared" si="359"/>
        <v>6.7114093959731544</v>
      </c>
      <c r="S1042" s="33">
        <f t="shared" si="360"/>
        <v>-1</v>
      </c>
      <c r="T1042" s="27"/>
      <c r="U1042" s="28">
        <f t="shared" si="361"/>
        <v>0.10964912280701754</v>
      </c>
      <c r="V1042" s="25">
        <f t="shared" si="362"/>
        <v>999</v>
      </c>
      <c r="W1042" s="35">
        <f t="shared" si="374"/>
        <v>25</v>
      </c>
      <c r="X1042" s="33">
        <f t="shared" si="363"/>
        <v>25</v>
      </c>
      <c r="Y1042" s="32">
        <f t="shared" si="364"/>
        <v>-1</v>
      </c>
      <c r="Z1042" s="32"/>
      <c r="AA1042" s="30">
        <f t="shared" si="365"/>
        <v>28.297493494041912</v>
      </c>
      <c r="AB1042" s="28">
        <f t="shared" si="366"/>
        <v>0.81157706618277137</v>
      </c>
      <c r="AC1042" s="28">
        <f t="shared" si="367"/>
        <v>0.10964912280701754</v>
      </c>
      <c r="AD1042" s="29">
        <f t="shared" si="368"/>
        <v>980.07590132827329</v>
      </c>
      <c r="AE1042" s="28">
        <f t="shared" si="369"/>
        <v>0.10964912280701754</v>
      </c>
      <c r="AF1042" s="28">
        <f t="shared" si="370"/>
        <v>0</v>
      </c>
      <c r="AG1042" s="28">
        <f t="shared" si="371"/>
        <v>0</v>
      </c>
      <c r="AI1042" s="31">
        <f t="shared" si="372"/>
        <v>4.8760182478741276</v>
      </c>
      <c r="AJ1042" s="25"/>
      <c r="AK1042" s="31"/>
      <c r="AM1042" s="27"/>
    </row>
    <row r="1043" spans="4:39" x14ac:dyDescent="0.25">
      <c r="D1043" s="25">
        <f>E1043*'Profit per cycles Model'!$I$113</f>
        <v>10340</v>
      </c>
      <c r="E1043" s="25">
        <v>28.324887001780578</v>
      </c>
      <c r="F1043" s="28">
        <f t="shared" si="353"/>
        <v>9.6711798839458407E-2</v>
      </c>
      <c r="G1043" s="28">
        <f>'Battery Pricing Model'!$C$17/D1043</f>
        <v>9.6711798839458407E-2</v>
      </c>
      <c r="H1043" s="28">
        <f t="shared" si="354"/>
        <v>999</v>
      </c>
      <c r="I1043" s="28"/>
      <c r="J1043" s="34">
        <f>INDEX('Profit per cycles Model'!$I$149:$I$179, MATCH(TRUNC(E1043, 0), 'Profit per cycles Model'!$H$149:$H$179, 0))</f>
        <v>0.81157706618277137</v>
      </c>
      <c r="K1043" s="27">
        <f>AVERAGE($J$10:J2043)</f>
        <v>0.56883042089778579</v>
      </c>
      <c r="L1043" s="28">
        <f t="shared" si="355"/>
        <v>0.47211862205832739</v>
      </c>
      <c r="M1043" s="28">
        <f t="shared" si="356"/>
        <v>0.47211862205832739</v>
      </c>
      <c r="N1043" s="28">
        <f t="shared" si="357"/>
        <v>999</v>
      </c>
      <c r="O1043" s="28"/>
      <c r="P1043" s="29">
        <f t="shared" si="373"/>
        <v>1.0339999999999969</v>
      </c>
      <c r="Q1043" s="33">
        <f t="shared" si="358"/>
        <v>6.7114093959731544</v>
      </c>
      <c r="R1043" s="33">
        <f t="shared" si="359"/>
        <v>6.7114093959731544</v>
      </c>
      <c r="S1043" s="33">
        <f t="shared" si="360"/>
        <v>-1</v>
      </c>
      <c r="T1043" s="27"/>
      <c r="U1043" s="28">
        <f t="shared" si="361"/>
        <v>0.10964912280701754</v>
      </c>
      <c r="V1043" s="25">
        <f t="shared" si="362"/>
        <v>999</v>
      </c>
      <c r="W1043" s="35">
        <f t="shared" si="374"/>
        <v>25</v>
      </c>
      <c r="X1043" s="33">
        <f t="shared" si="363"/>
        <v>25</v>
      </c>
      <c r="Y1043" s="32">
        <f t="shared" si="364"/>
        <v>-1</v>
      </c>
      <c r="Z1043" s="32"/>
      <c r="AA1043" s="30">
        <f t="shared" si="365"/>
        <v>28.324887001780578</v>
      </c>
      <c r="AB1043" s="28">
        <f t="shared" si="366"/>
        <v>0.81157706618277137</v>
      </c>
      <c r="AC1043" s="28">
        <f t="shared" si="367"/>
        <v>0.10964912280701754</v>
      </c>
      <c r="AD1043" s="29">
        <f t="shared" si="368"/>
        <v>981.0246679316889</v>
      </c>
      <c r="AE1043" s="28">
        <f t="shared" si="369"/>
        <v>0.10964912280701754</v>
      </c>
      <c r="AF1043" s="28">
        <f t="shared" si="370"/>
        <v>0</v>
      </c>
      <c r="AG1043" s="28">
        <f t="shared" si="371"/>
        <v>0</v>
      </c>
      <c r="AI1043" s="31">
        <f t="shared" si="372"/>
        <v>4.8817065520831058</v>
      </c>
      <c r="AJ1043" s="25"/>
      <c r="AK1043" s="31"/>
      <c r="AM1043" s="27"/>
    </row>
    <row r="1044" spans="4:39" x14ac:dyDescent="0.25">
      <c r="D1044" s="25">
        <f>E1044*'Profit per cycles Model'!$I$113</f>
        <v>10350</v>
      </c>
      <c r="E1044" s="25">
        <v>28.352280509519243</v>
      </c>
      <c r="F1044" s="28">
        <f t="shared" si="353"/>
        <v>9.6618357487922704E-2</v>
      </c>
      <c r="G1044" s="28">
        <f>'Battery Pricing Model'!$C$17/D1044</f>
        <v>9.6618357487922704E-2</v>
      </c>
      <c r="H1044" s="28">
        <f t="shared" si="354"/>
        <v>999</v>
      </c>
      <c r="I1044" s="28"/>
      <c r="J1044" s="34">
        <f>INDEX('Profit per cycles Model'!$I$149:$I$179, MATCH(TRUNC(E1044, 0), 'Profit per cycles Model'!$H$149:$H$179, 0))</f>
        <v>0.81157706618277137</v>
      </c>
      <c r="K1044" s="27">
        <f>AVERAGE($J$10:J2044)</f>
        <v>0.56883042089778579</v>
      </c>
      <c r="L1044" s="28">
        <f t="shared" si="355"/>
        <v>0.4722120634098631</v>
      </c>
      <c r="M1044" s="28">
        <f t="shared" si="356"/>
        <v>0.4722120634098631</v>
      </c>
      <c r="N1044" s="28">
        <f t="shared" si="357"/>
        <v>999</v>
      </c>
      <c r="O1044" s="28"/>
      <c r="P1044" s="29">
        <f t="shared" si="373"/>
        <v>1.0349999999999968</v>
      </c>
      <c r="Q1044" s="33">
        <f t="shared" si="358"/>
        <v>6.7114093959731544</v>
      </c>
      <c r="R1044" s="33">
        <f t="shared" si="359"/>
        <v>6.7114093959731544</v>
      </c>
      <c r="S1044" s="33">
        <f t="shared" si="360"/>
        <v>-1</v>
      </c>
      <c r="T1044" s="27"/>
      <c r="U1044" s="28">
        <f t="shared" si="361"/>
        <v>0.10964912280701754</v>
      </c>
      <c r="V1044" s="25">
        <f t="shared" si="362"/>
        <v>999</v>
      </c>
      <c r="W1044" s="35">
        <f t="shared" si="374"/>
        <v>25</v>
      </c>
      <c r="X1044" s="33">
        <f t="shared" si="363"/>
        <v>25</v>
      </c>
      <c r="Y1044" s="32">
        <f t="shared" si="364"/>
        <v>-1</v>
      </c>
      <c r="Z1044" s="32"/>
      <c r="AA1044" s="30">
        <f t="shared" si="365"/>
        <v>28.352280509519243</v>
      </c>
      <c r="AB1044" s="28">
        <f t="shared" si="366"/>
        <v>0.81157706618277137</v>
      </c>
      <c r="AC1044" s="28">
        <f t="shared" si="367"/>
        <v>0.10964912280701754</v>
      </c>
      <c r="AD1044" s="29">
        <f t="shared" si="368"/>
        <v>981.97343453510439</v>
      </c>
      <c r="AE1044" s="28">
        <f t="shared" si="369"/>
        <v>0.10964912280701754</v>
      </c>
      <c r="AF1044" s="28">
        <f t="shared" si="370"/>
        <v>0</v>
      </c>
      <c r="AG1044" s="28">
        <f t="shared" si="371"/>
        <v>0</v>
      </c>
      <c r="AI1044" s="31">
        <f t="shared" si="372"/>
        <v>4.887394856292083</v>
      </c>
      <c r="AJ1044" s="25"/>
      <c r="AK1044" s="31"/>
      <c r="AM1044" s="27"/>
    </row>
    <row r="1045" spans="4:39" x14ac:dyDescent="0.25">
      <c r="D1045" s="25">
        <f>E1045*'Profit per cycles Model'!$I$113</f>
        <v>10360</v>
      </c>
      <c r="E1045" s="25">
        <v>28.379674017257909</v>
      </c>
      <c r="F1045" s="28">
        <f t="shared" si="353"/>
        <v>9.6525096525096526E-2</v>
      </c>
      <c r="G1045" s="28">
        <f>'Battery Pricing Model'!$C$17/D1045</f>
        <v>9.6525096525096526E-2</v>
      </c>
      <c r="H1045" s="28">
        <f t="shared" si="354"/>
        <v>999</v>
      </c>
      <c r="I1045" s="28"/>
      <c r="J1045" s="34">
        <f>INDEX('Profit per cycles Model'!$I$149:$I$179, MATCH(TRUNC(E1045, 0), 'Profit per cycles Model'!$H$149:$H$179, 0))</f>
        <v>0.81157706618277137</v>
      </c>
      <c r="K1045" s="27">
        <f>AVERAGE($J$10:J2045)</f>
        <v>0.56883042089778579</v>
      </c>
      <c r="L1045" s="28">
        <f t="shared" si="355"/>
        <v>0.47230532437268924</v>
      </c>
      <c r="M1045" s="28">
        <f t="shared" si="356"/>
        <v>0.47230532437268924</v>
      </c>
      <c r="N1045" s="28">
        <f t="shared" si="357"/>
        <v>999</v>
      </c>
      <c r="O1045" s="28"/>
      <c r="P1045" s="29">
        <f t="shared" si="373"/>
        <v>1.0359999999999967</v>
      </c>
      <c r="Q1045" s="33">
        <f t="shared" si="358"/>
        <v>6.7114093959731544</v>
      </c>
      <c r="R1045" s="33">
        <f t="shared" si="359"/>
        <v>6.7114093959731544</v>
      </c>
      <c r="S1045" s="33">
        <f t="shared" si="360"/>
        <v>-1</v>
      </c>
      <c r="T1045" s="27"/>
      <c r="U1045" s="28">
        <f t="shared" si="361"/>
        <v>0.10964912280701754</v>
      </c>
      <c r="V1045" s="25">
        <f t="shared" si="362"/>
        <v>999</v>
      </c>
      <c r="W1045" s="35">
        <f t="shared" si="374"/>
        <v>25</v>
      </c>
      <c r="X1045" s="33">
        <f t="shared" si="363"/>
        <v>25</v>
      </c>
      <c r="Y1045" s="32">
        <f t="shared" si="364"/>
        <v>-1</v>
      </c>
      <c r="Z1045" s="32"/>
      <c r="AA1045" s="30">
        <f t="shared" si="365"/>
        <v>28.379674017257909</v>
      </c>
      <c r="AB1045" s="28">
        <f t="shared" si="366"/>
        <v>0.81157706618277137</v>
      </c>
      <c r="AC1045" s="28">
        <f t="shared" si="367"/>
        <v>0.10964912280701754</v>
      </c>
      <c r="AD1045" s="29">
        <f t="shared" si="368"/>
        <v>982.92220113851988</v>
      </c>
      <c r="AE1045" s="28">
        <f t="shared" si="369"/>
        <v>0.10964912280701754</v>
      </c>
      <c r="AF1045" s="28">
        <f t="shared" si="370"/>
        <v>0</v>
      </c>
      <c r="AG1045" s="28">
        <f t="shared" si="371"/>
        <v>0</v>
      </c>
      <c r="AI1045" s="31">
        <f t="shared" si="372"/>
        <v>4.8930831605010603</v>
      </c>
      <c r="AJ1045" s="25"/>
      <c r="AK1045" s="31"/>
      <c r="AM1045" s="27"/>
    </row>
    <row r="1046" spans="4:39" x14ac:dyDescent="0.25">
      <c r="D1046" s="25">
        <f>E1046*'Profit per cycles Model'!$I$113</f>
        <v>10370</v>
      </c>
      <c r="E1046" s="25">
        <v>28.407067524996574</v>
      </c>
      <c r="F1046" s="28">
        <f t="shared" si="353"/>
        <v>9.643201542912247E-2</v>
      </c>
      <c r="G1046" s="28">
        <f>'Battery Pricing Model'!$C$17/D1046</f>
        <v>9.643201542912247E-2</v>
      </c>
      <c r="H1046" s="28">
        <f t="shared" si="354"/>
        <v>999</v>
      </c>
      <c r="I1046" s="28"/>
      <c r="J1046" s="34">
        <f>INDEX('Profit per cycles Model'!$I$149:$I$179, MATCH(TRUNC(E1046, 0), 'Profit per cycles Model'!$H$149:$H$179, 0))</f>
        <v>0.81157706618277137</v>
      </c>
      <c r="K1046" s="27">
        <f>AVERAGE($J$10:J2046)</f>
        <v>0.56883042089778579</v>
      </c>
      <c r="L1046" s="28">
        <f t="shared" si="355"/>
        <v>0.4723984054686633</v>
      </c>
      <c r="M1046" s="28">
        <f t="shared" si="356"/>
        <v>0.4723984054686633</v>
      </c>
      <c r="N1046" s="28">
        <f t="shared" si="357"/>
        <v>999</v>
      </c>
      <c r="O1046" s="28"/>
      <c r="P1046" s="29">
        <f t="shared" si="373"/>
        <v>1.0369999999999966</v>
      </c>
      <c r="Q1046" s="33">
        <f t="shared" si="358"/>
        <v>6.7114093959731544</v>
      </c>
      <c r="R1046" s="33">
        <f t="shared" si="359"/>
        <v>6.7114093959731544</v>
      </c>
      <c r="S1046" s="33">
        <f t="shared" si="360"/>
        <v>-1</v>
      </c>
      <c r="T1046" s="27"/>
      <c r="U1046" s="28">
        <f t="shared" si="361"/>
        <v>0.10964912280701754</v>
      </c>
      <c r="V1046" s="25">
        <f t="shared" si="362"/>
        <v>999</v>
      </c>
      <c r="W1046" s="35">
        <f t="shared" si="374"/>
        <v>25</v>
      </c>
      <c r="X1046" s="33">
        <f t="shared" si="363"/>
        <v>25</v>
      </c>
      <c r="Y1046" s="32">
        <f t="shared" si="364"/>
        <v>-1</v>
      </c>
      <c r="Z1046" s="32"/>
      <c r="AA1046" s="30">
        <f t="shared" si="365"/>
        <v>28.407067524996574</v>
      </c>
      <c r="AB1046" s="28">
        <f t="shared" si="366"/>
        <v>0.81157706618277137</v>
      </c>
      <c r="AC1046" s="28">
        <f t="shared" si="367"/>
        <v>0.10964912280701754</v>
      </c>
      <c r="AD1046" s="29">
        <f t="shared" si="368"/>
        <v>983.87096774193549</v>
      </c>
      <c r="AE1046" s="28">
        <f t="shared" si="369"/>
        <v>0.10964912280701754</v>
      </c>
      <c r="AF1046" s="28">
        <f t="shared" si="370"/>
        <v>0</v>
      </c>
      <c r="AG1046" s="28">
        <f t="shared" si="371"/>
        <v>0</v>
      </c>
      <c r="AI1046" s="31">
        <f t="shared" si="372"/>
        <v>4.8987714647100384</v>
      </c>
      <c r="AJ1046" s="25"/>
      <c r="AK1046" s="31"/>
      <c r="AM1046" s="27"/>
    </row>
    <row r="1047" spans="4:39" x14ac:dyDescent="0.25">
      <c r="D1047" s="25">
        <f>E1047*'Profit per cycles Model'!$I$113</f>
        <v>10380</v>
      </c>
      <c r="E1047" s="25">
        <v>28.434461032735239</v>
      </c>
      <c r="F1047" s="28">
        <f t="shared" si="353"/>
        <v>9.6339113680154145E-2</v>
      </c>
      <c r="G1047" s="28">
        <f>'Battery Pricing Model'!$C$17/D1047</f>
        <v>9.6339113680154145E-2</v>
      </c>
      <c r="H1047" s="28">
        <f t="shared" si="354"/>
        <v>999</v>
      </c>
      <c r="I1047" s="28"/>
      <c r="J1047" s="34">
        <f>INDEX('Profit per cycles Model'!$I$149:$I$179, MATCH(TRUNC(E1047, 0), 'Profit per cycles Model'!$H$149:$H$179, 0))</f>
        <v>0.81157706618277137</v>
      </c>
      <c r="K1047" s="27">
        <f>AVERAGE($J$10:J2047)</f>
        <v>0.56883042089778579</v>
      </c>
      <c r="L1047" s="28">
        <f t="shared" si="355"/>
        <v>0.47249130721763166</v>
      </c>
      <c r="M1047" s="28">
        <f t="shared" si="356"/>
        <v>0.47249130721763166</v>
      </c>
      <c r="N1047" s="28">
        <f t="shared" si="357"/>
        <v>999</v>
      </c>
      <c r="O1047" s="28"/>
      <c r="P1047" s="29">
        <f t="shared" si="373"/>
        <v>1.0379999999999965</v>
      </c>
      <c r="Q1047" s="33">
        <f t="shared" si="358"/>
        <v>6.7114093959731544</v>
      </c>
      <c r="R1047" s="33">
        <f t="shared" si="359"/>
        <v>6.7114093959731544</v>
      </c>
      <c r="S1047" s="33">
        <f t="shared" si="360"/>
        <v>-1</v>
      </c>
      <c r="T1047" s="27"/>
      <c r="U1047" s="28">
        <f t="shared" si="361"/>
        <v>0.10964912280701754</v>
      </c>
      <c r="V1047" s="25">
        <f t="shared" si="362"/>
        <v>999</v>
      </c>
      <c r="W1047" s="35">
        <f t="shared" si="374"/>
        <v>25</v>
      </c>
      <c r="X1047" s="33">
        <f t="shared" si="363"/>
        <v>25</v>
      </c>
      <c r="Y1047" s="32">
        <f t="shared" si="364"/>
        <v>-1</v>
      </c>
      <c r="Z1047" s="32"/>
      <c r="AA1047" s="30">
        <f t="shared" si="365"/>
        <v>28.434461032735239</v>
      </c>
      <c r="AB1047" s="28">
        <f t="shared" si="366"/>
        <v>0.81157706618277137</v>
      </c>
      <c r="AC1047" s="28">
        <f t="shared" si="367"/>
        <v>0.10964912280701754</v>
      </c>
      <c r="AD1047" s="29">
        <f t="shared" si="368"/>
        <v>984.81973434535098</v>
      </c>
      <c r="AE1047" s="28">
        <f t="shared" si="369"/>
        <v>0.10964912280701754</v>
      </c>
      <c r="AF1047" s="28">
        <f t="shared" si="370"/>
        <v>0</v>
      </c>
      <c r="AG1047" s="28">
        <f t="shared" si="371"/>
        <v>0</v>
      </c>
      <c r="AI1047" s="31">
        <f t="shared" si="372"/>
        <v>4.9044597689190166</v>
      </c>
      <c r="AJ1047" s="25"/>
      <c r="AK1047" s="31"/>
      <c r="AM1047" s="27"/>
    </row>
    <row r="1048" spans="4:39" x14ac:dyDescent="0.25">
      <c r="D1048" s="25">
        <f>E1048*'Profit per cycles Model'!$I$113</f>
        <v>10390</v>
      </c>
      <c r="E1048" s="25">
        <v>28.461854540473908</v>
      </c>
      <c r="F1048" s="28">
        <f t="shared" si="353"/>
        <v>9.6246390760346481E-2</v>
      </c>
      <c r="G1048" s="28">
        <f>'Battery Pricing Model'!$C$17/D1048</f>
        <v>9.6246390760346481E-2</v>
      </c>
      <c r="H1048" s="28">
        <f t="shared" si="354"/>
        <v>999</v>
      </c>
      <c r="I1048" s="28"/>
      <c r="J1048" s="34">
        <f>INDEX('Profit per cycles Model'!$I$149:$I$179, MATCH(TRUNC(E1048, 0), 'Profit per cycles Model'!$H$149:$H$179, 0))</f>
        <v>0.81157706618277137</v>
      </c>
      <c r="K1048" s="27">
        <f>AVERAGE($J$10:J2048)</f>
        <v>0.56883042089778579</v>
      </c>
      <c r="L1048" s="28">
        <f t="shared" si="355"/>
        <v>0.47258403013743933</v>
      </c>
      <c r="M1048" s="28">
        <f t="shared" si="356"/>
        <v>0.47258403013743933</v>
      </c>
      <c r="N1048" s="28">
        <f t="shared" si="357"/>
        <v>999</v>
      </c>
      <c r="O1048" s="28"/>
      <c r="P1048" s="29">
        <f t="shared" si="373"/>
        <v>1.0389999999999964</v>
      </c>
      <c r="Q1048" s="33">
        <f t="shared" si="358"/>
        <v>6.7114093959731544</v>
      </c>
      <c r="R1048" s="33">
        <f t="shared" si="359"/>
        <v>6.7114093959731544</v>
      </c>
      <c r="S1048" s="33">
        <f t="shared" si="360"/>
        <v>-1</v>
      </c>
      <c r="T1048" s="27"/>
      <c r="U1048" s="28">
        <f t="shared" si="361"/>
        <v>0.10964912280701754</v>
      </c>
      <c r="V1048" s="25">
        <f t="shared" si="362"/>
        <v>999</v>
      </c>
      <c r="W1048" s="35">
        <f t="shared" si="374"/>
        <v>25</v>
      </c>
      <c r="X1048" s="33">
        <f t="shared" si="363"/>
        <v>25</v>
      </c>
      <c r="Y1048" s="32">
        <f t="shared" si="364"/>
        <v>-1</v>
      </c>
      <c r="Z1048" s="32"/>
      <c r="AA1048" s="30">
        <f t="shared" si="365"/>
        <v>28.461854540473908</v>
      </c>
      <c r="AB1048" s="28">
        <f t="shared" si="366"/>
        <v>0.81157706618277137</v>
      </c>
      <c r="AC1048" s="28">
        <f t="shared" si="367"/>
        <v>0.10964912280701754</v>
      </c>
      <c r="AD1048" s="29">
        <f t="shared" si="368"/>
        <v>985.7685009487667</v>
      </c>
      <c r="AE1048" s="28">
        <f t="shared" si="369"/>
        <v>0.10964912280701754</v>
      </c>
      <c r="AF1048" s="28">
        <f t="shared" si="370"/>
        <v>0</v>
      </c>
      <c r="AG1048" s="28">
        <f t="shared" si="371"/>
        <v>0</v>
      </c>
      <c r="AI1048" s="31">
        <f t="shared" si="372"/>
        <v>4.9101480731279947</v>
      </c>
      <c r="AJ1048" s="25"/>
      <c r="AK1048" s="31"/>
      <c r="AM1048" s="27"/>
    </row>
    <row r="1049" spans="4:39" x14ac:dyDescent="0.25">
      <c r="D1049" s="25">
        <f>E1049*'Profit per cycles Model'!$I$113</f>
        <v>10400</v>
      </c>
      <c r="E1049" s="25">
        <v>28.489248048212573</v>
      </c>
      <c r="F1049" s="28">
        <f t="shared" si="353"/>
        <v>9.6153846153846159E-2</v>
      </c>
      <c r="G1049" s="28">
        <f>'Battery Pricing Model'!$C$17/D1049</f>
        <v>9.6153846153846159E-2</v>
      </c>
      <c r="H1049" s="28">
        <f t="shared" si="354"/>
        <v>999</v>
      </c>
      <c r="I1049" s="28"/>
      <c r="J1049" s="34">
        <f>INDEX('Profit per cycles Model'!$I$149:$I$179, MATCH(TRUNC(E1049, 0), 'Profit per cycles Model'!$H$149:$H$179, 0))</f>
        <v>0.81157706618277137</v>
      </c>
      <c r="K1049" s="27">
        <f>AVERAGE($J$10:J2049)</f>
        <v>0.56883042089778579</v>
      </c>
      <c r="L1049" s="28">
        <f t="shared" si="355"/>
        <v>0.47267657474393965</v>
      </c>
      <c r="M1049" s="28">
        <f t="shared" si="356"/>
        <v>0.47267657474393965</v>
      </c>
      <c r="N1049" s="28">
        <f t="shared" si="357"/>
        <v>999</v>
      </c>
      <c r="O1049" s="28"/>
      <c r="P1049" s="29">
        <f t="shared" si="373"/>
        <v>1.0399999999999963</v>
      </c>
      <c r="Q1049" s="33">
        <f t="shared" si="358"/>
        <v>6.7114093959731544</v>
      </c>
      <c r="R1049" s="33">
        <f t="shared" si="359"/>
        <v>6.7114093959731544</v>
      </c>
      <c r="S1049" s="33">
        <f t="shared" si="360"/>
        <v>-1</v>
      </c>
      <c r="T1049" s="27"/>
      <c r="U1049" s="28">
        <f t="shared" si="361"/>
        <v>0.10964912280701754</v>
      </c>
      <c r="V1049" s="25">
        <f t="shared" si="362"/>
        <v>999</v>
      </c>
      <c r="W1049" s="35">
        <f t="shared" si="374"/>
        <v>25</v>
      </c>
      <c r="X1049" s="33">
        <f t="shared" si="363"/>
        <v>25</v>
      </c>
      <c r="Y1049" s="32">
        <f t="shared" si="364"/>
        <v>-1</v>
      </c>
      <c r="Z1049" s="32"/>
      <c r="AA1049" s="30">
        <f t="shared" si="365"/>
        <v>28.489248048212573</v>
      </c>
      <c r="AB1049" s="28">
        <f t="shared" si="366"/>
        <v>0.81157706618277137</v>
      </c>
      <c r="AC1049" s="28">
        <f t="shared" si="367"/>
        <v>0.10964912280701754</v>
      </c>
      <c r="AD1049" s="29">
        <f t="shared" si="368"/>
        <v>986.71726755218219</v>
      </c>
      <c r="AE1049" s="28">
        <f t="shared" si="369"/>
        <v>0.10964912280701754</v>
      </c>
      <c r="AF1049" s="28">
        <f t="shared" si="370"/>
        <v>0</v>
      </c>
      <c r="AG1049" s="28">
        <f t="shared" si="371"/>
        <v>0</v>
      </c>
      <c r="AI1049" s="31">
        <f t="shared" si="372"/>
        <v>4.915836377336972</v>
      </c>
      <c r="AJ1049" s="25"/>
      <c r="AK1049" s="31"/>
      <c r="AM1049" s="27"/>
    </row>
    <row r="1050" spans="4:39" x14ac:dyDescent="0.25">
      <c r="D1050" s="25">
        <f>E1050*'Profit per cycles Model'!$I$113</f>
        <v>10410</v>
      </c>
      <c r="E1050" s="25">
        <v>28.516641555951239</v>
      </c>
      <c r="F1050" s="28">
        <f t="shared" si="353"/>
        <v>9.6061479346781942E-2</v>
      </c>
      <c r="G1050" s="28">
        <f>'Battery Pricing Model'!$C$17/D1050</f>
        <v>9.6061479346781942E-2</v>
      </c>
      <c r="H1050" s="28">
        <f t="shared" si="354"/>
        <v>999</v>
      </c>
      <c r="I1050" s="28"/>
      <c r="J1050" s="34">
        <f>INDEX('Profit per cycles Model'!$I$149:$I$179, MATCH(TRUNC(E1050, 0), 'Profit per cycles Model'!$H$149:$H$179, 0))</f>
        <v>0.81157706618277137</v>
      </c>
      <c r="K1050" s="27">
        <f>AVERAGE($J$10:J2050)</f>
        <v>0.56883042089778579</v>
      </c>
      <c r="L1050" s="28">
        <f t="shared" si="355"/>
        <v>0.47276894155100385</v>
      </c>
      <c r="M1050" s="28">
        <f t="shared" si="356"/>
        <v>0.47276894155100385</v>
      </c>
      <c r="N1050" s="28">
        <f t="shared" si="357"/>
        <v>999</v>
      </c>
      <c r="O1050" s="28"/>
      <c r="P1050" s="29">
        <f t="shared" si="373"/>
        <v>1.0409999999999962</v>
      </c>
      <c r="Q1050" s="33">
        <f t="shared" si="358"/>
        <v>6.7114093959731544</v>
      </c>
      <c r="R1050" s="33">
        <f t="shared" si="359"/>
        <v>6.7114093959731544</v>
      </c>
      <c r="S1050" s="33">
        <f t="shared" si="360"/>
        <v>-1</v>
      </c>
      <c r="T1050" s="27"/>
      <c r="U1050" s="28">
        <f t="shared" si="361"/>
        <v>0.10964912280701754</v>
      </c>
      <c r="V1050" s="25">
        <f t="shared" si="362"/>
        <v>999</v>
      </c>
      <c r="W1050" s="35">
        <f t="shared" si="374"/>
        <v>25</v>
      </c>
      <c r="X1050" s="33">
        <f t="shared" si="363"/>
        <v>25</v>
      </c>
      <c r="Y1050" s="32">
        <f t="shared" si="364"/>
        <v>-1</v>
      </c>
      <c r="Z1050" s="32"/>
      <c r="AA1050" s="30">
        <f t="shared" si="365"/>
        <v>28.516641555951239</v>
      </c>
      <c r="AB1050" s="28">
        <f t="shared" si="366"/>
        <v>0.81157706618277137</v>
      </c>
      <c r="AC1050" s="28">
        <f t="shared" si="367"/>
        <v>0.10964912280701754</v>
      </c>
      <c r="AD1050" s="29">
        <f t="shared" si="368"/>
        <v>987.6660341555978</v>
      </c>
      <c r="AE1050" s="28">
        <f t="shared" si="369"/>
        <v>0.10964912280701754</v>
      </c>
      <c r="AF1050" s="28">
        <f t="shared" si="370"/>
        <v>0</v>
      </c>
      <c r="AG1050" s="28">
        <f t="shared" si="371"/>
        <v>0</v>
      </c>
      <c r="AI1050" s="31">
        <f t="shared" si="372"/>
        <v>4.9215246815459501</v>
      </c>
      <c r="AJ1050" s="25"/>
      <c r="AK1050" s="31"/>
      <c r="AM1050" s="27"/>
    </row>
    <row r="1051" spans="4:39" x14ac:dyDescent="0.25">
      <c r="D1051" s="25">
        <f>E1051*'Profit per cycles Model'!$I$113</f>
        <v>10420</v>
      </c>
      <c r="E1051" s="25">
        <v>28.544035063689904</v>
      </c>
      <c r="F1051" s="28">
        <f t="shared" si="353"/>
        <v>9.5969289827255277E-2</v>
      </c>
      <c r="G1051" s="28">
        <f>'Battery Pricing Model'!$C$17/D1051</f>
        <v>9.5969289827255277E-2</v>
      </c>
      <c r="H1051" s="28">
        <f t="shared" si="354"/>
        <v>999</v>
      </c>
      <c r="I1051" s="28"/>
      <c r="J1051" s="34">
        <f>INDEX('Profit per cycles Model'!$I$149:$I$179, MATCH(TRUNC(E1051, 0), 'Profit per cycles Model'!$H$149:$H$179, 0))</f>
        <v>0.81157706618277137</v>
      </c>
      <c r="K1051" s="27">
        <f>AVERAGE($J$10:J2051)</f>
        <v>0.56883042089778579</v>
      </c>
      <c r="L1051" s="28">
        <f t="shared" si="355"/>
        <v>0.47286113107053052</v>
      </c>
      <c r="M1051" s="28">
        <f t="shared" si="356"/>
        <v>0.47286113107053052</v>
      </c>
      <c r="N1051" s="28">
        <f t="shared" si="357"/>
        <v>999</v>
      </c>
      <c r="O1051" s="28"/>
      <c r="P1051" s="29">
        <f t="shared" si="373"/>
        <v>1.041999999999996</v>
      </c>
      <c r="Q1051" s="33">
        <f t="shared" si="358"/>
        <v>6.7114093959731544</v>
      </c>
      <c r="R1051" s="33">
        <f t="shared" si="359"/>
        <v>6.7114093959731544</v>
      </c>
      <c r="S1051" s="33">
        <f t="shared" si="360"/>
        <v>-1</v>
      </c>
      <c r="T1051" s="27"/>
      <c r="U1051" s="28">
        <f t="shared" si="361"/>
        <v>0.10964912280701754</v>
      </c>
      <c r="V1051" s="25">
        <f t="shared" si="362"/>
        <v>999</v>
      </c>
      <c r="W1051" s="35">
        <f t="shared" si="374"/>
        <v>25</v>
      </c>
      <c r="X1051" s="33">
        <f t="shared" si="363"/>
        <v>25</v>
      </c>
      <c r="Y1051" s="32">
        <f t="shared" si="364"/>
        <v>-1</v>
      </c>
      <c r="Z1051" s="32"/>
      <c r="AA1051" s="30">
        <f t="shared" si="365"/>
        <v>28.544035063689904</v>
      </c>
      <c r="AB1051" s="28">
        <f t="shared" si="366"/>
        <v>0.81157706618277137</v>
      </c>
      <c r="AC1051" s="28">
        <f t="shared" si="367"/>
        <v>0.10964912280701754</v>
      </c>
      <c r="AD1051" s="29">
        <f t="shared" si="368"/>
        <v>988.61480075901329</v>
      </c>
      <c r="AE1051" s="28">
        <f t="shared" si="369"/>
        <v>0.10964912280701754</v>
      </c>
      <c r="AF1051" s="28">
        <f t="shared" si="370"/>
        <v>0</v>
      </c>
      <c r="AG1051" s="28">
        <f t="shared" si="371"/>
        <v>0</v>
      </c>
      <c r="AI1051" s="31">
        <f t="shared" si="372"/>
        <v>4.9272129857549283</v>
      </c>
      <c r="AJ1051" s="25"/>
      <c r="AK1051" s="31"/>
      <c r="AM1051" s="27"/>
    </row>
    <row r="1052" spans="4:39" x14ac:dyDescent="0.25">
      <c r="D1052" s="25">
        <f>E1052*'Profit per cycles Model'!$I$113</f>
        <v>10430</v>
      </c>
      <c r="E1052" s="25">
        <v>28.571428571428569</v>
      </c>
      <c r="F1052" s="28">
        <f t="shared" si="353"/>
        <v>9.5877277085330781E-2</v>
      </c>
      <c r="G1052" s="28">
        <f>'Battery Pricing Model'!$C$17/D1052</f>
        <v>9.5877277085330781E-2</v>
      </c>
      <c r="H1052" s="28">
        <f t="shared" si="354"/>
        <v>999</v>
      </c>
      <c r="I1052" s="28"/>
      <c r="J1052" s="34">
        <f>INDEX('Profit per cycles Model'!$I$149:$I$179, MATCH(TRUNC(E1052, 0), 'Profit per cycles Model'!$H$149:$H$179, 0))</f>
        <v>0.81157706618277137</v>
      </c>
      <c r="K1052" s="27">
        <f>AVERAGE($J$10:J2052)</f>
        <v>0.56883042089778579</v>
      </c>
      <c r="L1052" s="28">
        <f t="shared" si="355"/>
        <v>0.47295314381245501</v>
      </c>
      <c r="M1052" s="28">
        <f t="shared" si="356"/>
        <v>0.47295314381245501</v>
      </c>
      <c r="N1052" s="28">
        <f t="shared" si="357"/>
        <v>999</v>
      </c>
      <c r="O1052" s="28"/>
      <c r="P1052" s="29">
        <f t="shared" si="373"/>
        <v>1.0429999999999959</v>
      </c>
      <c r="Q1052" s="33">
        <f t="shared" si="358"/>
        <v>6.7114093959731544</v>
      </c>
      <c r="R1052" s="33">
        <f t="shared" si="359"/>
        <v>6.7114093959731544</v>
      </c>
      <c r="S1052" s="33">
        <f t="shared" si="360"/>
        <v>-1</v>
      </c>
      <c r="T1052" s="27"/>
      <c r="U1052" s="28">
        <f t="shared" si="361"/>
        <v>0.10964912280701754</v>
      </c>
      <c r="V1052" s="25">
        <f t="shared" si="362"/>
        <v>999</v>
      </c>
      <c r="W1052" s="35">
        <f t="shared" si="374"/>
        <v>25</v>
      </c>
      <c r="X1052" s="33">
        <f t="shared" si="363"/>
        <v>25</v>
      </c>
      <c r="Y1052" s="32">
        <f t="shared" si="364"/>
        <v>-1</v>
      </c>
      <c r="Z1052" s="32"/>
      <c r="AA1052" s="30">
        <f t="shared" si="365"/>
        <v>28.571428571428569</v>
      </c>
      <c r="AB1052" s="28">
        <f t="shared" si="366"/>
        <v>0.81157706618277137</v>
      </c>
      <c r="AC1052" s="28">
        <f t="shared" si="367"/>
        <v>0.10964912280701754</v>
      </c>
      <c r="AD1052" s="29">
        <f t="shared" si="368"/>
        <v>989.56356736242878</v>
      </c>
      <c r="AE1052" s="28">
        <f t="shared" si="369"/>
        <v>0.10964912280701754</v>
      </c>
      <c r="AF1052" s="28">
        <f t="shared" si="370"/>
        <v>0</v>
      </c>
      <c r="AG1052" s="28">
        <f t="shared" si="371"/>
        <v>0</v>
      </c>
      <c r="AI1052" s="31">
        <f t="shared" si="372"/>
        <v>4.9329012899639055</v>
      </c>
      <c r="AJ1052" s="25"/>
      <c r="AK1052" s="31"/>
      <c r="AM1052" s="27"/>
    </row>
    <row r="1053" spans="4:39" x14ac:dyDescent="0.25">
      <c r="D1053" s="25">
        <f>E1053*'Profit per cycles Model'!$I$113</f>
        <v>10440</v>
      </c>
      <c r="E1053" s="25">
        <v>28.598822079167235</v>
      </c>
      <c r="F1053" s="28">
        <f t="shared" si="353"/>
        <v>9.5785440613026823E-2</v>
      </c>
      <c r="G1053" s="28">
        <f>'Battery Pricing Model'!$C$17/D1053</f>
        <v>9.5785440613026823E-2</v>
      </c>
      <c r="H1053" s="28">
        <f t="shared" si="354"/>
        <v>999</v>
      </c>
      <c r="I1053" s="28"/>
      <c r="J1053" s="34">
        <f>INDEX('Profit per cycles Model'!$I$149:$I$179, MATCH(TRUNC(E1053, 0), 'Profit per cycles Model'!$H$149:$H$179, 0))</f>
        <v>0.81157706618277137</v>
      </c>
      <c r="K1053" s="27">
        <f>AVERAGE($J$10:J2053)</f>
        <v>0.56883042089778579</v>
      </c>
      <c r="L1053" s="28">
        <f t="shared" si="355"/>
        <v>0.47304498028475894</v>
      </c>
      <c r="M1053" s="28">
        <f t="shared" si="356"/>
        <v>0.47304498028475894</v>
      </c>
      <c r="N1053" s="28">
        <f t="shared" si="357"/>
        <v>999</v>
      </c>
      <c r="O1053" s="28"/>
      <c r="P1053" s="29">
        <f t="shared" si="373"/>
        <v>1.0439999999999958</v>
      </c>
      <c r="Q1053" s="33">
        <f t="shared" si="358"/>
        <v>6.7114093959731544</v>
      </c>
      <c r="R1053" s="33">
        <f t="shared" si="359"/>
        <v>6.7114093959731544</v>
      </c>
      <c r="S1053" s="33">
        <f t="shared" si="360"/>
        <v>-1</v>
      </c>
      <c r="T1053" s="27"/>
      <c r="U1053" s="28">
        <f t="shared" si="361"/>
        <v>0.10964912280701754</v>
      </c>
      <c r="V1053" s="25">
        <f t="shared" si="362"/>
        <v>999</v>
      </c>
      <c r="W1053" s="35">
        <f t="shared" si="374"/>
        <v>25</v>
      </c>
      <c r="X1053" s="33">
        <f t="shared" si="363"/>
        <v>25</v>
      </c>
      <c r="Y1053" s="32">
        <f t="shared" si="364"/>
        <v>-1</v>
      </c>
      <c r="Z1053" s="32"/>
      <c r="AA1053" s="30">
        <f t="shared" si="365"/>
        <v>28.598822079167235</v>
      </c>
      <c r="AB1053" s="28">
        <f t="shared" si="366"/>
        <v>0.81157706618277137</v>
      </c>
      <c r="AC1053" s="28">
        <f t="shared" si="367"/>
        <v>0.10964912280701754</v>
      </c>
      <c r="AD1053" s="29">
        <f t="shared" si="368"/>
        <v>990.51233396584439</v>
      </c>
      <c r="AE1053" s="28">
        <f t="shared" si="369"/>
        <v>0.10964912280701754</v>
      </c>
      <c r="AF1053" s="28">
        <f t="shared" si="370"/>
        <v>0</v>
      </c>
      <c r="AG1053" s="28">
        <f t="shared" si="371"/>
        <v>0</v>
      </c>
      <c r="AI1053" s="31">
        <f t="shared" si="372"/>
        <v>4.9385895941728828</v>
      </c>
      <c r="AJ1053" s="25"/>
      <c r="AK1053" s="31"/>
      <c r="AM1053" s="27"/>
    </row>
    <row r="1054" spans="4:39" x14ac:dyDescent="0.25">
      <c r="D1054" s="25">
        <f>E1054*'Profit per cycles Model'!$I$113</f>
        <v>10450</v>
      </c>
      <c r="E1054" s="25">
        <v>28.626215586905904</v>
      </c>
      <c r="F1054" s="28">
        <f t="shared" si="353"/>
        <v>9.569377990430622E-2</v>
      </c>
      <c r="G1054" s="28">
        <f>'Battery Pricing Model'!$C$17/D1054</f>
        <v>9.569377990430622E-2</v>
      </c>
      <c r="H1054" s="28">
        <f t="shared" si="354"/>
        <v>999</v>
      </c>
      <c r="I1054" s="28"/>
      <c r="J1054" s="34">
        <f>INDEX('Profit per cycles Model'!$I$149:$I$179, MATCH(TRUNC(E1054, 0), 'Profit per cycles Model'!$H$149:$H$179, 0))</f>
        <v>0.81157706618277137</v>
      </c>
      <c r="K1054" s="27">
        <f>AVERAGE($J$10:J2054)</f>
        <v>0.56883042089778579</v>
      </c>
      <c r="L1054" s="28">
        <f t="shared" si="355"/>
        <v>0.47313664099347957</v>
      </c>
      <c r="M1054" s="28">
        <f t="shared" si="356"/>
        <v>0.47313664099347957</v>
      </c>
      <c r="N1054" s="28">
        <f t="shared" si="357"/>
        <v>999</v>
      </c>
      <c r="O1054" s="28"/>
      <c r="P1054" s="29">
        <f t="shared" si="373"/>
        <v>1.0449999999999957</v>
      </c>
      <c r="Q1054" s="33">
        <f t="shared" si="358"/>
        <v>6.7114093959731544</v>
      </c>
      <c r="R1054" s="33">
        <f t="shared" si="359"/>
        <v>6.7114093959731544</v>
      </c>
      <c r="S1054" s="33">
        <f t="shared" si="360"/>
        <v>-1</v>
      </c>
      <c r="T1054" s="27"/>
      <c r="U1054" s="28">
        <f t="shared" si="361"/>
        <v>0.10964912280701754</v>
      </c>
      <c r="V1054" s="25">
        <f t="shared" si="362"/>
        <v>999</v>
      </c>
      <c r="W1054" s="35">
        <f t="shared" si="374"/>
        <v>25</v>
      </c>
      <c r="X1054" s="33">
        <f t="shared" si="363"/>
        <v>25</v>
      </c>
      <c r="Y1054" s="32">
        <f t="shared" si="364"/>
        <v>-1</v>
      </c>
      <c r="Z1054" s="32"/>
      <c r="AA1054" s="30">
        <f t="shared" si="365"/>
        <v>28.626215586905904</v>
      </c>
      <c r="AB1054" s="28">
        <f t="shared" si="366"/>
        <v>0.81157706618277137</v>
      </c>
      <c r="AC1054" s="28">
        <f t="shared" si="367"/>
        <v>0.10964912280701754</v>
      </c>
      <c r="AD1054" s="29">
        <f t="shared" si="368"/>
        <v>991.46110056926</v>
      </c>
      <c r="AE1054" s="28">
        <f t="shared" si="369"/>
        <v>0.10964912280701754</v>
      </c>
      <c r="AF1054" s="28">
        <f t="shared" si="370"/>
        <v>0</v>
      </c>
      <c r="AG1054" s="28">
        <f t="shared" si="371"/>
        <v>0</v>
      </c>
      <c r="AI1054" s="31">
        <f t="shared" si="372"/>
        <v>4.9442778983818618</v>
      </c>
      <c r="AJ1054" s="25"/>
      <c r="AK1054" s="31"/>
      <c r="AM1054" s="27"/>
    </row>
    <row r="1055" spans="4:39" x14ac:dyDescent="0.25">
      <c r="D1055" s="25">
        <f>E1055*'Profit per cycles Model'!$I$113</f>
        <v>10460</v>
      </c>
      <c r="E1055" s="25">
        <v>28.653609094644569</v>
      </c>
      <c r="F1055" s="28">
        <f t="shared" si="353"/>
        <v>9.5602294455066919E-2</v>
      </c>
      <c r="G1055" s="28">
        <f>'Battery Pricing Model'!$C$17/D1055</f>
        <v>9.5602294455066919E-2</v>
      </c>
      <c r="H1055" s="28">
        <f t="shared" si="354"/>
        <v>999</v>
      </c>
      <c r="I1055" s="28"/>
      <c r="J1055" s="34">
        <f>INDEX('Profit per cycles Model'!$I$149:$I$179, MATCH(TRUNC(E1055, 0), 'Profit per cycles Model'!$H$149:$H$179, 0))</f>
        <v>0.81157706618277137</v>
      </c>
      <c r="K1055" s="27">
        <f>AVERAGE($J$10:J2055)</f>
        <v>0.56883042089778579</v>
      </c>
      <c r="L1055" s="28">
        <f t="shared" si="355"/>
        <v>0.47322812644271889</v>
      </c>
      <c r="M1055" s="28">
        <f t="shared" si="356"/>
        <v>0.47322812644271889</v>
      </c>
      <c r="N1055" s="28">
        <f t="shared" si="357"/>
        <v>999</v>
      </c>
      <c r="O1055" s="28"/>
      <c r="P1055" s="29">
        <f t="shared" si="373"/>
        <v>1.0459999999999956</v>
      </c>
      <c r="Q1055" s="33">
        <f t="shared" si="358"/>
        <v>6.7114093959731544</v>
      </c>
      <c r="R1055" s="33">
        <f t="shared" si="359"/>
        <v>6.7114093959731544</v>
      </c>
      <c r="S1055" s="33">
        <f t="shared" si="360"/>
        <v>-1</v>
      </c>
      <c r="T1055" s="27"/>
      <c r="U1055" s="28">
        <f t="shared" si="361"/>
        <v>0.10964912280701754</v>
      </c>
      <c r="V1055" s="25">
        <f t="shared" si="362"/>
        <v>999</v>
      </c>
      <c r="W1055" s="35">
        <f t="shared" si="374"/>
        <v>25</v>
      </c>
      <c r="X1055" s="33">
        <f t="shared" si="363"/>
        <v>25</v>
      </c>
      <c r="Y1055" s="32">
        <f t="shared" si="364"/>
        <v>-1</v>
      </c>
      <c r="Z1055" s="32"/>
      <c r="AA1055" s="30">
        <f t="shared" si="365"/>
        <v>28.653609094644569</v>
      </c>
      <c r="AB1055" s="28">
        <f t="shared" si="366"/>
        <v>0.81157706618277137</v>
      </c>
      <c r="AC1055" s="28">
        <f t="shared" si="367"/>
        <v>0.10964912280701754</v>
      </c>
      <c r="AD1055" s="29">
        <f t="shared" si="368"/>
        <v>992.4098671726756</v>
      </c>
      <c r="AE1055" s="28">
        <f t="shared" si="369"/>
        <v>0.10964912280701754</v>
      </c>
      <c r="AF1055" s="28">
        <f t="shared" si="370"/>
        <v>0</v>
      </c>
      <c r="AG1055" s="28">
        <f t="shared" si="371"/>
        <v>0</v>
      </c>
      <c r="AI1055" s="31">
        <f t="shared" si="372"/>
        <v>4.94996620259084</v>
      </c>
      <c r="AJ1055" s="25"/>
      <c r="AK1055" s="31"/>
      <c r="AM1055" s="27"/>
    </row>
    <row r="1056" spans="4:39" x14ac:dyDescent="0.25">
      <c r="D1056" s="25">
        <f>E1056*'Profit per cycles Model'!$I$113</f>
        <v>10470</v>
      </c>
      <c r="E1056" s="25">
        <v>28.681002602383234</v>
      </c>
      <c r="F1056" s="28">
        <f t="shared" si="353"/>
        <v>9.5510983763132759E-2</v>
      </c>
      <c r="G1056" s="28">
        <f>'Battery Pricing Model'!$C$17/D1056</f>
        <v>9.5510983763132759E-2</v>
      </c>
      <c r="H1056" s="28">
        <f t="shared" si="354"/>
        <v>999</v>
      </c>
      <c r="I1056" s="28"/>
      <c r="J1056" s="34">
        <f>INDEX('Profit per cycles Model'!$I$149:$I$179, MATCH(TRUNC(E1056, 0), 'Profit per cycles Model'!$H$149:$H$179, 0))</f>
        <v>0.81157706618277137</v>
      </c>
      <c r="K1056" s="27">
        <f>AVERAGE($J$10:J2056)</f>
        <v>0.56883042089778579</v>
      </c>
      <c r="L1056" s="28">
        <f t="shared" si="355"/>
        <v>0.47331943713465302</v>
      </c>
      <c r="M1056" s="28">
        <f t="shared" si="356"/>
        <v>0.47331943713465302</v>
      </c>
      <c r="N1056" s="28">
        <f t="shared" si="357"/>
        <v>999</v>
      </c>
      <c r="O1056" s="28"/>
      <c r="P1056" s="29">
        <f t="shared" si="373"/>
        <v>1.0469999999999955</v>
      </c>
      <c r="Q1056" s="33">
        <f t="shared" si="358"/>
        <v>6.7114093959731544</v>
      </c>
      <c r="R1056" s="33">
        <f t="shared" si="359"/>
        <v>6.7114093959731544</v>
      </c>
      <c r="S1056" s="33">
        <f t="shared" si="360"/>
        <v>-1</v>
      </c>
      <c r="T1056" s="27"/>
      <c r="U1056" s="28">
        <f t="shared" si="361"/>
        <v>0.10964912280701754</v>
      </c>
      <c r="V1056" s="25">
        <f t="shared" si="362"/>
        <v>999</v>
      </c>
      <c r="W1056" s="35">
        <f t="shared" si="374"/>
        <v>25</v>
      </c>
      <c r="X1056" s="33">
        <f t="shared" si="363"/>
        <v>25</v>
      </c>
      <c r="Y1056" s="32">
        <f t="shared" si="364"/>
        <v>-1</v>
      </c>
      <c r="Z1056" s="32"/>
      <c r="AA1056" s="30">
        <f t="shared" si="365"/>
        <v>28.681002602383234</v>
      </c>
      <c r="AB1056" s="28">
        <f t="shared" si="366"/>
        <v>0.81157706618277137</v>
      </c>
      <c r="AC1056" s="28">
        <f t="shared" si="367"/>
        <v>0.10964912280701754</v>
      </c>
      <c r="AD1056" s="29">
        <f t="shared" si="368"/>
        <v>993.35863377609121</v>
      </c>
      <c r="AE1056" s="28">
        <f t="shared" si="369"/>
        <v>0.10964912280701754</v>
      </c>
      <c r="AF1056" s="28">
        <f t="shared" si="370"/>
        <v>0</v>
      </c>
      <c r="AG1056" s="28">
        <f t="shared" si="371"/>
        <v>0</v>
      </c>
      <c r="AI1056" s="31">
        <f t="shared" si="372"/>
        <v>4.9556545067998172</v>
      </c>
      <c r="AJ1056" s="25"/>
      <c r="AK1056" s="31"/>
      <c r="AM1056" s="27"/>
    </row>
    <row r="1057" spans="4:39" x14ac:dyDescent="0.25">
      <c r="D1057" s="25">
        <f>E1057*'Profit per cycles Model'!$I$113</f>
        <v>10480</v>
      </c>
      <c r="E1057" s="25">
        <v>28.7083961101219</v>
      </c>
      <c r="F1057" s="28">
        <f t="shared" si="353"/>
        <v>9.5419847328244281E-2</v>
      </c>
      <c r="G1057" s="28">
        <f>'Battery Pricing Model'!$C$17/D1057</f>
        <v>9.5419847328244281E-2</v>
      </c>
      <c r="H1057" s="28">
        <f t="shared" si="354"/>
        <v>999</v>
      </c>
      <c r="I1057" s="28"/>
      <c r="J1057" s="34">
        <f>INDEX('Profit per cycles Model'!$I$149:$I$179, MATCH(TRUNC(E1057, 0), 'Profit per cycles Model'!$H$149:$H$179, 0))</f>
        <v>0.81157706618277137</v>
      </c>
      <c r="K1057" s="27">
        <f>AVERAGE($J$10:J2057)</f>
        <v>0.56883042089778579</v>
      </c>
      <c r="L1057" s="28">
        <f t="shared" si="355"/>
        <v>0.47341057356954153</v>
      </c>
      <c r="M1057" s="28">
        <f t="shared" si="356"/>
        <v>0.47341057356954153</v>
      </c>
      <c r="N1057" s="28">
        <f t="shared" si="357"/>
        <v>999</v>
      </c>
      <c r="O1057" s="28"/>
      <c r="P1057" s="29">
        <f t="shared" si="373"/>
        <v>1.0479999999999954</v>
      </c>
      <c r="Q1057" s="33">
        <f t="shared" si="358"/>
        <v>6.7114093959731544</v>
      </c>
      <c r="R1057" s="33">
        <f t="shared" si="359"/>
        <v>6.7114093959731544</v>
      </c>
      <c r="S1057" s="33">
        <f t="shared" si="360"/>
        <v>-1</v>
      </c>
      <c r="T1057" s="27"/>
      <c r="U1057" s="28">
        <f t="shared" si="361"/>
        <v>0.10964912280701754</v>
      </c>
      <c r="V1057" s="25">
        <f t="shared" si="362"/>
        <v>999</v>
      </c>
      <c r="W1057" s="35">
        <f t="shared" si="374"/>
        <v>25</v>
      </c>
      <c r="X1057" s="33">
        <f t="shared" si="363"/>
        <v>25</v>
      </c>
      <c r="Y1057" s="32">
        <f t="shared" si="364"/>
        <v>-1</v>
      </c>
      <c r="Z1057" s="32"/>
      <c r="AA1057" s="30">
        <f t="shared" si="365"/>
        <v>28.7083961101219</v>
      </c>
      <c r="AB1057" s="28">
        <f t="shared" si="366"/>
        <v>0.81157706618277137</v>
      </c>
      <c r="AC1057" s="28">
        <f t="shared" si="367"/>
        <v>0.10964912280701754</v>
      </c>
      <c r="AD1057" s="29">
        <f t="shared" si="368"/>
        <v>994.30740037950659</v>
      </c>
      <c r="AE1057" s="28">
        <f t="shared" si="369"/>
        <v>0.10964912280701754</v>
      </c>
      <c r="AF1057" s="28">
        <f t="shared" si="370"/>
        <v>0</v>
      </c>
      <c r="AG1057" s="28">
        <f t="shared" si="371"/>
        <v>0</v>
      </c>
      <c r="AI1057" s="31">
        <f t="shared" si="372"/>
        <v>4.9613428110087945</v>
      </c>
      <c r="AJ1057" s="25"/>
      <c r="AK1057" s="31"/>
      <c r="AM1057" s="27"/>
    </row>
    <row r="1058" spans="4:39" x14ac:dyDescent="0.25">
      <c r="D1058" s="25">
        <f>E1058*'Profit per cycles Model'!$I$113</f>
        <v>10490</v>
      </c>
      <c r="E1058" s="25">
        <v>28.735789617860565</v>
      </c>
      <c r="F1058" s="28">
        <f t="shared" si="353"/>
        <v>9.532888465204957E-2</v>
      </c>
      <c r="G1058" s="28">
        <f>'Battery Pricing Model'!$C$17/D1058</f>
        <v>9.532888465204957E-2</v>
      </c>
      <c r="H1058" s="28">
        <f t="shared" si="354"/>
        <v>999</v>
      </c>
      <c r="I1058" s="28"/>
      <c r="J1058" s="34">
        <f>INDEX('Profit per cycles Model'!$I$149:$I$179, MATCH(TRUNC(E1058, 0), 'Profit per cycles Model'!$H$149:$H$179, 0))</f>
        <v>0.81157706618277137</v>
      </c>
      <c r="K1058" s="27">
        <f>AVERAGE($J$10:J2058)</f>
        <v>0.56883042089778579</v>
      </c>
      <c r="L1058" s="28">
        <f t="shared" si="355"/>
        <v>0.47350153624573621</v>
      </c>
      <c r="M1058" s="28">
        <f t="shared" si="356"/>
        <v>0.47350153624573621</v>
      </c>
      <c r="N1058" s="28">
        <f t="shared" si="357"/>
        <v>999</v>
      </c>
      <c r="O1058" s="28"/>
      <c r="P1058" s="29">
        <f t="shared" si="373"/>
        <v>1.0489999999999953</v>
      </c>
      <c r="Q1058" s="33">
        <f t="shared" si="358"/>
        <v>6.7114093959731544</v>
      </c>
      <c r="R1058" s="33">
        <f t="shared" si="359"/>
        <v>6.7114093959731544</v>
      </c>
      <c r="S1058" s="33">
        <f t="shared" si="360"/>
        <v>-1</v>
      </c>
      <c r="T1058" s="27"/>
      <c r="U1058" s="28">
        <f t="shared" si="361"/>
        <v>0.10964912280701754</v>
      </c>
      <c r="V1058" s="25">
        <f t="shared" si="362"/>
        <v>999</v>
      </c>
      <c r="W1058" s="35">
        <f t="shared" si="374"/>
        <v>25</v>
      </c>
      <c r="X1058" s="33">
        <f t="shared" si="363"/>
        <v>25</v>
      </c>
      <c r="Y1058" s="32">
        <f t="shared" si="364"/>
        <v>-1</v>
      </c>
      <c r="Z1058" s="32"/>
      <c r="AA1058" s="30">
        <f t="shared" si="365"/>
        <v>28.735789617860565</v>
      </c>
      <c r="AB1058" s="28">
        <f t="shared" si="366"/>
        <v>0.81157706618277137</v>
      </c>
      <c r="AC1058" s="28">
        <f t="shared" si="367"/>
        <v>0.10964912280701754</v>
      </c>
      <c r="AD1058" s="29">
        <f t="shared" si="368"/>
        <v>995.2561669829222</v>
      </c>
      <c r="AE1058" s="28">
        <f t="shared" si="369"/>
        <v>0.10964912280701754</v>
      </c>
      <c r="AF1058" s="28">
        <f t="shared" si="370"/>
        <v>0</v>
      </c>
      <c r="AG1058" s="28">
        <f t="shared" si="371"/>
        <v>0</v>
      </c>
      <c r="AI1058" s="31">
        <f t="shared" si="372"/>
        <v>4.9670311152177726</v>
      </c>
      <c r="AJ1058" s="25"/>
      <c r="AK1058" s="31"/>
      <c r="AM1058" s="27"/>
    </row>
    <row r="1059" spans="4:39" x14ac:dyDescent="0.25">
      <c r="D1059" s="25">
        <f>E1059*'Profit per cycles Model'!$I$113</f>
        <v>10500</v>
      </c>
      <c r="E1059" s="25">
        <v>28.763183125599234</v>
      </c>
      <c r="F1059" s="28">
        <f t="shared" si="353"/>
        <v>9.5238095238095233E-2</v>
      </c>
      <c r="G1059" s="28">
        <f>'Battery Pricing Model'!$C$17/D1059</f>
        <v>9.5238095238095233E-2</v>
      </c>
      <c r="H1059" s="28">
        <f t="shared" si="354"/>
        <v>999</v>
      </c>
      <c r="I1059" s="28"/>
      <c r="J1059" s="34">
        <f>INDEX('Profit per cycles Model'!$I$149:$I$179, MATCH(TRUNC(E1059, 0), 'Profit per cycles Model'!$H$149:$H$179, 0))</f>
        <v>0.81157706618277137</v>
      </c>
      <c r="K1059" s="27">
        <f>AVERAGE($J$10:J2059)</f>
        <v>0.56883042089778579</v>
      </c>
      <c r="L1059" s="28">
        <f t="shared" si="355"/>
        <v>0.47359232565969056</v>
      </c>
      <c r="M1059" s="28">
        <f t="shared" si="356"/>
        <v>0.47359232565969056</v>
      </c>
      <c r="N1059" s="28">
        <f t="shared" si="357"/>
        <v>999</v>
      </c>
      <c r="O1059" s="28"/>
      <c r="P1059" s="29">
        <f t="shared" si="373"/>
        <v>1.0499999999999952</v>
      </c>
      <c r="Q1059" s="33">
        <f t="shared" si="358"/>
        <v>6.7114093959731544</v>
      </c>
      <c r="R1059" s="33">
        <f t="shared" si="359"/>
        <v>6.7114093959731544</v>
      </c>
      <c r="S1059" s="33">
        <f t="shared" si="360"/>
        <v>-1</v>
      </c>
      <c r="T1059" s="27"/>
      <c r="U1059" s="28">
        <f t="shared" si="361"/>
        <v>0.10964912280701754</v>
      </c>
      <c r="V1059" s="25">
        <f t="shared" si="362"/>
        <v>999</v>
      </c>
      <c r="W1059" s="35">
        <f t="shared" si="374"/>
        <v>25</v>
      </c>
      <c r="X1059" s="33">
        <f t="shared" si="363"/>
        <v>25</v>
      </c>
      <c r="Y1059" s="32">
        <f t="shared" si="364"/>
        <v>-1</v>
      </c>
      <c r="Z1059" s="32"/>
      <c r="AA1059" s="30">
        <f t="shared" si="365"/>
        <v>28.763183125599234</v>
      </c>
      <c r="AB1059" s="28">
        <f t="shared" si="366"/>
        <v>0.81157706618277137</v>
      </c>
      <c r="AC1059" s="28">
        <f t="shared" si="367"/>
        <v>0.10964912280701754</v>
      </c>
      <c r="AD1059" s="29">
        <f t="shared" si="368"/>
        <v>996.2049335863378</v>
      </c>
      <c r="AE1059" s="28">
        <f t="shared" si="369"/>
        <v>0.10964912280701754</v>
      </c>
      <c r="AF1059" s="28">
        <f t="shared" si="370"/>
        <v>0</v>
      </c>
      <c r="AG1059" s="28">
        <f t="shared" si="371"/>
        <v>0</v>
      </c>
      <c r="AI1059" s="31">
        <f t="shared" si="372"/>
        <v>4.9727194194267508</v>
      </c>
      <c r="AJ1059" s="25"/>
      <c r="AK1059" s="31"/>
      <c r="AM1059" s="27"/>
    </row>
    <row r="1060" spans="4:39" x14ac:dyDescent="0.25">
      <c r="D1060" s="25">
        <f>E1060*'Profit per cycles Model'!$I$113</f>
        <v>10510</v>
      </c>
      <c r="E1060" s="25">
        <v>28.790576633337899</v>
      </c>
      <c r="F1060" s="28">
        <f t="shared" si="353"/>
        <v>9.5147478591817311E-2</v>
      </c>
      <c r="G1060" s="28">
        <f>'Battery Pricing Model'!$C$17/D1060</f>
        <v>9.5147478591817311E-2</v>
      </c>
      <c r="H1060" s="28">
        <f t="shared" si="354"/>
        <v>999</v>
      </c>
      <c r="I1060" s="28"/>
      <c r="J1060" s="34">
        <f>INDEX('Profit per cycles Model'!$I$149:$I$179, MATCH(TRUNC(E1060, 0), 'Profit per cycles Model'!$H$149:$H$179, 0))</f>
        <v>0.81157706618277137</v>
      </c>
      <c r="K1060" s="27">
        <f>AVERAGE($J$10:J2060)</f>
        <v>0.56883042089778579</v>
      </c>
      <c r="L1060" s="28">
        <f t="shared" si="355"/>
        <v>0.47368294230596847</v>
      </c>
      <c r="M1060" s="28">
        <f t="shared" si="356"/>
        <v>0.47368294230596847</v>
      </c>
      <c r="N1060" s="28">
        <f t="shared" si="357"/>
        <v>999</v>
      </c>
      <c r="O1060" s="28"/>
      <c r="P1060" s="29">
        <f t="shared" si="373"/>
        <v>1.050999999999995</v>
      </c>
      <c r="Q1060" s="33">
        <f t="shared" si="358"/>
        <v>6.7114093959731544</v>
      </c>
      <c r="R1060" s="33">
        <f t="shared" si="359"/>
        <v>6.7114093959731544</v>
      </c>
      <c r="S1060" s="33">
        <f t="shared" si="360"/>
        <v>-1</v>
      </c>
      <c r="T1060" s="27"/>
      <c r="U1060" s="28">
        <f t="shared" si="361"/>
        <v>0.10964912280701754</v>
      </c>
      <c r="V1060" s="25">
        <f t="shared" si="362"/>
        <v>999</v>
      </c>
      <c r="W1060" s="35">
        <f t="shared" si="374"/>
        <v>25</v>
      </c>
      <c r="X1060" s="33">
        <f t="shared" si="363"/>
        <v>25</v>
      </c>
      <c r="Y1060" s="32">
        <f t="shared" si="364"/>
        <v>-1</v>
      </c>
      <c r="Z1060" s="32"/>
      <c r="AA1060" s="30">
        <f t="shared" si="365"/>
        <v>28.790576633337899</v>
      </c>
      <c r="AB1060" s="28">
        <f t="shared" si="366"/>
        <v>0.81157706618277137</v>
      </c>
      <c r="AC1060" s="28">
        <f t="shared" si="367"/>
        <v>0.10964912280701754</v>
      </c>
      <c r="AD1060" s="29">
        <f t="shared" si="368"/>
        <v>997.15370018975341</v>
      </c>
      <c r="AE1060" s="28">
        <f t="shared" si="369"/>
        <v>0.10964912280701754</v>
      </c>
      <c r="AF1060" s="28">
        <f t="shared" si="370"/>
        <v>0</v>
      </c>
      <c r="AG1060" s="28">
        <f t="shared" si="371"/>
        <v>0</v>
      </c>
      <c r="AI1060" s="31">
        <f t="shared" si="372"/>
        <v>4.9784077236357289</v>
      </c>
      <c r="AJ1060" s="25"/>
      <c r="AK1060" s="31"/>
      <c r="AM1060" s="27"/>
    </row>
    <row r="1061" spans="4:39" x14ac:dyDescent="0.25">
      <c r="D1061" s="25">
        <f>E1061*'Profit per cycles Model'!$I$113</f>
        <v>10520</v>
      </c>
      <c r="E1061" s="25">
        <v>28.817970141076565</v>
      </c>
      <c r="F1061" s="28">
        <f t="shared" si="353"/>
        <v>9.5057034220532313E-2</v>
      </c>
      <c r="G1061" s="28">
        <f>'Battery Pricing Model'!$C$17/D1061</f>
        <v>9.5057034220532313E-2</v>
      </c>
      <c r="H1061" s="28">
        <f t="shared" si="354"/>
        <v>999</v>
      </c>
      <c r="I1061" s="28"/>
      <c r="J1061" s="34">
        <f>INDEX('Profit per cycles Model'!$I$149:$I$179, MATCH(TRUNC(E1061, 0), 'Profit per cycles Model'!$H$149:$H$179, 0))</f>
        <v>0.81157706618277137</v>
      </c>
      <c r="K1061" s="27">
        <f>AVERAGE($J$10:J2061)</f>
        <v>0.56883042089778579</v>
      </c>
      <c r="L1061" s="28">
        <f t="shared" si="355"/>
        <v>0.47377338667725349</v>
      </c>
      <c r="M1061" s="28">
        <f t="shared" si="356"/>
        <v>0.47377338667725349</v>
      </c>
      <c r="N1061" s="28">
        <f t="shared" si="357"/>
        <v>999</v>
      </c>
      <c r="O1061" s="28"/>
      <c r="P1061" s="29">
        <f t="shared" si="373"/>
        <v>1.0519999999999949</v>
      </c>
      <c r="Q1061" s="33">
        <f t="shared" si="358"/>
        <v>6.7114093959731544</v>
      </c>
      <c r="R1061" s="33">
        <f t="shared" si="359"/>
        <v>6.7114093959731544</v>
      </c>
      <c r="S1061" s="33">
        <f t="shared" si="360"/>
        <v>-1</v>
      </c>
      <c r="T1061" s="27"/>
      <c r="U1061" s="28">
        <f t="shared" si="361"/>
        <v>0.10964912280701754</v>
      </c>
      <c r="V1061" s="25">
        <f t="shared" si="362"/>
        <v>999</v>
      </c>
      <c r="W1061" s="35">
        <f t="shared" si="374"/>
        <v>25</v>
      </c>
      <c r="X1061" s="33">
        <f t="shared" si="363"/>
        <v>25</v>
      </c>
      <c r="Y1061" s="32">
        <f t="shared" si="364"/>
        <v>-1</v>
      </c>
      <c r="Z1061" s="32"/>
      <c r="AA1061" s="30">
        <f t="shared" si="365"/>
        <v>28.817970141076565</v>
      </c>
      <c r="AB1061" s="28">
        <f t="shared" si="366"/>
        <v>0.81157706618277137</v>
      </c>
      <c r="AC1061" s="28">
        <f t="shared" si="367"/>
        <v>0.10964912280701754</v>
      </c>
      <c r="AD1061" s="29">
        <f t="shared" si="368"/>
        <v>998.1024667931689</v>
      </c>
      <c r="AE1061" s="28">
        <f t="shared" si="369"/>
        <v>0.10964912280701754</v>
      </c>
      <c r="AF1061" s="28">
        <f t="shared" si="370"/>
        <v>0</v>
      </c>
      <c r="AG1061" s="28">
        <f t="shared" si="371"/>
        <v>0</v>
      </c>
      <c r="AI1061" s="31">
        <f t="shared" si="372"/>
        <v>4.9840960278447071</v>
      </c>
      <c r="AJ1061" s="25"/>
      <c r="AK1061" s="31"/>
      <c r="AM1061" s="27"/>
    </row>
    <row r="1062" spans="4:39" x14ac:dyDescent="0.25">
      <c r="D1062" s="25">
        <f>E1062*'Profit per cycles Model'!$I$113</f>
        <v>10530</v>
      </c>
      <c r="E1062" s="25">
        <v>28.84536364881523</v>
      </c>
      <c r="F1062" s="28">
        <f t="shared" si="353"/>
        <v>9.4966761633428307E-2</v>
      </c>
      <c r="G1062" s="28">
        <f>'Battery Pricing Model'!$C$17/D1062</f>
        <v>9.4966761633428307E-2</v>
      </c>
      <c r="H1062" s="28">
        <f t="shared" si="354"/>
        <v>999</v>
      </c>
      <c r="I1062" s="28"/>
      <c r="J1062" s="34">
        <f>INDEX('Profit per cycles Model'!$I$149:$I$179, MATCH(TRUNC(E1062, 0), 'Profit per cycles Model'!$H$149:$H$179, 0))</f>
        <v>0.81157706618277137</v>
      </c>
      <c r="K1062" s="27">
        <f>AVERAGE($J$10:J2062)</f>
        <v>0.56883042089778579</v>
      </c>
      <c r="L1062" s="28">
        <f t="shared" si="355"/>
        <v>0.47386365926435747</v>
      </c>
      <c r="M1062" s="28">
        <f t="shared" si="356"/>
        <v>0.47386365926435747</v>
      </c>
      <c r="N1062" s="28">
        <f t="shared" si="357"/>
        <v>999</v>
      </c>
      <c r="O1062" s="28"/>
      <c r="P1062" s="29">
        <f t="shared" si="373"/>
        <v>1.0529999999999948</v>
      </c>
      <c r="Q1062" s="33">
        <f t="shared" si="358"/>
        <v>6.7114093959731544</v>
      </c>
      <c r="R1062" s="33">
        <f t="shared" si="359"/>
        <v>6.7114093959731544</v>
      </c>
      <c r="S1062" s="33">
        <f t="shared" si="360"/>
        <v>-1</v>
      </c>
      <c r="T1062" s="27"/>
      <c r="U1062" s="28">
        <f t="shared" si="361"/>
        <v>0.10964912280701754</v>
      </c>
      <c r="V1062" s="25">
        <f t="shared" si="362"/>
        <v>999</v>
      </c>
      <c r="W1062" s="35">
        <f t="shared" si="374"/>
        <v>25</v>
      </c>
      <c r="X1062" s="33">
        <f t="shared" si="363"/>
        <v>25</v>
      </c>
      <c r="Y1062" s="32">
        <f t="shared" si="364"/>
        <v>-1</v>
      </c>
      <c r="Z1062" s="32"/>
      <c r="AA1062" s="30">
        <f t="shared" si="365"/>
        <v>28.84536364881523</v>
      </c>
      <c r="AB1062" s="28">
        <f t="shared" si="366"/>
        <v>0.81157706618277137</v>
      </c>
      <c r="AC1062" s="28">
        <f t="shared" si="367"/>
        <v>0.10964912280701754</v>
      </c>
      <c r="AD1062" s="29">
        <f t="shared" si="368"/>
        <v>999.05123339658451</v>
      </c>
      <c r="AE1062" s="28">
        <f t="shared" si="369"/>
        <v>0.10964912280701754</v>
      </c>
      <c r="AF1062" s="28">
        <f t="shared" si="370"/>
        <v>0</v>
      </c>
      <c r="AG1062" s="28">
        <f t="shared" si="371"/>
        <v>0</v>
      </c>
      <c r="AI1062" s="31">
        <f t="shared" si="372"/>
        <v>4.9897843320536834</v>
      </c>
      <c r="AJ1062" s="25"/>
      <c r="AK1062" s="31"/>
      <c r="AM1062" s="27"/>
    </row>
    <row r="1063" spans="4:39" x14ac:dyDescent="0.25">
      <c r="D1063" s="25">
        <f>E1063*'Profit per cycles Model'!$I$113</f>
        <v>10540</v>
      </c>
      <c r="E1063" s="25">
        <v>28.872757156553895</v>
      </c>
      <c r="F1063" s="28">
        <f t="shared" si="353"/>
        <v>9.4876660341555979E-2</v>
      </c>
      <c r="G1063" s="28">
        <f>'Battery Pricing Model'!$C$17/D1063</f>
        <v>9.4876660341555979E-2</v>
      </c>
      <c r="H1063" s="28">
        <f t="shared" si="354"/>
        <v>999</v>
      </c>
      <c r="I1063" s="28"/>
      <c r="J1063" s="34">
        <f>INDEX('Profit per cycles Model'!$I$149:$I$179, MATCH(TRUNC(E1063, 0), 'Profit per cycles Model'!$H$149:$H$179, 0))</f>
        <v>0.81157706618277137</v>
      </c>
      <c r="K1063" s="27">
        <f>AVERAGE($J$10:J2063)</f>
        <v>0.56883042089778579</v>
      </c>
      <c r="L1063" s="28">
        <f t="shared" si="355"/>
        <v>0.47395376055622984</v>
      </c>
      <c r="M1063" s="28">
        <f t="shared" si="356"/>
        <v>0.47395376055622984</v>
      </c>
      <c r="N1063" s="28">
        <f t="shared" si="357"/>
        <v>999</v>
      </c>
      <c r="O1063" s="28"/>
      <c r="P1063" s="29">
        <f t="shared" si="373"/>
        <v>1.0539999999999947</v>
      </c>
      <c r="Q1063" s="33">
        <f t="shared" si="358"/>
        <v>6.7114093959731544</v>
      </c>
      <c r="R1063" s="33">
        <f t="shared" si="359"/>
        <v>6.7114093959731544</v>
      </c>
      <c r="S1063" s="33">
        <f t="shared" si="360"/>
        <v>-1</v>
      </c>
      <c r="T1063" s="27"/>
      <c r="U1063" s="28">
        <f t="shared" si="361"/>
        <v>0.10964912280701754</v>
      </c>
      <c r="V1063" s="25">
        <f t="shared" si="362"/>
        <v>999</v>
      </c>
      <c r="W1063" s="35">
        <f t="shared" si="374"/>
        <v>25</v>
      </c>
      <c r="X1063" s="33">
        <f t="shared" si="363"/>
        <v>25</v>
      </c>
      <c r="Y1063" s="32">
        <f t="shared" si="364"/>
        <v>-1</v>
      </c>
      <c r="Z1063" s="32"/>
      <c r="AA1063" s="30">
        <f t="shared" si="365"/>
        <v>28.872757156553895</v>
      </c>
      <c r="AB1063" s="28">
        <f t="shared" si="366"/>
        <v>0.81157706618277137</v>
      </c>
      <c r="AC1063" s="28">
        <f t="shared" si="367"/>
        <v>0.10964912280701754</v>
      </c>
      <c r="AD1063" s="29">
        <f t="shared" si="368"/>
        <v>1000</v>
      </c>
      <c r="AE1063" s="28">
        <f t="shared" si="369"/>
        <v>0.10964912280701754</v>
      </c>
      <c r="AF1063" s="28">
        <f t="shared" si="370"/>
        <v>0</v>
      </c>
      <c r="AG1063" s="28">
        <f t="shared" si="371"/>
        <v>0</v>
      </c>
      <c r="AI1063" s="31">
        <f t="shared" si="372"/>
        <v>4.9954726362626625</v>
      </c>
      <c r="AJ1063" s="25"/>
      <c r="AK1063" s="31"/>
      <c r="AM1063" s="27"/>
    </row>
    <row r="1064" spans="4:39" x14ac:dyDescent="0.25">
      <c r="AA1064" s="30">
        <f t="shared" si="365"/>
        <v>0</v>
      </c>
      <c r="AB1064" s="25"/>
      <c r="AC1064" s="25"/>
      <c r="AD1064" s="29">
        <f>AD1063</f>
        <v>1000</v>
      </c>
      <c r="AE1064" s="28">
        <v>0</v>
      </c>
      <c r="AF1064" s="28">
        <v>0</v>
      </c>
      <c r="AG1064" s="28">
        <v>0</v>
      </c>
      <c r="AI1064" s="27"/>
      <c r="AK1064" s="26"/>
    </row>
    <row r="1065" spans="4:39" x14ac:dyDescent="0.25">
      <c r="AA1065" s="30">
        <f t="shared" si="365"/>
        <v>0</v>
      </c>
      <c r="AB1065" s="25"/>
      <c r="AC1065" s="25"/>
      <c r="AD1065" s="29">
        <f>$AC$2</f>
        <v>1000</v>
      </c>
      <c r="AE1065" s="28">
        <v>0</v>
      </c>
      <c r="AF1065" s="28">
        <v>0</v>
      </c>
      <c r="AG1065" s="28">
        <v>0</v>
      </c>
      <c r="AI1065" s="27"/>
      <c r="AK1065" s="26"/>
    </row>
  </sheetData>
  <mergeCells count="10">
    <mergeCell ref="J8:N8"/>
    <mergeCell ref="AD6:AG6"/>
    <mergeCell ref="AI6:AK6"/>
    <mergeCell ref="X1:Y1"/>
    <mergeCell ref="D8:E8"/>
    <mergeCell ref="F8:H8"/>
    <mergeCell ref="P8:S8"/>
    <mergeCell ref="U8:Y8"/>
    <mergeCell ref="AA7:AC8"/>
    <mergeCell ref="AA6:AC6"/>
  </mergeCells>
  <pageMargins left="0.7" right="0.7" top="0.75" bottom="0.75" header="0.3" footer="0.3"/>
  <pageSetup paperSize="9" orientation="portrait" horizontalDpi="4294967292" verticalDpi="4294967292"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dimension ref="B1:T95"/>
  <sheetViews>
    <sheetView topLeftCell="A13" zoomScale="60" zoomScaleNormal="60" zoomScalePageLayoutView="115" workbookViewId="0">
      <selection activeCell="J44" sqref="J44"/>
    </sheetView>
  </sheetViews>
  <sheetFormatPr defaultColWidth="8.85546875" defaultRowHeight="15" x14ac:dyDescent="0.25"/>
  <cols>
    <col min="1" max="1" width="5" customWidth="1"/>
    <col min="2" max="2" width="8.42578125" customWidth="1"/>
    <col min="3" max="3" width="10.42578125" customWidth="1"/>
    <col min="4" max="4" width="2.140625" customWidth="1"/>
    <col min="5" max="5" width="99" customWidth="1"/>
    <col min="6" max="6" width="60.140625" customWidth="1"/>
    <col min="7" max="7" width="2.140625" customWidth="1"/>
    <col min="8" max="8" width="15" customWidth="1"/>
    <col min="9" max="9" width="23.42578125" customWidth="1"/>
    <col min="10" max="10" width="13.42578125" customWidth="1"/>
    <col min="11" max="11" width="2.140625" customWidth="1"/>
    <col min="15" max="15" width="34.42578125" customWidth="1"/>
    <col min="17" max="17" width="57.42578125" bestFit="1" customWidth="1"/>
  </cols>
  <sheetData>
    <row r="1" spans="2:20" ht="15.75" thickBot="1" x14ac:dyDescent="0.3"/>
    <row r="2" spans="2:20" ht="16.5" thickTop="1" thickBot="1" x14ac:dyDescent="0.3">
      <c r="D2" s="186"/>
      <c r="E2" s="24" t="s">
        <v>63</v>
      </c>
      <c r="F2" s="250" t="s">
        <v>62</v>
      </c>
      <c r="G2" s="251"/>
      <c r="H2" s="251"/>
      <c r="I2" s="252"/>
      <c r="J2" s="24"/>
      <c r="K2" s="186"/>
      <c r="M2" s="194" t="s">
        <v>886</v>
      </c>
      <c r="N2" s="195"/>
      <c r="O2" s="196"/>
      <c r="Q2" s="159" t="s">
        <v>198</v>
      </c>
      <c r="R2" s="159">
        <v>41</v>
      </c>
      <c r="S2" s="159">
        <v>18</v>
      </c>
      <c r="T2" s="159">
        <v>9.1999999999999993</v>
      </c>
    </row>
    <row r="3" spans="2:20" ht="16.5" thickTop="1" thickBot="1" x14ac:dyDescent="0.3">
      <c r="B3" t="s">
        <v>61</v>
      </c>
      <c r="C3" t="s">
        <v>60</v>
      </c>
      <c r="D3" s="186"/>
      <c r="E3" s="14" t="str">
        <f>IF(ISNA(HLOOKUP(C3,'Dynamic Lists'!$B$1:$CO$7,2,FALSE)),"",HLOOKUP(C3,'Dynamic Lists'!$B$1:$CO$7,2,FALSE))</f>
        <v>Even small battery systems cost $15,000, and typically cost more than $50,000. Do you have at least this budget?</v>
      </c>
      <c r="F3" s="238" t="str">
        <f>Questionnaire!B11</f>
        <v/>
      </c>
      <c r="G3" s="239"/>
      <c r="H3" s="239"/>
      <c r="I3" s="240"/>
      <c r="J3" s="14"/>
      <c r="K3" s="186"/>
      <c r="M3" s="156" t="s">
        <v>887</v>
      </c>
      <c r="Q3" s="159" t="s">
        <v>197</v>
      </c>
      <c r="R3" s="159">
        <v>28.599999999999998</v>
      </c>
      <c r="S3" s="159">
        <v>20.9</v>
      </c>
      <c r="T3" s="159">
        <v>12.32</v>
      </c>
    </row>
    <row r="4" spans="2:20" ht="16.5" thickTop="1" thickBot="1" x14ac:dyDescent="0.3">
      <c r="B4" t="s">
        <v>59</v>
      </c>
      <c r="C4" t="str">
        <f>IF(F3='Question List'!D4,'Question List'!F4,IF(F3='Question List'!D6,'Question List'!F6,IF(F3&lt;&gt;"",'Question List'!F5,"")))</f>
        <v/>
      </c>
      <c r="D4" s="186"/>
      <c r="E4" s="14" t="str">
        <f>IF(ISNA(HLOOKUP(C4,'Dynamic Lists'!$B$1:$CO$7,2,FALSE)),"",HLOOKUP(C4,'Dynamic Lists'!$B$1:$CO$7,2,FALSE))</f>
        <v/>
      </c>
      <c r="F4" s="238" t="str">
        <f>Questionnaire!B12</f>
        <v/>
      </c>
      <c r="G4" s="239"/>
      <c r="H4" s="239"/>
      <c r="I4" s="240"/>
      <c r="J4" s="14"/>
      <c r="K4" s="186"/>
      <c r="O4" s="16"/>
      <c r="Q4" s="159" t="s">
        <v>196</v>
      </c>
      <c r="R4" s="159">
        <v>19</v>
      </c>
      <c r="S4" s="159">
        <v>14.000000000000002</v>
      </c>
      <c r="T4" s="159">
        <v>8</v>
      </c>
    </row>
    <row r="5" spans="2:20" s="20" customFormat="1" ht="30.6" customHeight="1" thickTop="1" thickBot="1" x14ac:dyDescent="0.3">
      <c r="B5" s="20" t="s">
        <v>58</v>
      </c>
      <c r="C5" s="20" t="str">
        <f>IF(F4&lt;&gt;"", IF(F4='Question List'!D8,'Question List'!F8,IF(F4='Question List'!D9,'Question List'!F5,'Question List'!F8)), "")</f>
        <v/>
      </c>
      <c r="D5" s="186"/>
      <c r="E5" s="23" t="str">
        <f>IF(ISNA(HLOOKUP(C5,'Dynamic Lists'!$B$1:$CO$7,2,FALSE)),"",HLOOKUP(C5,'Dynamic Lists'!$B$1:$CO$7,2,FALSE))</f>
        <v/>
      </c>
      <c r="F5" s="253" t="str">
        <f>Questionnaire!B13</f>
        <v/>
      </c>
      <c r="G5" s="254"/>
      <c r="H5" s="254"/>
      <c r="I5" s="255"/>
      <c r="J5" s="23"/>
      <c r="K5" s="186"/>
      <c r="L5" s="22" t="s">
        <v>56</v>
      </c>
      <c r="O5" s="21"/>
    </row>
    <row r="6" spans="2:20" ht="16.5" thickTop="1" thickBot="1" x14ac:dyDescent="0.3">
      <c r="D6" s="186"/>
      <c r="E6" s="14" t="str">
        <f>IF(ISNA(HLOOKUP(C6,'Dynamic Lists'!$B$1:$CO$7,2,FALSE)),"",HLOOKUP(C6,'Dynamic Lists'!$B$1:$CO$7,2,FALSE))</f>
        <v/>
      </c>
      <c r="F6" s="201"/>
      <c r="G6" s="202"/>
      <c r="H6" s="202"/>
      <c r="I6" s="203"/>
      <c r="J6" s="14"/>
      <c r="K6" s="186"/>
      <c r="O6" s="16"/>
      <c r="R6" s="156"/>
      <c r="S6" s="156"/>
      <c r="T6" s="156"/>
    </row>
    <row r="7" spans="2:20" ht="16.5" thickTop="1" thickBot="1" x14ac:dyDescent="0.3">
      <c r="B7" t="s">
        <v>55</v>
      </c>
      <c r="C7" t="str">
        <f>IF(F5='Question List'!D12,'Question List'!F12,IF(F5='Question List'!D15,'Question List'!F15,IF(F5='Question List'!D13,'Question List'!F13,IF(F5='Question List'!D14,'Question List'!F14,""))))</f>
        <v/>
      </c>
      <c r="D7" s="186"/>
      <c r="E7" s="17" t="str">
        <f>IF(ISNA(HLOOKUP(C7,'Dynamic Lists'!$B$1:$CO$7,2,FALSE)),"",HLOOKUP(C7,'Dynamic Lists'!$B$1:$CO$7,2,FALSE))</f>
        <v/>
      </c>
      <c r="F7" s="201"/>
      <c r="G7" s="202"/>
      <c r="H7" s="202"/>
      <c r="I7" s="203"/>
      <c r="J7" s="14"/>
      <c r="K7" s="186"/>
      <c r="O7" s="16"/>
      <c r="R7" s="156"/>
      <c r="S7" s="156"/>
      <c r="T7" s="156"/>
    </row>
    <row r="8" spans="2:20" ht="16.5" thickTop="1" thickBot="1" x14ac:dyDescent="0.3">
      <c r="B8" t="s">
        <v>54</v>
      </c>
      <c r="C8" t="str">
        <f>IF(F5='Question List'!D12,'Question List'!G12,IF(F5='Question List'!D15,"",IF(F5='Question List'!D13,'Question List'!G13,"")))</f>
        <v/>
      </c>
      <c r="D8" s="186"/>
      <c r="E8" s="14" t="str">
        <f>IF(ISNA(HLOOKUP(C8,'Dynamic Lists'!$B$1:$CO$7,2,FALSE)),"",HLOOKUP(C8,'Dynamic Lists'!$B$1:$CO$7,2,FALSE))</f>
        <v/>
      </c>
      <c r="F8" s="207" t="str">
        <f>Questionnaire!B14</f>
        <v/>
      </c>
      <c r="G8" s="208"/>
      <c r="H8" s="208"/>
      <c r="I8" s="209"/>
      <c r="J8" s="14"/>
      <c r="K8" s="186"/>
      <c r="O8" s="16"/>
      <c r="R8" s="156"/>
      <c r="S8" s="156"/>
      <c r="T8" s="156"/>
    </row>
    <row r="9" spans="2:20" ht="16.5" thickTop="1" thickBot="1" x14ac:dyDescent="0.3">
      <c r="B9" t="s">
        <v>52</v>
      </c>
      <c r="C9" t="str">
        <f>IF(F5='Question List'!D12,'Question List'!H12,IF(F5='Question List'!D15, "",IF(F5='Question List'!D13,'Question List'!H13,"")))</f>
        <v/>
      </c>
      <c r="D9" s="186"/>
      <c r="E9" s="14" t="str">
        <f>IF(ISNA(HLOOKUP(C9,'Dynamic Lists'!$B$1:$CO$7,2,FALSE)),"",HLOOKUP(C9,'Dynamic Lists'!$B$1:$CO$7,2,FALSE))</f>
        <v/>
      </c>
      <c r="F9" s="207" t="str">
        <f>Questionnaire!B15</f>
        <v/>
      </c>
      <c r="G9" s="208"/>
      <c r="H9" s="208"/>
      <c r="I9" s="209"/>
      <c r="J9" s="14"/>
      <c r="K9" s="186"/>
      <c r="O9" s="16"/>
    </row>
    <row r="10" spans="2:20" ht="16.5" thickTop="1" thickBot="1" x14ac:dyDescent="0.3">
      <c r="B10" t="s">
        <v>50</v>
      </c>
      <c r="C10" t="str">
        <f>IF(F9='Question List'!D27, 'Question List'!F27,"")</f>
        <v/>
      </c>
      <c r="D10" s="186"/>
      <c r="E10" s="14" t="str">
        <f>IF(ISNA(HLOOKUP(C10,'Dynamic Lists'!$B$1:$CO$7,2,FALSE)),"",HLOOKUP(C10,'Dynamic Lists'!$B$1:$CO$7,2,FALSE))</f>
        <v/>
      </c>
      <c r="F10" s="207" t="s">
        <v>49</v>
      </c>
      <c r="G10" s="208"/>
      <c r="H10" s="208"/>
      <c r="I10" s="209"/>
      <c r="J10" s="14"/>
      <c r="K10" s="186"/>
      <c r="O10" s="16"/>
    </row>
    <row r="11" spans="2:20" ht="16.5" thickTop="1" thickBot="1" x14ac:dyDescent="0.3">
      <c r="B11" t="s">
        <v>48</v>
      </c>
      <c r="C11" t="str">
        <f>IF(AND(F8='Question List'!D20,F9&lt;&gt;"", IF(F9='Question List'!D27, IF(F10&lt;&gt;"", 1, 0), 1)),'Question List'!F20,IF(F8="","",IF(F8='Question List'!D20,"",INDEX('Question List'!F20:F23,MATCH('Input Sheet'!F8,'Question List'!$D$20:$D$23,FALSE)))))</f>
        <v/>
      </c>
      <c r="D11" s="186"/>
      <c r="E11" s="14" t="str">
        <f>IF(ISNA(HLOOKUP(C11,'Dynamic Lists'!$B$1:$CO$7,2,FALSE)),"",HLOOKUP(C11,'Dynamic Lists'!$B$1:$CO$7,2,FALSE))</f>
        <v/>
      </c>
      <c r="F11" s="207" t="str">
        <f>Questionnaire!B16</f>
        <v/>
      </c>
      <c r="G11" s="208"/>
      <c r="H11" s="208"/>
      <c r="I11" s="209"/>
      <c r="J11" s="14"/>
      <c r="K11" s="186"/>
      <c r="M11" s="194" t="s">
        <v>886</v>
      </c>
      <c r="N11" s="195"/>
      <c r="O11" s="196"/>
    </row>
    <row r="12" spans="2:20" ht="16.5" thickTop="1" thickBot="1" x14ac:dyDescent="0.3">
      <c r="B12" t="s">
        <v>46</v>
      </c>
      <c r="C12" t="str">
        <f>IF(AND(C11&lt;&gt;"", F11&lt;&gt;""), IF(LEFT(C11, 8) = "Set Exit", "", INDEX('Question List'!F48:F50, MATCH(F11, 'Question List'!D48:D50, FALSE))), "")</f>
        <v/>
      </c>
      <c r="D12" s="186"/>
      <c r="E12" s="14" t="str">
        <f>IF(ISNA(HLOOKUP(C12,'Dynamic Lists'!$B$1:$CO$7,2,FALSE)),"",HLOOKUP(C12,'Dynamic Lists'!$B$1:$CO$7,2,FALSE))</f>
        <v/>
      </c>
      <c r="F12" s="207" t="str">
        <f>Questionnaire!B17</f>
        <v/>
      </c>
      <c r="G12" s="208"/>
      <c r="H12" s="208"/>
      <c r="I12" s="209"/>
      <c r="J12" s="13"/>
      <c r="K12" s="186"/>
      <c r="M12" t="s">
        <v>888</v>
      </c>
      <c r="N12" t="s">
        <v>949</v>
      </c>
    </row>
    <row r="13" spans="2:20" ht="16.5" thickTop="1" thickBot="1" x14ac:dyDescent="0.3">
      <c r="C13" s="15" t="str">
        <f>IF(C12&lt;&gt;"",IF(F12='Question List'!D52,'Question List'!F52,IF(F12='Question List'!D53,'Question List'!F53,IF(F12="",IF(C12="Load Graph", "Load Graph", ""), 'Question List'!F54))), "")</f>
        <v/>
      </c>
      <c r="D13" s="186"/>
      <c r="E13" s="14" t="str">
        <f>IF(ISNA(HLOOKUP(C13,'Dynamic Lists'!$B$1:$CO$7,2,FALSE)),"",HLOOKUP(C13,'Dynamic Lists'!$B$1:$CO$7,2,FALSE))</f>
        <v/>
      </c>
      <c r="F13" s="241"/>
      <c r="G13" s="242"/>
      <c r="H13" s="242"/>
      <c r="I13" s="243"/>
      <c r="J13" s="13"/>
      <c r="K13" s="186"/>
      <c r="M13" t="s">
        <v>888</v>
      </c>
    </row>
    <row r="14" spans="2:20" ht="16.5" thickTop="1" thickBot="1" x14ac:dyDescent="0.3">
      <c r="D14" s="186"/>
      <c r="E14" s="181" t="str">
        <f>IF(ISNA(HLOOKUP(C14,'Dynamic Lists'!$B$1:$CO$7,2,FALSE)),"",HLOOKUP(C14,'Dynamic Lists'!$B$1:$CO$7,2,FALSE))</f>
        <v/>
      </c>
      <c r="F14" s="182"/>
      <c r="G14" s="182"/>
      <c r="H14" s="182"/>
      <c r="I14" s="182"/>
      <c r="J14" s="183"/>
      <c r="K14" s="186"/>
    </row>
    <row r="15" spans="2:20" ht="16.5" thickTop="1" thickBot="1" x14ac:dyDescent="0.3">
      <c r="C15" s="226" t="str">
        <f>IF(OR(C13&lt;&gt;"",C12='Question List'!F49),IF(C12&lt;&gt;"Exit","Load Graph",""), "")</f>
        <v/>
      </c>
      <c r="D15" s="186"/>
      <c r="E15" s="223"/>
      <c r="F15" s="224"/>
      <c r="G15" s="220"/>
      <c r="H15" s="191" t="s">
        <v>44</v>
      </c>
      <c r="I15" s="192"/>
      <c r="J15" s="193"/>
      <c r="K15" s="186"/>
    </row>
    <row r="16" spans="2:20" ht="16.5" thickTop="1" thickBot="1" x14ac:dyDescent="0.3">
      <c r="C16" s="226"/>
      <c r="D16" s="186"/>
      <c r="E16" s="225"/>
      <c r="F16" s="226"/>
      <c r="G16" s="221"/>
      <c r="H16" s="228" t="str">
        <f>Customise!C2</f>
        <v xml:space="preserve">Standard </v>
      </c>
      <c r="I16" s="229"/>
      <c r="J16" s="230"/>
      <c r="K16" s="186"/>
    </row>
    <row r="17" spans="3:15" ht="16.5" thickTop="1" thickBot="1" x14ac:dyDescent="0.3">
      <c r="C17" s="10"/>
      <c r="D17" s="186"/>
      <c r="E17" s="225"/>
      <c r="F17" s="226"/>
      <c r="G17" s="221"/>
      <c r="H17" s="13" t="s">
        <v>40</v>
      </c>
      <c r="I17" s="227" t="str">
        <f>HLOOKUP($H$16, 'Profit per cycles Model'!$D$13:$F$16, 2, FALSE)</f>
        <v>2-8pm (Weekdays)</v>
      </c>
      <c r="J17" s="199"/>
      <c r="K17" s="186"/>
    </row>
    <row r="18" spans="3:15" ht="16.5" thickTop="1" thickBot="1" x14ac:dyDescent="0.3">
      <c r="D18" s="186"/>
      <c r="E18" s="225"/>
      <c r="F18" s="226"/>
      <c r="G18" s="221"/>
      <c r="H18" s="13" t="s">
        <v>39</v>
      </c>
      <c r="I18" s="227" t="str">
        <f>HLOOKUP($H$16, 'Profit per cycles Model'!$D$13:$F$16, 3, FALSE)</f>
        <v>9am-2pm , 8-10pm</v>
      </c>
      <c r="J18" s="199"/>
      <c r="K18" s="186"/>
    </row>
    <row r="19" spans="3:15" ht="16.5" thickTop="1" thickBot="1" x14ac:dyDescent="0.3">
      <c r="D19" s="186"/>
      <c r="E19" s="225"/>
      <c r="F19" s="226"/>
      <c r="G19" s="221"/>
      <c r="H19" s="13" t="s">
        <v>38</v>
      </c>
      <c r="I19" s="227" t="str">
        <f>HLOOKUP($H$16, 'Profit per cycles Model'!$D$13:$F$16, 4, FALSE)</f>
        <v>10pm-9am</v>
      </c>
      <c r="J19" s="199"/>
      <c r="K19" s="186"/>
    </row>
    <row r="20" spans="3:15" ht="16.5" thickTop="1" thickBot="1" x14ac:dyDescent="0.3">
      <c r="D20" s="186"/>
      <c r="E20" s="225"/>
      <c r="F20" s="226"/>
      <c r="G20" s="221"/>
      <c r="H20" s="194" t="s">
        <v>42</v>
      </c>
      <c r="I20" s="195"/>
      <c r="J20" s="196"/>
      <c r="K20" s="186"/>
    </row>
    <row r="21" spans="3:15" ht="16.5" thickTop="1" thickBot="1" x14ac:dyDescent="0.3">
      <c r="D21" s="186"/>
      <c r="E21" s="225"/>
      <c r="F21" s="226"/>
      <c r="G21" s="221"/>
      <c r="H21" s="247" t="str">
        <f>Customise!C5</f>
        <v>Standard energy prices</v>
      </c>
      <c r="I21" s="248"/>
      <c r="J21" s="249"/>
      <c r="K21" s="186"/>
    </row>
    <row r="22" spans="3:15" ht="16.5" thickTop="1" thickBot="1" x14ac:dyDescent="0.3">
      <c r="D22" s="186"/>
      <c r="E22" s="225"/>
      <c r="F22" s="226"/>
      <c r="G22" s="221"/>
      <c r="H22" s="198" t="str">
        <f>TariffStructure</f>
        <v>Default</v>
      </c>
      <c r="I22" s="246"/>
      <c r="J22" s="199"/>
      <c r="K22" s="186"/>
      <c r="M22" s="194" t="s">
        <v>848</v>
      </c>
      <c r="N22" s="195"/>
      <c r="O22" s="196"/>
    </row>
    <row r="23" spans="3:15" ht="16.5" thickTop="1" thickBot="1" x14ac:dyDescent="0.3">
      <c r="D23" s="186"/>
      <c r="E23" s="225"/>
      <c r="F23" s="226"/>
      <c r="G23" s="221"/>
      <c r="H23" s="13" t="s">
        <v>40</v>
      </c>
      <c r="I23" s="19">
        <f>IF(EnergyPriceCustom='Profit per cycles Model'!$B$28, "Enter Price --&gt;", 'Profit per cycles Model'!C27)</f>
        <v>0.5</v>
      </c>
      <c r="J23" s="11">
        <f>Customise!C7</f>
        <v>0.28599999999999998</v>
      </c>
      <c r="K23" s="186"/>
      <c r="M23" s="129" t="str">
        <f>TEXT(I23, "$0.##")</f>
        <v>$0.5</v>
      </c>
      <c r="O23">
        <f>'Profit per cycles Model'!C27*100</f>
        <v>50</v>
      </c>
    </row>
    <row r="24" spans="3:15" ht="16.5" thickTop="1" thickBot="1" x14ac:dyDescent="0.3">
      <c r="D24" s="186"/>
      <c r="E24" s="225"/>
      <c r="F24" s="226"/>
      <c r="G24" s="221"/>
      <c r="H24" s="13" t="s">
        <v>39</v>
      </c>
      <c r="I24" s="19">
        <f>IF(EnergyPriceCustom='Profit per cycles Model'!$B$28, "Enter Price --&gt;", 'Profit per cycles Model'!D27)</f>
        <v>0.28000000000000003</v>
      </c>
      <c r="J24" s="11">
        <f>Customise!C8</f>
        <v>0.20899999999999999</v>
      </c>
      <c r="K24" s="186"/>
      <c r="M24" s="129" t="str">
        <f t="shared" ref="M24:M25" si="0">TEXT(I24, "$0.##")</f>
        <v>$0.28</v>
      </c>
      <c r="O24">
        <f>'Profit per cycles Model'!D27*100</f>
        <v>28.000000000000004</v>
      </c>
    </row>
    <row r="25" spans="3:15" ht="15.95" customHeight="1" thickTop="1" thickBot="1" x14ac:dyDescent="0.3">
      <c r="D25" s="186"/>
      <c r="E25" s="225"/>
      <c r="F25" s="226"/>
      <c r="G25" s="221"/>
      <c r="H25" s="13" t="s">
        <v>38</v>
      </c>
      <c r="I25" s="19">
        <f>IF(EnergyPriceCustom='Profit per cycles Model'!$B$28, "Enter Price --&gt;", 'Profit per cycles Model'!E27)</f>
        <v>0.1</v>
      </c>
      <c r="J25" s="11">
        <f>Customise!C9</f>
        <v>0.1232</v>
      </c>
      <c r="K25" s="186"/>
      <c r="M25" s="129" t="str">
        <f t="shared" si="0"/>
        <v>$0.1</v>
      </c>
      <c r="N25" s="128"/>
      <c r="O25">
        <f>'Profit per cycles Model'!E27*100</f>
        <v>10</v>
      </c>
    </row>
    <row r="26" spans="3:15" ht="16.5" thickTop="1" thickBot="1" x14ac:dyDescent="0.3">
      <c r="D26" s="186"/>
      <c r="E26" s="225"/>
      <c r="F26" s="226"/>
      <c r="G26" s="221"/>
      <c r="H26" s="194" t="s">
        <v>37</v>
      </c>
      <c r="I26" s="195"/>
      <c r="J26" s="196"/>
      <c r="K26" s="186"/>
    </row>
    <row r="27" spans="3:15" ht="16.5" thickTop="1" thickBot="1" x14ac:dyDescent="0.3">
      <c r="D27" s="186"/>
      <c r="E27" s="225"/>
      <c r="F27" s="226"/>
      <c r="G27" s="221"/>
      <c r="H27" s="189" t="s">
        <v>36</v>
      </c>
      <c r="I27" s="190"/>
      <c r="J27" s="19">
        <f>'Solar Pricing Model'!H11</f>
        <v>5.1999999999999998E-2</v>
      </c>
      <c r="K27" s="186"/>
    </row>
    <row r="28" spans="3:15" ht="16.5" thickTop="1" thickBot="1" x14ac:dyDescent="0.3">
      <c r="D28" s="186"/>
      <c r="E28" s="225"/>
      <c r="F28" s="226"/>
      <c r="G28" s="221"/>
      <c r="H28" s="189" t="s">
        <v>35</v>
      </c>
      <c r="I28" s="190"/>
      <c r="J28" s="5" t="str">
        <f>Customise!C10</f>
        <v>Both</v>
      </c>
      <c r="K28" s="186"/>
    </row>
    <row r="29" spans="3:15" ht="16.5" thickTop="1" thickBot="1" x14ac:dyDescent="0.3">
      <c r="D29" s="186"/>
      <c r="E29" s="225"/>
      <c r="F29" s="226"/>
      <c r="G29" s="221"/>
      <c r="H29" s="194" t="s">
        <v>33</v>
      </c>
      <c r="I29" s="195"/>
      <c r="J29" s="196"/>
      <c r="K29" s="186"/>
    </row>
    <row r="30" spans="3:15" ht="16.5" thickTop="1" thickBot="1" x14ac:dyDescent="0.3">
      <c r="D30" s="186"/>
      <c r="E30" s="225"/>
      <c r="F30" s="226"/>
      <c r="G30" s="221"/>
      <c r="H30" s="198" t="s">
        <v>32</v>
      </c>
      <c r="I30" s="199"/>
      <c r="J30" s="3" t="str">
        <f>Customise!C14</f>
        <v>Default</v>
      </c>
      <c r="K30" s="186"/>
    </row>
    <row r="31" spans="3:15" ht="16.5" thickTop="1" thickBot="1" x14ac:dyDescent="0.3">
      <c r="D31" s="186"/>
      <c r="E31" s="225"/>
      <c r="F31" s="226"/>
      <c r="G31" s="221"/>
      <c r="H31" s="198" t="s">
        <v>31</v>
      </c>
      <c r="I31" s="199"/>
      <c r="J31" s="19">
        <f>'Profit per cycles Model'!I149</f>
        <v>0.37596638655462183</v>
      </c>
      <c r="K31" s="186"/>
    </row>
    <row r="32" spans="3:15" ht="16.5" thickTop="1" thickBot="1" x14ac:dyDescent="0.3">
      <c r="D32" s="186"/>
      <c r="E32" s="225"/>
      <c r="F32" s="226"/>
      <c r="G32" s="221"/>
      <c r="H32" s="198" t="s">
        <v>30</v>
      </c>
      <c r="I32" s="199"/>
      <c r="J32" s="13">
        <f>'Profit per cycles Model'!I77</f>
        <v>5</v>
      </c>
      <c r="K32" s="186"/>
    </row>
    <row r="33" spans="4:18" ht="16.5" thickTop="1" thickBot="1" x14ac:dyDescent="0.3">
      <c r="D33" s="186"/>
      <c r="E33" s="225"/>
      <c r="F33" s="226"/>
      <c r="G33" s="221"/>
      <c r="H33" s="198" t="s">
        <v>29</v>
      </c>
      <c r="I33" s="199"/>
      <c r="J33" s="13">
        <f>'Profit per cycles Model'!J77</f>
        <v>2</v>
      </c>
      <c r="K33" s="186"/>
    </row>
    <row r="34" spans="4:18" ht="16.5" thickTop="1" thickBot="1" x14ac:dyDescent="0.3">
      <c r="D34" s="186"/>
      <c r="E34" s="225"/>
      <c r="F34" s="226"/>
      <c r="G34" s="221"/>
      <c r="H34" s="198" t="s">
        <v>28</v>
      </c>
      <c r="I34" s="199"/>
      <c r="J34" s="18">
        <f>ROUND('Profit per cycles Model'!I113, 0)</f>
        <v>365</v>
      </c>
      <c r="K34" s="186"/>
    </row>
    <row r="35" spans="4:18" ht="16.5" thickTop="1" thickBot="1" x14ac:dyDescent="0.3">
      <c r="D35" s="186"/>
      <c r="E35" s="225"/>
      <c r="F35" s="226"/>
      <c r="G35" s="221"/>
      <c r="H35" s="194" t="s">
        <v>6</v>
      </c>
      <c r="I35" s="195"/>
      <c r="J35" s="196"/>
      <c r="K35" s="186"/>
      <c r="M35" s="194" t="s">
        <v>848</v>
      </c>
      <c r="N35" s="195"/>
      <c r="O35" s="196"/>
      <c r="P35" s="194" t="s">
        <v>848</v>
      </c>
      <c r="Q35" s="195"/>
      <c r="R35" s="196"/>
    </row>
    <row r="36" spans="4:18" ht="16.5" thickTop="1" thickBot="1" x14ac:dyDescent="0.3">
      <c r="D36" s="186"/>
      <c r="E36" s="225"/>
      <c r="F36" s="226"/>
      <c r="G36" s="221"/>
      <c r="H36" s="198" t="str">
        <f>'Arbitrage Payback Engine'!AI7</f>
        <v>after 25 Years</v>
      </c>
      <c r="I36" s="199"/>
      <c r="J36" s="7">
        <f>'Arbitrage Payback Engine'!AI8</f>
        <v>4.1877334385878067</v>
      </c>
      <c r="K36" s="186"/>
      <c r="M36" s="134" t="str">
        <f>"The system could save approximately "&amp;ROUND(1+J37, 2)&amp;" times its cost over its lifetime"</f>
        <v>The system could save approximately 2.52 times its cost over its lifetime</v>
      </c>
      <c r="N36" s="25"/>
      <c r="O36" s="25"/>
      <c r="P36" s="33" t="str">
        <f>TEXT(ROUND(1+J37, 1), "#0.0")</f>
        <v>2.5</v>
      </c>
      <c r="Q36" s="25" t="str">
        <f>"The number of times the system's cost is recovered over its possible lifetime"</f>
        <v>The number of times the system's cost is recovered over its possible lifetime</v>
      </c>
    </row>
    <row r="37" spans="4:18" ht="16.5" thickTop="1" thickBot="1" x14ac:dyDescent="0.3">
      <c r="D37" s="186"/>
      <c r="E37" s="225"/>
      <c r="F37" s="226"/>
      <c r="G37" s="221"/>
      <c r="H37" s="198" t="str">
        <f>'Arbitrage Payback Engine'!AK7</f>
        <v>ROI over Expected Lifetime (15 Years)</v>
      </c>
      <c r="I37" s="199"/>
      <c r="J37" s="7">
        <f>'Arbitrage Payback Engine'!AK8</f>
        <v>1.5238890821189341</v>
      </c>
      <c r="K37" s="186"/>
      <c r="M37" s="134" t="str">
        <f>"Approximately "&amp;ROUND(1+J37, 2)*100&amp;"% of the cost will be recovered by end of life."</f>
        <v>Approximately 252% of the cost will be recovered by end of life.</v>
      </c>
      <c r="N37" s="25"/>
      <c r="O37" s="25"/>
      <c r="P37" s="25" t="str">
        <f>ROUND(1+J37, 2)*100&amp;"%"</f>
        <v>252%</v>
      </c>
      <c r="Q37" s="25" t="str">
        <f>"The proportion of the system's cost recovered over its possible lifetime"</f>
        <v>The proportion of the system's cost recovered over its possible lifetime</v>
      </c>
    </row>
    <row r="38" spans="4:18" ht="16.5" thickTop="1" thickBot="1" x14ac:dyDescent="0.3">
      <c r="D38" s="186"/>
      <c r="E38" s="225"/>
      <c r="F38" s="226"/>
      <c r="G38" s="221"/>
      <c r="H38" s="198" t="str">
        <f>'Arbitrage Payback Engine'!AJ7</f>
        <v>Break Even Point</v>
      </c>
      <c r="I38" s="199"/>
      <c r="J38" s="6" t="str">
        <f>'Arbitrage Payback Engine'!AJ8</f>
        <v>6.7 years</v>
      </c>
      <c r="K38" s="186"/>
      <c r="M38" s="134" t="str">
        <f>"The break-even point for a battery storage system is "&amp;J38&amp;"."</f>
        <v>The break-even point for a battery storage system is 6.7 years.</v>
      </c>
      <c r="N38" s="134"/>
      <c r="O38" s="134"/>
      <c r="P38" s="135" t="str">
        <f>J38</f>
        <v>6.7 years</v>
      </c>
      <c r="Q38" s="25" t="s">
        <v>875</v>
      </c>
    </row>
    <row r="39" spans="4:18" ht="14.45" customHeight="1" thickTop="1" thickBot="1" x14ac:dyDescent="0.3">
      <c r="D39" s="186"/>
      <c r="E39" s="225"/>
      <c r="F39" s="226"/>
      <c r="G39" s="221"/>
      <c r="H39" s="231" t="str">
        <f>'Summary Page Logic'!C18</f>
        <v>Batteries appear feasible!</v>
      </c>
      <c r="I39" s="232"/>
      <c r="J39" s="233"/>
      <c r="K39" s="186"/>
      <c r="M39" s="134" t="str">
        <f>"The system could save approximately "&amp;ROUND(1+J36, 2)&amp;" times its cost by the nominated payback year"</f>
        <v>The system could save approximately 5.19 times its cost by the nominated payback year</v>
      </c>
      <c r="P39" s="33" t="str">
        <f>TEXT(ROUND(1+J36, 1), "#0.0")</f>
        <v>5.2</v>
      </c>
      <c r="Q39" t="str">
        <f>"The number of times the system's cost is recovered "&amp;'Arbitrage Payback Engine'!AI7</f>
        <v>The number of times the system's cost is recovered after 25 Years</v>
      </c>
    </row>
    <row r="40" spans="4:18" ht="16.5" thickTop="1" thickBot="1" x14ac:dyDescent="0.3">
      <c r="D40" s="186"/>
      <c r="E40" s="225"/>
      <c r="F40" s="226"/>
      <c r="G40" s="221"/>
      <c r="H40" s="234"/>
      <c r="I40" s="235"/>
      <c r="J40" s="236"/>
      <c r="K40" s="186"/>
      <c r="M40" s="134" t="str">
        <f>"Approximately "&amp;ROUND(1+J36, 2)*100&amp;"% of the cost will be recovered by the nominated payback year."</f>
        <v>Approximately 519% of the cost will be recovered by the nominated payback year.</v>
      </c>
      <c r="P40" s="25" t="str">
        <f>ROUND(1+J36, 2)*100&amp;"%"</f>
        <v>519%</v>
      </c>
      <c r="Q40" t="str">
        <f>"The proportion of system's cost recovered "&amp;'Arbitrage Payback Engine'!AI7</f>
        <v>The proportion of system's cost recovered after 25 Years</v>
      </c>
    </row>
    <row r="41" spans="4:18" ht="14.45" customHeight="1" thickTop="1" thickBot="1" x14ac:dyDescent="0.3">
      <c r="D41" s="186"/>
      <c r="E41" s="225"/>
      <c r="F41" s="226"/>
      <c r="G41" s="221"/>
      <c r="H41" s="231" t="str">
        <f>'Summary Page Logic'!C19</f>
        <v/>
      </c>
      <c r="I41" s="232"/>
      <c r="J41" s="233"/>
      <c r="K41" s="186"/>
    </row>
    <row r="42" spans="4:18" ht="16.5" thickTop="1" thickBot="1" x14ac:dyDescent="0.3">
      <c r="D42" s="186"/>
      <c r="E42" s="225"/>
      <c r="F42" s="226"/>
      <c r="G42" s="221"/>
      <c r="H42" s="234"/>
      <c r="I42" s="235"/>
      <c r="J42" s="236"/>
      <c r="K42" s="186"/>
    </row>
    <row r="43" spans="4:18" ht="16.5" thickTop="1" thickBot="1" x14ac:dyDescent="0.3">
      <c r="D43" s="186"/>
      <c r="E43" s="225"/>
      <c r="F43" s="226"/>
      <c r="G43" s="221"/>
      <c r="H43" s="194" t="s">
        <v>5</v>
      </c>
      <c r="I43" s="195"/>
      <c r="J43" s="196"/>
      <c r="K43" s="186"/>
    </row>
    <row r="44" spans="4:18" ht="16.5" thickTop="1" thickBot="1" x14ac:dyDescent="0.3">
      <c r="D44" s="186"/>
      <c r="E44" s="225"/>
      <c r="F44" s="226"/>
      <c r="G44" s="221"/>
      <c r="H44" s="198" t="s">
        <v>4</v>
      </c>
      <c r="I44" s="199"/>
      <c r="J44" s="5" t="str">
        <f>Customise!C15</f>
        <v>Default</v>
      </c>
      <c r="K44" s="186"/>
    </row>
    <row r="45" spans="4:18" ht="16.5" thickTop="1" thickBot="1" x14ac:dyDescent="0.3">
      <c r="D45" s="186"/>
      <c r="E45" s="225"/>
      <c r="F45" s="226"/>
      <c r="G45" s="221"/>
      <c r="H45" s="198" t="s">
        <v>3</v>
      </c>
      <c r="I45" s="199"/>
      <c r="J45" s="4" t="str">
        <f>Advanced!C2</f>
        <v>Default</v>
      </c>
      <c r="K45" s="186"/>
    </row>
    <row r="46" spans="4:18" ht="16.5" thickTop="1" thickBot="1" x14ac:dyDescent="0.3">
      <c r="D46" s="186"/>
      <c r="E46" s="225"/>
      <c r="F46" s="226"/>
      <c r="G46" s="221"/>
      <c r="H46" s="198" t="s">
        <v>2</v>
      </c>
      <c r="I46" s="199"/>
      <c r="J46" s="3" t="str">
        <f>Advanced!C3</f>
        <v>Default</v>
      </c>
      <c r="K46" s="186"/>
    </row>
    <row r="47" spans="4:18" ht="16.5" thickTop="1" thickBot="1" x14ac:dyDescent="0.3">
      <c r="D47" s="186"/>
      <c r="E47" s="225"/>
      <c r="F47" s="226"/>
      <c r="G47" s="221"/>
      <c r="H47" s="211" t="s">
        <v>0</v>
      </c>
      <c r="I47" s="212"/>
      <c r="J47" s="213"/>
      <c r="K47" s="186"/>
    </row>
    <row r="48" spans="4:18" ht="16.5" thickTop="1" thickBot="1" x14ac:dyDescent="0.3">
      <c r="D48" s="186"/>
      <c r="E48" s="225"/>
      <c r="F48" s="226"/>
      <c r="G48" s="221"/>
      <c r="H48" s="214"/>
      <c r="I48" s="215"/>
      <c r="J48" s="216"/>
      <c r="K48" s="186"/>
    </row>
    <row r="49" spans="2:15" ht="16.5" thickTop="1" thickBot="1" x14ac:dyDescent="0.3">
      <c r="D49" s="186"/>
      <c r="E49" s="244"/>
      <c r="F49" s="245"/>
      <c r="G49" s="222"/>
      <c r="H49" s="217"/>
      <c r="I49" s="218"/>
      <c r="J49" s="219"/>
      <c r="K49" s="186"/>
    </row>
    <row r="50" spans="2:15" ht="36.950000000000003" customHeight="1" thickTop="1" thickBot="1" x14ac:dyDescent="0.3">
      <c r="D50" s="186"/>
      <c r="E50" s="181" t="str">
        <f>IF(ISNA(HLOOKUP(C50,'Dynamic Lists'!$B$1:$CO$7,2,FALSE)),"",HLOOKUP(C50,'Dynamic Lists'!$B$1:$CO$7,2,FALSE))</f>
        <v/>
      </c>
      <c r="F50" s="182"/>
      <c r="G50" s="182"/>
      <c r="H50" s="182"/>
      <c r="I50" s="182"/>
      <c r="J50" s="183"/>
      <c r="K50" s="186"/>
    </row>
    <row r="51" spans="2:15" ht="16.5" thickTop="1" thickBot="1" x14ac:dyDescent="0.3">
      <c r="B51" t="s">
        <v>27</v>
      </c>
      <c r="C51" t="str">
        <f>IF(C15="Load Graph", 'Question List'!B68, "")</f>
        <v/>
      </c>
      <c r="D51" s="186"/>
      <c r="E51" s="17" t="str">
        <f>IF(ISNA(HLOOKUP(C51,'Dynamic Lists'!$B$1:$CO$7,2,FALSE)),"",HLOOKUP(C51,'Dynamic Lists'!$B$1:$CO$7,2,FALSE))</f>
        <v/>
      </c>
      <c r="F51" s="204"/>
      <c r="G51" s="205"/>
      <c r="H51" s="205"/>
      <c r="I51" s="206"/>
      <c r="J51" s="14"/>
      <c r="K51" s="186"/>
      <c r="O51" s="16"/>
    </row>
    <row r="52" spans="2:15" ht="16.5" thickTop="1" thickBot="1" x14ac:dyDescent="0.3">
      <c r="B52" t="s">
        <v>26</v>
      </c>
      <c r="C52" t="str">
        <f>IF(C15="Load Graph", 'Question List'!B72, "")</f>
        <v/>
      </c>
      <c r="D52" s="186"/>
      <c r="E52" s="14" t="str">
        <f>IF(ISNA(HLOOKUP(C52,'Dynamic Lists'!$B$1:$CO$7,2,FALSE)),"",HLOOKUP(C52,'Dynamic Lists'!$B$1:$CO$7,2,FALSE))</f>
        <v/>
      </c>
      <c r="F52" s="207" t="str">
        <f>'Peak Shaving'!C19</f>
        <v/>
      </c>
      <c r="G52" s="208"/>
      <c r="H52" s="208"/>
      <c r="I52" s="209"/>
      <c r="J52" s="13"/>
      <c r="K52" s="186"/>
    </row>
    <row r="53" spans="2:15" ht="16.5" thickTop="1" thickBot="1" x14ac:dyDescent="0.3">
      <c r="B53" t="s">
        <v>24</v>
      </c>
      <c r="C53" s="15" t="str">
        <f>IF(F52&lt;&gt;"", IF(F52='Question List'!D73, 'Question List'!F73, 'Question List'!F72), "")</f>
        <v/>
      </c>
      <c r="D53" s="186"/>
      <c r="E53" s="14" t="str">
        <f>IF(ISNA(HLOOKUP(C53,'Dynamic Lists'!$B$1:$CO$7,2,FALSE)),"",HLOOKUP(C53,'Dynamic Lists'!$B$1:$CO$7,2,FALSE))</f>
        <v/>
      </c>
      <c r="F53" s="207" t="str">
        <f>'Peak Shaving'!C20</f>
        <v/>
      </c>
      <c r="G53" s="208"/>
      <c r="H53" s="208"/>
      <c r="I53" s="209"/>
      <c r="J53" s="13"/>
      <c r="K53" s="186"/>
    </row>
    <row r="54" spans="2:15" ht="16.5" thickTop="1" thickBot="1" x14ac:dyDescent="0.3">
      <c r="B54" t="s">
        <v>22</v>
      </c>
      <c r="C54" s="15" t="str">
        <f>IF(F53&lt;&gt;"", IF(F53='Question List'!D76, 'Question List'!F76, 'Question List'!F77), "")</f>
        <v/>
      </c>
      <c r="D54" s="186"/>
      <c r="E54" s="14" t="str">
        <f>IF(ISNA(HLOOKUP(C54,'Dynamic Lists'!$B$1:$CO$7,2,FALSE)),"",HLOOKUP(C54,'Dynamic Lists'!$B$1:$CO$7,2,FALSE))</f>
        <v/>
      </c>
      <c r="F54" s="207" t="str">
        <f>'Peak Shaving'!C21</f>
        <v/>
      </c>
      <c r="G54" s="208"/>
      <c r="H54" s="208"/>
      <c r="I54" s="209"/>
      <c r="J54" s="13"/>
      <c r="K54" s="186"/>
    </row>
    <row r="55" spans="2:15" ht="16.5" thickTop="1" thickBot="1" x14ac:dyDescent="0.3">
      <c r="B55" t="s">
        <v>21</v>
      </c>
      <c r="C55" s="15" t="str">
        <f>IF(F54&lt;&gt;"", IF(F54='Question List'!D80, 'Question List'!F80, 'Question List'!F81), "")</f>
        <v/>
      </c>
      <c r="D55" s="186"/>
      <c r="E55" s="14" t="str">
        <f>IF(ISNA(HLOOKUP(C55,'Dynamic Lists'!$B$1:$CO$7,2,FALSE)),"",HLOOKUP(C55,'Dynamic Lists'!$B$1:$CO$7,2,FALSE))</f>
        <v/>
      </c>
      <c r="F55" s="207" t="str">
        <f>'Peak Shaving'!C22</f>
        <v/>
      </c>
      <c r="G55" s="208"/>
      <c r="H55" s="208"/>
      <c r="I55" s="209"/>
      <c r="J55" s="13"/>
      <c r="K55" s="186"/>
    </row>
    <row r="56" spans="2:15" ht="16.5" thickTop="1" thickBot="1" x14ac:dyDescent="0.3">
      <c r="B56" t="s">
        <v>19</v>
      </c>
      <c r="C56" s="15" t="str">
        <f>IF(F55&lt;&gt;"", 'Question List'!B88, "")</f>
        <v/>
      </c>
      <c r="D56" s="186"/>
      <c r="E56" s="14" t="str">
        <f>IF(ISNA(HLOOKUP(C56,'Dynamic Lists'!$B$1:$CO$7,2,FALSE)),"",HLOOKUP(C56,'Dynamic Lists'!$B$1:$CO$7,2,FALSE))</f>
        <v/>
      </c>
      <c r="F56" s="207" t="str">
        <f>'Peak Shaving'!C23</f>
        <v/>
      </c>
      <c r="G56" s="208"/>
      <c r="H56" s="208"/>
      <c r="I56" s="209"/>
      <c r="J56" s="13"/>
      <c r="K56" s="186"/>
    </row>
    <row r="57" spans="2:15" ht="16.5" thickTop="1" thickBot="1" x14ac:dyDescent="0.3">
      <c r="B57" t="s">
        <v>17</v>
      </c>
      <c r="C57" s="15" t="str">
        <f>IF(AND(F56&lt;&gt;"", F55&lt;&gt;""), IF(F55='Question List'!D87, 'Question List'!F87, 'Question List'!F84), "")</f>
        <v/>
      </c>
      <c r="D57" s="186"/>
      <c r="E57" s="14" t="str">
        <f>IF(ISNA(HLOOKUP(C57,'Dynamic Lists'!$B$1:$CO$7,2,FALSE)),"",HLOOKUP(C57,'Dynamic Lists'!$B$1:$CO$7,2,FALSE))</f>
        <v/>
      </c>
      <c r="F57" s="184"/>
      <c r="G57" s="210"/>
      <c r="H57" s="210"/>
      <c r="I57" s="185"/>
      <c r="J57" s="13"/>
      <c r="K57" s="186"/>
    </row>
    <row r="58" spans="2:15" ht="16.5" thickTop="1" thickBot="1" x14ac:dyDescent="0.3">
      <c r="D58" s="186"/>
      <c r="E58" s="181" t="str">
        <f>IF(ISNA(HLOOKUP(C58,'Dynamic Lists'!$B$1:$CO$7,2,FALSE)),"",HLOOKUP(C58,'Dynamic Lists'!$B$1:$CO$7,2,FALSE))</f>
        <v/>
      </c>
      <c r="F58" s="182"/>
      <c r="G58" s="182"/>
      <c r="H58" s="182"/>
      <c r="I58" s="182"/>
      <c r="J58" s="183"/>
      <c r="K58" s="186"/>
    </row>
    <row r="59" spans="2:15" ht="16.5" thickTop="1" thickBot="1" x14ac:dyDescent="0.3">
      <c r="D59" s="186"/>
      <c r="E59" s="223"/>
      <c r="F59" s="224"/>
      <c r="G59" s="220"/>
      <c r="H59" s="194" t="s">
        <v>16</v>
      </c>
      <c r="I59" s="195"/>
      <c r="J59" s="196"/>
      <c r="K59" s="186"/>
    </row>
    <row r="60" spans="2:15" ht="16.5" thickTop="1" thickBot="1" x14ac:dyDescent="0.3">
      <c r="C60" t="str">
        <f>IF(C57&lt;&gt;"", "Load Graph","")</f>
        <v/>
      </c>
      <c r="D60" s="186"/>
      <c r="E60" s="225"/>
      <c r="F60" s="226"/>
      <c r="G60" s="178"/>
      <c r="H60" s="200" t="str">
        <f>Advanced!B45</f>
        <v>Standard Capacity Charges</v>
      </c>
      <c r="I60" s="200"/>
      <c r="J60" s="200"/>
      <c r="K60" s="186"/>
      <c r="M60" s="194" t="s">
        <v>848</v>
      </c>
      <c r="N60" s="195"/>
      <c r="O60" s="196"/>
    </row>
    <row r="61" spans="2:15" ht="16.5" thickTop="1" thickBot="1" x14ac:dyDescent="0.3">
      <c r="D61" s="186"/>
      <c r="E61" s="225"/>
      <c r="F61" s="226"/>
      <c r="G61" s="221"/>
      <c r="H61" s="12" t="str">
        <f>NetworkLocQuery</f>
        <v>Default</v>
      </c>
      <c r="I61" s="12" t="e">
        <f>'Peak Models'!Q10</f>
        <v>#N/A</v>
      </c>
      <c r="J61" s="11" t="str">
        <f>Advanced!B48</f>
        <v>$11.33</v>
      </c>
      <c r="K61" s="186"/>
      <c r="M61" s="129" t="e">
        <f>TEXT('Peak Models'!P10, "$##.##")</f>
        <v>#N/A</v>
      </c>
      <c r="O61" t="e">
        <f>'Peak Models'!P10*100</f>
        <v>#N/A</v>
      </c>
    </row>
    <row r="62" spans="2:15" ht="16.5" thickTop="1" thickBot="1" x14ac:dyDescent="0.3">
      <c r="D62" s="186"/>
      <c r="E62" s="225"/>
      <c r="F62" s="226"/>
      <c r="G62" s="221"/>
      <c r="H62" s="191" t="s">
        <v>14</v>
      </c>
      <c r="I62" s="192"/>
      <c r="J62" s="193"/>
      <c r="K62" s="186"/>
    </row>
    <row r="63" spans="2:15" ht="16.5" thickTop="1" thickBot="1" x14ac:dyDescent="0.3">
      <c r="D63" s="186"/>
      <c r="E63" s="225"/>
      <c r="F63" s="226"/>
      <c r="G63" s="221"/>
      <c r="H63" s="189" t="s">
        <v>13</v>
      </c>
      <c r="I63" s="190"/>
      <c r="J63" s="9" t="s">
        <v>7</v>
      </c>
      <c r="K63" s="186"/>
    </row>
    <row r="64" spans="2:15" ht="16.5" thickTop="1" thickBot="1" x14ac:dyDescent="0.3">
      <c r="D64" s="186"/>
      <c r="E64" s="225"/>
      <c r="F64" s="226"/>
      <c r="G64" s="221"/>
      <c r="H64" s="189" t="s">
        <v>12</v>
      </c>
      <c r="I64" s="190"/>
      <c r="J64" s="8" t="str">
        <f>PeakLength</f>
        <v>Default</v>
      </c>
      <c r="K64" s="186"/>
    </row>
    <row r="65" spans="4:18" ht="16.5" thickTop="1" thickBot="1" x14ac:dyDescent="0.3">
      <c r="D65" s="186"/>
      <c r="E65" s="225"/>
      <c r="F65" s="226"/>
      <c r="G65" s="221"/>
      <c r="H65" s="189" t="s">
        <v>11</v>
      </c>
      <c r="I65" s="190"/>
      <c r="J65" s="10" t="e">
        <f>'Peak Models'!$Q$7 &amp; " kWh"</f>
        <v>#VALUE!</v>
      </c>
      <c r="K65" s="186"/>
    </row>
    <row r="66" spans="4:18" ht="16.5" thickTop="1" thickBot="1" x14ac:dyDescent="0.3">
      <c r="D66" s="186"/>
      <c r="E66" s="225"/>
      <c r="F66" s="226"/>
      <c r="G66" s="221"/>
      <c r="H66" s="189" t="s">
        <v>10</v>
      </c>
      <c r="I66" s="190"/>
      <c r="J66" s="9" t="s">
        <v>7</v>
      </c>
      <c r="K66" s="186"/>
    </row>
    <row r="67" spans="4:18" ht="16.5" thickTop="1" thickBot="1" x14ac:dyDescent="0.3">
      <c r="D67" s="186"/>
      <c r="E67" s="225"/>
      <c r="F67" s="226"/>
      <c r="G67" s="221"/>
      <c r="H67" s="189" t="s">
        <v>9</v>
      </c>
      <c r="I67" s="190"/>
      <c r="J67" s="9" t="s">
        <v>7</v>
      </c>
      <c r="K67" s="186"/>
    </row>
    <row r="68" spans="4:18" ht="16.5" thickTop="1" thickBot="1" x14ac:dyDescent="0.3">
      <c r="D68" s="186"/>
      <c r="E68" s="225"/>
      <c r="F68" s="226"/>
      <c r="G68" s="221"/>
      <c r="H68" s="189" t="s">
        <v>8</v>
      </c>
      <c r="I68" s="190"/>
      <c r="J68" s="9" t="str">
        <f>IF(AlternativeModelCustom="Default", "Default", "Conservative")</f>
        <v>Default</v>
      </c>
      <c r="K68" s="186"/>
      <c r="M68" t="s">
        <v>903</v>
      </c>
    </row>
    <row r="69" spans="4:18" ht="16.5" thickTop="1" thickBot="1" x14ac:dyDescent="0.3">
      <c r="D69" s="186"/>
      <c r="E69" s="225"/>
      <c r="F69" s="226"/>
      <c r="G69" s="221"/>
      <c r="H69" s="197" t="str">
        <f>'Peak Payback Engine'!K4</f>
        <v>Lifetime Battery Cycles</v>
      </c>
      <c r="I69" s="197"/>
      <c r="J69" s="8">
        <f>'Peak Payback Engine'!L4</f>
        <v>2000</v>
      </c>
      <c r="K69" s="186"/>
    </row>
    <row r="70" spans="4:18" ht="16.5" thickTop="1" thickBot="1" x14ac:dyDescent="0.3">
      <c r="D70" s="186"/>
      <c r="E70" s="225"/>
      <c r="F70" s="226"/>
      <c r="G70" s="178"/>
      <c r="H70" s="197" t="str">
        <f>'Peak Payback Engine'!K5</f>
        <v>Battery Life Years</v>
      </c>
      <c r="I70" s="197"/>
      <c r="J70" s="8" t="str">
        <f>'Peak Payback Engine'!L5</f>
        <v>&gt; 20 years</v>
      </c>
      <c r="K70" s="186"/>
    </row>
    <row r="71" spans="4:18" ht="16.5" thickTop="1" thickBot="1" x14ac:dyDescent="0.3">
      <c r="D71" s="186"/>
      <c r="E71" s="225"/>
      <c r="F71" s="226"/>
      <c r="G71" s="178"/>
      <c r="H71" s="194" t="s">
        <v>6</v>
      </c>
      <c r="I71" s="195"/>
      <c r="J71" s="196"/>
      <c r="K71" s="186"/>
      <c r="M71" s="194" t="s">
        <v>848</v>
      </c>
      <c r="N71" s="195"/>
      <c r="O71" s="196"/>
      <c r="P71" s="194" t="s">
        <v>848</v>
      </c>
      <c r="Q71" s="195"/>
      <c r="R71" s="196"/>
    </row>
    <row r="72" spans="4:18" ht="16.5" thickTop="1" thickBot="1" x14ac:dyDescent="0.3">
      <c r="D72" s="186"/>
      <c r="E72" s="225"/>
      <c r="F72" s="226"/>
      <c r="G72" s="221"/>
      <c r="H72" s="198" t="str">
        <f>'Peak Payback Engine'!AH7</f>
        <v>ROI after 15 Years</v>
      </c>
      <c r="I72" s="199"/>
      <c r="J72" s="7" t="e">
        <f>'Peak Payback Engine'!AH8</f>
        <v>#N/A</v>
      </c>
      <c r="K72" s="186"/>
      <c r="M72" s="134" t="e">
        <f>"The system could save approximately "&amp;ROUND(1+J73, 2)&amp;" times its cost over its lifetime"</f>
        <v>#N/A</v>
      </c>
      <c r="N72" s="25"/>
      <c r="O72" s="25"/>
      <c r="P72" s="33" t="e">
        <f>TEXT(ROUND(1+J73, 1), "#0.0")</f>
        <v>#N/A</v>
      </c>
      <c r="Q72" s="25" t="str">
        <f>"The number of times the system's cost is recovered over its possible lifetime"</f>
        <v>The number of times the system's cost is recovered over its possible lifetime</v>
      </c>
    </row>
    <row r="73" spans="4:18" ht="16.5" thickTop="1" thickBot="1" x14ac:dyDescent="0.3">
      <c r="D73" s="186"/>
      <c r="E73" s="225"/>
      <c r="F73" s="226"/>
      <c r="G73" s="221"/>
      <c r="H73" s="198" t="str">
        <f>'Peak Payback Engine'!AJ7</f>
        <v>ROI over Expected Lifetime (15 Years)</v>
      </c>
      <c r="I73" s="199"/>
      <c r="J73" s="7" t="e">
        <f>'Peak Payback Engine'!AJ8</f>
        <v>#N/A</v>
      </c>
      <c r="K73" s="186"/>
      <c r="M73" s="134" t="e">
        <f>"Approximately "&amp;ROUND(1+J73, 2)*100&amp;"% of the cost will be recovered by end of life."</f>
        <v>#N/A</v>
      </c>
      <c r="N73" s="25"/>
      <c r="O73" s="25"/>
      <c r="P73" s="25" t="e">
        <f>ROUND(1+J73, 2)*100&amp;"%"</f>
        <v>#N/A</v>
      </c>
      <c r="Q73" s="25" t="str">
        <f>"The proportion of the system's cost recovered over its possible lifetime"</f>
        <v>The proportion of the system's cost recovered over its possible lifetime</v>
      </c>
    </row>
    <row r="74" spans="4:18" ht="16.5" thickTop="1" thickBot="1" x14ac:dyDescent="0.3">
      <c r="D74" s="186"/>
      <c r="E74" s="225"/>
      <c r="F74" s="226"/>
      <c r="G74" s="221"/>
      <c r="H74" s="198" t="str">
        <f>'Peak Payback Engine'!AI7</f>
        <v>Break Even Point</v>
      </c>
      <c r="I74" s="199"/>
      <c r="J74" s="6" t="e">
        <f>'Peak Payback Engine'!AI8</f>
        <v>#N/A</v>
      </c>
      <c r="K74" s="186"/>
      <c r="M74" s="134" t="e">
        <f>"The break-even point for a battery storage system is "&amp;J74&amp;". This might be financially acceptable to you."</f>
        <v>#N/A</v>
      </c>
      <c r="N74" s="134"/>
      <c r="O74" s="134"/>
      <c r="P74" s="135" t="e">
        <f>J74</f>
        <v>#N/A</v>
      </c>
      <c r="Q74" s="25" t="s">
        <v>875</v>
      </c>
    </row>
    <row r="75" spans="4:18" ht="16.5" thickTop="1" thickBot="1" x14ac:dyDescent="0.3">
      <c r="D75" s="186"/>
      <c r="E75" s="225"/>
      <c r="F75" s="226"/>
      <c r="G75" s="221"/>
      <c r="H75" s="231" t="e">
        <f>'Summary Page Logic'!C37</f>
        <v>#N/A</v>
      </c>
      <c r="I75" s="232"/>
      <c r="J75" s="233"/>
      <c r="K75" s="186"/>
      <c r="M75" s="134" t="e">
        <f>"The system could save approximately "&amp;ROUND(1+J72, 2)&amp;" times its cost by the nominated payback year"</f>
        <v>#N/A</v>
      </c>
      <c r="P75" s="33" t="e">
        <f>TEXT(ROUND(1+J72, 1), "#0.0")</f>
        <v>#N/A</v>
      </c>
      <c r="Q75" t="str">
        <f>"The number of times the system's cost is recovered "&amp;'Arbitrage Payback Engine'!AI7</f>
        <v>The number of times the system's cost is recovered after 25 Years</v>
      </c>
    </row>
    <row r="76" spans="4:18" ht="16.5" thickTop="1" thickBot="1" x14ac:dyDescent="0.3">
      <c r="D76" s="186"/>
      <c r="E76" s="225"/>
      <c r="F76" s="226"/>
      <c r="G76" s="221"/>
      <c r="H76" s="234"/>
      <c r="I76" s="235"/>
      <c r="J76" s="236"/>
      <c r="K76" s="186"/>
      <c r="M76" s="134" t="e">
        <f>"Approximately "&amp;ROUND(1+J72, 2)*100&amp;"% of the cost will be recovered by the nominated payback year."</f>
        <v>#N/A</v>
      </c>
      <c r="P76" s="25" t="e">
        <f>ROUND(1+J72, 2)*100&amp;"%"</f>
        <v>#N/A</v>
      </c>
      <c r="Q76" t="str">
        <f>"The proportion of system's cost recovered "&amp;'Arbitrage Payback Engine'!AI7</f>
        <v>The proportion of system's cost recovered after 25 Years</v>
      </c>
    </row>
    <row r="77" spans="4:18" ht="16.5" thickTop="1" thickBot="1" x14ac:dyDescent="0.3">
      <c r="D77" s="186"/>
      <c r="E77" s="225"/>
      <c r="F77" s="226"/>
      <c r="G77" s="221"/>
      <c r="H77" s="231" t="e">
        <f>'Summary Page Logic'!C38</f>
        <v>#N/A</v>
      </c>
      <c r="I77" s="232"/>
      <c r="J77" s="233"/>
      <c r="K77" s="186"/>
    </row>
    <row r="78" spans="4:18" ht="16.5" thickTop="1" thickBot="1" x14ac:dyDescent="0.3">
      <c r="D78" s="186"/>
      <c r="E78" s="225"/>
      <c r="F78" s="226"/>
      <c r="G78" s="221"/>
      <c r="H78" s="234"/>
      <c r="I78" s="235"/>
      <c r="J78" s="236"/>
      <c r="K78" s="186"/>
    </row>
    <row r="79" spans="4:18" ht="16.5" thickTop="1" thickBot="1" x14ac:dyDescent="0.3">
      <c r="D79" s="186"/>
      <c r="E79" s="225"/>
      <c r="F79" s="226"/>
      <c r="G79" s="221"/>
      <c r="H79" s="194" t="s">
        <v>5</v>
      </c>
      <c r="I79" s="195"/>
      <c r="J79" s="196"/>
      <c r="K79" s="186"/>
    </row>
    <row r="80" spans="4:18" ht="16.5" thickTop="1" thickBot="1" x14ac:dyDescent="0.3">
      <c r="D80" s="186"/>
      <c r="E80" s="225"/>
      <c r="F80" s="226"/>
      <c r="G80" s="221"/>
      <c r="H80" s="189" t="s">
        <v>4</v>
      </c>
      <c r="I80" s="190"/>
      <c r="J80" s="5"/>
      <c r="K80" s="186"/>
      <c r="M80" t="s">
        <v>902</v>
      </c>
    </row>
    <row r="81" spans="4:13" ht="16.5" thickTop="1" thickBot="1" x14ac:dyDescent="0.3">
      <c r="D81" s="186"/>
      <c r="E81" s="225"/>
      <c r="F81" s="226"/>
      <c r="G81" s="221"/>
      <c r="H81" s="189" t="s">
        <v>3</v>
      </c>
      <c r="I81" s="190"/>
      <c r="J81" s="4"/>
      <c r="K81" s="186"/>
    </row>
    <row r="82" spans="4:13" ht="16.5" thickTop="1" thickBot="1" x14ac:dyDescent="0.3">
      <c r="D82" s="186"/>
      <c r="E82" s="225"/>
      <c r="F82" s="226"/>
      <c r="G82" s="221"/>
      <c r="H82" s="189" t="s">
        <v>2</v>
      </c>
      <c r="I82" s="190"/>
      <c r="J82" s="3"/>
      <c r="K82" s="186"/>
    </row>
    <row r="83" spans="4:13" ht="16.5" thickTop="1" thickBot="1" x14ac:dyDescent="0.3">
      <c r="D83" s="186"/>
      <c r="E83" s="225"/>
      <c r="F83" s="226"/>
      <c r="G83" s="221"/>
      <c r="H83" s="211" t="s">
        <v>0</v>
      </c>
      <c r="I83" s="212"/>
      <c r="J83" s="213"/>
      <c r="K83" s="186"/>
    </row>
    <row r="84" spans="4:13" ht="16.5" thickTop="1" thickBot="1" x14ac:dyDescent="0.3">
      <c r="D84" s="186"/>
      <c r="E84" s="225"/>
      <c r="F84" s="226"/>
      <c r="G84" s="221"/>
      <c r="H84" s="214"/>
      <c r="I84" s="237"/>
      <c r="J84" s="216"/>
      <c r="K84" s="186"/>
    </row>
    <row r="85" spans="4:13" ht="16.5" thickTop="1" thickBot="1" x14ac:dyDescent="0.3">
      <c r="D85" s="186"/>
      <c r="E85" s="225"/>
      <c r="F85" s="226"/>
      <c r="G85" s="221"/>
      <c r="H85" s="214"/>
      <c r="I85" s="237"/>
      <c r="J85" s="216"/>
      <c r="K85" s="186"/>
    </row>
    <row r="86" spans="4:13" ht="16.5" thickTop="1" thickBot="1" x14ac:dyDescent="0.3">
      <c r="D86" s="186"/>
      <c r="E86" s="225"/>
      <c r="F86" s="226"/>
      <c r="G86" s="221"/>
      <c r="H86" s="214"/>
      <c r="I86" s="237"/>
      <c r="J86" s="216"/>
      <c r="K86" s="186"/>
    </row>
    <row r="87" spans="4:13" ht="16.5" thickTop="1" thickBot="1" x14ac:dyDescent="0.3">
      <c r="D87" s="186"/>
      <c r="E87" s="225"/>
      <c r="F87" s="226"/>
      <c r="G87" s="221"/>
      <c r="H87" s="214"/>
      <c r="I87" s="237"/>
      <c r="J87" s="216"/>
      <c r="K87" s="186"/>
    </row>
    <row r="88" spans="4:13" ht="16.5" thickTop="1" thickBot="1" x14ac:dyDescent="0.3">
      <c r="D88" s="186"/>
      <c r="E88" s="225"/>
      <c r="F88" s="226"/>
      <c r="G88" s="221"/>
      <c r="H88" s="214"/>
      <c r="I88" s="237"/>
      <c r="J88" s="216"/>
      <c r="K88" s="186"/>
    </row>
    <row r="89" spans="4:13" ht="16.5" thickTop="1" thickBot="1" x14ac:dyDescent="0.3">
      <c r="D89" s="186"/>
      <c r="E89" s="225"/>
      <c r="F89" s="226"/>
      <c r="G89" s="221"/>
      <c r="H89" s="214"/>
      <c r="I89" s="237"/>
      <c r="J89" s="216"/>
      <c r="K89" s="186"/>
    </row>
    <row r="90" spans="4:13" ht="16.5" thickTop="1" thickBot="1" x14ac:dyDescent="0.3">
      <c r="D90" s="186"/>
      <c r="E90" s="225"/>
      <c r="F90" s="226"/>
      <c r="G90" s="221"/>
      <c r="H90" s="214"/>
      <c r="I90" s="237"/>
      <c r="J90" s="216"/>
      <c r="K90" s="186"/>
      <c r="M90" s="37"/>
    </row>
    <row r="91" spans="4:13" ht="16.5" thickTop="1" thickBot="1" x14ac:dyDescent="0.3">
      <c r="D91" s="186"/>
      <c r="E91" s="225"/>
      <c r="F91" s="226"/>
      <c r="G91" s="221"/>
      <c r="H91" s="214"/>
      <c r="I91" s="237"/>
      <c r="J91" s="216"/>
      <c r="K91" s="186"/>
    </row>
    <row r="92" spans="4:13" ht="16.5" thickTop="1" thickBot="1" x14ac:dyDescent="0.3">
      <c r="D92" s="186"/>
      <c r="E92" s="225"/>
      <c r="F92" s="226"/>
      <c r="G92" s="221"/>
      <c r="H92" s="214"/>
      <c r="I92" s="237"/>
      <c r="J92" s="216"/>
      <c r="K92" s="186"/>
    </row>
    <row r="93" spans="4:13" ht="16.5" thickTop="1" thickBot="1" x14ac:dyDescent="0.3">
      <c r="D93" s="186"/>
      <c r="E93" s="225"/>
      <c r="F93" s="226"/>
      <c r="G93" s="222"/>
      <c r="H93" s="217"/>
      <c r="I93" s="218"/>
      <c r="J93" s="219"/>
      <c r="K93" s="186"/>
    </row>
    <row r="94" spans="4:13" ht="16.5" thickTop="1" thickBot="1" x14ac:dyDescent="0.3">
      <c r="D94" s="186"/>
      <c r="E94" s="181" t="str">
        <f>IF(ISNA(HLOOKUP(C94,'Dynamic Lists'!$B$1:$CO$7,2,FALSE)),"",HLOOKUP(C94,'Dynamic Lists'!$B$1:$CO$7,2,FALSE))</f>
        <v/>
      </c>
      <c r="F94" s="182"/>
      <c r="G94" s="182"/>
      <c r="H94" s="182"/>
      <c r="I94" s="182"/>
      <c r="J94" s="183"/>
      <c r="K94" s="186"/>
    </row>
    <row r="95" spans="4:13" ht="15.75" thickTop="1" x14ac:dyDescent="0.25">
      <c r="F95" s="2"/>
    </row>
  </sheetData>
  <dataConsolidate/>
  <mergeCells count="88">
    <mergeCell ref="M71:O71"/>
    <mergeCell ref="P71:R71"/>
    <mergeCell ref="M2:O2"/>
    <mergeCell ref="M11:O11"/>
    <mergeCell ref="M35:O35"/>
    <mergeCell ref="P35:R35"/>
    <mergeCell ref="M22:O22"/>
    <mergeCell ref="M60:O60"/>
    <mergeCell ref="E94:J94"/>
    <mergeCell ref="K2:K94"/>
    <mergeCell ref="I18:J18"/>
    <mergeCell ref="I19:J19"/>
    <mergeCell ref="G15:G49"/>
    <mergeCell ref="H28:I28"/>
    <mergeCell ref="H35:J35"/>
    <mergeCell ref="H36:I36"/>
    <mergeCell ref="H15:J15"/>
    <mergeCell ref="F2:I2"/>
    <mergeCell ref="F8:I8"/>
    <mergeCell ref="F9:I9"/>
    <mergeCell ref="F10:I10"/>
    <mergeCell ref="F11:I11"/>
    <mergeCell ref="F5:I5"/>
    <mergeCell ref="F6:I6"/>
    <mergeCell ref="D2:D94"/>
    <mergeCell ref="H74:I74"/>
    <mergeCell ref="H75:J76"/>
    <mergeCell ref="H77:J78"/>
    <mergeCell ref="H83:J93"/>
    <mergeCell ref="F3:I3"/>
    <mergeCell ref="F4:I4"/>
    <mergeCell ref="F12:I12"/>
    <mergeCell ref="F13:I13"/>
    <mergeCell ref="H39:J40"/>
    <mergeCell ref="H37:I37"/>
    <mergeCell ref="H38:I38"/>
    <mergeCell ref="E15:F49"/>
    <mergeCell ref="E14:J14"/>
    <mergeCell ref="H22:J22"/>
    <mergeCell ref="H21:J21"/>
    <mergeCell ref="C15:C16"/>
    <mergeCell ref="H44:I44"/>
    <mergeCell ref="H45:I45"/>
    <mergeCell ref="H43:J43"/>
    <mergeCell ref="H29:J29"/>
    <mergeCell ref="H32:I32"/>
    <mergeCell ref="H34:I34"/>
    <mergeCell ref="H31:I31"/>
    <mergeCell ref="H30:I30"/>
    <mergeCell ref="H33:I33"/>
    <mergeCell ref="I17:J17"/>
    <mergeCell ref="H16:J16"/>
    <mergeCell ref="H27:I27"/>
    <mergeCell ref="H41:J42"/>
    <mergeCell ref="H26:J26"/>
    <mergeCell ref="H20:J20"/>
    <mergeCell ref="H59:J59"/>
    <mergeCell ref="H60:J60"/>
    <mergeCell ref="F7:I7"/>
    <mergeCell ref="E50:J50"/>
    <mergeCell ref="F51:I51"/>
    <mergeCell ref="F52:I52"/>
    <mergeCell ref="F53:I53"/>
    <mergeCell ref="H46:I46"/>
    <mergeCell ref="F55:I55"/>
    <mergeCell ref="F57:I57"/>
    <mergeCell ref="H47:J49"/>
    <mergeCell ref="E58:J58"/>
    <mergeCell ref="F54:I54"/>
    <mergeCell ref="F56:I56"/>
    <mergeCell ref="G59:G93"/>
    <mergeCell ref="E59:F93"/>
    <mergeCell ref="H64:I64"/>
    <mergeCell ref="H62:J62"/>
    <mergeCell ref="H82:I82"/>
    <mergeCell ref="H79:J79"/>
    <mergeCell ref="H70:I70"/>
    <mergeCell ref="H81:I81"/>
    <mergeCell ref="H80:I80"/>
    <mergeCell ref="H66:I66"/>
    <mergeCell ref="H73:I73"/>
    <mergeCell ref="H69:I69"/>
    <mergeCell ref="H68:I68"/>
    <mergeCell ref="H72:I72"/>
    <mergeCell ref="H63:I63"/>
    <mergeCell ref="H71:J71"/>
    <mergeCell ref="H65:I65"/>
    <mergeCell ref="H67:I67"/>
  </mergeCells>
  <conditionalFormatting sqref="H15 H20 H26 H29 H35 H43">
    <cfRule type="expression" dxfId="44" priority="49">
      <formula>$C$15="Load Graph"</formula>
    </cfRule>
  </conditionalFormatting>
  <conditionalFormatting sqref="H16 H21 J28 J30 J44:J46">
    <cfRule type="expression" dxfId="43" priority="48">
      <formula>$C$15="Load Graph"</formula>
    </cfRule>
  </conditionalFormatting>
  <conditionalFormatting sqref="J23:J25">
    <cfRule type="expression" dxfId="42" priority="46">
      <formula>$H$21="Custom Energy Prices"</formula>
    </cfRule>
    <cfRule type="expression" dxfId="41" priority="47">
      <formula>$H$21="Standard Energy Prices"</formula>
    </cfRule>
  </conditionalFormatting>
  <conditionalFormatting sqref="J37">
    <cfRule type="expression" dxfId="40" priority="43">
      <formula>$J$37&lt;0</formula>
    </cfRule>
  </conditionalFormatting>
  <conditionalFormatting sqref="H61:I61 H63:H65 H66:I70 J69:J70 J64:J65 H80:I82 H83">
    <cfRule type="expression" dxfId="39" priority="42">
      <formula>$C$60="Load Graph"</formula>
    </cfRule>
  </conditionalFormatting>
  <conditionalFormatting sqref="H59 H62 H71 H79">
    <cfRule type="expression" dxfId="38" priority="41">
      <formula>$C$60="Load Graph"</formula>
    </cfRule>
  </conditionalFormatting>
  <conditionalFormatting sqref="H60 J63 J80:J82">
    <cfRule type="expression" dxfId="37" priority="40">
      <formula>$C$60="Load Graph"</formula>
    </cfRule>
  </conditionalFormatting>
  <conditionalFormatting sqref="J61">
    <cfRule type="expression" dxfId="36" priority="38">
      <formula>$H$60="Standard Capacity Charges"</formula>
    </cfRule>
    <cfRule type="expression" dxfId="35" priority="39">
      <formula>$H$60="Custom Capacity Charges"</formula>
    </cfRule>
  </conditionalFormatting>
  <conditionalFormatting sqref="H61">
    <cfRule type="expression" dxfId="34" priority="37">
      <formula>$H$60="Custom Capacity Charges"</formula>
    </cfRule>
  </conditionalFormatting>
  <conditionalFormatting sqref="H15:J49">
    <cfRule type="expression" dxfId="33" priority="29">
      <formula>$C$15&lt;&gt;"Load Graph"</formula>
    </cfRule>
  </conditionalFormatting>
  <conditionalFormatting sqref="H59:J93">
    <cfRule type="expression" dxfId="32" priority="31">
      <formula>$C$60&lt;&gt;"Load Graph"</formula>
    </cfRule>
  </conditionalFormatting>
  <conditionalFormatting sqref="H36:J37">
    <cfRule type="expression" dxfId="31" priority="44">
      <formula>$J36&lt;0</formula>
    </cfRule>
    <cfRule type="expression" dxfId="30" priority="45">
      <formula>$J36&gt;0</formula>
    </cfRule>
  </conditionalFormatting>
  <conditionalFormatting sqref="H72:J73">
    <cfRule type="expression" dxfId="29" priority="35">
      <formula>$J72&lt;0</formula>
    </cfRule>
    <cfRule type="expression" dxfId="28" priority="36">
      <formula>$J72&gt;0</formula>
    </cfRule>
  </conditionalFormatting>
  <conditionalFormatting sqref="H75:J78">
    <cfRule type="expression" dxfId="27" priority="33">
      <formula>$J$72&lt;0</formula>
    </cfRule>
    <cfRule type="expression" dxfId="26" priority="34">
      <formula>$J$72&gt;0</formula>
    </cfRule>
  </conditionalFormatting>
  <conditionalFormatting sqref="H39:J42">
    <cfRule type="expression" dxfId="25" priority="30">
      <formula>$J$36&gt;0</formula>
    </cfRule>
    <cfRule type="expression" dxfId="24" priority="32">
      <formula>$J$36&lt;0</formula>
    </cfRule>
  </conditionalFormatting>
  <conditionalFormatting sqref="M35 P35">
    <cfRule type="expression" dxfId="23" priority="28">
      <formula>$C$15="Load Graph"</formula>
    </cfRule>
  </conditionalFormatting>
  <conditionalFormatting sqref="M35:R35">
    <cfRule type="expression" dxfId="22" priority="27">
      <formula>$C$15&lt;&gt;"Load Graph"</formula>
    </cfRule>
  </conditionalFormatting>
  <conditionalFormatting sqref="M38">
    <cfRule type="expression" dxfId="21" priority="26">
      <formula>$C$15&lt;&gt;"Load Graph"</formula>
    </cfRule>
  </conditionalFormatting>
  <conditionalFormatting sqref="M36">
    <cfRule type="expression" dxfId="20" priority="25">
      <formula>$C$15&lt;&gt;"Load Graph"</formula>
    </cfRule>
  </conditionalFormatting>
  <conditionalFormatting sqref="M37">
    <cfRule type="expression" dxfId="19" priority="23">
      <formula>$C$15&lt;&gt;"Load Graph"</formula>
    </cfRule>
  </conditionalFormatting>
  <conditionalFormatting sqref="M22">
    <cfRule type="expression" dxfId="18" priority="22">
      <formula>$C$15="Load Graph"</formula>
    </cfRule>
  </conditionalFormatting>
  <conditionalFormatting sqref="M22:O22">
    <cfRule type="expression" dxfId="17" priority="21">
      <formula>$C$15&lt;&gt;"Load Graph"</formula>
    </cfRule>
  </conditionalFormatting>
  <conditionalFormatting sqref="M23:M25">
    <cfRule type="expression" dxfId="16" priority="19">
      <formula>$C$15&lt;&gt;"Load Graph"</formula>
    </cfRule>
  </conditionalFormatting>
  <conditionalFormatting sqref="M39">
    <cfRule type="expression" dxfId="15" priority="17">
      <formula>$C$15&lt;&gt;"Load Graph"</formula>
    </cfRule>
  </conditionalFormatting>
  <conditionalFormatting sqref="M40">
    <cfRule type="expression" dxfId="14" priority="16">
      <formula>$C$15&lt;&gt;"Load Graph"</formula>
    </cfRule>
  </conditionalFormatting>
  <conditionalFormatting sqref="M2">
    <cfRule type="expression" dxfId="13" priority="15">
      <formula>$C$15="Load Graph"</formula>
    </cfRule>
  </conditionalFormatting>
  <conditionalFormatting sqref="M2:O2">
    <cfRule type="expression" dxfId="12" priority="14">
      <formula>$C$15&lt;&gt;"Load Graph"</formula>
    </cfRule>
  </conditionalFormatting>
  <conditionalFormatting sqref="M11">
    <cfRule type="expression" dxfId="11" priority="12">
      <formula>$C$15="Load Graph"</formula>
    </cfRule>
  </conditionalFormatting>
  <conditionalFormatting sqref="M11:O11">
    <cfRule type="expression" dxfId="10" priority="11">
      <formula>$C$15&lt;&gt;"Load Graph"</formula>
    </cfRule>
  </conditionalFormatting>
  <conditionalFormatting sqref="M71 P71">
    <cfRule type="expression" dxfId="9" priority="10">
      <formula>$C$15="Load Graph"</formula>
    </cfRule>
  </conditionalFormatting>
  <conditionalFormatting sqref="M71:R71">
    <cfRule type="expression" dxfId="8" priority="9">
      <formula>$C$15&lt;&gt;"Load Graph"</formula>
    </cfRule>
  </conditionalFormatting>
  <conditionalFormatting sqref="M74">
    <cfRule type="expression" dxfId="7" priority="8">
      <formula>$C$15&lt;&gt;"Load Graph"</formula>
    </cfRule>
  </conditionalFormatting>
  <conditionalFormatting sqref="M72">
    <cfRule type="expression" dxfId="6" priority="7">
      <formula>$C$15&lt;&gt;"Load Graph"</formula>
    </cfRule>
  </conditionalFormatting>
  <conditionalFormatting sqref="M73">
    <cfRule type="expression" dxfId="5" priority="6">
      <formula>$C$15&lt;&gt;"Load Graph"</formula>
    </cfRule>
  </conditionalFormatting>
  <conditionalFormatting sqref="M75">
    <cfRule type="expression" dxfId="4" priority="5">
      <formula>$C$15&lt;&gt;"Load Graph"</formula>
    </cfRule>
  </conditionalFormatting>
  <conditionalFormatting sqref="M76">
    <cfRule type="expression" dxfId="3" priority="4">
      <formula>$C$15&lt;&gt;"Load Graph"</formula>
    </cfRule>
  </conditionalFormatting>
  <conditionalFormatting sqref="M60">
    <cfRule type="expression" dxfId="2" priority="3">
      <formula>$C$15="Load Graph"</formula>
    </cfRule>
  </conditionalFormatting>
  <conditionalFormatting sqref="M60:O60">
    <cfRule type="expression" dxfId="1" priority="2">
      <formula>$C$15&lt;&gt;"Load Graph"</formula>
    </cfRule>
  </conditionalFormatting>
  <conditionalFormatting sqref="M61">
    <cfRule type="expression" dxfId="0" priority="1">
      <formula>$C$15&lt;&gt;"Load Graph"</formula>
    </cfRule>
  </conditionalFormatting>
  <dataValidations count="14">
    <dataValidation type="list" allowBlank="1" showInputMessage="1" showErrorMessage="1" sqref="F56:I57">
      <formula1>Index15</formula1>
    </dataValidation>
    <dataValidation type="list" allowBlank="1" showInputMessage="1" showErrorMessage="1" sqref="F55:I55">
      <formula1>Index14</formula1>
    </dataValidation>
    <dataValidation type="list" allowBlank="1" showInputMessage="1" showErrorMessage="1" sqref="F54:I54">
      <formula1>Index13</formula1>
    </dataValidation>
    <dataValidation type="list" allowBlank="1" showInputMessage="1" showErrorMessage="1" sqref="F53:I53">
      <formula1>Index12</formula1>
    </dataValidation>
    <dataValidation type="list" allowBlank="1" showInputMessage="1" showErrorMessage="1" sqref="F52:I52">
      <formula1>Index11</formula1>
    </dataValidation>
    <dataValidation type="decimal" allowBlank="1" showInputMessage="1" showErrorMessage="1" sqref="J13 J53:J57">
      <formula1>0</formula1>
      <formula2>1000</formula2>
    </dataValidation>
    <dataValidation type="list" allowBlank="1" showInputMessage="1" showErrorMessage="1" sqref="F12 H12">
      <formula1>Index9</formula1>
    </dataValidation>
    <dataValidation type="list" allowBlank="1" showInputMessage="1" showErrorMessage="1" sqref="F11 H11">
      <formula1>Index8</formula1>
    </dataValidation>
    <dataValidation type="list" allowBlank="1" showInputMessage="1" showErrorMessage="1" sqref="F10 H10">
      <formula1>Index7</formula1>
    </dataValidation>
    <dataValidation type="list" allowBlank="1" showInputMessage="1" showErrorMessage="1" sqref="F9 H9">
      <formula1>Index6</formula1>
    </dataValidation>
    <dataValidation type="list" allowBlank="1" showInputMessage="1" showErrorMessage="1" sqref="F8 H8">
      <formula1>Index5</formula1>
    </dataValidation>
    <dataValidation type="list" allowBlank="1" showInputMessage="1" showErrorMessage="1" sqref="F5 H5">
      <formula1>Index3</formula1>
    </dataValidation>
    <dataValidation type="list" allowBlank="1" showInputMessage="1" showErrorMessage="1" sqref="F4 H4">
      <formula1>Index2</formula1>
    </dataValidation>
    <dataValidation type="list" allowBlank="1" showInputMessage="1" showErrorMessage="1" sqref="F3 H3">
      <formula1>Index1</formula1>
    </dataValidation>
  </dataValidations>
  <pageMargins left="0.7" right="0.7" top="0.75" bottom="0.75" header="0.3" footer="0.3"/>
  <pageSetup paperSize="9" orientation="portrait" horizontalDpi="4294967293" verticalDpi="4294967293" r:id="rId1"/>
  <drawing r:id="rId2"/>
  <legacyDrawing r:id="rId3"/>
  <extLst>
    <ext xmlns:x14="http://schemas.microsoft.com/office/spreadsheetml/2009/9/main" uri="{CCE6A557-97BC-4b89-ADB6-D9C93CAAB3DF}">
      <x14:dataValidations xmlns:xm="http://schemas.microsoft.com/office/excel/2006/main" count="15">
        <x14:dataValidation type="list" allowBlank="1" showInputMessage="1" showErrorMessage="1">
          <x14:formula1>
            <xm:f>'Arbitrage Payback Engine'!$B$10:$B$30</xm:f>
          </x14:formula1>
          <xm:sqref>J80</xm:sqref>
        </x14:dataValidation>
        <x14:dataValidation type="list" allowBlank="1" showInputMessage="1" showErrorMessage="1">
          <x14:formula1>
            <xm:f>'Peak Models'!$L$25:$L$29</xm:f>
          </x14:formula1>
          <xm:sqref>J68</xm:sqref>
        </x14:dataValidation>
        <x14:dataValidation type="list" allowBlank="1" showInputMessage="1" showErrorMessage="1">
          <x14:formula1>
            <xm:f>'Peak Models'!$L$16:$L$22</xm:f>
          </x14:formula1>
          <xm:sqref>J67</xm:sqref>
        </x14:dataValidation>
        <x14:dataValidation type="list" allowBlank="1" showInputMessage="1" showErrorMessage="1">
          <x14:formula1>
            <xm:f>'Peak Models'!$L$3:$L$13</xm:f>
          </x14:formula1>
          <xm:sqref>J66</xm:sqref>
        </x14:dataValidation>
        <x14:dataValidation type="list" allowBlank="1" showInputMessage="1" showErrorMessage="1">
          <x14:formula1>
            <xm:f>'Tariff Model '!$B$20:$B$21</xm:f>
          </x14:formula1>
          <xm:sqref>H60:J60</xm:sqref>
        </x14:dataValidation>
        <x14:dataValidation type="list" allowBlank="1" showInputMessage="1" showErrorMessage="1">
          <x14:formula1>
            <xm:f>'Peak Models'!$O$3:$O$5</xm:f>
          </x14:formula1>
          <xm:sqref>J63</xm:sqref>
        </x14:dataValidation>
        <x14:dataValidation type="list" allowBlank="1" showInputMessage="1" showErrorMessage="1">
          <x14:formula1>
            <xm:f>'Profit per cycles Model'!#REF!</xm:f>
          </x14:formula1>
          <xm:sqref>J82</xm:sqref>
        </x14:dataValidation>
        <x14:dataValidation type="list" allowBlank="1" showInputMessage="1" showErrorMessage="1">
          <x14:formula1>
            <xm:f>'Battery Pricing Model'!#REF!</xm:f>
          </x14:formula1>
          <xm:sqref>J81</xm:sqref>
        </x14:dataValidation>
        <x14:dataValidation type="list" allowBlank="1" showInputMessage="1" showErrorMessage="1">
          <x14:formula1>
            <xm:f>'Profit per cycles Model'!$B$27:$B$28</xm:f>
          </x14:formula1>
          <xm:sqref>H21:J21</xm:sqref>
        </x14:dataValidation>
        <x14:dataValidation type="list" allowBlank="1" showInputMessage="1" showErrorMessage="1">
          <x14:formula1>
            <xm:f>'Profit per cycles Model'!$D$13:$F$13</xm:f>
          </x14:formula1>
          <xm:sqref>H16:J16</xm:sqref>
        </x14:dataValidation>
        <x14:dataValidation type="list" allowBlank="1" showInputMessage="1" showErrorMessage="1">
          <x14:formula1>
            <xm:f>'Profit per cycles Model'!$C$20:$C$22</xm:f>
          </x14:formula1>
          <xm:sqref>J28</xm:sqref>
        </x14:dataValidation>
        <x14:dataValidation type="list" allowBlank="1" showInputMessage="1" showErrorMessage="1">
          <x14:formula1>
            <xm:f>Customise!$A$19:$A$25</xm:f>
          </x14:formula1>
          <xm:sqref>J30</xm:sqref>
        </x14:dataValidation>
        <x14:dataValidation type="list" allowBlank="1" showInputMessage="1" showErrorMessage="1">
          <x14:formula1>
            <xm:f>'Profit per cycles Model'!$I$33:$I$39</xm:f>
          </x14:formula1>
          <xm:sqref>J46</xm:sqref>
        </x14:dataValidation>
        <x14:dataValidation type="list" allowBlank="1" showInputMessage="1" showErrorMessage="1">
          <x14:formula1>
            <xm:f>Customise!$B$28:$B$48</xm:f>
          </x14:formula1>
          <xm:sqref>J44</xm:sqref>
        </x14:dataValidation>
        <x14:dataValidation type="list" allowBlank="1" showInputMessage="1" showErrorMessage="1">
          <x14:formula1>
            <xm:f>'Battery Pricing Model'!$C$18:$C$29</xm:f>
          </x14:formula1>
          <xm:sqref>J45</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98</vt:i4>
      </vt:variant>
    </vt:vector>
  </HeadingPairs>
  <TitlesOfParts>
    <vt:vector size="105" baseType="lpstr">
      <vt:lpstr>Readme</vt:lpstr>
      <vt:lpstr>Introduction</vt:lpstr>
      <vt:lpstr>Questionnaire</vt:lpstr>
      <vt:lpstr>Customise</vt:lpstr>
      <vt:lpstr>Summary</vt:lpstr>
      <vt:lpstr>Peak Shaving</vt:lpstr>
      <vt:lpstr>Advanced</vt:lpstr>
      <vt:lpstr>Summary!AlternativeModelCustom</vt:lpstr>
      <vt:lpstr>AlternativeModelCustom</vt:lpstr>
      <vt:lpstr>AlternativeModelPeakCustom</vt:lpstr>
      <vt:lpstr>Summary!BatteryFactor</vt:lpstr>
      <vt:lpstr>BatteryFactor</vt:lpstr>
      <vt:lpstr>Summary!CustomSolar</vt:lpstr>
      <vt:lpstr>CustomSolar</vt:lpstr>
      <vt:lpstr>Summary!DefaultEfficiency</vt:lpstr>
      <vt:lpstr>DefaultEfficiency</vt:lpstr>
      <vt:lpstr>DemandCustomText</vt:lpstr>
      <vt:lpstr>DemandValueText</vt:lpstr>
      <vt:lpstr>DisclaimAnswer</vt:lpstr>
      <vt:lpstr>DiscountFactor</vt:lpstr>
      <vt:lpstr>Summary!EnergyPriceCustom</vt:lpstr>
      <vt:lpstr>EnergyPriceCustom</vt:lpstr>
      <vt:lpstr>Summary!EventsPerYear</vt:lpstr>
      <vt:lpstr>EventsPerYear</vt:lpstr>
      <vt:lpstr>Summary!Index1</vt:lpstr>
      <vt:lpstr>Index1</vt:lpstr>
      <vt:lpstr>Index10</vt:lpstr>
      <vt:lpstr>Summary!Index11</vt:lpstr>
      <vt:lpstr>Index11</vt:lpstr>
      <vt:lpstr>Summary!Index12</vt:lpstr>
      <vt:lpstr>Index12</vt:lpstr>
      <vt:lpstr>Summary!Index13</vt:lpstr>
      <vt:lpstr>Index13</vt:lpstr>
      <vt:lpstr>Summary!Index14</vt:lpstr>
      <vt:lpstr>Index14</vt:lpstr>
      <vt:lpstr>Summary!Index15</vt:lpstr>
      <vt:lpstr>Index15</vt:lpstr>
      <vt:lpstr>Index16</vt:lpstr>
      <vt:lpstr>Index17</vt:lpstr>
      <vt:lpstr>Index18</vt:lpstr>
      <vt:lpstr>Summary!Index2</vt:lpstr>
      <vt:lpstr>Index2</vt:lpstr>
      <vt:lpstr>Summary!Index3</vt:lpstr>
      <vt:lpstr>Index3</vt:lpstr>
      <vt:lpstr>Index4</vt:lpstr>
      <vt:lpstr>Summary!Index5</vt:lpstr>
      <vt:lpstr>Index5</vt:lpstr>
      <vt:lpstr>Summary!Index6</vt:lpstr>
      <vt:lpstr>Index6</vt:lpstr>
      <vt:lpstr>Summary!Index7</vt:lpstr>
      <vt:lpstr>Index7</vt:lpstr>
      <vt:lpstr>Summary!Index8</vt:lpstr>
      <vt:lpstr>Index8</vt:lpstr>
      <vt:lpstr>Summary!Index9</vt:lpstr>
      <vt:lpstr>Index9</vt:lpstr>
      <vt:lpstr>Summary!InflationIndex</vt:lpstr>
      <vt:lpstr>InflationIndex</vt:lpstr>
      <vt:lpstr>Summary!InflationPeakIndex</vt:lpstr>
      <vt:lpstr>InflationPeakIndex</vt:lpstr>
      <vt:lpstr>Summary!LocationOptions</vt:lpstr>
      <vt:lpstr>LocationOptions</vt:lpstr>
      <vt:lpstr>Summary!NetworkLocation</vt:lpstr>
      <vt:lpstr>NetworkLocation</vt:lpstr>
      <vt:lpstr>Summary!NetworkLocQuery</vt:lpstr>
      <vt:lpstr>NetworkLocQuery</vt:lpstr>
      <vt:lpstr>OffPeakValueText</vt:lpstr>
      <vt:lpstr>Summary!PaybackCustom</vt:lpstr>
      <vt:lpstr>PaybackCustom</vt:lpstr>
      <vt:lpstr>PaybackList</vt:lpstr>
      <vt:lpstr>Summary!PaybackStatus</vt:lpstr>
      <vt:lpstr>PaybackStatus</vt:lpstr>
      <vt:lpstr>PeakKVAOption</vt:lpstr>
      <vt:lpstr>Summary!PeakLength</vt:lpstr>
      <vt:lpstr>PeakLength</vt:lpstr>
      <vt:lpstr>Summary!PeakLengthCustom</vt:lpstr>
      <vt:lpstr>PeakLengthCustom</vt:lpstr>
      <vt:lpstr>PeakPaybackCustom</vt:lpstr>
      <vt:lpstr>Summary!PeakShape</vt:lpstr>
      <vt:lpstr>PeakShape</vt:lpstr>
      <vt:lpstr>PeakValueTest</vt:lpstr>
      <vt:lpstr>PeakValueText</vt:lpstr>
      <vt:lpstr>Advanced!Print_Area</vt:lpstr>
      <vt:lpstr>Customise!Print_Area</vt:lpstr>
      <vt:lpstr>Questionnaire!Print_Area</vt:lpstr>
      <vt:lpstr>Summary!Print_Area</vt:lpstr>
      <vt:lpstr>Q1Answer</vt:lpstr>
      <vt:lpstr>Q2Answer</vt:lpstr>
      <vt:lpstr>Q3Answer</vt:lpstr>
      <vt:lpstr>Q4Answer</vt:lpstr>
      <vt:lpstr>Q5Answer</vt:lpstr>
      <vt:lpstr>Q6Answer</vt:lpstr>
      <vt:lpstr>Q7Answer</vt:lpstr>
      <vt:lpstr>Summary!RoundTripEfficiency</vt:lpstr>
      <vt:lpstr>RoundTripEfficiency</vt:lpstr>
      <vt:lpstr>ShoulderValueText</vt:lpstr>
      <vt:lpstr>Summary!TariffOptions</vt:lpstr>
      <vt:lpstr>TariffOptions</vt:lpstr>
      <vt:lpstr>Summary!TariffStructure</vt:lpstr>
      <vt:lpstr>TariffStructure</vt:lpstr>
      <vt:lpstr>Summary!TimeofuseOptions</vt:lpstr>
      <vt:lpstr>TimeofuseOptions</vt:lpstr>
      <vt:lpstr>Summary!TimeofUseStructure</vt:lpstr>
      <vt:lpstr>TimeofUseStructure</vt:lpstr>
      <vt:lpstr>Summary!TOUTariffModel</vt:lpstr>
      <vt:lpstr>TOUTariffModel</vt:lpstr>
    </vt:vector>
  </TitlesOfParts>
  <Company>Microsoft</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Evan Darmanin</dc:creator>
  <cp:lastModifiedBy>Marcel Bello</cp:lastModifiedBy>
  <cp:lastPrinted>2016-11-02T23:39:42Z</cp:lastPrinted>
  <dcterms:created xsi:type="dcterms:W3CDTF">2016-08-02T23:22:56Z</dcterms:created>
  <dcterms:modified xsi:type="dcterms:W3CDTF">2016-11-10T01:38:31Z</dcterms:modified>
</cp:coreProperties>
</file>